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ichardTol\Google Drive\MargCostMeta\"/>
    </mc:Choice>
  </mc:AlternateContent>
  <bookViews>
    <workbookView xWindow="645" yWindow="75" windowWidth="13890" windowHeight="8265" tabRatio="686" activeTab="5"/>
  </bookViews>
  <sheets>
    <sheet name="SCCvWeight" sheetId="7" r:id="rId1"/>
    <sheet name="SCCvTimePubl" sheetId="6" r:id="rId2"/>
    <sheet name="Chart1" sheetId="10" r:id="rId3"/>
    <sheet name="NominalvReal" sheetId="5" r:id="rId4"/>
    <sheet name="Chart4" sheetId="14" r:id="rId5"/>
    <sheet name="Data" sheetId="1" r:id="rId6"/>
    <sheet name="Growth" sheetId="3" r:id="rId7"/>
    <sheet name="CPI" sheetId="4" r:id="rId8"/>
    <sheet name="freq" sheetId="9" r:id="rId9"/>
    <sheet name="mean" sheetId="13" r:id="rId10"/>
    <sheet name="mean (2)" sheetId="16" r:id="rId11"/>
    <sheet name="frequence" sheetId="8" r:id="rId12"/>
    <sheet name="Sheet1" sheetId="15" r:id="rId13"/>
    <sheet name="Sheet2" sheetId="17" r:id="rId14"/>
  </sheets>
  <calcPr calcId="152511"/>
</workbook>
</file>

<file path=xl/calcChain.xml><?xml version="1.0" encoding="utf-8"?>
<calcChain xmlns="http://schemas.openxmlformats.org/spreadsheetml/2006/main">
  <c r="D247" i="1" l="1"/>
  <c r="D20" i="1"/>
  <c r="L1" i="1" l="1"/>
  <c r="H3" i="17" l="1"/>
  <c r="H5" i="17" s="1"/>
  <c r="H2" i="17"/>
  <c r="F3" i="17"/>
  <c r="F2" i="17"/>
  <c r="CE25" i="8" l="1"/>
  <c r="CE24" i="8"/>
  <c r="CE23" i="8"/>
  <c r="CE22" i="8"/>
  <c r="CE21" i="8"/>
  <c r="CE20" i="8"/>
  <c r="CE19" i="8"/>
  <c r="CE18" i="8"/>
  <c r="CE17" i="8"/>
  <c r="CE16" i="8"/>
  <c r="CE15" i="8"/>
  <c r="CE14" i="8"/>
  <c r="CE13" i="8"/>
  <c r="CE12" i="8"/>
  <c r="CE11" i="8"/>
  <c r="CE10" i="8"/>
  <c r="CE9" i="8"/>
  <c r="CE8" i="8"/>
  <c r="CE7" i="8"/>
  <c r="CE6" i="8"/>
  <c r="CE5" i="8"/>
  <c r="CE4" i="8"/>
  <c r="CE3" i="8"/>
  <c r="CE2" i="8"/>
  <c r="N1144" i="1" l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531" i="1"/>
  <c r="N530" i="1"/>
  <c r="N529" i="1"/>
  <c r="N528" i="1"/>
  <c r="N539" i="1"/>
  <c r="N538" i="1"/>
  <c r="N537" i="1"/>
  <c r="N536" i="1"/>
  <c r="N535" i="1"/>
  <c r="N534" i="1"/>
  <c r="N533" i="1"/>
  <c r="N532" i="1"/>
  <c r="N527" i="1"/>
  <c r="N1152" i="1"/>
  <c r="N1151" i="1"/>
  <c r="N1150" i="1"/>
  <c r="N1149" i="1"/>
  <c r="N1148" i="1"/>
  <c r="N1147" i="1"/>
  <c r="N1146" i="1"/>
  <c r="N1145" i="1"/>
  <c r="AN1" i="1"/>
  <c r="AM1" i="1"/>
  <c r="AL1" i="1"/>
  <c r="AK1" i="1"/>
  <c r="AO1216" i="1"/>
  <c r="AN1216" i="1"/>
  <c r="AM1216" i="1"/>
  <c r="AL1216" i="1"/>
  <c r="AK1216" i="1"/>
  <c r="AJ1216" i="1"/>
  <c r="AO1215" i="1"/>
  <c r="AN1215" i="1"/>
  <c r="AM1215" i="1"/>
  <c r="AL1215" i="1"/>
  <c r="AK1215" i="1"/>
  <c r="AJ1215" i="1"/>
  <c r="AO1214" i="1"/>
  <c r="AN1214" i="1"/>
  <c r="AM1214" i="1"/>
  <c r="AL1214" i="1"/>
  <c r="AK1214" i="1"/>
  <c r="AJ1214" i="1"/>
  <c r="AO1213" i="1"/>
  <c r="AN1213" i="1"/>
  <c r="AM1213" i="1"/>
  <c r="AL1213" i="1"/>
  <c r="AK1213" i="1"/>
  <c r="AJ1213" i="1"/>
  <c r="AO1212" i="1"/>
  <c r="AN1212" i="1"/>
  <c r="AM1212" i="1"/>
  <c r="AL1212" i="1"/>
  <c r="AK1212" i="1"/>
  <c r="AJ1212" i="1"/>
  <c r="AO1211" i="1"/>
  <c r="AN1211" i="1"/>
  <c r="AM1211" i="1"/>
  <c r="AL1211" i="1"/>
  <c r="AK1211" i="1"/>
  <c r="AJ1211" i="1"/>
  <c r="AO1210" i="1"/>
  <c r="AN1210" i="1"/>
  <c r="AM1210" i="1"/>
  <c r="AL1210" i="1"/>
  <c r="AK1210" i="1"/>
  <c r="AJ1210" i="1"/>
  <c r="AO1209" i="1"/>
  <c r="AN1209" i="1"/>
  <c r="AM1209" i="1"/>
  <c r="AL1209" i="1"/>
  <c r="AK1209" i="1"/>
  <c r="AJ1209" i="1"/>
  <c r="AO1208" i="1"/>
  <c r="AN1208" i="1"/>
  <c r="AM1208" i="1"/>
  <c r="AL1208" i="1"/>
  <c r="AK1208" i="1"/>
  <c r="AJ1208" i="1"/>
  <c r="AO1207" i="1"/>
  <c r="AN1207" i="1"/>
  <c r="AM1207" i="1"/>
  <c r="AL1207" i="1"/>
  <c r="AK1207" i="1"/>
  <c r="AJ1207" i="1"/>
  <c r="AO1206" i="1"/>
  <c r="AN1206" i="1"/>
  <c r="AM1206" i="1"/>
  <c r="AL1206" i="1"/>
  <c r="AK1206" i="1"/>
  <c r="AJ1206" i="1"/>
  <c r="AO1205" i="1"/>
  <c r="AN1205" i="1"/>
  <c r="AM1205" i="1"/>
  <c r="AL1205" i="1"/>
  <c r="AK1205" i="1"/>
  <c r="AJ1205" i="1"/>
  <c r="AO1204" i="1"/>
  <c r="AN1204" i="1"/>
  <c r="AM1204" i="1"/>
  <c r="AL1204" i="1"/>
  <c r="AK1204" i="1"/>
  <c r="AJ1204" i="1"/>
  <c r="AO1203" i="1"/>
  <c r="AN1203" i="1"/>
  <c r="AM1203" i="1"/>
  <c r="AL1203" i="1"/>
  <c r="AK1203" i="1"/>
  <c r="AJ1203" i="1"/>
  <c r="AO1202" i="1"/>
  <c r="AN1202" i="1"/>
  <c r="AM1202" i="1"/>
  <c r="AL1202" i="1"/>
  <c r="AK1202" i="1"/>
  <c r="AJ1202" i="1"/>
  <c r="AO1201" i="1"/>
  <c r="AN1201" i="1"/>
  <c r="AM1201" i="1"/>
  <c r="AL1201" i="1"/>
  <c r="AK1201" i="1"/>
  <c r="AJ1201" i="1"/>
  <c r="AO1200" i="1"/>
  <c r="AN1200" i="1"/>
  <c r="AM1200" i="1"/>
  <c r="AL1200" i="1"/>
  <c r="AK1200" i="1"/>
  <c r="AJ1200" i="1"/>
  <c r="AO1199" i="1"/>
  <c r="AN1199" i="1"/>
  <c r="AM1199" i="1"/>
  <c r="AL1199" i="1"/>
  <c r="AK1199" i="1"/>
  <c r="AJ1199" i="1"/>
  <c r="AO1198" i="1"/>
  <c r="AN1198" i="1"/>
  <c r="AM1198" i="1"/>
  <c r="AL1198" i="1"/>
  <c r="AK1198" i="1"/>
  <c r="AJ1198" i="1"/>
  <c r="AO1197" i="1"/>
  <c r="AN1197" i="1"/>
  <c r="AM1197" i="1"/>
  <c r="AL1197" i="1"/>
  <c r="AK1197" i="1"/>
  <c r="AJ1197" i="1"/>
  <c r="AO1196" i="1"/>
  <c r="AN1196" i="1"/>
  <c r="AM1196" i="1"/>
  <c r="AL1196" i="1"/>
  <c r="AK1196" i="1"/>
  <c r="AJ1196" i="1"/>
  <c r="AO1195" i="1"/>
  <c r="AN1195" i="1"/>
  <c r="AM1195" i="1"/>
  <c r="AL1195" i="1"/>
  <c r="AK1195" i="1"/>
  <c r="AJ1195" i="1"/>
  <c r="AO1194" i="1"/>
  <c r="AN1194" i="1"/>
  <c r="AM1194" i="1"/>
  <c r="AL1194" i="1"/>
  <c r="AK1194" i="1"/>
  <c r="AJ1194" i="1"/>
  <c r="AO1193" i="1"/>
  <c r="AN1193" i="1"/>
  <c r="AM1193" i="1"/>
  <c r="AL1193" i="1"/>
  <c r="AK1193" i="1"/>
  <c r="AJ1193" i="1"/>
  <c r="AO1192" i="1"/>
  <c r="AN1192" i="1"/>
  <c r="AM1192" i="1"/>
  <c r="AL1192" i="1"/>
  <c r="AK1192" i="1"/>
  <c r="AJ1192" i="1"/>
  <c r="AO1191" i="1"/>
  <c r="AN1191" i="1"/>
  <c r="AM1191" i="1"/>
  <c r="AL1191" i="1"/>
  <c r="AK1191" i="1"/>
  <c r="AJ1191" i="1"/>
  <c r="AO1190" i="1"/>
  <c r="AN1190" i="1"/>
  <c r="AM1190" i="1"/>
  <c r="AL1190" i="1"/>
  <c r="AK1190" i="1"/>
  <c r="AJ1190" i="1"/>
  <c r="AO1189" i="1"/>
  <c r="AN1189" i="1"/>
  <c r="AM1189" i="1"/>
  <c r="AL1189" i="1"/>
  <c r="AK1189" i="1"/>
  <c r="AJ1189" i="1"/>
  <c r="AO1188" i="1"/>
  <c r="AN1188" i="1"/>
  <c r="AM1188" i="1"/>
  <c r="AL1188" i="1"/>
  <c r="AK1188" i="1"/>
  <c r="AJ1188" i="1"/>
  <c r="AO1187" i="1"/>
  <c r="AN1187" i="1"/>
  <c r="AM1187" i="1"/>
  <c r="AL1187" i="1"/>
  <c r="AK1187" i="1"/>
  <c r="AJ1187" i="1"/>
  <c r="AO1186" i="1"/>
  <c r="AN1186" i="1"/>
  <c r="AM1186" i="1"/>
  <c r="AL1186" i="1"/>
  <c r="AK1186" i="1"/>
  <c r="AJ1186" i="1"/>
  <c r="AO1185" i="1"/>
  <c r="AN1185" i="1"/>
  <c r="AM1185" i="1"/>
  <c r="AL1185" i="1"/>
  <c r="AK1185" i="1"/>
  <c r="AJ1185" i="1"/>
  <c r="AO1184" i="1"/>
  <c r="AN1184" i="1"/>
  <c r="AM1184" i="1"/>
  <c r="AL1184" i="1"/>
  <c r="AK1184" i="1"/>
  <c r="AJ1184" i="1"/>
  <c r="AO1183" i="1"/>
  <c r="AN1183" i="1"/>
  <c r="AM1183" i="1"/>
  <c r="AL1183" i="1"/>
  <c r="AK1183" i="1"/>
  <c r="AJ1183" i="1"/>
  <c r="AO1182" i="1"/>
  <c r="AN1182" i="1"/>
  <c r="AM1182" i="1"/>
  <c r="AL1182" i="1"/>
  <c r="AK1182" i="1"/>
  <c r="AJ1182" i="1"/>
  <c r="AO1181" i="1"/>
  <c r="AN1181" i="1"/>
  <c r="AM1181" i="1"/>
  <c r="AL1181" i="1"/>
  <c r="AK1181" i="1"/>
  <c r="AJ1181" i="1"/>
  <c r="AO1180" i="1"/>
  <c r="AN1180" i="1"/>
  <c r="AM1180" i="1"/>
  <c r="AL1180" i="1"/>
  <c r="AK1180" i="1"/>
  <c r="AJ1180" i="1"/>
  <c r="AO1179" i="1"/>
  <c r="AN1179" i="1"/>
  <c r="AM1179" i="1"/>
  <c r="AL1179" i="1"/>
  <c r="AK1179" i="1"/>
  <c r="AJ1179" i="1"/>
  <c r="AO1178" i="1"/>
  <c r="AN1178" i="1"/>
  <c r="AM1178" i="1"/>
  <c r="AL1178" i="1"/>
  <c r="AK1178" i="1"/>
  <c r="AJ1178" i="1"/>
  <c r="AO1177" i="1"/>
  <c r="AN1177" i="1"/>
  <c r="AM1177" i="1"/>
  <c r="AL1177" i="1"/>
  <c r="AK1177" i="1"/>
  <c r="AJ1177" i="1"/>
  <c r="AO1176" i="1"/>
  <c r="AN1176" i="1"/>
  <c r="AM1176" i="1"/>
  <c r="AL1176" i="1"/>
  <c r="AK1176" i="1"/>
  <c r="AJ1176" i="1"/>
  <c r="AO1175" i="1"/>
  <c r="AN1175" i="1"/>
  <c r="AM1175" i="1"/>
  <c r="AL1175" i="1"/>
  <c r="AK1175" i="1"/>
  <c r="AJ1175" i="1"/>
  <c r="AO1174" i="1"/>
  <c r="AN1174" i="1"/>
  <c r="AM1174" i="1"/>
  <c r="AL1174" i="1"/>
  <c r="AK1174" i="1"/>
  <c r="AJ1174" i="1"/>
  <c r="AO1173" i="1"/>
  <c r="AN1173" i="1"/>
  <c r="AM1173" i="1"/>
  <c r="AL1173" i="1"/>
  <c r="AK1173" i="1"/>
  <c r="AJ1173" i="1"/>
  <c r="AO1172" i="1"/>
  <c r="AN1172" i="1"/>
  <c r="AM1172" i="1"/>
  <c r="AL1172" i="1"/>
  <c r="AK1172" i="1"/>
  <c r="AJ1172" i="1"/>
  <c r="AO1171" i="1"/>
  <c r="AN1171" i="1"/>
  <c r="AM1171" i="1"/>
  <c r="AL1171" i="1"/>
  <c r="AK1171" i="1"/>
  <c r="AJ1171" i="1"/>
  <c r="AO1170" i="1"/>
  <c r="AN1170" i="1"/>
  <c r="AM1170" i="1"/>
  <c r="AL1170" i="1"/>
  <c r="AK1170" i="1"/>
  <c r="AJ1170" i="1"/>
  <c r="AO1169" i="1"/>
  <c r="AN1169" i="1"/>
  <c r="AM1169" i="1"/>
  <c r="AL1169" i="1"/>
  <c r="AK1169" i="1"/>
  <c r="AJ1169" i="1"/>
  <c r="AO1168" i="1"/>
  <c r="AN1168" i="1"/>
  <c r="AM1168" i="1"/>
  <c r="AL1168" i="1"/>
  <c r="AK1168" i="1"/>
  <c r="AJ1168" i="1"/>
  <c r="AO1167" i="1"/>
  <c r="AN1167" i="1"/>
  <c r="AM1167" i="1"/>
  <c r="AL1167" i="1"/>
  <c r="AK1167" i="1"/>
  <c r="AJ1167" i="1"/>
  <c r="AO1166" i="1"/>
  <c r="AN1166" i="1"/>
  <c r="AM1166" i="1"/>
  <c r="AL1166" i="1"/>
  <c r="AK1166" i="1"/>
  <c r="AJ1166" i="1"/>
  <c r="AO1165" i="1"/>
  <c r="AN1165" i="1"/>
  <c r="AM1165" i="1"/>
  <c r="AL1165" i="1"/>
  <c r="AK1165" i="1"/>
  <c r="AJ1165" i="1"/>
  <c r="AO1164" i="1"/>
  <c r="AN1164" i="1"/>
  <c r="AM1164" i="1"/>
  <c r="AL1164" i="1"/>
  <c r="AK1164" i="1"/>
  <c r="AJ1164" i="1"/>
  <c r="AO1163" i="1"/>
  <c r="AN1163" i="1"/>
  <c r="AM1163" i="1"/>
  <c r="AL1163" i="1"/>
  <c r="AK1163" i="1"/>
  <c r="AJ1163" i="1"/>
  <c r="AO1162" i="1"/>
  <c r="AN1162" i="1"/>
  <c r="AM1162" i="1"/>
  <c r="AL1162" i="1"/>
  <c r="AK1162" i="1"/>
  <c r="AJ1162" i="1"/>
  <c r="AO1161" i="1"/>
  <c r="AN1161" i="1"/>
  <c r="AM1161" i="1"/>
  <c r="AL1161" i="1"/>
  <c r="AK1161" i="1"/>
  <c r="AJ1161" i="1"/>
  <c r="AO1160" i="1"/>
  <c r="AN1160" i="1"/>
  <c r="AM1160" i="1"/>
  <c r="AL1160" i="1"/>
  <c r="AK1160" i="1"/>
  <c r="AJ1160" i="1"/>
  <c r="AO1159" i="1"/>
  <c r="AN1159" i="1"/>
  <c r="AM1159" i="1"/>
  <c r="AL1159" i="1"/>
  <c r="AK1159" i="1"/>
  <c r="AJ1159" i="1"/>
  <c r="AO1158" i="1"/>
  <c r="AN1158" i="1"/>
  <c r="AM1158" i="1"/>
  <c r="AL1158" i="1"/>
  <c r="AK1158" i="1"/>
  <c r="AJ1158" i="1"/>
  <c r="AO1157" i="1"/>
  <c r="AN1157" i="1"/>
  <c r="AM1157" i="1"/>
  <c r="AL1157" i="1"/>
  <c r="AK1157" i="1"/>
  <c r="AJ1157" i="1"/>
  <c r="AO1156" i="1"/>
  <c r="AN1156" i="1"/>
  <c r="AM1156" i="1"/>
  <c r="AL1156" i="1"/>
  <c r="AK1156" i="1"/>
  <c r="AJ1156" i="1"/>
  <c r="AO1155" i="1"/>
  <c r="AN1155" i="1"/>
  <c r="AM1155" i="1"/>
  <c r="AL1155" i="1"/>
  <c r="AK1155" i="1"/>
  <c r="AJ1155" i="1"/>
  <c r="AO1154" i="1"/>
  <c r="AN1154" i="1"/>
  <c r="AM1154" i="1"/>
  <c r="AL1154" i="1"/>
  <c r="AK1154" i="1"/>
  <c r="AJ1154" i="1"/>
  <c r="AO1153" i="1"/>
  <c r="AN1153" i="1"/>
  <c r="AM1153" i="1"/>
  <c r="AL1153" i="1"/>
  <c r="AK1153" i="1"/>
  <c r="AJ1153" i="1"/>
  <c r="AO1152" i="1"/>
  <c r="AN1152" i="1"/>
  <c r="AM1152" i="1"/>
  <c r="AL1152" i="1"/>
  <c r="AK1152" i="1"/>
  <c r="AJ1152" i="1"/>
  <c r="AO1151" i="1"/>
  <c r="AN1151" i="1"/>
  <c r="AM1151" i="1"/>
  <c r="AL1151" i="1"/>
  <c r="AK1151" i="1"/>
  <c r="AJ1151" i="1"/>
  <c r="AO1150" i="1"/>
  <c r="AN1150" i="1"/>
  <c r="AM1150" i="1"/>
  <c r="AL1150" i="1"/>
  <c r="AK1150" i="1"/>
  <c r="AJ1150" i="1"/>
  <c r="AO1149" i="1"/>
  <c r="AN1149" i="1"/>
  <c r="AM1149" i="1"/>
  <c r="AL1149" i="1"/>
  <c r="AK1149" i="1"/>
  <c r="AJ1149" i="1"/>
  <c r="AO1148" i="1"/>
  <c r="AN1148" i="1"/>
  <c r="AM1148" i="1"/>
  <c r="AL1148" i="1"/>
  <c r="AK1148" i="1"/>
  <c r="AJ1148" i="1"/>
  <c r="AO1147" i="1"/>
  <c r="AN1147" i="1"/>
  <c r="AM1147" i="1"/>
  <c r="AL1147" i="1"/>
  <c r="AK1147" i="1"/>
  <c r="AJ1147" i="1"/>
  <c r="AO1146" i="1"/>
  <c r="AN1146" i="1"/>
  <c r="AM1146" i="1"/>
  <c r="AL1146" i="1"/>
  <c r="AK1146" i="1"/>
  <c r="AJ1146" i="1"/>
  <c r="AO1145" i="1"/>
  <c r="AN1145" i="1"/>
  <c r="AM1145" i="1"/>
  <c r="AL1145" i="1"/>
  <c r="AK1145" i="1"/>
  <c r="AJ1145" i="1"/>
  <c r="AO1144" i="1"/>
  <c r="AN1144" i="1"/>
  <c r="AM1144" i="1"/>
  <c r="AL1144" i="1"/>
  <c r="AK1144" i="1"/>
  <c r="AJ1144" i="1"/>
  <c r="AO1143" i="1"/>
  <c r="AN1143" i="1"/>
  <c r="AM1143" i="1"/>
  <c r="AL1143" i="1"/>
  <c r="AK1143" i="1"/>
  <c r="AJ1143" i="1"/>
  <c r="AO1142" i="1"/>
  <c r="AN1142" i="1"/>
  <c r="AM1142" i="1"/>
  <c r="AL1142" i="1"/>
  <c r="AK1142" i="1"/>
  <c r="AJ1142" i="1"/>
  <c r="AO1141" i="1"/>
  <c r="AN1141" i="1"/>
  <c r="AM1141" i="1"/>
  <c r="AL1141" i="1"/>
  <c r="AK1141" i="1"/>
  <c r="AJ1141" i="1"/>
  <c r="AO1140" i="1"/>
  <c r="AN1140" i="1"/>
  <c r="AM1140" i="1"/>
  <c r="AL1140" i="1"/>
  <c r="AK1140" i="1"/>
  <c r="AJ1140" i="1"/>
  <c r="AO1139" i="1"/>
  <c r="AN1139" i="1"/>
  <c r="AM1139" i="1"/>
  <c r="AL1139" i="1"/>
  <c r="AK1139" i="1"/>
  <c r="AJ1139" i="1"/>
  <c r="AO1138" i="1"/>
  <c r="AN1138" i="1"/>
  <c r="AM1138" i="1"/>
  <c r="AL1138" i="1"/>
  <c r="AK1138" i="1"/>
  <c r="AJ1138" i="1"/>
  <c r="AO1137" i="1"/>
  <c r="AN1137" i="1"/>
  <c r="AM1137" i="1"/>
  <c r="AL1137" i="1"/>
  <c r="AK1137" i="1"/>
  <c r="AJ1137" i="1"/>
  <c r="AO1136" i="1"/>
  <c r="AN1136" i="1"/>
  <c r="AM1136" i="1"/>
  <c r="AL1136" i="1"/>
  <c r="AK1136" i="1"/>
  <c r="AJ1136" i="1"/>
  <c r="AO1135" i="1"/>
  <c r="AN1135" i="1"/>
  <c r="AM1135" i="1"/>
  <c r="AL1135" i="1"/>
  <c r="AK1135" i="1"/>
  <c r="AJ1135" i="1"/>
  <c r="AO1134" i="1"/>
  <c r="AN1134" i="1"/>
  <c r="AM1134" i="1"/>
  <c r="AL1134" i="1"/>
  <c r="AK1134" i="1"/>
  <c r="AJ1134" i="1"/>
  <c r="AO1133" i="1"/>
  <c r="AN1133" i="1"/>
  <c r="AM1133" i="1"/>
  <c r="AL1133" i="1"/>
  <c r="AK1133" i="1"/>
  <c r="AJ1133" i="1"/>
  <c r="AO1132" i="1"/>
  <c r="AN1132" i="1"/>
  <c r="AM1132" i="1"/>
  <c r="AL1132" i="1"/>
  <c r="AK1132" i="1"/>
  <c r="AJ1132" i="1"/>
  <c r="AO1131" i="1"/>
  <c r="AN1131" i="1"/>
  <c r="AM1131" i="1"/>
  <c r="AL1131" i="1"/>
  <c r="AK1131" i="1"/>
  <c r="AJ1131" i="1"/>
  <c r="AO1130" i="1"/>
  <c r="AN1130" i="1"/>
  <c r="AM1130" i="1"/>
  <c r="AL1130" i="1"/>
  <c r="AK1130" i="1"/>
  <c r="AJ1130" i="1"/>
  <c r="AO1129" i="1"/>
  <c r="AN1129" i="1"/>
  <c r="AM1129" i="1"/>
  <c r="AL1129" i="1"/>
  <c r="AK1129" i="1"/>
  <c r="AJ1129" i="1"/>
  <c r="AO1128" i="1"/>
  <c r="AN1128" i="1"/>
  <c r="AM1128" i="1"/>
  <c r="AL1128" i="1"/>
  <c r="AK1128" i="1"/>
  <c r="AJ1128" i="1"/>
  <c r="AO1127" i="1"/>
  <c r="AN1127" i="1"/>
  <c r="AM1127" i="1"/>
  <c r="AL1127" i="1"/>
  <c r="AK1127" i="1"/>
  <c r="AJ1127" i="1"/>
  <c r="AO1126" i="1"/>
  <c r="AN1126" i="1"/>
  <c r="AM1126" i="1"/>
  <c r="AL1126" i="1"/>
  <c r="AK1126" i="1"/>
  <c r="AJ1126" i="1"/>
  <c r="AO1125" i="1"/>
  <c r="AN1125" i="1"/>
  <c r="AM1125" i="1"/>
  <c r="AL1125" i="1"/>
  <c r="AK1125" i="1"/>
  <c r="AJ1125" i="1"/>
  <c r="AO1124" i="1"/>
  <c r="AN1124" i="1"/>
  <c r="AM1124" i="1"/>
  <c r="AL1124" i="1"/>
  <c r="AK1124" i="1"/>
  <c r="AJ1124" i="1"/>
  <c r="AO1123" i="1"/>
  <c r="AN1123" i="1"/>
  <c r="AM1123" i="1"/>
  <c r="AL1123" i="1"/>
  <c r="AK1123" i="1"/>
  <c r="AJ1123" i="1"/>
  <c r="AO1122" i="1"/>
  <c r="AN1122" i="1"/>
  <c r="AM1122" i="1"/>
  <c r="AL1122" i="1"/>
  <c r="AK1122" i="1"/>
  <c r="AJ1122" i="1"/>
  <c r="AO1121" i="1"/>
  <c r="AN1121" i="1"/>
  <c r="AM1121" i="1"/>
  <c r="AL1121" i="1"/>
  <c r="AK1121" i="1"/>
  <c r="AJ1121" i="1"/>
  <c r="AO1120" i="1"/>
  <c r="AN1120" i="1"/>
  <c r="AM1120" i="1"/>
  <c r="AL1120" i="1"/>
  <c r="AK1120" i="1"/>
  <c r="AJ1120" i="1"/>
  <c r="AO1119" i="1"/>
  <c r="AN1119" i="1"/>
  <c r="AM1119" i="1"/>
  <c r="AL1119" i="1"/>
  <c r="AK1119" i="1"/>
  <c r="AJ1119" i="1"/>
  <c r="AO1118" i="1"/>
  <c r="AN1118" i="1"/>
  <c r="AM1118" i="1"/>
  <c r="AL1118" i="1"/>
  <c r="AK1118" i="1"/>
  <c r="AJ1118" i="1"/>
  <c r="AO1117" i="1"/>
  <c r="AN1117" i="1"/>
  <c r="AM1117" i="1"/>
  <c r="AL1117" i="1"/>
  <c r="AK1117" i="1"/>
  <c r="AJ1117" i="1"/>
  <c r="AO1116" i="1"/>
  <c r="AN1116" i="1"/>
  <c r="AM1116" i="1"/>
  <c r="AL1116" i="1"/>
  <c r="AK1116" i="1"/>
  <c r="AJ1116" i="1"/>
  <c r="AO1115" i="1"/>
  <c r="AN1115" i="1"/>
  <c r="AM1115" i="1"/>
  <c r="AL1115" i="1"/>
  <c r="AK1115" i="1"/>
  <c r="AJ1115" i="1"/>
  <c r="AO1114" i="1"/>
  <c r="AN1114" i="1"/>
  <c r="AM1114" i="1"/>
  <c r="AL1114" i="1"/>
  <c r="AK1114" i="1"/>
  <c r="AJ1114" i="1"/>
  <c r="AO1113" i="1"/>
  <c r="AN1113" i="1"/>
  <c r="AM1113" i="1"/>
  <c r="AL1113" i="1"/>
  <c r="AK1113" i="1"/>
  <c r="AJ1113" i="1"/>
  <c r="AO1112" i="1"/>
  <c r="AN1112" i="1"/>
  <c r="AM1112" i="1"/>
  <c r="AL1112" i="1"/>
  <c r="AK1112" i="1"/>
  <c r="AJ1112" i="1"/>
  <c r="AO1111" i="1"/>
  <c r="AN1111" i="1"/>
  <c r="AM1111" i="1"/>
  <c r="AL1111" i="1"/>
  <c r="AK1111" i="1"/>
  <c r="AJ1111" i="1"/>
  <c r="AO1110" i="1"/>
  <c r="AN1110" i="1"/>
  <c r="AM1110" i="1"/>
  <c r="AL1110" i="1"/>
  <c r="AK1110" i="1"/>
  <c r="AJ1110" i="1"/>
  <c r="AO1109" i="1"/>
  <c r="AN1109" i="1"/>
  <c r="AM1109" i="1"/>
  <c r="AL1109" i="1"/>
  <c r="AK1109" i="1"/>
  <c r="AJ1109" i="1"/>
  <c r="AO1108" i="1"/>
  <c r="AN1108" i="1"/>
  <c r="AM1108" i="1"/>
  <c r="AL1108" i="1"/>
  <c r="AK1108" i="1"/>
  <c r="AJ1108" i="1"/>
  <c r="AO1107" i="1"/>
  <c r="AN1107" i="1"/>
  <c r="AM1107" i="1"/>
  <c r="AL1107" i="1"/>
  <c r="AK1107" i="1"/>
  <c r="AJ1107" i="1"/>
  <c r="AO1106" i="1"/>
  <c r="AN1106" i="1"/>
  <c r="AM1106" i="1"/>
  <c r="AL1106" i="1"/>
  <c r="AK1106" i="1"/>
  <c r="AJ1106" i="1"/>
  <c r="AO1105" i="1"/>
  <c r="AN1105" i="1"/>
  <c r="AM1105" i="1"/>
  <c r="AL1105" i="1"/>
  <c r="AK1105" i="1"/>
  <c r="AJ1105" i="1"/>
  <c r="AO1104" i="1"/>
  <c r="AN1104" i="1"/>
  <c r="AM1104" i="1"/>
  <c r="AL1104" i="1"/>
  <c r="AK1104" i="1"/>
  <c r="AJ1104" i="1"/>
  <c r="AO1103" i="1"/>
  <c r="AN1103" i="1"/>
  <c r="AM1103" i="1"/>
  <c r="AL1103" i="1"/>
  <c r="AK1103" i="1"/>
  <c r="AJ1103" i="1"/>
  <c r="AO1102" i="1"/>
  <c r="AN1102" i="1"/>
  <c r="AM1102" i="1"/>
  <c r="AL1102" i="1"/>
  <c r="AK1102" i="1"/>
  <c r="AJ1102" i="1"/>
  <c r="AO1101" i="1"/>
  <c r="AN1101" i="1"/>
  <c r="AM1101" i="1"/>
  <c r="AL1101" i="1"/>
  <c r="AK1101" i="1"/>
  <c r="AJ1101" i="1"/>
  <c r="AO1100" i="1"/>
  <c r="AN1100" i="1"/>
  <c r="AM1100" i="1"/>
  <c r="AL1100" i="1"/>
  <c r="AK1100" i="1"/>
  <c r="AJ1100" i="1"/>
  <c r="AO1099" i="1"/>
  <c r="AN1099" i="1"/>
  <c r="AM1099" i="1"/>
  <c r="AL1099" i="1"/>
  <c r="AK1099" i="1"/>
  <c r="AJ1099" i="1"/>
  <c r="AO1098" i="1"/>
  <c r="AN1098" i="1"/>
  <c r="AM1098" i="1"/>
  <c r="AL1098" i="1"/>
  <c r="AK1098" i="1"/>
  <c r="AJ1098" i="1"/>
  <c r="AO1097" i="1"/>
  <c r="AN1097" i="1"/>
  <c r="AM1097" i="1"/>
  <c r="AL1097" i="1"/>
  <c r="AK1097" i="1"/>
  <c r="AJ1097" i="1"/>
  <c r="AO1096" i="1"/>
  <c r="AN1096" i="1"/>
  <c r="AM1096" i="1"/>
  <c r="AL1096" i="1"/>
  <c r="AK1096" i="1"/>
  <c r="AJ1096" i="1"/>
  <c r="AO1095" i="1"/>
  <c r="AN1095" i="1"/>
  <c r="AM1095" i="1"/>
  <c r="AL1095" i="1"/>
  <c r="AK1095" i="1"/>
  <c r="AJ1095" i="1"/>
  <c r="AO1094" i="1"/>
  <c r="AN1094" i="1"/>
  <c r="AM1094" i="1"/>
  <c r="AL1094" i="1"/>
  <c r="AK1094" i="1"/>
  <c r="AJ1094" i="1"/>
  <c r="AO1093" i="1"/>
  <c r="AN1093" i="1"/>
  <c r="AM1093" i="1"/>
  <c r="AL1093" i="1"/>
  <c r="AK1093" i="1"/>
  <c r="AJ1093" i="1"/>
  <c r="AO1092" i="1"/>
  <c r="AN1092" i="1"/>
  <c r="AM1092" i="1"/>
  <c r="AL1092" i="1"/>
  <c r="AK1092" i="1"/>
  <c r="AJ1092" i="1"/>
  <c r="AO1091" i="1"/>
  <c r="AN1091" i="1"/>
  <c r="AM1091" i="1"/>
  <c r="AL1091" i="1"/>
  <c r="AK1091" i="1"/>
  <c r="AJ1091" i="1"/>
  <c r="AO1090" i="1"/>
  <c r="AN1090" i="1"/>
  <c r="AM1090" i="1"/>
  <c r="AL1090" i="1"/>
  <c r="AK1090" i="1"/>
  <c r="AJ1090" i="1"/>
  <c r="AO1089" i="1"/>
  <c r="AN1089" i="1"/>
  <c r="AM1089" i="1"/>
  <c r="AL1089" i="1"/>
  <c r="AK1089" i="1"/>
  <c r="AJ1089" i="1"/>
  <c r="AO1088" i="1"/>
  <c r="AN1088" i="1"/>
  <c r="AM1088" i="1"/>
  <c r="AL1088" i="1"/>
  <c r="AK1088" i="1"/>
  <c r="AJ1088" i="1"/>
  <c r="AO1087" i="1"/>
  <c r="AN1087" i="1"/>
  <c r="AM1087" i="1"/>
  <c r="AL1087" i="1"/>
  <c r="AK1087" i="1"/>
  <c r="AJ1087" i="1"/>
  <c r="AO1086" i="1"/>
  <c r="AN1086" i="1"/>
  <c r="AM1086" i="1"/>
  <c r="AL1086" i="1"/>
  <c r="AK1086" i="1"/>
  <c r="AJ1086" i="1"/>
  <c r="AO1085" i="1"/>
  <c r="AN1085" i="1"/>
  <c r="AM1085" i="1"/>
  <c r="AL1085" i="1"/>
  <c r="AK1085" i="1"/>
  <c r="AJ1085" i="1"/>
  <c r="AO1084" i="1"/>
  <c r="AN1084" i="1"/>
  <c r="AM1084" i="1"/>
  <c r="AL1084" i="1"/>
  <c r="AK1084" i="1"/>
  <c r="AJ1084" i="1"/>
  <c r="AO1083" i="1"/>
  <c r="AN1083" i="1"/>
  <c r="AM1083" i="1"/>
  <c r="AL1083" i="1"/>
  <c r="AK1083" i="1"/>
  <c r="AJ1083" i="1"/>
  <c r="AO1082" i="1"/>
  <c r="AN1082" i="1"/>
  <c r="AM1082" i="1"/>
  <c r="AL1082" i="1"/>
  <c r="AK1082" i="1"/>
  <c r="AJ1082" i="1"/>
  <c r="AO1081" i="1"/>
  <c r="AN1081" i="1"/>
  <c r="AM1081" i="1"/>
  <c r="AL1081" i="1"/>
  <c r="AK1081" i="1"/>
  <c r="AJ1081" i="1"/>
  <c r="AO1080" i="1"/>
  <c r="AN1080" i="1"/>
  <c r="AM1080" i="1"/>
  <c r="AL1080" i="1"/>
  <c r="AK1080" i="1"/>
  <c r="AJ1080" i="1"/>
  <c r="AO1079" i="1"/>
  <c r="AN1079" i="1"/>
  <c r="AM1079" i="1"/>
  <c r="AL1079" i="1"/>
  <c r="AK1079" i="1"/>
  <c r="AJ1079" i="1"/>
  <c r="AO1078" i="1"/>
  <c r="AN1078" i="1"/>
  <c r="AM1078" i="1"/>
  <c r="AL1078" i="1"/>
  <c r="AK1078" i="1"/>
  <c r="AJ1078" i="1"/>
  <c r="AO1077" i="1"/>
  <c r="AN1077" i="1"/>
  <c r="AM1077" i="1"/>
  <c r="AL1077" i="1"/>
  <c r="AK1077" i="1"/>
  <c r="AJ1077" i="1"/>
  <c r="AO1076" i="1"/>
  <c r="AN1076" i="1"/>
  <c r="AM1076" i="1"/>
  <c r="AL1076" i="1"/>
  <c r="AK1076" i="1"/>
  <c r="AJ1076" i="1"/>
  <c r="AO1075" i="1"/>
  <c r="AN1075" i="1"/>
  <c r="AM1075" i="1"/>
  <c r="AL1075" i="1"/>
  <c r="AK1075" i="1"/>
  <c r="AJ1075" i="1"/>
  <c r="AO1074" i="1"/>
  <c r="AN1074" i="1"/>
  <c r="AM1074" i="1"/>
  <c r="AL1074" i="1"/>
  <c r="AK1074" i="1"/>
  <c r="AJ1074" i="1"/>
  <c r="AO1073" i="1"/>
  <c r="AN1073" i="1"/>
  <c r="AM1073" i="1"/>
  <c r="AL1073" i="1"/>
  <c r="AK1073" i="1"/>
  <c r="AJ1073" i="1"/>
  <c r="AO1072" i="1"/>
  <c r="AN1072" i="1"/>
  <c r="AM1072" i="1"/>
  <c r="AL1072" i="1"/>
  <c r="AK1072" i="1"/>
  <c r="AJ1072" i="1"/>
  <c r="AO1071" i="1"/>
  <c r="AN1071" i="1"/>
  <c r="AM1071" i="1"/>
  <c r="AL1071" i="1"/>
  <c r="AK1071" i="1"/>
  <c r="AJ1071" i="1"/>
  <c r="AO1070" i="1"/>
  <c r="AN1070" i="1"/>
  <c r="AM1070" i="1"/>
  <c r="AL1070" i="1"/>
  <c r="AK1070" i="1"/>
  <c r="AJ1070" i="1"/>
  <c r="AO1069" i="1"/>
  <c r="AN1069" i="1"/>
  <c r="AM1069" i="1"/>
  <c r="AL1069" i="1"/>
  <c r="AK1069" i="1"/>
  <c r="AJ1069" i="1"/>
  <c r="AO1068" i="1"/>
  <c r="AN1068" i="1"/>
  <c r="AM1068" i="1"/>
  <c r="AL1068" i="1"/>
  <c r="AK1068" i="1"/>
  <c r="AJ1068" i="1"/>
  <c r="AO1067" i="1"/>
  <c r="AN1067" i="1"/>
  <c r="AM1067" i="1"/>
  <c r="AL1067" i="1"/>
  <c r="AK1067" i="1"/>
  <c r="AJ1067" i="1"/>
  <c r="AO1066" i="1"/>
  <c r="AN1066" i="1"/>
  <c r="AM1066" i="1"/>
  <c r="AL1066" i="1"/>
  <c r="AK1066" i="1"/>
  <c r="AJ1066" i="1"/>
  <c r="AO1065" i="1"/>
  <c r="AN1065" i="1"/>
  <c r="AM1065" i="1"/>
  <c r="AL1065" i="1"/>
  <c r="AK1065" i="1"/>
  <c r="AJ1065" i="1"/>
  <c r="AO1064" i="1"/>
  <c r="AN1064" i="1"/>
  <c r="AM1064" i="1"/>
  <c r="AL1064" i="1"/>
  <c r="AK1064" i="1"/>
  <c r="AJ1064" i="1"/>
  <c r="AO1063" i="1"/>
  <c r="AN1063" i="1"/>
  <c r="AM1063" i="1"/>
  <c r="AL1063" i="1"/>
  <c r="AK1063" i="1"/>
  <c r="AJ1063" i="1"/>
  <c r="AO1062" i="1"/>
  <c r="AN1062" i="1"/>
  <c r="AM1062" i="1"/>
  <c r="AL1062" i="1"/>
  <c r="AK1062" i="1"/>
  <c r="AJ1062" i="1"/>
  <c r="AO1061" i="1"/>
  <c r="AN1061" i="1"/>
  <c r="AM1061" i="1"/>
  <c r="AL1061" i="1"/>
  <c r="AK1061" i="1"/>
  <c r="AJ1061" i="1"/>
  <c r="AO1060" i="1"/>
  <c r="AN1060" i="1"/>
  <c r="AM1060" i="1"/>
  <c r="AL1060" i="1"/>
  <c r="AK1060" i="1"/>
  <c r="AJ1060" i="1"/>
  <c r="AO1059" i="1"/>
  <c r="AN1059" i="1"/>
  <c r="AM1059" i="1"/>
  <c r="AL1059" i="1"/>
  <c r="AK1059" i="1"/>
  <c r="AJ1059" i="1"/>
  <c r="AO1058" i="1"/>
  <c r="AN1058" i="1"/>
  <c r="AM1058" i="1"/>
  <c r="AL1058" i="1"/>
  <c r="AK1058" i="1"/>
  <c r="AJ1058" i="1"/>
  <c r="AO1057" i="1"/>
  <c r="AN1057" i="1"/>
  <c r="AM1057" i="1"/>
  <c r="AL1057" i="1"/>
  <c r="AK1057" i="1"/>
  <c r="AJ1057" i="1"/>
  <c r="AO1056" i="1"/>
  <c r="AN1056" i="1"/>
  <c r="AM1056" i="1"/>
  <c r="AL1056" i="1"/>
  <c r="AK1056" i="1"/>
  <c r="AJ1056" i="1"/>
  <c r="AO1055" i="1"/>
  <c r="AN1055" i="1"/>
  <c r="AM1055" i="1"/>
  <c r="AL1055" i="1"/>
  <c r="AK1055" i="1"/>
  <c r="AJ1055" i="1"/>
  <c r="AO1054" i="1"/>
  <c r="AN1054" i="1"/>
  <c r="AM1054" i="1"/>
  <c r="AL1054" i="1"/>
  <c r="AK1054" i="1"/>
  <c r="AJ1054" i="1"/>
  <c r="AO1053" i="1"/>
  <c r="AN1053" i="1"/>
  <c r="AM1053" i="1"/>
  <c r="AL1053" i="1"/>
  <c r="AK1053" i="1"/>
  <c r="AJ1053" i="1"/>
  <c r="AO1052" i="1"/>
  <c r="AN1052" i="1"/>
  <c r="AM1052" i="1"/>
  <c r="AL1052" i="1"/>
  <c r="AK1052" i="1"/>
  <c r="AJ1052" i="1"/>
  <c r="AO1051" i="1"/>
  <c r="AN1051" i="1"/>
  <c r="AM1051" i="1"/>
  <c r="AL1051" i="1"/>
  <c r="AK1051" i="1"/>
  <c r="AJ1051" i="1"/>
  <c r="AO1050" i="1"/>
  <c r="AN1050" i="1"/>
  <c r="AM1050" i="1"/>
  <c r="AL1050" i="1"/>
  <c r="AK1050" i="1"/>
  <c r="AJ1050" i="1"/>
  <c r="AO1049" i="1"/>
  <c r="AN1049" i="1"/>
  <c r="AM1049" i="1"/>
  <c r="AL1049" i="1"/>
  <c r="AK1049" i="1"/>
  <c r="AJ1049" i="1"/>
  <c r="AO1048" i="1"/>
  <c r="AN1048" i="1"/>
  <c r="AM1048" i="1"/>
  <c r="AL1048" i="1"/>
  <c r="AK1048" i="1"/>
  <c r="AJ1048" i="1"/>
  <c r="AO1047" i="1"/>
  <c r="AN1047" i="1"/>
  <c r="AM1047" i="1"/>
  <c r="AL1047" i="1"/>
  <c r="AK1047" i="1"/>
  <c r="AJ1047" i="1"/>
  <c r="AO1046" i="1"/>
  <c r="AN1046" i="1"/>
  <c r="AM1046" i="1"/>
  <c r="AL1046" i="1"/>
  <c r="AK1046" i="1"/>
  <c r="AJ1046" i="1"/>
  <c r="AO1045" i="1"/>
  <c r="AN1045" i="1"/>
  <c r="AM1045" i="1"/>
  <c r="AL1045" i="1"/>
  <c r="AK1045" i="1"/>
  <c r="AJ1045" i="1"/>
  <c r="AO1044" i="1"/>
  <c r="AN1044" i="1"/>
  <c r="AM1044" i="1"/>
  <c r="AL1044" i="1"/>
  <c r="AK1044" i="1"/>
  <c r="AJ1044" i="1"/>
  <c r="AO1043" i="1"/>
  <c r="AN1043" i="1"/>
  <c r="AM1043" i="1"/>
  <c r="AL1043" i="1"/>
  <c r="AK1043" i="1"/>
  <c r="AJ1043" i="1"/>
  <c r="AO1042" i="1"/>
  <c r="AN1042" i="1"/>
  <c r="AM1042" i="1"/>
  <c r="AL1042" i="1"/>
  <c r="AK1042" i="1"/>
  <c r="AJ1042" i="1"/>
  <c r="AO1041" i="1"/>
  <c r="AN1041" i="1"/>
  <c r="AM1041" i="1"/>
  <c r="AL1041" i="1"/>
  <c r="AK1041" i="1"/>
  <c r="AJ1041" i="1"/>
  <c r="AO1040" i="1"/>
  <c r="AN1040" i="1"/>
  <c r="AM1040" i="1"/>
  <c r="AL1040" i="1"/>
  <c r="AK1040" i="1"/>
  <c r="AJ1040" i="1"/>
  <c r="AO1039" i="1"/>
  <c r="AN1039" i="1"/>
  <c r="AM1039" i="1"/>
  <c r="AL1039" i="1"/>
  <c r="AK1039" i="1"/>
  <c r="AJ1039" i="1"/>
  <c r="AO1038" i="1"/>
  <c r="AN1038" i="1"/>
  <c r="AM1038" i="1"/>
  <c r="AL1038" i="1"/>
  <c r="AK1038" i="1"/>
  <c r="AJ1038" i="1"/>
  <c r="AO1037" i="1"/>
  <c r="AN1037" i="1"/>
  <c r="AM1037" i="1"/>
  <c r="AL1037" i="1"/>
  <c r="AK1037" i="1"/>
  <c r="AJ1037" i="1"/>
  <c r="AO1036" i="1"/>
  <c r="AN1036" i="1"/>
  <c r="AM1036" i="1"/>
  <c r="AL1036" i="1"/>
  <c r="AK1036" i="1"/>
  <c r="AJ1036" i="1"/>
  <c r="AO1035" i="1"/>
  <c r="AN1035" i="1"/>
  <c r="AM1035" i="1"/>
  <c r="AL1035" i="1"/>
  <c r="AK1035" i="1"/>
  <c r="AJ1035" i="1"/>
  <c r="AO1034" i="1"/>
  <c r="AN1034" i="1"/>
  <c r="AM1034" i="1"/>
  <c r="AL1034" i="1"/>
  <c r="AK1034" i="1"/>
  <c r="AJ1034" i="1"/>
  <c r="AO1033" i="1"/>
  <c r="AN1033" i="1"/>
  <c r="AM1033" i="1"/>
  <c r="AL1033" i="1"/>
  <c r="AK1033" i="1"/>
  <c r="AJ1033" i="1"/>
  <c r="AO1032" i="1"/>
  <c r="AN1032" i="1"/>
  <c r="AM1032" i="1"/>
  <c r="AL1032" i="1"/>
  <c r="AK1032" i="1"/>
  <c r="AJ1032" i="1"/>
  <c r="AO1031" i="1"/>
  <c r="AN1031" i="1"/>
  <c r="AM1031" i="1"/>
  <c r="AL1031" i="1"/>
  <c r="AK1031" i="1"/>
  <c r="AJ1031" i="1"/>
  <c r="AO1030" i="1"/>
  <c r="AN1030" i="1"/>
  <c r="AM1030" i="1"/>
  <c r="AL1030" i="1"/>
  <c r="AK1030" i="1"/>
  <c r="AJ1030" i="1"/>
  <c r="AO1029" i="1"/>
  <c r="AN1029" i="1"/>
  <c r="AM1029" i="1"/>
  <c r="AL1029" i="1"/>
  <c r="AK1029" i="1"/>
  <c r="AJ1029" i="1"/>
  <c r="AO1028" i="1"/>
  <c r="AN1028" i="1"/>
  <c r="AM1028" i="1"/>
  <c r="AL1028" i="1"/>
  <c r="AK1028" i="1"/>
  <c r="AJ1028" i="1"/>
  <c r="AO1027" i="1"/>
  <c r="AN1027" i="1"/>
  <c r="AM1027" i="1"/>
  <c r="AL1027" i="1"/>
  <c r="AK1027" i="1"/>
  <c r="AJ1027" i="1"/>
  <c r="AO1026" i="1"/>
  <c r="AN1026" i="1"/>
  <c r="AM1026" i="1"/>
  <c r="AL1026" i="1"/>
  <c r="AK1026" i="1"/>
  <c r="AJ1026" i="1"/>
  <c r="AO1025" i="1"/>
  <c r="AN1025" i="1"/>
  <c r="AM1025" i="1"/>
  <c r="AL1025" i="1"/>
  <c r="AK1025" i="1"/>
  <c r="AJ1025" i="1"/>
  <c r="AO1024" i="1"/>
  <c r="AN1024" i="1"/>
  <c r="AM1024" i="1"/>
  <c r="AL1024" i="1"/>
  <c r="AK1024" i="1"/>
  <c r="AJ1024" i="1"/>
  <c r="AO1023" i="1"/>
  <c r="AN1023" i="1"/>
  <c r="AM1023" i="1"/>
  <c r="AL1023" i="1"/>
  <c r="AK1023" i="1"/>
  <c r="AJ1023" i="1"/>
  <c r="AO1022" i="1"/>
  <c r="AN1022" i="1"/>
  <c r="AM1022" i="1"/>
  <c r="AL1022" i="1"/>
  <c r="AK1022" i="1"/>
  <c r="AJ1022" i="1"/>
  <c r="AO1021" i="1"/>
  <c r="AN1021" i="1"/>
  <c r="AM1021" i="1"/>
  <c r="AL1021" i="1"/>
  <c r="AK1021" i="1"/>
  <c r="AJ1021" i="1"/>
  <c r="AO1020" i="1"/>
  <c r="AN1020" i="1"/>
  <c r="AM1020" i="1"/>
  <c r="AL1020" i="1"/>
  <c r="AK1020" i="1"/>
  <c r="AJ1020" i="1"/>
  <c r="AO1019" i="1"/>
  <c r="AN1019" i="1"/>
  <c r="AM1019" i="1"/>
  <c r="AL1019" i="1"/>
  <c r="AK1019" i="1"/>
  <c r="AJ1019" i="1"/>
  <c r="AO1018" i="1"/>
  <c r="AN1018" i="1"/>
  <c r="AM1018" i="1"/>
  <c r="AL1018" i="1"/>
  <c r="AK1018" i="1"/>
  <c r="AJ1018" i="1"/>
  <c r="AO1017" i="1"/>
  <c r="AN1017" i="1"/>
  <c r="AM1017" i="1"/>
  <c r="AL1017" i="1"/>
  <c r="AK1017" i="1"/>
  <c r="AJ1017" i="1"/>
  <c r="AO1016" i="1"/>
  <c r="AN1016" i="1"/>
  <c r="AM1016" i="1"/>
  <c r="AL1016" i="1"/>
  <c r="AK1016" i="1"/>
  <c r="AJ1016" i="1"/>
  <c r="AO1015" i="1"/>
  <c r="AN1015" i="1"/>
  <c r="AM1015" i="1"/>
  <c r="AL1015" i="1"/>
  <c r="AK1015" i="1"/>
  <c r="AJ1015" i="1"/>
  <c r="AO1014" i="1"/>
  <c r="AN1014" i="1"/>
  <c r="AM1014" i="1"/>
  <c r="AL1014" i="1"/>
  <c r="AK1014" i="1"/>
  <c r="AJ1014" i="1"/>
  <c r="AO1013" i="1"/>
  <c r="AN1013" i="1"/>
  <c r="AM1013" i="1"/>
  <c r="AL1013" i="1"/>
  <c r="AK1013" i="1"/>
  <c r="AJ1013" i="1"/>
  <c r="AO1012" i="1"/>
  <c r="AN1012" i="1"/>
  <c r="AM1012" i="1"/>
  <c r="AL1012" i="1"/>
  <c r="AK1012" i="1"/>
  <c r="AJ1012" i="1"/>
  <c r="AO1011" i="1"/>
  <c r="AN1011" i="1"/>
  <c r="AM1011" i="1"/>
  <c r="AL1011" i="1"/>
  <c r="AK1011" i="1"/>
  <c r="AJ1011" i="1"/>
  <c r="AO1010" i="1"/>
  <c r="AN1010" i="1"/>
  <c r="AM1010" i="1"/>
  <c r="AL1010" i="1"/>
  <c r="AK1010" i="1"/>
  <c r="AJ1010" i="1"/>
  <c r="AO1009" i="1"/>
  <c r="AN1009" i="1"/>
  <c r="AM1009" i="1"/>
  <c r="AL1009" i="1"/>
  <c r="AK1009" i="1"/>
  <c r="AJ1009" i="1"/>
  <c r="AO1008" i="1"/>
  <c r="AN1008" i="1"/>
  <c r="AM1008" i="1"/>
  <c r="AL1008" i="1"/>
  <c r="AK1008" i="1"/>
  <c r="AJ1008" i="1"/>
  <c r="AO1007" i="1"/>
  <c r="AN1007" i="1"/>
  <c r="AM1007" i="1"/>
  <c r="AL1007" i="1"/>
  <c r="AK1007" i="1"/>
  <c r="AJ1007" i="1"/>
  <c r="AO1006" i="1"/>
  <c r="AN1006" i="1"/>
  <c r="AM1006" i="1"/>
  <c r="AL1006" i="1"/>
  <c r="AK1006" i="1"/>
  <c r="AJ1006" i="1"/>
  <c r="AO1005" i="1"/>
  <c r="AN1005" i="1"/>
  <c r="AM1005" i="1"/>
  <c r="AL1005" i="1"/>
  <c r="AK1005" i="1"/>
  <c r="AJ1005" i="1"/>
  <c r="AO1004" i="1"/>
  <c r="AN1004" i="1"/>
  <c r="AM1004" i="1"/>
  <c r="AL1004" i="1"/>
  <c r="AK1004" i="1"/>
  <c r="AJ1004" i="1"/>
  <c r="AO1003" i="1"/>
  <c r="AN1003" i="1"/>
  <c r="AM1003" i="1"/>
  <c r="AL1003" i="1"/>
  <c r="AK1003" i="1"/>
  <c r="AJ1003" i="1"/>
  <c r="AO1002" i="1"/>
  <c r="AN1002" i="1"/>
  <c r="AM1002" i="1"/>
  <c r="AL1002" i="1"/>
  <c r="AK1002" i="1"/>
  <c r="AJ1002" i="1"/>
  <c r="AO1001" i="1"/>
  <c r="AN1001" i="1"/>
  <c r="AM1001" i="1"/>
  <c r="AL1001" i="1"/>
  <c r="AK1001" i="1"/>
  <c r="AJ1001" i="1"/>
  <c r="AO1000" i="1"/>
  <c r="AN1000" i="1"/>
  <c r="AM1000" i="1"/>
  <c r="AL1000" i="1"/>
  <c r="AK1000" i="1"/>
  <c r="AJ1000" i="1"/>
  <c r="AO999" i="1"/>
  <c r="AN999" i="1"/>
  <c r="AM999" i="1"/>
  <c r="AL999" i="1"/>
  <c r="AK999" i="1"/>
  <c r="AJ999" i="1"/>
  <c r="AO998" i="1"/>
  <c r="AN998" i="1"/>
  <c r="AM998" i="1"/>
  <c r="AL998" i="1"/>
  <c r="AK998" i="1"/>
  <c r="AJ998" i="1"/>
  <c r="AO997" i="1"/>
  <c r="AN997" i="1"/>
  <c r="AM997" i="1"/>
  <c r="AL997" i="1"/>
  <c r="AK997" i="1"/>
  <c r="AJ997" i="1"/>
  <c r="AO996" i="1"/>
  <c r="AN996" i="1"/>
  <c r="AM996" i="1"/>
  <c r="AL996" i="1"/>
  <c r="AK996" i="1"/>
  <c r="AJ996" i="1"/>
  <c r="AO995" i="1"/>
  <c r="AN995" i="1"/>
  <c r="AM995" i="1"/>
  <c r="AL995" i="1"/>
  <c r="AK995" i="1"/>
  <c r="AJ995" i="1"/>
  <c r="AO994" i="1"/>
  <c r="AN994" i="1"/>
  <c r="AM994" i="1"/>
  <c r="AL994" i="1"/>
  <c r="AK994" i="1"/>
  <c r="AJ994" i="1"/>
  <c r="AO993" i="1"/>
  <c r="AN993" i="1"/>
  <c r="AM993" i="1"/>
  <c r="AL993" i="1"/>
  <c r="AK993" i="1"/>
  <c r="AJ993" i="1"/>
  <c r="AO992" i="1"/>
  <c r="AN992" i="1"/>
  <c r="AM992" i="1"/>
  <c r="AL992" i="1"/>
  <c r="AK992" i="1"/>
  <c r="AJ992" i="1"/>
  <c r="AO991" i="1"/>
  <c r="AN991" i="1"/>
  <c r="AM991" i="1"/>
  <c r="AL991" i="1"/>
  <c r="AK991" i="1"/>
  <c r="AJ991" i="1"/>
  <c r="AO990" i="1"/>
  <c r="AN990" i="1"/>
  <c r="AM990" i="1"/>
  <c r="AL990" i="1"/>
  <c r="AK990" i="1"/>
  <c r="AJ990" i="1"/>
  <c r="AO989" i="1"/>
  <c r="AN989" i="1"/>
  <c r="AM989" i="1"/>
  <c r="AL989" i="1"/>
  <c r="AK989" i="1"/>
  <c r="AJ989" i="1"/>
  <c r="AO988" i="1"/>
  <c r="AN988" i="1"/>
  <c r="AM988" i="1"/>
  <c r="AL988" i="1"/>
  <c r="AK988" i="1"/>
  <c r="AJ988" i="1"/>
  <c r="AO987" i="1"/>
  <c r="AN987" i="1"/>
  <c r="AM987" i="1"/>
  <c r="AL987" i="1"/>
  <c r="AK987" i="1"/>
  <c r="AJ987" i="1"/>
  <c r="AO986" i="1"/>
  <c r="AN986" i="1"/>
  <c r="AM986" i="1"/>
  <c r="AL986" i="1"/>
  <c r="AK986" i="1"/>
  <c r="AJ986" i="1"/>
  <c r="AO985" i="1"/>
  <c r="AN985" i="1"/>
  <c r="AM985" i="1"/>
  <c r="AL985" i="1"/>
  <c r="AK985" i="1"/>
  <c r="AJ985" i="1"/>
  <c r="AO984" i="1"/>
  <c r="AN984" i="1"/>
  <c r="AM984" i="1"/>
  <c r="AL984" i="1"/>
  <c r="AK984" i="1"/>
  <c r="AJ984" i="1"/>
  <c r="AO983" i="1"/>
  <c r="AN983" i="1"/>
  <c r="AM983" i="1"/>
  <c r="AL983" i="1"/>
  <c r="AK983" i="1"/>
  <c r="AJ983" i="1"/>
  <c r="AO982" i="1"/>
  <c r="AN982" i="1"/>
  <c r="AM982" i="1"/>
  <c r="AL982" i="1"/>
  <c r="AK982" i="1"/>
  <c r="AJ982" i="1"/>
  <c r="AO981" i="1"/>
  <c r="AN981" i="1"/>
  <c r="AM981" i="1"/>
  <c r="AL981" i="1"/>
  <c r="AK981" i="1"/>
  <c r="AJ981" i="1"/>
  <c r="AO980" i="1"/>
  <c r="AN980" i="1"/>
  <c r="AM980" i="1"/>
  <c r="AL980" i="1"/>
  <c r="AK980" i="1"/>
  <c r="AJ980" i="1"/>
  <c r="AO979" i="1"/>
  <c r="AN979" i="1"/>
  <c r="AM979" i="1"/>
  <c r="AL979" i="1"/>
  <c r="AK979" i="1"/>
  <c r="AJ979" i="1"/>
  <c r="AO978" i="1"/>
  <c r="AN978" i="1"/>
  <c r="AM978" i="1"/>
  <c r="AL978" i="1"/>
  <c r="AK978" i="1"/>
  <c r="AJ978" i="1"/>
  <c r="AO977" i="1"/>
  <c r="AN977" i="1"/>
  <c r="AM977" i="1"/>
  <c r="AL977" i="1"/>
  <c r="AK977" i="1"/>
  <c r="AJ977" i="1"/>
  <c r="AO976" i="1"/>
  <c r="AN976" i="1"/>
  <c r="AM976" i="1"/>
  <c r="AL976" i="1"/>
  <c r="AK976" i="1"/>
  <c r="AJ976" i="1"/>
  <c r="AO975" i="1"/>
  <c r="AN975" i="1"/>
  <c r="AM975" i="1"/>
  <c r="AL975" i="1"/>
  <c r="AK975" i="1"/>
  <c r="AJ975" i="1"/>
  <c r="AO974" i="1"/>
  <c r="AN974" i="1"/>
  <c r="AM974" i="1"/>
  <c r="AL974" i="1"/>
  <c r="AK974" i="1"/>
  <c r="AJ974" i="1"/>
  <c r="AO973" i="1"/>
  <c r="AN973" i="1"/>
  <c r="AM973" i="1"/>
  <c r="AL973" i="1"/>
  <c r="AK973" i="1"/>
  <c r="AJ973" i="1"/>
  <c r="AO972" i="1"/>
  <c r="AN972" i="1"/>
  <c r="AM972" i="1"/>
  <c r="AL972" i="1"/>
  <c r="AK972" i="1"/>
  <c r="AJ972" i="1"/>
  <c r="AO971" i="1"/>
  <c r="AN971" i="1"/>
  <c r="AM971" i="1"/>
  <c r="AL971" i="1"/>
  <c r="AK971" i="1"/>
  <c r="AJ971" i="1"/>
  <c r="AO970" i="1"/>
  <c r="AN970" i="1"/>
  <c r="AM970" i="1"/>
  <c r="AL970" i="1"/>
  <c r="AK970" i="1"/>
  <c r="AJ970" i="1"/>
  <c r="AO969" i="1"/>
  <c r="AN969" i="1"/>
  <c r="AM969" i="1"/>
  <c r="AL969" i="1"/>
  <c r="AK969" i="1"/>
  <c r="AJ969" i="1"/>
  <c r="AO968" i="1"/>
  <c r="AN968" i="1"/>
  <c r="AM968" i="1"/>
  <c r="AL968" i="1"/>
  <c r="AK968" i="1"/>
  <c r="AJ968" i="1"/>
  <c r="AO967" i="1"/>
  <c r="AN967" i="1"/>
  <c r="AM967" i="1"/>
  <c r="AL967" i="1"/>
  <c r="AK967" i="1"/>
  <c r="AJ967" i="1"/>
  <c r="AO966" i="1"/>
  <c r="AN966" i="1"/>
  <c r="AM966" i="1"/>
  <c r="AL966" i="1"/>
  <c r="AK966" i="1"/>
  <c r="AJ966" i="1"/>
  <c r="AO965" i="1"/>
  <c r="AN965" i="1"/>
  <c r="AM965" i="1"/>
  <c r="AL965" i="1"/>
  <c r="AK965" i="1"/>
  <c r="AJ965" i="1"/>
  <c r="AO964" i="1"/>
  <c r="AN964" i="1"/>
  <c r="AM964" i="1"/>
  <c r="AL964" i="1"/>
  <c r="AK964" i="1"/>
  <c r="AJ964" i="1"/>
  <c r="AO963" i="1"/>
  <c r="AN963" i="1"/>
  <c r="AM963" i="1"/>
  <c r="AL963" i="1"/>
  <c r="AK963" i="1"/>
  <c r="AJ963" i="1"/>
  <c r="AO962" i="1"/>
  <c r="AN962" i="1"/>
  <c r="AM962" i="1"/>
  <c r="AL962" i="1"/>
  <c r="AK962" i="1"/>
  <c r="AJ962" i="1"/>
  <c r="AO961" i="1"/>
  <c r="AN961" i="1"/>
  <c r="AM961" i="1"/>
  <c r="AL961" i="1"/>
  <c r="AK961" i="1"/>
  <c r="AJ961" i="1"/>
  <c r="AO960" i="1"/>
  <c r="AN960" i="1"/>
  <c r="AM960" i="1"/>
  <c r="AL960" i="1"/>
  <c r="AK960" i="1"/>
  <c r="AJ960" i="1"/>
  <c r="AO959" i="1"/>
  <c r="AN959" i="1"/>
  <c r="AM959" i="1"/>
  <c r="AL959" i="1"/>
  <c r="AK959" i="1"/>
  <c r="AJ959" i="1"/>
  <c r="AO958" i="1"/>
  <c r="AN958" i="1"/>
  <c r="AM958" i="1"/>
  <c r="AL958" i="1"/>
  <c r="AK958" i="1"/>
  <c r="AJ958" i="1"/>
  <c r="AO957" i="1"/>
  <c r="AN957" i="1"/>
  <c r="AM957" i="1"/>
  <c r="AL957" i="1"/>
  <c r="AK957" i="1"/>
  <c r="AJ957" i="1"/>
  <c r="AO956" i="1"/>
  <c r="AN956" i="1"/>
  <c r="AM956" i="1"/>
  <c r="AL956" i="1"/>
  <c r="AK956" i="1"/>
  <c r="AJ956" i="1"/>
  <c r="AO955" i="1"/>
  <c r="AN955" i="1"/>
  <c r="AM955" i="1"/>
  <c r="AL955" i="1"/>
  <c r="AK955" i="1"/>
  <c r="AJ955" i="1"/>
  <c r="AO954" i="1"/>
  <c r="AN954" i="1"/>
  <c r="AM954" i="1"/>
  <c r="AL954" i="1"/>
  <c r="AK954" i="1"/>
  <c r="AJ954" i="1"/>
  <c r="AO953" i="1"/>
  <c r="AN953" i="1"/>
  <c r="AM953" i="1"/>
  <c r="AL953" i="1"/>
  <c r="AK953" i="1"/>
  <c r="AJ953" i="1"/>
  <c r="AO952" i="1"/>
  <c r="AN952" i="1"/>
  <c r="AM952" i="1"/>
  <c r="AL952" i="1"/>
  <c r="AK952" i="1"/>
  <c r="AJ952" i="1"/>
  <c r="AO951" i="1"/>
  <c r="AN951" i="1"/>
  <c r="AM951" i="1"/>
  <c r="AL951" i="1"/>
  <c r="AK951" i="1"/>
  <c r="AJ951" i="1"/>
  <c r="AO950" i="1"/>
  <c r="AN950" i="1"/>
  <c r="AM950" i="1"/>
  <c r="AL950" i="1"/>
  <c r="AK950" i="1"/>
  <c r="AJ950" i="1"/>
  <c r="AO949" i="1"/>
  <c r="AN949" i="1"/>
  <c r="AM949" i="1"/>
  <c r="AL949" i="1"/>
  <c r="AK949" i="1"/>
  <c r="AJ949" i="1"/>
  <c r="AO948" i="1"/>
  <c r="AN948" i="1"/>
  <c r="AM948" i="1"/>
  <c r="AL948" i="1"/>
  <c r="AK948" i="1"/>
  <c r="AJ948" i="1"/>
  <c r="AO947" i="1"/>
  <c r="AN947" i="1"/>
  <c r="AM947" i="1"/>
  <c r="AL947" i="1"/>
  <c r="AK947" i="1"/>
  <c r="AJ947" i="1"/>
  <c r="AO946" i="1"/>
  <c r="AN946" i="1"/>
  <c r="AM946" i="1"/>
  <c r="AL946" i="1"/>
  <c r="AK946" i="1"/>
  <c r="AJ946" i="1"/>
  <c r="AO945" i="1"/>
  <c r="AN945" i="1"/>
  <c r="AM945" i="1"/>
  <c r="AL945" i="1"/>
  <c r="AK945" i="1"/>
  <c r="AJ945" i="1"/>
  <c r="AO944" i="1"/>
  <c r="AN944" i="1"/>
  <c r="AM944" i="1"/>
  <c r="AL944" i="1"/>
  <c r="AK944" i="1"/>
  <c r="AJ944" i="1"/>
  <c r="AO943" i="1"/>
  <c r="AN943" i="1"/>
  <c r="AM943" i="1"/>
  <c r="AL943" i="1"/>
  <c r="AK943" i="1"/>
  <c r="AJ943" i="1"/>
  <c r="AO942" i="1"/>
  <c r="AN942" i="1"/>
  <c r="AM942" i="1"/>
  <c r="AL942" i="1"/>
  <c r="AK942" i="1"/>
  <c r="AJ942" i="1"/>
  <c r="AO941" i="1"/>
  <c r="AN941" i="1"/>
  <c r="AM941" i="1"/>
  <c r="AL941" i="1"/>
  <c r="AK941" i="1"/>
  <c r="AJ941" i="1"/>
  <c r="AO940" i="1"/>
  <c r="AN940" i="1"/>
  <c r="AM940" i="1"/>
  <c r="AL940" i="1"/>
  <c r="AK940" i="1"/>
  <c r="AJ940" i="1"/>
  <c r="AO939" i="1"/>
  <c r="AN939" i="1"/>
  <c r="AM939" i="1"/>
  <c r="AL939" i="1"/>
  <c r="AK939" i="1"/>
  <c r="AJ939" i="1"/>
  <c r="AO938" i="1"/>
  <c r="AN938" i="1"/>
  <c r="AM938" i="1"/>
  <c r="AL938" i="1"/>
  <c r="AK938" i="1"/>
  <c r="AJ938" i="1"/>
  <c r="AO937" i="1"/>
  <c r="AN937" i="1"/>
  <c r="AM937" i="1"/>
  <c r="AL937" i="1"/>
  <c r="AK937" i="1"/>
  <c r="AJ937" i="1"/>
  <c r="AO936" i="1"/>
  <c r="AN936" i="1"/>
  <c r="AM936" i="1"/>
  <c r="AL936" i="1"/>
  <c r="AK936" i="1"/>
  <c r="AJ936" i="1"/>
  <c r="AO935" i="1"/>
  <c r="AN935" i="1"/>
  <c r="AM935" i="1"/>
  <c r="AL935" i="1"/>
  <c r="AK935" i="1"/>
  <c r="AJ935" i="1"/>
  <c r="AO934" i="1"/>
  <c r="AN934" i="1"/>
  <c r="AM934" i="1"/>
  <c r="AL934" i="1"/>
  <c r="AK934" i="1"/>
  <c r="AJ934" i="1"/>
  <c r="AO933" i="1"/>
  <c r="AN933" i="1"/>
  <c r="AM933" i="1"/>
  <c r="AL933" i="1"/>
  <c r="AK933" i="1"/>
  <c r="AJ933" i="1"/>
  <c r="AO932" i="1"/>
  <c r="AN932" i="1"/>
  <c r="AM932" i="1"/>
  <c r="AL932" i="1"/>
  <c r="AK932" i="1"/>
  <c r="AJ932" i="1"/>
  <c r="AO931" i="1"/>
  <c r="AN931" i="1"/>
  <c r="AM931" i="1"/>
  <c r="AL931" i="1"/>
  <c r="AK931" i="1"/>
  <c r="AJ931" i="1"/>
  <c r="AO930" i="1"/>
  <c r="AN930" i="1"/>
  <c r="AM930" i="1"/>
  <c r="AL930" i="1"/>
  <c r="AK930" i="1"/>
  <c r="AJ930" i="1"/>
  <c r="AO929" i="1"/>
  <c r="AN929" i="1"/>
  <c r="AM929" i="1"/>
  <c r="AL929" i="1"/>
  <c r="AK929" i="1"/>
  <c r="AJ929" i="1"/>
  <c r="AO928" i="1"/>
  <c r="AN928" i="1"/>
  <c r="AM928" i="1"/>
  <c r="AL928" i="1"/>
  <c r="AK928" i="1"/>
  <c r="AJ928" i="1"/>
  <c r="AO927" i="1"/>
  <c r="AN927" i="1"/>
  <c r="AM927" i="1"/>
  <c r="AL927" i="1"/>
  <c r="AK927" i="1"/>
  <c r="AJ927" i="1"/>
  <c r="AO926" i="1"/>
  <c r="AN926" i="1"/>
  <c r="AM926" i="1"/>
  <c r="AL926" i="1"/>
  <c r="AK926" i="1"/>
  <c r="AJ926" i="1"/>
  <c r="AO925" i="1"/>
  <c r="AN925" i="1"/>
  <c r="AM925" i="1"/>
  <c r="AL925" i="1"/>
  <c r="AK925" i="1"/>
  <c r="AJ925" i="1"/>
  <c r="AO924" i="1"/>
  <c r="AN924" i="1"/>
  <c r="AM924" i="1"/>
  <c r="AL924" i="1"/>
  <c r="AK924" i="1"/>
  <c r="AJ924" i="1"/>
  <c r="AO923" i="1"/>
  <c r="AN923" i="1"/>
  <c r="AM923" i="1"/>
  <c r="AL923" i="1"/>
  <c r="AK923" i="1"/>
  <c r="AJ923" i="1"/>
  <c r="AO922" i="1"/>
  <c r="AN922" i="1"/>
  <c r="AM922" i="1"/>
  <c r="AL922" i="1"/>
  <c r="AK922" i="1"/>
  <c r="AJ922" i="1"/>
  <c r="AO921" i="1"/>
  <c r="AN921" i="1"/>
  <c r="AM921" i="1"/>
  <c r="AL921" i="1"/>
  <c r="AK921" i="1"/>
  <c r="AJ921" i="1"/>
  <c r="AO920" i="1"/>
  <c r="AN920" i="1"/>
  <c r="AM920" i="1"/>
  <c r="AL920" i="1"/>
  <c r="AK920" i="1"/>
  <c r="AJ920" i="1"/>
  <c r="AO919" i="1"/>
  <c r="AN919" i="1"/>
  <c r="AM919" i="1"/>
  <c r="AL919" i="1"/>
  <c r="AK919" i="1"/>
  <c r="AJ919" i="1"/>
  <c r="AO918" i="1"/>
  <c r="AN918" i="1"/>
  <c r="AM918" i="1"/>
  <c r="AL918" i="1"/>
  <c r="AK918" i="1"/>
  <c r="AJ918" i="1"/>
  <c r="AO917" i="1"/>
  <c r="AN917" i="1"/>
  <c r="AM917" i="1"/>
  <c r="AL917" i="1"/>
  <c r="AK917" i="1"/>
  <c r="AJ917" i="1"/>
  <c r="AO916" i="1"/>
  <c r="AN916" i="1"/>
  <c r="AM916" i="1"/>
  <c r="AL916" i="1"/>
  <c r="AK916" i="1"/>
  <c r="AJ916" i="1"/>
  <c r="AO915" i="1"/>
  <c r="AN915" i="1"/>
  <c r="AM915" i="1"/>
  <c r="AL915" i="1"/>
  <c r="AK915" i="1"/>
  <c r="AJ915" i="1"/>
  <c r="AO914" i="1"/>
  <c r="AN914" i="1"/>
  <c r="AM914" i="1"/>
  <c r="AL914" i="1"/>
  <c r="AK914" i="1"/>
  <c r="AJ914" i="1"/>
  <c r="AO913" i="1"/>
  <c r="AN913" i="1"/>
  <c r="AM913" i="1"/>
  <c r="AL913" i="1"/>
  <c r="AK913" i="1"/>
  <c r="AJ913" i="1"/>
  <c r="AO912" i="1"/>
  <c r="AN912" i="1"/>
  <c r="AM912" i="1"/>
  <c r="AL912" i="1"/>
  <c r="AK912" i="1"/>
  <c r="AJ912" i="1"/>
  <c r="AO911" i="1"/>
  <c r="AN911" i="1"/>
  <c r="AM911" i="1"/>
  <c r="AL911" i="1"/>
  <c r="AK911" i="1"/>
  <c r="AJ911" i="1"/>
  <c r="AO910" i="1"/>
  <c r="AN910" i="1"/>
  <c r="AM910" i="1"/>
  <c r="AL910" i="1"/>
  <c r="AK910" i="1"/>
  <c r="AJ910" i="1"/>
  <c r="AO909" i="1"/>
  <c r="AN909" i="1"/>
  <c r="AM909" i="1"/>
  <c r="AL909" i="1"/>
  <c r="AK909" i="1"/>
  <c r="AJ909" i="1"/>
  <c r="AO908" i="1"/>
  <c r="AN908" i="1"/>
  <c r="AM908" i="1"/>
  <c r="AL908" i="1"/>
  <c r="AK908" i="1"/>
  <c r="AJ908" i="1"/>
  <c r="AO907" i="1"/>
  <c r="AN907" i="1"/>
  <c r="AM907" i="1"/>
  <c r="AL907" i="1"/>
  <c r="AK907" i="1"/>
  <c r="AJ907" i="1"/>
  <c r="AO906" i="1"/>
  <c r="AN906" i="1"/>
  <c r="AM906" i="1"/>
  <c r="AL906" i="1"/>
  <c r="AK906" i="1"/>
  <c r="AJ906" i="1"/>
  <c r="AO905" i="1"/>
  <c r="AN905" i="1"/>
  <c r="AM905" i="1"/>
  <c r="AL905" i="1"/>
  <c r="AK905" i="1"/>
  <c r="AJ905" i="1"/>
  <c r="AO904" i="1"/>
  <c r="AN904" i="1"/>
  <c r="AM904" i="1"/>
  <c r="AL904" i="1"/>
  <c r="AK904" i="1"/>
  <c r="AJ904" i="1"/>
  <c r="AO903" i="1"/>
  <c r="AN903" i="1"/>
  <c r="AM903" i="1"/>
  <c r="AL903" i="1"/>
  <c r="AK903" i="1"/>
  <c r="AJ903" i="1"/>
  <c r="AO902" i="1"/>
  <c r="AN902" i="1"/>
  <c r="AM902" i="1"/>
  <c r="AL902" i="1"/>
  <c r="AK902" i="1"/>
  <c r="AJ902" i="1"/>
  <c r="AO901" i="1"/>
  <c r="AN901" i="1"/>
  <c r="AM901" i="1"/>
  <c r="AL901" i="1"/>
  <c r="AK901" i="1"/>
  <c r="AJ901" i="1"/>
  <c r="AO900" i="1"/>
  <c r="AN900" i="1"/>
  <c r="AM900" i="1"/>
  <c r="AL900" i="1"/>
  <c r="AK900" i="1"/>
  <c r="AJ900" i="1"/>
  <c r="AO899" i="1"/>
  <c r="AN899" i="1"/>
  <c r="AM899" i="1"/>
  <c r="AL899" i="1"/>
  <c r="AK899" i="1"/>
  <c r="AJ899" i="1"/>
  <c r="AO898" i="1"/>
  <c r="AN898" i="1"/>
  <c r="AM898" i="1"/>
  <c r="AL898" i="1"/>
  <c r="AK898" i="1"/>
  <c r="AJ898" i="1"/>
  <c r="AO897" i="1"/>
  <c r="AN897" i="1"/>
  <c r="AM897" i="1"/>
  <c r="AL897" i="1"/>
  <c r="AK897" i="1"/>
  <c r="AJ897" i="1"/>
  <c r="AO896" i="1"/>
  <c r="AN896" i="1"/>
  <c r="AM896" i="1"/>
  <c r="AL896" i="1"/>
  <c r="AK896" i="1"/>
  <c r="AJ896" i="1"/>
  <c r="AO895" i="1"/>
  <c r="AN895" i="1"/>
  <c r="AM895" i="1"/>
  <c r="AL895" i="1"/>
  <c r="AK895" i="1"/>
  <c r="AJ895" i="1"/>
  <c r="AO894" i="1"/>
  <c r="AN894" i="1"/>
  <c r="AM894" i="1"/>
  <c r="AL894" i="1"/>
  <c r="AK894" i="1"/>
  <c r="AJ894" i="1"/>
  <c r="AO893" i="1"/>
  <c r="AN893" i="1"/>
  <c r="AM893" i="1"/>
  <c r="AL893" i="1"/>
  <c r="AK893" i="1"/>
  <c r="AJ893" i="1"/>
  <c r="AO892" i="1"/>
  <c r="AN892" i="1"/>
  <c r="AM892" i="1"/>
  <c r="AL892" i="1"/>
  <c r="AK892" i="1"/>
  <c r="AJ892" i="1"/>
  <c r="AO891" i="1"/>
  <c r="AN891" i="1"/>
  <c r="AM891" i="1"/>
  <c r="AL891" i="1"/>
  <c r="AK891" i="1"/>
  <c r="AJ891" i="1"/>
  <c r="AO890" i="1"/>
  <c r="AN890" i="1"/>
  <c r="AM890" i="1"/>
  <c r="AL890" i="1"/>
  <c r="AK890" i="1"/>
  <c r="AJ890" i="1"/>
  <c r="AO889" i="1"/>
  <c r="AN889" i="1"/>
  <c r="AM889" i="1"/>
  <c r="AL889" i="1"/>
  <c r="AK889" i="1"/>
  <c r="AJ889" i="1"/>
  <c r="AO888" i="1"/>
  <c r="AN888" i="1"/>
  <c r="AM888" i="1"/>
  <c r="AL888" i="1"/>
  <c r="AK888" i="1"/>
  <c r="AJ888" i="1"/>
  <c r="AO887" i="1"/>
  <c r="AN887" i="1"/>
  <c r="AM887" i="1"/>
  <c r="AL887" i="1"/>
  <c r="AK887" i="1"/>
  <c r="AJ887" i="1"/>
  <c r="AO886" i="1"/>
  <c r="AN886" i="1"/>
  <c r="AM886" i="1"/>
  <c r="AL886" i="1"/>
  <c r="AK886" i="1"/>
  <c r="AJ886" i="1"/>
  <c r="AO885" i="1"/>
  <c r="AN885" i="1"/>
  <c r="AM885" i="1"/>
  <c r="AL885" i="1"/>
  <c r="AK885" i="1"/>
  <c r="AJ885" i="1"/>
  <c r="AO884" i="1"/>
  <c r="AN884" i="1"/>
  <c r="AM884" i="1"/>
  <c r="AL884" i="1"/>
  <c r="AK884" i="1"/>
  <c r="AJ884" i="1"/>
  <c r="AO883" i="1"/>
  <c r="AN883" i="1"/>
  <c r="AM883" i="1"/>
  <c r="AL883" i="1"/>
  <c r="AK883" i="1"/>
  <c r="AJ883" i="1"/>
  <c r="AO882" i="1"/>
  <c r="AN882" i="1"/>
  <c r="AM882" i="1"/>
  <c r="AL882" i="1"/>
  <c r="AK882" i="1"/>
  <c r="AJ882" i="1"/>
  <c r="AO881" i="1"/>
  <c r="AN881" i="1"/>
  <c r="AM881" i="1"/>
  <c r="AL881" i="1"/>
  <c r="AK881" i="1"/>
  <c r="AJ881" i="1"/>
  <c r="AO880" i="1"/>
  <c r="AN880" i="1"/>
  <c r="AM880" i="1"/>
  <c r="AL880" i="1"/>
  <c r="AK880" i="1"/>
  <c r="AJ880" i="1"/>
  <c r="AO879" i="1"/>
  <c r="AN879" i="1"/>
  <c r="AM879" i="1"/>
  <c r="AL879" i="1"/>
  <c r="AK879" i="1"/>
  <c r="AJ879" i="1"/>
  <c r="AO878" i="1"/>
  <c r="AN878" i="1"/>
  <c r="AM878" i="1"/>
  <c r="AL878" i="1"/>
  <c r="AK878" i="1"/>
  <c r="AJ878" i="1"/>
  <c r="AO877" i="1"/>
  <c r="AN877" i="1"/>
  <c r="AM877" i="1"/>
  <c r="AL877" i="1"/>
  <c r="AK877" i="1"/>
  <c r="AJ877" i="1"/>
  <c r="AO876" i="1"/>
  <c r="AN876" i="1"/>
  <c r="AM876" i="1"/>
  <c r="AL876" i="1"/>
  <c r="AK876" i="1"/>
  <c r="AJ876" i="1"/>
  <c r="AO875" i="1"/>
  <c r="AN875" i="1"/>
  <c r="AM875" i="1"/>
  <c r="AL875" i="1"/>
  <c r="AK875" i="1"/>
  <c r="AJ875" i="1"/>
  <c r="AO874" i="1"/>
  <c r="AN874" i="1"/>
  <c r="AM874" i="1"/>
  <c r="AL874" i="1"/>
  <c r="AK874" i="1"/>
  <c r="AJ874" i="1"/>
  <c r="AO873" i="1"/>
  <c r="AN873" i="1"/>
  <c r="AM873" i="1"/>
  <c r="AL873" i="1"/>
  <c r="AK873" i="1"/>
  <c r="AJ873" i="1"/>
  <c r="AO872" i="1"/>
  <c r="AN872" i="1"/>
  <c r="AM872" i="1"/>
  <c r="AL872" i="1"/>
  <c r="AK872" i="1"/>
  <c r="AJ872" i="1"/>
  <c r="AO871" i="1"/>
  <c r="AN871" i="1"/>
  <c r="AM871" i="1"/>
  <c r="AL871" i="1"/>
  <c r="AK871" i="1"/>
  <c r="AJ871" i="1"/>
  <c r="AO870" i="1"/>
  <c r="AN870" i="1"/>
  <c r="AM870" i="1"/>
  <c r="AL870" i="1"/>
  <c r="AK870" i="1"/>
  <c r="AJ870" i="1"/>
  <c r="AO869" i="1"/>
  <c r="AN869" i="1"/>
  <c r="AM869" i="1"/>
  <c r="AL869" i="1"/>
  <c r="AK869" i="1"/>
  <c r="AJ869" i="1"/>
  <c r="AO868" i="1"/>
  <c r="AN868" i="1"/>
  <c r="AM868" i="1"/>
  <c r="AL868" i="1"/>
  <c r="AK868" i="1"/>
  <c r="AJ868" i="1"/>
  <c r="AO867" i="1"/>
  <c r="AN867" i="1"/>
  <c r="AM867" i="1"/>
  <c r="AL867" i="1"/>
  <c r="AK867" i="1"/>
  <c r="AJ867" i="1"/>
  <c r="AO866" i="1"/>
  <c r="AN866" i="1"/>
  <c r="AM866" i="1"/>
  <c r="AL866" i="1"/>
  <c r="AK866" i="1"/>
  <c r="AJ866" i="1"/>
  <c r="AO865" i="1"/>
  <c r="AN865" i="1"/>
  <c r="AM865" i="1"/>
  <c r="AL865" i="1"/>
  <c r="AK865" i="1"/>
  <c r="AJ865" i="1"/>
  <c r="AO864" i="1"/>
  <c r="AN864" i="1"/>
  <c r="AM864" i="1"/>
  <c r="AL864" i="1"/>
  <c r="AK864" i="1"/>
  <c r="AJ864" i="1"/>
  <c r="AO863" i="1"/>
  <c r="AN863" i="1"/>
  <c r="AM863" i="1"/>
  <c r="AL863" i="1"/>
  <c r="AK863" i="1"/>
  <c r="AJ863" i="1"/>
  <c r="AO862" i="1"/>
  <c r="AN862" i="1"/>
  <c r="AM862" i="1"/>
  <c r="AL862" i="1"/>
  <c r="AK862" i="1"/>
  <c r="AJ862" i="1"/>
  <c r="AO861" i="1"/>
  <c r="AN861" i="1"/>
  <c r="AM861" i="1"/>
  <c r="AL861" i="1"/>
  <c r="AK861" i="1"/>
  <c r="AJ861" i="1"/>
  <c r="AO860" i="1"/>
  <c r="AN860" i="1"/>
  <c r="AM860" i="1"/>
  <c r="AL860" i="1"/>
  <c r="AK860" i="1"/>
  <c r="AJ860" i="1"/>
  <c r="AO859" i="1"/>
  <c r="AN859" i="1"/>
  <c r="AM859" i="1"/>
  <c r="AL859" i="1"/>
  <c r="AK859" i="1"/>
  <c r="AJ859" i="1"/>
  <c r="AO858" i="1"/>
  <c r="AN858" i="1"/>
  <c r="AM858" i="1"/>
  <c r="AL858" i="1"/>
  <c r="AK858" i="1"/>
  <c r="AJ858" i="1"/>
  <c r="AO857" i="1"/>
  <c r="AN857" i="1"/>
  <c r="AM857" i="1"/>
  <c r="AL857" i="1"/>
  <c r="AK857" i="1"/>
  <c r="AJ857" i="1"/>
  <c r="AO856" i="1"/>
  <c r="AN856" i="1"/>
  <c r="AM856" i="1"/>
  <c r="AL856" i="1"/>
  <c r="AK856" i="1"/>
  <c r="AJ856" i="1"/>
  <c r="AO855" i="1"/>
  <c r="AN855" i="1"/>
  <c r="AM855" i="1"/>
  <c r="AL855" i="1"/>
  <c r="AK855" i="1"/>
  <c r="AJ855" i="1"/>
  <c r="AO854" i="1"/>
  <c r="AN854" i="1"/>
  <c r="AM854" i="1"/>
  <c r="AL854" i="1"/>
  <c r="AK854" i="1"/>
  <c r="AJ854" i="1"/>
  <c r="AO853" i="1"/>
  <c r="AN853" i="1"/>
  <c r="AM853" i="1"/>
  <c r="AL853" i="1"/>
  <c r="AK853" i="1"/>
  <c r="AJ853" i="1"/>
  <c r="AO852" i="1"/>
  <c r="AN852" i="1"/>
  <c r="AM852" i="1"/>
  <c r="AL852" i="1"/>
  <c r="AK852" i="1"/>
  <c r="AJ852" i="1"/>
  <c r="AO851" i="1"/>
  <c r="AN851" i="1"/>
  <c r="AM851" i="1"/>
  <c r="AL851" i="1"/>
  <c r="AK851" i="1"/>
  <c r="AJ851" i="1"/>
  <c r="AO850" i="1"/>
  <c r="AN850" i="1"/>
  <c r="AM850" i="1"/>
  <c r="AL850" i="1"/>
  <c r="AK850" i="1"/>
  <c r="AJ850" i="1"/>
  <c r="AO849" i="1"/>
  <c r="AN849" i="1"/>
  <c r="AM849" i="1"/>
  <c r="AL849" i="1"/>
  <c r="AK849" i="1"/>
  <c r="AJ849" i="1"/>
  <c r="AO848" i="1"/>
  <c r="AN848" i="1"/>
  <c r="AM848" i="1"/>
  <c r="AL848" i="1"/>
  <c r="AK848" i="1"/>
  <c r="AJ848" i="1"/>
  <c r="AO847" i="1"/>
  <c r="AN847" i="1"/>
  <c r="AM847" i="1"/>
  <c r="AL847" i="1"/>
  <c r="AK847" i="1"/>
  <c r="AJ847" i="1"/>
  <c r="AO846" i="1"/>
  <c r="AN846" i="1"/>
  <c r="AM846" i="1"/>
  <c r="AL846" i="1"/>
  <c r="AK846" i="1"/>
  <c r="AJ846" i="1"/>
  <c r="AO845" i="1"/>
  <c r="AN845" i="1"/>
  <c r="AM845" i="1"/>
  <c r="AL845" i="1"/>
  <c r="AK845" i="1"/>
  <c r="AJ845" i="1"/>
  <c r="AO844" i="1"/>
  <c r="AN844" i="1"/>
  <c r="AM844" i="1"/>
  <c r="AL844" i="1"/>
  <c r="AK844" i="1"/>
  <c r="AJ844" i="1"/>
  <c r="AO843" i="1"/>
  <c r="AN843" i="1"/>
  <c r="AM843" i="1"/>
  <c r="AL843" i="1"/>
  <c r="AK843" i="1"/>
  <c r="AJ843" i="1"/>
  <c r="AO842" i="1"/>
  <c r="AN842" i="1"/>
  <c r="AM842" i="1"/>
  <c r="AL842" i="1"/>
  <c r="AK842" i="1"/>
  <c r="AJ842" i="1"/>
  <c r="AO841" i="1"/>
  <c r="AN841" i="1"/>
  <c r="AM841" i="1"/>
  <c r="AL841" i="1"/>
  <c r="AK841" i="1"/>
  <c r="AJ841" i="1"/>
  <c r="AO840" i="1"/>
  <c r="AN840" i="1"/>
  <c r="AM840" i="1"/>
  <c r="AL840" i="1"/>
  <c r="AK840" i="1"/>
  <c r="AJ840" i="1"/>
  <c r="AO839" i="1"/>
  <c r="AN839" i="1"/>
  <c r="AM839" i="1"/>
  <c r="AL839" i="1"/>
  <c r="AK839" i="1"/>
  <c r="AJ839" i="1"/>
  <c r="AO838" i="1"/>
  <c r="AN838" i="1"/>
  <c r="AM838" i="1"/>
  <c r="AL838" i="1"/>
  <c r="AK838" i="1"/>
  <c r="AJ838" i="1"/>
  <c r="AO837" i="1"/>
  <c r="AN837" i="1"/>
  <c r="AM837" i="1"/>
  <c r="AL837" i="1"/>
  <c r="AK837" i="1"/>
  <c r="AJ837" i="1"/>
  <c r="AO836" i="1"/>
  <c r="AN836" i="1"/>
  <c r="AM836" i="1"/>
  <c r="AL836" i="1"/>
  <c r="AK836" i="1"/>
  <c r="AJ836" i="1"/>
  <c r="AO835" i="1"/>
  <c r="AN835" i="1"/>
  <c r="AM835" i="1"/>
  <c r="AL835" i="1"/>
  <c r="AK835" i="1"/>
  <c r="AJ835" i="1"/>
  <c r="AO834" i="1"/>
  <c r="AN834" i="1"/>
  <c r="AM834" i="1"/>
  <c r="AL834" i="1"/>
  <c r="AK834" i="1"/>
  <c r="AJ834" i="1"/>
  <c r="AO833" i="1"/>
  <c r="AN833" i="1"/>
  <c r="AM833" i="1"/>
  <c r="AL833" i="1"/>
  <c r="AK833" i="1"/>
  <c r="AJ833" i="1"/>
  <c r="AO832" i="1"/>
  <c r="AN832" i="1"/>
  <c r="AM832" i="1"/>
  <c r="AL832" i="1"/>
  <c r="AK832" i="1"/>
  <c r="AJ832" i="1"/>
  <c r="AO831" i="1"/>
  <c r="AN831" i="1"/>
  <c r="AM831" i="1"/>
  <c r="AL831" i="1"/>
  <c r="AK831" i="1"/>
  <c r="AJ831" i="1"/>
  <c r="AO830" i="1"/>
  <c r="AN830" i="1"/>
  <c r="AM830" i="1"/>
  <c r="AL830" i="1"/>
  <c r="AK830" i="1"/>
  <c r="AJ830" i="1"/>
  <c r="AO829" i="1"/>
  <c r="AN829" i="1"/>
  <c r="AM829" i="1"/>
  <c r="AL829" i="1"/>
  <c r="AK829" i="1"/>
  <c r="AJ829" i="1"/>
  <c r="AO828" i="1"/>
  <c r="AN828" i="1"/>
  <c r="AM828" i="1"/>
  <c r="AL828" i="1"/>
  <c r="AK828" i="1"/>
  <c r="AJ828" i="1"/>
  <c r="AO827" i="1"/>
  <c r="AN827" i="1"/>
  <c r="AM827" i="1"/>
  <c r="AL827" i="1"/>
  <c r="AK827" i="1"/>
  <c r="AJ827" i="1"/>
  <c r="AO826" i="1"/>
  <c r="AN826" i="1"/>
  <c r="AM826" i="1"/>
  <c r="AL826" i="1"/>
  <c r="AK826" i="1"/>
  <c r="AJ826" i="1"/>
  <c r="AO825" i="1"/>
  <c r="AN825" i="1"/>
  <c r="AM825" i="1"/>
  <c r="AL825" i="1"/>
  <c r="AK825" i="1"/>
  <c r="AJ825" i="1"/>
  <c r="AO824" i="1"/>
  <c r="AN824" i="1"/>
  <c r="AM824" i="1"/>
  <c r="AL824" i="1"/>
  <c r="AK824" i="1"/>
  <c r="AJ824" i="1"/>
  <c r="AO823" i="1"/>
  <c r="AN823" i="1"/>
  <c r="AM823" i="1"/>
  <c r="AL823" i="1"/>
  <c r="AK823" i="1"/>
  <c r="AJ823" i="1"/>
  <c r="AO822" i="1"/>
  <c r="AN822" i="1"/>
  <c r="AM822" i="1"/>
  <c r="AL822" i="1"/>
  <c r="AK822" i="1"/>
  <c r="AJ822" i="1"/>
  <c r="AO821" i="1"/>
  <c r="AN821" i="1"/>
  <c r="AM821" i="1"/>
  <c r="AL821" i="1"/>
  <c r="AK821" i="1"/>
  <c r="AJ821" i="1"/>
  <c r="AO820" i="1"/>
  <c r="AN820" i="1"/>
  <c r="AM820" i="1"/>
  <c r="AL820" i="1"/>
  <c r="AK820" i="1"/>
  <c r="AJ820" i="1"/>
  <c r="AO819" i="1"/>
  <c r="AN819" i="1"/>
  <c r="AM819" i="1"/>
  <c r="AL819" i="1"/>
  <c r="AK819" i="1"/>
  <c r="AJ819" i="1"/>
  <c r="AO818" i="1"/>
  <c r="AN818" i="1"/>
  <c r="AM818" i="1"/>
  <c r="AL818" i="1"/>
  <c r="AK818" i="1"/>
  <c r="AJ818" i="1"/>
  <c r="AO817" i="1"/>
  <c r="AN817" i="1"/>
  <c r="AM817" i="1"/>
  <c r="AL817" i="1"/>
  <c r="AK817" i="1"/>
  <c r="AJ817" i="1"/>
  <c r="AO816" i="1"/>
  <c r="AN816" i="1"/>
  <c r="AM816" i="1"/>
  <c r="AL816" i="1"/>
  <c r="AK816" i="1"/>
  <c r="AJ816" i="1"/>
  <c r="AO815" i="1"/>
  <c r="AN815" i="1"/>
  <c r="AM815" i="1"/>
  <c r="AL815" i="1"/>
  <c r="AK815" i="1"/>
  <c r="AJ815" i="1"/>
  <c r="AO814" i="1"/>
  <c r="AN814" i="1"/>
  <c r="AM814" i="1"/>
  <c r="AL814" i="1"/>
  <c r="AK814" i="1"/>
  <c r="AJ814" i="1"/>
  <c r="AO813" i="1"/>
  <c r="AN813" i="1"/>
  <c r="AM813" i="1"/>
  <c r="AL813" i="1"/>
  <c r="AK813" i="1"/>
  <c r="AJ813" i="1"/>
  <c r="AO812" i="1"/>
  <c r="AN812" i="1"/>
  <c r="AM812" i="1"/>
  <c r="AL812" i="1"/>
  <c r="AK812" i="1"/>
  <c r="AJ812" i="1"/>
  <c r="AO811" i="1"/>
  <c r="AN811" i="1"/>
  <c r="AM811" i="1"/>
  <c r="AL811" i="1"/>
  <c r="AK811" i="1"/>
  <c r="AJ811" i="1"/>
  <c r="AO810" i="1"/>
  <c r="AN810" i="1"/>
  <c r="AM810" i="1"/>
  <c r="AL810" i="1"/>
  <c r="AK810" i="1"/>
  <c r="AJ810" i="1"/>
  <c r="AO809" i="1"/>
  <c r="AN809" i="1"/>
  <c r="AM809" i="1"/>
  <c r="AL809" i="1"/>
  <c r="AK809" i="1"/>
  <c r="AJ809" i="1"/>
  <c r="AO808" i="1"/>
  <c r="AN808" i="1"/>
  <c r="AM808" i="1"/>
  <c r="AL808" i="1"/>
  <c r="AK808" i="1"/>
  <c r="AJ808" i="1"/>
  <c r="AO807" i="1"/>
  <c r="AN807" i="1"/>
  <c r="AM807" i="1"/>
  <c r="AL807" i="1"/>
  <c r="AK807" i="1"/>
  <c r="AJ807" i="1"/>
  <c r="AO806" i="1"/>
  <c r="AN806" i="1"/>
  <c r="AM806" i="1"/>
  <c r="AL806" i="1"/>
  <c r="AK806" i="1"/>
  <c r="AJ806" i="1"/>
  <c r="AO805" i="1"/>
  <c r="AN805" i="1"/>
  <c r="AM805" i="1"/>
  <c r="AL805" i="1"/>
  <c r="AK805" i="1"/>
  <c r="AJ805" i="1"/>
  <c r="AO804" i="1"/>
  <c r="AN804" i="1"/>
  <c r="AM804" i="1"/>
  <c r="AL804" i="1"/>
  <c r="AK804" i="1"/>
  <c r="AJ804" i="1"/>
  <c r="AO803" i="1"/>
  <c r="AN803" i="1"/>
  <c r="AM803" i="1"/>
  <c r="AL803" i="1"/>
  <c r="AK803" i="1"/>
  <c r="AJ803" i="1"/>
  <c r="AO802" i="1"/>
  <c r="AN802" i="1"/>
  <c r="AM802" i="1"/>
  <c r="AL802" i="1"/>
  <c r="AK802" i="1"/>
  <c r="AJ802" i="1"/>
  <c r="AO801" i="1"/>
  <c r="AN801" i="1"/>
  <c r="AM801" i="1"/>
  <c r="AL801" i="1"/>
  <c r="AK801" i="1"/>
  <c r="AJ801" i="1"/>
  <c r="AO800" i="1"/>
  <c r="AN800" i="1"/>
  <c r="AM800" i="1"/>
  <c r="AL800" i="1"/>
  <c r="AK800" i="1"/>
  <c r="AJ800" i="1"/>
  <c r="AO799" i="1"/>
  <c r="AN799" i="1"/>
  <c r="AM799" i="1"/>
  <c r="AL799" i="1"/>
  <c r="AK799" i="1"/>
  <c r="AJ799" i="1"/>
  <c r="AO798" i="1"/>
  <c r="AN798" i="1"/>
  <c r="AM798" i="1"/>
  <c r="AL798" i="1"/>
  <c r="AK798" i="1"/>
  <c r="AJ798" i="1"/>
  <c r="AO797" i="1"/>
  <c r="AN797" i="1"/>
  <c r="AM797" i="1"/>
  <c r="AL797" i="1"/>
  <c r="AK797" i="1"/>
  <c r="AJ797" i="1"/>
  <c r="AO796" i="1"/>
  <c r="AN796" i="1"/>
  <c r="AM796" i="1"/>
  <c r="AL796" i="1"/>
  <c r="AK796" i="1"/>
  <c r="AJ796" i="1"/>
  <c r="AO795" i="1"/>
  <c r="AN795" i="1"/>
  <c r="AM795" i="1"/>
  <c r="AL795" i="1"/>
  <c r="AK795" i="1"/>
  <c r="AJ795" i="1"/>
  <c r="AO794" i="1"/>
  <c r="AN794" i="1"/>
  <c r="AM794" i="1"/>
  <c r="AL794" i="1"/>
  <c r="AK794" i="1"/>
  <c r="AJ794" i="1"/>
  <c r="AO793" i="1"/>
  <c r="AN793" i="1"/>
  <c r="AM793" i="1"/>
  <c r="AL793" i="1"/>
  <c r="AK793" i="1"/>
  <c r="AJ793" i="1"/>
  <c r="AO792" i="1"/>
  <c r="AN792" i="1"/>
  <c r="AM792" i="1"/>
  <c r="AL792" i="1"/>
  <c r="AK792" i="1"/>
  <c r="AJ792" i="1"/>
  <c r="AO791" i="1"/>
  <c r="AN791" i="1"/>
  <c r="AM791" i="1"/>
  <c r="AL791" i="1"/>
  <c r="AK791" i="1"/>
  <c r="AJ791" i="1"/>
  <c r="AO790" i="1"/>
  <c r="AN790" i="1"/>
  <c r="AM790" i="1"/>
  <c r="AL790" i="1"/>
  <c r="AK790" i="1"/>
  <c r="AJ790" i="1"/>
  <c r="AO789" i="1"/>
  <c r="AN789" i="1"/>
  <c r="AM789" i="1"/>
  <c r="AL789" i="1"/>
  <c r="AK789" i="1"/>
  <c r="AJ789" i="1"/>
  <c r="AO788" i="1"/>
  <c r="AN788" i="1"/>
  <c r="AM788" i="1"/>
  <c r="AL788" i="1"/>
  <c r="AK788" i="1"/>
  <c r="AJ788" i="1"/>
  <c r="AO787" i="1"/>
  <c r="AN787" i="1"/>
  <c r="AM787" i="1"/>
  <c r="AL787" i="1"/>
  <c r="AK787" i="1"/>
  <c r="AJ787" i="1"/>
  <c r="AO786" i="1"/>
  <c r="AN786" i="1"/>
  <c r="AM786" i="1"/>
  <c r="AL786" i="1"/>
  <c r="AK786" i="1"/>
  <c r="AJ786" i="1"/>
  <c r="AO785" i="1"/>
  <c r="AN785" i="1"/>
  <c r="AM785" i="1"/>
  <c r="AL785" i="1"/>
  <c r="AK785" i="1"/>
  <c r="AJ785" i="1"/>
  <c r="AO784" i="1"/>
  <c r="AN784" i="1"/>
  <c r="AM784" i="1"/>
  <c r="AL784" i="1"/>
  <c r="AK784" i="1"/>
  <c r="AJ784" i="1"/>
  <c r="AO783" i="1"/>
  <c r="AN783" i="1"/>
  <c r="AM783" i="1"/>
  <c r="AL783" i="1"/>
  <c r="AK783" i="1"/>
  <c r="AJ783" i="1"/>
  <c r="AO782" i="1"/>
  <c r="AN782" i="1"/>
  <c r="AM782" i="1"/>
  <c r="AL782" i="1"/>
  <c r="AK782" i="1"/>
  <c r="AJ782" i="1"/>
  <c r="AO781" i="1"/>
  <c r="AN781" i="1"/>
  <c r="AM781" i="1"/>
  <c r="AL781" i="1"/>
  <c r="AK781" i="1"/>
  <c r="AJ781" i="1"/>
  <c r="AO780" i="1"/>
  <c r="AN780" i="1"/>
  <c r="AM780" i="1"/>
  <c r="AL780" i="1"/>
  <c r="AK780" i="1"/>
  <c r="AJ780" i="1"/>
  <c r="AO779" i="1"/>
  <c r="AN779" i="1"/>
  <c r="AM779" i="1"/>
  <c r="AL779" i="1"/>
  <c r="AK779" i="1"/>
  <c r="AJ779" i="1"/>
  <c r="AO778" i="1"/>
  <c r="AN778" i="1"/>
  <c r="AM778" i="1"/>
  <c r="AL778" i="1"/>
  <c r="AK778" i="1"/>
  <c r="AJ778" i="1"/>
  <c r="AO777" i="1"/>
  <c r="AN777" i="1"/>
  <c r="AM777" i="1"/>
  <c r="AL777" i="1"/>
  <c r="AK777" i="1"/>
  <c r="AJ777" i="1"/>
  <c r="AO776" i="1"/>
  <c r="AN776" i="1"/>
  <c r="AM776" i="1"/>
  <c r="AL776" i="1"/>
  <c r="AK776" i="1"/>
  <c r="AJ776" i="1"/>
  <c r="AO775" i="1"/>
  <c r="AN775" i="1"/>
  <c r="AM775" i="1"/>
  <c r="AL775" i="1"/>
  <c r="AK775" i="1"/>
  <c r="AJ775" i="1"/>
  <c r="AO774" i="1"/>
  <c r="AN774" i="1"/>
  <c r="AM774" i="1"/>
  <c r="AL774" i="1"/>
  <c r="AK774" i="1"/>
  <c r="AJ774" i="1"/>
  <c r="AO773" i="1"/>
  <c r="AN773" i="1"/>
  <c r="AM773" i="1"/>
  <c r="AL773" i="1"/>
  <c r="AK773" i="1"/>
  <c r="AJ773" i="1"/>
  <c r="AO772" i="1"/>
  <c r="AN772" i="1"/>
  <c r="AM772" i="1"/>
  <c r="AL772" i="1"/>
  <c r="AK772" i="1"/>
  <c r="AJ772" i="1"/>
  <c r="AO771" i="1"/>
  <c r="AN771" i="1"/>
  <c r="AM771" i="1"/>
  <c r="AL771" i="1"/>
  <c r="AK771" i="1"/>
  <c r="AJ771" i="1"/>
  <c r="AO770" i="1"/>
  <c r="AN770" i="1"/>
  <c r="AM770" i="1"/>
  <c r="AL770" i="1"/>
  <c r="AK770" i="1"/>
  <c r="AJ770" i="1"/>
  <c r="AO769" i="1"/>
  <c r="AN769" i="1"/>
  <c r="AM769" i="1"/>
  <c r="AL769" i="1"/>
  <c r="AK769" i="1"/>
  <c r="AJ769" i="1"/>
  <c r="AO768" i="1"/>
  <c r="AN768" i="1"/>
  <c r="AM768" i="1"/>
  <c r="AL768" i="1"/>
  <c r="AK768" i="1"/>
  <c r="AJ768" i="1"/>
  <c r="AO767" i="1"/>
  <c r="AN767" i="1"/>
  <c r="AM767" i="1"/>
  <c r="AL767" i="1"/>
  <c r="AK767" i="1"/>
  <c r="AJ767" i="1"/>
  <c r="AO766" i="1"/>
  <c r="AN766" i="1"/>
  <c r="AM766" i="1"/>
  <c r="AL766" i="1"/>
  <c r="AK766" i="1"/>
  <c r="AJ766" i="1"/>
  <c r="AO765" i="1"/>
  <c r="AN765" i="1"/>
  <c r="AM765" i="1"/>
  <c r="AL765" i="1"/>
  <c r="AK765" i="1"/>
  <c r="AJ765" i="1"/>
  <c r="AO764" i="1"/>
  <c r="AN764" i="1"/>
  <c r="AM764" i="1"/>
  <c r="AL764" i="1"/>
  <c r="AK764" i="1"/>
  <c r="AJ764" i="1"/>
  <c r="AO763" i="1"/>
  <c r="AN763" i="1"/>
  <c r="AM763" i="1"/>
  <c r="AL763" i="1"/>
  <c r="AK763" i="1"/>
  <c r="AJ763" i="1"/>
  <c r="AO762" i="1"/>
  <c r="AN762" i="1"/>
  <c r="AM762" i="1"/>
  <c r="AL762" i="1"/>
  <c r="AK762" i="1"/>
  <c r="AJ762" i="1"/>
  <c r="AO761" i="1"/>
  <c r="AN761" i="1"/>
  <c r="AM761" i="1"/>
  <c r="AL761" i="1"/>
  <c r="AK761" i="1"/>
  <c r="AJ761" i="1"/>
  <c r="AO760" i="1"/>
  <c r="AN760" i="1"/>
  <c r="AM760" i="1"/>
  <c r="AL760" i="1"/>
  <c r="AK760" i="1"/>
  <c r="AJ760" i="1"/>
  <c r="AO759" i="1"/>
  <c r="AN759" i="1"/>
  <c r="AM759" i="1"/>
  <c r="AL759" i="1"/>
  <c r="AK759" i="1"/>
  <c r="AJ759" i="1"/>
  <c r="AO758" i="1"/>
  <c r="AN758" i="1"/>
  <c r="AM758" i="1"/>
  <c r="AL758" i="1"/>
  <c r="AK758" i="1"/>
  <c r="AJ758" i="1"/>
  <c r="AO757" i="1"/>
  <c r="AN757" i="1"/>
  <c r="AM757" i="1"/>
  <c r="AL757" i="1"/>
  <c r="AK757" i="1"/>
  <c r="AJ757" i="1"/>
  <c r="AO756" i="1"/>
  <c r="AN756" i="1"/>
  <c r="AM756" i="1"/>
  <c r="AL756" i="1"/>
  <c r="AK756" i="1"/>
  <c r="AJ756" i="1"/>
  <c r="AO755" i="1"/>
  <c r="AN755" i="1"/>
  <c r="AM755" i="1"/>
  <c r="AL755" i="1"/>
  <c r="AK755" i="1"/>
  <c r="AJ755" i="1"/>
  <c r="AO754" i="1"/>
  <c r="AN754" i="1"/>
  <c r="AM754" i="1"/>
  <c r="AL754" i="1"/>
  <c r="AK754" i="1"/>
  <c r="AJ754" i="1"/>
  <c r="AO753" i="1"/>
  <c r="AN753" i="1"/>
  <c r="AM753" i="1"/>
  <c r="AL753" i="1"/>
  <c r="AK753" i="1"/>
  <c r="AJ753" i="1"/>
  <c r="AO752" i="1"/>
  <c r="AN752" i="1"/>
  <c r="AM752" i="1"/>
  <c r="AL752" i="1"/>
  <c r="AK752" i="1"/>
  <c r="AJ752" i="1"/>
  <c r="AO751" i="1"/>
  <c r="AN751" i="1"/>
  <c r="AM751" i="1"/>
  <c r="AL751" i="1"/>
  <c r="AK751" i="1"/>
  <c r="AJ751" i="1"/>
  <c r="AO750" i="1"/>
  <c r="AN750" i="1"/>
  <c r="AM750" i="1"/>
  <c r="AL750" i="1"/>
  <c r="AK750" i="1"/>
  <c r="AJ750" i="1"/>
  <c r="AO749" i="1"/>
  <c r="AN749" i="1"/>
  <c r="AM749" i="1"/>
  <c r="AL749" i="1"/>
  <c r="AK749" i="1"/>
  <c r="AJ749" i="1"/>
  <c r="AO748" i="1"/>
  <c r="AN748" i="1"/>
  <c r="AM748" i="1"/>
  <c r="AL748" i="1"/>
  <c r="AK748" i="1"/>
  <c r="AJ748" i="1"/>
  <c r="AO747" i="1"/>
  <c r="AN747" i="1"/>
  <c r="AM747" i="1"/>
  <c r="AL747" i="1"/>
  <c r="AK747" i="1"/>
  <c r="AJ747" i="1"/>
  <c r="AO746" i="1"/>
  <c r="AN746" i="1"/>
  <c r="AM746" i="1"/>
  <c r="AL746" i="1"/>
  <c r="AK746" i="1"/>
  <c r="AJ746" i="1"/>
  <c r="AO745" i="1"/>
  <c r="AN745" i="1"/>
  <c r="AM745" i="1"/>
  <c r="AL745" i="1"/>
  <c r="AK745" i="1"/>
  <c r="AJ745" i="1"/>
  <c r="AO744" i="1"/>
  <c r="AN744" i="1"/>
  <c r="AM744" i="1"/>
  <c r="AL744" i="1"/>
  <c r="AK744" i="1"/>
  <c r="AJ744" i="1"/>
  <c r="AO743" i="1"/>
  <c r="AN743" i="1"/>
  <c r="AM743" i="1"/>
  <c r="AL743" i="1"/>
  <c r="AK743" i="1"/>
  <c r="AJ743" i="1"/>
  <c r="AO742" i="1"/>
  <c r="AN742" i="1"/>
  <c r="AM742" i="1"/>
  <c r="AL742" i="1"/>
  <c r="AK742" i="1"/>
  <c r="AJ742" i="1"/>
  <c r="AO741" i="1"/>
  <c r="AN741" i="1"/>
  <c r="AM741" i="1"/>
  <c r="AL741" i="1"/>
  <c r="AK741" i="1"/>
  <c r="AJ741" i="1"/>
  <c r="AO740" i="1"/>
  <c r="AN740" i="1"/>
  <c r="AM740" i="1"/>
  <c r="AL740" i="1"/>
  <c r="AK740" i="1"/>
  <c r="AJ740" i="1"/>
  <c r="AO739" i="1"/>
  <c r="AN739" i="1"/>
  <c r="AM739" i="1"/>
  <c r="AL739" i="1"/>
  <c r="AK739" i="1"/>
  <c r="AJ739" i="1"/>
  <c r="AO738" i="1"/>
  <c r="AN738" i="1"/>
  <c r="AM738" i="1"/>
  <c r="AL738" i="1"/>
  <c r="AK738" i="1"/>
  <c r="AJ738" i="1"/>
  <c r="AO737" i="1"/>
  <c r="AN737" i="1"/>
  <c r="AM737" i="1"/>
  <c r="AL737" i="1"/>
  <c r="AK737" i="1"/>
  <c r="AJ737" i="1"/>
  <c r="AO736" i="1"/>
  <c r="AN736" i="1"/>
  <c r="AM736" i="1"/>
  <c r="AL736" i="1"/>
  <c r="AK736" i="1"/>
  <c r="AJ736" i="1"/>
  <c r="AO735" i="1"/>
  <c r="AN735" i="1"/>
  <c r="AM735" i="1"/>
  <c r="AL735" i="1"/>
  <c r="AK735" i="1"/>
  <c r="AJ735" i="1"/>
  <c r="AO734" i="1"/>
  <c r="AN734" i="1"/>
  <c r="AM734" i="1"/>
  <c r="AL734" i="1"/>
  <c r="AK734" i="1"/>
  <c r="AJ734" i="1"/>
  <c r="AO733" i="1"/>
  <c r="AN733" i="1"/>
  <c r="AM733" i="1"/>
  <c r="AL733" i="1"/>
  <c r="AK733" i="1"/>
  <c r="AJ733" i="1"/>
  <c r="AO732" i="1"/>
  <c r="AN732" i="1"/>
  <c r="AM732" i="1"/>
  <c r="AL732" i="1"/>
  <c r="AK732" i="1"/>
  <c r="AJ732" i="1"/>
  <c r="AO731" i="1"/>
  <c r="AN731" i="1"/>
  <c r="AM731" i="1"/>
  <c r="AL731" i="1"/>
  <c r="AK731" i="1"/>
  <c r="AJ731" i="1"/>
  <c r="AO730" i="1"/>
  <c r="AN730" i="1"/>
  <c r="AM730" i="1"/>
  <c r="AL730" i="1"/>
  <c r="AK730" i="1"/>
  <c r="AJ730" i="1"/>
  <c r="AO729" i="1"/>
  <c r="AN729" i="1"/>
  <c r="AM729" i="1"/>
  <c r="AL729" i="1"/>
  <c r="AK729" i="1"/>
  <c r="AJ729" i="1"/>
  <c r="AO728" i="1"/>
  <c r="AN728" i="1"/>
  <c r="AM728" i="1"/>
  <c r="AL728" i="1"/>
  <c r="AK728" i="1"/>
  <c r="AJ728" i="1"/>
  <c r="AO727" i="1"/>
  <c r="AN727" i="1"/>
  <c r="AM727" i="1"/>
  <c r="AL727" i="1"/>
  <c r="AK727" i="1"/>
  <c r="AJ727" i="1"/>
  <c r="AO726" i="1"/>
  <c r="AN726" i="1"/>
  <c r="AM726" i="1"/>
  <c r="AL726" i="1"/>
  <c r="AK726" i="1"/>
  <c r="AJ726" i="1"/>
  <c r="AO725" i="1"/>
  <c r="AN725" i="1"/>
  <c r="AM725" i="1"/>
  <c r="AL725" i="1"/>
  <c r="AK725" i="1"/>
  <c r="AJ725" i="1"/>
  <c r="AO724" i="1"/>
  <c r="AN724" i="1"/>
  <c r="AM724" i="1"/>
  <c r="AL724" i="1"/>
  <c r="AK724" i="1"/>
  <c r="AJ724" i="1"/>
  <c r="AO723" i="1"/>
  <c r="AN723" i="1"/>
  <c r="AM723" i="1"/>
  <c r="AL723" i="1"/>
  <c r="AK723" i="1"/>
  <c r="AJ723" i="1"/>
  <c r="AO722" i="1"/>
  <c r="AN722" i="1"/>
  <c r="AM722" i="1"/>
  <c r="AL722" i="1"/>
  <c r="AK722" i="1"/>
  <c r="AJ722" i="1"/>
  <c r="AO721" i="1"/>
  <c r="AN721" i="1"/>
  <c r="AM721" i="1"/>
  <c r="AL721" i="1"/>
  <c r="AK721" i="1"/>
  <c r="AJ721" i="1"/>
  <c r="AO720" i="1"/>
  <c r="AN720" i="1"/>
  <c r="AM720" i="1"/>
  <c r="AL720" i="1"/>
  <c r="AK720" i="1"/>
  <c r="AJ720" i="1"/>
  <c r="AO719" i="1"/>
  <c r="AN719" i="1"/>
  <c r="AM719" i="1"/>
  <c r="AL719" i="1"/>
  <c r="AK719" i="1"/>
  <c r="AJ719" i="1"/>
  <c r="AO718" i="1"/>
  <c r="AN718" i="1"/>
  <c r="AM718" i="1"/>
  <c r="AL718" i="1"/>
  <c r="AK718" i="1"/>
  <c r="AJ718" i="1"/>
  <c r="AO717" i="1"/>
  <c r="AN717" i="1"/>
  <c r="AM717" i="1"/>
  <c r="AL717" i="1"/>
  <c r="AK717" i="1"/>
  <c r="AJ717" i="1"/>
  <c r="AO716" i="1"/>
  <c r="AN716" i="1"/>
  <c r="AM716" i="1"/>
  <c r="AL716" i="1"/>
  <c r="AK716" i="1"/>
  <c r="AJ716" i="1"/>
  <c r="AO715" i="1"/>
  <c r="AN715" i="1"/>
  <c r="AM715" i="1"/>
  <c r="AL715" i="1"/>
  <c r="AK715" i="1"/>
  <c r="AJ715" i="1"/>
  <c r="AO714" i="1"/>
  <c r="AN714" i="1"/>
  <c r="AM714" i="1"/>
  <c r="AL714" i="1"/>
  <c r="AK714" i="1"/>
  <c r="AJ714" i="1"/>
  <c r="AO713" i="1"/>
  <c r="AN713" i="1"/>
  <c r="AM713" i="1"/>
  <c r="AL713" i="1"/>
  <c r="AK713" i="1"/>
  <c r="AJ713" i="1"/>
  <c r="AO712" i="1"/>
  <c r="AN712" i="1"/>
  <c r="AM712" i="1"/>
  <c r="AL712" i="1"/>
  <c r="AK712" i="1"/>
  <c r="AJ712" i="1"/>
  <c r="AO711" i="1"/>
  <c r="AN711" i="1"/>
  <c r="AM711" i="1"/>
  <c r="AL711" i="1"/>
  <c r="AK711" i="1"/>
  <c r="AJ711" i="1"/>
  <c r="AO710" i="1"/>
  <c r="AN710" i="1"/>
  <c r="AM710" i="1"/>
  <c r="AL710" i="1"/>
  <c r="AK710" i="1"/>
  <c r="AJ710" i="1"/>
  <c r="AO709" i="1"/>
  <c r="AN709" i="1"/>
  <c r="AM709" i="1"/>
  <c r="AL709" i="1"/>
  <c r="AK709" i="1"/>
  <c r="AJ709" i="1"/>
  <c r="AO708" i="1"/>
  <c r="AN708" i="1"/>
  <c r="AM708" i="1"/>
  <c r="AL708" i="1"/>
  <c r="AK708" i="1"/>
  <c r="AJ708" i="1"/>
  <c r="AO707" i="1"/>
  <c r="AN707" i="1"/>
  <c r="AM707" i="1"/>
  <c r="AL707" i="1"/>
  <c r="AK707" i="1"/>
  <c r="AJ707" i="1"/>
  <c r="AO706" i="1"/>
  <c r="AN706" i="1"/>
  <c r="AM706" i="1"/>
  <c r="AL706" i="1"/>
  <c r="AK706" i="1"/>
  <c r="AJ706" i="1"/>
  <c r="AO705" i="1"/>
  <c r="AN705" i="1"/>
  <c r="AM705" i="1"/>
  <c r="AL705" i="1"/>
  <c r="AK705" i="1"/>
  <c r="AJ705" i="1"/>
  <c r="AO704" i="1"/>
  <c r="AN704" i="1"/>
  <c r="AM704" i="1"/>
  <c r="AL704" i="1"/>
  <c r="AK704" i="1"/>
  <c r="AJ704" i="1"/>
  <c r="AO703" i="1"/>
  <c r="AN703" i="1"/>
  <c r="AM703" i="1"/>
  <c r="AL703" i="1"/>
  <c r="AK703" i="1"/>
  <c r="AJ703" i="1"/>
  <c r="AO702" i="1"/>
  <c r="AN702" i="1"/>
  <c r="AM702" i="1"/>
  <c r="AL702" i="1"/>
  <c r="AK702" i="1"/>
  <c r="AJ702" i="1"/>
  <c r="AO701" i="1"/>
  <c r="AN701" i="1"/>
  <c r="AM701" i="1"/>
  <c r="AL701" i="1"/>
  <c r="AK701" i="1"/>
  <c r="AJ701" i="1"/>
  <c r="AO700" i="1"/>
  <c r="AN700" i="1"/>
  <c r="AM700" i="1"/>
  <c r="AL700" i="1"/>
  <c r="AK700" i="1"/>
  <c r="AJ700" i="1"/>
  <c r="AO699" i="1"/>
  <c r="AN699" i="1"/>
  <c r="AM699" i="1"/>
  <c r="AL699" i="1"/>
  <c r="AK699" i="1"/>
  <c r="AJ699" i="1"/>
  <c r="AO698" i="1"/>
  <c r="AN698" i="1"/>
  <c r="AM698" i="1"/>
  <c r="AL698" i="1"/>
  <c r="AK698" i="1"/>
  <c r="AJ698" i="1"/>
  <c r="AO697" i="1"/>
  <c r="AN697" i="1"/>
  <c r="AM697" i="1"/>
  <c r="AL697" i="1"/>
  <c r="AK697" i="1"/>
  <c r="AJ697" i="1"/>
  <c r="AO696" i="1"/>
  <c r="AN696" i="1"/>
  <c r="AM696" i="1"/>
  <c r="AL696" i="1"/>
  <c r="AK696" i="1"/>
  <c r="AJ696" i="1"/>
  <c r="AO695" i="1"/>
  <c r="AN695" i="1"/>
  <c r="AM695" i="1"/>
  <c r="AL695" i="1"/>
  <c r="AK695" i="1"/>
  <c r="AJ695" i="1"/>
  <c r="AO694" i="1"/>
  <c r="AN694" i="1"/>
  <c r="AM694" i="1"/>
  <c r="AL694" i="1"/>
  <c r="AK694" i="1"/>
  <c r="AJ694" i="1"/>
  <c r="AO693" i="1"/>
  <c r="AN693" i="1"/>
  <c r="AM693" i="1"/>
  <c r="AL693" i="1"/>
  <c r="AK693" i="1"/>
  <c r="AJ693" i="1"/>
  <c r="AO692" i="1"/>
  <c r="AN692" i="1"/>
  <c r="AM692" i="1"/>
  <c r="AL692" i="1"/>
  <c r="AK692" i="1"/>
  <c r="AJ692" i="1"/>
  <c r="AO691" i="1"/>
  <c r="AN691" i="1"/>
  <c r="AM691" i="1"/>
  <c r="AL691" i="1"/>
  <c r="AK691" i="1"/>
  <c r="AJ691" i="1"/>
  <c r="AO690" i="1"/>
  <c r="AN690" i="1"/>
  <c r="AM690" i="1"/>
  <c r="AL690" i="1"/>
  <c r="AK690" i="1"/>
  <c r="AJ690" i="1"/>
  <c r="AO689" i="1"/>
  <c r="AN689" i="1"/>
  <c r="AM689" i="1"/>
  <c r="AL689" i="1"/>
  <c r="AK689" i="1"/>
  <c r="AJ689" i="1"/>
  <c r="AO688" i="1"/>
  <c r="AN688" i="1"/>
  <c r="AM688" i="1"/>
  <c r="AL688" i="1"/>
  <c r="AK688" i="1"/>
  <c r="AJ688" i="1"/>
  <c r="AO687" i="1"/>
  <c r="AN687" i="1"/>
  <c r="AM687" i="1"/>
  <c r="AL687" i="1"/>
  <c r="AK687" i="1"/>
  <c r="AJ687" i="1"/>
  <c r="AO686" i="1"/>
  <c r="AN686" i="1"/>
  <c r="AM686" i="1"/>
  <c r="AL686" i="1"/>
  <c r="AK686" i="1"/>
  <c r="AJ686" i="1"/>
  <c r="AO685" i="1"/>
  <c r="AN685" i="1"/>
  <c r="AM685" i="1"/>
  <c r="AL685" i="1"/>
  <c r="AK685" i="1"/>
  <c r="AJ685" i="1"/>
  <c r="AO684" i="1"/>
  <c r="AN684" i="1"/>
  <c r="AM684" i="1"/>
  <c r="AL684" i="1"/>
  <c r="AK684" i="1"/>
  <c r="AJ684" i="1"/>
  <c r="AO683" i="1"/>
  <c r="AN683" i="1"/>
  <c r="AM683" i="1"/>
  <c r="AL683" i="1"/>
  <c r="AK683" i="1"/>
  <c r="AJ683" i="1"/>
  <c r="AO682" i="1"/>
  <c r="AN682" i="1"/>
  <c r="AM682" i="1"/>
  <c r="AL682" i="1"/>
  <c r="AK682" i="1"/>
  <c r="AJ682" i="1"/>
  <c r="AO681" i="1"/>
  <c r="AN681" i="1"/>
  <c r="AM681" i="1"/>
  <c r="AL681" i="1"/>
  <c r="AK681" i="1"/>
  <c r="AJ681" i="1"/>
  <c r="AO680" i="1"/>
  <c r="AN680" i="1"/>
  <c r="AM680" i="1"/>
  <c r="AL680" i="1"/>
  <c r="AK680" i="1"/>
  <c r="AJ680" i="1"/>
  <c r="AO679" i="1"/>
  <c r="AN679" i="1"/>
  <c r="AM679" i="1"/>
  <c r="AL679" i="1"/>
  <c r="AK679" i="1"/>
  <c r="AJ679" i="1"/>
  <c r="AO678" i="1"/>
  <c r="AN678" i="1"/>
  <c r="AM678" i="1"/>
  <c r="AL678" i="1"/>
  <c r="AK678" i="1"/>
  <c r="AJ678" i="1"/>
  <c r="AO677" i="1"/>
  <c r="AN677" i="1"/>
  <c r="AM677" i="1"/>
  <c r="AL677" i="1"/>
  <c r="AK677" i="1"/>
  <c r="AJ677" i="1"/>
  <c r="AO676" i="1"/>
  <c r="AN676" i="1"/>
  <c r="AM676" i="1"/>
  <c r="AL676" i="1"/>
  <c r="AK676" i="1"/>
  <c r="AJ676" i="1"/>
  <c r="AO675" i="1"/>
  <c r="AN675" i="1"/>
  <c r="AM675" i="1"/>
  <c r="AL675" i="1"/>
  <c r="AK675" i="1"/>
  <c r="AJ675" i="1"/>
  <c r="AO674" i="1"/>
  <c r="AN674" i="1"/>
  <c r="AM674" i="1"/>
  <c r="AL674" i="1"/>
  <c r="AK674" i="1"/>
  <c r="AJ674" i="1"/>
  <c r="AO673" i="1"/>
  <c r="AN673" i="1"/>
  <c r="AM673" i="1"/>
  <c r="AL673" i="1"/>
  <c r="AK673" i="1"/>
  <c r="AJ673" i="1"/>
  <c r="AO672" i="1"/>
  <c r="AN672" i="1"/>
  <c r="AM672" i="1"/>
  <c r="AL672" i="1"/>
  <c r="AK672" i="1"/>
  <c r="AJ672" i="1"/>
  <c r="AO671" i="1"/>
  <c r="AN671" i="1"/>
  <c r="AM671" i="1"/>
  <c r="AL671" i="1"/>
  <c r="AK671" i="1"/>
  <c r="AJ671" i="1"/>
  <c r="AO670" i="1"/>
  <c r="AN670" i="1"/>
  <c r="AM670" i="1"/>
  <c r="AL670" i="1"/>
  <c r="AK670" i="1"/>
  <c r="AJ670" i="1"/>
  <c r="AO669" i="1"/>
  <c r="AN669" i="1"/>
  <c r="AM669" i="1"/>
  <c r="AL669" i="1"/>
  <c r="AK669" i="1"/>
  <c r="AJ669" i="1"/>
  <c r="AO668" i="1"/>
  <c r="AN668" i="1"/>
  <c r="AM668" i="1"/>
  <c r="AL668" i="1"/>
  <c r="AK668" i="1"/>
  <c r="AJ668" i="1"/>
  <c r="AO667" i="1"/>
  <c r="AN667" i="1"/>
  <c r="AM667" i="1"/>
  <c r="AL667" i="1"/>
  <c r="AK667" i="1"/>
  <c r="AJ667" i="1"/>
  <c r="AO666" i="1"/>
  <c r="AN666" i="1"/>
  <c r="AM666" i="1"/>
  <c r="AL666" i="1"/>
  <c r="AK666" i="1"/>
  <c r="AJ666" i="1"/>
  <c r="AO665" i="1"/>
  <c r="AN665" i="1"/>
  <c r="AM665" i="1"/>
  <c r="AL665" i="1"/>
  <c r="AK665" i="1"/>
  <c r="AJ665" i="1"/>
  <c r="AO664" i="1"/>
  <c r="AN664" i="1"/>
  <c r="AM664" i="1"/>
  <c r="AL664" i="1"/>
  <c r="AK664" i="1"/>
  <c r="AJ664" i="1"/>
  <c r="AO663" i="1"/>
  <c r="AN663" i="1"/>
  <c r="AM663" i="1"/>
  <c r="AL663" i="1"/>
  <c r="AK663" i="1"/>
  <c r="AJ663" i="1"/>
  <c r="AO662" i="1"/>
  <c r="AN662" i="1"/>
  <c r="AM662" i="1"/>
  <c r="AL662" i="1"/>
  <c r="AK662" i="1"/>
  <c r="AJ662" i="1"/>
  <c r="AO661" i="1"/>
  <c r="AN661" i="1"/>
  <c r="AM661" i="1"/>
  <c r="AL661" i="1"/>
  <c r="AK661" i="1"/>
  <c r="AJ661" i="1"/>
  <c r="AO660" i="1"/>
  <c r="AN660" i="1"/>
  <c r="AM660" i="1"/>
  <c r="AL660" i="1"/>
  <c r="AK660" i="1"/>
  <c r="AJ660" i="1"/>
  <c r="AO659" i="1"/>
  <c r="AN659" i="1"/>
  <c r="AM659" i="1"/>
  <c r="AL659" i="1"/>
  <c r="AK659" i="1"/>
  <c r="AJ659" i="1"/>
  <c r="AO658" i="1"/>
  <c r="AN658" i="1"/>
  <c r="AM658" i="1"/>
  <c r="AL658" i="1"/>
  <c r="AK658" i="1"/>
  <c r="AJ658" i="1"/>
  <c r="AO657" i="1"/>
  <c r="AN657" i="1"/>
  <c r="AM657" i="1"/>
  <c r="AL657" i="1"/>
  <c r="AK657" i="1"/>
  <c r="AJ657" i="1"/>
  <c r="AO656" i="1"/>
  <c r="AN656" i="1"/>
  <c r="AM656" i="1"/>
  <c r="AL656" i="1"/>
  <c r="AK656" i="1"/>
  <c r="AJ656" i="1"/>
  <c r="AO655" i="1"/>
  <c r="AN655" i="1"/>
  <c r="AM655" i="1"/>
  <c r="AL655" i="1"/>
  <c r="AK655" i="1"/>
  <c r="AJ655" i="1"/>
  <c r="AO654" i="1"/>
  <c r="AN654" i="1"/>
  <c r="AM654" i="1"/>
  <c r="AL654" i="1"/>
  <c r="AK654" i="1"/>
  <c r="AJ654" i="1"/>
  <c r="AO653" i="1"/>
  <c r="AN653" i="1"/>
  <c r="AM653" i="1"/>
  <c r="AL653" i="1"/>
  <c r="AK653" i="1"/>
  <c r="AJ653" i="1"/>
  <c r="AO652" i="1"/>
  <c r="AN652" i="1"/>
  <c r="AM652" i="1"/>
  <c r="AL652" i="1"/>
  <c r="AK652" i="1"/>
  <c r="AJ652" i="1"/>
  <c r="AO651" i="1"/>
  <c r="AN651" i="1"/>
  <c r="AM651" i="1"/>
  <c r="AL651" i="1"/>
  <c r="AK651" i="1"/>
  <c r="AJ651" i="1"/>
  <c r="AO650" i="1"/>
  <c r="AN650" i="1"/>
  <c r="AM650" i="1"/>
  <c r="AL650" i="1"/>
  <c r="AK650" i="1"/>
  <c r="AJ650" i="1"/>
  <c r="AO649" i="1"/>
  <c r="AN649" i="1"/>
  <c r="AM649" i="1"/>
  <c r="AL649" i="1"/>
  <c r="AK649" i="1"/>
  <c r="AJ649" i="1"/>
  <c r="AO648" i="1"/>
  <c r="AN648" i="1"/>
  <c r="AM648" i="1"/>
  <c r="AL648" i="1"/>
  <c r="AK648" i="1"/>
  <c r="AJ648" i="1"/>
  <c r="AO647" i="1"/>
  <c r="AN647" i="1"/>
  <c r="AM647" i="1"/>
  <c r="AL647" i="1"/>
  <c r="AK647" i="1"/>
  <c r="AJ647" i="1"/>
  <c r="AO646" i="1"/>
  <c r="AN646" i="1"/>
  <c r="AM646" i="1"/>
  <c r="AL646" i="1"/>
  <c r="AK646" i="1"/>
  <c r="AJ646" i="1"/>
  <c r="AO645" i="1"/>
  <c r="AN645" i="1"/>
  <c r="AM645" i="1"/>
  <c r="AL645" i="1"/>
  <c r="AK645" i="1"/>
  <c r="AJ645" i="1"/>
  <c r="AO644" i="1"/>
  <c r="AN644" i="1"/>
  <c r="AM644" i="1"/>
  <c r="AL644" i="1"/>
  <c r="AK644" i="1"/>
  <c r="AJ644" i="1"/>
  <c r="AO643" i="1"/>
  <c r="AN643" i="1"/>
  <c r="AM643" i="1"/>
  <c r="AL643" i="1"/>
  <c r="AK643" i="1"/>
  <c r="AJ643" i="1"/>
  <c r="AO642" i="1"/>
  <c r="AN642" i="1"/>
  <c r="AM642" i="1"/>
  <c r="AL642" i="1"/>
  <c r="AK642" i="1"/>
  <c r="AJ642" i="1"/>
  <c r="AO641" i="1"/>
  <c r="AN641" i="1"/>
  <c r="AM641" i="1"/>
  <c r="AL641" i="1"/>
  <c r="AK641" i="1"/>
  <c r="AJ641" i="1"/>
  <c r="AO640" i="1"/>
  <c r="AN640" i="1"/>
  <c r="AM640" i="1"/>
  <c r="AL640" i="1"/>
  <c r="AK640" i="1"/>
  <c r="AJ640" i="1"/>
  <c r="AO639" i="1"/>
  <c r="AN639" i="1"/>
  <c r="AM639" i="1"/>
  <c r="AL639" i="1"/>
  <c r="AK639" i="1"/>
  <c r="AJ639" i="1"/>
  <c r="AO638" i="1"/>
  <c r="AN638" i="1"/>
  <c r="AM638" i="1"/>
  <c r="AL638" i="1"/>
  <c r="AK638" i="1"/>
  <c r="AJ638" i="1"/>
  <c r="AO637" i="1"/>
  <c r="AN637" i="1"/>
  <c r="AM637" i="1"/>
  <c r="AL637" i="1"/>
  <c r="AK637" i="1"/>
  <c r="AJ637" i="1"/>
  <c r="AO636" i="1"/>
  <c r="AN636" i="1"/>
  <c r="AM636" i="1"/>
  <c r="AL636" i="1"/>
  <c r="AK636" i="1"/>
  <c r="AJ636" i="1"/>
  <c r="AO635" i="1"/>
  <c r="AN635" i="1"/>
  <c r="AM635" i="1"/>
  <c r="AL635" i="1"/>
  <c r="AK635" i="1"/>
  <c r="AJ635" i="1"/>
  <c r="AO634" i="1"/>
  <c r="AN634" i="1"/>
  <c r="AM634" i="1"/>
  <c r="AL634" i="1"/>
  <c r="AK634" i="1"/>
  <c r="AJ634" i="1"/>
  <c r="AO633" i="1"/>
  <c r="AN633" i="1"/>
  <c r="AM633" i="1"/>
  <c r="AL633" i="1"/>
  <c r="AK633" i="1"/>
  <c r="AJ633" i="1"/>
  <c r="AO632" i="1"/>
  <c r="AN632" i="1"/>
  <c r="AM632" i="1"/>
  <c r="AL632" i="1"/>
  <c r="AK632" i="1"/>
  <c r="AJ632" i="1"/>
  <c r="AO631" i="1"/>
  <c r="AN631" i="1"/>
  <c r="AM631" i="1"/>
  <c r="AL631" i="1"/>
  <c r="AK631" i="1"/>
  <c r="AJ631" i="1"/>
  <c r="AO630" i="1"/>
  <c r="AN630" i="1"/>
  <c r="AM630" i="1"/>
  <c r="AL630" i="1"/>
  <c r="AK630" i="1"/>
  <c r="AJ630" i="1"/>
  <c r="AO629" i="1"/>
  <c r="AN629" i="1"/>
  <c r="AM629" i="1"/>
  <c r="AL629" i="1"/>
  <c r="AK629" i="1"/>
  <c r="AJ629" i="1"/>
  <c r="AO628" i="1"/>
  <c r="AN628" i="1"/>
  <c r="AM628" i="1"/>
  <c r="AL628" i="1"/>
  <c r="AK628" i="1"/>
  <c r="AJ628" i="1"/>
  <c r="AO627" i="1"/>
  <c r="AN627" i="1"/>
  <c r="AM627" i="1"/>
  <c r="AL627" i="1"/>
  <c r="AK627" i="1"/>
  <c r="AJ627" i="1"/>
  <c r="AO626" i="1"/>
  <c r="AN626" i="1"/>
  <c r="AM626" i="1"/>
  <c r="AL626" i="1"/>
  <c r="AK626" i="1"/>
  <c r="AJ626" i="1"/>
  <c r="AO625" i="1"/>
  <c r="AN625" i="1"/>
  <c r="AM625" i="1"/>
  <c r="AL625" i="1"/>
  <c r="AK625" i="1"/>
  <c r="AJ625" i="1"/>
  <c r="AO624" i="1"/>
  <c r="AN624" i="1"/>
  <c r="AM624" i="1"/>
  <c r="AL624" i="1"/>
  <c r="AK624" i="1"/>
  <c r="AJ624" i="1"/>
  <c r="AO623" i="1"/>
  <c r="AN623" i="1"/>
  <c r="AM623" i="1"/>
  <c r="AL623" i="1"/>
  <c r="AK623" i="1"/>
  <c r="AJ623" i="1"/>
  <c r="AO622" i="1"/>
  <c r="AN622" i="1"/>
  <c r="AM622" i="1"/>
  <c r="AL622" i="1"/>
  <c r="AK622" i="1"/>
  <c r="AJ622" i="1"/>
  <c r="AO621" i="1"/>
  <c r="AN621" i="1"/>
  <c r="AM621" i="1"/>
  <c r="AL621" i="1"/>
  <c r="AK621" i="1"/>
  <c r="AJ621" i="1"/>
  <c r="AO620" i="1"/>
  <c r="AN620" i="1"/>
  <c r="AM620" i="1"/>
  <c r="AL620" i="1"/>
  <c r="AK620" i="1"/>
  <c r="AJ620" i="1"/>
  <c r="AO619" i="1"/>
  <c r="AN619" i="1"/>
  <c r="AM619" i="1"/>
  <c r="AL619" i="1"/>
  <c r="AK619" i="1"/>
  <c r="AJ619" i="1"/>
  <c r="AO618" i="1"/>
  <c r="AN618" i="1"/>
  <c r="AM618" i="1"/>
  <c r="AL618" i="1"/>
  <c r="AK618" i="1"/>
  <c r="AJ618" i="1"/>
  <c r="AO617" i="1"/>
  <c r="AN617" i="1"/>
  <c r="AM617" i="1"/>
  <c r="AL617" i="1"/>
  <c r="AK617" i="1"/>
  <c r="AJ617" i="1"/>
  <c r="AO616" i="1"/>
  <c r="AN616" i="1"/>
  <c r="AM616" i="1"/>
  <c r="AL616" i="1"/>
  <c r="AK616" i="1"/>
  <c r="AJ616" i="1"/>
  <c r="AO615" i="1"/>
  <c r="AN615" i="1"/>
  <c r="AM615" i="1"/>
  <c r="AL615" i="1"/>
  <c r="AK615" i="1"/>
  <c r="AJ615" i="1"/>
  <c r="AO614" i="1"/>
  <c r="AN614" i="1"/>
  <c r="AM614" i="1"/>
  <c r="AL614" i="1"/>
  <c r="AK614" i="1"/>
  <c r="AJ614" i="1"/>
  <c r="AO613" i="1"/>
  <c r="AN613" i="1"/>
  <c r="AM613" i="1"/>
  <c r="AL613" i="1"/>
  <c r="AK613" i="1"/>
  <c r="AJ613" i="1"/>
  <c r="AO612" i="1"/>
  <c r="AN612" i="1"/>
  <c r="AM612" i="1"/>
  <c r="AL612" i="1"/>
  <c r="AK612" i="1"/>
  <c r="AJ612" i="1"/>
  <c r="AO611" i="1"/>
  <c r="AN611" i="1"/>
  <c r="AM611" i="1"/>
  <c r="AL611" i="1"/>
  <c r="AK611" i="1"/>
  <c r="AJ611" i="1"/>
  <c r="AO610" i="1"/>
  <c r="AN610" i="1"/>
  <c r="AM610" i="1"/>
  <c r="AL610" i="1"/>
  <c r="AK610" i="1"/>
  <c r="AJ610" i="1"/>
  <c r="AO609" i="1"/>
  <c r="AN609" i="1"/>
  <c r="AM609" i="1"/>
  <c r="AL609" i="1"/>
  <c r="AK609" i="1"/>
  <c r="AJ609" i="1"/>
  <c r="AO608" i="1"/>
  <c r="AN608" i="1"/>
  <c r="AM608" i="1"/>
  <c r="AL608" i="1"/>
  <c r="AK608" i="1"/>
  <c r="AJ608" i="1"/>
  <c r="AO607" i="1"/>
  <c r="AN607" i="1"/>
  <c r="AM607" i="1"/>
  <c r="AL607" i="1"/>
  <c r="AK607" i="1"/>
  <c r="AJ607" i="1"/>
  <c r="AO606" i="1"/>
  <c r="AN606" i="1"/>
  <c r="AM606" i="1"/>
  <c r="AL606" i="1"/>
  <c r="AK606" i="1"/>
  <c r="AJ606" i="1"/>
  <c r="AO605" i="1"/>
  <c r="AN605" i="1"/>
  <c r="AM605" i="1"/>
  <c r="AL605" i="1"/>
  <c r="AK605" i="1"/>
  <c r="AJ605" i="1"/>
  <c r="AO604" i="1"/>
  <c r="AN604" i="1"/>
  <c r="AM604" i="1"/>
  <c r="AL604" i="1"/>
  <c r="AK604" i="1"/>
  <c r="AJ604" i="1"/>
  <c r="AO603" i="1"/>
  <c r="AN603" i="1"/>
  <c r="AM603" i="1"/>
  <c r="AL603" i="1"/>
  <c r="AK603" i="1"/>
  <c r="AJ603" i="1"/>
  <c r="AO602" i="1"/>
  <c r="AN602" i="1"/>
  <c r="AM602" i="1"/>
  <c r="AL602" i="1"/>
  <c r="AK602" i="1"/>
  <c r="AJ602" i="1"/>
  <c r="AO601" i="1"/>
  <c r="AN601" i="1"/>
  <c r="AM601" i="1"/>
  <c r="AL601" i="1"/>
  <c r="AK601" i="1"/>
  <c r="AJ601" i="1"/>
  <c r="AO600" i="1"/>
  <c r="AN600" i="1"/>
  <c r="AM600" i="1"/>
  <c r="AL600" i="1"/>
  <c r="AK600" i="1"/>
  <c r="AJ600" i="1"/>
  <c r="AO599" i="1"/>
  <c r="AN599" i="1"/>
  <c r="AM599" i="1"/>
  <c r="AL599" i="1"/>
  <c r="AK599" i="1"/>
  <c r="AJ599" i="1"/>
  <c r="AO598" i="1"/>
  <c r="AN598" i="1"/>
  <c r="AM598" i="1"/>
  <c r="AL598" i="1"/>
  <c r="AK598" i="1"/>
  <c r="AJ598" i="1"/>
  <c r="AO597" i="1"/>
  <c r="AN597" i="1"/>
  <c r="AM597" i="1"/>
  <c r="AL597" i="1"/>
  <c r="AK597" i="1"/>
  <c r="AJ597" i="1"/>
  <c r="AO596" i="1"/>
  <c r="AN596" i="1"/>
  <c r="AM596" i="1"/>
  <c r="AL596" i="1"/>
  <c r="AK596" i="1"/>
  <c r="AJ596" i="1"/>
  <c r="AO595" i="1"/>
  <c r="AN595" i="1"/>
  <c r="AM595" i="1"/>
  <c r="AL595" i="1"/>
  <c r="AK595" i="1"/>
  <c r="AJ595" i="1"/>
  <c r="AO594" i="1"/>
  <c r="AN594" i="1"/>
  <c r="AM594" i="1"/>
  <c r="AL594" i="1"/>
  <c r="AK594" i="1"/>
  <c r="AJ594" i="1"/>
  <c r="AO593" i="1"/>
  <c r="AN593" i="1"/>
  <c r="AM593" i="1"/>
  <c r="AL593" i="1"/>
  <c r="AK593" i="1"/>
  <c r="AJ593" i="1"/>
  <c r="AO592" i="1"/>
  <c r="AN592" i="1"/>
  <c r="AM592" i="1"/>
  <c r="AL592" i="1"/>
  <c r="AK592" i="1"/>
  <c r="AJ592" i="1"/>
  <c r="AO591" i="1"/>
  <c r="AN591" i="1"/>
  <c r="AM591" i="1"/>
  <c r="AL591" i="1"/>
  <c r="AK591" i="1"/>
  <c r="AJ591" i="1"/>
  <c r="AO590" i="1"/>
  <c r="AN590" i="1"/>
  <c r="AM590" i="1"/>
  <c r="AL590" i="1"/>
  <c r="AK590" i="1"/>
  <c r="AJ590" i="1"/>
  <c r="AO589" i="1"/>
  <c r="AN589" i="1"/>
  <c r="AM589" i="1"/>
  <c r="AL589" i="1"/>
  <c r="AK589" i="1"/>
  <c r="AJ589" i="1"/>
  <c r="AO588" i="1"/>
  <c r="AN588" i="1"/>
  <c r="AM588" i="1"/>
  <c r="AL588" i="1"/>
  <c r="AK588" i="1"/>
  <c r="AJ588" i="1"/>
  <c r="AO587" i="1"/>
  <c r="AN587" i="1"/>
  <c r="AM587" i="1"/>
  <c r="AL587" i="1"/>
  <c r="AK587" i="1"/>
  <c r="AJ587" i="1"/>
  <c r="AO586" i="1"/>
  <c r="AN586" i="1"/>
  <c r="AM586" i="1"/>
  <c r="AL586" i="1"/>
  <c r="AK586" i="1"/>
  <c r="AJ586" i="1"/>
  <c r="AO585" i="1"/>
  <c r="AN585" i="1"/>
  <c r="AM585" i="1"/>
  <c r="AL585" i="1"/>
  <c r="AK585" i="1"/>
  <c r="AJ585" i="1"/>
  <c r="AO584" i="1"/>
  <c r="AN584" i="1"/>
  <c r="AM584" i="1"/>
  <c r="AL584" i="1"/>
  <c r="AK584" i="1"/>
  <c r="AJ584" i="1"/>
  <c r="AO583" i="1"/>
  <c r="AN583" i="1"/>
  <c r="AM583" i="1"/>
  <c r="AL583" i="1"/>
  <c r="AK583" i="1"/>
  <c r="AJ583" i="1"/>
  <c r="AO582" i="1"/>
  <c r="AN582" i="1"/>
  <c r="AM582" i="1"/>
  <c r="AL582" i="1"/>
  <c r="AK582" i="1"/>
  <c r="AJ582" i="1"/>
  <c r="AO581" i="1"/>
  <c r="AN581" i="1"/>
  <c r="AM581" i="1"/>
  <c r="AL581" i="1"/>
  <c r="AK581" i="1"/>
  <c r="AJ581" i="1"/>
  <c r="AO580" i="1"/>
  <c r="AN580" i="1"/>
  <c r="AM580" i="1"/>
  <c r="AL580" i="1"/>
  <c r="AK580" i="1"/>
  <c r="AJ580" i="1"/>
  <c r="AO579" i="1"/>
  <c r="AN579" i="1"/>
  <c r="AM579" i="1"/>
  <c r="AL579" i="1"/>
  <c r="AK579" i="1"/>
  <c r="AJ579" i="1"/>
  <c r="AO578" i="1"/>
  <c r="AN578" i="1"/>
  <c r="AM578" i="1"/>
  <c r="AL578" i="1"/>
  <c r="AK578" i="1"/>
  <c r="AJ578" i="1"/>
  <c r="AO577" i="1"/>
  <c r="AN577" i="1"/>
  <c r="AM577" i="1"/>
  <c r="AL577" i="1"/>
  <c r="AK577" i="1"/>
  <c r="AJ577" i="1"/>
  <c r="AO576" i="1"/>
  <c r="AN576" i="1"/>
  <c r="AM576" i="1"/>
  <c r="AL576" i="1"/>
  <c r="AK576" i="1"/>
  <c r="AJ576" i="1"/>
  <c r="AO575" i="1"/>
  <c r="AN575" i="1"/>
  <c r="AM575" i="1"/>
  <c r="AL575" i="1"/>
  <c r="AK575" i="1"/>
  <c r="AJ575" i="1"/>
  <c r="AO574" i="1"/>
  <c r="AN574" i="1"/>
  <c r="AM574" i="1"/>
  <c r="AL574" i="1"/>
  <c r="AK574" i="1"/>
  <c r="AJ574" i="1"/>
  <c r="AO573" i="1"/>
  <c r="AN573" i="1"/>
  <c r="AM573" i="1"/>
  <c r="AL573" i="1"/>
  <c r="AK573" i="1"/>
  <c r="AJ573" i="1"/>
  <c r="AO572" i="1"/>
  <c r="AN572" i="1"/>
  <c r="AM572" i="1"/>
  <c r="AL572" i="1"/>
  <c r="AK572" i="1"/>
  <c r="AJ572" i="1"/>
  <c r="AO571" i="1"/>
  <c r="AN571" i="1"/>
  <c r="AM571" i="1"/>
  <c r="AL571" i="1"/>
  <c r="AK571" i="1"/>
  <c r="AJ571" i="1"/>
  <c r="AO570" i="1"/>
  <c r="AN570" i="1"/>
  <c r="AM570" i="1"/>
  <c r="AL570" i="1"/>
  <c r="AK570" i="1"/>
  <c r="AJ570" i="1"/>
  <c r="AO569" i="1"/>
  <c r="AN569" i="1"/>
  <c r="AM569" i="1"/>
  <c r="AL569" i="1"/>
  <c r="AK569" i="1"/>
  <c r="AJ569" i="1"/>
  <c r="AO568" i="1"/>
  <c r="AN568" i="1"/>
  <c r="AM568" i="1"/>
  <c r="AL568" i="1"/>
  <c r="AK568" i="1"/>
  <c r="AJ568" i="1"/>
  <c r="AO567" i="1"/>
  <c r="AN567" i="1"/>
  <c r="AM567" i="1"/>
  <c r="AL567" i="1"/>
  <c r="AK567" i="1"/>
  <c r="AJ567" i="1"/>
  <c r="AO566" i="1"/>
  <c r="AN566" i="1"/>
  <c r="AM566" i="1"/>
  <c r="AL566" i="1"/>
  <c r="AK566" i="1"/>
  <c r="AJ566" i="1"/>
  <c r="AO565" i="1"/>
  <c r="AN565" i="1"/>
  <c r="AM565" i="1"/>
  <c r="AL565" i="1"/>
  <c r="AK565" i="1"/>
  <c r="AJ565" i="1"/>
  <c r="AO564" i="1"/>
  <c r="AN564" i="1"/>
  <c r="AM564" i="1"/>
  <c r="AL564" i="1"/>
  <c r="AK564" i="1"/>
  <c r="AJ564" i="1"/>
  <c r="AO563" i="1"/>
  <c r="AN563" i="1"/>
  <c r="AM563" i="1"/>
  <c r="AL563" i="1"/>
  <c r="AK563" i="1"/>
  <c r="AJ563" i="1"/>
  <c r="AO562" i="1"/>
  <c r="AN562" i="1"/>
  <c r="AM562" i="1"/>
  <c r="AL562" i="1"/>
  <c r="AK562" i="1"/>
  <c r="AJ562" i="1"/>
  <c r="AO561" i="1"/>
  <c r="AN561" i="1"/>
  <c r="AM561" i="1"/>
  <c r="AL561" i="1"/>
  <c r="AK561" i="1"/>
  <c r="AJ561" i="1"/>
  <c r="AO560" i="1"/>
  <c r="AN560" i="1"/>
  <c r="AM560" i="1"/>
  <c r="AL560" i="1"/>
  <c r="AK560" i="1"/>
  <c r="AJ560" i="1"/>
  <c r="AO559" i="1"/>
  <c r="AN559" i="1"/>
  <c r="AM559" i="1"/>
  <c r="AL559" i="1"/>
  <c r="AK559" i="1"/>
  <c r="AJ559" i="1"/>
  <c r="AO558" i="1"/>
  <c r="AN558" i="1"/>
  <c r="AM558" i="1"/>
  <c r="AL558" i="1"/>
  <c r="AK558" i="1"/>
  <c r="AJ558" i="1"/>
  <c r="AO557" i="1"/>
  <c r="AN557" i="1"/>
  <c r="AM557" i="1"/>
  <c r="AL557" i="1"/>
  <c r="AK557" i="1"/>
  <c r="AJ557" i="1"/>
  <c r="AO556" i="1"/>
  <c r="AN556" i="1"/>
  <c r="AM556" i="1"/>
  <c r="AL556" i="1"/>
  <c r="AK556" i="1"/>
  <c r="AJ556" i="1"/>
  <c r="AO555" i="1"/>
  <c r="AN555" i="1"/>
  <c r="AM555" i="1"/>
  <c r="AL555" i="1"/>
  <c r="AK555" i="1"/>
  <c r="AJ555" i="1"/>
  <c r="AO554" i="1"/>
  <c r="AN554" i="1"/>
  <c r="AM554" i="1"/>
  <c r="AL554" i="1"/>
  <c r="AK554" i="1"/>
  <c r="AJ554" i="1"/>
  <c r="AO553" i="1"/>
  <c r="AN553" i="1"/>
  <c r="AM553" i="1"/>
  <c r="AL553" i="1"/>
  <c r="AK553" i="1"/>
  <c r="AJ553" i="1"/>
  <c r="AO552" i="1"/>
  <c r="AN552" i="1"/>
  <c r="AM552" i="1"/>
  <c r="AL552" i="1"/>
  <c r="AK552" i="1"/>
  <c r="AJ552" i="1"/>
  <c r="AO551" i="1"/>
  <c r="AN551" i="1"/>
  <c r="AM551" i="1"/>
  <c r="AL551" i="1"/>
  <c r="AK551" i="1"/>
  <c r="AJ551" i="1"/>
  <c r="AO550" i="1"/>
  <c r="AN550" i="1"/>
  <c r="AM550" i="1"/>
  <c r="AL550" i="1"/>
  <c r="AK550" i="1"/>
  <c r="AJ550" i="1"/>
  <c r="AO549" i="1"/>
  <c r="AN549" i="1"/>
  <c r="AM549" i="1"/>
  <c r="AL549" i="1"/>
  <c r="AK549" i="1"/>
  <c r="AJ549" i="1"/>
  <c r="AO548" i="1"/>
  <c r="AN548" i="1"/>
  <c r="AM548" i="1"/>
  <c r="AL548" i="1"/>
  <c r="AK548" i="1"/>
  <c r="AJ548" i="1"/>
  <c r="AO547" i="1"/>
  <c r="AN547" i="1"/>
  <c r="AM547" i="1"/>
  <c r="AL547" i="1"/>
  <c r="AK547" i="1"/>
  <c r="AJ547" i="1"/>
  <c r="AO546" i="1"/>
  <c r="AN546" i="1"/>
  <c r="AM546" i="1"/>
  <c r="AL546" i="1"/>
  <c r="AK546" i="1"/>
  <c r="AJ546" i="1"/>
  <c r="AO545" i="1"/>
  <c r="AN545" i="1"/>
  <c r="AM545" i="1"/>
  <c r="AL545" i="1"/>
  <c r="AK545" i="1"/>
  <c r="AJ545" i="1"/>
  <c r="AO544" i="1"/>
  <c r="AN544" i="1"/>
  <c r="AM544" i="1"/>
  <c r="AL544" i="1"/>
  <c r="AK544" i="1"/>
  <c r="AJ544" i="1"/>
  <c r="AO543" i="1"/>
  <c r="AN543" i="1"/>
  <c r="AM543" i="1"/>
  <c r="AL543" i="1"/>
  <c r="AK543" i="1"/>
  <c r="AJ543" i="1"/>
  <c r="AO542" i="1"/>
  <c r="AN542" i="1"/>
  <c r="AM542" i="1"/>
  <c r="AL542" i="1"/>
  <c r="AK542" i="1"/>
  <c r="AJ542" i="1"/>
  <c r="AO541" i="1"/>
  <c r="AN541" i="1"/>
  <c r="AM541" i="1"/>
  <c r="AL541" i="1"/>
  <c r="AK541" i="1"/>
  <c r="AJ541" i="1"/>
  <c r="AO540" i="1"/>
  <c r="AN540" i="1"/>
  <c r="AM540" i="1"/>
  <c r="AL540" i="1"/>
  <c r="AK540" i="1"/>
  <c r="AJ540" i="1"/>
  <c r="AO539" i="1"/>
  <c r="AN539" i="1"/>
  <c r="AM539" i="1"/>
  <c r="AL539" i="1"/>
  <c r="AK539" i="1"/>
  <c r="AJ539" i="1"/>
  <c r="AO538" i="1"/>
  <c r="AN538" i="1"/>
  <c r="AM538" i="1"/>
  <c r="AL538" i="1"/>
  <c r="AK538" i="1"/>
  <c r="AJ538" i="1"/>
  <c r="AO537" i="1"/>
  <c r="AN537" i="1"/>
  <c r="AM537" i="1"/>
  <c r="AL537" i="1"/>
  <c r="AK537" i="1"/>
  <c r="AJ537" i="1"/>
  <c r="AO536" i="1"/>
  <c r="AN536" i="1"/>
  <c r="AM536" i="1"/>
  <c r="AL536" i="1"/>
  <c r="AK536" i="1"/>
  <c r="AJ536" i="1"/>
  <c r="AO535" i="1"/>
  <c r="AN535" i="1"/>
  <c r="AM535" i="1"/>
  <c r="AL535" i="1"/>
  <c r="AK535" i="1"/>
  <c r="AJ535" i="1"/>
  <c r="AO534" i="1"/>
  <c r="AN534" i="1"/>
  <c r="AM534" i="1"/>
  <c r="AL534" i="1"/>
  <c r="AK534" i="1"/>
  <c r="AJ534" i="1"/>
  <c r="AO533" i="1"/>
  <c r="AN533" i="1"/>
  <c r="AM533" i="1"/>
  <c r="AL533" i="1"/>
  <c r="AK533" i="1"/>
  <c r="AJ533" i="1"/>
  <c r="AO532" i="1"/>
  <c r="AN532" i="1"/>
  <c r="AM532" i="1"/>
  <c r="AL532" i="1"/>
  <c r="AK532" i="1"/>
  <c r="AJ532" i="1"/>
  <c r="AO531" i="1"/>
  <c r="AN531" i="1"/>
  <c r="AM531" i="1"/>
  <c r="AL531" i="1"/>
  <c r="AK531" i="1"/>
  <c r="AJ531" i="1"/>
  <c r="AO530" i="1"/>
  <c r="AN530" i="1"/>
  <c r="AM530" i="1"/>
  <c r="AL530" i="1"/>
  <c r="AK530" i="1"/>
  <c r="AJ530" i="1"/>
  <c r="AO529" i="1"/>
  <c r="AN529" i="1"/>
  <c r="AM529" i="1"/>
  <c r="AL529" i="1"/>
  <c r="AK529" i="1"/>
  <c r="AJ529" i="1"/>
  <c r="AO528" i="1"/>
  <c r="AN528" i="1"/>
  <c r="AM528" i="1"/>
  <c r="AL528" i="1"/>
  <c r="AK528" i="1"/>
  <c r="AJ528" i="1"/>
  <c r="AO527" i="1"/>
  <c r="AN527" i="1"/>
  <c r="AM527" i="1"/>
  <c r="AL527" i="1"/>
  <c r="AK527" i="1"/>
  <c r="AJ527" i="1"/>
  <c r="AO526" i="1"/>
  <c r="AN526" i="1"/>
  <c r="AM526" i="1"/>
  <c r="AL526" i="1"/>
  <c r="AK526" i="1"/>
  <c r="AJ526" i="1"/>
  <c r="AO525" i="1"/>
  <c r="AN525" i="1"/>
  <c r="AM525" i="1"/>
  <c r="AL525" i="1"/>
  <c r="AK525" i="1"/>
  <c r="AJ525" i="1"/>
  <c r="AO524" i="1"/>
  <c r="AN524" i="1"/>
  <c r="AM524" i="1"/>
  <c r="AL524" i="1"/>
  <c r="AK524" i="1"/>
  <c r="AJ524" i="1"/>
  <c r="AO523" i="1"/>
  <c r="AN523" i="1"/>
  <c r="AM523" i="1"/>
  <c r="AL523" i="1"/>
  <c r="AK523" i="1"/>
  <c r="AJ523" i="1"/>
  <c r="AO522" i="1"/>
  <c r="AN522" i="1"/>
  <c r="AM522" i="1"/>
  <c r="AL522" i="1"/>
  <c r="AK522" i="1"/>
  <c r="AJ522" i="1"/>
  <c r="AO521" i="1"/>
  <c r="AN521" i="1"/>
  <c r="AM521" i="1"/>
  <c r="AL521" i="1"/>
  <c r="AK521" i="1"/>
  <c r="AJ521" i="1"/>
  <c r="AO520" i="1"/>
  <c r="AN520" i="1"/>
  <c r="AM520" i="1"/>
  <c r="AL520" i="1"/>
  <c r="AK520" i="1"/>
  <c r="AJ520" i="1"/>
  <c r="AO519" i="1"/>
  <c r="AN519" i="1"/>
  <c r="AM519" i="1"/>
  <c r="AL519" i="1"/>
  <c r="AK519" i="1"/>
  <c r="AJ519" i="1"/>
  <c r="AO518" i="1"/>
  <c r="AN518" i="1"/>
  <c r="AM518" i="1"/>
  <c r="AL518" i="1"/>
  <c r="AK518" i="1"/>
  <c r="AJ518" i="1"/>
  <c r="AO517" i="1"/>
  <c r="AN517" i="1"/>
  <c r="AM517" i="1"/>
  <c r="AL517" i="1"/>
  <c r="AK517" i="1"/>
  <c r="AJ517" i="1"/>
  <c r="AO516" i="1"/>
  <c r="AN516" i="1"/>
  <c r="AM516" i="1"/>
  <c r="AL516" i="1"/>
  <c r="AK516" i="1"/>
  <c r="AJ516" i="1"/>
  <c r="AO515" i="1"/>
  <c r="AN515" i="1"/>
  <c r="AM515" i="1"/>
  <c r="AL515" i="1"/>
  <c r="AK515" i="1"/>
  <c r="AJ515" i="1"/>
  <c r="AO514" i="1"/>
  <c r="AN514" i="1"/>
  <c r="AM514" i="1"/>
  <c r="AL514" i="1"/>
  <c r="AK514" i="1"/>
  <c r="AJ514" i="1"/>
  <c r="AO513" i="1"/>
  <c r="AN513" i="1"/>
  <c r="AM513" i="1"/>
  <c r="AL513" i="1"/>
  <c r="AK513" i="1"/>
  <c r="AJ513" i="1"/>
  <c r="AO512" i="1"/>
  <c r="AN512" i="1"/>
  <c r="AM512" i="1"/>
  <c r="AL512" i="1"/>
  <c r="AK512" i="1"/>
  <c r="AJ512" i="1"/>
  <c r="AO511" i="1"/>
  <c r="AN511" i="1"/>
  <c r="AM511" i="1"/>
  <c r="AL511" i="1"/>
  <c r="AK511" i="1"/>
  <c r="AJ511" i="1"/>
  <c r="AO510" i="1"/>
  <c r="AN510" i="1"/>
  <c r="AM510" i="1"/>
  <c r="AL510" i="1"/>
  <c r="AK510" i="1"/>
  <c r="AJ510" i="1"/>
  <c r="AO509" i="1"/>
  <c r="AN509" i="1"/>
  <c r="AM509" i="1"/>
  <c r="AL509" i="1"/>
  <c r="AK509" i="1"/>
  <c r="AJ509" i="1"/>
  <c r="AO508" i="1"/>
  <c r="AN508" i="1"/>
  <c r="AM508" i="1"/>
  <c r="AL508" i="1"/>
  <c r="AK508" i="1"/>
  <c r="AJ508" i="1"/>
  <c r="AO507" i="1"/>
  <c r="AN507" i="1"/>
  <c r="AM507" i="1"/>
  <c r="AL507" i="1"/>
  <c r="AK507" i="1"/>
  <c r="AJ507" i="1"/>
  <c r="AO506" i="1"/>
  <c r="AN506" i="1"/>
  <c r="AM506" i="1"/>
  <c r="AL506" i="1"/>
  <c r="AK506" i="1"/>
  <c r="AJ506" i="1"/>
  <c r="AO505" i="1"/>
  <c r="AN505" i="1"/>
  <c r="AM505" i="1"/>
  <c r="AL505" i="1"/>
  <c r="AK505" i="1"/>
  <c r="AJ505" i="1"/>
  <c r="AO504" i="1"/>
  <c r="AN504" i="1"/>
  <c r="AM504" i="1"/>
  <c r="AL504" i="1"/>
  <c r="AK504" i="1"/>
  <c r="AJ504" i="1"/>
  <c r="AO503" i="1"/>
  <c r="AN503" i="1"/>
  <c r="AM503" i="1"/>
  <c r="AL503" i="1"/>
  <c r="AK503" i="1"/>
  <c r="AJ503" i="1"/>
  <c r="AO502" i="1"/>
  <c r="AN502" i="1"/>
  <c r="AM502" i="1"/>
  <c r="AL502" i="1"/>
  <c r="AK502" i="1"/>
  <c r="AJ502" i="1"/>
  <c r="AO501" i="1"/>
  <c r="AN501" i="1"/>
  <c r="AM501" i="1"/>
  <c r="AL501" i="1"/>
  <c r="AK501" i="1"/>
  <c r="AJ501" i="1"/>
  <c r="AO500" i="1"/>
  <c r="AN500" i="1"/>
  <c r="AM500" i="1"/>
  <c r="AL500" i="1"/>
  <c r="AK500" i="1"/>
  <c r="AJ500" i="1"/>
  <c r="AO499" i="1"/>
  <c r="AN499" i="1"/>
  <c r="AM499" i="1"/>
  <c r="AL499" i="1"/>
  <c r="AK499" i="1"/>
  <c r="AJ499" i="1"/>
  <c r="AO498" i="1"/>
  <c r="AN498" i="1"/>
  <c r="AM498" i="1"/>
  <c r="AL498" i="1"/>
  <c r="AK498" i="1"/>
  <c r="AJ498" i="1"/>
  <c r="AO497" i="1"/>
  <c r="AN497" i="1"/>
  <c r="AM497" i="1"/>
  <c r="AL497" i="1"/>
  <c r="AK497" i="1"/>
  <c r="AJ497" i="1"/>
  <c r="AO496" i="1"/>
  <c r="AN496" i="1"/>
  <c r="AM496" i="1"/>
  <c r="AL496" i="1"/>
  <c r="AK496" i="1"/>
  <c r="AJ496" i="1"/>
  <c r="AO495" i="1"/>
  <c r="AN495" i="1"/>
  <c r="AM495" i="1"/>
  <c r="AL495" i="1"/>
  <c r="AK495" i="1"/>
  <c r="AJ495" i="1"/>
  <c r="AO494" i="1"/>
  <c r="AN494" i="1"/>
  <c r="AM494" i="1"/>
  <c r="AL494" i="1"/>
  <c r="AK494" i="1"/>
  <c r="AJ494" i="1"/>
  <c r="AO493" i="1"/>
  <c r="AN493" i="1"/>
  <c r="AM493" i="1"/>
  <c r="AL493" i="1"/>
  <c r="AK493" i="1"/>
  <c r="AJ493" i="1"/>
  <c r="AO492" i="1"/>
  <c r="AN492" i="1"/>
  <c r="AM492" i="1"/>
  <c r="AL492" i="1"/>
  <c r="AK492" i="1"/>
  <c r="AJ492" i="1"/>
  <c r="AO491" i="1"/>
  <c r="AN491" i="1"/>
  <c r="AM491" i="1"/>
  <c r="AL491" i="1"/>
  <c r="AK491" i="1"/>
  <c r="AJ491" i="1"/>
  <c r="AO490" i="1"/>
  <c r="AN490" i="1"/>
  <c r="AM490" i="1"/>
  <c r="AL490" i="1"/>
  <c r="AK490" i="1"/>
  <c r="AJ490" i="1"/>
  <c r="AO489" i="1"/>
  <c r="AN489" i="1"/>
  <c r="AM489" i="1"/>
  <c r="AL489" i="1"/>
  <c r="AK489" i="1"/>
  <c r="AJ489" i="1"/>
  <c r="AO488" i="1"/>
  <c r="AN488" i="1"/>
  <c r="AM488" i="1"/>
  <c r="AL488" i="1"/>
  <c r="AK488" i="1"/>
  <c r="AJ488" i="1"/>
  <c r="AO487" i="1"/>
  <c r="AN487" i="1"/>
  <c r="AM487" i="1"/>
  <c r="AL487" i="1"/>
  <c r="AK487" i="1"/>
  <c r="AJ487" i="1"/>
  <c r="AO486" i="1"/>
  <c r="AN486" i="1"/>
  <c r="AM486" i="1"/>
  <c r="AL486" i="1"/>
  <c r="AK486" i="1"/>
  <c r="AJ486" i="1"/>
  <c r="AO485" i="1"/>
  <c r="AN485" i="1"/>
  <c r="AM485" i="1"/>
  <c r="AL485" i="1"/>
  <c r="AK485" i="1"/>
  <c r="AJ485" i="1"/>
  <c r="AO484" i="1"/>
  <c r="AN484" i="1"/>
  <c r="AM484" i="1"/>
  <c r="AL484" i="1"/>
  <c r="AK484" i="1"/>
  <c r="AJ484" i="1"/>
  <c r="AO483" i="1"/>
  <c r="AN483" i="1"/>
  <c r="AM483" i="1"/>
  <c r="AL483" i="1"/>
  <c r="AK483" i="1"/>
  <c r="AJ483" i="1"/>
  <c r="AO482" i="1"/>
  <c r="AN482" i="1"/>
  <c r="AM482" i="1"/>
  <c r="AL482" i="1"/>
  <c r="AK482" i="1"/>
  <c r="AJ482" i="1"/>
  <c r="AO481" i="1"/>
  <c r="AN481" i="1"/>
  <c r="AM481" i="1"/>
  <c r="AL481" i="1"/>
  <c r="AK481" i="1"/>
  <c r="AJ481" i="1"/>
  <c r="AO480" i="1"/>
  <c r="AN480" i="1"/>
  <c r="AM480" i="1"/>
  <c r="AL480" i="1"/>
  <c r="AK480" i="1"/>
  <c r="AJ480" i="1"/>
  <c r="AO479" i="1"/>
  <c r="AN479" i="1"/>
  <c r="AM479" i="1"/>
  <c r="AL479" i="1"/>
  <c r="AK479" i="1"/>
  <c r="AJ479" i="1"/>
  <c r="AO478" i="1"/>
  <c r="AN478" i="1"/>
  <c r="AM478" i="1"/>
  <c r="AL478" i="1"/>
  <c r="AK478" i="1"/>
  <c r="AJ478" i="1"/>
  <c r="AO477" i="1"/>
  <c r="AN477" i="1"/>
  <c r="AM477" i="1"/>
  <c r="AL477" i="1"/>
  <c r="AK477" i="1"/>
  <c r="AJ477" i="1"/>
  <c r="AO476" i="1"/>
  <c r="AN476" i="1"/>
  <c r="AM476" i="1"/>
  <c r="AL476" i="1"/>
  <c r="AK476" i="1"/>
  <c r="AJ476" i="1"/>
  <c r="AO475" i="1"/>
  <c r="AN475" i="1"/>
  <c r="AM475" i="1"/>
  <c r="AL475" i="1"/>
  <c r="AK475" i="1"/>
  <c r="AJ475" i="1"/>
  <c r="AO474" i="1"/>
  <c r="AN474" i="1"/>
  <c r="AM474" i="1"/>
  <c r="AL474" i="1"/>
  <c r="AK474" i="1"/>
  <c r="AJ474" i="1"/>
  <c r="AO473" i="1"/>
  <c r="AN473" i="1"/>
  <c r="AM473" i="1"/>
  <c r="AL473" i="1"/>
  <c r="AK473" i="1"/>
  <c r="AJ473" i="1"/>
  <c r="AO472" i="1"/>
  <c r="AN472" i="1"/>
  <c r="AM472" i="1"/>
  <c r="AL472" i="1"/>
  <c r="AK472" i="1"/>
  <c r="AJ472" i="1"/>
  <c r="AO471" i="1"/>
  <c r="AN471" i="1"/>
  <c r="AM471" i="1"/>
  <c r="AL471" i="1"/>
  <c r="AK471" i="1"/>
  <c r="AJ471" i="1"/>
  <c r="AO470" i="1"/>
  <c r="AN470" i="1"/>
  <c r="AM470" i="1"/>
  <c r="AL470" i="1"/>
  <c r="AK470" i="1"/>
  <c r="AJ470" i="1"/>
  <c r="AO469" i="1"/>
  <c r="AN469" i="1"/>
  <c r="AM469" i="1"/>
  <c r="AL469" i="1"/>
  <c r="AK469" i="1"/>
  <c r="AJ469" i="1"/>
  <c r="AO468" i="1"/>
  <c r="AN468" i="1"/>
  <c r="AM468" i="1"/>
  <c r="AL468" i="1"/>
  <c r="AK468" i="1"/>
  <c r="AJ468" i="1"/>
  <c r="AO467" i="1"/>
  <c r="AN467" i="1"/>
  <c r="AM467" i="1"/>
  <c r="AL467" i="1"/>
  <c r="AK467" i="1"/>
  <c r="AJ467" i="1"/>
  <c r="AO466" i="1"/>
  <c r="AN466" i="1"/>
  <c r="AM466" i="1"/>
  <c r="AL466" i="1"/>
  <c r="AK466" i="1"/>
  <c r="AJ466" i="1"/>
  <c r="AO465" i="1"/>
  <c r="AN465" i="1"/>
  <c r="AM465" i="1"/>
  <c r="AL465" i="1"/>
  <c r="AK465" i="1"/>
  <c r="AJ465" i="1"/>
  <c r="AO464" i="1"/>
  <c r="AN464" i="1"/>
  <c r="AM464" i="1"/>
  <c r="AL464" i="1"/>
  <c r="AK464" i="1"/>
  <c r="AJ464" i="1"/>
  <c r="AO463" i="1"/>
  <c r="AN463" i="1"/>
  <c r="AM463" i="1"/>
  <c r="AL463" i="1"/>
  <c r="AK463" i="1"/>
  <c r="AJ463" i="1"/>
  <c r="AO462" i="1"/>
  <c r="AN462" i="1"/>
  <c r="AM462" i="1"/>
  <c r="AL462" i="1"/>
  <c r="AK462" i="1"/>
  <c r="AJ462" i="1"/>
  <c r="AO461" i="1"/>
  <c r="AN461" i="1"/>
  <c r="AM461" i="1"/>
  <c r="AL461" i="1"/>
  <c r="AK461" i="1"/>
  <c r="AJ461" i="1"/>
  <c r="AO460" i="1"/>
  <c r="AN460" i="1"/>
  <c r="AM460" i="1"/>
  <c r="AL460" i="1"/>
  <c r="AK460" i="1"/>
  <c r="AJ460" i="1"/>
  <c r="AO459" i="1"/>
  <c r="AN459" i="1"/>
  <c r="AM459" i="1"/>
  <c r="AL459" i="1"/>
  <c r="AK459" i="1"/>
  <c r="AJ459" i="1"/>
  <c r="AO458" i="1"/>
  <c r="AN458" i="1"/>
  <c r="AM458" i="1"/>
  <c r="AL458" i="1"/>
  <c r="AK458" i="1"/>
  <c r="AJ458" i="1"/>
  <c r="AO457" i="1"/>
  <c r="AN457" i="1"/>
  <c r="AM457" i="1"/>
  <c r="AL457" i="1"/>
  <c r="AK457" i="1"/>
  <c r="AJ457" i="1"/>
  <c r="AO456" i="1"/>
  <c r="AN456" i="1"/>
  <c r="AM456" i="1"/>
  <c r="AL456" i="1"/>
  <c r="AK456" i="1"/>
  <c r="AJ456" i="1"/>
  <c r="AO455" i="1"/>
  <c r="AN455" i="1"/>
  <c r="AM455" i="1"/>
  <c r="AL455" i="1"/>
  <c r="AK455" i="1"/>
  <c r="AJ455" i="1"/>
  <c r="AO454" i="1"/>
  <c r="AN454" i="1"/>
  <c r="AM454" i="1"/>
  <c r="AL454" i="1"/>
  <c r="AK454" i="1"/>
  <c r="AJ454" i="1"/>
  <c r="AO453" i="1"/>
  <c r="AN453" i="1"/>
  <c r="AM453" i="1"/>
  <c r="AL453" i="1"/>
  <c r="AK453" i="1"/>
  <c r="AJ453" i="1"/>
  <c r="AO452" i="1"/>
  <c r="AN452" i="1"/>
  <c r="AM452" i="1"/>
  <c r="AL452" i="1"/>
  <c r="AK452" i="1"/>
  <c r="AJ452" i="1"/>
  <c r="AO451" i="1"/>
  <c r="AN451" i="1"/>
  <c r="AM451" i="1"/>
  <c r="AL451" i="1"/>
  <c r="AK451" i="1"/>
  <c r="AJ451" i="1"/>
  <c r="AO450" i="1"/>
  <c r="AN450" i="1"/>
  <c r="AM450" i="1"/>
  <c r="AL450" i="1"/>
  <c r="AK450" i="1"/>
  <c r="AJ450" i="1"/>
  <c r="AO449" i="1"/>
  <c r="AN449" i="1"/>
  <c r="AM449" i="1"/>
  <c r="AL449" i="1"/>
  <c r="AK449" i="1"/>
  <c r="AJ449" i="1"/>
  <c r="AO448" i="1"/>
  <c r="AN448" i="1"/>
  <c r="AM448" i="1"/>
  <c r="AL448" i="1"/>
  <c r="AK448" i="1"/>
  <c r="AJ448" i="1"/>
  <c r="AO447" i="1"/>
  <c r="AN447" i="1"/>
  <c r="AM447" i="1"/>
  <c r="AL447" i="1"/>
  <c r="AK447" i="1"/>
  <c r="AJ447" i="1"/>
  <c r="AO446" i="1"/>
  <c r="AN446" i="1"/>
  <c r="AM446" i="1"/>
  <c r="AL446" i="1"/>
  <c r="AK446" i="1"/>
  <c r="AJ446" i="1"/>
  <c r="AO445" i="1"/>
  <c r="AN445" i="1"/>
  <c r="AM445" i="1"/>
  <c r="AL445" i="1"/>
  <c r="AK445" i="1"/>
  <c r="AJ445" i="1"/>
  <c r="AO444" i="1"/>
  <c r="AN444" i="1"/>
  <c r="AM444" i="1"/>
  <c r="AL444" i="1"/>
  <c r="AK444" i="1"/>
  <c r="AJ444" i="1"/>
  <c r="AO443" i="1"/>
  <c r="AN443" i="1"/>
  <c r="AM443" i="1"/>
  <c r="AL443" i="1"/>
  <c r="AK443" i="1"/>
  <c r="AJ443" i="1"/>
  <c r="AO442" i="1"/>
  <c r="AN442" i="1"/>
  <c r="AM442" i="1"/>
  <c r="AL442" i="1"/>
  <c r="AK442" i="1"/>
  <c r="AJ442" i="1"/>
  <c r="AO441" i="1"/>
  <c r="AN441" i="1"/>
  <c r="AM441" i="1"/>
  <c r="AL441" i="1"/>
  <c r="AK441" i="1"/>
  <c r="AJ441" i="1"/>
  <c r="AO440" i="1"/>
  <c r="AN440" i="1"/>
  <c r="AM440" i="1"/>
  <c r="AL440" i="1"/>
  <c r="AK440" i="1"/>
  <c r="AJ440" i="1"/>
  <c r="AO439" i="1"/>
  <c r="AN439" i="1"/>
  <c r="AM439" i="1"/>
  <c r="AL439" i="1"/>
  <c r="AK439" i="1"/>
  <c r="AJ439" i="1"/>
  <c r="AO438" i="1"/>
  <c r="AN438" i="1"/>
  <c r="AM438" i="1"/>
  <c r="AL438" i="1"/>
  <c r="AK438" i="1"/>
  <c r="AJ438" i="1"/>
  <c r="AO437" i="1"/>
  <c r="AN437" i="1"/>
  <c r="AM437" i="1"/>
  <c r="AL437" i="1"/>
  <c r="AK437" i="1"/>
  <c r="AJ437" i="1"/>
  <c r="AO436" i="1"/>
  <c r="AN436" i="1"/>
  <c r="AM436" i="1"/>
  <c r="AL436" i="1"/>
  <c r="AK436" i="1"/>
  <c r="AJ436" i="1"/>
  <c r="AO435" i="1"/>
  <c r="AN435" i="1"/>
  <c r="AM435" i="1"/>
  <c r="AL435" i="1"/>
  <c r="AK435" i="1"/>
  <c r="AJ435" i="1"/>
  <c r="AO434" i="1"/>
  <c r="AN434" i="1"/>
  <c r="AM434" i="1"/>
  <c r="AL434" i="1"/>
  <c r="AK434" i="1"/>
  <c r="AJ434" i="1"/>
  <c r="AO433" i="1"/>
  <c r="AN433" i="1"/>
  <c r="AM433" i="1"/>
  <c r="AL433" i="1"/>
  <c r="AK433" i="1"/>
  <c r="AJ433" i="1"/>
  <c r="AO432" i="1"/>
  <c r="AN432" i="1"/>
  <c r="AM432" i="1"/>
  <c r="AL432" i="1"/>
  <c r="AK432" i="1"/>
  <c r="AJ432" i="1"/>
  <c r="AO431" i="1"/>
  <c r="AN431" i="1"/>
  <c r="AM431" i="1"/>
  <c r="AL431" i="1"/>
  <c r="AK431" i="1"/>
  <c r="AJ431" i="1"/>
  <c r="AO430" i="1"/>
  <c r="AN430" i="1"/>
  <c r="AM430" i="1"/>
  <c r="AL430" i="1"/>
  <c r="AK430" i="1"/>
  <c r="AJ430" i="1"/>
  <c r="AO429" i="1"/>
  <c r="AN429" i="1"/>
  <c r="AM429" i="1"/>
  <c r="AL429" i="1"/>
  <c r="AK429" i="1"/>
  <c r="AJ429" i="1"/>
  <c r="AO428" i="1"/>
  <c r="AN428" i="1"/>
  <c r="AM428" i="1"/>
  <c r="AL428" i="1"/>
  <c r="AK428" i="1"/>
  <c r="AJ428" i="1"/>
  <c r="AO427" i="1"/>
  <c r="AN427" i="1"/>
  <c r="AM427" i="1"/>
  <c r="AL427" i="1"/>
  <c r="AK427" i="1"/>
  <c r="AJ427" i="1"/>
  <c r="AO426" i="1"/>
  <c r="AN426" i="1"/>
  <c r="AM426" i="1"/>
  <c r="AL426" i="1"/>
  <c r="AK426" i="1"/>
  <c r="AJ426" i="1"/>
  <c r="AO425" i="1"/>
  <c r="AN425" i="1"/>
  <c r="AM425" i="1"/>
  <c r="AL425" i="1"/>
  <c r="AK425" i="1"/>
  <c r="AJ425" i="1"/>
  <c r="AO424" i="1"/>
  <c r="AN424" i="1"/>
  <c r="AM424" i="1"/>
  <c r="AL424" i="1"/>
  <c r="AK424" i="1"/>
  <c r="AJ424" i="1"/>
  <c r="AO423" i="1"/>
  <c r="AN423" i="1"/>
  <c r="AM423" i="1"/>
  <c r="AL423" i="1"/>
  <c r="AK423" i="1"/>
  <c r="AJ423" i="1"/>
  <c r="AO422" i="1"/>
  <c r="AN422" i="1"/>
  <c r="AM422" i="1"/>
  <c r="AL422" i="1"/>
  <c r="AK422" i="1"/>
  <c r="AJ422" i="1"/>
  <c r="AO421" i="1"/>
  <c r="AN421" i="1"/>
  <c r="AM421" i="1"/>
  <c r="AL421" i="1"/>
  <c r="AK421" i="1"/>
  <c r="AJ421" i="1"/>
  <c r="AO420" i="1"/>
  <c r="AN420" i="1"/>
  <c r="AM420" i="1"/>
  <c r="AL420" i="1"/>
  <c r="AK420" i="1"/>
  <c r="AJ420" i="1"/>
  <c r="AO419" i="1"/>
  <c r="AN419" i="1"/>
  <c r="AM419" i="1"/>
  <c r="AL419" i="1"/>
  <c r="AK419" i="1"/>
  <c r="AJ419" i="1"/>
  <c r="AO418" i="1"/>
  <c r="AN418" i="1"/>
  <c r="AM418" i="1"/>
  <c r="AL418" i="1"/>
  <c r="AK418" i="1"/>
  <c r="AJ418" i="1"/>
  <c r="AO417" i="1"/>
  <c r="AN417" i="1"/>
  <c r="AM417" i="1"/>
  <c r="AL417" i="1"/>
  <c r="AK417" i="1"/>
  <c r="AJ417" i="1"/>
  <c r="AO416" i="1"/>
  <c r="AN416" i="1"/>
  <c r="AM416" i="1"/>
  <c r="AL416" i="1"/>
  <c r="AK416" i="1"/>
  <c r="AJ416" i="1"/>
  <c r="AO415" i="1"/>
  <c r="AN415" i="1"/>
  <c r="AM415" i="1"/>
  <c r="AL415" i="1"/>
  <c r="AK415" i="1"/>
  <c r="AJ415" i="1"/>
  <c r="AO414" i="1"/>
  <c r="AN414" i="1"/>
  <c r="AM414" i="1"/>
  <c r="AL414" i="1"/>
  <c r="AK414" i="1"/>
  <c r="AJ414" i="1"/>
  <c r="AO413" i="1"/>
  <c r="AN413" i="1"/>
  <c r="AM413" i="1"/>
  <c r="AL413" i="1"/>
  <c r="AK413" i="1"/>
  <c r="AJ413" i="1"/>
  <c r="AO412" i="1"/>
  <c r="AN412" i="1"/>
  <c r="AM412" i="1"/>
  <c r="AL412" i="1"/>
  <c r="AK412" i="1"/>
  <c r="AJ412" i="1"/>
  <c r="AO411" i="1"/>
  <c r="AN411" i="1"/>
  <c r="AM411" i="1"/>
  <c r="AL411" i="1"/>
  <c r="AK411" i="1"/>
  <c r="AJ411" i="1"/>
  <c r="AO410" i="1"/>
  <c r="AN410" i="1"/>
  <c r="AM410" i="1"/>
  <c r="AL410" i="1"/>
  <c r="AK410" i="1"/>
  <c r="AJ410" i="1"/>
  <c r="AO409" i="1"/>
  <c r="AN409" i="1"/>
  <c r="AM409" i="1"/>
  <c r="AL409" i="1"/>
  <c r="AK409" i="1"/>
  <c r="AJ409" i="1"/>
  <c r="AO408" i="1"/>
  <c r="AN408" i="1"/>
  <c r="AM408" i="1"/>
  <c r="AL408" i="1"/>
  <c r="AK408" i="1"/>
  <c r="AJ408" i="1"/>
  <c r="AO407" i="1"/>
  <c r="AN407" i="1"/>
  <c r="AM407" i="1"/>
  <c r="AL407" i="1"/>
  <c r="AK407" i="1"/>
  <c r="AJ407" i="1"/>
  <c r="AO406" i="1"/>
  <c r="AN406" i="1"/>
  <c r="AM406" i="1"/>
  <c r="AL406" i="1"/>
  <c r="AK406" i="1"/>
  <c r="AJ406" i="1"/>
  <c r="AO405" i="1"/>
  <c r="AN405" i="1"/>
  <c r="AM405" i="1"/>
  <c r="AL405" i="1"/>
  <c r="AK405" i="1"/>
  <c r="AJ405" i="1"/>
  <c r="AO404" i="1"/>
  <c r="AN404" i="1"/>
  <c r="AM404" i="1"/>
  <c r="AL404" i="1"/>
  <c r="AK404" i="1"/>
  <c r="AJ404" i="1"/>
  <c r="AO403" i="1"/>
  <c r="AN403" i="1"/>
  <c r="AM403" i="1"/>
  <c r="AL403" i="1"/>
  <c r="AK403" i="1"/>
  <c r="AJ403" i="1"/>
  <c r="AO402" i="1"/>
  <c r="AN402" i="1"/>
  <c r="AM402" i="1"/>
  <c r="AL402" i="1"/>
  <c r="AK402" i="1"/>
  <c r="AJ402" i="1"/>
  <c r="AO401" i="1"/>
  <c r="AN401" i="1"/>
  <c r="AM401" i="1"/>
  <c r="AL401" i="1"/>
  <c r="AK401" i="1"/>
  <c r="AJ401" i="1"/>
  <c r="AO400" i="1"/>
  <c r="AN400" i="1"/>
  <c r="AM400" i="1"/>
  <c r="AL400" i="1"/>
  <c r="AK400" i="1"/>
  <c r="AJ400" i="1"/>
  <c r="AO399" i="1"/>
  <c r="AN399" i="1"/>
  <c r="AM399" i="1"/>
  <c r="AL399" i="1"/>
  <c r="AK399" i="1"/>
  <c r="AJ399" i="1"/>
  <c r="AO398" i="1"/>
  <c r="AN398" i="1"/>
  <c r="AM398" i="1"/>
  <c r="AL398" i="1"/>
  <c r="AK398" i="1"/>
  <c r="AJ398" i="1"/>
  <c r="AO397" i="1"/>
  <c r="AN397" i="1"/>
  <c r="AM397" i="1"/>
  <c r="AL397" i="1"/>
  <c r="AK397" i="1"/>
  <c r="AJ397" i="1"/>
  <c r="AO396" i="1"/>
  <c r="AN396" i="1"/>
  <c r="AM396" i="1"/>
  <c r="AL396" i="1"/>
  <c r="AK396" i="1"/>
  <c r="AJ396" i="1"/>
  <c r="AO395" i="1"/>
  <c r="AN395" i="1"/>
  <c r="AM395" i="1"/>
  <c r="AL395" i="1"/>
  <c r="AK395" i="1"/>
  <c r="AJ395" i="1"/>
  <c r="AO394" i="1"/>
  <c r="AN394" i="1"/>
  <c r="AM394" i="1"/>
  <c r="AL394" i="1"/>
  <c r="AK394" i="1"/>
  <c r="AJ394" i="1"/>
  <c r="AO393" i="1"/>
  <c r="AN393" i="1"/>
  <c r="AM393" i="1"/>
  <c r="AL393" i="1"/>
  <c r="AK393" i="1"/>
  <c r="AJ393" i="1"/>
  <c r="AO392" i="1"/>
  <c r="AN392" i="1"/>
  <c r="AM392" i="1"/>
  <c r="AL392" i="1"/>
  <c r="AK392" i="1"/>
  <c r="AJ392" i="1"/>
  <c r="AO391" i="1"/>
  <c r="AN391" i="1"/>
  <c r="AM391" i="1"/>
  <c r="AL391" i="1"/>
  <c r="AK391" i="1"/>
  <c r="AJ391" i="1"/>
  <c r="AO390" i="1"/>
  <c r="AN390" i="1"/>
  <c r="AM390" i="1"/>
  <c r="AL390" i="1"/>
  <c r="AK390" i="1"/>
  <c r="AJ390" i="1"/>
  <c r="AO389" i="1"/>
  <c r="AN389" i="1"/>
  <c r="AM389" i="1"/>
  <c r="AL389" i="1"/>
  <c r="AK389" i="1"/>
  <c r="AJ389" i="1"/>
  <c r="AO388" i="1"/>
  <c r="AN388" i="1"/>
  <c r="AM388" i="1"/>
  <c r="AL388" i="1"/>
  <c r="AK388" i="1"/>
  <c r="AJ388" i="1"/>
  <c r="AO387" i="1"/>
  <c r="AN387" i="1"/>
  <c r="AM387" i="1"/>
  <c r="AL387" i="1"/>
  <c r="AK387" i="1"/>
  <c r="AJ387" i="1"/>
  <c r="AO386" i="1"/>
  <c r="AN386" i="1"/>
  <c r="AM386" i="1"/>
  <c r="AL386" i="1"/>
  <c r="AK386" i="1"/>
  <c r="AJ386" i="1"/>
  <c r="AO385" i="1"/>
  <c r="AN385" i="1"/>
  <c r="AM385" i="1"/>
  <c r="AL385" i="1"/>
  <c r="AK385" i="1"/>
  <c r="AJ385" i="1"/>
  <c r="AO384" i="1"/>
  <c r="AN384" i="1"/>
  <c r="AM384" i="1"/>
  <c r="AL384" i="1"/>
  <c r="AK384" i="1"/>
  <c r="AJ384" i="1"/>
  <c r="AO383" i="1"/>
  <c r="AN383" i="1"/>
  <c r="AM383" i="1"/>
  <c r="AL383" i="1"/>
  <c r="AK383" i="1"/>
  <c r="AJ383" i="1"/>
  <c r="AO382" i="1"/>
  <c r="AN382" i="1"/>
  <c r="AM382" i="1"/>
  <c r="AL382" i="1"/>
  <c r="AK382" i="1"/>
  <c r="AJ382" i="1"/>
  <c r="AO381" i="1"/>
  <c r="AN381" i="1"/>
  <c r="AM381" i="1"/>
  <c r="AL381" i="1"/>
  <c r="AK381" i="1"/>
  <c r="AJ381" i="1"/>
  <c r="AO380" i="1"/>
  <c r="AN380" i="1"/>
  <c r="AM380" i="1"/>
  <c r="AL380" i="1"/>
  <c r="AK380" i="1"/>
  <c r="AJ380" i="1"/>
  <c r="AO379" i="1"/>
  <c r="AN379" i="1"/>
  <c r="AM379" i="1"/>
  <c r="AL379" i="1"/>
  <c r="AK379" i="1"/>
  <c r="AJ379" i="1"/>
  <c r="AO378" i="1"/>
  <c r="AN378" i="1"/>
  <c r="AM378" i="1"/>
  <c r="AL378" i="1"/>
  <c r="AK378" i="1"/>
  <c r="AJ378" i="1"/>
  <c r="AO377" i="1"/>
  <c r="AN377" i="1"/>
  <c r="AM377" i="1"/>
  <c r="AL377" i="1"/>
  <c r="AK377" i="1"/>
  <c r="AJ377" i="1"/>
  <c r="AO376" i="1"/>
  <c r="AN376" i="1"/>
  <c r="AM376" i="1"/>
  <c r="AL376" i="1"/>
  <c r="AK376" i="1"/>
  <c r="AJ376" i="1"/>
  <c r="AO375" i="1"/>
  <c r="AN375" i="1"/>
  <c r="AM375" i="1"/>
  <c r="AL375" i="1"/>
  <c r="AK375" i="1"/>
  <c r="AJ375" i="1"/>
  <c r="AO374" i="1"/>
  <c r="AN374" i="1"/>
  <c r="AM374" i="1"/>
  <c r="AL374" i="1"/>
  <c r="AK374" i="1"/>
  <c r="AJ374" i="1"/>
  <c r="AO373" i="1"/>
  <c r="AN373" i="1"/>
  <c r="AM373" i="1"/>
  <c r="AL373" i="1"/>
  <c r="AK373" i="1"/>
  <c r="AJ373" i="1"/>
  <c r="AO372" i="1"/>
  <c r="AN372" i="1"/>
  <c r="AM372" i="1"/>
  <c r="AL372" i="1"/>
  <c r="AK372" i="1"/>
  <c r="AJ372" i="1"/>
  <c r="AO371" i="1"/>
  <c r="AN371" i="1"/>
  <c r="AM371" i="1"/>
  <c r="AL371" i="1"/>
  <c r="AK371" i="1"/>
  <c r="AJ371" i="1"/>
  <c r="AO370" i="1"/>
  <c r="AN370" i="1"/>
  <c r="AM370" i="1"/>
  <c r="AL370" i="1"/>
  <c r="AK370" i="1"/>
  <c r="AJ370" i="1"/>
  <c r="AO369" i="1"/>
  <c r="AN369" i="1"/>
  <c r="AM369" i="1"/>
  <c r="AL369" i="1"/>
  <c r="AK369" i="1"/>
  <c r="AJ369" i="1"/>
  <c r="AO368" i="1"/>
  <c r="AN368" i="1"/>
  <c r="AM368" i="1"/>
  <c r="AL368" i="1"/>
  <c r="AK368" i="1"/>
  <c r="AJ368" i="1"/>
  <c r="AO367" i="1"/>
  <c r="AN367" i="1"/>
  <c r="AM367" i="1"/>
  <c r="AL367" i="1"/>
  <c r="AK367" i="1"/>
  <c r="AJ367" i="1"/>
  <c r="AO366" i="1"/>
  <c r="AN366" i="1"/>
  <c r="AM366" i="1"/>
  <c r="AL366" i="1"/>
  <c r="AK366" i="1"/>
  <c r="AJ366" i="1"/>
  <c r="AO365" i="1"/>
  <c r="AN365" i="1"/>
  <c r="AM365" i="1"/>
  <c r="AL365" i="1"/>
  <c r="AK365" i="1"/>
  <c r="AJ365" i="1"/>
  <c r="AO364" i="1"/>
  <c r="AN364" i="1"/>
  <c r="AM364" i="1"/>
  <c r="AL364" i="1"/>
  <c r="AK364" i="1"/>
  <c r="AJ364" i="1"/>
  <c r="AO363" i="1"/>
  <c r="AN363" i="1"/>
  <c r="AM363" i="1"/>
  <c r="AL363" i="1"/>
  <c r="AK363" i="1"/>
  <c r="AJ363" i="1"/>
  <c r="AO362" i="1"/>
  <c r="AN362" i="1"/>
  <c r="AM362" i="1"/>
  <c r="AL362" i="1"/>
  <c r="AK362" i="1"/>
  <c r="AJ362" i="1"/>
  <c r="AO361" i="1"/>
  <c r="AN361" i="1"/>
  <c r="AM361" i="1"/>
  <c r="AL361" i="1"/>
  <c r="AK361" i="1"/>
  <c r="AJ361" i="1"/>
  <c r="AO360" i="1"/>
  <c r="AN360" i="1"/>
  <c r="AM360" i="1"/>
  <c r="AL360" i="1"/>
  <c r="AK360" i="1"/>
  <c r="AJ360" i="1"/>
  <c r="AO359" i="1"/>
  <c r="AN359" i="1"/>
  <c r="AM359" i="1"/>
  <c r="AL359" i="1"/>
  <c r="AK359" i="1"/>
  <c r="AJ359" i="1"/>
  <c r="AO358" i="1"/>
  <c r="AN358" i="1"/>
  <c r="AM358" i="1"/>
  <c r="AL358" i="1"/>
  <c r="AK358" i="1"/>
  <c r="AJ358" i="1"/>
  <c r="AO357" i="1"/>
  <c r="AN357" i="1"/>
  <c r="AM357" i="1"/>
  <c r="AL357" i="1"/>
  <c r="AK357" i="1"/>
  <c r="AJ357" i="1"/>
  <c r="AO356" i="1"/>
  <c r="AN356" i="1"/>
  <c r="AM356" i="1"/>
  <c r="AL356" i="1"/>
  <c r="AK356" i="1"/>
  <c r="AJ356" i="1"/>
  <c r="AO355" i="1"/>
  <c r="AN355" i="1"/>
  <c r="AM355" i="1"/>
  <c r="AL355" i="1"/>
  <c r="AK355" i="1"/>
  <c r="AJ355" i="1"/>
  <c r="AO354" i="1"/>
  <c r="AN354" i="1"/>
  <c r="AM354" i="1"/>
  <c r="AL354" i="1"/>
  <c r="AK354" i="1"/>
  <c r="AJ354" i="1"/>
  <c r="AO353" i="1"/>
  <c r="AN353" i="1"/>
  <c r="AM353" i="1"/>
  <c r="AL353" i="1"/>
  <c r="AK353" i="1"/>
  <c r="AJ353" i="1"/>
  <c r="AO352" i="1"/>
  <c r="AN352" i="1"/>
  <c r="AM352" i="1"/>
  <c r="AL352" i="1"/>
  <c r="AK352" i="1"/>
  <c r="AJ352" i="1"/>
  <c r="AO351" i="1"/>
  <c r="AN351" i="1"/>
  <c r="AM351" i="1"/>
  <c r="AL351" i="1"/>
  <c r="AK351" i="1"/>
  <c r="AJ351" i="1"/>
  <c r="AO350" i="1"/>
  <c r="AN350" i="1"/>
  <c r="AM350" i="1"/>
  <c r="AL350" i="1"/>
  <c r="AK350" i="1"/>
  <c r="AJ350" i="1"/>
  <c r="AO349" i="1"/>
  <c r="AN349" i="1"/>
  <c r="AM349" i="1"/>
  <c r="AL349" i="1"/>
  <c r="AK349" i="1"/>
  <c r="AJ349" i="1"/>
  <c r="AO348" i="1"/>
  <c r="AN348" i="1"/>
  <c r="AM348" i="1"/>
  <c r="AL348" i="1"/>
  <c r="AK348" i="1"/>
  <c r="AJ348" i="1"/>
  <c r="AO347" i="1"/>
  <c r="AN347" i="1"/>
  <c r="AM347" i="1"/>
  <c r="AL347" i="1"/>
  <c r="AK347" i="1"/>
  <c r="AJ347" i="1"/>
  <c r="AO346" i="1"/>
  <c r="AN346" i="1"/>
  <c r="AM346" i="1"/>
  <c r="AL346" i="1"/>
  <c r="AK346" i="1"/>
  <c r="AJ346" i="1"/>
  <c r="AO345" i="1"/>
  <c r="AN345" i="1"/>
  <c r="AM345" i="1"/>
  <c r="AL345" i="1"/>
  <c r="AK345" i="1"/>
  <c r="AJ345" i="1"/>
  <c r="AO344" i="1"/>
  <c r="AN344" i="1"/>
  <c r="AM344" i="1"/>
  <c r="AL344" i="1"/>
  <c r="AK344" i="1"/>
  <c r="AJ344" i="1"/>
  <c r="AO343" i="1"/>
  <c r="AN343" i="1"/>
  <c r="AM343" i="1"/>
  <c r="AL343" i="1"/>
  <c r="AK343" i="1"/>
  <c r="AJ343" i="1"/>
  <c r="AO342" i="1"/>
  <c r="AN342" i="1"/>
  <c r="AM342" i="1"/>
  <c r="AL342" i="1"/>
  <c r="AK342" i="1"/>
  <c r="AJ342" i="1"/>
  <c r="AO341" i="1"/>
  <c r="AN341" i="1"/>
  <c r="AM341" i="1"/>
  <c r="AL341" i="1"/>
  <c r="AK341" i="1"/>
  <c r="AJ341" i="1"/>
  <c r="AO340" i="1"/>
  <c r="AN340" i="1"/>
  <c r="AM340" i="1"/>
  <c r="AL340" i="1"/>
  <c r="AK340" i="1"/>
  <c r="AJ340" i="1"/>
  <c r="AO339" i="1"/>
  <c r="AN339" i="1"/>
  <c r="AM339" i="1"/>
  <c r="AL339" i="1"/>
  <c r="AK339" i="1"/>
  <c r="AJ339" i="1"/>
  <c r="AO338" i="1"/>
  <c r="AN338" i="1"/>
  <c r="AM338" i="1"/>
  <c r="AL338" i="1"/>
  <c r="AK338" i="1"/>
  <c r="AJ338" i="1"/>
  <c r="AO337" i="1"/>
  <c r="AN337" i="1"/>
  <c r="AM337" i="1"/>
  <c r="AL337" i="1"/>
  <c r="AK337" i="1"/>
  <c r="AJ337" i="1"/>
  <c r="AO336" i="1"/>
  <c r="AN336" i="1"/>
  <c r="AM336" i="1"/>
  <c r="AL336" i="1"/>
  <c r="AK336" i="1"/>
  <c r="AJ336" i="1"/>
  <c r="AO335" i="1"/>
  <c r="AN335" i="1"/>
  <c r="AM335" i="1"/>
  <c r="AL335" i="1"/>
  <c r="AK335" i="1"/>
  <c r="AJ335" i="1"/>
  <c r="AO334" i="1"/>
  <c r="AN334" i="1"/>
  <c r="AM334" i="1"/>
  <c r="AL334" i="1"/>
  <c r="AK334" i="1"/>
  <c r="AJ334" i="1"/>
  <c r="AO333" i="1"/>
  <c r="AN333" i="1"/>
  <c r="AM333" i="1"/>
  <c r="AL333" i="1"/>
  <c r="AK333" i="1"/>
  <c r="AJ333" i="1"/>
  <c r="AO332" i="1"/>
  <c r="AN332" i="1"/>
  <c r="AM332" i="1"/>
  <c r="AL332" i="1"/>
  <c r="AK332" i="1"/>
  <c r="AJ332" i="1"/>
  <c r="AO331" i="1"/>
  <c r="AN331" i="1"/>
  <c r="AM331" i="1"/>
  <c r="AL331" i="1"/>
  <c r="AK331" i="1"/>
  <c r="AJ331" i="1"/>
  <c r="AO330" i="1"/>
  <c r="AN330" i="1"/>
  <c r="AM330" i="1"/>
  <c r="AL330" i="1"/>
  <c r="AK330" i="1"/>
  <c r="AJ330" i="1"/>
  <c r="AO329" i="1"/>
  <c r="AN329" i="1"/>
  <c r="AM329" i="1"/>
  <c r="AL329" i="1"/>
  <c r="AK329" i="1"/>
  <c r="AJ329" i="1"/>
  <c r="AO328" i="1"/>
  <c r="AN328" i="1"/>
  <c r="AM328" i="1"/>
  <c r="AL328" i="1"/>
  <c r="AK328" i="1"/>
  <c r="AJ328" i="1"/>
  <c r="AO327" i="1"/>
  <c r="AN327" i="1"/>
  <c r="AM327" i="1"/>
  <c r="AL327" i="1"/>
  <c r="AK327" i="1"/>
  <c r="AJ327" i="1"/>
  <c r="AO326" i="1"/>
  <c r="AN326" i="1"/>
  <c r="AM326" i="1"/>
  <c r="AL326" i="1"/>
  <c r="AK326" i="1"/>
  <c r="AJ326" i="1"/>
  <c r="AO325" i="1"/>
  <c r="AN325" i="1"/>
  <c r="AM325" i="1"/>
  <c r="AL325" i="1"/>
  <c r="AK325" i="1"/>
  <c r="AJ325" i="1"/>
  <c r="AO324" i="1"/>
  <c r="AN324" i="1"/>
  <c r="AM324" i="1"/>
  <c r="AL324" i="1"/>
  <c r="AK324" i="1"/>
  <c r="AJ324" i="1"/>
  <c r="AO323" i="1"/>
  <c r="AN323" i="1"/>
  <c r="AM323" i="1"/>
  <c r="AL323" i="1"/>
  <c r="AK323" i="1"/>
  <c r="AJ323" i="1"/>
  <c r="AO322" i="1"/>
  <c r="AN322" i="1"/>
  <c r="AM322" i="1"/>
  <c r="AL322" i="1"/>
  <c r="AK322" i="1"/>
  <c r="AJ322" i="1"/>
  <c r="AO321" i="1"/>
  <c r="AN321" i="1"/>
  <c r="AM321" i="1"/>
  <c r="AL321" i="1"/>
  <c r="AK321" i="1"/>
  <c r="AJ321" i="1"/>
  <c r="AO320" i="1"/>
  <c r="AN320" i="1"/>
  <c r="AM320" i="1"/>
  <c r="AL320" i="1"/>
  <c r="AK320" i="1"/>
  <c r="AJ320" i="1"/>
  <c r="AO319" i="1"/>
  <c r="AN319" i="1"/>
  <c r="AM319" i="1"/>
  <c r="AL319" i="1"/>
  <c r="AK319" i="1"/>
  <c r="AJ319" i="1"/>
  <c r="AO318" i="1"/>
  <c r="AN318" i="1"/>
  <c r="AM318" i="1"/>
  <c r="AL318" i="1"/>
  <c r="AK318" i="1"/>
  <c r="AJ318" i="1"/>
  <c r="AO317" i="1"/>
  <c r="AN317" i="1"/>
  <c r="AM317" i="1"/>
  <c r="AL317" i="1"/>
  <c r="AK317" i="1"/>
  <c r="AJ317" i="1"/>
  <c r="AO316" i="1"/>
  <c r="AN316" i="1"/>
  <c r="AM316" i="1"/>
  <c r="AL316" i="1"/>
  <c r="AK316" i="1"/>
  <c r="AJ316" i="1"/>
  <c r="AO315" i="1"/>
  <c r="AN315" i="1"/>
  <c r="AM315" i="1"/>
  <c r="AL315" i="1"/>
  <c r="AK315" i="1"/>
  <c r="AJ315" i="1"/>
  <c r="AO314" i="1"/>
  <c r="AN314" i="1"/>
  <c r="AM314" i="1"/>
  <c r="AL314" i="1"/>
  <c r="AK314" i="1"/>
  <c r="AJ314" i="1"/>
  <c r="AO313" i="1"/>
  <c r="AN313" i="1"/>
  <c r="AM313" i="1"/>
  <c r="AL313" i="1"/>
  <c r="AK313" i="1"/>
  <c r="AJ313" i="1"/>
  <c r="AO312" i="1"/>
  <c r="AN312" i="1"/>
  <c r="AM312" i="1"/>
  <c r="AL312" i="1"/>
  <c r="AK312" i="1"/>
  <c r="AJ312" i="1"/>
  <c r="AO311" i="1"/>
  <c r="AN311" i="1"/>
  <c r="AM311" i="1"/>
  <c r="AL311" i="1"/>
  <c r="AK311" i="1"/>
  <c r="AJ311" i="1"/>
  <c r="AO310" i="1"/>
  <c r="AN310" i="1"/>
  <c r="AM310" i="1"/>
  <c r="AL310" i="1"/>
  <c r="AK310" i="1"/>
  <c r="AJ310" i="1"/>
  <c r="AO309" i="1"/>
  <c r="AN309" i="1"/>
  <c r="AM309" i="1"/>
  <c r="AL309" i="1"/>
  <c r="AK309" i="1"/>
  <c r="AJ309" i="1"/>
  <c r="AO308" i="1"/>
  <c r="AN308" i="1"/>
  <c r="AM308" i="1"/>
  <c r="AL308" i="1"/>
  <c r="AK308" i="1"/>
  <c r="AJ308" i="1"/>
  <c r="AO307" i="1"/>
  <c r="AN307" i="1"/>
  <c r="AM307" i="1"/>
  <c r="AL307" i="1"/>
  <c r="AK307" i="1"/>
  <c r="AJ307" i="1"/>
  <c r="AO306" i="1"/>
  <c r="AN306" i="1"/>
  <c r="AM306" i="1"/>
  <c r="AL306" i="1"/>
  <c r="AK306" i="1"/>
  <c r="AJ306" i="1"/>
  <c r="AO305" i="1"/>
  <c r="AN305" i="1"/>
  <c r="AM305" i="1"/>
  <c r="AL305" i="1"/>
  <c r="AK305" i="1"/>
  <c r="AJ305" i="1"/>
  <c r="AO304" i="1"/>
  <c r="AN304" i="1"/>
  <c r="AM304" i="1"/>
  <c r="AL304" i="1"/>
  <c r="AK304" i="1"/>
  <c r="AJ304" i="1"/>
  <c r="AO303" i="1"/>
  <c r="AN303" i="1"/>
  <c r="AM303" i="1"/>
  <c r="AL303" i="1"/>
  <c r="AK303" i="1"/>
  <c r="AJ303" i="1"/>
  <c r="AO302" i="1"/>
  <c r="AN302" i="1"/>
  <c r="AM302" i="1"/>
  <c r="AL302" i="1"/>
  <c r="AK302" i="1"/>
  <c r="AJ302" i="1"/>
  <c r="AO301" i="1"/>
  <c r="AN301" i="1"/>
  <c r="AM301" i="1"/>
  <c r="AL301" i="1"/>
  <c r="AK301" i="1"/>
  <c r="AJ301" i="1"/>
  <c r="AO300" i="1"/>
  <c r="AN300" i="1"/>
  <c r="AM300" i="1"/>
  <c r="AL300" i="1"/>
  <c r="AK300" i="1"/>
  <c r="AJ300" i="1"/>
  <c r="AO299" i="1"/>
  <c r="AN299" i="1"/>
  <c r="AM299" i="1"/>
  <c r="AL299" i="1"/>
  <c r="AK299" i="1"/>
  <c r="AJ299" i="1"/>
  <c r="AO298" i="1"/>
  <c r="AN298" i="1"/>
  <c r="AM298" i="1"/>
  <c r="AL298" i="1"/>
  <c r="AK298" i="1"/>
  <c r="AJ298" i="1"/>
  <c r="AO297" i="1"/>
  <c r="AN297" i="1"/>
  <c r="AM297" i="1"/>
  <c r="AL297" i="1"/>
  <c r="AK297" i="1"/>
  <c r="AJ297" i="1"/>
  <c r="AO296" i="1"/>
  <c r="AN296" i="1"/>
  <c r="AM296" i="1"/>
  <c r="AL296" i="1"/>
  <c r="AK296" i="1"/>
  <c r="AJ296" i="1"/>
  <c r="AO295" i="1"/>
  <c r="AN295" i="1"/>
  <c r="AM295" i="1"/>
  <c r="AL295" i="1"/>
  <c r="AK295" i="1"/>
  <c r="AJ295" i="1"/>
  <c r="AO294" i="1"/>
  <c r="AN294" i="1"/>
  <c r="AM294" i="1"/>
  <c r="AL294" i="1"/>
  <c r="AK294" i="1"/>
  <c r="AJ294" i="1"/>
  <c r="AO293" i="1"/>
  <c r="AN293" i="1"/>
  <c r="AM293" i="1"/>
  <c r="AL293" i="1"/>
  <c r="AK293" i="1"/>
  <c r="AJ293" i="1"/>
  <c r="AO292" i="1"/>
  <c r="AN292" i="1"/>
  <c r="AM292" i="1"/>
  <c r="AL292" i="1"/>
  <c r="AK292" i="1"/>
  <c r="AJ292" i="1"/>
  <c r="AO291" i="1"/>
  <c r="AN291" i="1"/>
  <c r="AM291" i="1"/>
  <c r="AL291" i="1"/>
  <c r="AK291" i="1"/>
  <c r="AJ291" i="1"/>
  <c r="AO290" i="1"/>
  <c r="AN290" i="1"/>
  <c r="AM290" i="1"/>
  <c r="AL290" i="1"/>
  <c r="AK290" i="1"/>
  <c r="AJ290" i="1"/>
  <c r="AO289" i="1"/>
  <c r="AN289" i="1"/>
  <c r="AM289" i="1"/>
  <c r="AL289" i="1"/>
  <c r="AK289" i="1"/>
  <c r="AJ289" i="1"/>
  <c r="AO288" i="1"/>
  <c r="AN288" i="1"/>
  <c r="AM288" i="1"/>
  <c r="AL288" i="1"/>
  <c r="AK288" i="1"/>
  <c r="AJ288" i="1"/>
  <c r="AO287" i="1"/>
  <c r="AN287" i="1"/>
  <c r="AM287" i="1"/>
  <c r="AL287" i="1"/>
  <c r="AK287" i="1"/>
  <c r="AJ287" i="1"/>
  <c r="AO286" i="1"/>
  <c r="AN286" i="1"/>
  <c r="AM286" i="1"/>
  <c r="AL286" i="1"/>
  <c r="AK286" i="1"/>
  <c r="AJ286" i="1"/>
  <c r="AO285" i="1"/>
  <c r="AN285" i="1"/>
  <c r="AM285" i="1"/>
  <c r="AL285" i="1"/>
  <c r="AK285" i="1"/>
  <c r="AJ285" i="1"/>
  <c r="AO284" i="1"/>
  <c r="AN284" i="1"/>
  <c r="AM284" i="1"/>
  <c r="AL284" i="1"/>
  <c r="AK284" i="1"/>
  <c r="AJ284" i="1"/>
  <c r="AO283" i="1"/>
  <c r="AN283" i="1"/>
  <c r="AM283" i="1"/>
  <c r="AL283" i="1"/>
  <c r="AK283" i="1"/>
  <c r="AJ283" i="1"/>
  <c r="AO282" i="1"/>
  <c r="AN282" i="1"/>
  <c r="AM282" i="1"/>
  <c r="AL282" i="1"/>
  <c r="AK282" i="1"/>
  <c r="AJ282" i="1"/>
  <c r="AO281" i="1"/>
  <c r="AN281" i="1"/>
  <c r="AM281" i="1"/>
  <c r="AL281" i="1"/>
  <c r="AK281" i="1"/>
  <c r="AJ281" i="1"/>
  <c r="AO280" i="1"/>
  <c r="AN280" i="1"/>
  <c r="AM280" i="1"/>
  <c r="AL280" i="1"/>
  <c r="AK280" i="1"/>
  <c r="AJ280" i="1"/>
  <c r="AO279" i="1"/>
  <c r="AN279" i="1"/>
  <c r="AM279" i="1"/>
  <c r="AL279" i="1"/>
  <c r="AK279" i="1"/>
  <c r="AJ279" i="1"/>
  <c r="AO278" i="1"/>
  <c r="AN278" i="1"/>
  <c r="AM278" i="1"/>
  <c r="AL278" i="1"/>
  <c r="AK278" i="1"/>
  <c r="AJ278" i="1"/>
  <c r="AO277" i="1"/>
  <c r="AN277" i="1"/>
  <c r="AM277" i="1"/>
  <c r="AL277" i="1"/>
  <c r="AK277" i="1"/>
  <c r="AJ277" i="1"/>
  <c r="AO276" i="1"/>
  <c r="AN276" i="1"/>
  <c r="AM276" i="1"/>
  <c r="AL276" i="1"/>
  <c r="AK276" i="1"/>
  <c r="AJ276" i="1"/>
  <c r="AO275" i="1"/>
  <c r="AN275" i="1"/>
  <c r="AM275" i="1"/>
  <c r="AL275" i="1"/>
  <c r="AK275" i="1"/>
  <c r="AJ275" i="1"/>
  <c r="AO274" i="1"/>
  <c r="AN274" i="1"/>
  <c r="AM274" i="1"/>
  <c r="AL274" i="1"/>
  <c r="AK274" i="1"/>
  <c r="AJ274" i="1"/>
  <c r="AO273" i="1"/>
  <c r="AN273" i="1"/>
  <c r="AM273" i="1"/>
  <c r="AL273" i="1"/>
  <c r="AK273" i="1"/>
  <c r="AJ273" i="1"/>
  <c r="AO272" i="1"/>
  <c r="AN272" i="1"/>
  <c r="AM272" i="1"/>
  <c r="AL272" i="1"/>
  <c r="AK272" i="1"/>
  <c r="AJ272" i="1"/>
  <c r="AO271" i="1"/>
  <c r="AN271" i="1"/>
  <c r="AM271" i="1"/>
  <c r="AL271" i="1"/>
  <c r="AK271" i="1"/>
  <c r="AJ271" i="1"/>
  <c r="AO270" i="1"/>
  <c r="AN270" i="1"/>
  <c r="AM270" i="1"/>
  <c r="AL270" i="1"/>
  <c r="AK270" i="1"/>
  <c r="AJ270" i="1"/>
  <c r="AO269" i="1"/>
  <c r="AN269" i="1"/>
  <c r="AM269" i="1"/>
  <c r="AL269" i="1"/>
  <c r="AK269" i="1"/>
  <c r="AJ269" i="1"/>
  <c r="AO268" i="1"/>
  <c r="AN268" i="1"/>
  <c r="AM268" i="1"/>
  <c r="AL268" i="1"/>
  <c r="AK268" i="1"/>
  <c r="AJ268" i="1"/>
  <c r="AO267" i="1"/>
  <c r="AN267" i="1"/>
  <c r="AM267" i="1"/>
  <c r="AL267" i="1"/>
  <c r="AK267" i="1"/>
  <c r="AJ267" i="1"/>
  <c r="AO266" i="1"/>
  <c r="AN266" i="1"/>
  <c r="AM266" i="1"/>
  <c r="AL266" i="1"/>
  <c r="AK266" i="1"/>
  <c r="AJ266" i="1"/>
  <c r="AO265" i="1"/>
  <c r="AN265" i="1"/>
  <c r="AM265" i="1"/>
  <c r="AL265" i="1"/>
  <c r="AK265" i="1"/>
  <c r="AJ265" i="1"/>
  <c r="AO264" i="1"/>
  <c r="AN264" i="1"/>
  <c r="AM264" i="1"/>
  <c r="AL264" i="1"/>
  <c r="AK264" i="1"/>
  <c r="AJ264" i="1"/>
  <c r="AO263" i="1"/>
  <c r="AN263" i="1"/>
  <c r="AM263" i="1"/>
  <c r="AL263" i="1"/>
  <c r="AK263" i="1"/>
  <c r="AJ263" i="1"/>
  <c r="AO262" i="1"/>
  <c r="AN262" i="1"/>
  <c r="AM262" i="1"/>
  <c r="AL262" i="1"/>
  <c r="AK262" i="1"/>
  <c r="AJ262" i="1"/>
  <c r="AO261" i="1"/>
  <c r="AN261" i="1"/>
  <c r="AM261" i="1"/>
  <c r="AL261" i="1"/>
  <c r="AK261" i="1"/>
  <c r="AJ261" i="1"/>
  <c r="AO260" i="1"/>
  <c r="AN260" i="1"/>
  <c r="AM260" i="1"/>
  <c r="AL260" i="1"/>
  <c r="AK260" i="1"/>
  <c r="AJ260" i="1"/>
  <c r="AO259" i="1"/>
  <c r="AN259" i="1"/>
  <c r="AM259" i="1"/>
  <c r="AL259" i="1"/>
  <c r="AK259" i="1"/>
  <c r="AJ259" i="1"/>
  <c r="AO258" i="1"/>
  <c r="AN258" i="1"/>
  <c r="AM258" i="1"/>
  <c r="AL258" i="1"/>
  <c r="AK258" i="1"/>
  <c r="AJ258" i="1"/>
  <c r="AO257" i="1"/>
  <c r="AN257" i="1"/>
  <c r="AM257" i="1"/>
  <c r="AL257" i="1"/>
  <c r="AK257" i="1"/>
  <c r="AJ257" i="1"/>
  <c r="AO256" i="1"/>
  <c r="AN256" i="1"/>
  <c r="AM256" i="1"/>
  <c r="AL256" i="1"/>
  <c r="AK256" i="1"/>
  <c r="AJ256" i="1"/>
  <c r="AO255" i="1"/>
  <c r="AN255" i="1"/>
  <c r="AM255" i="1"/>
  <c r="AL255" i="1"/>
  <c r="AK255" i="1"/>
  <c r="AJ255" i="1"/>
  <c r="AO254" i="1"/>
  <c r="AN254" i="1"/>
  <c r="AM254" i="1"/>
  <c r="AL254" i="1"/>
  <c r="AK254" i="1"/>
  <c r="AJ254" i="1"/>
  <c r="AO253" i="1"/>
  <c r="AN253" i="1"/>
  <c r="AM253" i="1"/>
  <c r="AL253" i="1"/>
  <c r="AK253" i="1"/>
  <c r="AJ253" i="1"/>
  <c r="AO252" i="1"/>
  <c r="AN252" i="1"/>
  <c r="AM252" i="1"/>
  <c r="AL252" i="1"/>
  <c r="AK252" i="1"/>
  <c r="AJ252" i="1"/>
  <c r="AO251" i="1"/>
  <c r="AN251" i="1"/>
  <c r="AM251" i="1"/>
  <c r="AL251" i="1"/>
  <c r="AK251" i="1"/>
  <c r="AJ251" i="1"/>
  <c r="AO250" i="1"/>
  <c r="AN250" i="1"/>
  <c r="AM250" i="1"/>
  <c r="AL250" i="1"/>
  <c r="AK250" i="1"/>
  <c r="AJ250" i="1"/>
  <c r="AO249" i="1"/>
  <c r="AN249" i="1"/>
  <c r="AM249" i="1"/>
  <c r="AL249" i="1"/>
  <c r="AK249" i="1"/>
  <c r="AJ249" i="1"/>
  <c r="AO248" i="1"/>
  <c r="AN248" i="1"/>
  <c r="AM248" i="1"/>
  <c r="AL248" i="1"/>
  <c r="AK248" i="1"/>
  <c r="AJ248" i="1"/>
  <c r="AO247" i="1"/>
  <c r="AN247" i="1"/>
  <c r="AM247" i="1"/>
  <c r="AL247" i="1"/>
  <c r="AK247" i="1"/>
  <c r="AJ247" i="1"/>
  <c r="AO246" i="1"/>
  <c r="AN246" i="1"/>
  <c r="AM246" i="1"/>
  <c r="AL246" i="1"/>
  <c r="AK246" i="1"/>
  <c r="AJ246" i="1"/>
  <c r="AO245" i="1"/>
  <c r="AN245" i="1"/>
  <c r="AM245" i="1"/>
  <c r="AL245" i="1"/>
  <c r="AK245" i="1"/>
  <c r="AJ245" i="1"/>
  <c r="AO244" i="1"/>
  <c r="AN244" i="1"/>
  <c r="AM244" i="1"/>
  <c r="AL244" i="1"/>
  <c r="AK244" i="1"/>
  <c r="AJ244" i="1"/>
  <c r="AO243" i="1"/>
  <c r="AN243" i="1"/>
  <c r="AM243" i="1"/>
  <c r="AL243" i="1"/>
  <c r="AK243" i="1"/>
  <c r="AJ243" i="1"/>
  <c r="AO242" i="1"/>
  <c r="AN242" i="1"/>
  <c r="AM242" i="1"/>
  <c r="AL242" i="1"/>
  <c r="AK242" i="1"/>
  <c r="AJ242" i="1"/>
  <c r="AO241" i="1"/>
  <c r="AN241" i="1"/>
  <c r="AM241" i="1"/>
  <c r="AL241" i="1"/>
  <c r="AK241" i="1"/>
  <c r="AJ241" i="1"/>
  <c r="AO240" i="1"/>
  <c r="AN240" i="1"/>
  <c r="AM240" i="1"/>
  <c r="AL240" i="1"/>
  <c r="AK240" i="1"/>
  <c r="AJ240" i="1"/>
  <c r="AO239" i="1"/>
  <c r="AN239" i="1"/>
  <c r="AM239" i="1"/>
  <c r="AL239" i="1"/>
  <c r="AK239" i="1"/>
  <c r="AJ239" i="1"/>
  <c r="AO238" i="1"/>
  <c r="AN238" i="1"/>
  <c r="AM238" i="1"/>
  <c r="AL238" i="1"/>
  <c r="AK238" i="1"/>
  <c r="AJ238" i="1"/>
  <c r="AO237" i="1"/>
  <c r="AN237" i="1"/>
  <c r="AM237" i="1"/>
  <c r="AL237" i="1"/>
  <c r="AK237" i="1"/>
  <c r="AJ237" i="1"/>
  <c r="AO236" i="1"/>
  <c r="AN236" i="1"/>
  <c r="AM236" i="1"/>
  <c r="AL236" i="1"/>
  <c r="AK236" i="1"/>
  <c r="AJ236" i="1"/>
  <c r="AO235" i="1"/>
  <c r="AN235" i="1"/>
  <c r="AM235" i="1"/>
  <c r="AL235" i="1"/>
  <c r="AK235" i="1"/>
  <c r="AJ235" i="1"/>
  <c r="AO234" i="1"/>
  <c r="AN234" i="1"/>
  <c r="AM234" i="1"/>
  <c r="AL234" i="1"/>
  <c r="AK234" i="1"/>
  <c r="AJ234" i="1"/>
  <c r="AO233" i="1"/>
  <c r="AN233" i="1"/>
  <c r="AM233" i="1"/>
  <c r="AL233" i="1"/>
  <c r="AK233" i="1"/>
  <c r="AJ233" i="1"/>
  <c r="AO232" i="1"/>
  <c r="AN232" i="1"/>
  <c r="AM232" i="1"/>
  <c r="AL232" i="1"/>
  <c r="AK232" i="1"/>
  <c r="AJ232" i="1"/>
  <c r="AO231" i="1"/>
  <c r="AN231" i="1"/>
  <c r="AM231" i="1"/>
  <c r="AL231" i="1"/>
  <c r="AK231" i="1"/>
  <c r="AJ231" i="1"/>
  <c r="AO230" i="1"/>
  <c r="AN230" i="1"/>
  <c r="AM230" i="1"/>
  <c r="AL230" i="1"/>
  <c r="AK230" i="1"/>
  <c r="AJ230" i="1"/>
  <c r="AO229" i="1"/>
  <c r="AN229" i="1"/>
  <c r="AM229" i="1"/>
  <c r="AL229" i="1"/>
  <c r="AK229" i="1"/>
  <c r="AJ229" i="1"/>
  <c r="AO228" i="1"/>
  <c r="AN228" i="1"/>
  <c r="AM228" i="1"/>
  <c r="AL228" i="1"/>
  <c r="AK228" i="1"/>
  <c r="AJ228" i="1"/>
  <c r="AO227" i="1"/>
  <c r="AN227" i="1"/>
  <c r="AM227" i="1"/>
  <c r="AL227" i="1"/>
  <c r="AK227" i="1"/>
  <c r="AJ227" i="1"/>
  <c r="AO226" i="1"/>
  <c r="AN226" i="1"/>
  <c r="AM226" i="1"/>
  <c r="AL226" i="1"/>
  <c r="AK226" i="1"/>
  <c r="AJ226" i="1"/>
  <c r="AO225" i="1"/>
  <c r="AN225" i="1"/>
  <c r="AM225" i="1"/>
  <c r="AL225" i="1"/>
  <c r="AK225" i="1"/>
  <c r="AJ225" i="1"/>
  <c r="AO224" i="1"/>
  <c r="AN224" i="1"/>
  <c r="AM224" i="1"/>
  <c r="AL224" i="1"/>
  <c r="AK224" i="1"/>
  <c r="AJ224" i="1"/>
  <c r="AO223" i="1"/>
  <c r="AN223" i="1"/>
  <c r="AM223" i="1"/>
  <c r="AL223" i="1"/>
  <c r="AK223" i="1"/>
  <c r="AJ223" i="1"/>
  <c r="AO222" i="1"/>
  <c r="AN222" i="1"/>
  <c r="AM222" i="1"/>
  <c r="AL222" i="1"/>
  <c r="AK222" i="1"/>
  <c r="AJ222" i="1"/>
  <c r="AO221" i="1"/>
  <c r="AN221" i="1"/>
  <c r="AM221" i="1"/>
  <c r="AL221" i="1"/>
  <c r="AK221" i="1"/>
  <c r="AJ221" i="1"/>
  <c r="AO220" i="1"/>
  <c r="AN220" i="1"/>
  <c r="AM220" i="1"/>
  <c r="AL220" i="1"/>
  <c r="AK220" i="1"/>
  <c r="AJ220" i="1"/>
  <c r="AO219" i="1"/>
  <c r="AN219" i="1"/>
  <c r="AM219" i="1"/>
  <c r="AL219" i="1"/>
  <c r="AK219" i="1"/>
  <c r="AJ219" i="1"/>
  <c r="AO218" i="1"/>
  <c r="AN218" i="1"/>
  <c r="AM218" i="1"/>
  <c r="AL218" i="1"/>
  <c r="AK218" i="1"/>
  <c r="AJ218" i="1"/>
  <c r="AO217" i="1"/>
  <c r="AN217" i="1"/>
  <c r="AM217" i="1"/>
  <c r="AL217" i="1"/>
  <c r="AK217" i="1"/>
  <c r="AJ217" i="1"/>
  <c r="AO216" i="1"/>
  <c r="AN216" i="1"/>
  <c r="AM216" i="1"/>
  <c r="AL216" i="1"/>
  <c r="AK216" i="1"/>
  <c r="AJ216" i="1"/>
  <c r="AO215" i="1"/>
  <c r="AN215" i="1"/>
  <c r="AM215" i="1"/>
  <c r="AL215" i="1"/>
  <c r="AK215" i="1"/>
  <c r="AJ215" i="1"/>
  <c r="AO214" i="1"/>
  <c r="AN214" i="1"/>
  <c r="AM214" i="1"/>
  <c r="AL214" i="1"/>
  <c r="AK214" i="1"/>
  <c r="AJ214" i="1"/>
  <c r="AO213" i="1"/>
  <c r="AN213" i="1"/>
  <c r="AM213" i="1"/>
  <c r="AL213" i="1"/>
  <c r="AK213" i="1"/>
  <c r="AJ213" i="1"/>
  <c r="AO212" i="1"/>
  <c r="AN212" i="1"/>
  <c r="AM212" i="1"/>
  <c r="AL212" i="1"/>
  <c r="AK212" i="1"/>
  <c r="AJ212" i="1"/>
  <c r="AO211" i="1"/>
  <c r="AN211" i="1"/>
  <c r="AM211" i="1"/>
  <c r="AL211" i="1"/>
  <c r="AK211" i="1"/>
  <c r="AJ211" i="1"/>
  <c r="AO210" i="1"/>
  <c r="AN210" i="1"/>
  <c r="AM210" i="1"/>
  <c r="AL210" i="1"/>
  <c r="AK210" i="1"/>
  <c r="AJ210" i="1"/>
  <c r="AO209" i="1"/>
  <c r="AN209" i="1"/>
  <c r="AM209" i="1"/>
  <c r="AL209" i="1"/>
  <c r="AK209" i="1"/>
  <c r="AJ209" i="1"/>
  <c r="AO208" i="1"/>
  <c r="AN208" i="1"/>
  <c r="AM208" i="1"/>
  <c r="AL208" i="1"/>
  <c r="AK208" i="1"/>
  <c r="AJ208" i="1"/>
  <c r="AO207" i="1"/>
  <c r="AN207" i="1"/>
  <c r="AM207" i="1"/>
  <c r="AL207" i="1"/>
  <c r="AK207" i="1"/>
  <c r="AJ207" i="1"/>
  <c r="AO206" i="1"/>
  <c r="AN206" i="1"/>
  <c r="AM206" i="1"/>
  <c r="AL206" i="1"/>
  <c r="AK206" i="1"/>
  <c r="AJ206" i="1"/>
  <c r="AO205" i="1"/>
  <c r="AN205" i="1"/>
  <c r="AM205" i="1"/>
  <c r="AL205" i="1"/>
  <c r="AK205" i="1"/>
  <c r="AJ205" i="1"/>
  <c r="AO204" i="1"/>
  <c r="AN204" i="1"/>
  <c r="AM204" i="1"/>
  <c r="AL204" i="1"/>
  <c r="AK204" i="1"/>
  <c r="AJ204" i="1"/>
  <c r="AO203" i="1"/>
  <c r="AN203" i="1"/>
  <c r="AM203" i="1"/>
  <c r="AL203" i="1"/>
  <c r="AK203" i="1"/>
  <c r="AJ203" i="1"/>
  <c r="AO202" i="1"/>
  <c r="AN202" i="1"/>
  <c r="AM202" i="1"/>
  <c r="AL202" i="1"/>
  <c r="AK202" i="1"/>
  <c r="AJ202" i="1"/>
  <c r="AO201" i="1"/>
  <c r="AN201" i="1"/>
  <c r="AM201" i="1"/>
  <c r="AL201" i="1"/>
  <c r="AK201" i="1"/>
  <c r="AJ201" i="1"/>
  <c r="AO200" i="1"/>
  <c r="AN200" i="1"/>
  <c r="AM200" i="1"/>
  <c r="AL200" i="1"/>
  <c r="AK200" i="1"/>
  <c r="AJ200" i="1"/>
  <c r="AO199" i="1"/>
  <c r="AN199" i="1"/>
  <c r="AM199" i="1"/>
  <c r="AL199" i="1"/>
  <c r="AK199" i="1"/>
  <c r="AJ199" i="1"/>
  <c r="AO198" i="1"/>
  <c r="AN198" i="1"/>
  <c r="AM198" i="1"/>
  <c r="AL198" i="1"/>
  <c r="AK198" i="1"/>
  <c r="AJ198" i="1"/>
  <c r="AO197" i="1"/>
  <c r="AN197" i="1"/>
  <c r="AM197" i="1"/>
  <c r="AL197" i="1"/>
  <c r="AK197" i="1"/>
  <c r="AJ197" i="1"/>
  <c r="AO196" i="1"/>
  <c r="AN196" i="1"/>
  <c r="AM196" i="1"/>
  <c r="AL196" i="1"/>
  <c r="AK196" i="1"/>
  <c r="AJ196" i="1"/>
  <c r="AO195" i="1"/>
  <c r="AN195" i="1"/>
  <c r="AM195" i="1"/>
  <c r="AL195" i="1"/>
  <c r="AK195" i="1"/>
  <c r="AJ195" i="1"/>
  <c r="AO194" i="1"/>
  <c r="AN194" i="1"/>
  <c r="AM194" i="1"/>
  <c r="AL194" i="1"/>
  <c r="AK194" i="1"/>
  <c r="AJ194" i="1"/>
  <c r="AO193" i="1"/>
  <c r="AN193" i="1"/>
  <c r="AM193" i="1"/>
  <c r="AL193" i="1"/>
  <c r="AK193" i="1"/>
  <c r="AJ193" i="1"/>
  <c r="AO192" i="1"/>
  <c r="AN192" i="1"/>
  <c r="AM192" i="1"/>
  <c r="AL192" i="1"/>
  <c r="AK192" i="1"/>
  <c r="AJ192" i="1"/>
  <c r="AO191" i="1"/>
  <c r="AN191" i="1"/>
  <c r="AM191" i="1"/>
  <c r="AL191" i="1"/>
  <c r="AK191" i="1"/>
  <c r="AJ191" i="1"/>
  <c r="AO190" i="1"/>
  <c r="AN190" i="1"/>
  <c r="AM190" i="1"/>
  <c r="AL190" i="1"/>
  <c r="AK190" i="1"/>
  <c r="AJ190" i="1"/>
  <c r="AO189" i="1"/>
  <c r="AN189" i="1"/>
  <c r="AM189" i="1"/>
  <c r="AL189" i="1"/>
  <c r="AK189" i="1"/>
  <c r="AJ189" i="1"/>
  <c r="AO188" i="1"/>
  <c r="AN188" i="1"/>
  <c r="AM188" i="1"/>
  <c r="AL188" i="1"/>
  <c r="AK188" i="1"/>
  <c r="AJ188" i="1"/>
  <c r="AO187" i="1"/>
  <c r="AN187" i="1"/>
  <c r="AM187" i="1"/>
  <c r="AL187" i="1"/>
  <c r="AK187" i="1"/>
  <c r="AJ187" i="1"/>
  <c r="AO186" i="1"/>
  <c r="AN186" i="1"/>
  <c r="AM186" i="1"/>
  <c r="AL186" i="1"/>
  <c r="AK186" i="1"/>
  <c r="AJ186" i="1"/>
  <c r="AO185" i="1"/>
  <c r="AN185" i="1"/>
  <c r="AM185" i="1"/>
  <c r="AL185" i="1"/>
  <c r="AK185" i="1"/>
  <c r="AJ185" i="1"/>
  <c r="AO184" i="1"/>
  <c r="AN184" i="1"/>
  <c r="AM184" i="1"/>
  <c r="AL184" i="1"/>
  <c r="AK184" i="1"/>
  <c r="AJ184" i="1"/>
  <c r="AO183" i="1"/>
  <c r="AN183" i="1"/>
  <c r="AM183" i="1"/>
  <c r="AL183" i="1"/>
  <c r="AK183" i="1"/>
  <c r="AJ183" i="1"/>
  <c r="AO182" i="1"/>
  <c r="AN182" i="1"/>
  <c r="AM182" i="1"/>
  <c r="AL182" i="1"/>
  <c r="AK182" i="1"/>
  <c r="AJ182" i="1"/>
  <c r="AO181" i="1"/>
  <c r="AN181" i="1"/>
  <c r="AM181" i="1"/>
  <c r="AL181" i="1"/>
  <c r="AK181" i="1"/>
  <c r="AJ181" i="1"/>
  <c r="AO180" i="1"/>
  <c r="AN180" i="1"/>
  <c r="AM180" i="1"/>
  <c r="AL180" i="1"/>
  <c r="AK180" i="1"/>
  <c r="AJ180" i="1"/>
  <c r="AO179" i="1"/>
  <c r="AN179" i="1"/>
  <c r="AM179" i="1"/>
  <c r="AL179" i="1"/>
  <c r="AK179" i="1"/>
  <c r="AJ179" i="1"/>
  <c r="AO178" i="1"/>
  <c r="AN178" i="1"/>
  <c r="AM178" i="1"/>
  <c r="AL178" i="1"/>
  <c r="AK178" i="1"/>
  <c r="AJ178" i="1"/>
  <c r="AO177" i="1"/>
  <c r="AN177" i="1"/>
  <c r="AM177" i="1"/>
  <c r="AL177" i="1"/>
  <c r="AK177" i="1"/>
  <c r="AJ177" i="1"/>
  <c r="AO176" i="1"/>
  <c r="AN176" i="1"/>
  <c r="AM176" i="1"/>
  <c r="AL176" i="1"/>
  <c r="AK176" i="1"/>
  <c r="AJ176" i="1"/>
  <c r="AO175" i="1"/>
  <c r="AN175" i="1"/>
  <c r="AM175" i="1"/>
  <c r="AL175" i="1"/>
  <c r="AK175" i="1"/>
  <c r="AJ175" i="1"/>
  <c r="AO174" i="1"/>
  <c r="AN174" i="1"/>
  <c r="AM174" i="1"/>
  <c r="AL174" i="1"/>
  <c r="AK174" i="1"/>
  <c r="AJ174" i="1"/>
  <c r="AO173" i="1"/>
  <c r="AN173" i="1"/>
  <c r="AM173" i="1"/>
  <c r="AL173" i="1"/>
  <c r="AK173" i="1"/>
  <c r="AJ173" i="1"/>
  <c r="AO172" i="1"/>
  <c r="AN172" i="1"/>
  <c r="AM172" i="1"/>
  <c r="AL172" i="1"/>
  <c r="AK172" i="1"/>
  <c r="AJ172" i="1"/>
  <c r="AO171" i="1"/>
  <c r="AN171" i="1"/>
  <c r="AM171" i="1"/>
  <c r="AL171" i="1"/>
  <c r="AK171" i="1"/>
  <c r="AJ171" i="1"/>
  <c r="AO170" i="1"/>
  <c r="AN170" i="1"/>
  <c r="AM170" i="1"/>
  <c r="AL170" i="1"/>
  <c r="AK170" i="1"/>
  <c r="AJ170" i="1"/>
  <c r="AO169" i="1"/>
  <c r="AN169" i="1"/>
  <c r="AM169" i="1"/>
  <c r="AL169" i="1"/>
  <c r="AK169" i="1"/>
  <c r="AJ169" i="1"/>
  <c r="AO168" i="1"/>
  <c r="AN168" i="1"/>
  <c r="AM168" i="1"/>
  <c r="AL168" i="1"/>
  <c r="AK168" i="1"/>
  <c r="AJ168" i="1"/>
  <c r="AO167" i="1"/>
  <c r="AN167" i="1"/>
  <c r="AM167" i="1"/>
  <c r="AL167" i="1"/>
  <c r="AK167" i="1"/>
  <c r="AJ167" i="1"/>
  <c r="AO166" i="1"/>
  <c r="AN166" i="1"/>
  <c r="AM166" i="1"/>
  <c r="AL166" i="1"/>
  <c r="AK166" i="1"/>
  <c r="AJ166" i="1"/>
  <c r="AO165" i="1"/>
  <c r="AN165" i="1"/>
  <c r="AM165" i="1"/>
  <c r="AL165" i="1"/>
  <c r="AK165" i="1"/>
  <c r="AJ165" i="1"/>
  <c r="AO164" i="1"/>
  <c r="AN164" i="1"/>
  <c r="AM164" i="1"/>
  <c r="AL164" i="1"/>
  <c r="AK164" i="1"/>
  <c r="AJ164" i="1"/>
  <c r="AO163" i="1"/>
  <c r="AN163" i="1"/>
  <c r="AM163" i="1"/>
  <c r="AL163" i="1"/>
  <c r="AK163" i="1"/>
  <c r="AJ163" i="1"/>
  <c r="AO162" i="1"/>
  <c r="AN162" i="1"/>
  <c r="AM162" i="1"/>
  <c r="AL162" i="1"/>
  <c r="AK162" i="1"/>
  <c r="AJ162" i="1"/>
  <c r="AO161" i="1"/>
  <c r="AN161" i="1"/>
  <c r="AM161" i="1"/>
  <c r="AL161" i="1"/>
  <c r="AK161" i="1"/>
  <c r="AJ161" i="1"/>
  <c r="AO160" i="1"/>
  <c r="AN160" i="1"/>
  <c r="AM160" i="1"/>
  <c r="AL160" i="1"/>
  <c r="AK160" i="1"/>
  <c r="AJ160" i="1"/>
  <c r="AO159" i="1"/>
  <c r="AN159" i="1"/>
  <c r="AM159" i="1"/>
  <c r="AL159" i="1"/>
  <c r="AK159" i="1"/>
  <c r="AJ159" i="1"/>
  <c r="AO158" i="1"/>
  <c r="AN158" i="1"/>
  <c r="AM158" i="1"/>
  <c r="AL158" i="1"/>
  <c r="AK158" i="1"/>
  <c r="AJ158" i="1"/>
  <c r="AO157" i="1"/>
  <c r="AN157" i="1"/>
  <c r="AM157" i="1"/>
  <c r="AL157" i="1"/>
  <c r="AK157" i="1"/>
  <c r="AJ157" i="1"/>
  <c r="AO156" i="1"/>
  <c r="AN156" i="1"/>
  <c r="AM156" i="1"/>
  <c r="AL156" i="1"/>
  <c r="AK156" i="1"/>
  <c r="AJ156" i="1"/>
  <c r="AO155" i="1"/>
  <c r="AN155" i="1"/>
  <c r="AM155" i="1"/>
  <c r="AL155" i="1"/>
  <c r="AK155" i="1"/>
  <c r="AJ155" i="1"/>
  <c r="AO154" i="1"/>
  <c r="AN154" i="1"/>
  <c r="AM154" i="1"/>
  <c r="AL154" i="1"/>
  <c r="AK154" i="1"/>
  <c r="AJ154" i="1"/>
  <c r="AO153" i="1"/>
  <c r="AN153" i="1"/>
  <c r="AM153" i="1"/>
  <c r="AL153" i="1"/>
  <c r="AK153" i="1"/>
  <c r="AJ153" i="1"/>
  <c r="AO152" i="1"/>
  <c r="AN152" i="1"/>
  <c r="AM152" i="1"/>
  <c r="AL152" i="1"/>
  <c r="AK152" i="1"/>
  <c r="AJ152" i="1"/>
  <c r="AO151" i="1"/>
  <c r="AN151" i="1"/>
  <c r="AM151" i="1"/>
  <c r="AL151" i="1"/>
  <c r="AK151" i="1"/>
  <c r="AJ151" i="1"/>
  <c r="AO150" i="1"/>
  <c r="AN150" i="1"/>
  <c r="AM150" i="1"/>
  <c r="AL150" i="1"/>
  <c r="AK150" i="1"/>
  <c r="AJ150" i="1"/>
  <c r="AO149" i="1"/>
  <c r="AN149" i="1"/>
  <c r="AM149" i="1"/>
  <c r="AL149" i="1"/>
  <c r="AK149" i="1"/>
  <c r="AJ149" i="1"/>
  <c r="AO148" i="1"/>
  <c r="AN148" i="1"/>
  <c r="AM148" i="1"/>
  <c r="AL148" i="1"/>
  <c r="AK148" i="1"/>
  <c r="AJ148" i="1"/>
  <c r="AO147" i="1"/>
  <c r="AN147" i="1"/>
  <c r="AM147" i="1"/>
  <c r="AL147" i="1"/>
  <c r="AK147" i="1"/>
  <c r="AJ147" i="1"/>
  <c r="AO146" i="1"/>
  <c r="AN146" i="1"/>
  <c r="AM146" i="1"/>
  <c r="AL146" i="1"/>
  <c r="AK146" i="1"/>
  <c r="AJ146" i="1"/>
  <c r="AO145" i="1"/>
  <c r="AN145" i="1"/>
  <c r="AM145" i="1"/>
  <c r="AL145" i="1"/>
  <c r="AK145" i="1"/>
  <c r="AJ145" i="1"/>
  <c r="AO144" i="1"/>
  <c r="AN144" i="1"/>
  <c r="AM144" i="1"/>
  <c r="AL144" i="1"/>
  <c r="AK144" i="1"/>
  <c r="AJ144" i="1"/>
  <c r="AO143" i="1"/>
  <c r="AN143" i="1"/>
  <c r="AM143" i="1"/>
  <c r="AL143" i="1"/>
  <c r="AK143" i="1"/>
  <c r="AJ143" i="1"/>
  <c r="AO142" i="1"/>
  <c r="AN142" i="1"/>
  <c r="AM142" i="1"/>
  <c r="AL142" i="1"/>
  <c r="AK142" i="1"/>
  <c r="AJ142" i="1"/>
  <c r="AO141" i="1"/>
  <c r="AN141" i="1"/>
  <c r="AM141" i="1"/>
  <c r="AL141" i="1"/>
  <c r="AK141" i="1"/>
  <c r="AJ141" i="1"/>
  <c r="AO140" i="1"/>
  <c r="AN140" i="1"/>
  <c r="AM140" i="1"/>
  <c r="AL140" i="1"/>
  <c r="AK140" i="1"/>
  <c r="AJ140" i="1"/>
  <c r="AO139" i="1"/>
  <c r="AN139" i="1"/>
  <c r="AM139" i="1"/>
  <c r="AL139" i="1"/>
  <c r="AK139" i="1"/>
  <c r="AJ139" i="1"/>
  <c r="AO138" i="1"/>
  <c r="AN138" i="1"/>
  <c r="AM138" i="1"/>
  <c r="AL138" i="1"/>
  <c r="AK138" i="1"/>
  <c r="AJ138" i="1"/>
  <c r="AO137" i="1"/>
  <c r="AN137" i="1"/>
  <c r="AM137" i="1"/>
  <c r="AL137" i="1"/>
  <c r="AK137" i="1"/>
  <c r="AJ137" i="1"/>
  <c r="AO136" i="1"/>
  <c r="AN136" i="1"/>
  <c r="AM136" i="1"/>
  <c r="AL136" i="1"/>
  <c r="AK136" i="1"/>
  <c r="AJ136" i="1"/>
  <c r="AO135" i="1"/>
  <c r="AN135" i="1"/>
  <c r="AM135" i="1"/>
  <c r="AL135" i="1"/>
  <c r="AK135" i="1"/>
  <c r="AJ135" i="1"/>
  <c r="AO134" i="1"/>
  <c r="AN134" i="1"/>
  <c r="AM134" i="1"/>
  <c r="AL134" i="1"/>
  <c r="AK134" i="1"/>
  <c r="AJ134" i="1"/>
  <c r="AO133" i="1"/>
  <c r="AN133" i="1"/>
  <c r="AM133" i="1"/>
  <c r="AL133" i="1"/>
  <c r="AK133" i="1"/>
  <c r="AJ133" i="1"/>
  <c r="AO132" i="1"/>
  <c r="AN132" i="1"/>
  <c r="AM132" i="1"/>
  <c r="AL132" i="1"/>
  <c r="AK132" i="1"/>
  <c r="AJ132" i="1"/>
  <c r="AO131" i="1"/>
  <c r="AN131" i="1"/>
  <c r="AM131" i="1"/>
  <c r="AL131" i="1"/>
  <c r="AK131" i="1"/>
  <c r="AJ131" i="1"/>
  <c r="AO130" i="1"/>
  <c r="AN130" i="1"/>
  <c r="AM130" i="1"/>
  <c r="AL130" i="1"/>
  <c r="AK130" i="1"/>
  <c r="AJ130" i="1"/>
  <c r="AO129" i="1"/>
  <c r="AN129" i="1"/>
  <c r="AM129" i="1"/>
  <c r="AL129" i="1"/>
  <c r="AK129" i="1"/>
  <c r="AJ129" i="1"/>
  <c r="AO128" i="1"/>
  <c r="AN128" i="1"/>
  <c r="AM128" i="1"/>
  <c r="AL128" i="1"/>
  <c r="AK128" i="1"/>
  <c r="AJ128" i="1"/>
  <c r="AO127" i="1"/>
  <c r="AN127" i="1"/>
  <c r="AM127" i="1"/>
  <c r="AL127" i="1"/>
  <c r="AK127" i="1"/>
  <c r="AJ127" i="1"/>
  <c r="AO126" i="1"/>
  <c r="AN126" i="1"/>
  <c r="AM126" i="1"/>
  <c r="AL126" i="1"/>
  <c r="AK126" i="1"/>
  <c r="AJ126" i="1"/>
  <c r="AO125" i="1"/>
  <c r="AN125" i="1"/>
  <c r="AM125" i="1"/>
  <c r="AL125" i="1"/>
  <c r="AK125" i="1"/>
  <c r="AJ125" i="1"/>
  <c r="AO124" i="1"/>
  <c r="AN124" i="1"/>
  <c r="AM124" i="1"/>
  <c r="AL124" i="1"/>
  <c r="AK124" i="1"/>
  <c r="AJ124" i="1"/>
  <c r="AO123" i="1"/>
  <c r="AN123" i="1"/>
  <c r="AM123" i="1"/>
  <c r="AL123" i="1"/>
  <c r="AK123" i="1"/>
  <c r="AJ123" i="1"/>
  <c r="AO122" i="1"/>
  <c r="AN122" i="1"/>
  <c r="AM122" i="1"/>
  <c r="AL122" i="1"/>
  <c r="AK122" i="1"/>
  <c r="AJ122" i="1"/>
  <c r="AO121" i="1"/>
  <c r="AN121" i="1"/>
  <c r="AM121" i="1"/>
  <c r="AL121" i="1"/>
  <c r="AK121" i="1"/>
  <c r="AJ121" i="1"/>
  <c r="AO120" i="1"/>
  <c r="AN120" i="1"/>
  <c r="AM120" i="1"/>
  <c r="AL120" i="1"/>
  <c r="AK120" i="1"/>
  <c r="AJ120" i="1"/>
  <c r="AO119" i="1"/>
  <c r="AN119" i="1"/>
  <c r="AM119" i="1"/>
  <c r="AL119" i="1"/>
  <c r="AK119" i="1"/>
  <c r="AJ119" i="1"/>
  <c r="AO118" i="1"/>
  <c r="AN118" i="1"/>
  <c r="AM118" i="1"/>
  <c r="AL118" i="1"/>
  <c r="AK118" i="1"/>
  <c r="AJ118" i="1"/>
  <c r="AO117" i="1"/>
  <c r="AN117" i="1"/>
  <c r="AM117" i="1"/>
  <c r="AL117" i="1"/>
  <c r="AK117" i="1"/>
  <c r="AJ117" i="1"/>
  <c r="AO116" i="1"/>
  <c r="AN116" i="1"/>
  <c r="AM116" i="1"/>
  <c r="AL116" i="1"/>
  <c r="AK116" i="1"/>
  <c r="AJ116" i="1"/>
  <c r="AO115" i="1"/>
  <c r="AN115" i="1"/>
  <c r="AM115" i="1"/>
  <c r="AL115" i="1"/>
  <c r="AK115" i="1"/>
  <c r="AJ115" i="1"/>
  <c r="AO114" i="1"/>
  <c r="AN114" i="1"/>
  <c r="AM114" i="1"/>
  <c r="AL114" i="1"/>
  <c r="AK114" i="1"/>
  <c r="AJ114" i="1"/>
  <c r="AO113" i="1"/>
  <c r="AN113" i="1"/>
  <c r="AM113" i="1"/>
  <c r="AL113" i="1"/>
  <c r="AK113" i="1"/>
  <c r="AJ113" i="1"/>
  <c r="AO112" i="1"/>
  <c r="AN112" i="1"/>
  <c r="AM112" i="1"/>
  <c r="AL112" i="1"/>
  <c r="AK112" i="1"/>
  <c r="AJ112" i="1"/>
  <c r="AO111" i="1"/>
  <c r="AN111" i="1"/>
  <c r="AM111" i="1"/>
  <c r="AL111" i="1"/>
  <c r="AK111" i="1"/>
  <c r="AJ111" i="1"/>
  <c r="AO110" i="1"/>
  <c r="AN110" i="1"/>
  <c r="AM110" i="1"/>
  <c r="AL110" i="1"/>
  <c r="AK110" i="1"/>
  <c r="AJ110" i="1"/>
  <c r="AO109" i="1"/>
  <c r="AN109" i="1"/>
  <c r="AM109" i="1"/>
  <c r="AL109" i="1"/>
  <c r="AK109" i="1"/>
  <c r="AJ109" i="1"/>
  <c r="AO108" i="1"/>
  <c r="AN108" i="1"/>
  <c r="AM108" i="1"/>
  <c r="AL108" i="1"/>
  <c r="AK108" i="1"/>
  <c r="AJ108" i="1"/>
  <c r="AO107" i="1"/>
  <c r="AN107" i="1"/>
  <c r="AM107" i="1"/>
  <c r="AL107" i="1"/>
  <c r="AK107" i="1"/>
  <c r="AJ107" i="1"/>
  <c r="AO106" i="1"/>
  <c r="AN106" i="1"/>
  <c r="AM106" i="1"/>
  <c r="AL106" i="1"/>
  <c r="AK106" i="1"/>
  <c r="AJ106" i="1"/>
  <c r="AO105" i="1"/>
  <c r="AN105" i="1"/>
  <c r="AM105" i="1"/>
  <c r="AL105" i="1"/>
  <c r="AK105" i="1"/>
  <c r="AJ105" i="1"/>
  <c r="AO104" i="1"/>
  <c r="AN104" i="1"/>
  <c r="AM104" i="1"/>
  <c r="AL104" i="1"/>
  <c r="AK104" i="1"/>
  <c r="AJ104" i="1"/>
  <c r="AO103" i="1"/>
  <c r="AN103" i="1"/>
  <c r="AM103" i="1"/>
  <c r="AL103" i="1"/>
  <c r="AK103" i="1"/>
  <c r="AJ103" i="1"/>
  <c r="AO102" i="1"/>
  <c r="AN102" i="1"/>
  <c r="AM102" i="1"/>
  <c r="AL102" i="1"/>
  <c r="AK102" i="1"/>
  <c r="AJ102" i="1"/>
  <c r="AO101" i="1"/>
  <c r="AN101" i="1"/>
  <c r="AM101" i="1"/>
  <c r="AL101" i="1"/>
  <c r="AK101" i="1"/>
  <c r="AJ101" i="1"/>
  <c r="AO100" i="1"/>
  <c r="AN100" i="1"/>
  <c r="AM100" i="1"/>
  <c r="AL100" i="1"/>
  <c r="AK100" i="1"/>
  <c r="AJ100" i="1"/>
  <c r="AO99" i="1"/>
  <c r="AN99" i="1"/>
  <c r="AM99" i="1"/>
  <c r="AL99" i="1"/>
  <c r="AK99" i="1"/>
  <c r="AJ99" i="1"/>
  <c r="AO98" i="1"/>
  <c r="AN98" i="1"/>
  <c r="AM98" i="1"/>
  <c r="AL98" i="1"/>
  <c r="AK98" i="1"/>
  <c r="AJ98" i="1"/>
  <c r="AO97" i="1"/>
  <c r="AN97" i="1"/>
  <c r="AM97" i="1"/>
  <c r="AL97" i="1"/>
  <c r="AK97" i="1"/>
  <c r="AJ97" i="1"/>
  <c r="AO96" i="1"/>
  <c r="AN96" i="1"/>
  <c r="AM96" i="1"/>
  <c r="AL96" i="1"/>
  <c r="AK96" i="1"/>
  <c r="AJ96" i="1"/>
  <c r="AO95" i="1"/>
  <c r="AN95" i="1"/>
  <c r="AM95" i="1"/>
  <c r="AL95" i="1"/>
  <c r="AK95" i="1"/>
  <c r="AJ95" i="1"/>
  <c r="AO94" i="1"/>
  <c r="AN94" i="1"/>
  <c r="AM94" i="1"/>
  <c r="AL94" i="1"/>
  <c r="AK94" i="1"/>
  <c r="AJ94" i="1"/>
  <c r="AO93" i="1"/>
  <c r="AN93" i="1"/>
  <c r="AM93" i="1"/>
  <c r="AL93" i="1"/>
  <c r="AK93" i="1"/>
  <c r="AJ93" i="1"/>
  <c r="AO92" i="1"/>
  <c r="AN92" i="1"/>
  <c r="AM92" i="1"/>
  <c r="AL92" i="1"/>
  <c r="AK92" i="1"/>
  <c r="AJ92" i="1"/>
  <c r="AO91" i="1"/>
  <c r="AN91" i="1"/>
  <c r="AM91" i="1"/>
  <c r="AL91" i="1"/>
  <c r="AK91" i="1"/>
  <c r="AJ91" i="1"/>
  <c r="AO90" i="1"/>
  <c r="AN90" i="1"/>
  <c r="AM90" i="1"/>
  <c r="AL90" i="1"/>
  <c r="AK90" i="1"/>
  <c r="AJ90" i="1"/>
  <c r="AO89" i="1"/>
  <c r="AN89" i="1"/>
  <c r="AM89" i="1"/>
  <c r="AL89" i="1"/>
  <c r="AK89" i="1"/>
  <c r="AJ89" i="1"/>
  <c r="AO88" i="1"/>
  <c r="AN88" i="1"/>
  <c r="AM88" i="1"/>
  <c r="AL88" i="1"/>
  <c r="AK88" i="1"/>
  <c r="AJ88" i="1"/>
  <c r="AO87" i="1"/>
  <c r="AN87" i="1"/>
  <c r="AM87" i="1"/>
  <c r="AL87" i="1"/>
  <c r="AK87" i="1"/>
  <c r="AJ87" i="1"/>
  <c r="AO86" i="1"/>
  <c r="AN86" i="1"/>
  <c r="AM86" i="1"/>
  <c r="AL86" i="1"/>
  <c r="AK86" i="1"/>
  <c r="AJ86" i="1"/>
  <c r="AO85" i="1"/>
  <c r="AN85" i="1"/>
  <c r="AM85" i="1"/>
  <c r="AL85" i="1"/>
  <c r="AK85" i="1"/>
  <c r="AJ85" i="1"/>
  <c r="AO84" i="1"/>
  <c r="AN84" i="1"/>
  <c r="AM84" i="1"/>
  <c r="AL84" i="1"/>
  <c r="AK84" i="1"/>
  <c r="AJ84" i="1"/>
  <c r="AO83" i="1"/>
  <c r="AN83" i="1"/>
  <c r="AM83" i="1"/>
  <c r="AL83" i="1"/>
  <c r="AK83" i="1"/>
  <c r="AJ83" i="1"/>
  <c r="AO82" i="1"/>
  <c r="AN82" i="1"/>
  <c r="AM82" i="1"/>
  <c r="AL82" i="1"/>
  <c r="AK82" i="1"/>
  <c r="AJ82" i="1"/>
  <c r="AO81" i="1"/>
  <c r="AN81" i="1"/>
  <c r="AM81" i="1"/>
  <c r="AL81" i="1"/>
  <c r="AK81" i="1"/>
  <c r="AJ81" i="1"/>
  <c r="AO80" i="1"/>
  <c r="AN80" i="1"/>
  <c r="AM80" i="1"/>
  <c r="AL80" i="1"/>
  <c r="AK80" i="1"/>
  <c r="AJ80" i="1"/>
  <c r="AO79" i="1"/>
  <c r="AN79" i="1"/>
  <c r="AM79" i="1"/>
  <c r="AL79" i="1"/>
  <c r="AK79" i="1"/>
  <c r="AJ79" i="1"/>
  <c r="AO78" i="1"/>
  <c r="AN78" i="1"/>
  <c r="AM78" i="1"/>
  <c r="AL78" i="1"/>
  <c r="AK78" i="1"/>
  <c r="AJ78" i="1"/>
  <c r="AO77" i="1"/>
  <c r="AN77" i="1"/>
  <c r="AM77" i="1"/>
  <c r="AL77" i="1"/>
  <c r="AK77" i="1"/>
  <c r="AJ77" i="1"/>
  <c r="AO76" i="1"/>
  <c r="AN76" i="1"/>
  <c r="AM76" i="1"/>
  <c r="AL76" i="1"/>
  <c r="AK76" i="1"/>
  <c r="AJ76" i="1"/>
  <c r="AO75" i="1"/>
  <c r="AN75" i="1"/>
  <c r="AM75" i="1"/>
  <c r="AL75" i="1"/>
  <c r="AK75" i="1"/>
  <c r="AJ75" i="1"/>
  <c r="AO74" i="1"/>
  <c r="AN74" i="1"/>
  <c r="AM74" i="1"/>
  <c r="AL74" i="1"/>
  <c r="AK74" i="1"/>
  <c r="AJ74" i="1"/>
  <c r="AO73" i="1"/>
  <c r="AN73" i="1"/>
  <c r="AM73" i="1"/>
  <c r="AL73" i="1"/>
  <c r="AK73" i="1"/>
  <c r="AJ73" i="1"/>
  <c r="AO72" i="1"/>
  <c r="AN72" i="1"/>
  <c r="AM72" i="1"/>
  <c r="AL72" i="1"/>
  <c r="AK72" i="1"/>
  <c r="AJ72" i="1"/>
  <c r="AO71" i="1"/>
  <c r="AN71" i="1"/>
  <c r="AM71" i="1"/>
  <c r="AL71" i="1"/>
  <c r="AK71" i="1"/>
  <c r="AJ71" i="1"/>
  <c r="AO70" i="1"/>
  <c r="AN70" i="1"/>
  <c r="AM70" i="1"/>
  <c r="AL70" i="1"/>
  <c r="AK70" i="1"/>
  <c r="AJ70" i="1"/>
  <c r="AO69" i="1"/>
  <c r="AN69" i="1"/>
  <c r="AM69" i="1"/>
  <c r="AL69" i="1"/>
  <c r="AK69" i="1"/>
  <c r="AJ69" i="1"/>
  <c r="AO68" i="1"/>
  <c r="AN68" i="1"/>
  <c r="AM68" i="1"/>
  <c r="AL68" i="1"/>
  <c r="AK68" i="1"/>
  <c r="AJ68" i="1"/>
  <c r="AO67" i="1"/>
  <c r="AN67" i="1"/>
  <c r="AM67" i="1"/>
  <c r="AL67" i="1"/>
  <c r="AK67" i="1"/>
  <c r="AJ67" i="1"/>
  <c r="AO66" i="1"/>
  <c r="AN66" i="1"/>
  <c r="AM66" i="1"/>
  <c r="AL66" i="1"/>
  <c r="AK66" i="1"/>
  <c r="AJ66" i="1"/>
  <c r="AO65" i="1"/>
  <c r="AN65" i="1"/>
  <c r="AM65" i="1"/>
  <c r="AL65" i="1"/>
  <c r="AK65" i="1"/>
  <c r="AJ65" i="1"/>
  <c r="AO64" i="1"/>
  <c r="AN64" i="1"/>
  <c r="AM64" i="1"/>
  <c r="AL64" i="1"/>
  <c r="AK64" i="1"/>
  <c r="AJ64" i="1"/>
  <c r="AO63" i="1"/>
  <c r="AN63" i="1"/>
  <c r="AM63" i="1"/>
  <c r="AL63" i="1"/>
  <c r="AK63" i="1"/>
  <c r="AJ63" i="1"/>
  <c r="AO62" i="1"/>
  <c r="AN62" i="1"/>
  <c r="AM62" i="1"/>
  <c r="AL62" i="1"/>
  <c r="AK62" i="1"/>
  <c r="AJ62" i="1"/>
  <c r="AO61" i="1"/>
  <c r="AN61" i="1"/>
  <c r="AM61" i="1"/>
  <c r="AL61" i="1"/>
  <c r="AK61" i="1"/>
  <c r="AJ61" i="1"/>
  <c r="AO60" i="1"/>
  <c r="AN60" i="1"/>
  <c r="AM60" i="1"/>
  <c r="AL60" i="1"/>
  <c r="AK60" i="1"/>
  <c r="AJ60" i="1"/>
  <c r="AO59" i="1"/>
  <c r="AN59" i="1"/>
  <c r="AM59" i="1"/>
  <c r="AL59" i="1"/>
  <c r="AK59" i="1"/>
  <c r="AJ59" i="1"/>
  <c r="AO58" i="1"/>
  <c r="AN58" i="1"/>
  <c r="AM58" i="1"/>
  <c r="AL58" i="1"/>
  <c r="AK58" i="1"/>
  <c r="AJ58" i="1"/>
  <c r="AO57" i="1"/>
  <c r="AN57" i="1"/>
  <c r="AM57" i="1"/>
  <c r="AL57" i="1"/>
  <c r="AK57" i="1"/>
  <c r="AJ57" i="1"/>
  <c r="AO56" i="1"/>
  <c r="AN56" i="1"/>
  <c r="AM56" i="1"/>
  <c r="AL56" i="1"/>
  <c r="AK56" i="1"/>
  <c r="AJ56" i="1"/>
  <c r="AO55" i="1"/>
  <c r="AN55" i="1"/>
  <c r="AM55" i="1"/>
  <c r="AL55" i="1"/>
  <c r="AK55" i="1"/>
  <c r="AJ55" i="1"/>
  <c r="AO54" i="1"/>
  <c r="AN54" i="1"/>
  <c r="AM54" i="1"/>
  <c r="AL54" i="1"/>
  <c r="AK54" i="1"/>
  <c r="AJ54" i="1"/>
  <c r="AO53" i="1"/>
  <c r="AN53" i="1"/>
  <c r="AM53" i="1"/>
  <c r="AL53" i="1"/>
  <c r="AK53" i="1"/>
  <c r="AJ53" i="1"/>
  <c r="AO52" i="1"/>
  <c r="AN52" i="1"/>
  <c r="AM52" i="1"/>
  <c r="AL52" i="1"/>
  <c r="AK52" i="1"/>
  <c r="AJ52" i="1"/>
  <c r="AO51" i="1"/>
  <c r="AN51" i="1"/>
  <c r="AM51" i="1"/>
  <c r="AL51" i="1"/>
  <c r="AK51" i="1"/>
  <c r="AJ51" i="1"/>
  <c r="AO50" i="1"/>
  <c r="AN50" i="1"/>
  <c r="AM50" i="1"/>
  <c r="AL50" i="1"/>
  <c r="AK50" i="1"/>
  <c r="AJ50" i="1"/>
  <c r="AO49" i="1"/>
  <c r="AN49" i="1"/>
  <c r="AM49" i="1"/>
  <c r="AL49" i="1"/>
  <c r="AK49" i="1"/>
  <c r="AJ49" i="1"/>
  <c r="AO48" i="1"/>
  <c r="AN48" i="1"/>
  <c r="AM48" i="1"/>
  <c r="AL48" i="1"/>
  <c r="AK48" i="1"/>
  <c r="AJ48" i="1"/>
  <c r="AO47" i="1"/>
  <c r="AN47" i="1"/>
  <c r="AM47" i="1"/>
  <c r="AL47" i="1"/>
  <c r="AK47" i="1"/>
  <c r="AJ47" i="1"/>
  <c r="AO46" i="1"/>
  <c r="AN46" i="1"/>
  <c r="AM46" i="1"/>
  <c r="AL46" i="1"/>
  <c r="AK46" i="1"/>
  <c r="AJ46" i="1"/>
  <c r="AO45" i="1"/>
  <c r="AN45" i="1"/>
  <c r="AM45" i="1"/>
  <c r="AL45" i="1"/>
  <c r="AK45" i="1"/>
  <c r="AJ45" i="1"/>
  <c r="AO44" i="1"/>
  <c r="AN44" i="1"/>
  <c r="AM44" i="1"/>
  <c r="AL44" i="1"/>
  <c r="AK44" i="1"/>
  <c r="AJ44" i="1"/>
  <c r="AO43" i="1"/>
  <c r="AN43" i="1"/>
  <c r="AM43" i="1"/>
  <c r="AL43" i="1"/>
  <c r="AK43" i="1"/>
  <c r="AJ43" i="1"/>
  <c r="AO42" i="1"/>
  <c r="AN42" i="1"/>
  <c r="AM42" i="1"/>
  <c r="AL42" i="1"/>
  <c r="AK42" i="1"/>
  <c r="AJ42" i="1"/>
  <c r="AO41" i="1"/>
  <c r="AN41" i="1"/>
  <c r="AM41" i="1"/>
  <c r="AL41" i="1"/>
  <c r="AK41" i="1"/>
  <c r="AJ41" i="1"/>
  <c r="AO40" i="1"/>
  <c r="AN40" i="1"/>
  <c r="AM40" i="1"/>
  <c r="AL40" i="1"/>
  <c r="AK40" i="1"/>
  <c r="AJ40" i="1"/>
  <c r="AO39" i="1"/>
  <c r="AN39" i="1"/>
  <c r="AM39" i="1"/>
  <c r="AL39" i="1"/>
  <c r="AK39" i="1"/>
  <c r="AJ39" i="1"/>
  <c r="AO38" i="1"/>
  <c r="AN38" i="1"/>
  <c r="AM38" i="1"/>
  <c r="AL38" i="1"/>
  <c r="AK38" i="1"/>
  <c r="AJ38" i="1"/>
  <c r="AO37" i="1"/>
  <c r="AN37" i="1"/>
  <c r="AM37" i="1"/>
  <c r="AL37" i="1"/>
  <c r="AK37" i="1"/>
  <c r="AJ37" i="1"/>
  <c r="AO36" i="1"/>
  <c r="AN36" i="1"/>
  <c r="AM36" i="1"/>
  <c r="AL36" i="1"/>
  <c r="AK36" i="1"/>
  <c r="AJ36" i="1"/>
  <c r="AO35" i="1"/>
  <c r="AN35" i="1"/>
  <c r="AM35" i="1"/>
  <c r="AL35" i="1"/>
  <c r="AK35" i="1"/>
  <c r="AJ35" i="1"/>
  <c r="AO34" i="1"/>
  <c r="AN34" i="1"/>
  <c r="AM34" i="1"/>
  <c r="AL34" i="1"/>
  <c r="AK34" i="1"/>
  <c r="AJ34" i="1"/>
  <c r="AO33" i="1"/>
  <c r="AN33" i="1"/>
  <c r="AM33" i="1"/>
  <c r="AL33" i="1"/>
  <c r="AK33" i="1"/>
  <c r="AJ33" i="1"/>
  <c r="AO32" i="1"/>
  <c r="AN32" i="1"/>
  <c r="AM32" i="1"/>
  <c r="AL32" i="1"/>
  <c r="AK32" i="1"/>
  <c r="AJ32" i="1"/>
  <c r="AO31" i="1"/>
  <c r="AN31" i="1"/>
  <c r="AM31" i="1"/>
  <c r="AL31" i="1"/>
  <c r="AK31" i="1"/>
  <c r="AJ31" i="1"/>
  <c r="AO30" i="1"/>
  <c r="AN30" i="1"/>
  <c r="AM30" i="1"/>
  <c r="AL30" i="1"/>
  <c r="AK30" i="1"/>
  <c r="AJ30" i="1"/>
  <c r="AO29" i="1"/>
  <c r="AN29" i="1"/>
  <c r="AM29" i="1"/>
  <c r="AL29" i="1"/>
  <c r="AK29" i="1"/>
  <c r="AJ29" i="1"/>
  <c r="AO28" i="1"/>
  <c r="AN28" i="1"/>
  <c r="AM28" i="1"/>
  <c r="AL28" i="1"/>
  <c r="AK28" i="1"/>
  <c r="AJ28" i="1"/>
  <c r="AO27" i="1"/>
  <c r="AN27" i="1"/>
  <c r="AM27" i="1"/>
  <c r="AL27" i="1"/>
  <c r="AK27" i="1"/>
  <c r="AJ27" i="1"/>
  <c r="AO26" i="1"/>
  <c r="AN26" i="1"/>
  <c r="AM26" i="1"/>
  <c r="AL26" i="1"/>
  <c r="AK26" i="1"/>
  <c r="AJ26" i="1"/>
  <c r="AO25" i="1"/>
  <c r="AN25" i="1"/>
  <c r="AM25" i="1"/>
  <c r="AL25" i="1"/>
  <c r="AK25" i="1"/>
  <c r="AJ25" i="1"/>
  <c r="AO24" i="1"/>
  <c r="AN24" i="1"/>
  <c r="AM24" i="1"/>
  <c r="AL24" i="1"/>
  <c r="AK24" i="1"/>
  <c r="AJ24" i="1"/>
  <c r="AO23" i="1"/>
  <c r="AN23" i="1"/>
  <c r="AM23" i="1"/>
  <c r="AL23" i="1"/>
  <c r="AK23" i="1"/>
  <c r="AJ23" i="1"/>
  <c r="AO22" i="1"/>
  <c r="AN22" i="1"/>
  <c r="AM22" i="1"/>
  <c r="AL22" i="1"/>
  <c r="AK22" i="1"/>
  <c r="AJ22" i="1"/>
  <c r="AO21" i="1"/>
  <c r="AN21" i="1"/>
  <c r="AM21" i="1"/>
  <c r="AL21" i="1"/>
  <c r="AK21" i="1"/>
  <c r="AJ21" i="1"/>
  <c r="AO20" i="1"/>
  <c r="AN20" i="1"/>
  <c r="AM20" i="1"/>
  <c r="AL20" i="1"/>
  <c r="AK20" i="1"/>
  <c r="AJ20" i="1"/>
  <c r="AO19" i="1"/>
  <c r="AN19" i="1"/>
  <c r="AM19" i="1"/>
  <c r="AL19" i="1"/>
  <c r="AK19" i="1"/>
  <c r="AJ19" i="1"/>
  <c r="AO18" i="1"/>
  <c r="AN18" i="1"/>
  <c r="AM18" i="1"/>
  <c r="AL18" i="1"/>
  <c r="AK18" i="1"/>
  <c r="AJ18" i="1"/>
  <c r="AO17" i="1"/>
  <c r="AN17" i="1"/>
  <c r="AM17" i="1"/>
  <c r="AL17" i="1"/>
  <c r="AK17" i="1"/>
  <c r="AJ17" i="1"/>
  <c r="AO16" i="1"/>
  <c r="AN16" i="1"/>
  <c r="AM16" i="1"/>
  <c r="AL16" i="1"/>
  <c r="AK16" i="1"/>
  <c r="AJ16" i="1"/>
  <c r="AO15" i="1"/>
  <c r="AN15" i="1"/>
  <c r="AM15" i="1"/>
  <c r="AL15" i="1"/>
  <c r="AK15" i="1"/>
  <c r="AJ15" i="1"/>
  <c r="AO14" i="1"/>
  <c r="AN14" i="1"/>
  <c r="AM14" i="1"/>
  <c r="AL14" i="1"/>
  <c r="AK14" i="1"/>
  <c r="AJ14" i="1"/>
  <c r="AO13" i="1"/>
  <c r="AN13" i="1"/>
  <c r="AM13" i="1"/>
  <c r="AL13" i="1"/>
  <c r="AK13" i="1"/>
  <c r="AJ13" i="1"/>
  <c r="AO12" i="1"/>
  <c r="AN12" i="1"/>
  <c r="AM12" i="1"/>
  <c r="AL12" i="1"/>
  <c r="AK12" i="1"/>
  <c r="AJ12" i="1"/>
  <c r="AO11" i="1"/>
  <c r="AN11" i="1"/>
  <c r="AM11" i="1"/>
  <c r="AL11" i="1"/>
  <c r="AK11" i="1"/>
  <c r="AJ11" i="1"/>
  <c r="AO10" i="1"/>
  <c r="AN10" i="1"/>
  <c r="AM10" i="1"/>
  <c r="AL10" i="1"/>
  <c r="AK10" i="1"/>
  <c r="AJ10" i="1"/>
  <c r="AO9" i="1"/>
  <c r="AN9" i="1"/>
  <c r="AM9" i="1"/>
  <c r="AL9" i="1"/>
  <c r="AK9" i="1"/>
  <c r="AJ9" i="1"/>
  <c r="AO8" i="1"/>
  <c r="AN8" i="1"/>
  <c r="AM8" i="1"/>
  <c r="AL8" i="1"/>
  <c r="AK8" i="1"/>
  <c r="AJ8" i="1"/>
  <c r="AO7" i="1"/>
  <c r="AN7" i="1"/>
  <c r="AM7" i="1"/>
  <c r="AL7" i="1"/>
  <c r="AK7" i="1"/>
  <c r="AJ7" i="1"/>
  <c r="AO6" i="1"/>
  <c r="AN6" i="1"/>
  <c r="AM6" i="1"/>
  <c r="AL6" i="1"/>
  <c r="AK6" i="1"/>
  <c r="AJ6" i="1"/>
  <c r="AO5" i="1"/>
  <c r="AN5" i="1"/>
  <c r="AM5" i="1"/>
  <c r="AL5" i="1"/>
  <c r="AK5" i="1"/>
  <c r="AJ5" i="1"/>
  <c r="AN4" i="1"/>
  <c r="AL4" i="1"/>
  <c r="AK4" i="1"/>
  <c r="CE1216" i="1"/>
  <c r="CD1216" i="1"/>
  <c r="CC1216" i="1"/>
  <c r="CB1216" i="1"/>
  <c r="CA1216" i="1"/>
  <c r="BZ1216" i="1"/>
  <c r="BY1216" i="1"/>
  <c r="BX1216" i="1"/>
  <c r="BW1216" i="1"/>
  <c r="BV1216" i="1"/>
  <c r="BU1216" i="1"/>
  <c r="BT1216" i="1"/>
  <c r="BS1216" i="1"/>
  <c r="BR1216" i="1"/>
  <c r="BQ1216" i="1"/>
  <c r="BP1216" i="1"/>
  <c r="BO1216" i="1"/>
  <c r="BN1216" i="1"/>
  <c r="BM1216" i="1"/>
  <c r="BL1216" i="1"/>
  <c r="BK1216" i="1"/>
  <c r="BJ1216" i="1"/>
  <c r="BI1216" i="1"/>
  <c r="BH1216" i="1"/>
  <c r="BG1216" i="1"/>
  <c r="CE1215" i="1"/>
  <c r="CD1215" i="1"/>
  <c r="CC1215" i="1"/>
  <c r="CB1215" i="1"/>
  <c r="CA1215" i="1"/>
  <c r="BZ1215" i="1"/>
  <c r="BY1215" i="1"/>
  <c r="BX1215" i="1"/>
  <c r="BW1215" i="1"/>
  <c r="BV1215" i="1"/>
  <c r="BU1215" i="1"/>
  <c r="BT1215" i="1"/>
  <c r="BS1215" i="1"/>
  <c r="BR1215" i="1"/>
  <c r="BQ1215" i="1"/>
  <c r="BP1215" i="1"/>
  <c r="BO1215" i="1"/>
  <c r="BN1215" i="1"/>
  <c r="BM1215" i="1"/>
  <c r="BL1215" i="1"/>
  <c r="BK1215" i="1"/>
  <c r="BJ1215" i="1"/>
  <c r="BI1215" i="1"/>
  <c r="BH1215" i="1"/>
  <c r="BG1215" i="1"/>
  <c r="CE1214" i="1"/>
  <c r="CD1214" i="1"/>
  <c r="CC1214" i="1"/>
  <c r="CB1214" i="1"/>
  <c r="CA1214" i="1"/>
  <c r="BZ1214" i="1"/>
  <c r="BY1214" i="1"/>
  <c r="BX1214" i="1"/>
  <c r="BW1214" i="1"/>
  <c r="BV1214" i="1"/>
  <c r="BU1214" i="1"/>
  <c r="BT1214" i="1"/>
  <c r="BS1214" i="1"/>
  <c r="BR1214" i="1"/>
  <c r="BQ1214" i="1"/>
  <c r="BP1214" i="1"/>
  <c r="BO1214" i="1"/>
  <c r="BN1214" i="1"/>
  <c r="BM1214" i="1"/>
  <c r="BL1214" i="1"/>
  <c r="BK1214" i="1"/>
  <c r="BJ1214" i="1"/>
  <c r="BI1214" i="1"/>
  <c r="BH1214" i="1"/>
  <c r="BG1214" i="1"/>
  <c r="CE1213" i="1"/>
  <c r="CD1213" i="1"/>
  <c r="CC1213" i="1"/>
  <c r="CB1213" i="1"/>
  <c r="CA1213" i="1"/>
  <c r="BZ1213" i="1"/>
  <c r="BY1213" i="1"/>
  <c r="BX1213" i="1"/>
  <c r="BW1213" i="1"/>
  <c r="BV1213" i="1"/>
  <c r="BU1213" i="1"/>
  <c r="BT1213" i="1"/>
  <c r="BS1213" i="1"/>
  <c r="BR1213" i="1"/>
  <c r="BQ1213" i="1"/>
  <c r="BP1213" i="1"/>
  <c r="BO1213" i="1"/>
  <c r="BN1213" i="1"/>
  <c r="BM1213" i="1"/>
  <c r="BL1213" i="1"/>
  <c r="BK1213" i="1"/>
  <c r="BJ1213" i="1"/>
  <c r="BI1213" i="1"/>
  <c r="BH1213" i="1"/>
  <c r="BG1213" i="1"/>
  <c r="CE1212" i="1"/>
  <c r="CD1212" i="1"/>
  <c r="CC1212" i="1"/>
  <c r="CB1212" i="1"/>
  <c r="CA1212" i="1"/>
  <c r="BZ1212" i="1"/>
  <c r="BY1212" i="1"/>
  <c r="BX1212" i="1"/>
  <c r="BW1212" i="1"/>
  <c r="BV1212" i="1"/>
  <c r="BU1212" i="1"/>
  <c r="BT1212" i="1"/>
  <c r="BS1212" i="1"/>
  <c r="BR1212" i="1"/>
  <c r="BQ1212" i="1"/>
  <c r="BP1212" i="1"/>
  <c r="BO1212" i="1"/>
  <c r="BN1212" i="1"/>
  <c r="BM1212" i="1"/>
  <c r="BL1212" i="1"/>
  <c r="BK1212" i="1"/>
  <c r="BJ1212" i="1"/>
  <c r="BI1212" i="1"/>
  <c r="BH1212" i="1"/>
  <c r="BG1212" i="1"/>
  <c r="CE1211" i="1"/>
  <c r="CD1211" i="1"/>
  <c r="CC1211" i="1"/>
  <c r="CB1211" i="1"/>
  <c r="CA1211" i="1"/>
  <c r="BZ1211" i="1"/>
  <c r="BY1211" i="1"/>
  <c r="BX1211" i="1"/>
  <c r="BW1211" i="1"/>
  <c r="BV1211" i="1"/>
  <c r="BU1211" i="1"/>
  <c r="BT1211" i="1"/>
  <c r="BS1211" i="1"/>
  <c r="BR1211" i="1"/>
  <c r="BQ1211" i="1"/>
  <c r="BP1211" i="1"/>
  <c r="BO1211" i="1"/>
  <c r="BN1211" i="1"/>
  <c r="BM1211" i="1"/>
  <c r="BL1211" i="1"/>
  <c r="BK1211" i="1"/>
  <c r="BJ1211" i="1"/>
  <c r="BI1211" i="1"/>
  <c r="BH1211" i="1"/>
  <c r="BG1211" i="1"/>
  <c r="CE1210" i="1"/>
  <c r="CD1210" i="1"/>
  <c r="CC1210" i="1"/>
  <c r="CB1210" i="1"/>
  <c r="CA1210" i="1"/>
  <c r="BZ1210" i="1"/>
  <c r="BY1210" i="1"/>
  <c r="BX1210" i="1"/>
  <c r="BW1210" i="1"/>
  <c r="BV1210" i="1"/>
  <c r="BU1210" i="1"/>
  <c r="BT1210" i="1"/>
  <c r="BS1210" i="1"/>
  <c r="BR1210" i="1"/>
  <c r="BQ1210" i="1"/>
  <c r="BP1210" i="1"/>
  <c r="BO1210" i="1"/>
  <c r="BN1210" i="1"/>
  <c r="BM1210" i="1"/>
  <c r="BL1210" i="1"/>
  <c r="BK1210" i="1"/>
  <c r="BJ1210" i="1"/>
  <c r="BI1210" i="1"/>
  <c r="BH1210" i="1"/>
  <c r="BG1210" i="1"/>
  <c r="CE1209" i="1"/>
  <c r="CD1209" i="1"/>
  <c r="CC1209" i="1"/>
  <c r="CB1209" i="1"/>
  <c r="CA1209" i="1"/>
  <c r="BZ1209" i="1"/>
  <c r="BY1209" i="1"/>
  <c r="BX1209" i="1"/>
  <c r="BW1209" i="1"/>
  <c r="BV1209" i="1"/>
  <c r="BU1209" i="1"/>
  <c r="BT1209" i="1"/>
  <c r="BS1209" i="1"/>
  <c r="BR1209" i="1"/>
  <c r="BQ1209" i="1"/>
  <c r="BP1209" i="1"/>
  <c r="BO1209" i="1"/>
  <c r="BN1209" i="1"/>
  <c r="BM1209" i="1"/>
  <c r="BL1209" i="1"/>
  <c r="BK1209" i="1"/>
  <c r="BJ1209" i="1"/>
  <c r="BI1209" i="1"/>
  <c r="BH1209" i="1"/>
  <c r="BG1209" i="1"/>
  <c r="CE1208" i="1"/>
  <c r="CD1208" i="1"/>
  <c r="CC1208" i="1"/>
  <c r="CB1208" i="1"/>
  <c r="CA1208" i="1"/>
  <c r="BZ1208" i="1"/>
  <c r="BY1208" i="1"/>
  <c r="BX1208" i="1"/>
  <c r="BW1208" i="1"/>
  <c r="BV1208" i="1"/>
  <c r="BU1208" i="1"/>
  <c r="BT1208" i="1"/>
  <c r="BS1208" i="1"/>
  <c r="BR1208" i="1"/>
  <c r="BQ1208" i="1"/>
  <c r="BP1208" i="1"/>
  <c r="BO1208" i="1"/>
  <c r="BN1208" i="1"/>
  <c r="BM1208" i="1"/>
  <c r="BL1208" i="1"/>
  <c r="BK1208" i="1"/>
  <c r="BJ1208" i="1"/>
  <c r="BI1208" i="1"/>
  <c r="BH1208" i="1"/>
  <c r="BG1208" i="1"/>
  <c r="CE1207" i="1"/>
  <c r="CD1207" i="1"/>
  <c r="CC1207" i="1"/>
  <c r="CB1207" i="1"/>
  <c r="CA1207" i="1"/>
  <c r="BZ1207" i="1"/>
  <c r="BY1207" i="1"/>
  <c r="BX1207" i="1"/>
  <c r="BW1207" i="1"/>
  <c r="BV1207" i="1"/>
  <c r="BU1207" i="1"/>
  <c r="BT1207" i="1"/>
  <c r="BS1207" i="1"/>
  <c r="BR1207" i="1"/>
  <c r="BQ1207" i="1"/>
  <c r="BP1207" i="1"/>
  <c r="BO1207" i="1"/>
  <c r="BN1207" i="1"/>
  <c r="BM1207" i="1"/>
  <c r="BL1207" i="1"/>
  <c r="BK1207" i="1"/>
  <c r="BJ1207" i="1"/>
  <c r="BI1207" i="1"/>
  <c r="BH1207" i="1"/>
  <c r="BG1207" i="1"/>
  <c r="CE1206" i="1"/>
  <c r="CD1206" i="1"/>
  <c r="CC1206" i="1"/>
  <c r="CB1206" i="1"/>
  <c r="CA1206" i="1"/>
  <c r="BZ1206" i="1"/>
  <c r="BY1206" i="1"/>
  <c r="BX1206" i="1"/>
  <c r="BW1206" i="1"/>
  <c r="BV1206" i="1"/>
  <c r="BU1206" i="1"/>
  <c r="BT1206" i="1"/>
  <c r="BS1206" i="1"/>
  <c r="BR1206" i="1"/>
  <c r="BQ1206" i="1"/>
  <c r="BP1206" i="1"/>
  <c r="BO1206" i="1"/>
  <c r="BN1206" i="1"/>
  <c r="BM1206" i="1"/>
  <c r="BL1206" i="1"/>
  <c r="BK1206" i="1"/>
  <c r="BJ1206" i="1"/>
  <c r="BI1206" i="1"/>
  <c r="BH1206" i="1"/>
  <c r="BG1206" i="1"/>
  <c r="CE1205" i="1"/>
  <c r="CD1205" i="1"/>
  <c r="CC1205" i="1"/>
  <c r="CB1205" i="1"/>
  <c r="CA1205" i="1"/>
  <c r="BZ1205" i="1"/>
  <c r="BY1205" i="1"/>
  <c r="BX1205" i="1"/>
  <c r="BW1205" i="1"/>
  <c r="BV1205" i="1"/>
  <c r="BU1205" i="1"/>
  <c r="BT1205" i="1"/>
  <c r="BS1205" i="1"/>
  <c r="BR1205" i="1"/>
  <c r="BQ1205" i="1"/>
  <c r="BP1205" i="1"/>
  <c r="BO1205" i="1"/>
  <c r="BN1205" i="1"/>
  <c r="BM1205" i="1"/>
  <c r="BL1205" i="1"/>
  <c r="BK1205" i="1"/>
  <c r="BJ1205" i="1"/>
  <c r="BI1205" i="1"/>
  <c r="BH1205" i="1"/>
  <c r="BG1205" i="1"/>
  <c r="CE1204" i="1"/>
  <c r="CD1204" i="1"/>
  <c r="CC1204" i="1"/>
  <c r="CB1204" i="1"/>
  <c r="CA1204" i="1"/>
  <c r="BZ1204" i="1"/>
  <c r="BY1204" i="1"/>
  <c r="BX1204" i="1"/>
  <c r="BW1204" i="1"/>
  <c r="BV1204" i="1"/>
  <c r="BU1204" i="1"/>
  <c r="BT1204" i="1"/>
  <c r="BS1204" i="1"/>
  <c r="BR1204" i="1"/>
  <c r="BQ1204" i="1"/>
  <c r="BP1204" i="1"/>
  <c r="BO1204" i="1"/>
  <c r="BN1204" i="1"/>
  <c r="BM1204" i="1"/>
  <c r="BL1204" i="1"/>
  <c r="BK1204" i="1"/>
  <c r="BJ1204" i="1"/>
  <c r="BI1204" i="1"/>
  <c r="BH1204" i="1"/>
  <c r="BG1204" i="1"/>
  <c r="CE1203" i="1"/>
  <c r="CD1203" i="1"/>
  <c r="CC1203" i="1"/>
  <c r="CB1203" i="1"/>
  <c r="CA1203" i="1"/>
  <c r="BZ1203" i="1"/>
  <c r="BY1203" i="1"/>
  <c r="BX1203" i="1"/>
  <c r="BW1203" i="1"/>
  <c r="BV1203" i="1"/>
  <c r="BU1203" i="1"/>
  <c r="BT1203" i="1"/>
  <c r="BS1203" i="1"/>
  <c r="BR1203" i="1"/>
  <c r="BQ1203" i="1"/>
  <c r="BP1203" i="1"/>
  <c r="BO1203" i="1"/>
  <c r="BN1203" i="1"/>
  <c r="BM1203" i="1"/>
  <c r="BL1203" i="1"/>
  <c r="BK1203" i="1"/>
  <c r="BJ1203" i="1"/>
  <c r="BI1203" i="1"/>
  <c r="BH1203" i="1"/>
  <c r="BG1203" i="1"/>
  <c r="CE1202" i="1"/>
  <c r="CD1202" i="1"/>
  <c r="CC1202" i="1"/>
  <c r="CB1202" i="1"/>
  <c r="CA1202" i="1"/>
  <c r="BZ1202" i="1"/>
  <c r="BY1202" i="1"/>
  <c r="BX1202" i="1"/>
  <c r="BW1202" i="1"/>
  <c r="BV1202" i="1"/>
  <c r="BU1202" i="1"/>
  <c r="BT1202" i="1"/>
  <c r="BS1202" i="1"/>
  <c r="BR1202" i="1"/>
  <c r="BQ1202" i="1"/>
  <c r="BP1202" i="1"/>
  <c r="BO1202" i="1"/>
  <c r="BN1202" i="1"/>
  <c r="BM1202" i="1"/>
  <c r="BL1202" i="1"/>
  <c r="BK1202" i="1"/>
  <c r="BJ1202" i="1"/>
  <c r="BI1202" i="1"/>
  <c r="BH1202" i="1"/>
  <c r="BG1202" i="1"/>
  <c r="CE1201" i="1"/>
  <c r="CD1201" i="1"/>
  <c r="CC1201" i="1"/>
  <c r="CB1201" i="1"/>
  <c r="CA1201" i="1"/>
  <c r="BZ1201" i="1"/>
  <c r="BY1201" i="1"/>
  <c r="BX1201" i="1"/>
  <c r="BW1201" i="1"/>
  <c r="BV1201" i="1"/>
  <c r="BU1201" i="1"/>
  <c r="BT1201" i="1"/>
  <c r="BS1201" i="1"/>
  <c r="BR1201" i="1"/>
  <c r="BQ1201" i="1"/>
  <c r="BP1201" i="1"/>
  <c r="BO1201" i="1"/>
  <c r="BN1201" i="1"/>
  <c r="BM1201" i="1"/>
  <c r="BL1201" i="1"/>
  <c r="BK1201" i="1"/>
  <c r="BJ1201" i="1"/>
  <c r="BI1201" i="1"/>
  <c r="BH1201" i="1"/>
  <c r="BG1201" i="1"/>
  <c r="CE1200" i="1"/>
  <c r="CD1200" i="1"/>
  <c r="CC1200" i="1"/>
  <c r="CB1200" i="1"/>
  <c r="CA1200" i="1"/>
  <c r="BZ1200" i="1"/>
  <c r="BY1200" i="1"/>
  <c r="BX1200" i="1"/>
  <c r="BW1200" i="1"/>
  <c r="BV1200" i="1"/>
  <c r="BU1200" i="1"/>
  <c r="BT1200" i="1"/>
  <c r="BS1200" i="1"/>
  <c r="BR1200" i="1"/>
  <c r="BQ1200" i="1"/>
  <c r="BP1200" i="1"/>
  <c r="BO1200" i="1"/>
  <c r="BN1200" i="1"/>
  <c r="BM1200" i="1"/>
  <c r="BL1200" i="1"/>
  <c r="BK1200" i="1"/>
  <c r="BJ1200" i="1"/>
  <c r="BI1200" i="1"/>
  <c r="BH1200" i="1"/>
  <c r="BG1200" i="1"/>
  <c r="CE1199" i="1"/>
  <c r="CD1199" i="1"/>
  <c r="CC1199" i="1"/>
  <c r="CB1199" i="1"/>
  <c r="CA1199" i="1"/>
  <c r="BZ1199" i="1"/>
  <c r="BY1199" i="1"/>
  <c r="BX1199" i="1"/>
  <c r="BW1199" i="1"/>
  <c r="BV1199" i="1"/>
  <c r="BU1199" i="1"/>
  <c r="BT1199" i="1"/>
  <c r="BS1199" i="1"/>
  <c r="BR1199" i="1"/>
  <c r="BQ1199" i="1"/>
  <c r="BP1199" i="1"/>
  <c r="BO1199" i="1"/>
  <c r="BN1199" i="1"/>
  <c r="BM1199" i="1"/>
  <c r="BL1199" i="1"/>
  <c r="BK1199" i="1"/>
  <c r="BJ1199" i="1"/>
  <c r="BI1199" i="1"/>
  <c r="BH1199" i="1"/>
  <c r="BG1199" i="1"/>
  <c r="CE1198" i="1"/>
  <c r="CD1198" i="1"/>
  <c r="CC1198" i="1"/>
  <c r="CB1198" i="1"/>
  <c r="CA1198" i="1"/>
  <c r="BZ1198" i="1"/>
  <c r="BY1198" i="1"/>
  <c r="BX1198" i="1"/>
  <c r="BW1198" i="1"/>
  <c r="BV1198" i="1"/>
  <c r="BU1198" i="1"/>
  <c r="BT1198" i="1"/>
  <c r="BS1198" i="1"/>
  <c r="BR1198" i="1"/>
  <c r="BQ1198" i="1"/>
  <c r="BP1198" i="1"/>
  <c r="BO1198" i="1"/>
  <c r="BN1198" i="1"/>
  <c r="BM1198" i="1"/>
  <c r="BL1198" i="1"/>
  <c r="BK1198" i="1"/>
  <c r="BJ1198" i="1"/>
  <c r="BI1198" i="1"/>
  <c r="BH1198" i="1"/>
  <c r="BG1198" i="1"/>
  <c r="CE1197" i="1"/>
  <c r="CD1197" i="1"/>
  <c r="CC1197" i="1"/>
  <c r="CB1197" i="1"/>
  <c r="CA1197" i="1"/>
  <c r="BZ1197" i="1"/>
  <c r="BY1197" i="1"/>
  <c r="BX1197" i="1"/>
  <c r="BW1197" i="1"/>
  <c r="BV1197" i="1"/>
  <c r="BU1197" i="1"/>
  <c r="BT1197" i="1"/>
  <c r="BS1197" i="1"/>
  <c r="BR1197" i="1"/>
  <c r="BQ1197" i="1"/>
  <c r="BP1197" i="1"/>
  <c r="BO1197" i="1"/>
  <c r="BN1197" i="1"/>
  <c r="BM1197" i="1"/>
  <c r="BL1197" i="1"/>
  <c r="BK1197" i="1"/>
  <c r="BJ1197" i="1"/>
  <c r="BI1197" i="1"/>
  <c r="BH1197" i="1"/>
  <c r="BG1197" i="1"/>
  <c r="CE1196" i="1"/>
  <c r="CD1196" i="1"/>
  <c r="CC1196" i="1"/>
  <c r="CB1196" i="1"/>
  <c r="CA1196" i="1"/>
  <c r="BZ1196" i="1"/>
  <c r="BY1196" i="1"/>
  <c r="BX1196" i="1"/>
  <c r="BW1196" i="1"/>
  <c r="BV1196" i="1"/>
  <c r="BU1196" i="1"/>
  <c r="BT1196" i="1"/>
  <c r="BS1196" i="1"/>
  <c r="BR1196" i="1"/>
  <c r="BQ1196" i="1"/>
  <c r="BP1196" i="1"/>
  <c r="BO1196" i="1"/>
  <c r="BN1196" i="1"/>
  <c r="BM1196" i="1"/>
  <c r="BL1196" i="1"/>
  <c r="BK1196" i="1"/>
  <c r="BJ1196" i="1"/>
  <c r="BI1196" i="1"/>
  <c r="BH1196" i="1"/>
  <c r="BG1196" i="1"/>
  <c r="CE1195" i="1"/>
  <c r="CD1195" i="1"/>
  <c r="CC1195" i="1"/>
  <c r="CB1195" i="1"/>
  <c r="CA1195" i="1"/>
  <c r="BZ1195" i="1"/>
  <c r="BY1195" i="1"/>
  <c r="BX1195" i="1"/>
  <c r="BW1195" i="1"/>
  <c r="BV1195" i="1"/>
  <c r="BU1195" i="1"/>
  <c r="BT1195" i="1"/>
  <c r="BS1195" i="1"/>
  <c r="BR1195" i="1"/>
  <c r="BQ1195" i="1"/>
  <c r="BP1195" i="1"/>
  <c r="BO1195" i="1"/>
  <c r="BN1195" i="1"/>
  <c r="BM1195" i="1"/>
  <c r="BL1195" i="1"/>
  <c r="BK1195" i="1"/>
  <c r="BJ1195" i="1"/>
  <c r="BI1195" i="1"/>
  <c r="BH1195" i="1"/>
  <c r="BG1195" i="1"/>
  <c r="CE1194" i="1"/>
  <c r="CD1194" i="1"/>
  <c r="CC1194" i="1"/>
  <c r="CB1194" i="1"/>
  <c r="CA1194" i="1"/>
  <c r="BZ1194" i="1"/>
  <c r="BY1194" i="1"/>
  <c r="BX1194" i="1"/>
  <c r="BW1194" i="1"/>
  <c r="BV1194" i="1"/>
  <c r="BU1194" i="1"/>
  <c r="BT1194" i="1"/>
  <c r="BS1194" i="1"/>
  <c r="BR1194" i="1"/>
  <c r="BQ1194" i="1"/>
  <c r="BP1194" i="1"/>
  <c r="BO1194" i="1"/>
  <c r="BN1194" i="1"/>
  <c r="BM1194" i="1"/>
  <c r="BL1194" i="1"/>
  <c r="BK1194" i="1"/>
  <c r="BJ1194" i="1"/>
  <c r="BI1194" i="1"/>
  <c r="BH1194" i="1"/>
  <c r="BG1194" i="1"/>
  <c r="CE1193" i="1"/>
  <c r="CD1193" i="1"/>
  <c r="CC1193" i="1"/>
  <c r="CB1193" i="1"/>
  <c r="CA1193" i="1"/>
  <c r="BZ1193" i="1"/>
  <c r="BY1193" i="1"/>
  <c r="BX1193" i="1"/>
  <c r="BW1193" i="1"/>
  <c r="BV1193" i="1"/>
  <c r="BU1193" i="1"/>
  <c r="BT1193" i="1"/>
  <c r="BS1193" i="1"/>
  <c r="BR1193" i="1"/>
  <c r="BQ1193" i="1"/>
  <c r="BP1193" i="1"/>
  <c r="BO1193" i="1"/>
  <c r="BN1193" i="1"/>
  <c r="BM1193" i="1"/>
  <c r="BL1193" i="1"/>
  <c r="BK1193" i="1"/>
  <c r="BJ1193" i="1"/>
  <c r="BI1193" i="1"/>
  <c r="BH1193" i="1"/>
  <c r="BG1193" i="1"/>
  <c r="CE1192" i="1"/>
  <c r="CD1192" i="1"/>
  <c r="CC1192" i="1"/>
  <c r="CB1192" i="1"/>
  <c r="CA1192" i="1"/>
  <c r="BZ1192" i="1"/>
  <c r="BY1192" i="1"/>
  <c r="BX1192" i="1"/>
  <c r="BW1192" i="1"/>
  <c r="BV1192" i="1"/>
  <c r="BU1192" i="1"/>
  <c r="BT1192" i="1"/>
  <c r="BS1192" i="1"/>
  <c r="BR1192" i="1"/>
  <c r="BQ1192" i="1"/>
  <c r="BP1192" i="1"/>
  <c r="BO1192" i="1"/>
  <c r="BN1192" i="1"/>
  <c r="BM1192" i="1"/>
  <c r="BL1192" i="1"/>
  <c r="BK1192" i="1"/>
  <c r="BJ1192" i="1"/>
  <c r="BI1192" i="1"/>
  <c r="BH1192" i="1"/>
  <c r="BG1192" i="1"/>
  <c r="CE1191" i="1"/>
  <c r="CD1191" i="1"/>
  <c r="CC1191" i="1"/>
  <c r="CB1191" i="1"/>
  <c r="CA1191" i="1"/>
  <c r="BZ1191" i="1"/>
  <c r="BY1191" i="1"/>
  <c r="BX1191" i="1"/>
  <c r="BW1191" i="1"/>
  <c r="BV1191" i="1"/>
  <c r="BU1191" i="1"/>
  <c r="BT1191" i="1"/>
  <c r="BS1191" i="1"/>
  <c r="BR1191" i="1"/>
  <c r="BQ1191" i="1"/>
  <c r="BP1191" i="1"/>
  <c r="BO1191" i="1"/>
  <c r="BN1191" i="1"/>
  <c r="BM1191" i="1"/>
  <c r="BL1191" i="1"/>
  <c r="BK1191" i="1"/>
  <c r="BJ1191" i="1"/>
  <c r="BI1191" i="1"/>
  <c r="BH1191" i="1"/>
  <c r="BG1191" i="1"/>
  <c r="CE1190" i="1"/>
  <c r="CD1190" i="1"/>
  <c r="CC1190" i="1"/>
  <c r="CB1190" i="1"/>
  <c r="CA1190" i="1"/>
  <c r="BZ1190" i="1"/>
  <c r="BY1190" i="1"/>
  <c r="BX1190" i="1"/>
  <c r="BW1190" i="1"/>
  <c r="BV1190" i="1"/>
  <c r="BU1190" i="1"/>
  <c r="BT1190" i="1"/>
  <c r="BS1190" i="1"/>
  <c r="BR1190" i="1"/>
  <c r="BQ1190" i="1"/>
  <c r="BP1190" i="1"/>
  <c r="BO1190" i="1"/>
  <c r="BN1190" i="1"/>
  <c r="BM1190" i="1"/>
  <c r="BL1190" i="1"/>
  <c r="BK1190" i="1"/>
  <c r="BJ1190" i="1"/>
  <c r="BI1190" i="1"/>
  <c r="BH1190" i="1"/>
  <c r="BG1190" i="1"/>
  <c r="CE1189" i="1"/>
  <c r="CD1189" i="1"/>
  <c r="CC1189" i="1"/>
  <c r="CB1189" i="1"/>
  <c r="CA1189" i="1"/>
  <c r="BZ1189" i="1"/>
  <c r="BY1189" i="1"/>
  <c r="BX1189" i="1"/>
  <c r="BW1189" i="1"/>
  <c r="BV1189" i="1"/>
  <c r="BU1189" i="1"/>
  <c r="BT1189" i="1"/>
  <c r="BS1189" i="1"/>
  <c r="BR1189" i="1"/>
  <c r="BQ1189" i="1"/>
  <c r="BP1189" i="1"/>
  <c r="BO1189" i="1"/>
  <c r="BN1189" i="1"/>
  <c r="BM1189" i="1"/>
  <c r="BL1189" i="1"/>
  <c r="BK1189" i="1"/>
  <c r="BJ1189" i="1"/>
  <c r="BI1189" i="1"/>
  <c r="BH1189" i="1"/>
  <c r="BG1189" i="1"/>
  <c r="CE1188" i="1"/>
  <c r="CD1188" i="1"/>
  <c r="CC1188" i="1"/>
  <c r="CB1188" i="1"/>
  <c r="CA1188" i="1"/>
  <c r="BZ1188" i="1"/>
  <c r="BY1188" i="1"/>
  <c r="BX1188" i="1"/>
  <c r="BW1188" i="1"/>
  <c r="BV1188" i="1"/>
  <c r="BU1188" i="1"/>
  <c r="BT1188" i="1"/>
  <c r="BS1188" i="1"/>
  <c r="BR1188" i="1"/>
  <c r="BQ1188" i="1"/>
  <c r="BP1188" i="1"/>
  <c r="BO1188" i="1"/>
  <c r="BN1188" i="1"/>
  <c r="BM1188" i="1"/>
  <c r="BL1188" i="1"/>
  <c r="BK1188" i="1"/>
  <c r="BJ1188" i="1"/>
  <c r="BI1188" i="1"/>
  <c r="BH1188" i="1"/>
  <c r="BG1188" i="1"/>
  <c r="CE1187" i="1"/>
  <c r="CD1187" i="1"/>
  <c r="CC1187" i="1"/>
  <c r="CB1187" i="1"/>
  <c r="CA1187" i="1"/>
  <c r="BZ1187" i="1"/>
  <c r="BY1187" i="1"/>
  <c r="BX1187" i="1"/>
  <c r="BW1187" i="1"/>
  <c r="BV1187" i="1"/>
  <c r="BU1187" i="1"/>
  <c r="BT1187" i="1"/>
  <c r="BS1187" i="1"/>
  <c r="BR1187" i="1"/>
  <c r="BQ1187" i="1"/>
  <c r="BP1187" i="1"/>
  <c r="BO1187" i="1"/>
  <c r="BN1187" i="1"/>
  <c r="BM1187" i="1"/>
  <c r="BL1187" i="1"/>
  <c r="BK1187" i="1"/>
  <c r="BJ1187" i="1"/>
  <c r="BI1187" i="1"/>
  <c r="BH1187" i="1"/>
  <c r="BG1187" i="1"/>
  <c r="CE1186" i="1"/>
  <c r="CD1186" i="1"/>
  <c r="CC1186" i="1"/>
  <c r="CB1186" i="1"/>
  <c r="CA1186" i="1"/>
  <c r="BZ1186" i="1"/>
  <c r="BY1186" i="1"/>
  <c r="BX1186" i="1"/>
  <c r="BW1186" i="1"/>
  <c r="BV1186" i="1"/>
  <c r="BU1186" i="1"/>
  <c r="BT1186" i="1"/>
  <c r="BS1186" i="1"/>
  <c r="BR1186" i="1"/>
  <c r="BQ1186" i="1"/>
  <c r="BP1186" i="1"/>
  <c r="BO1186" i="1"/>
  <c r="BN1186" i="1"/>
  <c r="BM1186" i="1"/>
  <c r="BL1186" i="1"/>
  <c r="BK1186" i="1"/>
  <c r="BJ1186" i="1"/>
  <c r="BI1186" i="1"/>
  <c r="BH1186" i="1"/>
  <c r="BG1186" i="1"/>
  <c r="CE1185" i="1"/>
  <c r="CD1185" i="1"/>
  <c r="CC1185" i="1"/>
  <c r="CB1185" i="1"/>
  <c r="CA1185" i="1"/>
  <c r="BZ1185" i="1"/>
  <c r="BY1185" i="1"/>
  <c r="BX1185" i="1"/>
  <c r="BW1185" i="1"/>
  <c r="BV1185" i="1"/>
  <c r="BU1185" i="1"/>
  <c r="BT1185" i="1"/>
  <c r="BS1185" i="1"/>
  <c r="BR1185" i="1"/>
  <c r="BQ1185" i="1"/>
  <c r="BP1185" i="1"/>
  <c r="BO1185" i="1"/>
  <c r="BN1185" i="1"/>
  <c r="BM1185" i="1"/>
  <c r="BL1185" i="1"/>
  <c r="BK1185" i="1"/>
  <c r="BJ1185" i="1"/>
  <c r="BI1185" i="1"/>
  <c r="BH1185" i="1"/>
  <c r="BG1185" i="1"/>
  <c r="CE1184" i="1"/>
  <c r="CD1184" i="1"/>
  <c r="CC1184" i="1"/>
  <c r="CB1184" i="1"/>
  <c r="CA1184" i="1"/>
  <c r="BZ1184" i="1"/>
  <c r="BY1184" i="1"/>
  <c r="BX1184" i="1"/>
  <c r="BW1184" i="1"/>
  <c r="BV1184" i="1"/>
  <c r="BU1184" i="1"/>
  <c r="BT1184" i="1"/>
  <c r="BS1184" i="1"/>
  <c r="BR1184" i="1"/>
  <c r="BQ1184" i="1"/>
  <c r="BP1184" i="1"/>
  <c r="BO1184" i="1"/>
  <c r="BN1184" i="1"/>
  <c r="BM1184" i="1"/>
  <c r="BL1184" i="1"/>
  <c r="BK1184" i="1"/>
  <c r="BJ1184" i="1"/>
  <c r="BI1184" i="1"/>
  <c r="BH1184" i="1"/>
  <c r="BG1184" i="1"/>
  <c r="CE1183" i="1"/>
  <c r="CD1183" i="1"/>
  <c r="CC1183" i="1"/>
  <c r="CB1183" i="1"/>
  <c r="CA1183" i="1"/>
  <c r="BZ1183" i="1"/>
  <c r="BY1183" i="1"/>
  <c r="BX1183" i="1"/>
  <c r="BW1183" i="1"/>
  <c r="BV1183" i="1"/>
  <c r="BU1183" i="1"/>
  <c r="BT1183" i="1"/>
  <c r="BS1183" i="1"/>
  <c r="BR1183" i="1"/>
  <c r="BQ1183" i="1"/>
  <c r="BP1183" i="1"/>
  <c r="BO1183" i="1"/>
  <c r="BN1183" i="1"/>
  <c r="BM1183" i="1"/>
  <c r="BL1183" i="1"/>
  <c r="BK1183" i="1"/>
  <c r="BJ1183" i="1"/>
  <c r="BI1183" i="1"/>
  <c r="BH1183" i="1"/>
  <c r="BG1183" i="1"/>
  <c r="CE1182" i="1"/>
  <c r="CD1182" i="1"/>
  <c r="CC1182" i="1"/>
  <c r="CB1182" i="1"/>
  <c r="CA1182" i="1"/>
  <c r="BZ1182" i="1"/>
  <c r="BY1182" i="1"/>
  <c r="BX1182" i="1"/>
  <c r="BW1182" i="1"/>
  <c r="BV1182" i="1"/>
  <c r="BU1182" i="1"/>
  <c r="BT1182" i="1"/>
  <c r="BS1182" i="1"/>
  <c r="BR1182" i="1"/>
  <c r="BQ1182" i="1"/>
  <c r="BP1182" i="1"/>
  <c r="BO1182" i="1"/>
  <c r="BN1182" i="1"/>
  <c r="BM1182" i="1"/>
  <c r="BL1182" i="1"/>
  <c r="BK1182" i="1"/>
  <c r="BJ1182" i="1"/>
  <c r="BI1182" i="1"/>
  <c r="BH1182" i="1"/>
  <c r="BG1182" i="1"/>
  <c r="CE1181" i="1"/>
  <c r="CD1181" i="1"/>
  <c r="CC1181" i="1"/>
  <c r="CB1181" i="1"/>
  <c r="CA1181" i="1"/>
  <c r="BZ1181" i="1"/>
  <c r="BY1181" i="1"/>
  <c r="BX1181" i="1"/>
  <c r="BW1181" i="1"/>
  <c r="BV1181" i="1"/>
  <c r="BU1181" i="1"/>
  <c r="BT1181" i="1"/>
  <c r="BS1181" i="1"/>
  <c r="BR1181" i="1"/>
  <c r="BQ1181" i="1"/>
  <c r="BP1181" i="1"/>
  <c r="BO1181" i="1"/>
  <c r="BN1181" i="1"/>
  <c r="BM1181" i="1"/>
  <c r="BL1181" i="1"/>
  <c r="BK1181" i="1"/>
  <c r="BJ1181" i="1"/>
  <c r="BI1181" i="1"/>
  <c r="BH1181" i="1"/>
  <c r="BG1181" i="1"/>
  <c r="CE1180" i="1"/>
  <c r="CD1180" i="1"/>
  <c r="CC1180" i="1"/>
  <c r="CB1180" i="1"/>
  <c r="CA1180" i="1"/>
  <c r="BZ1180" i="1"/>
  <c r="BY1180" i="1"/>
  <c r="BX1180" i="1"/>
  <c r="BW1180" i="1"/>
  <c r="BV1180" i="1"/>
  <c r="BU1180" i="1"/>
  <c r="BT1180" i="1"/>
  <c r="BS1180" i="1"/>
  <c r="BR1180" i="1"/>
  <c r="BQ1180" i="1"/>
  <c r="BP1180" i="1"/>
  <c r="BO1180" i="1"/>
  <c r="BN1180" i="1"/>
  <c r="BM1180" i="1"/>
  <c r="BL1180" i="1"/>
  <c r="BK1180" i="1"/>
  <c r="BJ1180" i="1"/>
  <c r="BI1180" i="1"/>
  <c r="BH1180" i="1"/>
  <c r="BG1180" i="1"/>
  <c r="CE1179" i="1"/>
  <c r="CD1179" i="1"/>
  <c r="CC1179" i="1"/>
  <c r="CB1179" i="1"/>
  <c r="CA1179" i="1"/>
  <c r="BZ1179" i="1"/>
  <c r="BY1179" i="1"/>
  <c r="BX1179" i="1"/>
  <c r="BW1179" i="1"/>
  <c r="BV1179" i="1"/>
  <c r="BU1179" i="1"/>
  <c r="BT1179" i="1"/>
  <c r="BS1179" i="1"/>
  <c r="BR1179" i="1"/>
  <c r="BQ1179" i="1"/>
  <c r="BP1179" i="1"/>
  <c r="BO1179" i="1"/>
  <c r="BN1179" i="1"/>
  <c r="BM1179" i="1"/>
  <c r="BL1179" i="1"/>
  <c r="BK1179" i="1"/>
  <c r="BJ1179" i="1"/>
  <c r="BI1179" i="1"/>
  <c r="BH1179" i="1"/>
  <c r="BG1179" i="1"/>
  <c r="CE1178" i="1"/>
  <c r="CD1178" i="1"/>
  <c r="CC1178" i="1"/>
  <c r="CB1178" i="1"/>
  <c r="CA1178" i="1"/>
  <c r="BZ1178" i="1"/>
  <c r="BY1178" i="1"/>
  <c r="BX1178" i="1"/>
  <c r="BW1178" i="1"/>
  <c r="BV1178" i="1"/>
  <c r="BU1178" i="1"/>
  <c r="BT1178" i="1"/>
  <c r="BS1178" i="1"/>
  <c r="BR1178" i="1"/>
  <c r="BQ1178" i="1"/>
  <c r="BP1178" i="1"/>
  <c r="BO1178" i="1"/>
  <c r="BN1178" i="1"/>
  <c r="BM1178" i="1"/>
  <c r="BL1178" i="1"/>
  <c r="BK1178" i="1"/>
  <c r="BJ1178" i="1"/>
  <c r="BI1178" i="1"/>
  <c r="BH1178" i="1"/>
  <c r="BG1178" i="1"/>
  <c r="CE1177" i="1"/>
  <c r="CD1177" i="1"/>
  <c r="CC1177" i="1"/>
  <c r="CB1177" i="1"/>
  <c r="CA1177" i="1"/>
  <c r="BZ1177" i="1"/>
  <c r="BY1177" i="1"/>
  <c r="BX1177" i="1"/>
  <c r="BW1177" i="1"/>
  <c r="BV1177" i="1"/>
  <c r="BU1177" i="1"/>
  <c r="BT1177" i="1"/>
  <c r="BS1177" i="1"/>
  <c r="BR1177" i="1"/>
  <c r="BQ1177" i="1"/>
  <c r="BP1177" i="1"/>
  <c r="BO1177" i="1"/>
  <c r="BN1177" i="1"/>
  <c r="BM1177" i="1"/>
  <c r="BL1177" i="1"/>
  <c r="BK1177" i="1"/>
  <c r="BJ1177" i="1"/>
  <c r="BI1177" i="1"/>
  <c r="BH1177" i="1"/>
  <c r="BG1177" i="1"/>
  <c r="CE1176" i="1"/>
  <c r="CD1176" i="1"/>
  <c r="CC1176" i="1"/>
  <c r="CB1176" i="1"/>
  <c r="CA1176" i="1"/>
  <c r="BZ1176" i="1"/>
  <c r="BY1176" i="1"/>
  <c r="BX1176" i="1"/>
  <c r="BW1176" i="1"/>
  <c r="BV1176" i="1"/>
  <c r="BU1176" i="1"/>
  <c r="BT1176" i="1"/>
  <c r="BS1176" i="1"/>
  <c r="BR1176" i="1"/>
  <c r="BQ1176" i="1"/>
  <c r="BP1176" i="1"/>
  <c r="BO1176" i="1"/>
  <c r="BN1176" i="1"/>
  <c r="BM1176" i="1"/>
  <c r="BL1176" i="1"/>
  <c r="BK1176" i="1"/>
  <c r="BJ1176" i="1"/>
  <c r="BI1176" i="1"/>
  <c r="BH1176" i="1"/>
  <c r="BG1176" i="1"/>
  <c r="CE1175" i="1"/>
  <c r="CD1175" i="1"/>
  <c r="CC1175" i="1"/>
  <c r="CB1175" i="1"/>
  <c r="CA1175" i="1"/>
  <c r="BZ1175" i="1"/>
  <c r="BY1175" i="1"/>
  <c r="BX1175" i="1"/>
  <c r="BW1175" i="1"/>
  <c r="BV1175" i="1"/>
  <c r="BU1175" i="1"/>
  <c r="BT1175" i="1"/>
  <c r="BS1175" i="1"/>
  <c r="BR1175" i="1"/>
  <c r="BQ1175" i="1"/>
  <c r="BP1175" i="1"/>
  <c r="BO1175" i="1"/>
  <c r="BN1175" i="1"/>
  <c r="BM1175" i="1"/>
  <c r="BL1175" i="1"/>
  <c r="BK1175" i="1"/>
  <c r="BJ1175" i="1"/>
  <c r="BI1175" i="1"/>
  <c r="BH1175" i="1"/>
  <c r="BG1175" i="1"/>
  <c r="CE1174" i="1"/>
  <c r="CD1174" i="1"/>
  <c r="CC1174" i="1"/>
  <c r="CB1174" i="1"/>
  <c r="CA1174" i="1"/>
  <c r="BZ1174" i="1"/>
  <c r="BY1174" i="1"/>
  <c r="BX1174" i="1"/>
  <c r="BW1174" i="1"/>
  <c r="BV1174" i="1"/>
  <c r="BU1174" i="1"/>
  <c r="BT1174" i="1"/>
  <c r="BS1174" i="1"/>
  <c r="BR1174" i="1"/>
  <c r="BQ1174" i="1"/>
  <c r="BP1174" i="1"/>
  <c r="BO1174" i="1"/>
  <c r="BN1174" i="1"/>
  <c r="BM1174" i="1"/>
  <c r="BL1174" i="1"/>
  <c r="BK1174" i="1"/>
  <c r="BJ1174" i="1"/>
  <c r="BI1174" i="1"/>
  <c r="BH1174" i="1"/>
  <c r="BG1174" i="1"/>
  <c r="CE1173" i="1"/>
  <c r="CD1173" i="1"/>
  <c r="CC1173" i="1"/>
  <c r="CB1173" i="1"/>
  <c r="CA1173" i="1"/>
  <c r="BZ1173" i="1"/>
  <c r="BY1173" i="1"/>
  <c r="BX1173" i="1"/>
  <c r="BW1173" i="1"/>
  <c r="BV1173" i="1"/>
  <c r="BU1173" i="1"/>
  <c r="BT1173" i="1"/>
  <c r="BS1173" i="1"/>
  <c r="BR1173" i="1"/>
  <c r="BQ1173" i="1"/>
  <c r="BP1173" i="1"/>
  <c r="BO1173" i="1"/>
  <c r="BN1173" i="1"/>
  <c r="BM1173" i="1"/>
  <c r="BL1173" i="1"/>
  <c r="BK1173" i="1"/>
  <c r="BJ1173" i="1"/>
  <c r="BI1173" i="1"/>
  <c r="BH1173" i="1"/>
  <c r="BG1173" i="1"/>
  <c r="CE1172" i="1"/>
  <c r="CD1172" i="1"/>
  <c r="CC1172" i="1"/>
  <c r="CB1172" i="1"/>
  <c r="CA1172" i="1"/>
  <c r="BZ1172" i="1"/>
  <c r="BY1172" i="1"/>
  <c r="BX1172" i="1"/>
  <c r="BW1172" i="1"/>
  <c r="BV1172" i="1"/>
  <c r="BU1172" i="1"/>
  <c r="BT1172" i="1"/>
  <c r="BS1172" i="1"/>
  <c r="BR1172" i="1"/>
  <c r="BQ1172" i="1"/>
  <c r="BP1172" i="1"/>
  <c r="BO1172" i="1"/>
  <c r="BN1172" i="1"/>
  <c r="BM1172" i="1"/>
  <c r="BL1172" i="1"/>
  <c r="BK1172" i="1"/>
  <c r="BJ1172" i="1"/>
  <c r="BI1172" i="1"/>
  <c r="BH1172" i="1"/>
  <c r="BG1172" i="1"/>
  <c r="CE1171" i="1"/>
  <c r="CD1171" i="1"/>
  <c r="CC1171" i="1"/>
  <c r="CB1171" i="1"/>
  <c r="CA1171" i="1"/>
  <c r="BZ1171" i="1"/>
  <c r="BY1171" i="1"/>
  <c r="BX1171" i="1"/>
  <c r="BW1171" i="1"/>
  <c r="BV1171" i="1"/>
  <c r="BU1171" i="1"/>
  <c r="BT1171" i="1"/>
  <c r="BS1171" i="1"/>
  <c r="BR1171" i="1"/>
  <c r="BQ1171" i="1"/>
  <c r="BP1171" i="1"/>
  <c r="BO1171" i="1"/>
  <c r="BN1171" i="1"/>
  <c r="BM1171" i="1"/>
  <c r="BL1171" i="1"/>
  <c r="BK1171" i="1"/>
  <c r="BJ1171" i="1"/>
  <c r="BI1171" i="1"/>
  <c r="BH1171" i="1"/>
  <c r="BG1171" i="1"/>
  <c r="CE1170" i="1"/>
  <c r="CD1170" i="1"/>
  <c r="CC1170" i="1"/>
  <c r="CB1170" i="1"/>
  <c r="CA1170" i="1"/>
  <c r="BZ1170" i="1"/>
  <c r="BY1170" i="1"/>
  <c r="BX1170" i="1"/>
  <c r="BW1170" i="1"/>
  <c r="BV1170" i="1"/>
  <c r="BU1170" i="1"/>
  <c r="BT1170" i="1"/>
  <c r="BS1170" i="1"/>
  <c r="BR1170" i="1"/>
  <c r="BQ1170" i="1"/>
  <c r="BP1170" i="1"/>
  <c r="BO1170" i="1"/>
  <c r="BN1170" i="1"/>
  <c r="BM1170" i="1"/>
  <c r="BL1170" i="1"/>
  <c r="BK1170" i="1"/>
  <c r="BJ1170" i="1"/>
  <c r="BI1170" i="1"/>
  <c r="BH1170" i="1"/>
  <c r="BG1170" i="1"/>
  <c r="CE1169" i="1"/>
  <c r="CD1169" i="1"/>
  <c r="CC1169" i="1"/>
  <c r="CB1169" i="1"/>
  <c r="CA1169" i="1"/>
  <c r="BZ1169" i="1"/>
  <c r="BY1169" i="1"/>
  <c r="BX1169" i="1"/>
  <c r="BW1169" i="1"/>
  <c r="BV1169" i="1"/>
  <c r="BU1169" i="1"/>
  <c r="BT1169" i="1"/>
  <c r="BS1169" i="1"/>
  <c r="BR1169" i="1"/>
  <c r="BQ1169" i="1"/>
  <c r="BP1169" i="1"/>
  <c r="BO1169" i="1"/>
  <c r="BN1169" i="1"/>
  <c r="BM1169" i="1"/>
  <c r="BL1169" i="1"/>
  <c r="BK1169" i="1"/>
  <c r="BJ1169" i="1"/>
  <c r="BI1169" i="1"/>
  <c r="BH1169" i="1"/>
  <c r="BG1169" i="1"/>
  <c r="CE1168" i="1"/>
  <c r="CD1168" i="1"/>
  <c r="CC1168" i="1"/>
  <c r="CB1168" i="1"/>
  <c r="CA1168" i="1"/>
  <c r="BZ1168" i="1"/>
  <c r="BY1168" i="1"/>
  <c r="BX1168" i="1"/>
  <c r="BW1168" i="1"/>
  <c r="BV1168" i="1"/>
  <c r="BU1168" i="1"/>
  <c r="BT1168" i="1"/>
  <c r="BS1168" i="1"/>
  <c r="BR1168" i="1"/>
  <c r="BQ1168" i="1"/>
  <c r="BP1168" i="1"/>
  <c r="BO1168" i="1"/>
  <c r="BN1168" i="1"/>
  <c r="BM1168" i="1"/>
  <c r="BL1168" i="1"/>
  <c r="BK1168" i="1"/>
  <c r="BJ1168" i="1"/>
  <c r="BI1168" i="1"/>
  <c r="BH1168" i="1"/>
  <c r="BG1168" i="1"/>
  <c r="CE1167" i="1"/>
  <c r="CD1167" i="1"/>
  <c r="CC1167" i="1"/>
  <c r="CB1167" i="1"/>
  <c r="CA1167" i="1"/>
  <c r="BZ1167" i="1"/>
  <c r="BY1167" i="1"/>
  <c r="BX1167" i="1"/>
  <c r="BW1167" i="1"/>
  <c r="BV1167" i="1"/>
  <c r="BU1167" i="1"/>
  <c r="BT1167" i="1"/>
  <c r="BS1167" i="1"/>
  <c r="BR1167" i="1"/>
  <c r="BQ1167" i="1"/>
  <c r="BP1167" i="1"/>
  <c r="BO1167" i="1"/>
  <c r="BN1167" i="1"/>
  <c r="BM1167" i="1"/>
  <c r="BL1167" i="1"/>
  <c r="BK1167" i="1"/>
  <c r="BJ1167" i="1"/>
  <c r="BI1167" i="1"/>
  <c r="BH1167" i="1"/>
  <c r="BG1167" i="1"/>
  <c r="CE1166" i="1"/>
  <c r="CD1166" i="1"/>
  <c r="CC1166" i="1"/>
  <c r="CB1166" i="1"/>
  <c r="CA1166" i="1"/>
  <c r="BZ1166" i="1"/>
  <c r="BY1166" i="1"/>
  <c r="BX1166" i="1"/>
  <c r="BW1166" i="1"/>
  <c r="BV1166" i="1"/>
  <c r="BU1166" i="1"/>
  <c r="BT1166" i="1"/>
  <c r="BS1166" i="1"/>
  <c r="BR1166" i="1"/>
  <c r="BQ1166" i="1"/>
  <c r="BP1166" i="1"/>
  <c r="BO1166" i="1"/>
  <c r="BN1166" i="1"/>
  <c r="BM1166" i="1"/>
  <c r="BL1166" i="1"/>
  <c r="BK1166" i="1"/>
  <c r="BJ1166" i="1"/>
  <c r="BI1166" i="1"/>
  <c r="BH1166" i="1"/>
  <c r="BG1166" i="1"/>
  <c r="CE1165" i="1"/>
  <c r="CD1165" i="1"/>
  <c r="CC1165" i="1"/>
  <c r="CB1165" i="1"/>
  <c r="CA1165" i="1"/>
  <c r="BZ1165" i="1"/>
  <c r="BY1165" i="1"/>
  <c r="BX1165" i="1"/>
  <c r="BW1165" i="1"/>
  <c r="BV1165" i="1"/>
  <c r="BU1165" i="1"/>
  <c r="BT1165" i="1"/>
  <c r="BS1165" i="1"/>
  <c r="BR1165" i="1"/>
  <c r="BQ1165" i="1"/>
  <c r="BP1165" i="1"/>
  <c r="BO1165" i="1"/>
  <c r="BN1165" i="1"/>
  <c r="BM1165" i="1"/>
  <c r="BL1165" i="1"/>
  <c r="BK1165" i="1"/>
  <c r="BJ1165" i="1"/>
  <c r="BI1165" i="1"/>
  <c r="BH1165" i="1"/>
  <c r="BG1165" i="1"/>
  <c r="CE1164" i="1"/>
  <c r="CD1164" i="1"/>
  <c r="CC1164" i="1"/>
  <c r="CB1164" i="1"/>
  <c r="CA1164" i="1"/>
  <c r="BZ1164" i="1"/>
  <c r="BY1164" i="1"/>
  <c r="BX1164" i="1"/>
  <c r="BW1164" i="1"/>
  <c r="BV1164" i="1"/>
  <c r="BU1164" i="1"/>
  <c r="BT1164" i="1"/>
  <c r="BS1164" i="1"/>
  <c r="BR1164" i="1"/>
  <c r="BQ1164" i="1"/>
  <c r="BP1164" i="1"/>
  <c r="BO1164" i="1"/>
  <c r="BN1164" i="1"/>
  <c r="BM1164" i="1"/>
  <c r="BL1164" i="1"/>
  <c r="BK1164" i="1"/>
  <c r="BJ1164" i="1"/>
  <c r="BI1164" i="1"/>
  <c r="BH1164" i="1"/>
  <c r="BG1164" i="1"/>
  <c r="CE1163" i="1"/>
  <c r="CD1163" i="1"/>
  <c r="CC1163" i="1"/>
  <c r="CB1163" i="1"/>
  <c r="CA1163" i="1"/>
  <c r="BZ1163" i="1"/>
  <c r="BY1163" i="1"/>
  <c r="BX1163" i="1"/>
  <c r="BW1163" i="1"/>
  <c r="BV1163" i="1"/>
  <c r="BU1163" i="1"/>
  <c r="BT1163" i="1"/>
  <c r="BS1163" i="1"/>
  <c r="BR1163" i="1"/>
  <c r="BQ1163" i="1"/>
  <c r="BP1163" i="1"/>
  <c r="BO1163" i="1"/>
  <c r="BN1163" i="1"/>
  <c r="BM1163" i="1"/>
  <c r="BL1163" i="1"/>
  <c r="BK1163" i="1"/>
  <c r="BJ1163" i="1"/>
  <c r="BI1163" i="1"/>
  <c r="BH1163" i="1"/>
  <c r="BG1163" i="1"/>
  <c r="CE1162" i="1"/>
  <c r="CD1162" i="1"/>
  <c r="CC1162" i="1"/>
  <c r="CB1162" i="1"/>
  <c r="CA1162" i="1"/>
  <c r="BZ1162" i="1"/>
  <c r="BY1162" i="1"/>
  <c r="BX1162" i="1"/>
  <c r="BW1162" i="1"/>
  <c r="BV1162" i="1"/>
  <c r="BU1162" i="1"/>
  <c r="BT1162" i="1"/>
  <c r="BS1162" i="1"/>
  <c r="BR1162" i="1"/>
  <c r="BQ1162" i="1"/>
  <c r="BP1162" i="1"/>
  <c r="BO1162" i="1"/>
  <c r="BN1162" i="1"/>
  <c r="BM1162" i="1"/>
  <c r="BL1162" i="1"/>
  <c r="BK1162" i="1"/>
  <c r="BJ1162" i="1"/>
  <c r="BI1162" i="1"/>
  <c r="BH1162" i="1"/>
  <c r="BG1162" i="1"/>
  <c r="CE1161" i="1"/>
  <c r="CD1161" i="1"/>
  <c r="CC1161" i="1"/>
  <c r="CB1161" i="1"/>
  <c r="CA1161" i="1"/>
  <c r="BZ1161" i="1"/>
  <c r="BY1161" i="1"/>
  <c r="BX1161" i="1"/>
  <c r="BW1161" i="1"/>
  <c r="BV1161" i="1"/>
  <c r="BU1161" i="1"/>
  <c r="BT1161" i="1"/>
  <c r="BS1161" i="1"/>
  <c r="BR1161" i="1"/>
  <c r="BQ1161" i="1"/>
  <c r="BP1161" i="1"/>
  <c r="BO1161" i="1"/>
  <c r="BN1161" i="1"/>
  <c r="BM1161" i="1"/>
  <c r="BL1161" i="1"/>
  <c r="BK1161" i="1"/>
  <c r="BJ1161" i="1"/>
  <c r="BI1161" i="1"/>
  <c r="BH1161" i="1"/>
  <c r="BG1161" i="1"/>
  <c r="CE1160" i="1"/>
  <c r="CD1160" i="1"/>
  <c r="CC1160" i="1"/>
  <c r="CB1160" i="1"/>
  <c r="CA1160" i="1"/>
  <c r="BZ1160" i="1"/>
  <c r="BY1160" i="1"/>
  <c r="BX1160" i="1"/>
  <c r="BW1160" i="1"/>
  <c r="BV1160" i="1"/>
  <c r="BU1160" i="1"/>
  <c r="BT1160" i="1"/>
  <c r="BS1160" i="1"/>
  <c r="BR1160" i="1"/>
  <c r="BQ1160" i="1"/>
  <c r="BP1160" i="1"/>
  <c r="BO1160" i="1"/>
  <c r="BN1160" i="1"/>
  <c r="BM1160" i="1"/>
  <c r="BL1160" i="1"/>
  <c r="BK1160" i="1"/>
  <c r="BJ1160" i="1"/>
  <c r="BI1160" i="1"/>
  <c r="BH1160" i="1"/>
  <c r="BG1160" i="1"/>
  <c r="CE1159" i="1"/>
  <c r="CD1159" i="1"/>
  <c r="CC1159" i="1"/>
  <c r="CB1159" i="1"/>
  <c r="CA1159" i="1"/>
  <c r="BZ1159" i="1"/>
  <c r="BY1159" i="1"/>
  <c r="BX1159" i="1"/>
  <c r="BW1159" i="1"/>
  <c r="BV1159" i="1"/>
  <c r="BU1159" i="1"/>
  <c r="BT1159" i="1"/>
  <c r="BS1159" i="1"/>
  <c r="BR1159" i="1"/>
  <c r="BQ1159" i="1"/>
  <c r="BP1159" i="1"/>
  <c r="BO1159" i="1"/>
  <c r="BN1159" i="1"/>
  <c r="BM1159" i="1"/>
  <c r="BL1159" i="1"/>
  <c r="BK1159" i="1"/>
  <c r="BJ1159" i="1"/>
  <c r="BI1159" i="1"/>
  <c r="BH1159" i="1"/>
  <c r="BG1159" i="1"/>
  <c r="CE1158" i="1"/>
  <c r="CD1158" i="1"/>
  <c r="CC1158" i="1"/>
  <c r="CB1158" i="1"/>
  <c r="CA1158" i="1"/>
  <c r="BZ1158" i="1"/>
  <c r="BY1158" i="1"/>
  <c r="BX1158" i="1"/>
  <c r="BW1158" i="1"/>
  <c r="BV1158" i="1"/>
  <c r="BU1158" i="1"/>
  <c r="BT1158" i="1"/>
  <c r="BS1158" i="1"/>
  <c r="BR1158" i="1"/>
  <c r="BQ1158" i="1"/>
  <c r="BP1158" i="1"/>
  <c r="BO1158" i="1"/>
  <c r="BN1158" i="1"/>
  <c r="BM1158" i="1"/>
  <c r="BL1158" i="1"/>
  <c r="BK1158" i="1"/>
  <c r="BJ1158" i="1"/>
  <c r="BI1158" i="1"/>
  <c r="BH1158" i="1"/>
  <c r="BG1158" i="1"/>
  <c r="CE1157" i="1"/>
  <c r="CD1157" i="1"/>
  <c r="CC1157" i="1"/>
  <c r="CB1157" i="1"/>
  <c r="CA1157" i="1"/>
  <c r="BZ1157" i="1"/>
  <c r="BY1157" i="1"/>
  <c r="BX1157" i="1"/>
  <c r="BW1157" i="1"/>
  <c r="BV1157" i="1"/>
  <c r="BU1157" i="1"/>
  <c r="BT1157" i="1"/>
  <c r="BS1157" i="1"/>
  <c r="BR1157" i="1"/>
  <c r="BQ1157" i="1"/>
  <c r="BP1157" i="1"/>
  <c r="BO1157" i="1"/>
  <c r="BN1157" i="1"/>
  <c r="BM1157" i="1"/>
  <c r="BL1157" i="1"/>
  <c r="BK1157" i="1"/>
  <c r="BJ1157" i="1"/>
  <c r="BI1157" i="1"/>
  <c r="BH1157" i="1"/>
  <c r="BG1157" i="1"/>
  <c r="CE1156" i="1"/>
  <c r="CD1156" i="1"/>
  <c r="CC1156" i="1"/>
  <c r="CB1156" i="1"/>
  <c r="CA1156" i="1"/>
  <c r="BZ1156" i="1"/>
  <c r="BY1156" i="1"/>
  <c r="BX1156" i="1"/>
  <c r="BW1156" i="1"/>
  <c r="BV1156" i="1"/>
  <c r="BU1156" i="1"/>
  <c r="BT1156" i="1"/>
  <c r="BS1156" i="1"/>
  <c r="BR1156" i="1"/>
  <c r="BQ1156" i="1"/>
  <c r="BP1156" i="1"/>
  <c r="BO1156" i="1"/>
  <c r="BN1156" i="1"/>
  <c r="BM1156" i="1"/>
  <c r="BL1156" i="1"/>
  <c r="BK1156" i="1"/>
  <c r="BJ1156" i="1"/>
  <c r="BI1156" i="1"/>
  <c r="BH1156" i="1"/>
  <c r="BG1156" i="1"/>
  <c r="CE1155" i="1"/>
  <c r="CD1155" i="1"/>
  <c r="CC1155" i="1"/>
  <c r="CB1155" i="1"/>
  <c r="CA1155" i="1"/>
  <c r="BZ1155" i="1"/>
  <c r="BY1155" i="1"/>
  <c r="BX1155" i="1"/>
  <c r="BW1155" i="1"/>
  <c r="BV1155" i="1"/>
  <c r="BU1155" i="1"/>
  <c r="BT1155" i="1"/>
  <c r="BS1155" i="1"/>
  <c r="BR1155" i="1"/>
  <c r="BQ1155" i="1"/>
  <c r="BP1155" i="1"/>
  <c r="BO1155" i="1"/>
  <c r="BN1155" i="1"/>
  <c r="BM1155" i="1"/>
  <c r="BL1155" i="1"/>
  <c r="BK1155" i="1"/>
  <c r="BJ1155" i="1"/>
  <c r="BI1155" i="1"/>
  <c r="BH1155" i="1"/>
  <c r="BG1155" i="1"/>
  <c r="CE1154" i="1"/>
  <c r="CD1154" i="1"/>
  <c r="CC1154" i="1"/>
  <c r="CB1154" i="1"/>
  <c r="CA1154" i="1"/>
  <c r="BZ1154" i="1"/>
  <c r="BY1154" i="1"/>
  <c r="BX1154" i="1"/>
  <c r="BW1154" i="1"/>
  <c r="BV1154" i="1"/>
  <c r="BU1154" i="1"/>
  <c r="BT1154" i="1"/>
  <c r="BS1154" i="1"/>
  <c r="BR1154" i="1"/>
  <c r="BQ1154" i="1"/>
  <c r="BP1154" i="1"/>
  <c r="BO1154" i="1"/>
  <c r="BN1154" i="1"/>
  <c r="BM1154" i="1"/>
  <c r="BL1154" i="1"/>
  <c r="BK1154" i="1"/>
  <c r="BJ1154" i="1"/>
  <c r="BI1154" i="1"/>
  <c r="BH1154" i="1"/>
  <c r="BG1154" i="1"/>
  <c r="CE1153" i="1"/>
  <c r="CD1153" i="1"/>
  <c r="CC1153" i="1"/>
  <c r="CB1153" i="1"/>
  <c r="CA1153" i="1"/>
  <c r="BZ1153" i="1"/>
  <c r="BY1153" i="1"/>
  <c r="BX1153" i="1"/>
  <c r="BW1153" i="1"/>
  <c r="BV1153" i="1"/>
  <c r="BU1153" i="1"/>
  <c r="BT1153" i="1"/>
  <c r="BS1153" i="1"/>
  <c r="BR1153" i="1"/>
  <c r="BQ1153" i="1"/>
  <c r="BP1153" i="1"/>
  <c r="BO1153" i="1"/>
  <c r="BN1153" i="1"/>
  <c r="BM1153" i="1"/>
  <c r="BL1153" i="1"/>
  <c r="BK1153" i="1"/>
  <c r="BJ1153" i="1"/>
  <c r="BI1153" i="1"/>
  <c r="BH1153" i="1"/>
  <c r="BG1153" i="1"/>
  <c r="CE1152" i="1"/>
  <c r="CD1152" i="1"/>
  <c r="CC1152" i="1"/>
  <c r="CB1152" i="1"/>
  <c r="CA1152" i="1"/>
  <c r="BZ1152" i="1"/>
  <c r="BY1152" i="1"/>
  <c r="BX1152" i="1"/>
  <c r="BW1152" i="1"/>
  <c r="BV1152" i="1"/>
  <c r="BU1152" i="1"/>
  <c r="BT1152" i="1"/>
  <c r="BS1152" i="1"/>
  <c r="BR1152" i="1"/>
  <c r="BQ1152" i="1"/>
  <c r="BP1152" i="1"/>
  <c r="BO1152" i="1"/>
  <c r="BN1152" i="1"/>
  <c r="BM1152" i="1"/>
  <c r="BL1152" i="1"/>
  <c r="BK1152" i="1"/>
  <c r="BJ1152" i="1"/>
  <c r="BI1152" i="1"/>
  <c r="BH1152" i="1"/>
  <c r="BG1152" i="1"/>
  <c r="CE1151" i="1"/>
  <c r="CD1151" i="1"/>
  <c r="CC1151" i="1"/>
  <c r="CB1151" i="1"/>
  <c r="CA1151" i="1"/>
  <c r="BZ1151" i="1"/>
  <c r="BY1151" i="1"/>
  <c r="BX1151" i="1"/>
  <c r="BW1151" i="1"/>
  <c r="BV1151" i="1"/>
  <c r="BU1151" i="1"/>
  <c r="BT1151" i="1"/>
  <c r="BS1151" i="1"/>
  <c r="BR1151" i="1"/>
  <c r="BQ1151" i="1"/>
  <c r="BP1151" i="1"/>
  <c r="BO1151" i="1"/>
  <c r="BN1151" i="1"/>
  <c r="BM1151" i="1"/>
  <c r="BL1151" i="1"/>
  <c r="BK1151" i="1"/>
  <c r="BJ1151" i="1"/>
  <c r="BI1151" i="1"/>
  <c r="BH1151" i="1"/>
  <c r="BG1151" i="1"/>
  <c r="CE1150" i="1"/>
  <c r="CD1150" i="1"/>
  <c r="CC1150" i="1"/>
  <c r="CB1150" i="1"/>
  <c r="CA1150" i="1"/>
  <c r="BZ1150" i="1"/>
  <c r="BY1150" i="1"/>
  <c r="BX1150" i="1"/>
  <c r="BW1150" i="1"/>
  <c r="BV1150" i="1"/>
  <c r="BU1150" i="1"/>
  <c r="BT1150" i="1"/>
  <c r="BS1150" i="1"/>
  <c r="BR1150" i="1"/>
  <c r="BQ1150" i="1"/>
  <c r="BP1150" i="1"/>
  <c r="BO1150" i="1"/>
  <c r="BN1150" i="1"/>
  <c r="BM1150" i="1"/>
  <c r="BL1150" i="1"/>
  <c r="BK1150" i="1"/>
  <c r="BJ1150" i="1"/>
  <c r="BI1150" i="1"/>
  <c r="BH1150" i="1"/>
  <c r="BG1150" i="1"/>
  <c r="CE1149" i="1"/>
  <c r="CD1149" i="1"/>
  <c r="CC1149" i="1"/>
  <c r="CB1149" i="1"/>
  <c r="CA1149" i="1"/>
  <c r="BZ1149" i="1"/>
  <c r="BY1149" i="1"/>
  <c r="BX1149" i="1"/>
  <c r="BW1149" i="1"/>
  <c r="BV1149" i="1"/>
  <c r="BU1149" i="1"/>
  <c r="BT1149" i="1"/>
  <c r="BS1149" i="1"/>
  <c r="BR1149" i="1"/>
  <c r="BQ1149" i="1"/>
  <c r="BP1149" i="1"/>
  <c r="BO1149" i="1"/>
  <c r="BN1149" i="1"/>
  <c r="BM1149" i="1"/>
  <c r="BL1149" i="1"/>
  <c r="BK1149" i="1"/>
  <c r="BJ1149" i="1"/>
  <c r="BI1149" i="1"/>
  <c r="BH1149" i="1"/>
  <c r="BG1149" i="1"/>
  <c r="CE1148" i="1"/>
  <c r="CD1148" i="1"/>
  <c r="CC1148" i="1"/>
  <c r="CB1148" i="1"/>
  <c r="CA1148" i="1"/>
  <c r="BZ1148" i="1"/>
  <c r="BY1148" i="1"/>
  <c r="BX1148" i="1"/>
  <c r="BW1148" i="1"/>
  <c r="BV1148" i="1"/>
  <c r="BU1148" i="1"/>
  <c r="BT1148" i="1"/>
  <c r="BS1148" i="1"/>
  <c r="BR1148" i="1"/>
  <c r="BQ1148" i="1"/>
  <c r="BP1148" i="1"/>
  <c r="BO1148" i="1"/>
  <c r="BN1148" i="1"/>
  <c r="BM1148" i="1"/>
  <c r="BL1148" i="1"/>
  <c r="BK1148" i="1"/>
  <c r="BJ1148" i="1"/>
  <c r="BI1148" i="1"/>
  <c r="BH1148" i="1"/>
  <c r="BG1148" i="1"/>
  <c r="CE1147" i="1"/>
  <c r="CD1147" i="1"/>
  <c r="CC1147" i="1"/>
  <c r="CB1147" i="1"/>
  <c r="CA1147" i="1"/>
  <c r="BZ1147" i="1"/>
  <c r="BY1147" i="1"/>
  <c r="BX1147" i="1"/>
  <c r="BW1147" i="1"/>
  <c r="BV1147" i="1"/>
  <c r="BU1147" i="1"/>
  <c r="BT1147" i="1"/>
  <c r="BS1147" i="1"/>
  <c r="BR1147" i="1"/>
  <c r="BQ1147" i="1"/>
  <c r="BP1147" i="1"/>
  <c r="BO1147" i="1"/>
  <c r="BN1147" i="1"/>
  <c r="BM1147" i="1"/>
  <c r="BL1147" i="1"/>
  <c r="BK1147" i="1"/>
  <c r="BJ1147" i="1"/>
  <c r="BI1147" i="1"/>
  <c r="BH1147" i="1"/>
  <c r="BG1147" i="1"/>
  <c r="CE1146" i="1"/>
  <c r="CD1146" i="1"/>
  <c r="CC1146" i="1"/>
  <c r="CB1146" i="1"/>
  <c r="CA1146" i="1"/>
  <c r="BZ1146" i="1"/>
  <c r="BY1146" i="1"/>
  <c r="BX1146" i="1"/>
  <c r="BW1146" i="1"/>
  <c r="BV1146" i="1"/>
  <c r="BU1146" i="1"/>
  <c r="BT1146" i="1"/>
  <c r="BS1146" i="1"/>
  <c r="BR1146" i="1"/>
  <c r="BQ1146" i="1"/>
  <c r="BP1146" i="1"/>
  <c r="BO1146" i="1"/>
  <c r="BN1146" i="1"/>
  <c r="BM1146" i="1"/>
  <c r="BL1146" i="1"/>
  <c r="BK1146" i="1"/>
  <c r="BJ1146" i="1"/>
  <c r="BI1146" i="1"/>
  <c r="BH1146" i="1"/>
  <c r="BG1146" i="1"/>
  <c r="CE1145" i="1"/>
  <c r="CD1145" i="1"/>
  <c r="CC1145" i="1"/>
  <c r="CB1145" i="1"/>
  <c r="CA1145" i="1"/>
  <c r="BZ1145" i="1"/>
  <c r="BY1145" i="1"/>
  <c r="BX1145" i="1"/>
  <c r="BW1145" i="1"/>
  <c r="BV1145" i="1"/>
  <c r="BU1145" i="1"/>
  <c r="BT1145" i="1"/>
  <c r="BS1145" i="1"/>
  <c r="BR1145" i="1"/>
  <c r="BQ1145" i="1"/>
  <c r="BP1145" i="1"/>
  <c r="BO1145" i="1"/>
  <c r="BN1145" i="1"/>
  <c r="BM1145" i="1"/>
  <c r="BL1145" i="1"/>
  <c r="BK1145" i="1"/>
  <c r="BJ1145" i="1"/>
  <c r="BI1145" i="1"/>
  <c r="BH1145" i="1"/>
  <c r="BG1145" i="1"/>
  <c r="CE1144" i="1"/>
  <c r="CD1144" i="1"/>
  <c r="CC1144" i="1"/>
  <c r="CB1144" i="1"/>
  <c r="CA1144" i="1"/>
  <c r="BZ1144" i="1"/>
  <c r="BY1144" i="1"/>
  <c r="BX1144" i="1"/>
  <c r="BW1144" i="1"/>
  <c r="BV1144" i="1"/>
  <c r="BU1144" i="1"/>
  <c r="BT1144" i="1"/>
  <c r="BS1144" i="1"/>
  <c r="BR1144" i="1"/>
  <c r="BQ1144" i="1"/>
  <c r="BP1144" i="1"/>
  <c r="BO1144" i="1"/>
  <c r="BN1144" i="1"/>
  <c r="BM1144" i="1"/>
  <c r="BL1144" i="1"/>
  <c r="BK1144" i="1"/>
  <c r="BJ1144" i="1"/>
  <c r="BI1144" i="1"/>
  <c r="BH1144" i="1"/>
  <c r="BG1144" i="1"/>
  <c r="CE1143" i="1"/>
  <c r="CD1143" i="1"/>
  <c r="CC1143" i="1"/>
  <c r="CB1143" i="1"/>
  <c r="CA1143" i="1"/>
  <c r="BZ1143" i="1"/>
  <c r="BY1143" i="1"/>
  <c r="BX1143" i="1"/>
  <c r="BW1143" i="1"/>
  <c r="BV1143" i="1"/>
  <c r="BU1143" i="1"/>
  <c r="BT1143" i="1"/>
  <c r="BS1143" i="1"/>
  <c r="BR1143" i="1"/>
  <c r="BQ1143" i="1"/>
  <c r="BP1143" i="1"/>
  <c r="BO1143" i="1"/>
  <c r="BN1143" i="1"/>
  <c r="BM1143" i="1"/>
  <c r="BL1143" i="1"/>
  <c r="BK1143" i="1"/>
  <c r="BJ1143" i="1"/>
  <c r="BI1143" i="1"/>
  <c r="BH1143" i="1"/>
  <c r="BG1143" i="1"/>
  <c r="CE1142" i="1"/>
  <c r="CD1142" i="1"/>
  <c r="CC1142" i="1"/>
  <c r="CB1142" i="1"/>
  <c r="CA1142" i="1"/>
  <c r="BZ1142" i="1"/>
  <c r="BY1142" i="1"/>
  <c r="BX1142" i="1"/>
  <c r="BW1142" i="1"/>
  <c r="BV1142" i="1"/>
  <c r="BU1142" i="1"/>
  <c r="BT1142" i="1"/>
  <c r="BS1142" i="1"/>
  <c r="BR1142" i="1"/>
  <c r="BQ1142" i="1"/>
  <c r="BP1142" i="1"/>
  <c r="BO1142" i="1"/>
  <c r="BN1142" i="1"/>
  <c r="BM1142" i="1"/>
  <c r="BL1142" i="1"/>
  <c r="BK1142" i="1"/>
  <c r="BJ1142" i="1"/>
  <c r="BI1142" i="1"/>
  <c r="BH1142" i="1"/>
  <c r="BG1142" i="1"/>
  <c r="CE1141" i="1"/>
  <c r="CD1141" i="1"/>
  <c r="CC1141" i="1"/>
  <c r="CB1141" i="1"/>
  <c r="CA1141" i="1"/>
  <c r="BZ1141" i="1"/>
  <c r="BY1141" i="1"/>
  <c r="BX1141" i="1"/>
  <c r="BW1141" i="1"/>
  <c r="BV1141" i="1"/>
  <c r="BU1141" i="1"/>
  <c r="BT1141" i="1"/>
  <c r="BS1141" i="1"/>
  <c r="BR1141" i="1"/>
  <c r="BQ1141" i="1"/>
  <c r="BP1141" i="1"/>
  <c r="BO1141" i="1"/>
  <c r="BN1141" i="1"/>
  <c r="BM1141" i="1"/>
  <c r="BL1141" i="1"/>
  <c r="BK1141" i="1"/>
  <c r="BJ1141" i="1"/>
  <c r="BI1141" i="1"/>
  <c r="BH1141" i="1"/>
  <c r="BG1141" i="1"/>
  <c r="CE1140" i="1"/>
  <c r="CD1140" i="1"/>
  <c r="CC1140" i="1"/>
  <c r="CB1140" i="1"/>
  <c r="CA1140" i="1"/>
  <c r="BZ1140" i="1"/>
  <c r="BY1140" i="1"/>
  <c r="BX1140" i="1"/>
  <c r="BW1140" i="1"/>
  <c r="BV1140" i="1"/>
  <c r="BU1140" i="1"/>
  <c r="BT1140" i="1"/>
  <c r="BS1140" i="1"/>
  <c r="BR1140" i="1"/>
  <c r="BQ1140" i="1"/>
  <c r="BP1140" i="1"/>
  <c r="BO1140" i="1"/>
  <c r="BN1140" i="1"/>
  <c r="BM1140" i="1"/>
  <c r="BL1140" i="1"/>
  <c r="BK1140" i="1"/>
  <c r="BJ1140" i="1"/>
  <c r="BI1140" i="1"/>
  <c r="BH1140" i="1"/>
  <c r="BG1140" i="1"/>
  <c r="CE1139" i="1"/>
  <c r="CD1139" i="1"/>
  <c r="CC1139" i="1"/>
  <c r="CB1139" i="1"/>
  <c r="CA1139" i="1"/>
  <c r="BZ1139" i="1"/>
  <c r="BY1139" i="1"/>
  <c r="BX1139" i="1"/>
  <c r="BW1139" i="1"/>
  <c r="BV1139" i="1"/>
  <c r="BU1139" i="1"/>
  <c r="BT1139" i="1"/>
  <c r="BS1139" i="1"/>
  <c r="BR1139" i="1"/>
  <c r="BQ1139" i="1"/>
  <c r="BP1139" i="1"/>
  <c r="BO1139" i="1"/>
  <c r="BN1139" i="1"/>
  <c r="BM1139" i="1"/>
  <c r="BL1139" i="1"/>
  <c r="BK1139" i="1"/>
  <c r="BJ1139" i="1"/>
  <c r="BI1139" i="1"/>
  <c r="BH1139" i="1"/>
  <c r="BG1139" i="1"/>
  <c r="CE1138" i="1"/>
  <c r="CD1138" i="1"/>
  <c r="CC1138" i="1"/>
  <c r="CB1138" i="1"/>
  <c r="CA1138" i="1"/>
  <c r="BZ1138" i="1"/>
  <c r="BY1138" i="1"/>
  <c r="BX1138" i="1"/>
  <c r="BW1138" i="1"/>
  <c r="BV1138" i="1"/>
  <c r="BU1138" i="1"/>
  <c r="BT1138" i="1"/>
  <c r="BS1138" i="1"/>
  <c r="BR1138" i="1"/>
  <c r="BQ1138" i="1"/>
  <c r="BP1138" i="1"/>
  <c r="BO1138" i="1"/>
  <c r="BN1138" i="1"/>
  <c r="BM1138" i="1"/>
  <c r="BL1138" i="1"/>
  <c r="BK1138" i="1"/>
  <c r="BJ1138" i="1"/>
  <c r="BI1138" i="1"/>
  <c r="BH1138" i="1"/>
  <c r="BG1138" i="1"/>
  <c r="CE1137" i="1"/>
  <c r="CD1137" i="1"/>
  <c r="CC1137" i="1"/>
  <c r="CB1137" i="1"/>
  <c r="CA1137" i="1"/>
  <c r="BZ1137" i="1"/>
  <c r="BY1137" i="1"/>
  <c r="BX1137" i="1"/>
  <c r="BW1137" i="1"/>
  <c r="BV1137" i="1"/>
  <c r="BU1137" i="1"/>
  <c r="BT1137" i="1"/>
  <c r="BS1137" i="1"/>
  <c r="BR1137" i="1"/>
  <c r="BQ1137" i="1"/>
  <c r="BP1137" i="1"/>
  <c r="BO1137" i="1"/>
  <c r="BN1137" i="1"/>
  <c r="BM1137" i="1"/>
  <c r="BL1137" i="1"/>
  <c r="BK1137" i="1"/>
  <c r="BJ1137" i="1"/>
  <c r="BI1137" i="1"/>
  <c r="BH1137" i="1"/>
  <c r="BG1137" i="1"/>
  <c r="CE1136" i="1"/>
  <c r="CD1136" i="1"/>
  <c r="CC1136" i="1"/>
  <c r="CB1136" i="1"/>
  <c r="CA1136" i="1"/>
  <c r="BZ1136" i="1"/>
  <c r="BY1136" i="1"/>
  <c r="BX1136" i="1"/>
  <c r="BW1136" i="1"/>
  <c r="BV1136" i="1"/>
  <c r="BU1136" i="1"/>
  <c r="BT1136" i="1"/>
  <c r="BS1136" i="1"/>
  <c r="BR1136" i="1"/>
  <c r="BQ1136" i="1"/>
  <c r="BP1136" i="1"/>
  <c r="BO1136" i="1"/>
  <c r="BN1136" i="1"/>
  <c r="BM1136" i="1"/>
  <c r="BL1136" i="1"/>
  <c r="BK1136" i="1"/>
  <c r="BJ1136" i="1"/>
  <c r="BI1136" i="1"/>
  <c r="BH1136" i="1"/>
  <c r="BG1136" i="1"/>
  <c r="CE1135" i="1"/>
  <c r="CD1135" i="1"/>
  <c r="CC1135" i="1"/>
  <c r="CB1135" i="1"/>
  <c r="CA1135" i="1"/>
  <c r="BZ1135" i="1"/>
  <c r="BY1135" i="1"/>
  <c r="BX1135" i="1"/>
  <c r="BW1135" i="1"/>
  <c r="BV1135" i="1"/>
  <c r="BU1135" i="1"/>
  <c r="BT1135" i="1"/>
  <c r="BS1135" i="1"/>
  <c r="BR1135" i="1"/>
  <c r="BQ1135" i="1"/>
  <c r="BP1135" i="1"/>
  <c r="BO1135" i="1"/>
  <c r="BN1135" i="1"/>
  <c r="BM1135" i="1"/>
  <c r="BL1135" i="1"/>
  <c r="BK1135" i="1"/>
  <c r="BJ1135" i="1"/>
  <c r="BI1135" i="1"/>
  <c r="BH1135" i="1"/>
  <c r="BG1135" i="1"/>
  <c r="CE1134" i="1"/>
  <c r="CD1134" i="1"/>
  <c r="CC1134" i="1"/>
  <c r="CB1134" i="1"/>
  <c r="CA1134" i="1"/>
  <c r="BZ1134" i="1"/>
  <c r="BY1134" i="1"/>
  <c r="BX1134" i="1"/>
  <c r="BW1134" i="1"/>
  <c r="BV1134" i="1"/>
  <c r="BU1134" i="1"/>
  <c r="BT1134" i="1"/>
  <c r="BS1134" i="1"/>
  <c r="BR1134" i="1"/>
  <c r="BQ1134" i="1"/>
  <c r="BP1134" i="1"/>
  <c r="BO1134" i="1"/>
  <c r="BN1134" i="1"/>
  <c r="BM1134" i="1"/>
  <c r="BL1134" i="1"/>
  <c r="BK1134" i="1"/>
  <c r="BJ1134" i="1"/>
  <c r="BI1134" i="1"/>
  <c r="BH1134" i="1"/>
  <c r="BG1134" i="1"/>
  <c r="CE1133" i="1"/>
  <c r="CD1133" i="1"/>
  <c r="CC1133" i="1"/>
  <c r="CB1133" i="1"/>
  <c r="CA1133" i="1"/>
  <c r="BZ1133" i="1"/>
  <c r="BY1133" i="1"/>
  <c r="BX1133" i="1"/>
  <c r="BW1133" i="1"/>
  <c r="BV1133" i="1"/>
  <c r="BU1133" i="1"/>
  <c r="BT1133" i="1"/>
  <c r="BS1133" i="1"/>
  <c r="BR1133" i="1"/>
  <c r="BQ1133" i="1"/>
  <c r="BP1133" i="1"/>
  <c r="BO1133" i="1"/>
  <c r="BN1133" i="1"/>
  <c r="BM1133" i="1"/>
  <c r="BL1133" i="1"/>
  <c r="BK1133" i="1"/>
  <c r="BJ1133" i="1"/>
  <c r="BI1133" i="1"/>
  <c r="BH1133" i="1"/>
  <c r="BG1133" i="1"/>
  <c r="CE1132" i="1"/>
  <c r="CD1132" i="1"/>
  <c r="CC1132" i="1"/>
  <c r="CB1132" i="1"/>
  <c r="CA1132" i="1"/>
  <c r="BZ1132" i="1"/>
  <c r="BY1132" i="1"/>
  <c r="BX1132" i="1"/>
  <c r="BW1132" i="1"/>
  <c r="BV1132" i="1"/>
  <c r="BU1132" i="1"/>
  <c r="BT1132" i="1"/>
  <c r="BS1132" i="1"/>
  <c r="BR1132" i="1"/>
  <c r="BQ1132" i="1"/>
  <c r="BP1132" i="1"/>
  <c r="BO1132" i="1"/>
  <c r="BN1132" i="1"/>
  <c r="BM1132" i="1"/>
  <c r="BL1132" i="1"/>
  <c r="BK1132" i="1"/>
  <c r="BJ1132" i="1"/>
  <c r="BI1132" i="1"/>
  <c r="BH1132" i="1"/>
  <c r="BG1132" i="1"/>
  <c r="CE1131" i="1"/>
  <c r="CD1131" i="1"/>
  <c r="CC1131" i="1"/>
  <c r="CB1131" i="1"/>
  <c r="CA1131" i="1"/>
  <c r="BZ1131" i="1"/>
  <c r="BY1131" i="1"/>
  <c r="BX1131" i="1"/>
  <c r="BW1131" i="1"/>
  <c r="BV1131" i="1"/>
  <c r="BU1131" i="1"/>
  <c r="BT1131" i="1"/>
  <c r="BS1131" i="1"/>
  <c r="BR1131" i="1"/>
  <c r="BQ1131" i="1"/>
  <c r="BP1131" i="1"/>
  <c r="BO1131" i="1"/>
  <c r="BN1131" i="1"/>
  <c r="BM1131" i="1"/>
  <c r="BL1131" i="1"/>
  <c r="BK1131" i="1"/>
  <c r="BJ1131" i="1"/>
  <c r="BI1131" i="1"/>
  <c r="BH1131" i="1"/>
  <c r="BG1131" i="1"/>
  <c r="CE1130" i="1"/>
  <c r="CD1130" i="1"/>
  <c r="CC1130" i="1"/>
  <c r="CB1130" i="1"/>
  <c r="CA1130" i="1"/>
  <c r="BZ1130" i="1"/>
  <c r="BY1130" i="1"/>
  <c r="BX1130" i="1"/>
  <c r="BW1130" i="1"/>
  <c r="BV1130" i="1"/>
  <c r="BU1130" i="1"/>
  <c r="BT1130" i="1"/>
  <c r="BS1130" i="1"/>
  <c r="BR1130" i="1"/>
  <c r="BQ1130" i="1"/>
  <c r="BP1130" i="1"/>
  <c r="BO1130" i="1"/>
  <c r="BN1130" i="1"/>
  <c r="BM1130" i="1"/>
  <c r="BL1130" i="1"/>
  <c r="BK1130" i="1"/>
  <c r="BJ1130" i="1"/>
  <c r="BI1130" i="1"/>
  <c r="BH1130" i="1"/>
  <c r="BG1130" i="1"/>
  <c r="CE1129" i="1"/>
  <c r="CD1129" i="1"/>
  <c r="CC1129" i="1"/>
  <c r="CB1129" i="1"/>
  <c r="CA1129" i="1"/>
  <c r="BZ1129" i="1"/>
  <c r="BY1129" i="1"/>
  <c r="BX1129" i="1"/>
  <c r="BW1129" i="1"/>
  <c r="BV1129" i="1"/>
  <c r="BU1129" i="1"/>
  <c r="BT1129" i="1"/>
  <c r="BS1129" i="1"/>
  <c r="BR1129" i="1"/>
  <c r="BQ1129" i="1"/>
  <c r="BP1129" i="1"/>
  <c r="BO1129" i="1"/>
  <c r="BN1129" i="1"/>
  <c r="BM1129" i="1"/>
  <c r="BL1129" i="1"/>
  <c r="BK1129" i="1"/>
  <c r="BJ1129" i="1"/>
  <c r="BI1129" i="1"/>
  <c r="BH1129" i="1"/>
  <c r="BG1129" i="1"/>
  <c r="CE1128" i="1"/>
  <c r="CD1128" i="1"/>
  <c r="CC1128" i="1"/>
  <c r="CB1128" i="1"/>
  <c r="CA1128" i="1"/>
  <c r="BZ1128" i="1"/>
  <c r="BY1128" i="1"/>
  <c r="BX1128" i="1"/>
  <c r="BW1128" i="1"/>
  <c r="BV1128" i="1"/>
  <c r="BU1128" i="1"/>
  <c r="BT1128" i="1"/>
  <c r="BS1128" i="1"/>
  <c r="BR1128" i="1"/>
  <c r="BQ1128" i="1"/>
  <c r="BP1128" i="1"/>
  <c r="BO1128" i="1"/>
  <c r="BN1128" i="1"/>
  <c r="BM1128" i="1"/>
  <c r="BL1128" i="1"/>
  <c r="BK1128" i="1"/>
  <c r="BJ1128" i="1"/>
  <c r="BI1128" i="1"/>
  <c r="BH1128" i="1"/>
  <c r="BG1128" i="1"/>
  <c r="CE1127" i="1"/>
  <c r="CD1127" i="1"/>
  <c r="CC1127" i="1"/>
  <c r="CB1127" i="1"/>
  <c r="CA1127" i="1"/>
  <c r="BZ1127" i="1"/>
  <c r="BY1127" i="1"/>
  <c r="BX1127" i="1"/>
  <c r="BW1127" i="1"/>
  <c r="BV1127" i="1"/>
  <c r="BU1127" i="1"/>
  <c r="BT1127" i="1"/>
  <c r="BS1127" i="1"/>
  <c r="BR1127" i="1"/>
  <c r="BQ1127" i="1"/>
  <c r="BP1127" i="1"/>
  <c r="BO1127" i="1"/>
  <c r="BN1127" i="1"/>
  <c r="BM1127" i="1"/>
  <c r="BL1127" i="1"/>
  <c r="BK1127" i="1"/>
  <c r="BJ1127" i="1"/>
  <c r="BI1127" i="1"/>
  <c r="BH1127" i="1"/>
  <c r="BG1127" i="1"/>
  <c r="CE1126" i="1"/>
  <c r="CD1126" i="1"/>
  <c r="CC1126" i="1"/>
  <c r="CB1126" i="1"/>
  <c r="CA1126" i="1"/>
  <c r="BZ1126" i="1"/>
  <c r="BY1126" i="1"/>
  <c r="BX1126" i="1"/>
  <c r="BW1126" i="1"/>
  <c r="BV1126" i="1"/>
  <c r="BU1126" i="1"/>
  <c r="BT1126" i="1"/>
  <c r="BS1126" i="1"/>
  <c r="BR1126" i="1"/>
  <c r="BQ1126" i="1"/>
  <c r="BP1126" i="1"/>
  <c r="BO1126" i="1"/>
  <c r="BN1126" i="1"/>
  <c r="BM1126" i="1"/>
  <c r="BL1126" i="1"/>
  <c r="BK1126" i="1"/>
  <c r="BJ1126" i="1"/>
  <c r="BI1126" i="1"/>
  <c r="BH1126" i="1"/>
  <c r="BG1126" i="1"/>
  <c r="CE1125" i="1"/>
  <c r="CD1125" i="1"/>
  <c r="CC1125" i="1"/>
  <c r="CB1125" i="1"/>
  <c r="CA1125" i="1"/>
  <c r="BZ1125" i="1"/>
  <c r="BY1125" i="1"/>
  <c r="BX1125" i="1"/>
  <c r="BW1125" i="1"/>
  <c r="BV1125" i="1"/>
  <c r="BU1125" i="1"/>
  <c r="BT1125" i="1"/>
  <c r="BS1125" i="1"/>
  <c r="BR1125" i="1"/>
  <c r="BQ1125" i="1"/>
  <c r="BP1125" i="1"/>
  <c r="BO1125" i="1"/>
  <c r="BN1125" i="1"/>
  <c r="BM1125" i="1"/>
  <c r="BL1125" i="1"/>
  <c r="BK1125" i="1"/>
  <c r="BJ1125" i="1"/>
  <c r="BI1125" i="1"/>
  <c r="BH1125" i="1"/>
  <c r="BG1125" i="1"/>
  <c r="CE1124" i="1"/>
  <c r="CD1124" i="1"/>
  <c r="CC1124" i="1"/>
  <c r="CB1124" i="1"/>
  <c r="CA1124" i="1"/>
  <c r="BZ1124" i="1"/>
  <c r="BY1124" i="1"/>
  <c r="BX1124" i="1"/>
  <c r="BW1124" i="1"/>
  <c r="BV1124" i="1"/>
  <c r="BU1124" i="1"/>
  <c r="BT1124" i="1"/>
  <c r="BS1124" i="1"/>
  <c r="BR1124" i="1"/>
  <c r="BQ1124" i="1"/>
  <c r="BP1124" i="1"/>
  <c r="BO1124" i="1"/>
  <c r="BN1124" i="1"/>
  <c r="BM1124" i="1"/>
  <c r="BL1124" i="1"/>
  <c r="BK1124" i="1"/>
  <c r="BJ1124" i="1"/>
  <c r="BI1124" i="1"/>
  <c r="BH1124" i="1"/>
  <c r="BG1124" i="1"/>
  <c r="CE1123" i="1"/>
  <c r="CD1123" i="1"/>
  <c r="CC1123" i="1"/>
  <c r="CB1123" i="1"/>
  <c r="CA1123" i="1"/>
  <c r="BZ1123" i="1"/>
  <c r="BY1123" i="1"/>
  <c r="BX1123" i="1"/>
  <c r="BW1123" i="1"/>
  <c r="BV1123" i="1"/>
  <c r="BU1123" i="1"/>
  <c r="BT1123" i="1"/>
  <c r="BS1123" i="1"/>
  <c r="BR1123" i="1"/>
  <c r="BQ1123" i="1"/>
  <c r="BP1123" i="1"/>
  <c r="BO1123" i="1"/>
  <c r="BN1123" i="1"/>
  <c r="BM1123" i="1"/>
  <c r="BL1123" i="1"/>
  <c r="BK1123" i="1"/>
  <c r="BJ1123" i="1"/>
  <c r="BI1123" i="1"/>
  <c r="BH1123" i="1"/>
  <c r="BG1123" i="1"/>
  <c r="CE1122" i="1"/>
  <c r="CD1122" i="1"/>
  <c r="CC1122" i="1"/>
  <c r="CB1122" i="1"/>
  <c r="CA1122" i="1"/>
  <c r="BZ1122" i="1"/>
  <c r="BY1122" i="1"/>
  <c r="BX1122" i="1"/>
  <c r="BW1122" i="1"/>
  <c r="BV1122" i="1"/>
  <c r="BU1122" i="1"/>
  <c r="BT1122" i="1"/>
  <c r="BS1122" i="1"/>
  <c r="BR1122" i="1"/>
  <c r="BQ1122" i="1"/>
  <c r="BP1122" i="1"/>
  <c r="BO1122" i="1"/>
  <c r="BN1122" i="1"/>
  <c r="BM1122" i="1"/>
  <c r="BL1122" i="1"/>
  <c r="BK1122" i="1"/>
  <c r="BJ1122" i="1"/>
  <c r="BI1122" i="1"/>
  <c r="BH1122" i="1"/>
  <c r="BG1122" i="1"/>
  <c r="CE1121" i="1"/>
  <c r="CD1121" i="1"/>
  <c r="CC1121" i="1"/>
  <c r="CB1121" i="1"/>
  <c r="CA1121" i="1"/>
  <c r="BZ1121" i="1"/>
  <c r="BY1121" i="1"/>
  <c r="BX1121" i="1"/>
  <c r="BW1121" i="1"/>
  <c r="BV1121" i="1"/>
  <c r="BU1121" i="1"/>
  <c r="BT1121" i="1"/>
  <c r="BS1121" i="1"/>
  <c r="BR1121" i="1"/>
  <c r="BQ1121" i="1"/>
  <c r="BP1121" i="1"/>
  <c r="BO1121" i="1"/>
  <c r="BN1121" i="1"/>
  <c r="BM1121" i="1"/>
  <c r="BL1121" i="1"/>
  <c r="BK1121" i="1"/>
  <c r="BJ1121" i="1"/>
  <c r="BI1121" i="1"/>
  <c r="BH1121" i="1"/>
  <c r="BG1121" i="1"/>
  <c r="CE1120" i="1"/>
  <c r="CD1120" i="1"/>
  <c r="CC1120" i="1"/>
  <c r="CB1120" i="1"/>
  <c r="CA1120" i="1"/>
  <c r="BZ1120" i="1"/>
  <c r="BY1120" i="1"/>
  <c r="BX1120" i="1"/>
  <c r="BW1120" i="1"/>
  <c r="BV1120" i="1"/>
  <c r="BU1120" i="1"/>
  <c r="BT1120" i="1"/>
  <c r="BS1120" i="1"/>
  <c r="BR1120" i="1"/>
  <c r="BQ1120" i="1"/>
  <c r="BP1120" i="1"/>
  <c r="BO1120" i="1"/>
  <c r="BN1120" i="1"/>
  <c r="BM1120" i="1"/>
  <c r="BL1120" i="1"/>
  <c r="BK1120" i="1"/>
  <c r="BJ1120" i="1"/>
  <c r="BI1120" i="1"/>
  <c r="BH1120" i="1"/>
  <c r="BG1120" i="1"/>
  <c r="CE1119" i="1"/>
  <c r="CD1119" i="1"/>
  <c r="CC1119" i="1"/>
  <c r="CB1119" i="1"/>
  <c r="CA1119" i="1"/>
  <c r="BZ1119" i="1"/>
  <c r="BY1119" i="1"/>
  <c r="BX1119" i="1"/>
  <c r="BW1119" i="1"/>
  <c r="BV1119" i="1"/>
  <c r="BU1119" i="1"/>
  <c r="BT1119" i="1"/>
  <c r="BS1119" i="1"/>
  <c r="BR1119" i="1"/>
  <c r="BQ1119" i="1"/>
  <c r="BP1119" i="1"/>
  <c r="BO1119" i="1"/>
  <c r="BN1119" i="1"/>
  <c r="BM1119" i="1"/>
  <c r="BL1119" i="1"/>
  <c r="BK1119" i="1"/>
  <c r="BJ1119" i="1"/>
  <c r="BI1119" i="1"/>
  <c r="BH1119" i="1"/>
  <c r="BG1119" i="1"/>
  <c r="CE1118" i="1"/>
  <c r="CD1118" i="1"/>
  <c r="CC1118" i="1"/>
  <c r="CB1118" i="1"/>
  <c r="CA1118" i="1"/>
  <c r="BZ1118" i="1"/>
  <c r="BY1118" i="1"/>
  <c r="BX1118" i="1"/>
  <c r="BW1118" i="1"/>
  <c r="BV1118" i="1"/>
  <c r="BU1118" i="1"/>
  <c r="BT1118" i="1"/>
  <c r="BS1118" i="1"/>
  <c r="BR1118" i="1"/>
  <c r="BQ1118" i="1"/>
  <c r="BP1118" i="1"/>
  <c r="BO1118" i="1"/>
  <c r="BN1118" i="1"/>
  <c r="BM1118" i="1"/>
  <c r="BL1118" i="1"/>
  <c r="BK1118" i="1"/>
  <c r="BJ1118" i="1"/>
  <c r="BI1118" i="1"/>
  <c r="BH1118" i="1"/>
  <c r="BG1118" i="1"/>
  <c r="CE1117" i="1"/>
  <c r="CD1117" i="1"/>
  <c r="CC1117" i="1"/>
  <c r="CB1117" i="1"/>
  <c r="CA1117" i="1"/>
  <c r="BZ1117" i="1"/>
  <c r="BY1117" i="1"/>
  <c r="BX1117" i="1"/>
  <c r="BW1117" i="1"/>
  <c r="BV1117" i="1"/>
  <c r="BU1117" i="1"/>
  <c r="BT1117" i="1"/>
  <c r="BS1117" i="1"/>
  <c r="BR1117" i="1"/>
  <c r="BQ1117" i="1"/>
  <c r="BP1117" i="1"/>
  <c r="BO1117" i="1"/>
  <c r="BN1117" i="1"/>
  <c r="BM1117" i="1"/>
  <c r="BL1117" i="1"/>
  <c r="BK1117" i="1"/>
  <c r="BJ1117" i="1"/>
  <c r="BI1117" i="1"/>
  <c r="BH1117" i="1"/>
  <c r="BG1117" i="1"/>
  <c r="CE1116" i="1"/>
  <c r="CD1116" i="1"/>
  <c r="CC1116" i="1"/>
  <c r="CB1116" i="1"/>
  <c r="CA1116" i="1"/>
  <c r="BZ1116" i="1"/>
  <c r="BY1116" i="1"/>
  <c r="BX1116" i="1"/>
  <c r="BW1116" i="1"/>
  <c r="BV1116" i="1"/>
  <c r="BU1116" i="1"/>
  <c r="BT1116" i="1"/>
  <c r="BS1116" i="1"/>
  <c r="BR1116" i="1"/>
  <c r="BQ1116" i="1"/>
  <c r="BP1116" i="1"/>
  <c r="BO1116" i="1"/>
  <c r="BN1116" i="1"/>
  <c r="BM1116" i="1"/>
  <c r="BL1116" i="1"/>
  <c r="BK1116" i="1"/>
  <c r="BJ1116" i="1"/>
  <c r="BI1116" i="1"/>
  <c r="BH1116" i="1"/>
  <c r="BG1116" i="1"/>
  <c r="CE1115" i="1"/>
  <c r="CD1115" i="1"/>
  <c r="CC1115" i="1"/>
  <c r="CB1115" i="1"/>
  <c r="CA1115" i="1"/>
  <c r="BZ1115" i="1"/>
  <c r="BY1115" i="1"/>
  <c r="BX1115" i="1"/>
  <c r="BW1115" i="1"/>
  <c r="BV1115" i="1"/>
  <c r="BU1115" i="1"/>
  <c r="BT1115" i="1"/>
  <c r="BS1115" i="1"/>
  <c r="BR1115" i="1"/>
  <c r="BQ1115" i="1"/>
  <c r="BP1115" i="1"/>
  <c r="BO1115" i="1"/>
  <c r="BN1115" i="1"/>
  <c r="BM1115" i="1"/>
  <c r="BL1115" i="1"/>
  <c r="BK1115" i="1"/>
  <c r="BJ1115" i="1"/>
  <c r="BI1115" i="1"/>
  <c r="BH1115" i="1"/>
  <c r="BG1115" i="1"/>
  <c r="CE1114" i="1"/>
  <c r="CD1114" i="1"/>
  <c r="CC1114" i="1"/>
  <c r="CB1114" i="1"/>
  <c r="CA1114" i="1"/>
  <c r="BZ1114" i="1"/>
  <c r="BY1114" i="1"/>
  <c r="BX1114" i="1"/>
  <c r="BW1114" i="1"/>
  <c r="BV1114" i="1"/>
  <c r="BU1114" i="1"/>
  <c r="BT1114" i="1"/>
  <c r="BS1114" i="1"/>
  <c r="BR1114" i="1"/>
  <c r="BQ1114" i="1"/>
  <c r="BP1114" i="1"/>
  <c r="BO1114" i="1"/>
  <c r="BN1114" i="1"/>
  <c r="BM1114" i="1"/>
  <c r="BL1114" i="1"/>
  <c r="BK1114" i="1"/>
  <c r="BJ1114" i="1"/>
  <c r="BI1114" i="1"/>
  <c r="BH1114" i="1"/>
  <c r="BG1114" i="1"/>
  <c r="CE1113" i="1"/>
  <c r="CD1113" i="1"/>
  <c r="CC1113" i="1"/>
  <c r="CB1113" i="1"/>
  <c r="CA1113" i="1"/>
  <c r="BZ1113" i="1"/>
  <c r="BY1113" i="1"/>
  <c r="BX1113" i="1"/>
  <c r="BW1113" i="1"/>
  <c r="BV1113" i="1"/>
  <c r="BU1113" i="1"/>
  <c r="BT1113" i="1"/>
  <c r="BS1113" i="1"/>
  <c r="BR1113" i="1"/>
  <c r="BQ1113" i="1"/>
  <c r="BP1113" i="1"/>
  <c r="BO1113" i="1"/>
  <c r="BN1113" i="1"/>
  <c r="BM1113" i="1"/>
  <c r="BL1113" i="1"/>
  <c r="BK1113" i="1"/>
  <c r="BJ1113" i="1"/>
  <c r="BI1113" i="1"/>
  <c r="BH1113" i="1"/>
  <c r="BG1113" i="1"/>
  <c r="CE1112" i="1"/>
  <c r="CD1112" i="1"/>
  <c r="CC1112" i="1"/>
  <c r="CB1112" i="1"/>
  <c r="CA1112" i="1"/>
  <c r="BZ1112" i="1"/>
  <c r="BY1112" i="1"/>
  <c r="BX1112" i="1"/>
  <c r="BW1112" i="1"/>
  <c r="BV1112" i="1"/>
  <c r="BU1112" i="1"/>
  <c r="BT1112" i="1"/>
  <c r="BS1112" i="1"/>
  <c r="BR1112" i="1"/>
  <c r="BQ1112" i="1"/>
  <c r="BP1112" i="1"/>
  <c r="BO1112" i="1"/>
  <c r="BN1112" i="1"/>
  <c r="BM1112" i="1"/>
  <c r="BL1112" i="1"/>
  <c r="BK1112" i="1"/>
  <c r="BJ1112" i="1"/>
  <c r="BI1112" i="1"/>
  <c r="BH1112" i="1"/>
  <c r="BG1112" i="1"/>
  <c r="CE1111" i="1"/>
  <c r="CD1111" i="1"/>
  <c r="CC1111" i="1"/>
  <c r="CB1111" i="1"/>
  <c r="CA1111" i="1"/>
  <c r="BZ1111" i="1"/>
  <c r="BY1111" i="1"/>
  <c r="BX1111" i="1"/>
  <c r="BW1111" i="1"/>
  <c r="BV1111" i="1"/>
  <c r="BU1111" i="1"/>
  <c r="BT1111" i="1"/>
  <c r="BS1111" i="1"/>
  <c r="BR1111" i="1"/>
  <c r="BQ1111" i="1"/>
  <c r="BP1111" i="1"/>
  <c r="BO1111" i="1"/>
  <c r="BN1111" i="1"/>
  <c r="BM1111" i="1"/>
  <c r="BL1111" i="1"/>
  <c r="BK1111" i="1"/>
  <c r="BJ1111" i="1"/>
  <c r="BI1111" i="1"/>
  <c r="BH1111" i="1"/>
  <c r="BG1111" i="1"/>
  <c r="CE1110" i="1"/>
  <c r="CD1110" i="1"/>
  <c r="CC1110" i="1"/>
  <c r="CB1110" i="1"/>
  <c r="CA1110" i="1"/>
  <c r="BZ1110" i="1"/>
  <c r="BY1110" i="1"/>
  <c r="BX1110" i="1"/>
  <c r="BW1110" i="1"/>
  <c r="BV1110" i="1"/>
  <c r="BU1110" i="1"/>
  <c r="BT1110" i="1"/>
  <c r="BS1110" i="1"/>
  <c r="BR1110" i="1"/>
  <c r="BQ1110" i="1"/>
  <c r="BP1110" i="1"/>
  <c r="BO1110" i="1"/>
  <c r="BN1110" i="1"/>
  <c r="BM1110" i="1"/>
  <c r="BL1110" i="1"/>
  <c r="BK1110" i="1"/>
  <c r="BJ1110" i="1"/>
  <c r="BI1110" i="1"/>
  <c r="BH1110" i="1"/>
  <c r="BG1110" i="1"/>
  <c r="CE1109" i="1"/>
  <c r="CD1109" i="1"/>
  <c r="CC1109" i="1"/>
  <c r="CB1109" i="1"/>
  <c r="CA1109" i="1"/>
  <c r="BZ1109" i="1"/>
  <c r="BY1109" i="1"/>
  <c r="BX1109" i="1"/>
  <c r="BW1109" i="1"/>
  <c r="BV1109" i="1"/>
  <c r="BU1109" i="1"/>
  <c r="BT1109" i="1"/>
  <c r="BS1109" i="1"/>
  <c r="BR1109" i="1"/>
  <c r="BQ1109" i="1"/>
  <c r="BP1109" i="1"/>
  <c r="BO1109" i="1"/>
  <c r="BN1109" i="1"/>
  <c r="BM1109" i="1"/>
  <c r="BL1109" i="1"/>
  <c r="BK1109" i="1"/>
  <c r="BJ1109" i="1"/>
  <c r="BI1109" i="1"/>
  <c r="BH1109" i="1"/>
  <c r="BG1109" i="1"/>
  <c r="CE1108" i="1"/>
  <c r="CD1108" i="1"/>
  <c r="CC1108" i="1"/>
  <c r="CB1108" i="1"/>
  <c r="CA1108" i="1"/>
  <c r="BZ1108" i="1"/>
  <c r="BY1108" i="1"/>
  <c r="BX1108" i="1"/>
  <c r="BW1108" i="1"/>
  <c r="BV1108" i="1"/>
  <c r="BU1108" i="1"/>
  <c r="BT1108" i="1"/>
  <c r="BS1108" i="1"/>
  <c r="BR1108" i="1"/>
  <c r="BQ1108" i="1"/>
  <c r="BP1108" i="1"/>
  <c r="BO1108" i="1"/>
  <c r="BN1108" i="1"/>
  <c r="BM1108" i="1"/>
  <c r="BL1108" i="1"/>
  <c r="BK1108" i="1"/>
  <c r="BJ1108" i="1"/>
  <c r="BI1108" i="1"/>
  <c r="BH1108" i="1"/>
  <c r="BG1108" i="1"/>
  <c r="CE1107" i="1"/>
  <c r="CD1107" i="1"/>
  <c r="CC1107" i="1"/>
  <c r="CB1107" i="1"/>
  <c r="CA1107" i="1"/>
  <c r="BZ1107" i="1"/>
  <c r="BY1107" i="1"/>
  <c r="BX1107" i="1"/>
  <c r="BW1107" i="1"/>
  <c r="BV1107" i="1"/>
  <c r="BU1107" i="1"/>
  <c r="BT1107" i="1"/>
  <c r="BS1107" i="1"/>
  <c r="BR1107" i="1"/>
  <c r="BQ1107" i="1"/>
  <c r="BP1107" i="1"/>
  <c r="BO1107" i="1"/>
  <c r="BN1107" i="1"/>
  <c r="BM1107" i="1"/>
  <c r="BL1107" i="1"/>
  <c r="BK1107" i="1"/>
  <c r="BJ1107" i="1"/>
  <c r="BI1107" i="1"/>
  <c r="BH1107" i="1"/>
  <c r="BG1107" i="1"/>
  <c r="CE1106" i="1"/>
  <c r="CD1106" i="1"/>
  <c r="CC1106" i="1"/>
  <c r="CB1106" i="1"/>
  <c r="CA1106" i="1"/>
  <c r="BZ1106" i="1"/>
  <c r="BY1106" i="1"/>
  <c r="BX1106" i="1"/>
  <c r="BW1106" i="1"/>
  <c r="BV1106" i="1"/>
  <c r="BU1106" i="1"/>
  <c r="BT1106" i="1"/>
  <c r="BS1106" i="1"/>
  <c r="BR1106" i="1"/>
  <c r="BQ1106" i="1"/>
  <c r="BP1106" i="1"/>
  <c r="BO1106" i="1"/>
  <c r="BN1106" i="1"/>
  <c r="BM1106" i="1"/>
  <c r="BL1106" i="1"/>
  <c r="BK1106" i="1"/>
  <c r="BJ1106" i="1"/>
  <c r="BI1106" i="1"/>
  <c r="BH1106" i="1"/>
  <c r="BG1106" i="1"/>
  <c r="CE1105" i="1"/>
  <c r="CD1105" i="1"/>
  <c r="CC1105" i="1"/>
  <c r="CB1105" i="1"/>
  <c r="CA1105" i="1"/>
  <c r="BZ1105" i="1"/>
  <c r="BY1105" i="1"/>
  <c r="BX1105" i="1"/>
  <c r="BW1105" i="1"/>
  <c r="BV1105" i="1"/>
  <c r="BU1105" i="1"/>
  <c r="BT1105" i="1"/>
  <c r="BS1105" i="1"/>
  <c r="BR1105" i="1"/>
  <c r="BQ1105" i="1"/>
  <c r="BP1105" i="1"/>
  <c r="BO1105" i="1"/>
  <c r="BN1105" i="1"/>
  <c r="BM1105" i="1"/>
  <c r="BL1105" i="1"/>
  <c r="BK1105" i="1"/>
  <c r="BJ1105" i="1"/>
  <c r="BI1105" i="1"/>
  <c r="BH1105" i="1"/>
  <c r="BG1105" i="1"/>
  <c r="CE1104" i="1"/>
  <c r="CD1104" i="1"/>
  <c r="CC1104" i="1"/>
  <c r="CB1104" i="1"/>
  <c r="CA1104" i="1"/>
  <c r="BZ1104" i="1"/>
  <c r="BY1104" i="1"/>
  <c r="BX1104" i="1"/>
  <c r="BW1104" i="1"/>
  <c r="BV1104" i="1"/>
  <c r="BU1104" i="1"/>
  <c r="BT1104" i="1"/>
  <c r="BS1104" i="1"/>
  <c r="BR1104" i="1"/>
  <c r="BQ1104" i="1"/>
  <c r="BP1104" i="1"/>
  <c r="BO1104" i="1"/>
  <c r="BN1104" i="1"/>
  <c r="BM1104" i="1"/>
  <c r="BL1104" i="1"/>
  <c r="BK1104" i="1"/>
  <c r="BJ1104" i="1"/>
  <c r="BI1104" i="1"/>
  <c r="BH1104" i="1"/>
  <c r="BG1104" i="1"/>
  <c r="CE1103" i="1"/>
  <c r="CD1103" i="1"/>
  <c r="CC1103" i="1"/>
  <c r="CB1103" i="1"/>
  <c r="CA1103" i="1"/>
  <c r="BZ1103" i="1"/>
  <c r="BY1103" i="1"/>
  <c r="BX1103" i="1"/>
  <c r="BW1103" i="1"/>
  <c r="BV1103" i="1"/>
  <c r="BU1103" i="1"/>
  <c r="BT1103" i="1"/>
  <c r="BS1103" i="1"/>
  <c r="BR1103" i="1"/>
  <c r="BQ1103" i="1"/>
  <c r="BP1103" i="1"/>
  <c r="BO1103" i="1"/>
  <c r="BN1103" i="1"/>
  <c r="BM1103" i="1"/>
  <c r="BL1103" i="1"/>
  <c r="BK1103" i="1"/>
  <c r="BJ1103" i="1"/>
  <c r="BI1103" i="1"/>
  <c r="BH1103" i="1"/>
  <c r="BG1103" i="1"/>
  <c r="CE1102" i="1"/>
  <c r="CD1102" i="1"/>
  <c r="CC1102" i="1"/>
  <c r="CB1102" i="1"/>
  <c r="CA1102" i="1"/>
  <c r="BZ1102" i="1"/>
  <c r="BY1102" i="1"/>
  <c r="BX1102" i="1"/>
  <c r="BW1102" i="1"/>
  <c r="BV1102" i="1"/>
  <c r="BU1102" i="1"/>
  <c r="BT1102" i="1"/>
  <c r="BS1102" i="1"/>
  <c r="BR1102" i="1"/>
  <c r="BQ1102" i="1"/>
  <c r="BP1102" i="1"/>
  <c r="BO1102" i="1"/>
  <c r="BN1102" i="1"/>
  <c r="BM1102" i="1"/>
  <c r="BL1102" i="1"/>
  <c r="BK1102" i="1"/>
  <c r="BJ1102" i="1"/>
  <c r="BI1102" i="1"/>
  <c r="BH1102" i="1"/>
  <c r="BG1102" i="1"/>
  <c r="CE1101" i="1"/>
  <c r="CD1101" i="1"/>
  <c r="CC1101" i="1"/>
  <c r="CB1101" i="1"/>
  <c r="CA1101" i="1"/>
  <c r="BZ1101" i="1"/>
  <c r="BY1101" i="1"/>
  <c r="BX1101" i="1"/>
  <c r="BW1101" i="1"/>
  <c r="BV1101" i="1"/>
  <c r="BU1101" i="1"/>
  <c r="BT1101" i="1"/>
  <c r="BS1101" i="1"/>
  <c r="BR1101" i="1"/>
  <c r="BQ1101" i="1"/>
  <c r="BP1101" i="1"/>
  <c r="BO1101" i="1"/>
  <c r="BN1101" i="1"/>
  <c r="BM1101" i="1"/>
  <c r="BL1101" i="1"/>
  <c r="BK1101" i="1"/>
  <c r="BJ1101" i="1"/>
  <c r="BI1101" i="1"/>
  <c r="BH1101" i="1"/>
  <c r="BG1101" i="1"/>
  <c r="CE1100" i="1"/>
  <c r="CD1100" i="1"/>
  <c r="CC1100" i="1"/>
  <c r="CB1100" i="1"/>
  <c r="CA1100" i="1"/>
  <c r="BZ1100" i="1"/>
  <c r="BY1100" i="1"/>
  <c r="BX1100" i="1"/>
  <c r="BW1100" i="1"/>
  <c r="BV1100" i="1"/>
  <c r="BU1100" i="1"/>
  <c r="BT1100" i="1"/>
  <c r="BS1100" i="1"/>
  <c r="BR1100" i="1"/>
  <c r="BQ1100" i="1"/>
  <c r="BP1100" i="1"/>
  <c r="BO1100" i="1"/>
  <c r="BN1100" i="1"/>
  <c r="BM1100" i="1"/>
  <c r="BL1100" i="1"/>
  <c r="BK1100" i="1"/>
  <c r="BJ1100" i="1"/>
  <c r="BI1100" i="1"/>
  <c r="BH1100" i="1"/>
  <c r="BG1100" i="1"/>
  <c r="CE1099" i="1"/>
  <c r="CD1099" i="1"/>
  <c r="CC1099" i="1"/>
  <c r="CB1099" i="1"/>
  <c r="CA1099" i="1"/>
  <c r="BZ1099" i="1"/>
  <c r="BY1099" i="1"/>
  <c r="BX1099" i="1"/>
  <c r="BW1099" i="1"/>
  <c r="BV1099" i="1"/>
  <c r="BU1099" i="1"/>
  <c r="BT1099" i="1"/>
  <c r="BS1099" i="1"/>
  <c r="BR1099" i="1"/>
  <c r="BQ1099" i="1"/>
  <c r="BP1099" i="1"/>
  <c r="BO1099" i="1"/>
  <c r="BN1099" i="1"/>
  <c r="BM1099" i="1"/>
  <c r="BL1099" i="1"/>
  <c r="BK1099" i="1"/>
  <c r="BJ1099" i="1"/>
  <c r="BI1099" i="1"/>
  <c r="BH1099" i="1"/>
  <c r="BG1099" i="1"/>
  <c r="CE1098" i="1"/>
  <c r="CD1098" i="1"/>
  <c r="CC1098" i="1"/>
  <c r="CB1098" i="1"/>
  <c r="CA1098" i="1"/>
  <c r="BZ1098" i="1"/>
  <c r="BY1098" i="1"/>
  <c r="BX1098" i="1"/>
  <c r="BW1098" i="1"/>
  <c r="BV1098" i="1"/>
  <c r="BU1098" i="1"/>
  <c r="BT1098" i="1"/>
  <c r="BS1098" i="1"/>
  <c r="BR1098" i="1"/>
  <c r="BQ1098" i="1"/>
  <c r="BP1098" i="1"/>
  <c r="BO1098" i="1"/>
  <c r="BN1098" i="1"/>
  <c r="BM1098" i="1"/>
  <c r="BL1098" i="1"/>
  <c r="BK1098" i="1"/>
  <c r="BJ1098" i="1"/>
  <c r="BI1098" i="1"/>
  <c r="BH1098" i="1"/>
  <c r="BG1098" i="1"/>
  <c r="CE1097" i="1"/>
  <c r="CD1097" i="1"/>
  <c r="CC1097" i="1"/>
  <c r="CB1097" i="1"/>
  <c r="CA1097" i="1"/>
  <c r="BZ1097" i="1"/>
  <c r="BY1097" i="1"/>
  <c r="BX1097" i="1"/>
  <c r="BW1097" i="1"/>
  <c r="BV1097" i="1"/>
  <c r="BU1097" i="1"/>
  <c r="BT1097" i="1"/>
  <c r="BS1097" i="1"/>
  <c r="BR1097" i="1"/>
  <c r="BQ1097" i="1"/>
  <c r="BP1097" i="1"/>
  <c r="BO1097" i="1"/>
  <c r="BN1097" i="1"/>
  <c r="BM1097" i="1"/>
  <c r="BL1097" i="1"/>
  <c r="BK1097" i="1"/>
  <c r="BJ1097" i="1"/>
  <c r="BI1097" i="1"/>
  <c r="BH1097" i="1"/>
  <c r="BG1097" i="1"/>
  <c r="CE1096" i="1"/>
  <c r="CD1096" i="1"/>
  <c r="CC1096" i="1"/>
  <c r="CB1096" i="1"/>
  <c r="CA1096" i="1"/>
  <c r="BZ1096" i="1"/>
  <c r="BY1096" i="1"/>
  <c r="BX1096" i="1"/>
  <c r="BW1096" i="1"/>
  <c r="BV1096" i="1"/>
  <c r="BU1096" i="1"/>
  <c r="BT1096" i="1"/>
  <c r="BS1096" i="1"/>
  <c r="BR1096" i="1"/>
  <c r="BQ1096" i="1"/>
  <c r="BP1096" i="1"/>
  <c r="BO1096" i="1"/>
  <c r="BN1096" i="1"/>
  <c r="BM1096" i="1"/>
  <c r="BL1096" i="1"/>
  <c r="BK1096" i="1"/>
  <c r="BJ1096" i="1"/>
  <c r="BI1096" i="1"/>
  <c r="BH1096" i="1"/>
  <c r="BG1096" i="1"/>
  <c r="CE1095" i="1"/>
  <c r="CD1095" i="1"/>
  <c r="CC1095" i="1"/>
  <c r="CB1095" i="1"/>
  <c r="CA1095" i="1"/>
  <c r="BZ1095" i="1"/>
  <c r="BY1095" i="1"/>
  <c r="BX1095" i="1"/>
  <c r="BW1095" i="1"/>
  <c r="BV1095" i="1"/>
  <c r="BU1095" i="1"/>
  <c r="BT1095" i="1"/>
  <c r="BS1095" i="1"/>
  <c r="BR1095" i="1"/>
  <c r="BQ1095" i="1"/>
  <c r="BP1095" i="1"/>
  <c r="BO1095" i="1"/>
  <c r="BN1095" i="1"/>
  <c r="BM1095" i="1"/>
  <c r="BL1095" i="1"/>
  <c r="BK1095" i="1"/>
  <c r="BJ1095" i="1"/>
  <c r="BI1095" i="1"/>
  <c r="BH1095" i="1"/>
  <c r="BG1095" i="1"/>
  <c r="CE1094" i="1"/>
  <c r="CD1094" i="1"/>
  <c r="CC1094" i="1"/>
  <c r="CB1094" i="1"/>
  <c r="CA1094" i="1"/>
  <c r="BZ1094" i="1"/>
  <c r="BY1094" i="1"/>
  <c r="BX1094" i="1"/>
  <c r="BW1094" i="1"/>
  <c r="BV1094" i="1"/>
  <c r="BU1094" i="1"/>
  <c r="BT1094" i="1"/>
  <c r="BS1094" i="1"/>
  <c r="BR1094" i="1"/>
  <c r="BQ1094" i="1"/>
  <c r="BP1094" i="1"/>
  <c r="BO1094" i="1"/>
  <c r="BN1094" i="1"/>
  <c r="BM1094" i="1"/>
  <c r="BL1094" i="1"/>
  <c r="BK1094" i="1"/>
  <c r="BJ1094" i="1"/>
  <c r="BI1094" i="1"/>
  <c r="BH1094" i="1"/>
  <c r="BG1094" i="1"/>
  <c r="CE1093" i="1"/>
  <c r="CD1093" i="1"/>
  <c r="CC1093" i="1"/>
  <c r="CB1093" i="1"/>
  <c r="CA1093" i="1"/>
  <c r="BZ1093" i="1"/>
  <c r="BY1093" i="1"/>
  <c r="BX1093" i="1"/>
  <c r="BW1093" i="1"/>
  <c r="BV1093" i="1"/>
  <c r="BU1093" i="1"/>
  <c r="BT1093" i="1"/>
  <c r="BS1093" i="1"/>
  <c r="BR1093" i="1"/>
  <c r="BQ1093" i="1"/>
  <c r="BP1093" i="1"/>
  <c r="BO1093" i="1"/>
  <c r="BN1093" i="1"/>
  <c r="BM1093" i="1"/>
  <c r="BL1093" i="1"/>
  <c r="BK1093" i="1"/>
  <c r="BJ1093" i="1"/>
  <c r="BI1093" i="1"/>
  <c r="BH1093" i="1"/>
  <c r="BG1093" i="1"/>
  <c r="CE1092" i="1"/>
  <c r="CD1092" i="1"/>
  <c r="CC1092" i="1"/>
  <c r="CB1092" i="1"/>
  <c r="CA1092" i="1"/>
  <c r="BZ1092" i="1"/>
  <c r="BY1092" i="1"/>
  <c r="BX1092" i="1"/>
  <c r="BW1092" i="1"/>
  <c r="BV1092" i="1"/>
  <c r="BU1092" i="1"/>
  <c r="BT1092" i="1"/>
  <c r="BS1092" i="1"/>
  <c r="BR1092" i="1"/>
  <c r="BQ1092" i="1"/>
  <c r="BP1092" i="1"/>
  <c r="BO1092" i="1"/>
  <c r="BN1092" i="1"/>
  <c r="BM1092" i="1"/>
  <c r="BL1092" i="1"/>
  <c r="BK1092" i="1"/>
  <c r="BJ1092" i="1"/>
  <c r="BI1092" i="1"/>
  <c r="BH1092" i="1"/>
  <c r="BG1092" i="1"/>
  <c r="CE1091" i="1"/>
  <c r="CD1091" i="1"/>
  <c r="CC1091" i="1"/>
  <c r="CB1091" i="1"/>
  <c r="CA1091" i="1"/>
  <c r="BZ1091" i="1"/>
  <c r="BY1091" i="1"/>
  <c r="BX1091" i="1"/>
  <c r="BW1091" i="1"/>
  <c r="BV1091" i="1"/>
  <c r="BU1091" i="1"/>
  <c r="BT1091" i="1"/>
  <c r="BS1091" i="1"/>
  <c r="BR1091" i="1"/>
  <c r="BQ1091" i="1"/>
  <c r="BP1091" i="1"/>
  <c r="BO1091" i="1"/>
  <c r="BN1091" i="1"/>
  <c r="BM1091" i="1"/>
  <c r="BL1091" i="1"/>
  <c r="BK1091" i="1"/>
  <c r="BJ1091" i="1"/>
  <c r="BI1091" i="1"/>
  <c r="BH1091" i="1"/>
  <c r="BG1091" i="1"/>
  <c r="CE1090" i="1"/>
  <c r="CD1090" i="1"/>
  <c r="CC1090" i="1"/>
  <c r="CB1090" i="1"/>
  <c r="CA1090" i="1"/>
  <c r="BZ1090" i="1"/>
  <c r="BY1090" i="1"/>
  <c r="BX1090" i="1"/>
  <c r="BW1090" i="1"/>
  <c r="BV1090" i="1"/>
  <c r="BU1090" i="1"/>
  <c r="BT1090" i="1"/>
  <c r="BS1090" i="1"/>
  <c r="BR1090" i="1"/>
  <c r="BQ1090" i="1"/>
  <c r="BP1090" i="1"/>
  <c r="BO1090" i="1"/>
  <c r="BN1090" i="1"/>
  <c r="BM1090" i="1"/>
  <c r="BL1090" i="1"/>
  <c r="BK1090" i="1"/>
  <c r="BJ1090" i="1"/>
  <c r="BI1090" i="1"/>
  <c r="BH1090" i="1"/>
  <c r="BG1090" i="1"/>
  <c r="CE1089" i="1"/>
  <c r="CD1089" i="1"/>
  <c r="CC1089" i="1"/>
  <c r="CB1089" i="1"/>
  <c r="CA1089" i="1"/>
  <c r="BZ1089" i="1"/>
  <c r="BY1089" i="1"/>
  <c r="BX1089" i="1"/>
  <c r="BW1089" i="1"/>
  <c r="BV1089" i="1"/>
  <c r="BU1089" i="1"/>
  <c r="BT1089" i="1"/>
  <c r="BS1089" i="1"/>
  <c r="BR1089" i="1"/>
  <c r="BQ1089" i="1"/>
  <c r="BP1089" i="1"/>
  <c r="BO1089" i="1"/>
  <c r="BN1089" i="1"/>
  <c r="BM1089" i="1"/>
  <c r="BL1089" i="1"/>
  <c r="BK1089" i="1"/>
  <c r="BJ1089" i="1"/>
  <c r="BI1089" i="1"/>
  <c r="BH1089" i="1"/>
  <c r="BG1089" i="1"/>
  <c r="CE1088" i="1"/>
  <c r="CD1088" i="1"/>
  <c r="CC1088" i="1"/>
  <c r="CB1088" i="1"/>
  <c r="CA1088" i="1"/>
  <c r="BZ1088" i="1"/>
  <c r="BY1088" i="1"/>
  <c r="BX1088" i="1"/>
  <c r="BW1088" i="1"/>
  <c r="BV1088" i="1"/>
  <c r="BU1088" i="1"/>
  <c r="BT1088" i="1"/>
  <c r="BS1088" i="1"/>
  <c r="BR1088" i="1"/>
  <c r="BQ1088" i="1"/>
  <c r="BP1088" i="1"/>
  <c r="BO1088" i="1"/>
  <c r="BN1088" i="1"/>
  <c r="BM1088" i="1"/>
  <c r="BL1088" i="1"/>
  <c r="BK1088" i="1"/>
  <c r="BJ1088" i="1"/>
  <c r="BI1088" i="1"/>
  <c r="BH1088" i="1"/>
  <c r="BG1088" i="1"/>
  <c r="CE1087" i="1"/>
  <c r="CD1087" i="1"/>
  <c r="CC1087" i="1"/>
  <c r="CB1087" i="1"/>
  <c r="CA1087" i="1"/>
  <c r="BZ1087" i="1"/>
  <c r="BY1087" i="1"/>
  <c r="BX1087" i="1"/>
  <c r="BW1087" i="1"/>
  <c r="BV1087" i="1"/>
  <c r="BU1087" i="1"/>
  <c r="BT1087" i="1"/>
  <c r="BS1087" i="1"/>
  <c r="BR1087" i="1"/>
  <c r="BQ1087" i="1"/>
  <c r="BP1087" i="1"/>
  <c r="BO1087" i="1"/>
  <c r="BN1087" i="1"/>
  <c r="BM1087" i="1"/>
  <c r="BL1087" i="1"/>
  <c r="BK1087" i="1"/>
  <c r="BJ1087" i="1"/>
  <c r="BI1087" i="1"/>
  <c r="BH1087" i="1"/>
  <c r="BG1087" i="1"/>
  <c r="CE1086" i="1"/>
  <c r="CD1086" i="1"/>
  <c r="CC1086" i="1"/>
  <c r="CB1086" i="1"/>
  <c r="CA1086" i="1"/>
  <c r="BZ1086" i="1"/>
  <c r="BY1086" i="1"/>
  <c r="BX1086" i="1"/>
  <c r="BW1086" i="1"/>
  <c r="BV1086" i="1"/>
  <c r="BU1086" i="1"/>
  <c r="BT1086" i="1"/>
  <c r="BS1086" i="1"/>
  <c r="BR1086" i="1"/>
  <c r="BQ1086" i="1"/>
  <c r="BP1086" i="1"/>
  <c r="BO1086" i="1"/>
  <c r="BN1086" i="1"/>
  <c r="BM1086" i="1"/>
  <c r="BL1086" i="1"/>
  <c r="BK1086" i="1"/>
  <c r="BJ1086" i="1"/>
  <c r="BI1086" i="1"/>
  <c r="BH1086" i="1"/>
  <c r="BG1086" i="1"/>
  <c r="CE1085" i="1"/>
  <c r="CD1085" i="1"/>
  <c r="CC1085" i="1"/>
  <c r="CB1085" i="1"/>
  <c r="CA1085" i="1"/>
  <c r="BZ1085" i="1"/>
  <c r="BY1085" i="1"/>
  <c r="BX1085" i="1"/>
  <c r="BW1085" i="1"/>
  <c r="BV1085" i="1"/>
  <c r="BU1085" i="1"/>
  <c r="BT1085" i="1"/>
  <c r="BS1085" i="1"/>
  <c r="BR1085" i="1"/>
  <c r="BQ1085" i="1"/>
  <c r="BP1085" i="1"/>
  <c r="BO1085" i="1"/>
  <c r="BN1085" i="1"/>
  <c r="BM1085" i="1"/>
  <c r="BL1085" i="1"/>
  <c r="BK1085" i="1"/>
  <c r="BJ1085" i="1"/>
  <c r="BI1085" i="1"/>
  <c r="BH1085" i="1"/>
  <c r="BG1085" i="1"/>
  <c r="CE1084" i="1"/>
  <c r="CD1084" i="1"/>
  <c r="CC1084" i="1"/>
  <c r="CB1084" i="1"/>
  <c r="CA1084" i="1"/>
  <c r="BZ1084" i="1"/>
  <c r="BY1084" i="1"/>
  <c r="BX1084" i="1"/>
  <c r="BW1084" i="1"/>
  <c r="BV1084" i="1"/>
  <c r="BU1084" i="1"/>
  <c r="BT1084" i="1"/>
  <c r="BS1084" i="1"/>
  <c r="BR1084" i="1"/>
  <c r="BQ1084" i="1"/>
  <c r="BP1084" i="1"/>
  <c r="BO1084" i="1"/>
  <c r="BN1084" i="1"/>
  <c r="BM1084" i="1"/>
  <c r="BL1084" i="1"/>
  <c r="BK1084" i="1"/>
  <c r="BJ1084" i="1"/>
  <c r="BI1084" i="1"/>
  <c r="BH1084" i="1"/>
  <c r="BG1084" i="1"/>
  <c r="CE1083" i="1"/>
  <c r="CD1083" i="1"/>
  <c r="CC1083" i="1"/>
  <c r="CB1083" i="1"/>
  <c r="CA1083" i="1"/>
  <c r="BZ1083" i="1"/>
  <c r="BY1083" i="1"/>
  <c r="BX1083" i="1"/>
  <c r="BW1083" i="1"/>
  <c r="BV1083" i="1"/>
  <c r="BU1083" i="1"/>
  <c r="BT1083" i="1"/>
  <c r="BS1083" i="1"/>
  <c r="BR1083" i="1"/>
  <c r="BQ1083" i="1"/>
  <c r="BP1083" i="1"/>
  <c r="BO1083" i="1"/>
  <c r="BN1083" i="1"/>
  <c r="BM1083" i="1"/>
  <c r="BL1083" i="1"/>
  <c r="BK1083" i="1"/>
  <c r="BJ1083" i="1"/>
  <c r="BI1083" i="1"/>
  <c r="BH1083" i="1"/>
  <c r="BG1083" i="1"/>
  <c r="CE1082" i="1"/>
  <c r="CD1082" i="1"/>
  <c r="CC1082" i="1"/>
  <c r="CB1082" i="1"/>
  <c r="CA1082" i="1"/>
  <c r="BZ1082" i="1"/>
  <c r="BY1082" i="1"/>
  <c r="BX1082" i="1"/>
  <c r="BW1082" i="1"/>
  <c r="BV1082" i="1"/>
  <c r="BU1082" i="1"/>
  <c r="BT1082" i="1"/>
  <c r="BS1082" i="1"/>
  <c r="BR1082" i="1"/>
  <c r="BQ1082" i="1"/>
  <c r="BP1082" i="1"/>
  <c r="BO1082" i="1"/>
  <c r="BN1082" i="1"/>
  <c r="BM1082" i="1"/>
  <c r="BL1082" i="1"/>
  <c r="BK1082" i="1"/>
  <c r="BJ1082" i="1"/>
  <c r="BI1082" i="1"/>
  <c r="BH1082" i="1"/>
  <c r="BG1082" i="1"/>
  <c r="CE1081" i="1"/>
  <c r="CD1081" i="1"/>
  <c r="CC1081" i="1"/>
  <c r="CB1081" i="1"/>
  <c r="CA1081" i="1"/>
  <c r="BZ1081" i="1"/>
  <c r="BY1081" i="1"/>
  <c r="BX1081" i="1"/>
  <c r="BW1081" i="1"/>
  <c r="BV1081" i="1"/>
  <c r="BU1081" i="1"/>
  <c r="BT1081" i="1"/>
  <c r="BS1081" i="1"/>
  <c r="BR1081" i="1"/>
  <c r="BQ1081" i="1"/>
  <c r="BP1081" i="1"/>
  <c r="BO1081" i="1"/>
  <c r="BN1081" i="1"/>
  <c r="BM1081" i="1"/>
  <c r="BL1081" i="1"/>
  <c r="BK1081" i="1"/>
  <c r="BJ1081" i="1"/>
  <c r="BI1081" i="1"/>
  <c r="BH1081" i="1"/>
  <c r="BG1081" i="1"/>
  <c r="CE1080" i="1"/>
  <c r="CD1080" i="1"/>
  <c r="CC1080" i="1"/>
  <c r="CB1080" i="1"/>
  <c r="CA1080" i="1"/>
  <c r="BZ1080" i="1"/>
  <c r="BY1080" i="1"/>
  <c r="BX1080" i="1"/>
  <c r="BW1080" i="1"/>
  <c r="BV1080" i="1"/>
  <c r="BU1080" i="1"/>
  <c r="BT1080" i="1"/>
  <c r="BS1080" i="1"/>
  <c r="BR1080" i="1"/>
  <c r="BQ1080" i="1"/>
  <c r="BP1080" i="1"/>
  <c r="BO1080" i="1"/>
  <c r="BN1080" i="1"/>
  <c r="BM1080" i="1"/>
  <c r="BL1080" i="1"/>
  <c r="BK1080" i="1"/>
  <c r="BJ1080" i="1"/>
  <c r="BI1080" i="1"/>
  <c r="BH1080" i="1"/>
  <c r="BG1080" i="1"/>
  <c r="CE1079" i="1"/>
  <c r="CD1079" i="1"/>
  <c r="CC1079" i="1"/>
  <c r="CB1079" i="1"/>
  <c r="CA1079" i="1"/>
  <c r="BZ1079" i="1"/>
  <c r="BY1079" i="1"/>
  <c r="BX1079" i="1"/>
  <c r="BW1079" i="1"/>
  <c r="BV1079" i="1"/>
  <c r="BU1079" i="1"/>
  <c r="BT1079" i="1"/>
  <c r="BS1079" i="1"/>
  <c r="BR1079" i="1"/>
  <c r="BQ1079" i="1"/>
  <c r="BP1079" i="1"/>
  <c r="BO1079" i="1"/>
  <c r="BN1079" i="1"/>
  <c r="BM1079" i="1"/>
  <c r="BL1079" i="1"/>
  <c r="BK1079" i="1"/>
  <c r="BJ1079" i="1"/>
  <c r="BI1079" i="1"/>
  <c r="BH1079" i="1"/>
  <c r="BG1079" i="1"/>
  <c r="CE1078" i="1"/>
  <c r="CD1078" i="1"/>
  <c r="CC1078" i="1"/>
  <c r="CB1078" i="1"/>
  <c r="CA1078" i="1"/>
  <c r="BZ1078" i="1"/>
  <c r="BY1078" i="1"/>
  <c r="BX1078" i="1"/>
  <c r="BW1078" i="1"/>
  <c r="BV1078" i="1"/>
  <c r="BU1078" i="1"/>
  <c r="BT1078" i="1"/>
  <c r="BS1078" i="1"/>
  <c r="BR1078" i="1"/>
  <c r="BQ1078" i="1"/>
  <c r="BP1078" i="1"/>
  <c r="BO1078" i="1"/>
  <c r="BN1078" i="1"/>
  <c r="BM1078" i="1"/>
  <c r="BL1078" i="1"/>
  <c r="BK1078" i="1"/>
  <c r="BJ1078" i="1"/>
  <c r="BI1078" i="1"/>
  <c r="BH1078" i="1"/>
  <c r="BG1078" i="1"/>
  <c r="CE1077" i="1"/>
  <c r="CD1077" i="1"/>
  <c r="CC1077" i="1"/>
  <c r="CB1077" i="1"/>
  <c r="CA1077" i="1"/>
  <c r="BZ1077" i="1"/>
  <c r="BY1077" i="1"/>
  <c r="BX1077" i="1"/>
  <c r="BW1077" i="1"/>
  <c r="BV1077" i="1"/>
  <c r="BU1077" i="1"/>
  <c r="BT1077" i="1"/>
  <c r="BS1077" i="1"/>
  <c r="BR1077" i="1"/>
  <c r="BQ1077" i="1"/>
  <c r="BP1077" i="1"/>
  <c r="BO1077" i="1"/>
  <c r="BN1077" i="1"/>
  <c r="BM1077" i="1"/>
  <c r="BL1077" i="1"/>
  <c r="BK1077" i="1"/>
  <c r="BJ1077" i="1"/>
  <c r="BI1077" i="1"/>
  <c r="BH1077" i="1"/>
  <c r="BG1077" i="1"/>
  <c r="CE1076" i="1"/>
  <c r="CD1076" i="1"/>
  <c r="CC1076" i="1"/>
  <c r="CB1076" i="1"/>
  <c r="CA1076" i="1"/>
  <c r="BZ1076" i="1"/>
  <c r="BY1076" i="1"/>
  <c r="BX1076" i="1"/>
  <c r="BW1076" i="1"/>
  <c r="BV1076" i="1"/>
  <c r="BU1076" i="1"/>
  <c r="BT1076" i="1"/>
  <c r="BS1076" i="1"/>
  <c r="BR1076" i="1"/>
  <c r="BQ1076" i="1"/>
  <c r="BP1076" i="1"/>
  <c r="BO1076" i="1"/>
  <c r="BN1076" i="1"/>
  <c r="BM1076" i="1"/>
  <c r="BL1076" i="1"/>
  <c r="BK1076" i="1"/>
  <c r="BJ1076" i="1"/>
  <c r="BI1076" i="1"/>
  <c r="BH1076" i="1"/>
  <c r="BG1076" i="1"/>
  <c r="CE1075" i="1"/>
  <c r="CD1075" i="1"/>
  <c r="CC1075" i="1"/>
  <c r="CB1075" i="1"/>
  <c r="CA1075" i="1"/>
  <c r="BZ1075" i="1"/>
  <c r="BY1075" i="1"/>
  <c r="BX1075" i="1"/>
  <c r="BW1075" i="1"/>
  <c r="BV1075" i="1"/>
  <c r="BU1075" i="1"/>
  <c r="BT1075" i="1"/>
  <c r="BS1075" i="1"/>
  <c r="BR1075" i="1"/>
  <c r="BQ1075" i="1"/>
  <c r="BP1075" i="1"/>
  <c r="BO1075" i="1"/>
  <c r="BN1075" i="1"/>
  <c r="BM1075" i="1"/>
  <c r="BL1075" i="1"/>
  <c r="BK1075" i="1"/>
  <c r="BJ1075" i="1"/>
  <c r="BI1075" i="1"/>
  <c r="BH1075" i="1"/>
  <c r="BG1075" i="1"/>
  <c r="CE1074" i="1"/>
  <c r="CD1074" i="1"/>
  <c r="CC1074" i="1"/>
  <c r="CB1074" i="1"/>
  <c r="CA1074" i="1"/>
  <c r="BZ1074" i="1"/>
  <c r="BY1074" i="1"/>
  <c r="BX1074" i="1"/>
  <c r="BW1074" i="1"/>
  <c r="BV1074" i="1"/>
  <c r="BU1074" i="1"/>
  <c r="BT1074" i="1"/>
  <c r="BS1074" i="1"/>
  <c r="BR1074" i="1"/>
  <c r="BQ1074" i="1"/>
  <c r="BP1074" i="1"/>
  <c r="BO1074" i="1"/>
  <c r="BN1074" i="1"/>
  <c r="BM1074" i="1"/>
  <c r="BL1074" i="1"/>
  <c r="BK1074" i="1"/>
  <c r="BJ1074" i="1"/>
  <c r="BI1074" i="1"/>
  <c r="BH1074" i="1"/>
  <c r="BG1074" i="1"/>
  <c r="CE1073" i="1"/>
  <c r="CD1073" i="1"/>
  <c r="CC1073" i="1"/>
  <c r="CB1073" i="1"/>
  <c r="CA1073" i="1"/>
  <c r="BZ1073" i="1"/>
  <c r="BY1073" i="1"/>
  <c r="BX1073" i="1"/>
  <c r="BW1073" i="1"/>
  <c r="BV1073" i="1"/>
  <c r="BU1073" i="1"/>
  <c r="BT1073" i="1"/>
  <c r="BS1073" i="1"/>
  <c r="BR1073" i="1"/>
  <c r="BQ1073" i="1"/>
  <c r="BP1073" i="1"/>
  <c r="BO1073" i="1"/>
  <c r="BN1073" i="1"/>
  <c r="BM1073" i="1"/>
  <c r="BL1073" i="1"/>
  <c r="BK1073" i="1"/>
  <c r="BJ1073" i="1"/>
  <c r="BI1073" i="1"/>
  <c r="BH1073" i="1"/>
  <c r="BG1073" i="1"/>
  <c r="CE1072" i="1"/>
  <c r="CD1072" i="1"/>
  <c r="CC1072" i="1"/>
  <c r="CB1072" i="1"/>
  <c r="CA1072" i="1"/>
  <c r="BZ1072" i="1"/>
  <c r="BY1072" i="1"/>
  <c r="BX1072" i="1"/>
  <c r="BW1072" i="1"/>
  <c r="BV1072" i="1"/>
  <c r="BU1072" i="1"/>
  <c r="BT1072" i="1"/>
  <c r="BS1072" i="1"/>
  <c r="BR1072" i="1"/>
  <c r="BQ1072" i="1"/>
  <c r="BP1072" i="1"/>
  <c r="BO1072" i="1"/>
  <c r="BN1072" i="1"/>
  <c r="BM1072" i="1"/>
  <c r="BL1072" i="1"/>
  <c r="BK1072" i="1"/>
  <c r="BJ1072" i="1"/>
  <c r="BI1072" i="1"/>
  <c r="BH1072" i="1"/>
  <c r="BG1072" i="1"/>
  <c r="CE1071" i="1"/>
  <c r="CD1071" i="1"/>
  <c r="CC1071" i="1"/>
  <c r="CB1071" i="1"/>
  <c r="CA1071" i="1"/>
  <c r="BZ1071" i="1"/>
  <c r="BY1071" i="1"/>
  <c r="BX1071" i="1"/>
  <c r="BW1071" i="1"/>
  <c r="BV1071" i="1"/>
  <c r="BU1071" i="1"/>
  <c r="BT1071" i="1"/>
  <c r="BS1071" i="1"/>
  <c r="BR1071" i="1"/>
  <c r="BQ1071" i="1"/>
  <c r="BP1071" i="1"/>
  <c r="BO1071" i="1"/>
  <c r="BN1071" i="1"/>
  <c r="BM1071" i="1"/>
  <c r="BL1071" i="1"/>
  <c r="BK1071" i="1"/>
  <c r="BJ1071" i="1"/>
  <c r="BI1071" i="1"/>
  <c r="BH1071" i="1"/>
  <c r="BG1071" i="1"/>
  <c r="CE1070" i="1"/>
  <c r="CD1070" i="1"/>
  <c r="CC1070" i="1"/>
  <c r="CB1070" i="1"/>
  <c r="CA1070" i="1"/>
  <c r="BZ1070" i="1"/>
  <c r="BY1070" i="1"/>
  <c r="BX1070" i="1"/>
  <c r="BW1070" i="1"/>
  <c r="BV1070" i="1"/>
  <c r="BU1070" i="1"/>
  <c r="BT1070" i="1"/>
  <c r="BS1070" i="1"/>
  <c r="BR1070" i="1"/>
  <c r="BQ1070" i="1"/>
  <c r="BP1070" i="1"/>
  <c r="BO1070" i="1"/>
  <c r="BN1070" i="1"/>
  <c r="BM1070" i="1"/>
  <c r="BL1070" i="1"/>
  <c r="BK1070" i="1"/>
  <c r="BJ1070" i="1"/>
  <c r="BI1070" i="1"/>
  <c r="BH1070" i="1"/>
  <c r="BG1070" i="1"/>
  <c r="CE1069" i="1"/>
  <c r="CD1069" i="1"/>
  <c r="CC1069" i="1"/>
  <c r="CB1069" i="1"/>
  <c r="CA1069" i="1"/>
  <c r="BZ1069" i="1"/>
  <c r="BY1069" i="1"/>
  <c r="BX1069" i="1"/>
  <c r="BW1069" i="1"/>
  <c r="BV1069" i="1"/>
  <c r="BU1069" i="1"/>
  <c r="BT1069" i="1"/>
  <c r="BS1069" i="1"/>
  <c r="BR1069" i="1"/>
  <c r="BQ1069" i="1"/>
  <c r="BP1069" i="1"/>
  <c r="BO1069" i="1"/>
  <c r="BN1069" i="1"/>
  <c r="BM1069" i="1"/>
  <c r="BL1069" i="1"/>
  <c r="BK1069" i="1"/>
  <c r="BJ1069" i="1"/>
  <c r="BI1069" i="1"/>
  <c r="BH1069" i="1"/>
  <c r="BG1069" i="1"/>
  <c r="CE1068" i="1"/>
  <c r="CD1068" i="1"/>
  <c r="CC1068" i="1"/>
  <c r="CB1068" i="1"/>
  <c r="CA1068" i="1"/>
  <c r="BZ1068" i="1"/>
  <c r="BY1068" i="1"/>
  <c r="BX1068" i="1"/>
  <c r="BW1068" i="1"/>
  <c r="BV1068" i="1"/>
  <c r="BU1068" i="1"/>
  <c r="BT1068" i="1"/>
  <c r="BS1068" i="1"/>
  <c r="BR1068" i="1"/>
  <c r="BQ1068" i="1"/>
  <c r="BP1068" i="1"/>
  <c r="BO1068" i="1"/>
  <c r="BN1068" i="1"/>
  <c r="BM1068" i="1"/>
  <c r="BL1068" i="1"/>
  <c r="BK1068" i="1"/>
  <c r="BJ1068" i="1"/>
  <c r="BI1068" i="1"/>
  <c r="BH1068" i="1"/>
  <c r="BG1068" i="1"/>
  <c r="CE1067" i="1"/>
  <c r="CD1067" i="1"/>
  <c r="CC1067" i="1"/>
  <c r="CB1067" i="1"/>
  <c r="CA1067" i="1"/>
  <c r="BZ1067" i="1"/>
  <c r="BY1067" i="1"/>
  <c r="BX1067" i="1"/>
  <c r="BW1067" i="1"/>
  <c r="BV1067" i="1"/>
  <c r="BU1067" i="1"/>
  <c r="BT1067" i="1"/>
  <c r="BS1067" i="1"/>
  <c r="BR1067" i="1"/>
  <c r="BQ1067" i="1"/>
  <c r="BP1067" i="1"/>
  <c r="BO1067" i="1"/>
  <c r="BN1067" i="1"/>
  <c r="BM1067" i="1"/>
  <c r="BL1067" i="1"/>
  <c r="BK1067" i="1"/>
  <c r="BJ1067" i="1"/>
  <c r="BI1067" i="1"/>
  <c r="BH1067" i="1"/>
  <c r="BG1067" i="1"/>
  <c r="CE1066" i="1"/>
  <c r="CD1066" i="1"/>
  <c r="CC1066" i="1"/>
  <c r="CB1066" i="1"/>
  <c r="CA1066" i="1"/>
  <c r="BZ1066" i="1"/>
  <c r="BY1066" i="1"/>
  <c r="BX1066" i="1"/>
  <c r="BW1066" i="1"/>
  <c r="BV1066" i="1"/>
  <c r="BU1066" i="1"/>
  <c r="BT1066" i="1"/>
  <c r="BS1066" i="1"/>
  <c r="BR1066" i="1"/>
  <c r="BQ1066" i="1"/>
  <c r="BP1066" i="1"/>
  <c r="BO1066" i="1"/>
  <c r="BN1066" i="1"/>
  <c r="BM1066" i="1"/>
  <c r="BL1066" i="1"/>
  <c r="BK1066" i="1"/>
  <c r="BJ1066" i="1"/>
  <c r="BI1066" i="1"/>
  <c r="BH1066" i="1"/>
  <c r="BG1066" i="1"/>
  <c r="CE1065" i="1"/>
  <c r="CD1065" i="1"/>
  <c r="CC1065" i="1"/>
  <c r="CB1065" i="1"/>
  <c r="CA1065" i="1"/>
  <c r="BZ1065" i="1"/>
  <c r="BY1065" i="1"/>
  <c r="BX1065" i="1"/>
  <c r="BW1065" i="1"/>
  <c r="BV1065" i="1"/>
  <c r="BU1065" i="1"/>
  <c r="BT1065" i="1"/>
  <c r="BS1065" i="1"/>
  <c r="BR1065" i="1"/>
  <c r="BQ1065" i="1"/>
  <c r="BP1065" i="1"/>
  <c r="BO1065" i="1"/>
  <c r="BN1065" i="1"/>
  <c r="BM1065" i="1"/>
  <c r="BL1065" i="1"/>
  <c r="BK1065" i="1"/>
  <c r="BJ1065" i="1"/>
  <c r="BI1065" i="1"/>
  <c r="BH1065" i="1"/>
  <c r="BG1065" i="1"/>
  <c r="CE1064" i="1"/>
  <c r="CD1064" i="1"/>
  <c r="CC1064" i="1"/>
  <c r="CB1064" i="1"/>
  <c r="CA1064" i="1"/>
  <c r="BZ1064" i="1"/>
  <c r="BY1064" i="1"/>
  <c r="BX1064" i="1"/>
  <c r="BW1064" i="1"/>
  <c r="BV1064" i="1"/>
  <c r="BU1064" i="1"/>
  <c r="BT1064" i="1"/>
  <c r="BS1064" i="1"/>
  <c r="BR1064" i="1"/>
  <c r="BQ1064" i="1"/>
  <c r="BP1064" i="1"/>
  <c r="BO1064" i="1"/>
  <c r="BN1064" i="1"/>
  <c r="BM1064" i="1"/>
  <c r="BL1064" i="1"/>
  <c r="BK1064" i="1"/>
  <c r="BJ1064" i="1"/>
  <c r="BI1064" i="1"/>
  <c r="BH1064" i="1"/>
  <c r="BG1064" i="1"/>
  <c r="CE1063" i="1"/>
  <c r="CD1063" i="1"/>
  <c r="CC1063" i="1"/>
  <c r="CB1063" i="1"/>
  <c r="CA1063" i="1"/>
  <c r="BZ1063" i="1"/>
  <c r="BY1063" i="1"/>
  <c r="BX1063" i="1"/>
  <c r="BW1063" i="1"/>
  <c r="BV1063" i="1"/>
  <c r="BU1063" i="1"/>
  <c r="BT1063" i="1"/>
  <c r="BS1063" i="1"/>
  <c r="BR1063" i="1"/>
  <c r="BQ1063" i="1"/>
  <c r="BP1063" i="1"/>
  <c r="BO1063" i="1"/>
  <c r="BN1063" i="1"/>
  <c r="BM1063" i="1"/>
  <c r="BL1063" i="1"/>
  <c r="BK1063" i="1"/>
  <c r="BJ1063" i="1"/>
  <c r="BI1063" i="1"/>
  <c r="BH1063" i="1"/>
  <c r="BG1063" i="1"/>
  <c r="CE1062" i="1"/>
  <c r="CD1062" i="1"/>
  <c r="CC1062" i="1"/>
  <c r="CB1062" i="1"/>
  <c r="CA1062" i="1"/>
  <c r="BZ1062" i="1"/>
  <c r="BY1062" i="1"/>
  <c r="BX1062" i="1"/>
  <c r="BW1062" i="1"/>
  <c r="BV1062" i="1"/>
  <c r="BU1062" i="1"/>
  <c r="BT1062" i="1"/>
  <c r="BS1062" i="1"/>
  <c r="BR1062" i="1"/>
  <c r="BQ1062" i="1"/>
  <c r="BP1062" i="1"/>
  <c r="BO1062" i="1"/>
  <c r="BN1062" i="1"/>
  <c r="BM1062" i="1"/>
  <c r="BL1062" i="1"/>
  <c r="BK1062" i="1"/>
  <c r="BJ1062" i="1"/>
  <c r="BI1062" i="1"/>
  <c r="BH1062" i="1"/>
  <c r="BG1062" i="1"/>
  <c r="CE1061" i="1"/>
  <c r="CD1061" i="1"/>
  <c r="CC1061" i="1"/>
  <c r="CB1061" i="1"/>
  <c r="CA1061" i="1"/>
  <c r="BZ1061" i="1"/>
  <c r="BY1061" i="1"/>
  <c r="BX1061" i="1"/>
  <c r="BW1061" i="1"/>
  <c r="BV1061" i="1"/>
  <c r="BU1061" i="1"/>
  <c r="BT1061" i="1"/>
  <c r="BS1061" i="1"/>
  <c r="BR1061" i="1"/>
  <c r="BQ1061" i="1"/>
  <c r="BP1061" i="1"/>
  <c r="BO1061" i="1"/>
  <c r="BN1061" i="1"/>
  <c r="BM1061" i="1"/>
  <c r="BL1061" i="1"/>
  <c r="BK1061" i="1"/>
  <c r="BJ1061" i="1"/>
  <c r="BI1061" i="1"/>
  <c r="BH1061" i="1"/>
  <c r="BG1061" i="1"/>
  <c r="CE1060" i="1"/>
  <c r="CD1060" i="1"/>
  <c r="CC1060" i="1"/>
  <c r="CB1060" i="1"/>
  <c r="CA1060" i="1"/>
  <c r="BZ1060" i="1"/>
  <c r="BY1060" i="1"/>
  <c r="BX1060" i="1"/>
  <c r="BW1060" i="1"/>
  <c r="BV1060" i="1"/>
  <c r="BU1060" i="1"/>
  <c r="BT1060" i="1"/>
  <c r="BS1060" i="1"/>
  <c r="BR1060" i="1"/>
  <c r="BQ1060" i="1"/>
  <c r="BP1060" i="1"/>
  <c r="BO1060" i="1"/>
  <c r="BN1060" i="1"/>
  <c r="BM1060" i="1"/>
  <c r="BL1060" i="1"/>
  <c r="BK1060" i="1"/>
  <c r="BJ1060" i="1"/>
  <c r="BI1060" i="1"/>
  <c r="BH1060" i="1"/>
  <c r="BG1060" i="1"/>
  <c r="CE1059" i="1"/>
  <c r="CD1059" i="1"/>
  <c r="CC1059" i="1"/>
  <c r="CB1059" i="1"/>
  <c r="CA1059" i="1"/>
  <c r="BZ1059" i="1"/>
  <c r="BY1059" i="1"/>
  <c r="BX1059" i="1"/>
  <c r="BW1059" i="1"/>
  <c r="BV1059" i="1"/>
  <c r="BU1059" i="1"/>
  <c r="BT1059" i="1"/>
  <c r="BS1059" i="1"/>
  <c r="BR1059" i="1"/>
  <c r="BQ1059" i="1"/>
  <c r="BP1059" i="1"/>
  <c r="BO1059" i="1"/>
  <c r="BN1059" i="1"/>
  <c r="BM1059" i="1"/>
  <c r="BL1059" i="1"/>
  <c r="BK1059" i="1"/>
  <c r="BJ1059" i="1"/>
  <c r="BI1059" i="1"/>
  <c r="BH1059" i="1"/>
  <c r="BG1059" i="1"/>
  <c r="CE1058" i="1"/>
  <c r="CD1058" i="1"/>
  <c r="CC1058" i="1"/>
  <c r="CB1058" i="1"/>
  <c r="CA1058" i="1"/>
  <c r="BZ1058" i="1"/>
  <c r="BY1058" i="1"/>
  <c r="BX1058" i="1"/>
  <c r="BW1058" i="1"/>
  <c r="BV1058" i="1"/>
  <c r="BU1058" i="1"/>
  <c r="BT1058" i="1"/>
  <c r="BS1058" i="1"/>
  <c r="BR1058" i="1"/>
  <c r="BQ1058" i="1"/>
  <c r="BP1058" i="1"/>
  <c r="BO1058" i="1"/>
  <c r="BN1058" i="1"/>
  <c r="BM1058" i="1"/>
  <c r="BL1058" i="1"/>
  <c r="BK1058" i="1"/>
  <c r="BJ1058" i="1"/>
  <c r="BI1058" i="1"/>
  <c r="BH1058" i="1"/>
  <c r="BG1058" i="1"/>
  <c r="CE1057" i="1"/>
  <c r="CD1057" i="1"/>
  <c r="CC1057" i="1"/>
  <c r="CB1057" i="1"/>
  <c r="CA1057" i="1"/>
  <c r="BZ1057" i="1"/>
  <c r="BY1057" i="1"/>
  <c r="BX1057" i="1"/>
  <c r="BW1057" i="1"/>
  <c r="BV1057" i="1"/>
  <c r="BU1057" i="1"/>
  <c r="BT1057" i="1"/>
  <c r="BS1057" i="1"/>
  <c r="BR1057" i="1"/>
  <c r="BQ1057" i="1"/>
  <c r="BP1057" i="1"/>
  <c r="BO1057" i="1"/>
  <c r="BN1057" i="1"/>
  <c r="BM1057" i="1"/>
  <c r="BL1057" i="1"/>
  <c r="BK1057" i="1"/>
  <c r="BJ1057" i="1"/>
  <c r="BI1057" i="1"/>
  <c r="BH1057" i="1"/>
  <c r="BG1057" i="1"/>
  <c r="CE1056" i="1"/>
  <c r="CD1056" i="1"/>
  <c r="CC1056" i="1"/>
  <c r="CB1056" i="1"/>
  <c r="CA1056" i="1"/>
  <c r="BZ1056" i="1"/>
  <c r="BY1056" i="1"/>
  <c r="BX1056" i="1"/>
  <c r="BW1056" i="1"/>
  <c r="BV1056" i="1"/>
  <c r="BU1056" i="1"/>
  <c r="BT1056" i="1"/>
  <c r="BS1056" i="1"/>
  <c r="BR1056" i="1"/>
  <c r="BQ1056" i="1"/>
  <c r="BP1056" i="1"/>
  <c r="BO1056" i="1"/>
  <c r="BN1056" i="1"/>
  <c r="BM1056" i="1"/>
  <c r="BL1056" i="1"/>
  <c r="BK1056" i="1"/>
  <c r="BJ1056" i="1"/>
  <c r="BI1056" i="1"/>
  <c r="BH1056" i="1"/>
  <c r="BG1056" i="1"/>
  <c r="CE1055" i="1"/>
  <c r="CD1055" i="1"/>
  <c r="CC1055" i="1"/>
  <c r="CB1055" i="1"/>
  <c r="CA1055" i="1"/>
  <c r="BZ1055" i="1"/>
  <c r="BY1055" i="1"/>
  <c r="BX1055" i="1"/>
  <c r="BW1055" i="1"/>
  <c r="BV1055" i="1"/>
  <c r="BU1055" i="1"/>
  <c r="BT1055" i="1"/>
  <c r="BS1055" i="1"/>
  <c r="BR1055" i="1"/>
  <c r="BQ1055" i="1"/>
  <c r="BP1055" i="1"/>
  <c r="BO1055" i="1"/>
  <c r="BN1055" i="1"/>
  <c r="BM1055" i="1"/>
  <c r="BL1055" i="1"/>
  <c r="BK1055" i="1"/>
  <c r="BJ1055" i="1"/>
  <c r="BI1055" i="1"/>
  <c r="BH1055" i="1"/>
  <c r="BG1055" i="1"/>
  <c r="CE1054" i="1"/>
  <c r="CD1054" i="1"/>
  <c r="CC1054" i="1"/>
  <c r="CB1054" i="1"/>
  <c r="CA1054" i="1"/>
  <c r="BZ1054" i="1"/>
  <c r="BY1054" i="1"/>
  <c r="BX1054" i="1"/>
  <c r="BW1054" i="1"/>
  <c r="BV1054" i="1"/>
  <c r="BU1054" i="1"/>
  <c r="BT1054" i="1"/>
  <c r="BS1054" i="1"/>
  <c r="BR1054" i="1"/>
  <c r="BQ1054" i="1"/>
  <c r="BP1054" i="1"/>
  <c r="BO1054" i="1"/>
  <c r="BN1054" i="1"/>
  <c r="BM1054" i="1"/>
  <c r="BL1054" i="1"/>
  <c r="BK1054" i="1"/>
  <c r="BJ1054" i="1"/>
  <c r="BI1054" i="1"/>
  <c r="BH1054" i="1"/>
  <c r="BG1054" i="1"/>
  <c r="CE1053" i="1"/>
  <c r="CD1053" i="1"/>
  <c r="CC1053" i="1"/>
  <c r="CB1053" i="1"/>
  <c r="CA1053" i="1"/>
  <c r="BZ1053" i="1"/>
  <c r="BY1053" i="1"/>
  <c r="BX1053" i="1"/>
  <c r="BW1053" i="1"/>
  <c r="BV1053" i="1"/>
  <c r="BU1053" i="1"/>
  <c r="BT1053" i="1"/>
  <c r="BS1053" i="1"/>
  <c r="BR1053" i="1"/>
  <c r="BQ1053" i="1"/>
  <c r="BP1053" i="1"/>
  <c r="BO1053" i="1"/>
  <c r="BN1053" i="1"/>
  <c r="BM1053" i="1"/>
  <c r="BL1053" i="1"/>
  <c r="BK1053" i="1"/>
  <c r="BJ1053" i="1"/>
  <c r="BI1053" i="1"/>
  <c r="BH1053" i="1"/>
  <c r="BG1053" i="1"/>
  <c r="CE1052" i="1"/>
  <c r="CD1052" i="1"/>
  <c r="CC1052" i="1"/>
  <c r="CB1052" i="1"/>
  <c r="CA1052" i="1"/>
  <c r="BZ1052" i="1"/>
  <c r="BY1052" i="1"/>
  <c r="BX1052" i="1"/>
  <c r="BW1052" i="1"/>
  <c r="BV1052" i="1"/>
  <c r="BU1052" i="1"/>
  <c r="BT1052" i="1"/>
  <c r="BS1052" i="1"/>
  <c r="BR1052" i="1"/>
  <c r="BQ1052" i="1"/>
  <c r="BP1052" i="1"/>
  <c r="BO1052" i="1"/>
  <c r="BN1052" i="1"/>
  <c r="BM1052" i="1"/>
  <c r="BL1052" i="1"/>
  <c r="BK1052" i="1"/>
  <c r="BJ1052" i="1"/>
  <c r="BI1052" i="1"/>
  <c r="BH1052" i="1"/>
  <c r="BG1052" i="1"/>
  <c r="CE1051" i="1"/>
  <c r="CD1051" i="1"/>
  <c r="CC1051" i="1"/>
  <c r="CB1051" i="1"/>
  <c r="CA1051" i="1"/>
  <c r="BZ1051" i="1"/>
  <c r="BY1051" i="1"/>
  <c r="BX1051" i="1"/>
  <c r="BW1051" i="1"/>
  <c r="BV1051" i="1"/>
  <c r="BU1051" i="1"/>
  <c r="BT1051" i="1"/>
  <c r="BS1051" i="1"/>
  <c r="BR1051" i="1"/>
  <c r="BQ1051" i="1"/>
  <c r="BP1051" i="1"/>
  <c r="BO1051" i="1"/>
  <c r="BN1051" i="1"/>
  <c r="BM1051" i="1"/>
  <c r="BL1051" i="1"/>
  <c r="BK1051" i="1"/>
  <c r="BJ1051" i="1"/>
  <c r="BI1051" i="1"/>
  <c r="BH1051" i="1"/>
  <c r="BG1051" i="1"/>
  <c r="CE1050" i="1"/>
  <c r="CD1050" i="1"/>
  <c r="CC1050" i="1"/>
  <c r="CB1050" i="1"/>
  <c r="CA1050" i="1"/>
  <c r="BZ1050" i="1"/>
  <c r="BY1050" i="1"/>
  <c r="BX1050" i="1"/>
  <c r="BW1050" i="1"/>
  <c r="BV1050" i="1"/>
  <c r="BU1050" i="1"/>
  <c r="BT1050" i="1"/>
  <c r="BS1050" i="1"/>
  <c r="BR1050" i="1"/>
  <c r="BQ1050" i="1"/>
  <c r="BP1050" i="1"/>
  <c r="BO1050" i="1"/>
  <c r="BN1050" i="1"/>
  <c r="BM1050" i="1"/>
  <c r="BL1050" i="1"/>
  <c r="BK1050" i="1"/>
  <c r="BJ1050" i="1"/>
  <c r="BI1050" i="1"/>
  <c r="BH1050" i="1"/>
  <c r="BG1050" i="1"/>
  <c r="CE1049" i="1"/>
  <c r="CD1049" i="1"/>
  <c r="CC1049" i="1"/>
  <c r="CB1049" i="1"/>
  <c r="CA1049" i="1"/>
  <c r="BZ1049" i="1"/>
  <c r="BY1049" i="1"/>
  <c r="BX1049" i="1"/>
  <c r="BW1049" i="1"/>
  <c r="BV1049" i="1"/>
  <c r="BU1049" i="1"/>
  <c r="BT1049" i="1"/>
  <c r="BS1049" i="1"/>
  <c r="BR1049" i="1"/>
  <c r="BQ1049" i="1"/>
  <c r="BP1049" i="1"/>
  <c r="BO1049" i="1"/>
  <c r="BN1049" i="1"/>
  <c r="BM1049" i="1"/>
  <c r="BL1049" i="1"/>
  <c r="BK1049" i="1"/>
  <c r="BJ1049" i="1"/>
  <c r="BI1049" i="1"/>
  <c r="BH1049" i="1"/>
  <c r="BG1049" i="1"/>
  <c r="CE1048" i="1"/>
  <c r="CD1048" i="1"/>
  <c r="CC1048" i="1"/>
  <c r="CB1048" i="1"/>
  <c r="CA1048" i="1"/>
  <c r="BZ1048" i="1"/>
  <c r="BY1048" i="1"/>
  <c r="BX1048" i="1"/>
  <c r="BW1048" i="1"/>
  <c r="BV1048" i="1"/>
  <c r="BU1048" i="1"/>
  <c r="BT1048" i="1"/>
  <c r="BS1048" i="1"/>
  <c r="BR1048" i="1"/>
  <c r="BQ1048" i="1"/>
  <c r="BP1048" i="1"/>
  <c r="BO1048" i="1"/>
  <c r="BN1048" i="1"/>
  <c r="BM1048" i="1"/>
  <c r="BL1048" i="1"/>
  <c r="BK1048" i="1"/>
  <c r="BJ1048" i="1"/>
  <c r="BI1048" i="1"/>
  <c r="BH1048" i="1"/>
  <c r="BG1048" i="1"/>
  <c r="CE1047" i="1"/>
  <c r="CD1047" i="1"/>
  <c r="CC1047" i="1"/>
  <c r="CB1047" i="1"/>
  <c r="CA1047" i="1"/>
  <c r="BZ1047" i="1"/>
  <c r="BY1047" i="1"/>
  <c r="BX1047" i="1"/>
  <c r="BW1047" i="1"/>
  <c r="BV1047" i="1"/>
  <c r="BU1047" i="1"/>
  <c r="BT1047" i="1"/>
  <c r="BS1047" i="1"/>
  <c r="BR1047" i="1"/>
  <c r="BQ1047" i="1"/>
  <c r="BP1047" i="1"/>
  <c r="BO1047" i="1"/>
  <c r="BN1047" i="1"/>
  <c r="BM1047" i="1"/>
  <c r="BL1047" i="1"/>
  <c r="BK1047" i="1"/>
  <c r="BJ1047" i="1"/>
  <c r="BI1047" i="1"/>
  <c r="BH1047" i="1"/>
  <c r="BG1047" i="1"/>
  <c r="CE1046" i="1"/>
  <c r="CD1046" i="1"/>
  <c r="CC1046" i="1"/>
  <c r="CB1046" i="1"/>
  <c r="CA1046" i="1"/>
  <c r="BZ1046" i="1"/>
  <c r="BY1046" i="1"/>
  <c r="BX1046" i="1"/>
  <c r="BW1046" i="1"/>
  <c r="BV1046" i="1"/>
  <c r="BU1046" i="1"/>
  <c r="BT1046" i="1"/>
  <c r="BS1046" i="1"/>
  <c r="BR1046" i="1"/>
  <c r="BQ1046" i="1"/>
  <c r="BP1046" i="1"/>
  <c r="BO1046" i="1"/>
  <c r="BN1046" i="1"/>
  <c r="BM1046" i="1"/>
  <c r="BL1046" i="1"/>
  <c r="BK1046" i="1"/>
  <c r="BJ1046" i="1"/>
  <c r="BI1046" i="1"/>
  <c r="BH1046" i="1"/>
  <c r="BG1046" i="1"/>
  <c r="CE1045" i="1"/>
  <c r="CD1045" i="1"/>
  <c r="CC1045" i="1"/>
  <c r="CB1045" i="1"/>
  <c r="CA1045" i="1"/>
  <c r="BZ1045" i="1"/>
  <c r="BY1045" i="1"/>
  <c r="BX1045" i="1"/>
  <c r="BW1045" i="1"/>
  <c r="BV1045" i="1"/>
  <c r="BU1045" i="1"/>
  <c r="BT1045" i="1"/>
  <c r="BS1045" i="1"/>
  <c r="BR1045" i="1"/>
  <c r="BQ1045" i="1"/>
  <c r="BP1045" i="1"/>
  <c r="BO1045" i="1"/>
  <c r="BN1045" i="1"/>
  <c r="BM1045" i="1"/>
  <c r="BL1045" i="1"/>
  <c r="BK1045" i="1"/>
  <c r="BJ1045" i="1"/>
  <c r="BI1045" i="1"/>
  <c r="BH1045" i="1"/>
  <c r="BG1045" i="1"/>
  <c r="CE1044" i="1"/>
  <c r="CD1044" i="1"/>
  <c r="CC1044" i="1"/>
  <c r="CB1044" i="1"/>
  <c r="CA1044" i="1"/>
  <c r="BZ1044" i="1"/>
  <c r="BY1044" i="1"/>
  <c r="BX1044" i="1"/>
  <c r="BW1044" i="1"/>
  <c r="BV1044" i="1"/>
  <c r="BU1044" i="1"/>
  <c r="BT1044" i="1"/>
  <c r="BS1044" i="1"/>
  <c r="BR1044" i="1"/>
  <c r="BQ1044" i="1"/>
  <c r="BP1044" i="1"/>
  <c r="BO1044" i="1"/>
  <c r="BN1044" i="1"/>
  <c r="BM1044" i="1"/>
  <c r="BL1044" i="1"/>
  <c r="BK1044" i="1"/>
  <c r="BJ1044" i="1"/>
  <c r="BI1044" i="1"/>
  <c r="BH1044" i="1"/>
  <c r="BG1044" i="1"/>
  <c r="CE1043" i="1"/>
  <c r="CD1043" i="1"/>
  <c r="CC1043" i="1"/>
  <c r="CB1043" i="1"/>
  <c r="CA1043" i="1"/>
  <c r="BZ1043" i="1"/>
  <c r="BY1043" i="1"/>
  <c r="BX1043" i="1"/>
  <c r="BW1043" i="1"/>
  <c r="BV1043" i="1"/>
  <c r="BU1043" i="1"/>
  <c r="BT1043" i="1"/>
  <c r="BS1043" i="1"/>
  <c r="BR1043" i="1"/>
  <c r="BQ1043" i="1"/>
  <c r="BP1043" i="1"/>
  <c r="BO1043" i="1"/>
  <c r="BN1043" i="1"/>
  <c r="BM1043" i="1"/>
  <c r="BL1043" i="1"/>
  <c r="BK1043" i="1"/>
  <c r="BJ1043" i="1"/>
  <c r="BI1043" i="1"/>
  <c r="BH1043" i="1"/>
  <c r="BG1043" i="1"/>
  <c r="CE1042" i="1"/>
  <c r="CD1042" i="1"/>
  <c r="CC1042" i="1"/>
  <c r="CB1042" i="1"/>
  <c r="CA1042" i="1"/>
  <c r="BZ1042" i="1"/>
  <c r="BY1042" i="1"/>
  <c r="BX1042" i="1"/>
  <c r="BW1042" i="1"/>
  <c r="BV1042" i="1"/>
  <c r="BU1042" i="1"/>
  <c r="BT1042" i="1"/>
  <c r="BS1042" i="1"/>
  <c r="BR1042" i="1"/>
  <c r="BQ1042" i="1"/>
  <c r="BP1042" i="1"/>
  <c r="BO1042" i="1"/>
  <c r="BN1042" i="1"/>
  <c r="BM1042" i="1"/>
  <c r="BL1042" i="1"/>
  <c r="BK1042" i="1"/>
  <c r="BJ1042" i="1"/>
  <c r="BI1042" i="1"/>
  <c r="BH1042" i="1"/>
  <c r="BG1042" i="1"/>
  <c r="CE1041" i="1"/>
  <c r="CD1041" i="1"/>
  <c r="CC1041" i="1"/>
  <c r="CB1041" i="1"/>
  <c r="CA1041" i="1"/>
  <c r="BZ1041" i="1"/>
  <c r="BY1041" i="1"/>
  <c r="BX1041" i="1"/>
  <c r="BW1041" i="1"/>
  <c r="BV1041" i="1"/>
  <c r="BU1041" i="1"/>
  <c r="BT1041" i="1"/>
  <c r="BS1041" i="1"/>
  <c r="BR1041" i="1"/>
  <c r="BQ1041" i="1"/>
  <c r="BP1041" i="1"/>
  <c r="BO1041" i="1"/>
  <c r="BN1041" i="1"/>
  <c r="BM1041" i="1"/>
  <c r="BL1041" i="1"/>
  <c r="BK1041" i="1"/>
  <c r="BJ1041" i="1"/>
  <c r="BI1041" i="1"/>
  <c r="BH1041" i="1"/>
  <c r="BG1041" i="1"/>
  <c r="CE1040" i="1"/>
  <c r="CD1040" i="1"/>
  <c r="CC1040" i="1"/>
  <c r="CB1040" i="1"/>
  <c r="CA1040" i="1"/>
  <c r="BZ1040" i="1"/>
  <c r="BY1040" i="1"/>
  <c r="BX1040" i="1"/>
  <c r="BW1040" i="1"/>
  <c r="BV1040" i="1"/>
  <c r="BU1040" i="1"/>
  <c r="BT1040" i="1"/>
  <c r="BS1040" i="1"/>
  <c r="BR1040" i="1"/>
  <c r="BQ1040" i="1"/>
  <c r="BP1040" i="1"/>
  <c r="BO1040" i="1"/>
  <c r="BN1040" i="1"/>
  <c r="BM1040" i="1"/>
  <c r="BL1040" i="1"/>
  <c r="BK1040" i="1"/>
  <c r="BJ1040" i="1"/>
  <c r="BI1040" i="1"/>
  <c r="BH1040" i="1"/>
  <c r="BG1040" i="1"/>
  <c r="CE1039" i="1"/>
  <c r="CD1039" i="1"/>
  <c r="CC1039" i="1"/>
  <c r="CB1039" i="1"/>
  <c r="CA1039" i="1"/>
  <c r="BZ1039" i="1"/>
  <c r="BY1039" i="1"/>
  <c r="BX1039" i="1"/>
  <c r="BW1039" i="1"/>
  <c r="BV1039" i="1"/>
  <c r="BU1039" i="1"/>
  <c r="BT1039" i="1"/>
  <c r="BS1039" i="1"/>
  <c r="BR1039" i="1"/>
  <c r="BQ1039" i="1"/>
  <c r="BP1039" i="1"/>
  <c r="BO1039" i="1"/>
  <c r="BN1039" i="1"/>
  <c r="BM1039" i="1"/>
  <c r="BL1039" i="1"/>
  <c r="BK1039" i="1"/>
  <c r="BJ1039" i="1"/>
  <c r="BI1039" i="1"/>
  <c r="BH1039" i="1"/>
  <c r="BG1039" i="1"/>
  <c r="CE1038" i="1"/>
  <c r="CD1038" i="1"/>
  <c r="CC1038" i="1"/>
  <c r="CB1038" i="1"/>
  <c r="CA1038" i="1"/>
  <c r="BZ1038" i="1"/>
  <c r="BY1038" i="1"/>
  <c r="BX1038" i="1"/>
  <c r="BW1038" i="1"/>
  <c r="BV1038" i="1"/>
  <c r="BU1038" i="1"/>
  <c r="BT1038" i="1"/>
  <c r="BS1038" i="1"/>
  <c r="BR1038" i="1"/>
  <c r="BQ1038" i="1"/>
  <c r="BP1038" i="1"/>
  <c r="BO1038" i="1"/>
  <c r="BN1038" i="1"/>
  <c r="BM1038" i="1"/>
  <c r="BL1038" i="1"/>
  <c r="BK1038" i="1"/>
  <c r="BJ1038" i="1"/>
  <c r="BI1038" i="1"/>
  <c r="BH1038" i="1"/>
  <c r="BG1038" i="1"/>
  <c r="CE1037" i="1"/>
  <c r="CD1037" i="1"/>
  <c r="CC1037" i="1"/>
  <c r="CB1037" i="1"/>
  <c r="CA1037" i="1"/>
  <c r="BZ1037" i="1"/>
  <c r="BY1037" i="1"/>
  <c r="BX1037" i="1"/>
  <c r="BW1037" i="1"/>
  <c r="BV1037" i="1"/>
  <c r="BU1037" i="1"/>
  <c r="BT1037" i="1"/>
  <c r="BS1037" i="1"/>
  <c r="BR1037" i="1"/>
  <c r="BQ1037" i="1"/>
  <c r="BP1037" i="1"/>
  <c r="BO1037" i="1"/>
  <c r="BN1037" i="1"/>
  <c r="BM1037" i="1"/>
  <c r="BL1037" i="1"/>
  <c r="BK1037" i="1"/>
  <c r="BJ1037" i="1"/>
  <c r="BI1037" i="1"/>
  <c r="BH1037" i="1"/>
  <c r="BG1037" i="1"/>
  <c r="CE1036" i="1"/>
  <c r="CD1036" i="1"/>
  <c r="CC1036" i="1"/>
  <c r="CB1036" i="1"/>
  <c r="CA1036" i="1"/>
  <c r="BZ1036" i="1"/>
  <c r="BY1036" i="1"/>
  <c r="BX1036" i="1"/>
  <c r="BW1036" i="1"/>
  <c r="BV1036" i="1"/>
  <c r="BU1036" i="1"/>
  <c r="BT1036" i="1"/>
  <c r="BS1036" i="1"/>
  <c r="BR1036" i="1"/>
  <c r="BQ1036" i="1"/>
  <c r="BP1036" i="1"/>
  <c r="BO1036" i="1"/>
  <c r="BN1036" i="1"/>
  <c r="BM1036" i="1"/>
  <c r="BL1036" i="1"/>
  <c r="BK1036" i="1"/>
  <c r="BJ1036" i="1"/>
  <c r="BI1036" i="1"/>
  <c r="BH1036" i="1"/>
  <c r="BG1036" i="1"/>
  <c r="CE1035" i="1"/>
  <c r="CD1035" i="1"/>
  <c r="CC1035" i="1"/>
  <c r="CB1035" i="1"/>
  <c r="CA1035" i="1"/>
  <c r="BZ1035" i="1"/>
  <c r="BY1035" i="1"/>
  <c r="BX1035" i="1"/>
  <c r="BW1035" i="1"/>
  <c r="BV1035" i="1"/>
  <c r="BU1035" i="1"/>
  <c r="BT1035" i="1"/>
  <c r="BS1035" i="1"/>
  <c r="BR1035" i="1"/>
  <c r="BQ1035" i="1"/>
  <c r="BP1035" i="1"/>
  <c r="BO1035" i="1"/>
  <c r="BN1035" i="1"/>
  <c r="BM1035" i="1"/>
  <c r="BL1035" i="1"/>
  <c r="BK1035" i="1"/>
  <c r="BJ1035" i="1"/>
  <c r="BI1035" i="1"/>
  <c r="BH1035" i="1"/>
  <c r="BG1035" i="1"/>
  <c r="CE1034" i="1"/>
  <c r="CD1034" i="1"/>
  <c r="CC1034" i="1"/>
  <c r="CB1034" i="1"/>
  <c r="CA1034" i="1"/>
  <c r="BZ1034" i="1"/>
  <c r="BY1034" i="1"/>
  <c r="BX1034" i="1"/>
  <c r="BW1034" i="1"/>
  <c r="BV1034" i="1"/>
  <c r="BU1034" i="1"/>
  <c r="BT1034" i="1"/>
  <c r="BS1034" i="1"/>
  <c r="BR1034" i="1"/>
  <c r="BQ1034" i="1"/>
  <c r="BP1034" i="1"/>
  <c r="BO1034" i="1"/>
  <c r="BN1034" i="1"/>
  <c r="BM1034" i="1"/>
  <c r="BL1034" i="1"/>
  <c r="BK1034" i="1"/>
  <c r="BJ1034" i="1"/>
  <c r="BI1034" i="1"/>
  <c r="BH1034" i="1"/>
  <c r="BG1034" i="1"/>
  <c r="CE1033" i="1"/>
  <c r="CD1033" i="1"/>
  <c r="CC1033" i="1"/>
  <c r="CB1033" i="1"/>
  <c r="CA1033" i="1"/>
  <c r="BZ1033" i="1"/>
  <c r="BY1033" i="1"/>
  <c r="BX1033" i="1"/>
  <c r="BW1033" i="1"/>
  <c r="BV1033" i="1"/>
  <c r="BU1033" i="1"/>
  <c r="BT1033" i="1"/>
  <c r="BS1033" i="1"/>
  <c r="BR1033" i="1"/>
  <c r="BQ1033" i="1"/>
  <c r="BP1033" i="1"/>
  <c r="BO1033" i="1"/>
  <c r="BN1033" i="1"/>
  <c r="BM1033" i="1"/>
  <c r="BL1033" i="1"/>
  <c r="BK1033" i="1"/>
  <c r="BJ1033" i="1"/>
  <c r="BI1033" i="1"/>
  <c r="BH1033" i="1"/>
  <c r="BG1033" i="1"/>
  <c r="CE1032" i="1"/>
  <c r="CD1032" i="1"/>
  <c r="CC1032" i="1"/>
  <c r="CB1032" i="1"/>
  <c r="CA1032" i="1"/>
  <c r="BZ1032" i="1"/>
  <c r="BY1032" i="1"/>
  <c r="BX1032" i="1"/>
  <c r="BW1032" i="1"/>
  <c r="BV1032" i="1"/>
  <c r="BU1032" i="1"/>
  <c r="BT1032" i="1"/>
  <c r="BS1032" i="1"/>
  <c r="BR1032" i="1"/>
  <c r="BQ1032" i="1"/>
  <c r="BP1032" i="1"/>
  <c r="BO1032" i="1"/>
  <c r="BN1032" i="1"/>
  <c r="BM1032" i="1"/>
  <c r="BL1032" i="1"/>
  <c r="BK1032" i="1"/>
  <c r="BJ1032" i="1"/>
  <c r="BI1032" i="1"/>
  <c r="BH1032" i="1"/>
  <c r="BG1032" i="1"/>
  <c r="CE1031" i="1"/>
  <c r="CD1031" i="1"/>
  <c r="CC1031" i="1"/>
  <c r="CB1031" i="1"/>
  <c r="CA1031" i="1"/>
  <c r="BZ1031" i="1"/>
  <c r="BY1031" i="1"/>
  <c r="BX1031" i="1"/>
  <c r="BW1031" i="1"/>
  <c r="BV1031" i="1"/>
  <c r="BU1031" i="1"/>
  <c r="BT1031" i="1"/>
  <c r="BS1031" i="1"/>
  <c r="BR1031" i="1"/>
  <c r="BQ1031" i="1"/>
  <c r="BP1031" i="1"/>
  <c r="BO1031" i="1"/>
  <c r="BN1031" i="1"/>
  <c r="BM1031" i="1"/>
  <c r="BL1031" i="1"/>
  <c r="BK1031" i="1"/>
  <c r="BJ1031" i="1"/>
  <c r="BI1031" i="1"/>
  <c r="BH1031" i="1"/>
  <c r="BG1031" i="1"/>
  <c r="CE1030" i="1"/>
  <c r="CD1030" i="1"/>
  <c r="CC1030" i="1"/>
  <c r="CB1030" i="1"/>
  <c r="CA1030" i="1"/>
  <c r="BZ1030" i="1"/>
  <c r="BY1030" i="1"/>
  <c r="BX1030" i="1"/>
  <c r="BW1030" i="1"/>
  <c r="BV1030" i="1"/>
  <c r="BU1030" i="1"/>
  <c r="BT1030" i="1"/>
  <c r="BS1030" i="1"/>
  <c r="BR1030" i="1"/>
  <c r="BQ1030" i="1"/>
  <c r="BP1030" i="1"/>
  <c r="BO1030" i="1"/>
  <c r="BN1030" i="1"/>
  <c r="BM1030" i="1"/>
  <c r="BL1030" i="1"/>
  <c r="BK1030" i="1"/>
  <c r="BJ1030" i="1"/>
  <c r="BI1030" i="1"/>
  <c r="BH1030" i="1"/>
  <c r="BG1030" i="1"/>
  <c r="CE1029" i="1"/>
  <c r="CD1029" i="1"/>
  <c r="CC1029" i="1"/>
  <c r="CB1029" i="1"/>
  <c r="CA1029" i="1"/>
  <c r="BZ1029" i="1"/>
  <c r="BY1029" i="1"/>
  <c r="BX1029" i="1"/>
  <c r="BW1029" i="1"/>
  <c r="BV1029" i="1"/>
  <c r="BU1029" i="1"/>
  <c r="BT1029" i="1"/>
  <c r="BS1029" i="1"/>
  <c r="BR1029" i="1"/>
  <c r="BQ1029" i="1"/>
  <c r="BP1029" i="1"/>
  <c r="BO1029" i="1"/>
  <c r="BN1029" i="1"/>
  <c r="BM1029" i="1"/>
  <c r="BL1029" i="1"/>
  <c r="BK1029" i="1"/>
  <c r="BJ1029" i="1"/>
  <c r="BI1029" i="1"/>
  <c r="BH1029" i="1"/>
  <c r="BG1029" i="1"/>
  <c r="CE1028" i="1"/>
  <c r="CD1028" i="1"/>
  <c r="CC1028" i="1"/>
  <c r="CB1028" i="1"/>
  <c r="CA1028" i="1"/>
  <c r="BZ1028" i="1"/>
  <c r="BY1028" i="1"/>
  <c r="BX1028" i="1"/>
  <c r="BW1028" i="1"/>
  <c r="BV1028" i="1"/>
  <c r="BU1028" i="1"/>
  <c r="BT1028" i="1"/>
  <c r="BS1028" i="1"/>
  <c r="BR1028" i="1"/>
  <c r="BQ1028" i="1"/>
  <c r="BP1028" i="1"/>
  <c r="BO1028" i="1"/>
  <c r="BN1028" i="1"/>
  <c r="BM1028" i="1"/>
  <c r="BL1028" i="1"/>
  <c r="BK1028" i="1"/>
  <c r="BJ1028" i="1"/>
  <c r="BI1028" i="1"/>
  <c r="BH1028" i="1"/>
  <c r="BG1028" i="1"/>
  <c r="CE1027" i="1"/>
  <c r="CD1027" i="1"/>
  <c r="CC1027" i="1"/>
  <c r="CB1027" i="1"/>
  <c r="CA1027" i="1"/>
  <c r="BZ1027" i="1"/>
  <c r="BY1027" i="1"/>
  <c r="BX1027" i="1"/>
  <c r="BW1027" i="1"/>
  <c r="BV1027" i="1"/>
  <c r="BU1027" i="1"/>
  <c r="BT1027" i="1"/>
  <c r="BS1027" i="1"/>
  <c r="BR1027" i="1"/>
  <c r="BQ1027" i="1"/>
  <c r="BP1027" i="1"/>
  <c r="BO1027" i="1"/>
  <c r="BN1027" i="1"/>
  <c r="BM1027" i="1"/>
  <c r="BL1027" i="1"/>
  <c r="BK1027" i="1"/>
  <c r="BJ1027" i="1"/>
  <c r="BI1027" i="1"/>
  <c r="BH1027" i="1"/>
  <c r="BG1027" i="1"/>
  <c r="CE1026" i="1"/>
  <c r="CD1026" i="1"/>
  <c r="CC1026" i="1"/>
  <c r="CB1026" i="1"/>
  <c r="CA1026" i="1"/>
  <c r="BZ1026" i="1"/>
  <c r="BY1026" i="1"/>
  <c r="BX1026" i="1"/>
  <c r="BW1026" i="1"/>
  <c r="BV1026" i="1"/>
  <c r="BU1026" i="1"/>
  <c r="BT1026" i="1"/>
  <c r="BS1026" i="1"/>
  <c r="BR1026" i="1"/>
  <c r="BQ1026" i="1"/>
  <c r="BP1026" i="1"/>
  <c r="BO1026" i="1"/>
  <c r="BN1026" i="1"/>
  <c r="BM1026" i="1"/>
  <c r="BL1026" i="1"/>
  <c r="BK1026" i="1"/>
  <c r="BJ1026" i="1"/>
  <c r="BI1026" i="1"/>
  <c r="BH1026" i="1"/>
  <c r="BG1026" i="1"/>
  <c r="CE1025" i="1"/>
  <c r="CD1025" i="1"/>
  <c r="CC1025" i="1"/>
  <c r="CB1025" i="1"/>
  <c r="CA1025" i="1"/>
  <c r="BZ1025" i="1"/>
  <c r="BY1025" i="1"/>
  <c r="BX1025" i="1"/>
  <c r="BW1025" i="1"/>
  <c r="BV1025" i="1"/>
  <c r="BU1025" i="1"/>
  <c r="BT1025" i="1"/>
  <c r="BS1025" i="1"/>
  <c r="BR1025" i="1"/>
  <c r="BQ1025" i="1"/>
  <c r="BP1025" i="1"/>
  <c r="BO1025" i="1"/>
  <c r="BN1025" i="1"/>
  <c r="BM1025" i="1"/>
  <c r="BL1025" i="1"/>
  <c r="BK1025" i="1"/>
  <c r="BJ1025" i="1"/>
  <c r="BI1025" i="1"/>
  <c r="BH1025" i="1"/>
  <c r="BG1025" i="1"/>
  <c r="CE1024" i="1"/>
  <c r="CD1024" i="1"/>
  <c r="CC1024" i="1"/>
  <c r="CB1024" i="1"/>
  <c r="CA1024" i="1"/>
  <c r="BZ1024" i="1"/>
  <c r="BY1024" i="1"/>
  <c r="BX1024" i="1"/>
  <c r="BW1024" i="1"/>
  <c r="BV1024" i="1"/>
  <c r="BU1024" i="1"/>
  <c r="BT1024" i="1"/>
  <c r="BS1024" i="1"/>
  <c r="BR1024" i="1"/>
  <c r="BQ1024" i="1"/>
  <c r="BP1024" i="1"/>
  <c r="BO1024" i="1"/>
  <c r="BN1024" i="1"/>
  <c r="BM1024" i="1"/>
  <c r="BL1024" i="1"/>
  <c r="BK1024" i="1"/>
  <c r="BJ1024" i="1"/>
  <c r="BI1024" i="1"/>
  <c r="BH1024" i="1"/>
  <c r="BG1024" i="1"/>
  <c r="CE1023" i="1"/>
  <c r="CD1023" i="1"/>
  <c r="CC1023" i="1"/>
  <c r="CB1023" i="1"/>
  <c r="CA1023" i="1"/>
  <c r="BZ1023" i="1"/>
  <c r="BY1023" i="1"/>
  <c r="BX1023" i="1"/>
  <c r="BW1023" i="1"/>
  <c r="BV1023" i="1"/>
  <c r="BU1023" i="1"/>
  <c r="BT1023" i="1"/>
  <c r="BS1023" i="1"/>
  <c r="BR1023" i="1"/>
  <c r="BQ1023" i="1"/>
  <c r="BP1023" i="1"/>
  <c r="BO1023" i="1"/>
  <c r="BN1023" i="1"/>
  <c r="BM1023" i="1"/>
  <c r="BL1023" i="1"/>
  <c r="BK1023" i="1"/>
  <c r="BJ1023" i="1"/>
  <c r="BI1023" i="1"/>
  <c r="BH1023" i="1"/>
  <c r="BG1023" i="1"/>
  <c r="CE1022" i="1"/>
  <c r="CD1022" i="1"/>
  <c r="CC1022" i="1"/>
  <c r="CB1022" i="1"/>
  <c r="CA1022" i="1"/>
  <c r="BZ1022" i="1"/>
  <c r="BY1022" i="1"/>
  <c r="BX1022" i="1"/>
  <c r="BW1022" i="1"/>
  <c r="BV1022" i="1"/>
  <c r="BU1022" i="1"/>
  <c r="BT1022" i="1"/>
  <c r="BS1022" i="1"/>
  <c r="BR1022" i="1"/>
  <c r="BQ1022" i="1"/>
  <c r="BP1022" i="1"/>
  <c r="BO1022" i="1"/>
  <c r="BN1022" i="1"/>
  <c r="BM1022" i="1"/>
  <c r="BL1022" i="1"/>
  <c r="BK1022" i="1"/>
  <c r="BJ1022" i="1"/>
  <c r="BI1022" i="1"/>
  <c r="BH1022" i="1"/>
  <c r="BG1022" i="1"/>
  <c r="CE1021" i="1"/>
  <c r="CD1021" i="1"/>
  <c r="CC1021" i="1"/>
  <c r="CB1021" i="1"/>
  <c r="CA1021" i="1"/>
  <c r="BZ1021" i="1"/>
  <c r="BY1021" i="1"/>
  <c r="BX1021" i="1"/>
  <c r="BW1021" i="1"/>
  <c r="BV1021" i="1"/>
  <c r="BU1021" i="1"/>
  <c r="BT1021" i="1"/>
  <c r="BS1021" i="1"/>
  <c r="BR1021" i="1"/>
  <c r="BQ1021" i="1"/>
  <c r="BP1021" i="1"/>
  <c r="BO1021" i="1"/>
  <c r="BN1021" i="1"/>
  <c r="BM1021" i="1"/>
  <c r="BL1021" i="1"/>
  <c r="BK1021" i="1"/>
  <c r="BJ1021" i="1"/>
  <c r="BI1021" i="1"/>
  <c r="BH1021" i="1"/>
  <c r="BG1021" i="1"/>
  <c r="CE1020" i="1"/>
  <c r="CD1020" i="1"/>
  <c r="CC1020" i="1"/>
  <c r="CB1020" i="1"/>
  <c r="CA1020" i="1"/>
  <c r="BZ1020" i="1"/>
  <c r="BY1020" i="1"/>
  <c r="BX1020" i="1"/>
  <c r="BW1020" i="1"/>
  <c r="BV1020" i="1"/>
  <c r="BU1020" i="1"/>
  <c r="BT1020" i="1"/>
  <c r="BS1020" i="1"/>
  <c r="BR1020" i="1"/>
  <c r="BQ1020" i="1"/>
  <c r="BP1020" i="1"/>
  <c r="BO1020" i="1"/>
  <c r="BN1020" i="1"/>
  <c r="BM1020" i="1"/>
  <c r="BL1020" i="1"/>
  <c r="BK1020" i="1"/>
  <c r="BJ1020" i="1"/>
  <c r="BI1020" i="1"/>
  <c r="BH1020" i="1"/>
  <c r="BG1020" i="1"/>
  <c r="CE1019" i="1"/>
  <c r="CD1019" i="1"/>
  <c r="CC1019" i="1"/>
  <c r="CB1019" i="1"/>
  <c r="CA1019" i="1"/>
  <c r="BZ1019" i="1"/>
  <c r="BY1019" i="1"/>
  <c r="BX1019" i="1"/>
  <c r="BW1019" i="1"/>
  <c r="BV1019" i="1"/>
  <c r="BU1019" i="1"/>
  <c r="BT1019" i="1"/>
  <c r="BS1019" i="1"/>
  <c r="BR1019" i="1"/>
  <c r="BQ1019" i="1"/>
  <c r="BP1019" i="1"/>
  <c r="BO1019" i="1"/>
  <c r="BN1019" i="1"/>
  <c r="BM1019" i="1"/>
  <c r="BL1019" i="1"/>
  <c r="BK1019" i="1"/>
  <c r="BJ1019" i="1"/>
  <c r="BI1019" i="1"/>
  <c r="BH1019" i="1"/>
  <c r="BG1019" i="1"/>
  <c r="CE1018" i="1"/>
  <c r="CD1018" i="1"/>
  <c r="CC1018" i="1"/>
  <c r="CB1018" i="1"/>
  <c r="CA1018" i="1"/>
  <c r="BZ1018" i="1"/>
  <c r="BY1018" i="1"/>
  <c r="BX1018" i="1"/>
  <c r="BW1018" i="1"/>
  <c r="BV1018" i="1"/>
  <c r="BU1018" i="1"/>
  <c r="BT1018" i="1"/>
  <c r="BS1018" i="1"/>
  <c r="BR1018" i="1"/>
  <c r="BQ1018" i="1"/>
  <c r="BP1018" i="1"/>
  <c r="BO1018" i="1"/>
  <c r="BN1018" i="1"/>
  <c r="BM1018" i="1"/>
  <c r="BL1018" i="1"/>
  <c r="BK1018" i="1"/>
  <c r="BJ1018" i="1"/>
  <c r="BI1018" i="1"/>
  <c r="BH1018" i="1"/>
  <c r="BG1018" i="1"/>
  <c r="CE1017" i="1"/>
  <c r="CD1017" i="1"/>
  <c r="CC1017" i="1"/>
  <c r="CB1017" i="1"/>
  <c r="CA1017" i="1"/>
  <c r="BZ1017" i="1"/>
  <c r="BY1017" i="1"/>
  <c r="BX1017" i="1"/>
  <c r="BW1017" i="1"/>
  <c r="BV1017" i="1"/>
  <c r="BU1017" i="1"/>
  <c r="BT1017" i="1"/>
  <c r="BS1017" i="1"/>
  <c r="BR1017" i="1"/>
  <c r="BQ1017" i="1"/>
  <c r="BP1017" i="1"/>
  <c r="BO1017" i="1"/>
  <c r="BN1017" i="1"/>
  <c r="BM1017" i="1"/>
  <c r="BL1017" i="1"/>
  <c r="BK1017" i="1"/>
  <c r="BJ1017" i="1"/>
  <c r="BI1017" i="1"/>
  <c r="BH1017" i="1"/>
  <c r="BG1017" i="1"/>
  <c r="CE1016" i="1"/>
  <c r="CD1016" i="1"/>
  <c r="CC1016" i="1"/>
  <c r="CB1016" i="1"/>
  <c r="CA1016" i="1"/>
  <c r="BZ1016" i="1"/>
  <c r="BY1016" i="1"/>
  <c r="BX1016" i="1"/>
  <c r="BW1016" i="1"/>
  <c r="BV1016" i="1"/>
  <c r="BU1016" i="1"/>
  <c r="BT1016" i="1"/>
  <c r="BS1016" i="1"/>
  <c r="BR1016" i="1"/>
  <c r="BQ1016" i="1"/>
  <c r="BP1016" i="1"/>
  <c r="BO1016" i="1"/>
  <c r="BN1016" i="1"/>
  <c r="BM1016" i="1"/>
  <c r="BL1016" i="1"/>
  <c r="BK1016" i="1"/>
  <c r="BJ1016" i="1"/>
  <c r="BI1016" i="1"/>
  <c r="BH1016" i="1"/>
  <c r="BG1016" i="1"/>
  <c r="CE1015" i="1"/>
  <c r="CD1015" i="1"/>
  <c r="CC1015" i="1"/>
  <c r="CB1015" i="1"/>
  <c r="CA1015" i="1"/>
  <c r="BZ1015" i="1"/>
  <c r="BY1015" i="1"/>
  <c r="BX1015" i="1"/>
  <c r="BW1015" i="1"/>
  <c r="BV1015" i="1"/>
  <c r="BU1015" i="1"/>
  <c r="BT1015" i="1"/>
  <c r="BS1015" i="1"/>
  <c r="BR1015" i="1"/>
  <c r="BQ1015" i="1"/>
  <c r="BP1015" i="1"/>
  <c r="BO1015" i="1"/>
  <c r="BN1015" i="1"/>
  <c r="BM1015" i="1"/>
  <c r="BL1015" i="1"/>
  <c r="BK1015" i="1"/>
  <c r="BJ1015" i="1"/>
  <c r="BI1015" i="1"/>
  <c r="BH1015" i="1"/>
  <c r="BG1015" i="1"/>
  <c r="CE1014" i="1"/>
  <c r="CD1014" i="1"/>
  <c r="CC1014" i="1"/>
  <c r="CB1014" i="1"/>
  <c r="CA1014" i="1"/>
  <c r="BZ1014" i="1"/>
  <c r="BY1014" i="1"/>
  <c r="BX1014" i="1"/>
  <c r="BW1014" i="1"/>
  <c r="BV1014" i="1"/>
  <c r="BU1014" i="1"/>
  <c r="BT1014" i="1"/>
  <c r="BS1014" i="1"/>
  <c r="BR1014" i="1"/>
  <c r="BQ1014" i="1"/>
  <c r="BP1014" i="1"/>
  <c r="BO1014" i="1"/>
  <c r="BN1014" i="1"/>
  <c r="BM1014" i="1"/>
  <c r="BL1014" i="1"/>
  <c r="BK1014" i="1"/>
  <c r="BJ1014" i="1"/>
  <c r="BI1014" i="1"/>
  <c r="BH1014" i="1"/>
  <c r="BG1014" i="1"/>
  <c r="CE1013" i="1"/>
  <c r="CD1013" i="1"/>
  <c r="CC1013" i="1"/>
  <c r="CB1013" i="1"/>
  <c r="CA1013" i="1"/>
  <c r="BZ1013" i="1"/>
  <c r="BY1013" i="1"/>
  <c r="BX1013" i="1"/>
  <c r="BW1013" i="1"/>
  <c r="BV1013" i="1"/>
  <c r="BU1013" i="1"/>
  <c r="BT1013" i="1"/>
  <c r="BS1013" i="1"/>
  <c r="BR1013" i="1"/>
  <c r="BQ1013" i="1"/>
  <c r="BP1013" i="1"/>
  <c r="BO1013" i="1"/>
  <c r="BN1013" i="1"/>
  <c r="BM1013" i="1"/>
  <c r="BL1013" i="1"/>
  <c r="BK1013" i="1"/>
  <c r="BJ1013" i="1"/>
  <c r="BI1013" i="1"/>
  <c r="BH1013" i="1"/>
  <c r="BG1013" i="1"/>
  <c r="CE1012" i="1"/>
  <c r="CD1012" i="1"/>
  <c r="CC1012" i="1"/>
  <c r="CB1012" i="1"/>
  <c r="CA1012" i="1"/>
  <c r="BZ1012" i="1"/>
  <c r="BY1012" i="1"/>
  <c r="BX1012" i="1"/>
  <c r="BW1012" i="1"/>
  <c r="BV1012" i="1"/>
  <c r="BU1012" i="1"/>
  <c r="BT1012" i="1"/>
  <c r="BS1012" i="1"/>
  <c r="BR1012" i="1"/>
  <c r="BQ1012" i="1"/>
  <c r="BP1012" i="1"/>
  <c r="BO1012" i="1"/>
  <c r="BN1012" i="1"/>
  <c r="BM1012" i="1"/>
  <c r="BL1012" i="1"/>
  <c r="BK1012" i="1"/>
  <c r="BJ1012" i="1"/>
  <c r="BI1012" i="1"/>
  <c r="BH1012" i="1"/>
  <c r="BG1012" i="1"/>
  <c r="CE1011" i="1"/>
  <c r="CD1011" i="1"/>
  <c r="CC1011" i="1"/>
  <c r="CB1011" i="1"/>
  <c r="CA1011" i="1"/>
  <c r="BZ1011" i="1"/>
  <c r="BY1011" i="1"/>
  <c r="BX1011" i="1"/>
  <c r="BW1011" i="1"/>
  <c r="BV1011" i="1"/>
  <c r="BU1011" i="1"/>
  <c r="BT1011" i="1"/>
  <c r="BS1011" i="1"/>
  <c r="BR1011" i="1"/>
  <c r="BQ1011" i="1"/>
  <c r="BP1011" i="1"/>
  <c r="BO1011" i="1"/>
  <c r="BN1011" i="1"/>
  <c r="BM1011" i="1"/>
  <c r="BL1011" i="1"/>
  <c r="BK1011" i="1"/>
  <c r="BJ1011" i="1"/>
  <c r="BI1011" i="1"/>
  <c r="BH1011" i="1"/>
  <c r="BG1011" i="1"/>
  <c r="CE1010" i="1"/>
  <c r="CD1010" i="1"/>
  <c r="CC1010" i="1"/>
  <c r="CB1010" i="1"/>
  <c r="CA1010" i="1"/>
  <c r="BZ1010" i="1"/>
  <c r="BY1010" i="1"/>
  <c r="BX1010" i="1"/>
  <c r="BW1010" i="1"/>
  <c r="BV1010" i="1"/>
  <c r="BU1010" i="1"/>
  <c r="BT1010" i="1"/>
  <c r="BS1010" i="1"/>
  <c r="BR1010" i="1"/>
  <c r="BQ1010" i="1"/>
  <c r="BP1010" i="1"/>
  <c r="BO1010" i="1"/>
  <c r="BN1010" i="1"/>
  <c r="BM1010" i="1"/>
  <c r="BL1010" i="1"/>
  <c r="BK1010" i="1"/>
  <c r="BJ1010" i="1"/>
  <c r="BI1010" i="1"/>
  <c r="BH1010" i="1"/>
  <c r="BG1010" i="1"/>
  <c r="CE1009" i="1"/>
  <c r="CD1009" i="1"/>
  <c r="CC1009" i="1"/>
  <c r="CB1009" i="1"/>
  <c r="CA1009" i="1"/>
  <c r="BZ1009" i="1"/>
  <c r="BY1009" i="1"/>
  <c r="BX1009" i="1"/>
  <c r="BW1009" i="1"/>
  <c r="BV1009" i="1"/>
  <c r="BU1009" i="1"/>
  <c r="BT1009" i="1"/>
  <c r="BS1009" i="1"/>
  <c r="BR1009" i="1"/>
  <c r="BQ1009" i="1"/>
  <c r="BP1009" i="1"/>
  <c r="BO1009" i="1"/>
  <c r="BN1009" i="1"/>
  <c r="BM1009" i="1"/>
  <c r="BL1009" i="1"/>
  <c r="BK1009" i="1"/>
  <c r="BJ1009" i="1"/>
  <c r="BI1009" i="1"/>
  <c r="BH1009" i="1"/>
  <c r="BG1009" i="1"/>
  <c r="CE1008" i="1"/>
  <c r="CD1008" i="1"/>
  <c r="CC1008" i="1"/>
  <c r="CB1008" i="1"/>
  <c r="CA1008" i="1"/>
  <c r="BZ1008" i="1"/>
  <c r="BY1008" i="1"/>
  <c r="BX1008" i="1"/>
  <c r="BW1008" i="1"/>
  <c r="BV1008" i="1"/>
  <c r="BU1008" i="1"/>
  <c r="BT1008" i="1"/>
  <c r="BS1008" i="1"/>
  <c r="BR1008" i="1"/>
  <c r="BQ1008" i="1"/>
  <c r="BP1008" i="1"/>
  <c r="BO1008" i="1"/>
  <c r="BN1008" i="1"/>
  <c r="BM1008" i="1"/>
  <c r="BL1008" i="1"/>
  <c r="BK1008" i="1"/>
  <c r="BJ1008" i="1"/>
  <c r="BI1008" i="1"/>
  <c r="BH1008" i="1"/>
  <c r="BG1008" i="1"/>
  <c r="CE1007" i="1"/>
  <c r="CD1007" i="1"/>
  <c r="CC1007" i="1"/>
  <c r="CB1007" i="1"/>
  <c r="CA1007" i="1"/>
  <c r="BZ1007" i="1"/>
  <c r="BY1007" i="1"/>
  <c r="BX1007" i="1"/>
  <c r="BW1007" i="1"/>
  <c r="BV1007" i="1"/>
  <c r="BU1007" i="1"/>
  <c r="BT1007" i="1"/>
  <c r="BS1007" i="1"/>
  <c r="BR1007" i="1"/>
  <c r="BQ1007" i="1"/>
  <c r="BP1007" i="1"/>
  <c r="BO1007" i="1"/>
  <c r="BN1007" i="1"/>
  <c r="BM1007" i="1"/>
  <c r="BL1007" i="1"/>
  <c r="BK1007" i="1"/>
  <c r="BJ1007" i="1"/>
  <c r="BI1007" i="1"/>
  <c r="BH1007" i="1"/>
  <c r="BG1007" i="1"/>
  <c r="CE1006" i="1"/>
  <c r="CD1006" i="1"/>
  <c r="CC1006" i="1"/>
  <c r="CB1006" i="1"/>
  <c r="CA1006" i="1"/>
  <c r="BZ1006" i="1"/>
  <c r="BY1006" i="1"/>
  <c r="BX1006" i="1"/>
  <c r="BW1006" i="1"/>
  <c r="BV1006" i="1"/>
  <c r="BU1006" i="1"/>
  <c r="BT1006" i="1"/>
  <c r="BS1006" i="1"/>
  <c r="BR1006" i="1"/>
  <c r="BQ1006" i="1"/>
  <c r="BP1006" i="1"/>
  <c r="BO1006" i="1"/>
  <c r="BN1006" i="1"/>
  <c r="BM1006" i="1"/>
  <c r="BL1006" i="1"/>
  <c r="BK1006" i="1"/>
  <c r="BJ1006" i="1"/>
  <c r="BI1006" i="1"/>
  <c r="BH1006" i="1"/>
  <c r="BG1006" i="1"/>
  <c r="CE1005" i="1"/>
  <c r="CD1005" i="1"/>
  <c r="CC1005" i="1"/>
  <c r="CB1005" i="1"/>
  <c r="CA1005" i="1"/>
  <c r="BZ1005" i="1"/>
  <c r="BY1005" i="1"/>
  <c r="BX1005" i="1"/>
  <c r="BW1005" i="1"/>
  <c r="BV1005" i="1"/>
  <c r="BU1005" i="1"/>
  <c r="BT1005" i="1"/>
  <c r="BS1005" i="1"/>
  <c r="BR1005" i="1"/>
  <c r="BQ1005" i="1"/>
  <c r="BP1005" i="1"/>
  <c r="BO1005" i="1"/>
  <c r="BN1005" i="1"/>
  <c r="BM1005" i="1"/>
  <c r="BL1005" i="1"/>
  <c r="BK1005" i="1"/>
  <c r="BJ1005" i="1"/>
  <c r="BI1005" i="1"/>
  <c r="BH1005" i="1"/>
  <c r="BG1005" i="1"/>
  <c r="CE1004" i="1"/>
  <c r="CD1004" i="1"/>
  <c r="CC1004" i="1"/>
  <c r="CB1004" i="1"/>
  <c r="CA1004" i="1"/>
  <c r="BZ1004" i="1"/>
  <c r="BY1004" i="1"/>
  <c r="BX1004" i="1"/>
  <c r="BW1004" i="1"/>
  <c r="BV1004" i="1"/>
  <c r="BU1004" i="1"/>
  <c r="BT1004" i="1"/>
  <c r="BS1004" i="1"/>
  <c r="BR1004" i="1"/>
  <c r="BQ1004" i="1"/>
  <c r="BP1004" i="1"/>
  <c r="BO1004" i="1"/>
  <c r="BN1004" i="1"/>
  <c r="BM1004" i="1"/>
  <c r="BL1004" i="1"/>
  <c r="BK1004" i="1"/>
  <c r="BJ1004" i="1"/>
  <c r="BI1004" i="1"/>
  <c r="BH1004" i="1"/>
  <c r="BG1004" i="1"/>
  <c r="CE1003" i="1"/>
  <c r="CD1003" i="1"/>
  <c r="CC1003" i="1"/>
  <c r="CB1003" i="1"/>
  <c r="CA1003" i="1"/>
  <c r="BZ1003" i="1"/>
  <c r="BY1003" i="1"/>
  <c r="BX1003" i="1"/>
  <c r="BW1003" i="1"/>
  <c r="BV1003" i="1"/>
  <c r="BU1003" i="1"/>
  <c r="BT1003" i="1"/>
  <c r="BS1003" i="1"/>
  <c r="BR1003" i="1"/>
  <c r="BQ1003" i="1"/>
  <c r="BP1003" i="1"/>
  <c r="BO1003" i="1"/>
  <c r="BN1003" i="1"/>
  <c r="BM1003" i="1"/>
  <c r="BL1003" i="1"/>
  <c r="BK1003" i="1"/>
  <c r="BJ1003" i="1"/>
  <c r="BI1003" i="1"/>
  <c r="BH1003" i="1"/>
  <c r="BG1003" i="1"/>
  <c r="CE1002" i="1"/>
  <c r="CD1002" i="1"/>
  <c r="CC1002" i="1"/>
  <c r="CB1002" i="1"/>
  <c r="CA1002" i="1"/>
  <c r="BZ1002" i="1"/>
  <c r="BY1002" i="1"/>
  <c r="BX1002" i="1"/>
  <c r="BW1002" i="1"/>
  <c r="BV1002" i="1"/>
  <c r="BU1002" i="1"/>
  <c r="BT1002" i="1"/>
  <c r="BS1002" i="1"/>
  <c r="BR1002" i="1"/>
  <c r="BQ1002" i="1"/>
  <c r="BP1002" i="1"/>
  <c r="BO1002" i="1"/>
  <c r="BN1002" i="1"/>
  <c r="BM1002" i="1"/>
  <c r="BL1002" i="1"/>
  <c r="BK1002" i="1"/>
  <c r="BJ1002" i="1"/>
  <c r="BI1002" i="1"/>
  <c r="BH1002" i="1"/>
  <c r="BG1002" i="1"/>
  <c r="CE1001" i="1"/>
  <c r="CD1001" i="1"/>
  <c r="CC1001" i="1"/>
  <c r="CB1001" i="1"/>
  <c r="CA1001" i="1"/>
  <c r="BZ1001" i="1"/>
  <c r="BY1001" i="1"/>
  <c r="BX1001" i="1"/>
  <c r="BW1001" i="1"/>
  <c r="BV1001" i="1"/>
  <c r="BU1001" i="1"/>
  <c r="BT1001" i="1"/>
  <c r="BS1001" i="1"/>
  <c r="BR1001" i="1"/>
  <c r="BQ1001" i="1"/>
  <c r="BP1001" i="1"/>
  <c r="BO1001" i="1"/>
  <c r="BN1001" i="1"/>
  <c r="BM1001" i="1"/>
  <c r="BL1001" i="1"/>
  <c r="BK1001" i="1"/>
  <c r="BJ1001" i="1"/>
  <c r="BI1001" i="1"/>
  <c r="BH1001" i="1"/>
  <c r="BG1001" i="1"/>
  <c r="CE1000" i="1"/>
  <c r="CD1000" i="1"/>
  <c r="CC1000" i="1"/>
  <c r="CB1000" i="1"/>
  <c r="CA1000" i="1"/>
  <c r="BZ1000" i="1"/>
  <c r="BY1000" i="1"/>
  <c r="BX1000" i="1"/>
  <c r="BW1000" i="1"/>
  <c r="BV1000" i="1"/>
  <c r="BU1000" i="1"/>
  <c r="BT1000" i="1"/>
  <c r="BS1000" i="1"/>
  <c r="BR1000" i="1"/>
  <c r="BQ1000" i="1"/>
  <c r="BP1000" i="1"/>
  <c r="BO1000" i="1"/>
  <c r="BN1000" i="1"/>
  <c r="BM1000" i="1"/>
  <c r="BL1000" i="1"/>
  <c r="BK1000" i="1"/>
  <c r="BJ1000" i="1"/>
  <c r="BI1000" i="1"/>
  <c r="BH1000" i="1"/>
  <c r="BG1000" i="1"/>
  <c r="CE999" i="1"/>
  <c r="CD999" i="1"/>
  <c r="CC999" i="1"/>
  <c r="CB999" i="1"/>
  <c r="CA999" i="1"/>
  <c r="BZ999" i="1"/>
  <c r="BY999" i="1"/>
  <c r="BX999" i="1"/>
  <c r="BW999" i="1"/>
  <c r="BV999" i="1"/>
  <c r="BU999" i="1"/>
  <c r="BT999" i="1"/>
  <c r="BS999" i="1"/>
  <c r="BR999" i="1"/>
  <c r="BQ999" i="1"/>
  <c r="BP999" i="1"/>
  <c r="BO999" i="1"/>
  <c r="BN999" i="1"/>
  <c r="BM999" i="1"/>
  <c r="BL999" i="1"/>
  <c r="BK999" i="1"/>
  <c r="BJ999" i="1"/>
  <c r="BI999" i="1"/>
  <c r="BH999" i="1"/>
  <c r="BG999" i="1"/>
  <c r="CE998" i="1"/>
  <c r="CD998" i="1"/>
  <c r="CC998" i="1"/>
  <c r="CB998" i="1"/>
  <c r="CA998" i="1"/>
  <c r="BZ998" i="1"/>
  <c r="BY998" i="1"/>
  <c r="BX998" i="1"/>
  <c r="BW998" i="1"/>
  <c r="BV998" i="1"/>
  <c r="BU998" i="1"/>
  <c r="BT998" i="1"/>
  <c r="BS998" i="1"/>
  <c r="BR998" i="1"/>
  <c r="BQ998" i="1"/>
  <c r="BP998" i="1"/>
  <c r="BO998" i="1"/>
  <c r="BN998" i="1"/>
  <c r="BM998" i="1"/>
  <c r="BL998" i="1"/>
  <c r="BK998" i="1"/>
  <c r="BJ998" i="1"/>
  <c r="BI998" i="1"/>
  <c r="BH998" i="1"/>
  <c r="BG998" i="1"/>
  <c r="CE997" i="1"/>
  <c r="CD997" i="1"/>
  <c r="CC997" i="1"/>
  <c r="CB997" i="1"/>
  <c r="CA997" i="1"/>
  <c r="BZ997" i="1"/>
  <c r="BY997" i="1"/>
  <c r="BX997" i="1"/>
  <c r="BW997" i="1"/>
  <c r="BV997" i="1"/>
  <c r="BU997" i="1"/>
  <c r="BT997" i="1"/>
  <c r="BS997" i="1"/>
  <c r="BR997" i="1"/>
  <c r="BQ997" i="1"/>
  <c r="BP997" i="1"/>
  <c r="BO997" i="1"/>
  <c r="BN997" i="1"/>
  <c r="BM997" i="1"/>
  <c r="BL997" i="1"/>
  <c r="BK997" i="1"/>
  <c r="BJ997" i="1"/>
  <c r="BI997" i="1"/>
  <c r="BH997" i="1"/>
  <c r="BG997" i="1"/>
  <c r="CE996" i="1"/>
  <c r="CD996" i="1"/>
  <c r="CC996" i="1"/>
  <c r="CB996" i="1"/>
  <c r="CA996" i="1"/>
  <c r="BZ996" i="1"/>
  <c r="BY996" i="1"/>
  <c r="BX996" i="1"/>
  <c r="BW996" i="1"/>
  <c r="BV996" i="1"/>
  <c r="BU996" i="1"/>
  <c r="BT996" i="1"/>
  <c r="BS996" i="1"/>
  <c r="BR996" i="1"/>
  <c r="BQ996" i="1"/>
  <c r="BP996" i="1"/>
  <c r="BO996" i="1"/>
  <c r="BN996" i="1"/>
  <c r="BM996" i="1"/>
  <c r="BL996" i="1"/>
  <c r="BK996" i="1"/>
  <c r="BJ996" i="1"/>
  <c r="BI996" i="1"/>
  <c r="BH996" i="1"/>
  <c r="BG996" i="1"/>
  <c r="CE995" i="1"/>
  <c r="CD995" i="1"/>
  <c r="CC995" i="1"/>
  <c r="CB995" i="1"/>
  <c r="CA995" i="1"/>
  <c r="BZ995" i="1"/>
  <c r="BY995" i="1"/>
  <c r="BX995" i="1"/>
  <c r="BW995" i="1"/>
  <c r="BV995" i="1"/>
  <c r="BU995" i="1"/>
  <c r="BT995" i="1"/>
  <c r="BS995" i="1"/>
  <c r="BR995" i="1"/>
  <c r="BQ995" i="1"/>
  <c r="BP995" i="1"/>
  <c r="BO995" i="1"/>
  <c r="BN995" i="1"/>
  <c r="BM995" i="1"/>
  <c r="BL995" i="1"/>
  <c r="BK995" i="1"/>
  <c r="BJ995" i="1"/>
  <c r="BI995" i="1"/>
  <c r="BH995" i="1"/>
  <c r="BG995" i="1"/>
  <c r="CE994" i="1"/>
  <c r="CD994" i="1"/>
  <c r="CC994" i="1"/>
  <c r="CB994" i="1"/>
  <c r="CA994" i="1"/>
  <c r="BZ994" i="1"/>
  <c r="BY994" i="1"/>
  <c r="BX994" i="1"/>
  <c r="BW994" i="1"/>
  <c r="BV994" i="1"/>
  <c r="BU994" i="1"/>
  <c r="BT994" i="1"/>
  <c r="BS994" i="1"/>
  <c r="BR994" i="1"/>
  <c r="BQ994" i="1"/>
  <c r="BP994" i="1"/>
  <c r="BO994" i="1"/>
  <c r="BN994" i="1"/>
  <c r="BM994" i="1"/>
  <c r="BL994" i="1"/>
  <c r="BK994" i="1"/>
  <c r="BJ994" i="1"/>
  <c r="BI994" i="1"/>
  <c r="BH994" i="1"/>
  <c r="BG994" i="1"/>
  <c r="CE993" i="1"/>
  <c r="CD993" i="1"/>
  <c r="CC993" i="1"/>
  <c r="CB993" i="1"/>
  <c r="CA993" i="1"/>
  <c r="BZ993" i="1"/>
  <c r="BY993" i="1"/>
  <c r="BX993" i="1"/>
  <c r="BW993" i="1"/>
  <c r="BV993" i="1"/>
  <c r="BU993" i="1"/>
  <c r="BT993" i="1"/>
  <c r="BS993" i="1"/>
  <c r="BR993" i="1"/>
  <c r="BQ993" i="1"/>
  <c r="BP993" i="1"/>
  <c r="BO993" i="1"/>
  <c r="BN993" i="1"/>
  <c r="BM993" i="1"/>
  <c r="BL993" i="1"/>
  <c r="BK993" i="1"/>
  <c r="BJ993" i="1"/>
  <c r="BI993" i="1"/>
  <c r="BH993" i="1"/>
  <c r="BG993" i="1"/>
  <c r="CE992" i="1"/>
  <c r="CD992" i="1"/>
  <c r="CC992" i="1"/>
  <c r="CB992" i="1"/>
  <c r="CA992" i="1"/>
  <c r="BZ992" i="1"/>
  <c r="BY992" i="1"/>
  <c r="BX992" i="1"/>
  <c r="BW992" i="1"/>
  <c r="BV992" i="1"/>
  <c r="BU992" i="1"/>
  <c r="BT992" i="1"/>
  <c r="BS992" i="1"/>
  <c r="BR992" i="1"/>
  <c r="BQ992" i="1"/>
  <c r="BP992" i="1"/>
  <c r="BO992" i="1"/>
  <c r="BN992" i="1"/>
  <c r="BM992" i="1"/>
  <c r="BL992" i="1"/>
  <c r="BK992" i="1"/>
  <c r="BJ992" i="1"/>
  <c r="BI992" i="1"/>
  <c r="BH992" i="1"/>
  <c r="BG992" i="1"/>
  <c r="CE991" i="1"/>
  <c r="CD991" i="1"/>
  <c r="CC991" i="1"/>
  <c r="CB991" i="1"/>
  <c r="CA991" i="1"/>
  <c r="BZ991" i="1"/>
  <c r="BY991" i="1"/>
  <c r="BX991" i="1"/>
  <c r="BW991" i="1"/>
  <c r="BV991" i="1"/>
  <c r="BU991" i="1"/>
  <c r="BT991" i="1"/>
  <c r="BS991" i="1"/>
  <c r="BR991" i="1"/>
  <c r="BQ991" i="1"/>
  <c r="BP991" i="1"/>
  <c r="BO991" i="1"/>
  <c r="BN991" i="1"/>
  <c r="BM991" i="1"/>
  <c r="BL991" i="1"/>
  <c r="BK991" i="1"/>
  <c r="BJ991" i="1"/>
  <c r="BI991" i="1"/>
  <c r="BH991" i="1"/>
  <c r="BG991" i="1"/>
  <c r="CE990" i="1"/>
  <c r="CD990" i="1"/>
  <c r="CC990" i="1"/>
  <c r="CB990" i="1"/>
  <c r="CA990" i="1"/>
  <c r="BZ990" i="1"/>
  <c r="BY990" i="1"/>
  <c r="BX990" i="1"/>
  <c r="BW990" i="1"/>
  <c r="BV990" i="1"/>
  <c r="BU990" i="1"/>
  <c r="BT990" i="1"/>
  <c r="BS990" i="1"/>
  <c r="BR990" i="1"/>
  <c r="BQ990" i="1"/>
  <c r="BP990" i="1"/>
  <c r="BO990" i="1"/>
  <c r="BN990" i="1"/>
  <c r="BM990" i="1"/>
  <c r="BL990" i="1"/>
  <c r="BK990" i="1"/>
  <c r="BJ990" i="1"/>
  <c r="BI990" i="1"/>
  <c r="BH990" i="1"/>
  <c r="BG990" i="1"/>
  <c r="CE989" i="1"/>
  <c r="CD989" i="1"/>
  <c r="CC989" i="1"/>
  <c r="CB989" i="1"/>
  <c r="CA989" i="1"/>
  <c r="BZ989" i="1"/>
  <c r="BY989" i="1"/>
  <c r="BX989" i="1"/>
  <c r="BW989" i="1"/>
  <c r="BV989" i="1"/>
  <c r="BU989" i="1"/>
  <c r="BT989" i="1"/>
  <c r="BS989" i="1"/>
  <c r="BR989" i="1"/>
  <c r="BQ989" i="1"/>
  <c r="BP989" i="1"/>
  <c r="BO989" i="1"/>
  <c r="BN989" i="1"/>
  <c r="BM989" i="1"/>
  <c r="BL989" i="1"/>
  <c r="BK989" i="1"/>
  <c r="BJ989" i="1"/>
  <c r="BI989" i="1"/>
  <c r="BH989" i="1"/>
  <c r="BG989" i="1"/>
  <c r="CE988" i="1"/>
  <c r="CD988" i="1"/>
  <c r="CC988" i="1"/>
  <c r="CB988" i="1"/>
  <c r="CA988" i="1"/>
  <c r="BZ988" i="1"/>
  <c r="BY988" i="1"/>
  <c r="BX988" i="1"/>
  <c r="BW988" i="1"/>
  <c r="BV988" i="1"/>
  <c r="BU988" i="1"/>
  <c r="BT988" i="1"/>
  <c r="BS988" i="1"/>
  <c r="BR988" i="1"/>
  <c r="BQ988" i="1"/>
  <c r="BP988" i="1"/>
  <c r="BO988" i="1"/>
  <c r="BN988" i="1"/>
  <c r="BM988" i="1"/>
  <c r="BL988" i="1"/>
  <c r="BK988" i="1"/>
  <c r="BJ988" i="1"/>
  <c r="BI988" i="1"/>
  <c r="BH988" i="1"/>
  <c r="BG988" i="1"/>
  <c r="CE987" i="1"/>
  <c r="CD987" i="1"/>
  <c r="CC987" i="1"/>
  <c r="CB987" i="1"/>
  <c r="CA987" i="1"/>
  <c r="BZ987" i="1"/>
  <c r="BY987" i="1"/>
  <c r="BX987" i="1"/>
  <c r="BW987" i="1"/>
  <c r="BV987" i="1"/>
  <c r="BU987" i="1"/>
  <c r="BT987" i="1"/>
  <c r="BS987" i="1"/>
  <c r="BR987" i="1"/>
  <c r="BQ987" i="1"/>
  <c r="BP987" i="1"/>
  <c r="BO987" i="1"/>
  <c r="BN987" i="1"/>
  <c r="BM987" i="1"/>
  <c r="BL987" i="1"/>
  <c r="BK987" i="1"/>
  <c r="BJ987" i="1"/>
  <c r="BI987" i="1"/>
  <c r="BH987" i="1"/>
  <c r="BG987" i="1"/>
  <c r="CE986" i="1"/>
  <c r="CD986" i="1"/>
  <c r="CC986" i="1"/>
  <c r="CB986" i="1"/>
  <c r="CA986" i="1"/>
  <c r="BZ986" i="1"/>
  <c r="BY986" i="1"/>
  <c r="BX986" i="1"/>
  <c r="BW986" i="1"/>
  <c r="BV986" i="1"/>
  <c r="BU986" i="1"/>
  <c r="BT986" i="1"/>
  <c r="BS986" i="1"/>
  <c r="BR986" i="1"/>
  <c r="BQ986" i="1"/>
  <c r="BP986" i="1"/>
  <c r="BO986" i="1"/>
  <c r="BN986" i="1"/>
  <c r="BM986" i="1"/>
  <c r="BL986" i="1"/>
  <c r="BK986" i="1"/>
  <c r="BJ986" i="1"/>
  <c r="BI986" i="1"/>
  <c r="BH986" i="1"/>
  <c r="BG986" i="1"/>
  <c r="CE985" i="1"/>
  <c r="CD985" i="1"/>
  <c r="CC985" i="1"/>
  <c r="CB985" i="1"/>
  <c r="CA985" i="1"/>
  <c r="BZ985" i="1"/>
  <c r="BY985" i="1"/>
  <c r="BX985" i="1"/>
  <c r="BW985" i="1"/>
  <c r="BV985" i="1"/>
  <c r="BU985" i="1"/>
  <c r="BT985" i="1"/>
  <c r="BS985" i="1"/>
  <c r="BR985" i="1"/>
  <c r="BQ985" i="1"/>
  <c r="BP985" i="1"/>
  <c r="BO985" i="1"/>
  <c r="BN985" i="1"/>
  <c r="BM985" i="1"/>
  <c r="BL985" i="1"/>
  <c r="BK985" i="1"/>
  <c r="BJ985" i="1"/>
  <c r="BI985" i="1"/>
  <c r="BH985" i="1"/>
  <c r="BG985" i="1"/>
  <c r="CE984" i="1"/>
  <c r="CD984" i="1"/>
  <c r="CC984" i="1"/>
  <c r="CB984" i="1"/>
  <c r="CA984" i="1"/>
  <c r="BZ984" i="1"/>
  <c r="BY984" i="1"/>
  <c r="BX984" i="1"/>
  <c r="BW984" i="1"/>
  <c r="BV984" i="1"/>
  <c r="BU984" i="1"/>
  <c r="BT984" i="1"/>
  <c r="BS984" i="1"/>
  <c r="BR984" i="1"/>
  <c r="BQ984" i="1"/>
  <c r="BP984" i="1"/>
  <c r="BO984" i="1"/>
  <c r="BN984" i="1"/>
  <c r="BM984" i="1"/>
  <c r="BL984" i="1"/>
  <c r="BK984" i="1"/>
  <c r="BJ984" i="1"/>
  <c r="BI984" i="1"/>
  <c r="BH984" i="1"/>
  <c r="BG984" i="1"/>
  <c r="CE983" i="1"/>
  <c r="CD983" i="1"/>
  <c r="CC983" i="1"/>
  <c r="CB983" i="1"/>
  <c r="CA983" i="1"/>
  <c r="BZ983" i="1"/>
  <c r="BY983" i="1"/>
  <c r="BX983" i="1"/>
  <c r="BW983" i="1"/>
  <c r="BV983" i="1"/>
  <c r="BU983" i="1"/>
  <c r="BT983" i="1"/>
  <c r="BS983" i="1"/>
  <c r="BR983" i="1"/>
  <c r="BQ983" i="1"/>
  <c r="BP983" i="1"/>
  <c r="BO983" i="1"/>
  <c r="BN983" i="1"/>
  <c r="BM983" i="1"/>
  <c r="BL983" i="1"/>
  <c r="BK983" i="1"/>
  <c r="BJ983" i="1"/>
  <c r="BI983" i="1"/>
  <c r="BH983" i="1"/>
  <c r="BG983" i="1"/>
  <c r="CE982" i="1"/>
  <c r="CD982" i="1"/>
  <c r="CC982" i="1"/>
  <c r="CB982" i="1"/>
  <c r="CA982" i="1"/>
  <c r="BZ982" i="1"/>
  <c r="BY982" i="1"/>
  <c r="BX982" i="1"/>
  <c r="BW982" i="1"/>
  <c r="BV982" i="1"/>
  <c r="BU982" i="1"/>
  <c r="BT982" i="1"/>
  <c r="BS982" i="1"/>
  <c r="BR982" i="1"/>
  <c r="BQ982" i="1"/>
  <c r="BP982" i="1"/>
  <c r="BO982" i="1"/>
  <c r="BN982" i="1"/>
  <c r="BM982" i="1"/>
  <c r="BL982" i="1"/>
  <c r="BK982" i="1"/>
  <c r="BJ982" i="1"/>
  <c r="BI982" i="1"/>
  <c r="BH982" i="1"/>
  <c r="BG982" i="1"/>
  <c r="CE981" i="1"/>
  <c r="CD981" i="1"/>
  <c r="CC981" i="1"/>
  <c r="CB981" i="1"/>
  <c r="CA981" i="1"/>
  <c r="BZ981" i="1"/>
  <c r="BY981" i="1"/>
  <c r="BX981" i="1"/>
  <c r="BW981" i="1"/>
  <c r="BV981" i="1"/>
  <c r="BU981" i="1"/>
  <c r="BT981" i="1"/>
  <c r="BS981" i="1"/>
  <c r="BR981" i="1"/>
  <c r="BQ981" i="1"/>
  <c r="BP981" i="1"/>
  <c r="BO981" i="1"/>
  <c r="BN981" i="1"/>
  <c r="BM981" i="1"/>
  <c r="BL981" i="1"/>
  <c r="BK981" i="1"/>
  <c r="BJ981" i="1"/>
  <c r="BI981" i="1"/>
  <c r="BH981" i="1"/>
  <c r="BG981" i="1"/>
  <c r="CE980" i="1"/>
  <c r="CD980" i="1"/>
  <c r="CC980" i="1"/>
  <c r="CB980" i="1"/>
  <c r="CA980" i="1"/>
  <c r="BZ980" i="1"/>
  <c r="BY980" i="1"/>
  <c r="BX980" i="1"/>
  <c r="BW980" i="1"/>
  <c r="BV980" i="1"/>
  <c r="BU980" i="1"/>
  <c r="BT980" i="1"/>
  <c r="BS980" i="1"/>
  <c r="BR980" i="1"/>
  <c r="BQ980" i="1"/>
  <c r="BP980" i="1"/>
  <c r="BO980" i="1"/>
  <c r="BN980" i="1"/>
  <c r="BM980" i="1"/>
  <c r="BL980" i="1"/>
  <c r="BK980" i="1"/>
  <c r="BJ980" i="1"/>
  <c r="BI980" i="1"/>
  <c r="BH980" i="1"/>
  <c r="BG980" i="1"/>
  <c r="CE979" i="1"/>
  <c r="CD979" i="1"/>
  <c r="CC979" i="1"/>
  <c r="CB979" i="1"/>
  <c r="CA979" i="1"/>
  <c r="BZ979" i="1"/>
  <c r="BY979" i="1"/>
  <c r="BX979" i="1"/>
  <c r="BW979" i="1"/>
  <c r="BV979" i="1"/>
  <c r="BU979" i="1"/>
  <c r="BT979" i="1"/>
  <c r="BS979" i="1"/>
  <c r="BR979" i="1"/>
  <c r="BQ979" i="1"/>
  <c r="BP979" i="1"/>
  <c r="BO979" i="1"/>
  <c r="BN979" i="1"/>
  <c r="BM979" i="1"/>
  <c r="BL979" i="1"/>
  <c r="BK979" i="1"/>
  <c r="BJ979" i="1"/>
  <c r="BI979" i="1"/>
  <c r="BH979" i="1"/>
  <c r="BG979" i="1"/>
  <c r="CE978" i="1"/>
  <c r="CD978" i="1"/>
  <c r="CC978" i="1"/>
  <c r="CB978" i="1"/>
  <c r="CA978" i="1"/>
  <c r="BZ978" i="1"/>
  <c r="BY978" i="1"/>
  <c r="BX978" i="1"/>
  <c r="BW978" i="1"/>
  <c r="BV978" i="1"/>
  <c r="BU978" i="1"/>
  <c r="BT978" i="1"/>
  <c r="BS978" i="1"/>
  <c r="BR978" i="1"/>
  <c r="BQ978" i="1"/>
  <c r="BP978" i="1"/>
  <c r="BO978" i="1"/>
  <c r="BN978" i="1"/>
  <c r="BM978" i="1"/>
  <c r="BL978" i="1"/>
  <c r="BK978" i="1"/>
  <c r="BJ978" i="1"/>
  <c r="BI978" i="1"/>
  <c r="BH978" i="1"/>
  <c r="BG978" i="1"/>
  <c r="CE977" i="1"/>
  <c r="CD977" i="1"/>
  <c r="CC977" i="1"/>
  <c r="CB977" i="1"/>
  <c r="CA977" i="1"/>
  <c r="BZ977" i="1"/>
  <c r="BY977" i="1"/>
  <c r="BX977" i="1"/>
  <c r="BW977" i="1"/>
  <c r="BV977" i="1"/>
  <c r="BU977" i="1"/>
  <c r="BT977" i="1"/>
  <c r="BS977" i="1"/>
  <c r="BR977" i="1"/>
  <c r="BQ977" i="1"/>
  <c r="BP977" i="1"/>
  <c r="BO977" i="1"/>
  <c r="BN977" i="1"/>
  <c r="BM977" i="1"/>
  <c r="BL977" i="1"/>
  <c r="BK977" i="1"/>
  <c r="BJ977" i="1"/>
  <c r="BI977" i="1"/>
  <c r="BH977" i="1"/>
  <c r="BG977" i="1"/>
  <c r="CE976" i="1"/>
  <c r="CD976" i="1"/>
  <c r="CC976" i="1"/>
  <c r="CB976" i="1"/>
  <c r="CA976" i="1"/>
  <c r="BZ976" i="1"/>
  <c r="BY976" i="1"/>
  <c r="BX976" i="1"/>
  <c r="BW976" i="1"/>
  <c r="BV976" i="1"/>
  <c r="BU976" i="1"/>
  <c r="BT976" i="1"/>
  <c r="BS976" i="1"/>
  <c r="BR976" i="1"/>
  <c r="BQ976" i="1"/>
  <c r="BP976" i="1"/>
  <c r="BO976" i="1"/>
  <c r="BN976" i="1"/>
  <c r="BM976" i="1"/>
  <c r="BL976" i="1"/>
  <c r="BK976" i="1"/>
  <c r="BJ976" i="1"/>
  <c r="BI976" i="1"/>
  <c r="BH976" i="1"/>
  <c r="BG976" i="1"/>
  <c r="CE975" i="1"/>
  <c r="CD975" i="1"/>
  <c r="CC975" i="1"/>
  <c r="CB975" i="1"/>
  <c r="CA975" i="1"/>
  <c r="BZ975" i="1"/>
  <c r="BY975" i="1"/>
  <c r="BX975" i="1"/>
  <c r="BW975" i="1"/>
  <c r="BV975" i="1"/>
  <c r="BU975" i="1"/>
  <c r="BT975" i="1"/>
  <c r="BS975" i="1"/>
  <c r="BR975" i="1"/>
  <c r="BQ975" i="1"/>
  <c r="BP975" i="1"/>
  <c r="BO975" i="1"/>
  <c r="BN975" i="1"/>
  <c r="BM975" i="1"/>
  <c r="BL975" i="1"/>
  <c r="BK975" i="1"/>
  <c r="BJ975" i="1"/>
  <c r="BI975" i="1"/>
  <c r="BH975" i="1"/>
  <c r="BG975" i="1"/>
  <c r="CE974" i="1"/>
  <c r="CD974" i="1"/>
  <c r="CC974" i="1"/>
  <c r="CB974" i="1"/>
  <c r="CA974" i="1"/>
  <c r="BZ974" i="1"/>
  <c r="BY974" i="1"/>
  <c r="BX974" i="1"/>
  <c r="BW974" i="1"/>
  <c r="BV974" i="1"/>
  <c r="BU974" i="1"/>
  <c r="BT974" i="1"/>
  <c r="BS974" i="1"/>
  <c r="BR974" i="1"/>
  <c r="BQ974" i="1"/>
  <c r="BP974" i="1"/>
  <c r="BO974" i="1"/>
  <c r="BN974" i="1"/>
  <c r="BM974" i="1"/>
  <c r="BL974" i="1"/>
  <c r="BK974" i="1"/>
  <c r="BJ974" i="1"/>
  <c r="BI974" i="1"/>
  <c r="BH974" i="1"/>
  <c r="BG974" i="1"/>
  <c r="CE973" i="1"/>
  <c r="CD973" i="1"/>
  <c r="CC973" i="1"/>
  <c r="CB973" i="1"/>
  <c r="CA973" i="1"/>
  <c r="BZ973" i="1"/>
  <c r="BY973" i="1"/>
  <c r="BX973" i="1"/>
  <c r="BW973" i="1"/>
  <c r="BV973" i="1"/>
  <c r="BU973" i="1"/>
  <c r="BT973" i="1"/>
  <c r="BS973" i="1"/>
  <c r="BR973" i="1"/>
  <c r="BQ973" i="1"/>
  <c r="BP973" i="1"/>
  <c r="BO973" i="1"/>
  <c r="BN973" i="1"/>
  <c r="BM973" i="1"/>
  <c r="BL973" i="1"/>
  <c r="BK973" i="1"/>
  <c r="BJ973" i="1"/>
  <c r="BI973" i="1"/>
  <c r="BH973" i="1"/>
  <c r="BG973" i="1"/>
  <c r="CE972" i="1"/>
  <c r="CD972" i="1"/>
  <c r="CC972" i="1"/>
  <c r="CB972" i="1"/>
  <c r="CA972" i="1"/>
  <c r="BZ972" i="1"/>
  <c r="BY972" i="1"/>
  <c r="BX972" i="1"/>
  <c r="BW972" i="1"/>
  <c r="BV972" i="1"/>
  <c r="BU972" i="1"/>
  <c r="BT972" i="1"/>
  <c r="BS972" i="1"/>
  <c r="BR972" i="1"/>
  <c r="BQ972" i="1"/>
  <c r="BP972" i="1"/>
  <c r="BO972" i="1"/>
  <c r="BN972" i="1"/>
  <c r="BM972" i="1"/>
  <c r="BL972" i="1"/>
  <c r="BK972" i="1"/>
  <c r="BJ972" i="1"/>
  <c r="BI972" i="1"/>
  <c r="BH972" i="1"/>
  <c r="BG972" i="1"/>
  <c r="CE971" i="1"/>
  <c r="CD971" i="1"/>
  <c r="CC971" i="1"/>
  <c r="CB971" i="1"/>
  <c r="CA971" i="1"/>
  <c r="BZ971" i="1"/>
  <c r="BY971" i="1"/>
  <c r="BX971" i="1"/>
  <c r="BW971" i="1"/>
  <c r="BV971" i="1"/>
  <c r="BU971" i="1"/>
  <c r="BT971" i="1"/>
  <c r="BS971" i="1"/>
  <c r="BR971" i="1"/>
  <c r="BQ971" i="1"/>
  <c r="BP971" i="1"/>
  <c r="BO971" i="1"/>
  <c r="BN971" i="1"/>
  <c r="BM971" i="1"/>
  <c r="BL971" i="1"/>
  <c r="BK971" i="1"/>
  <c r="BJ971" i="1"/>
  <c r="BI971" i="1"/>
  <c r="BH971" i="1"/>
  <c r="BG971" i="1"/>
  <c r="CE970" i="1"/>
  <c r="CD970" i="1"/>
  <c r="CC970" i="1"/>
  <c r="CB970" i="1"/>
  <c r="CA970" i="1"/>
  <c r="BZ970" i="1"/>
  <c r="BY970" i="1"/>
  <c r="BX970" i="1"/>
  <c r="BW970" i="1"/>
  <c r="BV970" i="1"/>
  <c r="BU970" i="1"/>
  <c r="BT970" i="1"/>
  <c r="BS970" i="1"/>
  <c r="BR970" i="1"/>
  <c r="BQ970" i="1"/>
  <c r="BP970" i="1"/>
  <c r="BO970" i="1"/>
  <c r="BN970" i="1"/>
  <c r="BM970" i="1"/>
  <c r="BL970" i="1"/>
  <c r="BK970" i="1"/>
  <c r="BJ970" i="1"/>
  <c r="BI970" i="1"/>
  <c r="BH970" i="1"/>
  <c r="BG970" i="1"/>
  <c r="CE969" i="1"/>
  <c r="CD969" i="1"/>
  <c r="CC969" i="1"/>
  <c r="CB969" i="1"/>
  <c r="CA969" i="1"/>
  <c r="BZ969" i="1"/>
  <c r="BY969" i="1"/>
  <c r="BX969" i="1"/>
  <c r="BW969" i="1"/>
  <c r="BV969" i="1"/>
  <c r="BU969" i="1"/>
  <c r="BT969" i="1"/>
  <c r="BS969" i="1"/>
  <c r="BR969" i="1"/>
  <c r="BQ969" i="1"/>
  <c r="BP969" i="1"/>
  <c r="BO969" i="1"/>
  <c r="BN969" i="1"/>
  <c r="BM969" i="1"/>
  <c r="BL969" i="1"/>
  <c r="BK969" i="1"/>
  <c r="BJ969" i="1"/>
  <c r="BI969" i="1"/>
  <c r="BH969" i="1"/>
  <c r="BG969" i="1"/>
  <c r="CE968" i="1"/>
  <c r="CD968" i="1"/>
  <c r="CC968" i="1"/>
  <c r="CB968" i="1"/>
  <c r="CA968" i="1"/>
  <c r="BZ968" i="1"/>
  <c r="BY968" i="1"/>
  <c r="BX968" i="1"/>
  <c r="BW968" i="1"/>
  <c r="BV968" i="1"/>
  <c r="BU968" i="1"/>
  <c r="BT968" i="1"/>
  <c r="BS968" i="1"/>
  <c r="BR968" i="1"/>
  <c r="BQ968" i="1"/>
  <c r="BP968" i="1"/>
  <c r="BO968" i="1"/>
  <c r="BN968" i="1"/>
  <c r="BM968" i="1"/>
  <c r="BL968" i="1"/>
  <c r="BK968" i="1"/>
  <c r="BJ968" i="1"/>
  <c r="BI968" i="1"/>
  <c r="BH968" i="1"/>
  <c r="BG968" i="1"/>
  <c r="CE967" i="1"/>
  <c r="CD967" i="1"/>
  <c r="CC967" i="1"/>
  <c r="CB967" i="1"/>
  <c r="CA967" i="1"/>
  <c r="BZ967" i="1"/>
  <c r="BY967" i="1"/>
  <c r="BX967" i="1"/>
  <c r="BW967" i="1"/>
  <c r="BV967" i="1"/>
  <c r="BU967" i="1"/>
  <c r="BT967" i="1"/>
  <c r="BS967" i="1"/>
  <c r="BR967" i="1"/>
  <c r="BQ967" i="1"/>
  <c r="BP967" i="1"/>
  <c r="BO967" i="1"/>
  <c r="BN967" i="1"/>
  <c r="BM967" i="1"/>
  <c r="BL967" i="1"/>
  <c r="BK967" i="1"/>
  <c r="BJ967" i="1"/>
  <c r="BI967" i="1"/>
  <c r="BH967" i="1"/>
  <c r="BG967" i="1"/>
  <c r="CE966" i="1"/>
  <c r="CD966" i="1"/>
  <c r="CC966" i="1"/>
  <c r="CB966" i="1"/>
  <c r="CA966" i="1"/>
  <c r="BZ966" i="1"/>
  <c r="BY966" i="1"/>
  <c r="BX966" i="1"/>
  <c r="BW966" i="1"/>
  <c r="BV966" i="1"/>
  <c r="BU966" i="1"/>
  <c r="BT966" i="1"/>
  <c r="BS966" i="1"/>
  <c r="BR966" i="1"/>
  <c r="BQ966" i="1"/>
  <c r="BP966" i="1"/>
  <c r="BO966" i="1"/>
  <c r="BN966" i="1"/>
  <c r="BM966" i="1"/>
  <c r="BL966" i="1"/>
  <c r="BK966" i="1"/>
  <c r="BJ966" i="1"/>
  <c r="BI966" i="1"/>
  <c r="BH966" i="1"/>
  <c r="BG966" i="1"/>
  <c r="CE965" i="1"/>
  <c r="CD965" i="1"/>
  <c r="CC965" i="1"/>
  <c r="CB965" i="1"/>
  <c r="CA965" i="1"/>
  <c r="BZ965" i="1"/>
  <c r="BY965" i="1"/>
  <c r="BX965" i="1"/>
  <c r="BW965" i="1"/>
  <c r="BV965" i="1"/>
  <c r="BU965" i="1"/>
  <c r="BT965" i="1"/>
  <c r="BS965" i="1"/>
  <c r="BR965" i="1"/>
  <c r="BQ965" i="1"/>
  <c r="BP965" i="1"/>
  <c r="BO965" i="1"/>
  <c r="BN965" i="1"/>
  <c r="BM965" i="1"/>
  <c r="BL965" i="1"/>
  <c r="BK965" i="1"/>
  <c r="BJ965" i="1"/>
  <c r="BI965" i="1"/>
  <c r="BH965" i="1"/>
  <c r="BG965" i="1"/>
  <c r="CE964" i="1"/>
  <c r="CD964" i="1"/>
  <c r="CC964" i="1"/>
  <c r="CB964" i="1"/>
  <c r="CA964" i="1"/>
  <c r="BZ964" i="1"/>
  <c r="BY964" i="1"/>
  <c r="BX964" i="1"/>
  <c r="BW964" i="1"/>
  <c r="BV964" i="1"/>
  <c r="BU964" i="1"/>
  <c r="BT964" i="1"/>
  <c r="BS964" i="1"/>
  <c r="BR964" i="1"/>
  <c r="BQ964" i="1"/>
  <c r="BP964" i="1"/>
  <c r="BO964" i="1"/>
  <c r="BN964" i="1"/>
  <c r="BM964" i="1"/>
  <c r="BL964" i="1"/>
  <c r="BK964" i="1"/>
  <c r="BJ964" i="1"/>
  <c r="BI964" i="1"/>
  <c r="BH964" i="1"/>
  <c r="BG964" i="1"/>
  <c r="CE963" i="1"/>
  <c r="CD963" i="1"/>
  <c r="CC963" i="1"/>
  <c r="CB963" i="1"/>
  <c r="CA963" i="1"/>
  <c r="BZ963" i="1"/>
  <c r="BY963" i="1"/>
  <c r="BX963" i="1"/>
  <c r="BW963" i="1"/>
  <c r="BV963" i="1"/>
  <c r="BU963" i="1"/>
  <c r="BT963" i="1"/>
  <c r="BS963" i="1"/>
  <c r="BR963" i="1"/>
  <c r="BQ963" i="1"/>
  <c r="BP963" i="1"/>
  <c r="BO963" i="1"/>
  <c r="BN963" i="1"/>
  <c r="BM963" i="1"/>
  <c r="BL963" i="1"/>
  <c r="BK963" i="1"/>
  <c r="BJ963" i="1"/>
  <c r="BI963" i="1"/>
  <c r="BH963" i="1"/>
  <c r="BG963" i="1"/>
  <c r="CE962" i="1"/>
  <c r="CD962" i="1"/>
  <c r="CC962" i="1"/>
  <c r="CB962" i="1"/>
  <c r="CA962" i="1"/>
  <c r="BZ962" i="1"/>
  <c r="BY962" i="1"/>
  <c r="BX962" i="1"/>
  <c r="BW962" i="1"/>
  <c r="BV962" i="1"/>
  <c r="BU962" i="1"/>
  <c r="BT962" i="1"/>
  <c r="BS962" i="1"/>
  <c r="BR962" i="1"/>
  <c r="BQ962" i="1"/>
  <c r="BP962" i="1"/>
  <c r="BO962" i="1"/>
  <c r="BN962" i="1"/>
  <c r="BM962" i="1"/>
  <c r="BL962" i="1"/>
  <c r="BK962" i="1"/>
  <c r="BJ962" i="1"/>
  <c r="BI962" i="1"/>
  <c r="BH962" i="1"/>
  <c r="BG962" i="1"/>
  <c r="CE961" i="1"/>
  <c r="CD961" i="1"/>
  <c r="CC961" i="1"/>
  <c r="CB961" i="1"/>
  <c r="CA961" i="1"/>
  <c r="BZ961" i="1"/>
  <c r="BY961" i="1"/>
  <c r="BX961" i="1"/>
  <c r="BW961" i="1"/>
  <c r="BV961" i="1"/>
  <c r="BU961" i="1"/>
  <c r="BT961" i="1"/>
  <c r="BS961" i="1"/>
  <c r="BR961" i="1"/>
  <c r="BQ961" i="1"/>
  <c r="BP961" i="1"/>
  <c r="BO961" i="1"/>
  <c r="BN961" i="1"/>
  <c r="BM961" i="1"/>
  <c r="BL961" i="1"/>
  <c r="BK961" i="1"/>
  <c r="BJ961" i="1"/>
  <c r="BI961" i="1"/>
  <c r="BH961" i="1"/>
  <c r="BG961" i="1"/>
  <c r="CE960" i="1"/>
  <c r="CD960" i="1"/>
  <c r="CC960" i="1"/>
  <c r="CB960" i="1"/>
  <c r="CA960" i="1"/>
  <c r="BZ960" i="1"/>
  <c r="BY960" i="1"/>
  <c r="BX960" i="1"/>
  <c r="BW960" i="1"/>
  <c r="BV960" i="1"/>
  <c r="BU960" i="1"/>
  <c r="BT960" i="1"/>
  <c r="BS960" i="1"/>
  <c r="BR960" i="1"/>
  <c r="BQ960" i="1"/>
  <c r="BP960" i="1"/>
  <c r="BO960" i="1"/>
  <c r="BN960" i="1"/>
  <c r="BM960" i="1"/>
  <c r="BL960" i="1"/>
  <c r="BK960" i="1"/>
  <c r="BJ960" i="1"/>
  <c r="BI960" i="1"/>
  <c r="BH960" i="1"/>
  <c r="BG960" i="1"/>
  <c r="CE959" i="1"/>
  <c r="CD959" i="1"/>
  <c r="CC959" i="1"/>
  <c r="CB959" i="1"/>
  <c r="CA959" i="1"/>
  <c r="BZ959" i="1"/>
  <c r="BY959" i="1"/>
  <c r="BX959" i="1"/>
  <c r="BW959" i="1"/>
  <c r="BV959" i="1"/>
  <c r="BU959" i="1"/>
  <c r="BT959" i="1"/>
  <c r="BS959" i="1"/>
  <c r="BR959" i="1"/>
  <c r="BQ959" i="1"/>
  <c r="BP959" i="1"/>
  <c r="BO959" i="1"/>
  <c r="BN959" i="1"/>
  <c r="BM959" i="1"/>
  <c r="BL959" i="1"/>
  <c r="BK959" i="1"/>
  <c r="BJ959" i="1"/>
  <c r="BI959" i="1"/>
  <c r="BH959" i="1"/>
  <c r="BG959" i="1"/>
  <c r="CE958" i="1"/>
  <c r="CD958" i="1"/>
  <c r="CC958" i="1"/>
  <c r="CB958" i="1"/>
  <c r="CA958" i="1"/>
  <c r="BZ958" i="1"/>
  <c r="BY958" i="1"/>
  <c r="BX958" i="1"/>
  <c r="BW958" i="1"/>
  <c r="BV958" i="1"/>
  <c r="BU958" i="1"/>
  <c r="BT958" i="1"/>
  <c r="BS958" i="1"/>
  <c r="BR958" i="1"/>
  <c r="BQ958" i="1"/>
  <c r="BP958" i="1"/>
  <c r="BO958" i="1"/>
  <c r="BN958" i="1"/>
  <c r="BM958" i="1"/>
  <c r="BL958" i="1"/>
  <c r="BK958" i="1"/>
  <c r="BJ958" i="1"/>
  <c r="BI958" i="1"/>
  <c r="BH958" i="1"/>
  <c r="BG958" i="1"/>
  <c r="CE957" i="1"/>
  <c r="CD957" i="1"/>
  <c r="CC957" i="1"/>
  <c r="CB957" i="1"/>
  <c r="CA957" i="1"/>
  <c r="BZ957" i="1"/>
  <c r="BY957" i="1"/>
  <c r="BX957" i="1"/>
  <c r="BW957" i="1"/>
  <c r="BV957" i="1"/>
  <c r="BU957" i="1"/>
  <c r="BT957" i="1"/>
  <c r="BS957" i="1"/>
  <c r="BR957" i="1"/>
  <c r="BQ957" i="1"/>
  <c r="BP957" i="1"/>
  <c r="BO957" i="1"/>
  <c r="BN957" i="1"/>
  <c r="BM957" i="1"/>
  <c r="BL957" i="1"/>
  <c r="BK957" i="1"/>
  <c r="BJ957" i="1"/>
  <c r="BI957" i="1"/>
  <c r="BH957" i="1"/>
  <c r="BG957" i="1"/>
  <c r="CE956" i="1"/>
  <c r="CD956" i="1"/>
  <c r="CC956" i="1"/>
  <c r="CB956" i="1"/>
  <c r="CA956" i="1"/>
  <c r="BZ956" i="1"/>
  <c r="BY956" i="1"/>
  <c r="BX956" i="1"/>
  <c r="BW956" i="1"/>
  <c r="BV956" i="1"/>
  <c r="BU956" i="1"/>
  <c r="BT956" i="1"/>
  <c r="BS956" i="1"/>
  <c r="BR956" i="1"/>
  <c r="BQ956" i="1"/>
  <c r="BP956" i="1"/>
  <c r="BO956" i="1"/>
  <c r="BN956" i="1"/>
  <c r="BM956" i="1"/>
  <c r="BL956" i="1"/>
  <c r="BK956" i="1"/>
  <c r="BJ956" i="1"/>
  <c r="BI956" i="1"/>
  <c r="BH956" i="1"/>
  <c r="BG956" i="1"/>
  <c r="CE955" i="1"/>
  <c r="CD955" i="1"/>
  <c r="CC955" i="1"/>
  <c r="CB955" i="1"/>
  <c r="CA955" i="1"/>
  <c r="BZ955" i="1"/>
  <c r="BY955" i="1"/>
  <c r="BX955" i="1"/>
  <c r="BW955" i="1"/>
  <c r="BV955" i="1"/>
  <c r="BU955" i="1"/>
  <c r="BT955" i="1"/>
  <c r="BS955" i="1"/>
  <c r="BR955" i="1"/>
  <c r="BQ955" i="1"/>
  <c r="BP955" i="1"/>
  <c r="BO955" i="1"/>
  <c r="BN955" i="1"/>
  <c r="BM955" i="1"/>
  <c r="BL955" i="1"/>
  <c r="BK955" i="1"/>
  <c r="BJ955" i="1"/>
  <c r="BI955" i="1"/>
  <c r="BH955" i="1"/>
  <c r="BG955" i="1"/>
  <c r="CE954" i="1"/>
  <c r="CD954" i="1"/>
  <c r="CC954" i="1"/>
  <c r="CB954" i="1"/>
  <c r="CA954" i="1"/>
  <c r="BZ954" i="1"/>
  <c r="BY954" i="1"/>
  <c r="BX954" i="1"/>
  <c r="BW954" i="1"/>
  <c r="BV954" i="1"/>
  <c r="BU954" i="1"/>
  <c r="BT954" i="1"/>
  <c r="BS954" i="1"/>
  <c r="BR954" i="1"/>
  <c r="BQ954" i="1"/>
  <c r="BP954" i="1"/>
  <c r="BO954" i="1"/>
  <c r="BN954" i="1"/>
  <c r="BM954" i="1"/>
  <c r="BL954" i="1"/>
  <c r="BK954" i="1"/>
  <c r="BJ954" i="1"/>
  <c r="BI954" i="1"/>
  <c r="BH954" i="1"/>
  <c r="BG954" i="1"/>
  <c r="CE953" i="1"/>
  <c r="CD953" i="1"/>
  <c r="CC953" i="1"/>
  <c r="CB953" i="1"/>
  <c r="CA953" i="1"/>
  <c r="BZ953" i="1"/>
  <c r="BY953" i="1"/>
  <c r="BX953" i="1"/>
  <c r="BW953" i="1"/>
  <c r="BV953" i="1"/>
  <c r="BU953" i="1"/>
  <c r="BT953" i="1"/>
  <c r="BS953" i="1"/>
  <c r="BR953" i="1"/>
  <c r="BQ953" i="1"/>
  <c r="BP953" i="1"/>
  <c r="BO953" i="1"/>
  <c r="BN953" i="1"/>
  <c r="BM953" i="1"/>
  <c r="BL953" i="1"/>
  <c r="BK953" i="1"/>
  <c r="BJ953" i="1"/>
  <c r="BI953" i="1"/>
  <c r="BH953" i="1"/>
  <c r="BG953" i="1"/>
  <c r="CE952" i="1"/>
  <c r="CD952" i="1"/>
  <c r="CC952" i="1"/>
  <c r="CB952" i="1"/>
  <c r="CA952" i="1"/>
  <c r="BZ952" i="1"/>
  <c r="BY952" i="1"/>
  <c r="BX952" i="1"/>
  <c r="BW952" i="1"/>
  <c r="BV952" i="1"/>
  <c r="BU952" i="1"/>
  <c r="BT952" i="1"/>
  <c r="BS952" i="1"/>
  <c r="BR952" i="1"/>
  <c r="BQ952" i="1"/>
  <c r="BP952" i="1"/>
  <c r="BO952" i="1"/>
  <c r="BN952" i="1"/>
  <c r="BM952" i="1"/>
  <c r="BL952" i="1"/>
  <c r="BK952" i="1"/>
  <c r="BJ952" i="1"/>
  <c r="BI952" i="1"/>
  <c r="BH952" i="1"/>
  <c r="BG952" i="1"/>
  <c r="CE951" i="1"/>
  <c r="CD951" i="1"/>
  <c r="CC951" i="1"/>
  <c r="CB951" i="1"/>
  <c r="CA951" i="1"/>
  <c r="BZ951" i="1"/>
  <c r="BY951" i="1"/>
  <c r="BX951" i="1"/>
  <c r="BW951" i="1"/>
  <c r="BV951" i="1"/>
  <c r="BU951" i="1"/>
  <c r="BT951" i="1"/>
  <c r="BS951" i="1"/>
  <c r="BR951" i="1"/>
  <c r="BQ951" i="1"/>
  <c r="BP951" i="1"/>
  <c r="BO951" i="1"/>
  <c r="BN951" i="1"/>
  <c r="BM951" i="1"/>
  <c r="BL951" i="1"/>
  <c r="BK951" i="1"/>
  <c r="BJ951" i="1"/>
  <c r="BI951" i="1"/>
  <c r="BH951" i="1"/>
  <c r="BG951" i="1"/>
  <c r="CE950" i="1"/>
  <c r="CD950" i="1"/>
  <c r="CC950" i="1"/>
  <c r="CB950" i="1"/>
  <c r="CA950" i="1"/>
  <c r="BZ950" i="1"/>
  <c r="BY950" i="1"/>
  <c r="BX950" i="1"/>
  <c r="BW950" i="1"/>
  <c r="BV950" i="1"/>
  <c r="BU950" i="1"/>
  <c r="BT950" i="1"/>
  <c r="BS950" i="1"/>
  <c r="BR950" i="1"/>
  <c r="BQ950" i="1"/>
  <c r="BP950" i="1"/>
  <c r="BO950" i="1"/>
  <c r="BN950" i="1"/>
  <c r="BM950" i="1"/>
  <c r="BL950" i="1"/>
  <c r="BK950" i="1"/>
  <c r="BJ950" i="1"/>
  <c r="BI950" i="1"/>
  <c r="BH950" i="1"/>
  <c r="BG950" i="1"/>
  <c r="CE949" i="1"/>
  <c r="CD949" i="1"/>
  <c r="CC949" i="1"/>
  <c r="CB949" i="1"/>
  <c r="CA949" i="1"/>
  <c r="BZ949" i="1"/>
  <c r="BY949" i="1"/>
  <c r="BX949" i="1"/>
  <c r="BW949" i="1"/>
  <c r="BV949" i="1"/>
  <c r="BU949" i="1"/>
  <c r="BT949" i="1"/>
  <c r="BS949" i="1"/>
  <c r="BR949" i="1"/>
  <c r="BQ949" i="1"/>
  <c r="BP949" i="1"/>
  <c r="BO949" i="1"/>
  <c r="BN949" i="1"/>
  <c r="BM949" i="1"/>
  <c r="BL949" i="1"/>
  <c r="BK949" i="1"/>
  <c r="BJ949" i="1"/>
  <c r="BI949" i="1"/>
  <c r="BH949" i="1"/>
  <c r="BG949" i="1"/>
  <c r="CE948" i="1"/>
  <c r="CD948" i="1"/>
  <c r="CC948" i="1"/>
  <c r="CB948" i="1"/>
  <c r="CA948" i="1"/>
  <c r="BZ948" i="1"/>
  <c r="BY948" i="1"/>
  <c r="BX948" i="1"/>
  <c r="BW948" i="1"/>
  <c r="BV948" i="1"/>
  <c r="BU948" i="1"/>
  <c r="BT948" i="1"/>
  <c r="BS948" i="1"/>
  <c r="BR948" i="1"/>
  <c r="BQ948" i="1"/>
  <c r="BP948" i="1"/>
  <c r="BO948" i="1"/>
  <c r="BN948" i="1"/>
  <c r="BM948" i="1"/>
  <c r="BL948" i="1"/>
  <c r="BK948" i="1"/>
  <c r="BJ948" i="1"/>
  <c r="BI948" i="1"/>
  <c r="BH948" i="1"/>
  <c r="BG948" i="1"/>
  <c r="CE947" i="1"/>
  <c r="CD947" i="1"/>
  <c r="CC947" i="1"/>
  <c r="CB947" i="1"/>
  <c r="CA947" i="1"/>
  <c r="BZ947" i="1"/>
  <c r="BY947" i="1"/>
  <c r="BX947" i="1"/>
  <c r="BW947" i="1"/>
  <c r="BV947" i="1"/>
  <c r="BU947" i="1"/>
  <c r="BT947" i="1"/>
  <c r="BS947" i="1"/>
  <c r="BR947" i="1"/>
  <c r="BQ947" i="1"/>
  <c r="BP947" i="1"/>
  <c r="BO947" i="1"/>
  <c r="BN947" i="1"/>
  <c r="BM947" i="1"/>
  <c r="BL947" i="1"/>
  <c r="BK947" i="1"/>
  <c r="BJ947" i="1"/>
  <c r="BI947" i="1"/>
  <c r="BH947" i="1"/>
  <c r="BG947" i="1"/>
  <c r="CE946" i="1"/>
  <c r="CD946" i="1"/>
  <c r="CC946" i="1"/>
  <c r="CB946" i="1"/>
  <c r="CA946" i="1"/>
  <c r="BZ946" i="1"/>
  <c r="BY946" i="1"/>
  <c r="BX946" i="1"/>
  <c r="BW946" i="1"/>
  <c r="BV946" i="1"/>
  <c r="BU946" i="1"/>
  <c r="BT946" i="1"/>
  <c r="BS946" i="1"/>
  <c r="BR946" i="1"/>
  <c r="BQ946" i="1"/>
  <c r="BP946" i="1"/>
  <c r="BO946" i="1"/>
  <c r="BN946" i="1"/>
  <c r="BM946" i="1"/>
  <c r="BL946" i="1"/>
  <c r="BK946" i="1"/>
  <c r="BJ946" i="1"/>
  <c r="BI946" i="1"/>
  <c r="BH946" i="1"/>
  <c r="BG946" i="1"/>
  <c r="CE945" i="1"/>
  <c r="CD945" i="1"/>
  <c r="CC945" i="1"/>
  <c r="CB945" i="1"/>
  <c r="CA945" i="1"/>
  <c r="BZ945" i="1"/>
  <c r="BY945" i="1"/>
  <c r="BX945" i="1"/>
  <c r="BW945" i="1"/>
  <c r="BV945" i="1"/>
  <c r="BU945" i="1"/>
  <c r="BT945" i="1"/>
  <c r="BS945" i="1"/>
  <c r="BR945" i="1"/>
  <c r="BQ945" i="1"/>
  <c r="BP945" i="1"/>
  <c r="BO945" i="1"/>
  <c r="BN945" i="1"/>
  <c r="BM945" i="1"/>
  <c r="BL945" i="1"/>
  <c r="BK945" i="1"/>
  <c r="BJ945" i="1"/>
  <c r="BI945" i="1"/>
  <c r="BH945" i="1"/>
  <c r="BG945" i="1"/>
  <c r="CE944" i="1"/>
  <c r="CD944" i="1"/>
  <c r="CC944" i="1"/>
  <c r="CB944" i="1"/>
  <c r="CA944" i="1"/>
  <c r="BZ944" i="1"/>
  <c r="BY944" i="1"/>
  <c r="BX944" i="1"/>
  <c r="BW944" i="1"/>
  <c r="BV944" i="1"/>
  <c r="BU944" i="1"/>
  <c r="BT944" i="1"/>
  <c r="BS944" i="1"/>
  <c r="BR944" i="1"/>
  <c r="BQ944" i="1"/>
  <c r="BP944" i="1"/>
  <c r="BO944" i="1"/>
  <c r="BN944" i="1"/>
  <c r="BM944" i="1"/>
  <c r="BL944" i="1"/>
  <c r="BK944" i="1"/>
  <c r="BJ944" i="1"/>
  <c r="BI944" i="1"/>
  <c r="BH944" i="1"/>
  <c r="BG944" i="1"/>
  <c r="CE943" i="1"/>
  <c r="CD943" i="1"/>
  <c r="CC943" i="1"/>
  <c r="CB943" i="1"/>
  <c r="CA943" i="1"/>
  <c r="BZ943" i="1"/>
  <c r="BY943" i="1"/>
  <c r="BX943" i="1"/>
  <c r="BW943" i="1"/>
  <c r="BV943" i="1"/>
  <c r="BU943" i="1"/>
  <c r="BT943" i="1"/>
  <c r="BS943" i="1"/>
  <c r="BR943" i="1"/>
  <c r="BQ943" i="1"/>
  <c r="BP943" i="1"/>
  <c r="BO943" i="1"/>
  <c r="BN943" i="1"/>
  <c r="BM943" i="1"/>
  <c r="BL943" i="1"/>
  <c r="BK943" i="1"/>
  <c r="BJ943" i="1"/>
  <c r="BI943" i="1"/>
  <c r="BH943" i="1"/>
  <c r="BG943" i="1"/>
  <c r="CE942" i="1"/>
  <c r="CD942" i="1"/>
  <c r="CC942" i="1"/>
  <c r="CB942" i="1"/>
  <c r="CA942" i="1"/>
  <c r="BZ942" i="1"/>
  <c r="BY942" i="1"/>
  <c r="BX942" i="1"/>
  <c r="BW942" i="1"/>
  <c r="BV942" i="1"/>
  <c r="BU942" i="1"/>
  <c r="BT942" i="1"/>
  <c r="BS942" i="1"/>
  <c r="BR942" i="1"/>
  <c r="BQ942" i="1"/>
  <c r="BP942" i="1"/>
  <c r="BO942" i="1"/>
  <c r="BN942" i="1"/>
  <c r="BM942" i="1"/>
  <c r="BL942" i="1"/>
  <c r="BK942" i="1"/>
  <c r="BJ942" i="1"/>
  <c r="BI942" i="1"/>
  <c r="BH942" i="1"/>
  <c r="BG942" i="1"/>
  <c r="CE941" i="1"/>
  <c r="CD941" i="1"/>
  <c r="CC941" i="1"/>
  <c r="CB941" i="1"/>
  <c r="CA941" i="1"/>
  <c r="BZ941" i="1"/>
  <c r="BY941" i="1"/>
  <c r="BX941" i="1"/>
  <c r="BW941" i="1"/>
  <c r="BV941" i="1"/>
  <c r="BU941" i="1"/>
  <c r="BT941" i="1"/>
  <c r="BS941" i="1"/>
  <c r="BR941" i="1"/>
  <c r="BQ941" i="1"/>
  <c r="BP941" i="1"/>
  <c r="BO941" i="1"/>
  <c r="BN941" i="1"/>
  <c r="BM941" i="1"/>
  <c r="BL941" i="1"/>
  <c r="BK941" i="1"/>
  <c r="BJ941" i="1"/>
  <c r="BI941" i="1"/>
  <c r="BH941" i="1"/>
  <c r="BG941" i="1"/>
  <c r="CE940" i="1"/>
  <c r="CD940" i="1"/>
  <c r="CC940" i="1"/>
  <c r="CB940" i="1"/>
  <c r="CA940" i="1"/>
  <c r="BZ940" i="1"/>
  <c r="BY940" i="1"/>
  <c r="BX940" i="1"/>
  <c r="BW940" i="1"/>
  <c r="BV940" i="1"/>
  <c r="BU940" i="1"/>
  <c r="BT940" i="1"/>
  <c r="BS940" i="1"/>
  <c r="BR940" i="1"/>
  <c r="BQ940" i="1"/>
  <c r="BP940" i="1"/>
  <c r="BO940" i="1"/>
  <c r="BN940" i="1"/>
  <c r="BM940" i="1"/>
  <c r="BL940" i="1"/>
  <c r="BK940" i="1"/>
  <c r="BJ940" i="1"/>
  <c r="BI940" i="1"/>
  <c r="BH940" i="1"/>
  <c r="BG940" i="1"/>
  <c r="CE939" i="1"/>
  <c r="CD939" i="1"/>
  <c r="CC939" i="1"/>
  <c r="CB939" i="1"/>
  <c r="CA939" i="1"/>
  <c r="BZ939" i="1"/>
  <c r="BY939" i="1"/>
  <c r="BX939" i="1"/>
  <c r="BW939" i="1"/>
  <c r="BV939" i="1"/>
  <c r="BU939" i="1"/>
  <c r="BT939" i="1"/>
  <c r="BS939" i="1"/>
  <c r="BR939" i="1"/>
  <c r="BQ939" i="1"/>
  <c r="BP939" i="1"/>
  <c r="BO939" i="1"/>
  <c r="BN939" i="1"/>
  <c r="BM939" i="1"/>
  <c r="BL939" i="1"/>
  <c r="BK939" i="1"/>
  <c r="BJ939" i="1"/>
  <c r="BI939" i="1"/>
  <c r="BH939" i="1"/>
  <c r="BG939" i="1"/>
  <c r="CE938" i="1"/>
  <c r="CD938" i="1"/>
  <c r="CC938" i="1"/>
  <c r="CB938" i="1"/>
  <c r="CA938" i="1"/>
  <c r="BZ938" i="1"/>
  <c r="BY938" i="1"/>
  <c r="BX938" i="1"/>
  <c r="BW938" i="1"/>
  <c r="BV938" i="1"/>
  <c r="BU938" i="1"/>
  <c r="BT938" i="1"/>
  <c r="BS938" i="1"/>
  <c r="BR938" i="1"/>
  <c r="BQ938" i="1"/>
  <c r="BP938" i="1"/>
  <c r="BO938" i="1"/>
  <c r="BN938" i="1"/>
  <c r="BM938" i="1"/>
  <c r="BL938" i="1"/>
  <c r="BK938" i="1"/>
  <c r="BJ938" i="1"/>
  <c r="BI938" i="1"/>
  <c r="BH938" i="1"/>
  <c r="BG938" i="1"/>
  <c r="CE937" i="1"/>
  <c r="CD937" i="1"/>
  <c r="CC937" i="1"/>
  <c r="CB937" i="1"/>
  <c r="CA937" i="1"/>
  <c r="BZ937" i="1"/>
  <c r="BY937" i="1"/>
  <c r="BX937" i="1"/>
  <c r="BW937" i="1"/>
  <c r="BV937" i="1"/>
  <c r="BU937" i="1"/>
  <c r="BT937" i="1"/>
  <c r="BS937" i="1"/>
  <c r="BR937" i="1"/>
  <c r="BQ937" i="1"/>
  <c r="BP937" i="1"/>
  <c r="BO937" i="1"/>
  <c r="BN937" i="1"/>
  <c r="BM937" i="1"/>
  <c r="BL937" i="1"/>
  <c r="BK937" i="1"/>
  <c r="BJ937" i="1"/>
  <c r="BI937" i="1"/>
  <c r="BH937" i="1"/>
  <c r="BG937" i="1"/>
  <c r="CE936" i="1"/>
  <c r="CD936" i="1"/>
  <c r="CC936" i="1"/>
  <c r="CB936" i="1"/>
  <c r="CA936" i="1"/>
  <c r="BZ936" i="1"/>
  <c r="BY936" i="1"/>
  <c r="BX936" i="1"/>
  <c r="BW936" i="1"/>
  <c r="BV936" i="1"/>
  <c r="BU936" i="1"/>
  <c r="BT936" i="1"/>
  <c r="BS936" i="1"/>
  <c r="BR936" i="1"/>
  <c r="BQ936" i="1"/>
  <c r="BP936" i="1"/>
  <c r="BO936" i="1"/>
  <c r="BN936" i="1"/>
  <c r="BM936" i="1"/>
  <c r="BL936" i="1"/>
  <c r="BK936" i="1"/>
  <c r="BJ936" i="1"/>
  <c r="BI936" i="1"/>
  <c r="BH936" i="1"/>
  <c r="BG936" i="1"/>
  <c r="CE935" i="1"/>
  <c r="CD935" i="1"/>
  <c r="CC935" i="1"/>
  <c r="CB935" i="1"/>
  <c r="CA935" i="1"/>
  <c r="BZ935" i="1"/>
  <c r="BY935" i="1"/>
  <c r="BX935" i="1"/>
  <c r="BW935" i="1"/>
  <c r="BV935" i="1"/>
  <c r="BU935" i="1"/>
  <c r="BT935" i="1"/>
  <c r="BS935" i="1"/>
  <c r="BR935" i="1"/>
  <c r="BQ935" i="1"/>
  <c r="BP935" i="1"/>
  <c r="BO935" i="1"/>
  <c r="BN935" i="1"/>
  <c r="BM935" i="1"/>
  <c r="BL935" i="1"/>
  <c r="BK935" i="1"/>
  <c r="BJ935" i="1"/>
  <c r="BI935" i="1"/>
  <c r="BH935" i="1"/>
  <c r="BG935" i="1"/>
  <c r="CE934" i="1"/>
  <c r="CD934" i="1"/>
  <c r="CC934" i="1"/>
  <c r="CB934" i="1"/>
  <c r="CA934" i="1"/>
  <c r="BZ934" i="1"/>
  <c r="BY934" i="1"/>
  <c r="BX934" i="1"/>
  <c r="BW934" i="1"/>
  <c r="BV934" i="1"/>
  <c r="BU934" i="1"/>
  <c r="BT934" i="1"/>
  <c r="BS934" i="1"/>
  <c r="BR934" i="1"/>
  <c r="BQ934" i="1"/>
  <c r="BP934" i="1"/>
  <c r="BO934" i="1"/>
  <c r="BN934" i="1"/>
  <c r="BM934" i="1"/>
  <c r="BL934" i="1"/>
  <c r="BK934" i="1"/>
  <c r="BJ934" i="1"/>
  <c r="BI934" i="1"/>
  <c r="BH934" i="1"/>
  <c r="BG934" i="1"/>
  <c r="CE933" i="1"/>
  <c r="CD933" i="1"/>
  <c r="CC933" i="1"/>
  <c r="CB933" i="1"/>
  <c r="CA933" i="1"/>
  <c r="BZ933" i="1"/>
  <c r="BY933" i="1"/>
  <c r="BX933" i="1"/>
  <c r="BW933" i="1"/>
  <c r="BV933" i="1"/>
  <c r="BU933" i="1"/>
  <c r="BT933" i="1"/>
  <c r="BS933" i="1"/>
  <c r="BR933" i="1"/>
  <c r="BQ933" i="1"/>
  <c r="BP933" i="1"/>
  <c r="BO933" i="1"/>
  <c r="BN933" i="1"/>
  <c r="BM933" i="1"/>
  <c r="BL933" i="1"/>
  <c r="BK933" i="1"/>
  <c r="BJ933" i="1"/>
  <c r="BI933" i="1"/>
  <c r="BH933" i="1"/>
  <c r="BG933" i="1"/>
  <c r="CE932" i="1"/>
  <c r="CD932" i="1"/>
  <c r="CC932" i="1"/>
  <c r="CB932" i="1"/>
  <c r="CA932" i="1"/>
  <c r="BZ932" i="1"/>
  <c r="BY932" i="1"/>
  <c r="BX932" i="1"/>
  <c r="BW932" i="1"/>
  <c r="BV932" i="1"/>
  <c r="BU932" i="1"/>
  <c r="BT932" i="1"/>
  <c r="BS932" i="1"/>
  <c r="BR932" i="1"/>
  <c r="BQ932" i="1"/>
  <c r="BP932" i="1"/>
  <c r="BO932" i="1"/>
  <c r="BN932" i="1"/>
  <c r="BM932" i="1"/>
  <c r="BL932" i="1"/>
  <c r="BK932" i="1"/>
  <c r="BJ932" i="1"/>
  <c r="BI932" i="1"/>
  <c r="BH932" i="1"/>
  <c r="BG932" i="1"/>
  <c r="CE931" i="1"/>
  <c r="CD931" i="1"/>
  <c r="CC931" i="1"/>
  <c r="CB931" i="1"/>
  <c r="CA931" i="1"/>
  <c r="BZ931" i="1"/>
  <c r="BY931" i="1"/>
  <c r="BX931" i="1"/>
  <c r="BW931" i="1"/>
  <c r="BV931" i="1"/>
  <c r="BU931" i="1"/>
  <c r="BT931" i="1"/>
  <c r="BS931" i="1"/>
  <c r="BR931" i="1"/>
  <c r="BQ931" i="1"/>
  <c r="BP931" i="1"/>
  <c r="BO931" i="1"/>
  <c r="BN931" i="1"/>
  <c r="BM931" i="1"/>
  <c r="BL931" i="1"/>
  <c r="BK931" i="1"/>
  <c r="BJ931" i="1"/>
  <c r="BI931" i="1"/>
  <c r="BH931" i="1"/>
  <c r="BG931" i="1"/>
  <c r="CE930" i="1"/>
  <c r="CD930" i="1"/>
  <c r="CC930" i="1"/>
  <c r="CB930" i="1"/>
  <c r="CA930" i="1"/>
  <c r="BZ930" i="1"/>
  <c r="BY930" i="1"/>
  <c r="BX930" i="1"/>
  <c r="BW930" i="1"/>
  <c r="BV930" i="1"/>
  <c r="BU930" i="1"/>
  <c r="BT930" i="1"/>
  <c r="BS930" i="1"/>
  <c r="BR930" i="1"/>
  <c r="BQ930" i="1"/>
  <c r="BP930" i="1"/>
  <c r="BO930" i="1"/>
  <c r="BN930" i="1"/>
  <c r="BM930" i="1"/>
  <c r="BL930" i="1"/>
  <c r="BK930" i="1"/>
  <c r="BJ930" i="1"/>
  <c r="BI930" i="1"/>
  <c r="BH930" i="1"/>
  <c r="BG930" i="1"/>
  <c r="CE929" i="1"/>
  <c r="CD929" i="1"/>
  <c r="CC929" i="1"/>
  <c r="CB929" i="1"/>
  <c r="CA929" i="1"/>
  <c r="BZ929" i="1"/>
  <c r="BY929" i="1"/>
  <c r="BX929" i="1"/>
  <c r="BW929" i="1"/>
  <c r="BV929" i="1"/>
  <c r="BU929" i="1"/>
  <c r="BT929" i="1"/>
  <c r="BS929" i="1"/>
  <c r="BR929" i="1"/>
  <c r="BQ929" i="1"/>
  <c r="BP929" i="1"/>
  <c r="BO929" i="1"/>
  <c r="BN929" i="1"/>
  <c r="BM929" i="1"/>
  <c r="BL929" i="1"/>
  <c r="BK929" i="1"/>
  <c r="BJ929" i="1"/>
  <c r="BI929" i="1"/>
  <c r="BH929" i="1"/>
  <c r="BG929" i="1"/>
  <c r="CE928" i="1"/>
  <c r="CD928" i="1"/>
  <c r="CC928" i="1"/>
  <c r="CB928" i="1"/>
  <c r="CA928" i="1"/>
  <c r="BZ928" i="1"/>
  <c r="BY928" i="1"/>
  <c r="BX928" i="1"/>
  <c r="BW928" i="1"/>
  <c r="BV928" i="1"/>
  <c r="BU928" i="1"/>
  <c r="BT928" i="1"/>
  <c r="BS928" i="1"/>
  <c r="BR928" i="1"/>
  <c r="BQ928" i="1"/>
  <c r="BP928" i="1"/>
  <c r="BO928" i="1"/>
  <c r="BN928" i="1"/>
  <c r="BM928" i="1"/>
  <c r="BL928" i="1"/>
  <c r="BK928" i="1"/>
  <c r="BJ928" i="1"/>
  <c r="BI928" i="1"/>
  <c r="BH928" i="1"/>
  <c r="BG928" i="1"/>
  <c r="CE927" i="1"/>
  <c r="CD927" i="1"/>
  <c r="CC927" i="1"/>
  <c r="CB927" i="1"/>
  <c r="CA927" i="1"/>
  <c r="BZ927" i="1"/>
  <c r="BY927" i="1"/>
  <c r="BX927" i="1"/>
  <c r="BW927" i="1"/>
  <c r="BV927" i="1"/>
  <c r="BU927" i="1"/>
  <c r="BT927" i="1"/>
  <c r="BS927" i="1"/>
  <c r="BR927" i="1"/>
  <c r="BQ927" i="1"/>
  <c r="BP927" i="1"/>
  <c r="BO927" i="1"/>
  <c r="BN927" i="1"/>
  <c r="BM927" i="1"/>
  <c r="BL927" i="1"/>
  <c r="BK927" i="1"/>
  <c r="BJ927" i="1"/>
  <c r="BI927" i="1"/>
  <c r="BH927" i="1"/>
  <c r="BG927" i="1"/>
  <c r="CE926" i="1"/>
  <c r="CD926" i="1"/>
  <c r="CC926" i="1"/>
  <c r="CB926" i="1"/>
  <c r="CA926" i="1"/>
  <c r="BZ926" i="1"/>
  <c r="BY926" i="1"/>
  <c r="BX926" i="1"/>
  <c r="BW926" i="1"/>
  <c r="BV926" i="1"/>
  <c r="BU926" i="1"/>
  <c r="BT926" i="1"/>
  <c r="BS926" i="1"/>
  <c r="BR926" i="1"/>
  <c r="BQ926" i="1"/>
  <c r="BP926" i="1"/>
  <c r="BO926" i="1"/>
  <c r="BN926" i="1"/>
  <c r="BM926" i="1"/>
  <c r="BL926" i="1"/>
  <c r="BK926" i="1"/>
  <c r="BJ926" i="1"/>
  <c r="BI926" i="1"/>
  <c r="BH926" i="1"/>
  <c r="BG926" i="1"/>
  <c r="CE925" i="1"/>
  <c r="CD925" i="1"/>
  <c r="CC925" i="1"/>
  <c r="CB925" i="1"/>
  <c r="CA925" i="1"/>
  <c r="BZ925" i="1"/>
  <c r="BY925" i="1"/>
  <c r="BX925" i="1"/>
  <c r="BW925" i="1"/>
  <c r="BV925" i="1"/>
  <c r="BU925" i="1"/>
  <c r="BT925" i="1"/>
  <c r="BS925" i="1"/>
  <c r="BR925" i="1"/>
  <c r="BQ925" i="1"/>
  <c r="BP925" i="1"/>
  <c r="BO925" i="1"/>
  <c r="BN925" i="1"/>
  <c r="BM925" i="1"/>
  <c r="BL925" i="1"/>
  <c r="BK925" i="1"/>
  <c r="BJ925" i="1"/>
  <c r="BI925" i="1"/>
  <c r="BH925" i="1"/>
  <c r="BG925" i="1"/>
  <c r="CE924" i="1"/>
  <c r="CD924" i="1"/>
  <c r="CC924" i="1"/>
  <c r="CB924" i="1"/>
  <c r="CA924" i="1"/>
  <c r="BZ924" i="1"/>
  <c r="BY924" i="1"/>
  <c r="BX924" i="1"/>
  <c r="BW924" i="1"/>
  <c r="BV924" i="1"/>
  <c r="BU924" i="1"/>
  <c r="BT924" i="1"/>
  <c r="BS924" i="1"/>
  <c r="BR924" i="1"/>
  <c r="BQ924" i="1"/>
  <c r="BP924" i="1"/>
  <c r="BO924" i="1"/>
  <c r="BN924" i="1"/>
  <c r="BM924" i="1"/>
  <c r="BL924" i="1"/>
  <c r="BK924" i="1"/>
  <c r="BJ924" i="1"/>
  <c r="BI924" i="1"/>
  <c r="BH924" i="1"/>
  <c r="BG924" i="1"/>
  <c r="CE923" i="1"/>
  <c r="CD923" i="1"/>
  <c r="CC923" i="1"/>
  <c r="CB923" i="1"/>
  <c r="CA923" i="1"/>
  <c r="BZ923" i="1"/>
  <c r="BY923" i="1"/>
  <c r="BX923" i="1"/>
  <c r="BW923" i="1"/>
  <c r="BV923" i="1"/>
  <c r="BU923" i="1"/>
  <c r="BT923" i="1"/>
  <c r="BS923" i="1"/>
  <c r="BR923" i="1"/>
  <c r="BQ923" i="1"/>
  <c r="BP923" i="1"/>
  <c r="BO923" i="1"/>
  <c r="BN923" i="1"/>
  <c r="BM923" i="1"/>
  <c r="BL923" i="1"/>
  <c r="BK923" i="1"/>
  <c r="BJ923" i="1"/>
  <c r="BI923" i="1"/>
  <c r="BH923" i="1"/>
  <c r="BG923" i="1"/>
  <c r="CE922" i="1"/>
  <c r="CD922" i="1"/>
  <c r="CC922" i="1"/>
  <c r="CB922" i="1"/>
  <c r="CA922" i="1"/>
  <c r="BZ922" i="1"/>
  <c r="BY922" i="1"/>
  <c r="BX922" i="1"/>
  <c r="BW922" i="1"/>
  <c r="BV922" i="1"/>
  <c r="BU922" i="1"/>
  <c r="BT922" i="1"/>
  <c r="BS922" i="1"/>
  <c r="BR922" i="1"/>
  <c r="BQ922" i="1"/>
  <c r="BP922" i="1"/>
  <c r="BO922" i="1"/>
  <c r="BN922" i="1"/>
  <c r="BM922" i="1"/>
  <c r="BL922" i="1"/>
  <c r="BK922" i="1"/>
  <c r="BJ922" i="1"/>
  <c r="BI922" i="1"/>
  <c r="BH922" i="1"/>
  <c r="BG922" i="1"/>
  <c r="CE921" i="1"/>
  <c r="CD921" i="1"/>
  <c r="CC921" i="1"/>
  <c r="CB921" i="1"/>
  <c r="CA921" i="1"/>
  <c r="BZ921" i="1"/>
  <c r="BY921" i="1"/>
  <c r="BX921" i="1"/>
  <c r="BW921" i="1"/>
  <c r="BV921" i="1"/>
  <c r="BU921" i="1"/>
  <c r="BT921" i="1"/>
  <c r="BS921" i="1"/>
  <c r="BR921" i="1"/>
  <c r="BQ921" i="1"/>
  <c r="BP921" i="1"/>
  <c r="BO921" i="1"/>
  <c r="BN921" i="1"/>
  <c r="BM921" i="1"/>
  <c r="BL921" i="1"/>
  <c r="BK921" i="1"/>
  <c r="BJ921" i="1"/>
  <c r="BI921" i="1"/>
  <c r="BH921" i="1"/>
  <c r="BG921" i="1"/>
  <c r="CE920" i="1"/>
  <c r="CD920" i="1"/>
  <c r="CC920" i="1"/>
  <c r="CB920" i="1"/>
  <c r="CA920" i="1"/>
  <c r="BZ920" i="1"/>
  <c r="BY920" i="1"/>
  <c r="BX920" i="1"/>
  <c r="BW920" i="1"/>
  <c r="BV920" i="1"/>
  <c r="BU920" i="1"/>
  <c r="BT920" i="1"/>
  <c r="BS920" i="1"/>
  <c r="BR920" i="1"/>
  <c r="BQ920" i="1"/>
  <c r="BP920" i="1"/>
  <c r="BO920" i="1"/>
  <c r="BN920" i="1"/>
  <c r="BM920" i="1"/>
  <c r="BL920" i="1"/>
  <c r="BK920" i="1"/>
  <c r="BJ920" i="1"/>
  <c r="BI920" i="1"/>
  <c r="BH920" i="1"/>
  <c r="BG920" i="1"/>
  <c r="CE919" i="1"/>
  <c r="CD919" i="1"/>
  <c r="CC919" i="1"/>
  <c r="CB919" i="1"/>
  <c r="CA919" i="1"/>
  <c r="BZ919" i="1"/>
  <c r="BY919" i="1"/>
  <c r="BX919" i="1"/>
  <c r="BW919" i="1"/>
  <c r="BV919" i="1"/>
  <c r="BU919" i="1"/>
  <c r="BT919" i="1"/>
  <c r="BS919" i="1"/>
  <c r="BR919" i="1"/>
  <c r="BQ919" i="1"/>
  <c r="BP919" i="1"/>
  <c r="BO919" i="1"/>
  <c r="BN919" i="1"/>
  <c r="BM919" i="1"/>
  <c r="BL919" i="1"/>
  <c r="BK919" i="1"/>
  <c r="BJ919" i="1"/>
  <c r="BI919" i="1"/>
  <c r="BH919" i="1"/>
  <c r="BG919" i="1"/>
  <c r="CE918" i="1"/>
  <c r="CD918" i="1"/>
  <c r="CC918" i="1"/>
  <c r="CB918" i="1"/>
  <c r="CA918" i="1"/>
  <c r="BZ918" i="1"/>
  <c r="BY918" i="1"/>
  <c r="BX918" i="1"/>
  <c r="BW918" i="1"/>
  <c r="BV918" i="1"/>
  <c r="BU918" i="1"/>
  <c r="BT918" i="1"/>
  <c r="BS918" i="1"/>
  <c r="BR918" i="1"/>
  <c r="BQ918" i="1"/>
  <c r="BP918" i="1"/>
  <c r="BO918" i="1"/>
  <c r="BN918" i="1"/>
  <c r="BM918" i="1"/>
  <c r="BL918" i="1"/>
  <c r="BK918" i="1"/>
  <c r="BJ918" i="1"/>
  <c r="BI918" i="1"/>
  <c r="BH918" i="1"/>
  <c r="BG918" i="1"/>
  <c r="CE917" i="1"/>
  <c r="CD917" i="1"/>
  <c r="CC917" i="1"/>
  <c r="CB917" i="1"/>
  <c r="CA917" i="1"/>
  <c r="BZ917" i="1"/>
  <c r="BY917" i="1"/>
  <c r="BX917" i="1"/>
  <c r="BW917" i="1"/>
  <c r="BV917" i="1"/>
  <c r="BU917" i="1"/>
  <c r="BT917" i="1"/>
  <c r="BS917" i="1"/>
  <c r="BR917" i="1"/>
  <c r="BQ917" i="1"/>
  <c r="BP917" i="1"/>
  <c r="BO917" i="1"/>
  <c r="BN917" i="1"/>
  <c r="BM917" i="1"/>
  <c r="BL917" i="1"/>
  <c r="BK917" i="1"/>
  <c r="BJ917" i="1"/>
  <c r="BI917" i="1"/>
  <c r="BH917" i="1"/>
  <c r="BG917" i="1"/>
  <c r="CE916" i="1"/>
  <c r="CD916" i="1"/>
  <c r="CC916" i="1"/>
  <c r="CB916" i="1"/>
  <c r="CA916" i="1"/>
  <c r="BZ916" i="1"/>
  <c r="BY916" i="1"/>
  <c r="BX916" i="1"/>
  <c r="BW916" i="1"/>
  <c r="BV916" i="1"/>
  <c r="BU916" i="1"/>
  <c r="BT916" i="1"/>
  <c r="BS916" i="1"/>
  <c r="BR916" i="1"/>
  <c r="BQ916" i="1"/>
  <c r="BP916" i="1"/>
  <c r="BO916" i="1"/>
  <c r="BN916" i="1"/>
  <c r="BM916" i="1"/>
  <c r="BL916" i="1"/>
  <c r="BK916" i="1"/>
  <c r="BJ916" i="1"/>
  <c r="BI916" i="1"/>
  <c r="BH916" i="1"/>
  <c r="BG916" i="1"/>
  <c r="CE915" i="1"/>
  <c r="CD915" i="1"/>
  <c r="CC915" i="1"/>
  <c r="CB915" i="1"/>
  <c r="CA915" i="1"/>
  <c r="BZ915" i="1"/>
  <c r="BY915" i="1"/>
  <c r="BX915" i="1"/>
  <c r="BW915" i="1"/>
  <c r="BV915" i="1"/>
  <c r="BU915" i="1"/>
  <c r="BT915" i="1"/>
  <c r="BS915" i="1"/>
  <c r="BR915" i="1"/>
  <c r="BQ915" i="1"/>
  <c r="BP915" i="1"/>
  <c r="BO915" i="1"/>
  <c r="BN915" i="1"/>
  <c r="BM915" i="1"/>
  <c r="BL915" i="1"/>
  <c r="BK915" i="1"/>
  <c r="BJ915" i="1"/>
  <c r="BI915" i="1"/>
  <c r="BH915" i="1"/>
  <c r="BG915" i="1"/>
  <c r="CE914" i="1"/>
  <c r="CD914" i="1"/>
  <c r="CC914" i="1"/>
  <c r="CB914" i="1"/>
  <c r="CA914" i="1"/>
  <c r="BZ914" i="1"/>
  <c r="BY914" i="1"/>
  <c r="BX914" i="1"/>
  <c r="BW914" i="1"/>
  <c r="BV914" i="1"/>
  <c r="BU914" i="1"/>
  <c r="BT914" i="1"/>
  <c r="BS914" i="1"/>
  <c r="BR914" i="1"/>
  <c r="BQ914" i="1"/>
  <c r="BP914" i="1"/>
  <c r="BO914" i="1"/>
  <c r="BN914" i="1"/>
  <c r="BM914" i="1"/>
  <c r="BL914" i="1"/>
  <c r="BK914" i="1"/>
  <c r="BJ914" i="1"/>
  <c r="BI914" i="1"/>
  <c r="BH914" i="1"/>
  <c r="BG914" i="1"/>
  <c r="CE913" i="1"/>
  <c r="CD913" i="1"/>
  <c r="CC913" i="1"/>
  <c r="CB913" i="1"/>
  <c r="CA913" i="1"/>
  <c r="BZ913" i="1"/>
  <c r="BY913" i="1"/>
  <c r="BX913" i="1"/>
  <c r="BW913" i="1"/>
  <c r="BV913" i="1"/>
  <c r="BU913" i="1"/>
  <c r="BT913" i="1"/>
  <c r="BS913" i="1"/>
  <c r="BR913" i="1"/>
  <c r="BQ913" i="1"/>
  <c r="BP913" i="1"/>
  <c r="BO913" i="1"/>
  <c r="BN913" i="1"/>
  <c r="BM913" i="1"/>
  <c r="BL913" i="1"/>
  <c r="BK913" i="1"/>
  <c r="BJ913" i="1"/>
  <c r="BI913" i="1"/>
  <c r="BH913" i="1"/>
  <c r="BG913" i="1"/>
  <c r="CE912" i="1"/>
  <c r="CD912" i="1"/>
  <c r="CC912" i="1"/>
  <c r="CB912" i="1"/>
  <c r="CA912" i="1"/>
  <c r="BZ912" i="1"/>
  <c r="BY912" i="1"/>
  <c r="BX912" i="1"/>
  <c r="BW912" i="1"/>
  <c r="BV912" i="1"/>
  <c r="BU912" i="1"/>
  <c r="BT912" i="1"/>
  <c r="BS912" i="1"/>
  <c r="BR912" i="1"/>
  <c r="BQ912" i="1"/>
  <c r="BP912" i="1"/>
  <c r="BO912" i="1"/>
  <c r="BN912" i="1"/>
  <c r="BM912" i="1"/>
  <c r="BL912" i="1"/>
  <c r="BK912" i="1"/>
  <c r="BJ912" i="1"/>
  <c r="BI912" i="1"/>
  <c r="BH912" i="1"/>
  <c r="BG912" i="1"/>
  <c r="CE911" i="1"/>
  <c r="CD911" i="1"/>
  <c r="CC911" i="1"/>
  <c r="CB911" i="1"/>
  <c r="CA911" i="1"/>
  <c r="BZ911" i="1"/>
  <c r="BY911" i="1"/>
  <c r="BX911" i="1"/>
  <c r="BW911" i="1"/>
  <c r="BV911" i="1"/>
  <c r="BU911" i="1"/>
  <c r="BT911" i="1"/>
  <c r="BS911" i="1"/>
  <c r="BR911" i="1"/>
  <c r="BQ911" i="1"/>
  <c r="BP911" i="1"/>
  <c r="BO911" i="1"/>
  <c r="BN911" i="1"/>
  <c r="BM911" i="1"/>
  <c r="BL911" i="1"/>
  <c r="BK911" i="1"/>
  <c r="BJ911" i="1"/>
  <c r="BI911" i="1"/>
  <c r="BH911" i="1"/>
  <c r="BG911" i="1"/>
  <c r="CE910" i="1"/>
  <c r="CD910" i="1"/>
  <c r="CC910" i="1"/>
  <c r="CB910" i="1"/>
  <c r="CA910" i="1"/>
  <c r="BZ910" i="1"/>
  <c r="BY910" i="1"/>
  <c r="BX910" i="1"/>
  <c r="BW910" i="1"/>
  <c r="BV910" i="1"/>
  <c r="BU910" i="1"/>
  <c r="BT910" i="1"/>
  <c r="BS910" i="1"/>
  <c r="BR910" i="1"/>
  <c r="BQ910" i="1"/>
  <c r="BP910" i="1"/>
  <c r="BO910" i="1"/>
  <c r="BN910" i="1"/>
  <c r="BM910" i="1"/>
  <c r="BL910" i="1"/>
  <c r="BK910" i="1"/>
  <c r="BJ910" i="1"/>
  <c r="BI910" i="1"/>
  <c r="BH910" i="1"/>
  <c r="BG910" i="1"/>
  <c r="CE909" i="1"/>
  <c r="CD909" i="1"/>
  <c r="CC909" i="1"/>
  <c r="CB909" i="1"/>
  <c r="CA909" i="1"/>
  <c r="BZ909" i="1"/>
  <c r="BY909" i="1"/>
  <c r="BX909" i="1"/>
  <c r="BW909" i="1"/>
  <c r="BV909" i="1"/>
  <c r="BU909" i="1"/>
  <c r="BT909" i="1"/>
  <c r="BS909" i="1"/>
  <c r="BR909" i="1"/>
  <c r="BQ909" i="1"/>
  <c r="BP909" i="1"/>
  <c r="BO909" i="1"/>
  <c r="BN909" i="1"/>
  <c r="BM909" i="1"/>
  <c r="BL909" i="1"/>
  <c r="BK909" i="1"/>
  <c r="BJ909" i="1"/>
  <c r="BI909" i="1"/>
  <c r="BH909" i="1"/>
  <c r="BG909" i="1"/>
  <c r="CE908" i="1"/>
  <c r="CD908" i="1"/>
  <c r="CC908" i="1"/>
  <c r="CB908" i="1"/>
  <c r="CA908" i="1"/>
  <c r="BZ908" i="1"/>
  <c r="BY908" i="1"/>
  <c r="BX908" i="1"/>
  <c r="BW908" i="1"/>
  <c r="BV908" i="1"/>
  <c r="BU908" i="1"/>
  <c r="BT908" i="1"/>
  <c r="BS908" i="1"/>
  <c r="BR908" i="1"/>
  <c r="BQ908" i="1"/>
  <c r="BP908" i="1"/>
  <c r="BO908" i="1"/>
  <c r="BN908" i="1"/>
  <c r="BM908" i="1"/>
  <c r="BL908" i="1"/>
  <c r="BK908" i="1"/>
  <c r="BJ908" i="1"/>
  <c r="BI908" i="1"/>
  <c r="BH908" i="1"/>
  <c r="BG908" i="1"/>
  <c r="CE907" i="1"/>
  <c r="CD907" i="1"/>
  <c r="CC907" i="1"/>
  <c r="CB907" i="1"/>
  <c r="CA907" i="1"/>
  <c r="BZ907" i="1"/>
  <c r="BY907" i="1"/>
  <c r="BX907" i="1"/>
  <c r="BW907" i="1"/>
  <c r="BV907" i="1"/>
  <c r="BU907" i="1"/>
  <c r="BT907" i="1"/>
  <c r="BS907" i="1"/>
  <c r="BR907" i="1"/>
  <c r="BQ907" i="1"/>
  <c r="BP907" i="1"/>
  <c r="BO907" i="1"/>
  <c r="BN907" i="1"/>
  <c r="BM907" i="1"/>
  <c r="BL907" i="1"/>
  <c r="BK907" i="1"/>
  <c r="BJ907" i="1"/>
  <c r="BI907" i="1"/>
  <c r="BH907" i="1"/>
  <c r="BG907" i="1"/>
  <c r="CE906" i="1"/>
  <c r="CD906" i="1"/>
  <c r="CC906" i="1"/>
  <c r="CB906" i="1"/>
  <c r="CA906" i="1"/>
  <c r="BZ906" i="1"/>
  <c r="BY906" i="1"/>
  <c r="BX906" i="1"/>
  <c r="BW906" i="1"/>
  <c r="BV906" i="1"/>
  <c r="BU906" i="1"/>
  <c r="BT906" i="1"/>
  <c r="BS906" i="1"/>
  <c r="BR906" i="1"/>
  <c r="BQ906" i="1"/>
  <c r="BP906" i="1"/>
  <c r="BO906" i="1"/>
  <c r="BN906" i="1"/>
  <c r="BM906" i="1"/>
  <c r="BL906" i="1"/>
  <c r="BK906" i="1"/>
  <c r="BJ906" i="1"/>
  <c r="BI906" i="1"/>
  <c r="BH906" i="1"/>
  <c r="BG906" i="1"/>
  <c r="CE905" i="1"/>
  <c r="CD905" i="1"/>
  <c r="CC905" i="1"/>
  <c r="CB905" i="1"/>
  <c r="CA905" i="1"/>
  <c r="BZ905" i="1"/>
  <c r="BY905" i="1"/>
  <c r="BX905" i="1"/>
  <c r="BW905" i="1"/>
  <c r="BV905" i="1"/>
  <c r="BU905" i="1"/>
  <c r="BT905" i="1"/>
  <c r="BS905" i="1"/>
  <c r="BR905" i="1"/>
  <c r="BQ905" i="1"/>
  <c r="BP905" i="1"/>
  <c r="BO905" i="1"/>
  <c r="BN905" i="1"/>
  <c r="BM905" i="1"/>
  <c r="BL905" i="1"/>
  <c r="BK905" i="1"/>
  <c r="BJ905" i="1"/>
  <c r="BI905" i="1"/>
  <c r="BH905" i="1"/>
  <c r="BG905" i="1"/>
  <c r="CE904" i="1"/>
  <c r="CD904" i="1"/>
  <c r="CC904" i="1"/>
  <c r="CB904" i="1"/>
  <c r="CA904" i="1"/>
  <c r="BZ904" i="1"/>
  <c r="BY904" i="1"/>
  <c r="BX904" i="1"/>
  <c r="BW904" i="1"/>
  <c r="BV904" i="1"/>
  <c r="BU904" i="1"/>
  <c r="BT904" i="1"/>
  <c r="BS904" i="1"/>
  <c r="BR904" i="1"/>
  <c r="BQ904" i="1"/>
  <c r="BP904" i="1"/>
  <c r="BO904" i="1"/>
  <c r="BN904" i="1"/>
  <c r="BM904" i="1"/>
  <c r="BL904" i="1"/>
  <c r="BK904" i="1"/>
  <c r="BJ904" i="1"/>
  <c r="BI904" i="1"/>
  <c r="BH904" i="1"/>
  <c r="BG904" i="1"/>
  <c r="CE903" i="1"/>
  <c r="CD903" i="1"/>
  <c r="CC903" i="1"/>
  <c r="CB903" i="1"/>
  <c r="CA903" i="1"/>
  <c r="BZ903" i="1"/>
  <c r="BY903" i="1"/>
  <c r="BX903" i="1"/>
  <c r="BW903" i="1"/>
  <c r="BV903" i="1"/>
  <c r="BU903" i="1"/>
  <c r="BT903" i="1"/>
  <c r="BS903" i="1"/>
  <c r="BR903" i="1"/>
  <c r="BQ903" i="1"/>
  <c r="BP903" i="1"/>
  <c r="BO903" i="1"/>
  <c r="BN903" i="1"/>
  <c r="BM903" i="1"/>
  <c r="BL903" i="1"/>
  <c r="BK903" i="1"/>
  <c r="BJ903" i="1"/>
  <c r="BI903" i="1"/>
  <c r="BH903" i="1"/>
  <c r="BG903" i="1"/>
  <c r="CE902" i="1"/>
  <c r="CD902" i="1"/>
  <c r="CC902" i="1"/>
  <c r="CB902" i="1"/>
  <c r="CA902" i="1"/>
  <c r="BZ902" i="1"/>
  <c r="BY902" i="1"/>
  <c r="BX902" i="1"/>
  <c r="BW902" i="1"/>
  <c r="BV902" i="1"/>
  <c r="BU902" i="1"/>
  <c r="BT902" i="1"/>
  <c r="BS902" i="1"/>
  <c r="BR902" i="1"/>
  <c r="BQ902" i="1"/>
  <c r="BP902" i="1"/>
  <c r="BO902" i="1"/>
  <c r="BN902" i="1"/>
  <c r="BM902" i="1"/>
  <c r="BL902" i="1"/>
  <c r="BK902" i="1"/>
  <c r="BJ902" i="1"/>
  <c r="BI902" i="1"/>
  <c r="BH902" i="1"/>
  <c r="BG902" i="1"/>
  <c r="CE901" i="1"/>
  <c r="CD901" i="1"/>
  <c r="CC901" i="1"/>
  <c r="CB901" i="1"/>
  <c r="CA901" i="1"/>
  <c r="BZ901" i="1"/>
  <c r="BY901" i="1"/>
  <c r="BX901" i="1"/>
  <c r="BW901" i="1"/>
  <c r="BV901" i="1"/>
  <c r="BU901" i="1"/>
  <c r="BT901" i="1"/>
  <c r="BS901" i="1"/>
  <c r="BR901" i="1"/>
  <c r="BQ901" i="1"/>
  <c r="BP901" i="1"/>
  <c r="BO901" i="1"/>
  <c r="BN901" i="1"/>
  <c r="BM901" i="1"/>
  <c r="BL901" i="1"/>
  <c r="BK901" i="1"/>
  <c r="BJ901" i="1"/>
  <c r="BI901" i="1"/>
  <c r="BH901" i="1"/>
  <c r="BG901" i="1"/>
  <c r="CE900" i="1"/>
  <c r="CD900" i="1"/>
  <c r="CC900" i="1"/>
  <c r="CB900" i="1"/>
  <c r="CA900" i="1"/>
  <c r="BZ900" i="1"/>
  <c r="BY900" i="1"/>
  <c r="BX900" i="1"/>
  <c r="BW900" i="1"/>
  <c r="BV900" i="1"/>
  <c r="BU900" i="1"/>
  <c r="BT900" i="1"/>
  <c r="BS900" i="1"/>
  <c r="BR900" i="1"/>
  <c r="BQ900" i="1"/>
  <c r="BP900" i="1"/>
  <c r="BO900" i="1"/>
  <c r="BN900" i="1"/>
  <c r="BM900" i="1"/>
  <c r="BL900" i="1"/>
  <c r="BK900" i="1"/>
  <c r="BJ900" i="1"/>
  <c r="BI900" i="1"/>
  <c r="BH900" i="1"/>
  <c r="BG900" i="1"/>
  <c r="CE899" i="1"/>
  <c r="CD899" i="1"/>
  <c r="CC899" i="1"/>
  <c r="CB899" i="1"/>
  <c r="CA899" i="1"/>
  <c r="BZ899" i="1"/>
  <c r="BY899" i="1"/>
  <c r="BX899" i="1"/>
  <c r="BW899" i="1"/>
  <c r="BV899" i="1"/>
  <c r="BU899" i="1"/>
  <c r="BT899" i="1"/>
  <c r="BS899" i="1"/>
  <c r="BR899" i="1"/>
  <c r="BQ899" i="1"/>
  <c r="BP899" i="1"/>
  <c r="BO899" i="1"/>
  <c r="BN899" i="1"/>
  <c r="BM899" i="1"/>
  <c r="BL899" i="1"/>
  <c r="BK899" i="1"/>
  <c r="BJ899" i="1"/>
  <c r="BI899" i="1"/>
  <c r="BH899" i="1"/>
  <c r="BG899" i="1"/>
  <c r="CE898" i="1"/>
  <c r="CD898" i="1"/>
  <c r="CC898" i="1"/>
  <c r="CB898" i="1"/>
  <c r="CA898" i="1"/>
  <c r="BZ898" i="1"/>
  <c r="BY898" i="1"/>
  <c r="BX898" i="1"/>
  <c r="BW898" i="1"/>
  <c r="BV898" i="1"/>
  <c r="BU898" i="1"/>
  <c r="BT898" i="1"/>
  <c r="BS898" i="1"/>
  <c r="BR898" i="1"/>
  <c r="BQ898" i="1"/>
  <c r="BP898" i="1"/>
  <c r="BO898" i="1"/>
  <c r="BN898" i="1"/>
  <c r="BM898" i="1"/>
  <c r="BL898" i="1"/>
  <c r="BK898" i="1"/>
  <c r="BJ898" i="1"/>
  <c r="BI898" i="1"/>
  <c r="BH898" i="1"/>
  <c r="BG898" i="1"/>
  <c r="CE897" i="1"/>
  <c r="CD897" i="1"/>
  <c r="CC897" i="1"/>
  <c r="CB897" i="1"/>
  <c r="CA897" i="1"/>
  <c r="BZ897" i="1"/>
  <c r="BY897" i="1"/>
  <c r="BX897" i="1"/>
  <c r="BW897" i="1"/>
  <c r="BV897" i="1"/>
  <c r="BU897" i="1"/>
  <c r="BT897" i="1"/>
  <c r="BS897" i="1"/>
  <c r="BR897" i="1"/>
  <c r="BQ897" i="1"/>
  <c r="BP897" i="1"/>
  <c r="BO897" i="1"/>
  <c r="BN897" i="1"/>
  <c r="BM897" i="1"/>
  <c r="BL897" i="1"/>
  <c r="BK897" i="1"/>
  <c r="BJ897" i="1"/>
  <c r="BI897" i="1"/>
  <c r="BH897" i="1"/>
  <c r="BG897" i="1"/>
  <c r="CE896" i="1"/>
  <c r="CD896" i="1"/>
  <c r="CC896" i="1"/>
  <c r="CB896" i="1"/>
  <c r="CA896" i="1"/>
  <c r="BZ896" i="1"/>
  <c r="BY896" i="1"/>
  <c r="BX896" i="1"/>
  <c r="BW896" i="1"/>
  <c r="BV896" i="1"/>
  <c r="BU896" i="1"/>
  <c r="BT896" i="1"/>
  <c r="BS896" i="1"/>
  <c r="BR896" i="1"/>
  <c r="BQ896" i="1"/>
  <c r="BP896" i="1"/>
  <c r="BO896" i="1"/>
  <c r="BN896" i="1"/>
  <c r="BM896" i="1"/>
  <c r="BL896" i="1"/>
  <c r="BK896" i="1"/>
  <c r="BJ896" i="1"/>
  <c r="BI896" i="1"/>
  <c r="BH896" i="1"/>
  <c r="BG896" i="1"/>
  <c r="CE895" i="1"/>
  <c r="CD895" i="1"/>
  <c r="CC895" i="1"/>
  <c r="CB895" i="1"/>
  <c r="CA895" i="1"/>
  <c r="BZ895" i="1"/>
  <c r="BY895" i="1"/>
  <c r="BX895" i="1"/>
  <c r="BW895" i="1"/>
  <c r="BV895" i="1"/>
  <c r="BU895" i="1"/>
  <c r="BT895" i="1"/>
  <c r="BS895" i="1"/>
  <c r="BR895" i="1"/>
  <c r="BQ895" i="1"/>
  <c r="BP895" i="1"/>
  <c r="BO895" i="1"/>
  <c r="BN895" i="1"/>
  <c r="BM895" i="1"/>
  <c r="BL895" i="1"/>
  <c r="BK895" i="1"/>
  <c r="BJ895" i="1"/>
  <c r="BI895" i="1"/>
  <c r="BH895" i="1"/>
  <c r="BG895" i="1"/>
  <c r="CE894" i="1"/>
  <c r="CD894" i="1"/>
  <c r="CC894" i="1"/>
  <c r="CB894" i="1"/>
  <c r="CA894" i="1"/>
  <c r="BZ894" i="1"/>
  <c r="BY894" i="1"/>
  <c r="BX894" i="1"/>
  <c r="BW894" i="1"/>
  <c r="BV894" i="1"/>
  <c r="BU894" i="1"/>
  <c r="BT894" i="1"/>
  <c r="BS894" i="1"/>
  <c r="BR894" i="1"/>
  <c r="BQ894" i="1"/>
  <c r="BP894" i="1"/>
  <c r="BO894" i="1"/>
  <c r="BN894" i="1"/>
  <c r="BM894" i="1"/>
  <c r="BL894" i="1"/>
  <c r="BK894" i="1"/>
  <c r="BJ894" i="1"/>
  <c r="BI894" i="1"/>
  <c r="BH894" i="1"/>
  <c r="BG894" i="1"/>
  <c r="CE893" i="1"/>
  <c r="CD893" i="1"/>
  <c r="CC893" i="1"/>
  <c r="CB893" i="1"/>
  <c r="CA893" i="1"/>
  <c r="BZ893" i="1"/>
  <c r="BY893" i="1"/>
  <c r="BX893" i="1"/>
  <c r="BW893" i="1"/>
  <c r="BV893" i="1"/>
  <c r="BU893" i="1"/>
  <c r="BT893" i="1"/>
  <c r="BS893" i="1"/>
  <c r="BR893" i="1"/>
  <c r="BQ893" i="1"/>
  <c r="BP893" i="1"/>
  <c r="BO893" i="1"/>
  <c r="BN893" i="1"/>
  <c r="BM893" i="1"/>
  <c r="BL893" i="1"/>
  <c r="BK893" i="1"/>
  <c r="BJ893" i="1"/>
  <c r="BI893" i="1"/>
  <c r="BH893" i="1"/>
  <c r="BG893" i="1"/>
  <c r="CE892" i="1"/>
  <c r="CD892" i="1"/>
  <c r="CC892" i="1"/>
  <c r="CB892" i="1"/>
  <c r="CA892" i="1"/>
  <c r="BZ892" i="1"/>
  <c r="BY892" i="1"/>
  <c r="BX892" i="1"/>
  <c r="BW892" i="1"/>
  <c r="BV892" i="1"/>
  <c r="BU892" i="1"/>
  <c r="BT892" i="1"/>
  <c r="BS892" i="1"/>
  <c r="BR892" i="1"/>
  <c r="BQ892" i="1"/>
  <c r="BP892" i="1"/>
  <c r="BO892" i="1"/>
  <c r="BN892" i="1"/>
  <c r="BM892" i="1"/>
  <c r="BL892" i="1"/>
  <c r="BK892" i="1"/>
  <c r="BJ892" i="1"/>
  <c r="BI892" i="1"/>
  <c r="BH892" i="1"/>
  <c r="BG892" i="1"/>
  <c r="CE891" i="1"/>
  <c r="CD891" i="1"/>
  <c r="CC891" i="1"/>
  <c r="CB891" i="1"/>
  <c r="CA891" i="1"/>
  <c r="BZ891" i="1"/>
  <c r="BY891" i="1"/>
  <c r="BX891" i="1"/>
  <c r="BW891" i="1"/>
  <c r="BV891" i="1"/>
  <c r="BU891" i="1"/>
  <c r="BT891" i="1"/>
  <c r="BS891" i="1"/>
  <c r="BR891" i="1"/>
  <c r="BQ891" i="1"/>
  <c r="BP891" i="1"/>
  <c r="BO891" i="1"/>
  <c r="BN891" i="1"/>
  <c r="BM891" i="1"/>
  <c r="BL891" i="1"/>
  <c r="BK891" i="1"/>
  <c r="BJ891" i="1"/>
  <c r="BI891" i="1"/>
  <c r="BH891" i="1"/>
  <c r="BG891" i="1"/>
  <c r="CE890" i="1"/>
  <c r="CD890" i="1"/>
  <c r="CC890" i="1"/>
  <c r="CB890" i="1"/>
  <c r="CA890" i="1"/>
  <c r="BZ890" i="1"/>
  <c r="BY890" i="1"/>
  <c r="BX890" i="1"/>
  <c r="BW890" i="1"/>
  <c r="BV890" i="1"/>
  <c r="BU890" i="1"/>
  <c r="BT890" i="1"/>
  <c r="BS890" i="1"/>
  <c r="BR890" i="1"/>
  <c r="BQ890" i="1"/>
  <c r="BP890" i="1"/>
  <c r="BO890" i="1"/>
  <c r="BN890" i="1"/>
  <c r="BM890" i="1"/>
  <c r="BL890" i="1"/>
  <c r="BK890" i="1"/>
  <c r="BJ890" i="1"/>
  <c r="BI890" i="1"/>
  <c r="BH890" i="1"/>
  <c r="BG890" i="1"/>
  <c r="CE889" i="1"/>
  <c r="CD889" i="1"/>
  <c r="CC889" i="1"/>
  <c r="CB889" i="1"/>
  <c r="CA889" i="1"/>
  <c r="BZ889" i="1"/>
  <c r="BY889" i="1"/>
  <c r="BX889" i="1"/>
  <c r="BW889" i="1"/>
  <c r="BV889" i="1"/>
  <c r="BU889" i="1"/>
  <c r="BT889" i="1"/>
  <c r="BS889" i="1"/>
  <c r="BR889" i="1"/>
  <c r="BQ889" i="1"/>
  <c r="BP889" i="1"/>
  <c r="BO889" i="1"/>
  <c r="BN889" i="1"/>
  <c r="BM889" i="1"/>
  <c r="BL889" i="1"/>
  <c r="BK889" i="1"/>
  <c r="BJ889" i="1"/>
  <c r="BI889" i="1"/>
  <c r="BH889" i="1"/>
  <c r="BG889" i="1"/>
  <c r="CE888" i="1"/>
  <c r="CD888" i="1"/>
  <c r="CC888" i="1"/>
  <c r="CB888" i="1"/>
  <c r="CA888" i="1"/>
  <c r="BZ888" i="1"/>
  <c r="BY888" i="1"/>
  <c r="BX888" i="1"/>
  <c r="BW888" i="1"/>
  <c r="BV888" i="1"/>
  <c r="BU888" i="1"/>
  <c r="BT888" i="1"/>
  <c r="BS888" i="1"/>
  <c r="BR888" i="1"/>
  <c r="BQ888" i="1"/>
  <c r="BP888" i="1"/>
  <c r="BO888" i="1"/>
  <c r="BN888" i="1"/>
  <c r="BM888" i="1"/>
  <c r="BL888" i="1"/>
  <c r="BK888" i="1"/>
  <c r="BJ888" i="1"/>
  <c r="BI888" i="1"/>
  <c r="BH888" i="1"/>
  <c r="BG888" i="1"/>
  <c r="CE887" i="1"/>
  <c r="CD887" i="1"/>
  <c r="CC887" i="1"/>
  <c r="CB887" i="1"/>
  <c r="CA887" i="1"/>
  <c r="BZ887" i="1"/>
  <c r="BY887" i="1"/>
  <c r="BX887" i="1"/>
  <c r="BW887" i="1"/>
  <c r="BV887" i="1"/>
  <c r="BU887" i="1"/>
  <c r="BT887" i="1"/>
  <c r="BS887" i="1"/>
  <c r="BR887" i="1"/>
  <c r="BQ887" i="1"/>
  <c r="BP887" i="1"/>
  <c r="BO887" i="1"/>
  <c r="BN887" i="1"/>
  <c r="BM887" i="1"/>
  <c r="BL887" i="1"/>
  <c r="BK887" i="1"/>
  <c r="BJ887" i="1"/>
  <c r="BI887" i="1"/>
  <c r="BH887" i="1"/>
  <c r="BG887" i="1"/>
  <c r="CE886" i="1"/>
  <c r="CD886" i="1"/>
  <c r="CC886" i="1"/>
  <c r="CB886" i="1"/>
  <c r="CA886" i="1"/>
  <c r="BZ886" i="1"/>
  <c r="BY886" i="1"/>
  <c r="BX886" i="1"/>
  <c r="BW886" i="1"/>
  <c r="BV886" i="1"/>
  <c r="BU886" i="1"/>
  <c r="BT886" i="1"/>
  <c r="BS886" i="1"/>
  <c r="BR886" i="1"/>
  <c r="BQ886" i="1"/>
  <c r="BP886" i="1"/>
  <c r="BO886" i="1"/>
  <c r="BN886" i="1"/>
  <c r="BM886" i="1"/>
  <c r="BL886" i="1"/>
  <c r="BK886" i="1"/>
  <c r="BJ886" i="1"/>
  <c r="BI886" i="1"/>
  <c r="BH886" i="1"/>
  <c r="BG886" i="1"/>
  <c r="CE885" i="1"/>
  <c r="CD885" i="1"/>
  <c r="CC885" i="1"/>
  <c r="CB885" i="1"/>
  <c r="CA885" i="1"/>
  <c r="BZ885" i="1"/>
  <c r="BY885" i="1"/>
  <c r="BX885" i="1"/>
  <c r="BW885" i="1"/>
  <c r="BV885" i="1"/>
  <c r="BU885" i="1"/>
  <c r="BT885" i="1"/>
  <c r="BS885" i="1"/>
  <c r="BR885" i="1"/>
  <c r="BQ885" i="1"/>
  <c r="BP885" i="1"/>
  <c r="BO885" i="1"/>
  <c r="BN885" i="1"/>
  <c r="BM885" i="1"/>
  <c r="BL885" i="1"/>
  <c r="BK885" i="1"/>
  <c r="BJ885" i="1"/>
  <c r="BI885" i="1"/>
  <c r="BH885" i="1"/>
  <c r="BG885" i="1"/>
  <c r="CE884" i="1"/>
  <c r="CD884" i="1"/>
  <c r="CC884" i="1"/>
  <c r="CB884" i="1"/>
  <c r="CA884" i="1"/>
  <c r="BZ884" i="1"/>
  <c r="BY884" i="1"/>
  <c r="BX884" i="1"/>
  <c r="BW884" i="1"/>
  <c r="BV884" i="1"/>
  <c r="BU884" i="1"/>
  <c r="BT884" i="1"/>
  <c r="BS884" i="1"/>
  <c r="BR884" i="1"/>
  <c r="BQ884" i="1"/>
  <c r="BP884" i="1"/>
  <c r="BO884" i="1"/>
  <c r="BN884" i="1"/>
  <c r="BM884" i="1"/>
  <c r="BL884" i="1"/>
  <c r="BK884" i="1"/>
  <c r="BJ884" i="1"/>
  <c r="BI884" i="1"/>
  <c r="BH884" i="1"/>
  <c r="BG884" i="1"/>
  <c r="CE883" i="1"/>
  <c r="CD883" i="1"/>
  <c r="CC883" i="1"/>
  <c r="CB883" i="1"/>
  <c r="CA883" i="1"/>
  <c r="BZ883" i="1"/>
  <c r="BY883" i="1"/>
  <c r="BX883" i="1"/>
  <c r="BW883" i="1"/>
  <c r="BV883" i="1"/>
  <c r="BU883" i="1"/>
  <c r="BT883" i="1"/>
  <c r="BS883" i="1"/>
  <c r="BR883" i="1"/>
  <c r="BQ883" i="1"/>
  <c r="BP883" i="1"/>
  <c r="BO883" i="1"/>
  <c r="BN883" i="1"/>
  <c r="BM883" i="1"/>
  <c r="BL883" i="1"/>
  <c r="BK883" i="1"/>
  <c r="BJ883" i="1"/>
  <c r="BI883" i="1"/>
  <c r="BH883" i="1"/>
  <c r="BG883" i="1"/>
  <c r="CE882" i="1"/>
  <c r="CD882" i="1"/>
  <c r="CC882" i="1"/>
  <c r="CB882" i="1"/>
  <c r="CA882" i="1"/>
  <c r="BZ882" i="1"/>
  <c r="BY882" i="1"/>
  <c r="BX882" i="1"/>
  <c r="BW882" i="1"/>
  <c r="BV882" i="1"/>
  <c r="BU882" i="1"/>
  <c r="BT882" i="1"/>
  <c r="BS882" i="1"/>
  <c r="BR882" i="1"/>
  <c r="BQ882" i="1"/>
  <c r="BP882" i="1"/>
  <c r="BO882" i="1"/>
  <c r="BN882" i="1"/>
  <c r="BM882" i="1"/>
  <c r="BL882" i="1"/>
  <c r="BK882" i="1"/>
  <c r="BJ882" i="1"/>
  <c r="BI882" i="1"/>
  <c r="BH882" i="1"/>
  <c r="BG882" i="1"/>
  <c r="CE881" i="1"/>
  <c r="CD881" i="1"/>
  <c r="CC881" i="1"/>
  <c r="CB881" i="1"/>
  <c r="CA881" i="1"/>
  <c r="BZ881" i="1"/>
  <c r="BY881" i="1"/>
  <c r="BX881" i="1"/>
  <c r="BW881" i="1"/>
  <c r="BV881" i="1"/>
  <c r="BU881" i="1"/>
  <c r="BT881" i="1"/>
  <c r="BS881" i="1"/>
  <c r="BR881" i="1"/>
  <c r="BQ881" i="1"/>
  <c r="BP881" i="1"/>
  <c r="BO881" i="1"/>
  <c r="BN881" i="1"/>
  <c r="BM881" i="1"/>
  <c r="BL881" i="1"/>
  <c r="BK881" i="1"/>
  <c r="BJ881" i="1"/>
  <c r="BI881" i="1"/>
  <c r="BH881" i="1"/>
  <c r="BG881" i="1"/>
  <c r="CE880" i="1"/>
  <c r="CD880" i="1"/>
  <c r="CC880" i="1"/>
  <c r="CB880" i="1"/>
  <c r="CA880" i="1"/>
  <c r="BZ880" i="1"/>
  <c r="BY880" i="1"/>
  <c r="BX880" i="1"/>
  <c r="BW880" i="1"/>
  <c r="BV880" i="1"/>
  <c r="BU880" i="1"/>
  <c r="BT880" i="1"/>
  <c r="BS880" i="1"/>
  <c r="BR880" i="1"/>
  <c r="BQ880" i="1"/>
  <c r="BP880" i="1"/>
  <c r="BO880" i="1"/>
  <c r="BN880" i="1"/>
  <c r="BM880" i="1"/>
  <c r="BL880" i="1"/>
  <c r="BK880" i="1"/>
  <c r="BJ880" i="1"/>
  <c r="BI880" i="1"/>
  <c r="BH880" i="1"/>
  <c r="BG880" i="1"/>
  <c r="CE879" i="1"/>
  <c r="CD879" i="1"/>
  <c r="CC879" i="1"/>
  <c r="CB879" i="1"/>
  <c r="CA879" i="1"/>
  <c r="BZ879" i="1"/>
  <c r="BY879" i="1"/>
  <c r="BX879" i="1"/>
  <c r="BW879" i="1"/>
  <c r="BV879" i="1"/>
  <c r="BU879" i="1"/>
  <c r="BT879" i="1"/>
  <c r="BS879" i="1"/>
  <c r="BR879" i="1"/>
  <c r="BQ879" i="1"/>
  <c r="BP879" i="1"/>
  <c r="BO879" i="1"/>
  <c r="BN879" i="1"/>
  <c r="BM879" i="1"/>
  <c r="BL879" i="1"/>
  <c r="BK879" i="1"/>
  <c r="BJ879" i="1"/>
  <c r="BI879" i="1"/>
  <c r="BH879" i="1"/>
  <c r="BG879" i="1"/>
  <c r="CE878" i="1"/>
  <c r="CD878" i="1"/>
  <c r="CC878" i="1"/>
  <c r="CB878" i="1"/>
  <c r="CA878" i="1"/>
  <c r="BZ878" i="1"/>
  <c r="BY878" i="1"/>
  <c r="BX878" i="1"/>
  <c r="BW878" i="1"/>
  <c r="BV878" i="1"/>
  <c r="BU878" i="1"/>
  <c r="BT878" i="1"/>
  <c r="BS878" i="1"/>
  <c r="BR878" i="1"/>
  <c r="BQ878" i="1"/>
  <c r="BP878" i="1"/>
  <c r="BO878" i="1"/>
  <c r="BN878" i="1"/>
  <c r="BM878" i="1"/>
  <c r="BL878" i="1"/>
  <c r="BK878" i="1"/>
  <c r="BJ878" i="1"/>
  <c r="BI878" i="1"/>
  <c r="BH878" i="1"/>
  <c r="BG878" i="1"/>
  <c r="CE877" i="1"/>
  <c r="CD877" i="1"/>
  <c r="CC877" i="1"/>
  <c r="CB877" i="1"/>
  <c r="CA877" i="1"/>
  <c r="BZ877" i="1"/>
  <c r="BY877" i="1"/>
  <c r="BX877" i="1"/>
  <c r="BW877" i="1"/>
  <c r="BV877" i="1"/>
  <c r="BU877" i="1"/>
  <c r="BT877" i="1"/>
  <c r="BS877" i="1"/>
  <c r="BR877" i="1"/>
  <c r="BQ877" i="1"/>
  <c r="BP877" i="1"/>
  <c r="BO877" i="1"/>
  <c r="BN877" i="1"/>
  <c r="BM877" i="1"/>
  <c r="BL877" i="1"/>
  <c r="BK877" i="1"/>
  <c r="BJ877" i="1"/>
  <c r="BI877" i="1"/>
  <c r="BH877" i="1"/>
  <c r="BG877" i="1"/>
  <c r="CE876" i="1"/>
  <c r="CD876" i="1"/>
  <c r="CC876" i="1"/>
  <c r="CB876" i="1"/>
  <c r="CA876" i="1"/>
  <c r="BZ876" i="1"/>
  <c r="BY876" i="1"/>
  <c r="BX876" i="1"/>
  <c r="BW876" i="1"/>
  <c r="BV876" i="1"/>
  <c r="BU876" i="1"/>
  <c r="BT876" i="1"/>
  <c r="BS876" i="1"/>
  <c r="BR876" i="1"/>
  <c r="BQ876" i="1"/>
  <c r="BP876" i="1"/>
  <c r="BO876" i="1"/>
  <c r="BN876" i="1"/>
  <c r="BM876" i="1"/>
  <c r="BL876" i="1"/>
  <c r="BK876" i="1"/>
  <c r="BJ876" i="1"/>
  <c r="BI876" i="1"/>
  <c r="BH876" i="1"/>
  <c r="BG876" i="1"/>
  <c r="CE875" i="1"/>
  <c r="CD875" i="1"/>
  <c r="CC875" i="1"/>
  <c r="CB875" i="1"/>
  <c r="CA875" i="1"/>
  <c r="BZ875" i="1"/>
  <c r="BY875" i="1"/>
  <c r="BX875" i="1"/>
  <c r="BW875" i="1"/>
  <c r="BV875" i="1"/>
  <c r="BU875" i="1"/>
  <c r="BT875" i="1"/>
  <c r="BS875" i="1"/>
  <c r="BR875" i="1"/>
  <c r="BQ875" i="1"/>
  <c r="BP875" i="1"/>
  <c r="BO875" i="1"/>
  <c r="BN875" i="1"/>
  <c r="BM875" i="1"/>
  <c r="BL875" i="1"/>
  <c r="BK875" i="1"/>
  <c r="BJ875" i="1"/>
  <c r="BI875" i="1"/>
  <c r="BH875" i="1"/>
  <c r="BG875" i="1"/>
  <c r="CE874" i="1"/>
  <c r="CD874" i="1"/>
  <c r="CC874" i="1"/>
  <c r="CB874" i="1"/>
  <c r="CA874" i="1"/>
  <c r="BZ874" i="1"/>
  <c r="BY874" i="1"/>
  <c r="BX874" i="1"/>
  <c r="BW874" i="1"/>
  <c r="BV874" i="1"/>
  <c r="BU874" i="1"/>
  <c r="BT874" i="1"/>
  <c r="BS874" i="1"/>
  <c r="BR874" i="1"/>
  <c r="BQ874" i="1"/>
  <c r="BP874" i="1"/>
  <c r="BO874" i="1"/>
  <c r="BN874" i="1"/>
  <c r="BM874" i="1"/>
  <c r="BL874" i="1"/>
  <c r="BK874" i="1"/>
  <c r="BJ874" i="1"/>
  <c r="BI874" i="1"/>
  <c r="BH874" i="1"/>
  <c r="BG874" i="1"/>
  <c r="CE873" i="1"/>
  <c r="CD873" i="1"/>
  <c r="CC873" i="1"/>
  <c r="CB873" i="1"/>
  <c r="CA873" i="1"/>
  <c r="BZ873" i="1"/>
  <c r="BY873" i="1"/>
  <c r="BX873" i="1"/>
  <c r="BW873" i="1"/>
  <c r="BV873" i="1"/>
  <c r="BU873" i="1"/>
  <c r="BT873" i="1"/>
  <c r="BS873" i="1"/>
  <c r="BR873" i="1"/>
  <c r="BQ873" i="1"/>
  <c r="BP873" i="1"/>
  <c r="BO873" i="1"/>
  <c r="BN873" i="1"/>
  <c r="BM873" i="1"/>
  <c r="BL873" i="1"/>
  <c r="BK873" i="1"/>
  <c r="BJ873" i="1"/>
  <c r="BI873" i="1"/>
  <c r="BH873" i="1"/>
  <c r="BG873" i="1"/>
  <c r="CE872" i="1"/>
  <c r="CD872" i="1"/>
  <c r="CC872" i="1"/>
  <c r="CB872" i="1"/>
  <c r="CA872" i="1"/>
  <c r="BZ872" i="1"/>
  <c r="BY872" i="1"/>
  <c r="BX872" i="1"/>
  <c r="BW872" i="1"/>
  <c r="BV872" i="1"/>
  <c r="BU872" i="1"/>
  <c r="BT872" i="1"/>
  <c r="BS872" i="1"/>
  <c r="BR872" i="1"/>
  <c r="BQ872" i="1"/>
  <c r="BP872" i="1"/>
  <c r="BO872" i="1"/>
  <c r="BN872" i="1"/>
  <c r="BM872" i="1"/>
  <c r="BL872" i="1"/>
  <c r="BK872" i="1"/>
  <c r="BJ872" i="1"/>
  <c r="BI872" i="1"/>
  <c r="BH872" i="1"/>
  <c r="BG872" i="1"/>
  <c r="CE871" i="1"/>
  <c r="CD871" i="1"/>
  <c r="CC871" i="1"/>
  <c r="CB871" i="1"/>
  <c r="CA871" i="1"/>
  <c r="BZ871" i="1"/>
  <c r="BY871" i="1"/>
  <c r="BX871" i="1"/>
  <c r="BW871" i="1"/>
  <c r="BV871" i="1"/>
  <c r="BU871" i="1"/>
  <c r="BT871" i="1"/>
  <c r="BS871" i="1"/>
  <c r="BR871" i="1"/>
  <c r="BQ871" i="1"/>
  <c r="BP871" i="1"/>
  <c r="BO871" i="1"/>
  <c r="BN871" i="1"/>
  <c r="BM871" i="1"/>
  <c r="BL871" i="1"/>
  <c r="BK871" i="1"/>
  <c r="BJ871" i="1"/>
  <c r="BI871" i="1"/>
  <c r="BH871" i="1"/>
  <c r="BG871" i="1"/>
  <c r="CE870" i="1"/>
  <c r="CD870" i="1"/>
  <c r="CC870" i="1"/>
  <c r="CB870" i="1"/>
  <c r="CA870" i="1"/>
  <c r="BZ870" i="1"/>
  <c r="BY870" i="1"/>
  <c r="BX870" i="1"/>
  <c r="BW870" i="1"/>
  <c r="BV870" i="1"/>
  <c r="BU870" i="1"/>
  <c r="BT870" i="1"/>
  <c r="BS870" i="1"/>
  <c r="BR870" i="1"/>
  <c r="BQ870" i="1"/>
  <c r="BP870" i="1"/>
  <c r="BO870" i="1"/>
  <c r="BN870" i="1"/>
  <c r="BM870" i="1"/>
  <c r="BL870" i="1"/>
  <c r="BK870" i="1"/>
  <c r="BJ870" i="1"/>
  <c r="BI870" i="1"/>
  <c r="BH870" i="1"/>
  <c r="BG870" i="1"/>
  <c r="CE869" i="1"/>
  <c r="CD869" i="1"/>
  <c r="CC869" i="1"/>
  <c r="CB869" i="1"/>
  <c r="CA869" i="1"/>
  <c r="BZ869" i="1"/>
  <c r="BY869" i="1"/>
  <c r="BX869" i="1"/>
  <c r="BW869" i="1"/>
  <c r="BV869" i="1"/>
  <c r="BU869" i="1"/>
  <c r="BT869" i="1"/>
  <c r="BS869" i="1"/>
  <c r="BR869" i="1"/>
  <c r="BQ869" i="1"/>
  <c r="BP869" i="1"/>
  <c r="BO869" i="1"/>
  <c r="BN869" i="1"/>
  <c r="BM869" i="1"/>
  <c r="BL869" i="1"/>
  <c r="BK869" i="1"/>
  <c r="BJ869" i="1"/>
  <c r="BI869" i="1"/>
  <c r="BH869" i="1"/>
  <c r="BG869" i="1"/>
  <c r="CE868" i="1"/>
  <c r="CD868" i="1"/>
  <c r="CC868" i="1"/>
  <c r="CB868" i="1"/>
  <c r="CA868" i="1"/>
  <c r="BZ868" i="1"/>
  <c r="BY868" i="1"/>
  <c r="BX868" i="1"/>
  <c r="BW868" i="1"/>
  <c r="BV868" i="1"/>
  <c r="BU868" i="1"/>
  <c r="BT868" i="1"/>
  <c r="BS868" i="1"/>
  <c r="BR868" i="1"/>
  <c r="BQ868" i="1"/>
  <c r="BP868" i="1"/>
  <c r="BO868" i="1"/>
  <c r="BN868" i="1"/>
  <c r="BM868" i="1"/>
  <c r="BL868" i="1"/>
  <c r="BK868" i="1"/>
  <c r="BJ868" i="1"/>
  <c r="BI868" i="1"/>
  <c r="BH868" i="1"/>
  <c r="BG868" i="1"/>
  <c r="CE867" i="1"/>
  <c r="CD867" i="1"/>
  <c r="CC867" i="1"/>
  <c r="CB867" i="1"/>
  <c r="CA867" i="1"/>
  <c r="BZ867" i="1"/>
  <c r="BY867" i="1"/>
  <c r="BX867" i="1"/>
  <c r="BW867" i="1"/>
  <c r="BV867" i="1"/>
  <c r="BU867" i="1"/>
  <c r="BT867" i="1"/>
  <c r="BS867" i="1"/>
  <c r="BR867" i="1"/>
  <c r="BQ867" i="1"/>
  <c r="BP867" i="1"/>
  <c r="BO867" i="1"/>
  <c r="BN867" i="1"/>
  <c r="BM867" i="1"/>
  <c r="BL867" i="1"/>
  <c r="BK867" i="1"/>
  <c r="BJ867" i="1"/>
  <c r="BI867" i="1"/>
  <c r="BH867" i="1"/>
  <c r="BG867" i="1"/>
  <c r="CE866" i="1"/>
  <c r="CD866" i="1"/>
  <c r="CC866" i="1"/>
  <c r="CB866" i="1"/>
  <c r="CA866" i="1"/>
  <c r="BZ866" i="1"/>
  <c r="BY866" i="1"/>
  <c r="BX866" i="1"/>
  <c r="BW866" i="1"/>
  <c r="BV866" i="1"/>
  <c r="BU866" i="1"/>
  <c r="BT866" i="1"/>
  <c r="BS866" i="1"/>
  <c r="BR866" i="1"/>
  <c r="BQ866" i="1"/>
  <c r="BP866" i="1"/>
  <c r="BO866" i="1"/>
  <c r="BN866" i="1"/>
  <c r="BM866" i="1"/>
  <c r="BL866" i="1"/>
  <c r="BK866" i="1"/>
  <c r="BJ866" i="1"/>
  <c r="BI866" i="1"/>
  <c r="BH866" i="1"/>
  <c r="BG866" i="1"/>
  <c r="CE865" i="1"/>
  <c r="CD865" i="1"/>
  <c r="CC865" i="1"/>
  <c r="CB865" i="1"/>
  <c r="CA865" i="1"/>
  <c r="BZ865" i="1"/>
  <c r="BY865" i="1"/>
  <c r="BX865" i="1"/>
  <c r="BW865" i="1"/>
  <c r="BV865" i="1"/>
  <c r="BU865" i="1"/>
  <c r="BT865" i="1"/>
  <c r="BS865" i="1"/>
  <c r="BR865" i="1"/>
  <c r="BQ865" i="1"/>
  <c r="BP865" i="1"/>
  <c r="BO865" i="1"/>
  <c r="BN865" i="1"/>
  <c r="BM865" i="1"/>
  <c r="BL865" i="1"/>
  <c r="BK865" i="1"/>
  <c r="BJ865" i="1"/>
  <c r="BI865" i="1"/>
  <c r="BH865" i="1"/>
  <c r="BG865" i="1"/>
  <c r="CE864" i="1"/>
  <c r="CD864" i="1"/>
  <c r="CC864" i="1"/>
  <c r="CB864" i="1"/>
  <c r="CA864" i="1"/>
  <c r="BZ864" i="1"/>
  <c r="BY864" i="1"/>
  <c r="BX864" i="1"/>
  <c r="BW864" i="1"/>
  <c r="BV864" i="1"/>
  <c r="BU864" i="1"/>
  <c r="BT864" i="1"/>
  <c r="BS864" i="1"/>
  <c r="BR864" i="1"/>
  <c r="BQ864" i="1"/>
  <c r="BP864" i="1"/>
  <c r="BO864" i="1"/>
  <c r="BN864" i="1"/>
  <c r="BM864" i="1"/>
  <c r="BL864" i="1"/>
  <c r="BK864" i="1"/>
  <c r="BJ864" i="1"/>
  <c r="BI864" i="1"/>
  <c r="BH864" i="1"/>
  <c r="BG864" i="1"/>
  <c r="CE863" i="1"/>
  <c r="CD863" i="1"/>
  <c r="CC863" i="1"/>
  <c r="CB863" i="1"/>
  <c r="CA863" i="1"/>
  <c r="BZ863" i="1"/>
  <c r="BY863" i="1"/>
  <c r="BX863" i="1"/>
  <c r="BW863" i="1"/>
  <c r="BV863" i="1"/>
  <c r="BU863" i="1"/>
  <c r="BT863" i="1"/>
  <c r="BS863" i="1"/>
  <c r="BR863" i="1"/>
  <c r="BQ863" i="1"/>
  <c r="BP863" i="1"/>
  <c r="BO863" i="1"/>
  <c r="BN863" i="1"/>
  <c r="BM863" i="1"/>
  <c r="BL863" i="1"/>
  <c r="BK863" i="1"/>
  <c r="BJ863" i="1"/>
  <c r="BI863" i="1"/>
  <c r="BH863" i="1"/>
  <c r="BG863" i="1"/>
  <c r="CE862" i="1"/>
  <c r="CD862" i="1"/>
  <c r="CC862" i="1"/>
  <c r="CB862" i="1"/>
  <c r="CA862" i="1"/>
  <c r="BZ862" i="1"/>
  <c r="BY862" i="1"/>
  <c r="BX862" i="1"/>
  <c r="BW862" i="1"/>
  <c r="BV862" i="1"/>
  <c r="BU862" i="1"/>
  <c r="BT862" i="1"/>
  <c r="BS862" i="1"/>
  <c r="BR862" i="1"/>
  <c r="BQ862" i="1"/>
  <c r="BP862" i="1"/>
  <c r="BO862" i="1"/>
  <c r="BN862" i="1"/>
  <c r="BM862" i="1"/>
  <c r="BL862" i="1"/>
  <c r="BK862" i="1"/>
  <c r="BJ862" i="1"/>
  <c r="BI862" i="1"/>
  <c r="BH862" i="1"/>
  <c r="BG862" i="1"/>
  <c r="CE861" i="1"/>
  <c r="CD861" i="1"/>
  <c r="CC861" i="1"/>
  <c r="CB861" i="1"/>
  <c r="CA861" i="1"/>
  <c r="BZ861" i="1"/>
  <c r="BY861" i="1"/>
  <c r="BX861" i="1"/>
  <c r="BW861" i="1"/>
  <c r="BV861" i="1"/>
  <c r="BU861" i="1"/>
  <c r="BT861" i="1"/>
  <c r="BS861" i="1"/>
  <c r="BR861" i="1"/>
  <c r="BQ861" i="1"/>
  <c r="BP861" i="1"/>
  <c r="BO861" i="1"/>
  <c r="BN861" i="1"/>
  <c r="BM861" i="1"/>
  <c r="BL861" i="1"/>
  <c r="BK861" i="1"/>
  <c r="BJ861" i="1"/>
  <c r="BI861" i="1"/>
  <c r="BH861" i="1"/>
  <c r="BG861" i="1"/>
  <c r="CE860" i="1"/>
  <c r="CD860" i="1"/>
  <c r="CC860" i="1"/>
  <c r="CB860" i="1"/>
  <c r="CA860" i="1"/>
  <c r="BZ860" i="1"/>
  <c r="BY860" i="1"/>
  <c r="BX860" i="1"/>
  <c r="BW860" i="1"/>
  <c r="BV860" i="1"/>
  <c r="BU860" i="1"/>
  <c r="BT860" i="1"/>
  <c r="BS860" i="1"/>
  <c r="BR860" i="1"/>
  <c r="BQ860" i="1"/>
  <c r="BP860" i="1"/>
  <c r="BO860" i="1"/>
  <c r="BN860" i="1"/>
  <c r="BM860" i="1"/>
  <c r="BL860" i="1"/>
  <c r="BK860" i="1"/>
  <c r="BJ860" i="1"/>
  <c r="BI860" i="1"/>
  <c r="BH860" i="1"/>
  <c r="BG860" i="1"/>
  <c r="CE859" i="1"/>
  <c r="CD859" i="1"/>
  <c r="CC859" i="1"/>
  <c r="CB859" i="1"/>
  <c r="CA859" i="1"/>
  <c r="BZ859" i="1"/>
  <c r="BY859" i="1"/>
  <c r="BX859" i="1"/>
  <c r="BW859" i="1"/>
  <c r="BV859" i="1"/>
  <c r="BU859" i="1"/>
  <c r="BT859" i="1"/>
  <c r="BS859" i="1"/>
  <c r="BR859" i="1"/>
  <c r="BQ859" i="1"/>
  <c r="BP859" i="1"/>
  <c r="BO859" i="1"/>
  <c r="BN859" i="1"/>
  <c r="BM859" i="1"/>
  <c r="BL859" i="1"/>
  <c r="BK859" i="1"/>
  <c r="BJ859" i="1"/>
  <c r="BI859" i="1"/>
  <c r="BH859" i="1"/>
  <c r="BG859" i="1"/>
  <c r="CE858" i="1"/>
  <c r="CD858" i="1"/>
  <c r="CC858" i="1"/>
  <c r="CB858" i="1"/>
  <c r="CA858" i="1"/>
  <c r="BZ858" i="1"/>
  <c r="BY858" i="1"/>
  <c r="BX858" i="1"/>
  <c r="BW858" i="1"/>
  <c r="BV858" i="1"/>
  <c r="BU858" i="1"/>
  <c r="BT858" i="1"/>
  <c r="BS858" i="1"/>
  <c r="BR858" i="1"/>
  <c r="BQ858" i="1"/>
  <c r="BP858" i="1"/>
  <c r="BO858" i="1"/>
  <c r="BN858" i="1"/>
  <c r="BM858" i="1"/>
  <c r="BL858" i="1"/>
  <c r="BK858" i="1"/>
  <c r="BJ858" i="1"/>
  <c r="BI858" i="1"/>
  <c r="BH858" i="1"/>
  <c r="BG858" i="1"/>
  <c r="CE857" i="1"/>
  <c r="CD857" i="1"/>
  <c r="CC857" i="1"/>
  <c r="CB857" i="1"/>
  <c r="CA857" i="1"/>
  <c r="BZ857" i="1"/>
  <c r="BY857" i="1"/>
  <c r="BX857" i="1"/>
  <c r="BW857" i="1"/>
  <c r="BV857" i="1"/>
  <c r="BU857" i="1"/>
  <c r="BT857" i="1"/>
  <c r="BS857" i="1"/>
  <c r="BR857" i="1"/>
  <c r="BQ857" i="1"/>
  <c r="BP857" i="1"/>
  <c r="BO857" i="1"/>
  <c r="BN857" i="1"/>
  <c r="BM857" i="1"/>
  <c r="BL857" i="1"/>
  <c r="BK857" i="1"/>
  <c r="BJ857" i="1"/>
  <c r="BI857" i="1"/>
  <c r="BH857" i="1"/>
  <c r="BG857" i="1"/>
  <c r="CE856" i="1"/>
  <c r="CD856" i="1"/>
  <c r="CC856" i="1"/>
  <c r="CB856" i="1"/>
  <c r="CA856" i="1"/>
  <c r="BZ856" i="1"/>
  <c r="BY856" i="1"/>
  <c r="BX856" i="1"/>
  <c r="BW856" i="1"/>
  <c r="BV856" i="1"/>
  <c r="BU856" i="1"/>
  <c r="BT856" i="1"/>
  <c r="BS856" i="1"/>
  <c r="BR856" i="1"/>
  <c r="BQ856" i="1"/>
  <c r="BP856" i="1"/>
  <c r="BO856" i="1"/>
  <c r="BN856" i="1"/>
  <c r="BM856" i="1"/>
  <c r="BL856" i="1"/>
  <c r="BK856" i="1"/>
  <c r="BJ856" i="1"/>
  <c r="BI856" i="1"/>
  <c r="BH856" i="1"/>
  <c r="BG856" i="1"/>
  <c r="CE855" i="1"/>
  <c r="CD855" i="1"/>
  <c r="CC855" i="1"/>
  <c r="CB855" i="1"/>
  <c r="CA855" i="1"/>
  <c r="BZ855" i="1"/>
  <c r="BY855" i="1"/>
  <c r="BX855" i="1"/>
  <c r="BW855" i="1"/>
  <c r="BV855" i="1"/>
  <c r="BU855" i="1"/>
  <c r="BT855" i="1"/>
  <c r="BS855" i="1"/>
  <c r="BR855" i="1"/>
  <c r="BQ855" i="1"/>
  <c r="BP855" i="1"/>
  <c r="BO855" i="1"/>
  <c r="BN855" i="1"/>
  <c r="BM855" i="1"/>
  <c r="BL855" i="1"/>
  <c r="BK855" i="1"/>
  <c r="BJ855" i="1"/>
  <c r="BI855" i="1"/>
  <c r="BH855" i="1"/>
  <c r="BG855" i="1"/>
  <c r="CE854" i="1"/>
  <c r="CD854" i="1"/>
  <c r="CC854" i="1"/>
  <c r="CB854" i="1"/>
  <c r="CA854" i="1"/>
  <c r="BZ854" i="1"/>
  <c r="BY854" i="1"/>
  <c r="BX854" i="1"/>
  <c r="BW854" i="1"/>
  <c r="BV854" i="1"/>
  <c r="BU854" i="1"/>
  <c r="BT854" i="1"/>
  <c r="BS854" i="1"/>
  <c r="BR854" i="1"/>
  <c r="BQ854" i="1"/>
  <c r="BP854" i="1"/>
  <c r="BO854" i="1"/>
  <c r="BN854" i="1"/>
  <c r="BM854" i="1"/>
  <c r="BL854" i="1"/>
  <c r="BK854" i="1"/>
  <c r="BJ854" i="1"/>
  <c r="BI854" i="1"/>
  <c r="BH854" i="1"/>
  <c r="BG854" i="1"/>
  <c r="CE853" i="1"/>
  <c r="CD853" i="1"/>
  <c r="CC853" i="1"/>
  <c r="CB853" i="1"/>
  <c r="CA853" i="1"/>
  <c r="BZ853" i="1"/>
  <c r="BY853" i="1"/>
  <c r="BX853" i="1"/>
  <c r="BW853" i="1"/>
  <c r="BV853" i="1"/>
  <c r="BU853" i="1"/>
  <c r="BT853" i="1"/>
  <c r="BS853" i="1"/>
  <c r="BR853" i="1"/>
  <c r="BQ853" i="1"/>
  <c r="BP853" i="1"/>
  <c r="BO853" i="1"/>
  <c r="BN853" i="1"/>
  <c r="BM853" i="1"/>
  <c r="BL853" i="1"/>
  <c r="BK853" i="1"/>
  <c r="BJ853" i="1"/>
  <c r="BI853" i="1"/>
  <c r="BH853" i="1"/>
  <c r="BG853" i="1"/>
  <c r="CE852" i="1"/>
  <c r="CD852" i="1"/>
  <c r="CC852" i="1"/>
  <c r="CB852" i="1"/>
  <c r="CA852" i="1"/>
  <c r="BZ852" i="1"/>
  <c r="BY852" i="1"/>
  <c r="BX852" i="1"/>
  <c r="BW852" i="1"/>
  <c r="BV852" i="1"/>
  <c r="BU852" i="1"/>
  <c r="BT852" i="1"/>
  <c r="BS852" i="1"/>
  <c r="BR852" i="1"/>
  <c r="BQ852" i="1"/>
  <c r="BP852" i="1"/>
  <c r="BO852" i="1"/>
  <c r="BN852" i="1"/>
  <c r="BM852" i="1"/>
  <c r="BL852" i="1"/>
  <c r="BK852" i="1"/>
  <c r="BJ852" i="1"/>
  <c r="BI852" i="1"/>
  <c r="BH852" i="1"/>
  <c r="BG852" i="1"/>
  <c r="CE851" i="1"/>
  <c r="CD851" i="1"/>
  <c r="CC851" i="1"/>
  <c r="CB851" i="1"/>
  <c r="CA851" i="1"/>
  <c r="BZ851" i="1"/>
  <c r="BY851" i="1"/>
  <c r="BX851" i="1"/>
  <c r="BW851" i="1"/>
  <c r="BV851" i="1"/>
  <c r="BU851" i="1"/>
  <c r="BT851" i="1"/>
  <c r="BS851" i="1"/>
  <c r="BR851" i="1"/>
  <c r="BQ851" i="1"/>
  <c r="BP851" i="1"/>
  <c r="BO851" i="1"/>
  <c r="BN851" i="1"/>
  <c r="BM851" i="1"/>
  <c r="BL851" i="1"/>
  <c r="BK851" i="1"/>
  <c r="BJ851" i="1"/>
  <c r="BI851" i="1"/>
  <c r="BH851" i="1"/>
  <c r="BG851" i="1"/>
  <c r="CE850" i="1"/>
  <c r="CD850" i="1"/>
  <c r="CC850" i="1"/>
  <c r="CB850" i="1"/>
  <c r="CA850" i="1"/>
  <c r="BZ850" i="1"/>
  <c r="BY850" i="1"/>
  <c r="BX850" i="1"/>
  <c r="BW850" i="1"/>
  <c r="BV850" i="1"/>
  <c r="BU850" i="1"/>
  <c r="BT850" i="1"/>
  <c r="BS850" i="1"/>
  <c r="BR850" i="1"/>
  <c r="BQ850" i="1"/>
  <c r="BP850" i="1"/>
  <c r="BO850" i="1"/>
  <c r="BN850" i="1"/>
  <c r="BM850" i="1"/>
  <c r="BL850" i="1"/>
  <c r="BK850" i="1"/>
  <c r="BJ850" i="1"/>
  <c r="BI850" i="1"/>
  <c r="BH850" i="1"/>
  <c r="BG850" i="1"/>
  <c r="CE849" i="1"/>
  <c r="CD849" i="1"/>
  <c r="CC849" i="1"/>
  <c r="CB849" i="1"/>
  <c r="CA849" i="1"/>
  <c r="BZ849" i="1"/>
  <c r="BY849" i="1"/>
  <c r="BX849" i="1"/>
  <c r="BW849" i="1"/>
  <c r="BV849" i="1"/>
  <c r="BU849" i="1"/>
  <c r="BT849" i="1"/>
  <c r="BS849" i="1"/>
  <c r="BR849" i="1"/>
  <c r="BQ849" i="1"/>
  <c r="BP849" i="1"/>
  <c r="BO849" i="1"/>
  <c r="BN849" i="1"/>
  <c r="BM849" i="1"/>
  <c r="BL849" i="1"/>
  <c r="BK849" i="1"/>
  <c r="BJ849" i="1"/>
  <c r="BI849" i="1"/>
  <c r="BH849" i="1"/>
  <c r="BG849" i="1"/>
  <c r="CE848" i="1"/>
  <c r="CD848" i="1"/>
  <c r="CC848" i="1"/>
  <c r="CB848" i="1"/>
  <c r="CA848" i="1"/>
  <c r="BZ848" i="1"/>
  <c r="BY848" i="1"/>
  <c r="BX848" i="1"/>
  <c r="BW848" i="1"/>
  <c r="BV848" i="1"/>
  <c r="BU848" i="1"/>
  <c r="BT848" i="1"/>
  <c r="BS848" i="1"/>
  <c r="BR848" i="1"/>
  <c r="BQ848" i="1"/>
  <c r="BP848" i="1"/>
  <c r="BO848" i="1"/>
  <c r="BN848" i="1"/>
  <c r="BM848" i="1"/>
  <c r="BL848" i="1"/>
  <c r="BK848" i="1"/>
  <c r="BJ848" i="1"/>
  <c r="BI848" i="1"/>
  <c r="BH848" i="1"/>
  <c r="BG848" i="1"/>
  <c r="CE847" i="1"/>
  <c r="CD847" i="1"/>
  <c r="CC847" i="1"/>
  <c r="CB847" i="1"/>
  <c r="CA847" i="1"/>
  <c r="BZ847" i="1"/>
  <c r="BY847" i="1"/>
  <c r="BX847" i="1"/>
  <c r="BW847" i="1"/>
  <c r="BV847" i="1"/>
  <c r="BU847" i="1"/>
  <c r="BT847" i="1"/>
  <c r="BS847" i="1"/>
  <c r="BR847" i="1"/>
  <c r="BQ847" i="1"/>
  <c r="BP847" i="1"/>
  <c r="BO847" i="1"/>
  <c r="BN847" i="1"/>
  <c r="BM847" i="1"/>
  <c r="BL847" i="1"/>
  <c r="BK847" i="1"/>
  <c r="BJ847" i="1"/>
  <c r="BI847" i="1"/>
  <c r="BH847" i="1"/>
  <c r="BG847" i="1"/>
  <c r="CE846" i="1"/>
  <c r="CD846" i="1"/>
  <c r="CC846" i="1"/>
  <c r="CB846" i="1"/>
  <c r="CA846" i="1"/>
  <c r="BZ846" i="1"/>
  <c r="BY846" i="1"/>
  <c r="BX846" i="1"/>
  <c r="BW846" i="1"/>
  <c r="BV846" i="1"/>
  <c r="BU846" i="1"/>
  <c r="BT846" i="1"/>
  <c r="BS846" i="1"/>
  <c r="BR846" i="1"/>
  <c r="BQ846" i="1"/>
  <c r="BP846" i="1"/>
  <c r="BO846" i="1"/>
  <c r="BN846" i="1"/>
  <c r="BM846" i="1"/>
  <c r="BL846" i="1"/>
  <c r="BK846" i="1"/>
  <c r="BJ846" i="1"/>
  <c r="BI846" i="1"/>
  <c r="BH846" i="1"/>
  <c r="BG846" i="1"/>
  <c r="CE845" i="1"/>
  <c r="CD845" i="1"/>
  <c r="CC845" i="1"/>
  <c r="CB845" i="1"/>
  <c r="CA845" i="1"/>
  <c r="BZ845" i="1"/>
  <c r="BY845" i="1"/>
  <c r="BX845" i="1"/>
  <c r="BW845" i="1"/>
  <c r="BV845" i="1"/>
  <c r="BU845" i="1"/>
  <c r="BT845" i="1"/>
  <c r="BS845" i="1"/>
  <c r="BR845" i="1"/>
  <c r="BQ845" i="1"/>
  <c r="BP845" i="1"/>
  <c r="BO845" i="1"/>
  <c r="BN845" i="1"/>
  <c r="BM845" i="1"/>
  <c r="BL845" i="1"/>
  <c r="BK845" i="1"/>
  <c r="BJ845" i="1"/>
  <c r="BI845" i="1"/>
  <c r="BH845" i="1"/>
  <c r="BG845" i="1"/>
  <c r="CE844" i="1"/>
  <c r="CD844" i="1"/>
  <c r="CC844" i="1"/>
  <c r="CB844" i="1"/>
  <c r="CA844" i="1"/>
  <c r="BZ844" i="1"/>
  <c r="BY844" i="1"/>
  <c r="BX844" i="1"/>
  <c r="BW844" i="1"/>
  <c r="BV844" i="1"/>
  <c r="BU844" i="1"/>
  <c r="BT844" i="1"/>
  <c r="BS844" i="1"/>
  <c r="BR844" i="1"/>
  <c r="BQ844" i="1"/>
  <c r="BP844" i="1"/>
  <c r="BO844" i="1"/>
  <c r="BN844" i="1"/>
  <c r="BM844" i="1"/>
  <c r="BL844" i="1"/>
  <c r="BK844" i="1"/>
  <c r="BJ844" i="1"/>
  <c r="BI844" i="1"/>
  <c r="BH844" i="1"/>
  <c r="BG844" i="1"/>
  <c r="CE843" i="1"/>
  <c r="CD843" i="1"/>
  <c r="CC843" i="1"/>
  <c r="CB843" i="1"/>
  <c r="CA843" i="1"/>
  <c r="BZ843" i="1"/>
  <c r="BY843" i="1"/>
  <c r="BX843" i="1"/>
  <c r="BW843" i="1"/>
  <c r="BV843" i="1"/>
  <c r="BU843" i="1"/>
  <c r="BT843" i="1"/>
  <c r="BS843" i="1"/>
  <c r="BR843" i="1"/>
  <c r="BQ843" i="1"/>
  <c r="BP843" i="1"/>
  <c r="BO843" i="1"/>
  <c r="BN843" i="1"/>
  <c r="BM843" i="1"/>
  <c r="BL843" i="1"/>
  <c r="BK843" i="1"/>
  <c r="BJ843" i="1"/>
  <c r="BI843" i="1"/>
  <c r="BH843" i="1"/>
  <c r="BG843" i="1"/>
  <c r="CE842" i="1"/>
  <c r="CD842" i="1"/>
  <c r="CC842" i="1"/>
  <c r="CB842" i="1"/>
  <c r="CA842" i="1"/>
  <c r="BZ842" i="1"/>
  <c r="BY842" i="1"/>
  <c r="BX842" i="1"/>
  <c r="BW842" i="1"/>
  <c r="BV842" i="1"/>
  <c r="BU842" i="1"/>
  <c r="BT842" i="1"/>
  <c r="BS842" i="1"/>
  <c r="BR842" i="1"/>
  <c r="BQ842" i="1"/>
  <c r="BP842" i="1"/>
  <c r="BO842" i="1"/>
  <c r="BN842" i="1"/>
  <c r="BM842" i="1"/>
  <c r="BL842" i="1"/>
  <c r="BK842" i="1"/>
  <c r="BJ842" i="1"/>
  <c r="BI842" i="1"/>
  <c r="BH842" i="1"/>
  <c r="BG842" i="1"/>
  <c r="CE841" i="1"/>
  <c r="CD841" i="1"/>
  <c r="CC841" i="1"/>
  <c r="CB841" i="1"/>
  <c r="CA841" i="1"/>
  <c r="BZ841" i="1"/>
  <c r="BY841" i="1"/>
  <c r="BX841" i="1"/>
  <c r="BW841" i="1"/>
  <c r="BV841" i="1"/>
  <c r="BU841" i="1"/>
  <c r="BT841" i="1"/>
  <c r="BS841" i="1"/>
  <c r="BR841" i="1"/>
  <c r="BQ841" i="1"/>
  <c r="BP841" i="1"/>
  <c r="BO841" i="1"/>
  <c r="BN841" i="1"/>
  <c r="BM841" i="1"/>
  <c r="BL841" i="1"/>
  <c r="BK841" i="1"/>
  <c r="BJ841" i="1"/>
  <c r="BI841" i="1"/>
  <c r="BH841" i="1"/>
  <c r="BG841" i="1"/>
  <c r="CE840" i="1"/>
  <c r="CD840" i="1"/>
  <c r="CC840" i="1"/>
  <c r="CB840" i="1"/>
  <c r="CA840" i="1"/>
  <c r="BZ840" i="1"/>
  <c r="BY840" i="1"/>
  <c r="BX840" i="1"/>
  <c r="BW840" i="1"/>
  <c r="BV840" i="1"/>
  <c r="BU840" i="1"/>
  <c r="BT840" i="1"/>
  <c r="BS840" i="1"/>
  <c r="BR840" i="1"/>
  <c r="BQ840" i="1"/>
  <c r="BP840" i="1"/>
  <c r="BO840" i="1"/>
  <c r="BN840" i="1"/>
  <c r="BM840" i="1"/>
  <c r="BL840" i="1"/>
  <c r="BK840" i="1"/>
  <c r="BJ840" i="1"/>
  <c r="BI840" i="1"/>
  <c r="BH840" i="1"/>
  <c r="BG840" i="1"/>
  <c r="CE839" i="1"/>
  <c r="CD839" i="1"/>
  <c r="CC839" i="1"/>
  <c r="CB839" i="1"/>
  <c r="CA839" i="1"/>
  <c r="BZ839" i="1"/>
  <c r="BY839" i="1"/>
  <c r="BX839" i="1"/>
  <c r="BW839" i="1"/>
  <c r="BV839" i="1"/>
  <c r="BU839" i="1"/>
  <c r="BT839" i="1"/>
  <c r="BS839" i="1"/>
  <c r="BR839" i="1"/>
  <c r="BQ839" i="1"/>
  <c r="BP839" i="1"/>
  <c r="BO839" i="1"/>
  <c r="BN839" i="1"/>
  <c r="BM839" i="1"/>
  <c r="BL839" i="1"/>
  <c r="BK839" i="1"/>
  <c r="BJ839" i="1"/>
  <c r="BI839" i="1"/>
  <c r="BH839" i="1"/>
  <c r="BG839" i="1"/>
  <c r="CE838" i="1"/>
  <c r="CD838" i="1"/>
  <c r="CC838" i="1"/>
  <c r="CB838" i="1"/>
  <c r="CA838" i="1"/>
  <c r="BZ838" i="1"/>
  <c r="BY838" i="1"/>
  <c r="BX838" i="1"/>
  <c r="BW838" i="1"/>
  <c r="BV838" i="1"/>
  <c r="BU838" i="1"/>
  <c r="BT838" i="1"/>
  <c r="BS838" i="1"/>
  <c r="BR838" i="1"/>
  <c r="BQ838" i="1"/>
  <c r="BP838" i="1"/>
  <c r="BO838" i="1"/>
  <c r="BN838" i="1"/>
  <c r="BM838" i="1"/>
  <c r="BL838" i="1"/>
  <c r="BK838" i="1"/>
  <c r="BJ838" i="1"/>
  <c r="BI838" i="1"/>
  <c r="BH838" i="1"/>
  <c r="BG838" i="1"/>
  <c r="CE837" i="1"/>
  <c r="CD837" i="1"/>
  <c r="CC837" i="1"/>
  <c r="CB837" i="1"/>
  <c r="CA837" i="1"/>
  <c r="BZ837" i="1"/>
  <c r="BY837" i="1"/>
  <c r="BX837" i="1"/>
  <c r="BW837" i="1"/>
  <c r="BV837" i="1"/>
  <c r="BU837" i="1"/>
  <c r="BT837" i="1"/>
  <c r="BS837" i="1"/>
  <c r="BR837" i="1"/>
  <c r="BQ837" i="1"/>
  <c r="BP837" i="1"/>
  <c r="BO837" i="1"/>
  <c r="BN837" i="1"/>
  <c r="BM837" i="1"/>
  <c r="BL837" i="1"/>
  <c r="BK837" i="1"/>
  <c r="BJ837" i="1"/>
  <c r="BI837" i="1"/>
  <c r="BH837" i="1"/>
  <c r="BG837" i="1"/>
  <c r="CE836" i="1"/>
  <c r="CD836" i="1"/>
  <c r="CC836" i="1"/>
  <c r="CB836" i="1"/>
  <c r="CA836" i="1"/>
  <c r="BZ836" i="1"/>
  <c r="BY836" i="1"/>
  <c r="BX836" i="1"/>
  <c r="BW836" i="1"/>
  <c r="BV836" i="1"/>
  <c r="BU836" i="1"/>
  <c r="BT836" i="1"/>
  <c r="BS836" i="1"/>
  <c r="BR836" i="1"/>
  <c r="BQ836" i="1"/>
  <c r="BP836" i="1"/>
  <c r="BO836" i="1"/>
  <c r="BN836" i="1"/>
  <c r="BM836" i="1"/>
  <c r="BL836" i="1"/>
  <c r="BK836" i="1"/>
  <c r="BJ836" i="1"/>
  <c r="BI836" i="1"/>
  <c r="BH836" i="1"/>
  <c r="BG836" i="1"/>
  <c r="CE835" i="1"/>
  <c r="CD835" i="1"/>
  <c r="CC835" i="1"/>
  <c r="CB835" i="1"/>
  <c r="CA835" i="1"/>
  <c r="BZ835" i="1"/>
  <c r="BY835" i="1"/>
  <c r="BX835" i="1"/>
  <c r="BW835" i="1"/>
  <c r="BV835" i="1"/>
  <c r="BU835" i="1"/>
  <c r="BT835" i="1"/>
  <c r="BS835" i="1"/>
  <c r="BR835" i="1"/>
  <c r="BQ835" i="1"/>
  <c r="BP835" i="1"/>
  <c r="BO835" i="1"/>
  <c r="BN835" i="1"/>
  <c r="BM835" i="1"/>
  <c r="BL835" i="1"/>
  <c r="BK835" i="1"/>
  <c r="BJ835" i="1"/>
  <c r="BI835" i="1"/>
  <c r="BH835" i="1"/>
  <c r="BG835" i="1"/>
  <c r="CE834" i="1"/>
  <c r="CD834" i="1"/>
  <c r="CC834" i="1"/>
  <c r="CB834" i="1"/>
  <c r="CA834" i="1"/>
  <c r="BZ834" i="1"/>
  <c r="BY834" i="1"/>
  <c r="BX834" i="1"/>
  <c r="BW834" i="1"/>
  <c r="BV834" i="1"/>
  <c r="BU834" i="1"/>
  <c r="BT834" i="1"/>
  <c r="BS834" i="1"/>
  <c r="BR834" i="1"/>
  <c r="BQ834" i="1"/>
  <c r="BP834" i="1"/>
  <c r="BO834" i="1"/>
  <c r="BN834" i="1"/>
  <c r="BM834" i="1"/>
  <c r="BL834" i="1"/>
  <c r="BK834" i="1"/>
  <c r="BJ834" i="1"/>
  <c r="BI834" i="1"/>
  <c r="BH834" i="1"/>
  <c r="BG834" i="1"/>
  <c r="CE833" i="1"/>
  <c r="CD833" i="1"/>
  <c r="CC833" i="1"/>
  <c r="CB833" i="1"/>
  <c r="CA833" i="1"/>
  <c r="BZ833" i="1"/>
  <c r="BY833" i="1"/>
  <c r="BX833" i="1"/>
  <c r="BW833" i="1"/>
  <c r="BV833" i="1"/>
  <c r="BU833" i="1"/>
  <c r="BT833" i="1"/>
  <c r="BS833" i="1"/>
  <c r="BR833" i="1"/>
  <c r="BQ833" i="1"/>
  <c r="BP833" i="1"/>
  <c r="BO833" i="1"/>
  <c r="BN833" i="1"/>
  <c r="BM833" i="1"/>
  <c r="BL833" i="1"/>
  <c r="BK833" i="1"/>
  <c r="BJ833" i="1"/>
  <c r="BI833" i="1"/>
  <c r="BH833" i="1"/>
  <c r="BG833" i="1"/>
  <c r="CE832" i="1"/>
  <c r="CD832" i="1"/>
  <c r="CC832" i="1"/>
  <c r="CB832" i="1"/>
  <c r="CA832" i="1"/>
  <c r="BZ832" i="1"/>
  <c r="BY832" i="1"/>
  <c r="BX832" i="1"/>
  <c r="BW832" i="1"/>
  <c r="BV832" i="1"/>
  <c r="BU832" i="1"/>
  <c r="BT832" i="1"/>
  <c r="BS832" i="1"/>
  <c r="BR832" i="1"/>
  <c r="BQ832" i="1"/>
  <c r="BP832" i="1"/>
  <c r="BO832" i="1"/>
  <c r="BN832" i="1"/>
  <c r="BM832" i="1"/>
  <c r="BL832" i="1"/>
  <c r="BK832" i="1"/>
  <c r="BJ832" i="1"/>
  <c r="BI832" i="1"/>
  <c r="BH832" i="1"/>
  <c r="BG832" i="1"/>
  <c r="CE831" i="1"/>
  <c r="CD831" i="1"/>
  <c r="CC831" i="1"/>
  <c r="CB831" i="1"/>
  <c r="CA831" i="1"/>
  <c r="BZ831" i="1"/>
  <c r="BY831" i="1"/>
  <c r="BX831" i="1"/>
  <c r="BW831" i="1"/>
  <c r="BV831" i="1"/>
  <c r="BU831" i="1"/>
  <c r="BT831" i="1"/>
  <c r="BS831" i="1"/>
  <c r="BR831" i="1"/>
  <c r="BQ831" i="1"/>
  <c r="BP831" i="1"/>
  <c r="BO831" i="1"/>
  <c r="BN831" i="1"/>
  <c r="BM831" i="1"/>
  <c r="BL831" i="1"/>
  <c r="BK831" i="1"/>
  <c r="BJ831" i="1"/>
  <c r="BI831" i="1"/>
  <c r="BH831" i="1"/>
  <c r="BG831" i="1"/>
  <c r="CE830" i="1"/>
  <c r="CD830" i="1"/>
  <c r="CC830" i="1"/>
  <c r="CB830" i="1"/>
  <c r="CA830" i="1"/>
  <c r="BZ830" i="1"/>
  <c r="BY830" i="1"/>
  <c r="BX830" i="1"/>
  <c r="BW830" i="1"/>
  <c r="BV830" i="1"/>
  <c r="BU830" i="1"/>
  <c r="BT830" i="1"/>
  <c r="BS830" i="1"/>
  <c r="BR830" i="1"/>
  <c r="BQ830" i="1"/>
  <c r="BP830" i="1"/>
  <c r="BO830" i="1"/>
  <c r="BN830" i="1"/>
  <c r="BM830" i="1"/>
  <c r="BL830" i="1"/>
  <c r="BK830" i="1"/>
  <c r="BJ830" i="1"/>
  <c r="BI830" i="1"/>
  <c r="BH830" i="1"/>
  <c r="BG830" i="1"/>
  <c r="CE829" i="1"/>
  <c r="CD829" i="1"/>
  <c r="CC829" i="1"/>
  <c r="CB829" i="1"/>
  <c r="CA829" i="1"/>
  <c r="BZ829" i="1"/>
  <c r="BY829" i="1"/>
  <c r="BX829" i="1"/>
  <c r="BW829" i="1"/>
  <c r="BV829" i="1"/>
  <c r="BU829" i="1"/>
  <c r="BT829" i="1"/>
  <c r="BS829" i="1"/>
  <c r="BR829" i="1"/>
  <c r="BQ829" i="1"/>
  <c r="BP829" i="1"/>
  <c r="BO829" i="1"/>
  <c r="BN829" i="1"/>
  <c r="BM829" i="1"/>
  <c r="BL829" i="1"/>
  <c r="BK829" i="1"/>
  <c r="BJ829" i="1"/>
  <c r="BI829" i="1"/>
  <c r="BH829" i="1"/>
  <c r="BG829" i="1"/>
  <c r="CE828" i="1"/>
  <c r="CD828" i="1"/>
  <c r="CC828" i="1"/>
  <c r="CB828" i="1"/>
  <c r="CA828" i="1"/>
  <c r="BZ828" i="1"/>
  <c r="BY828" i="1"/>
  <c r="BX828" i="1"/>
  <c r="BW828" i="1"/>
  <c r="BV828" i="1"/>
  <c r="BU828" i="1"/>
  <c r="BT828" i="1"/>
  <c r="BS828" i="1"/>
  <c r="BR828" i="1"/>
  <c r="BQ828" i="1"/>
  <c r="BP828" i="1"/>
  <c r="BO828" i="1"/>
  <c r="BN828" i="1"/>
  <c r="BM828" i="1"/>
  <c r="BL828" i="1"/>
  <c r="BK828" i="1"/>
  <c r="BJ828" i="1"/>
  <c r="BI828" i="1"/>
  <c r="BH828" i="1"/>
  <c r="BG828" i="1"/>
  <c r="CE827" i="1"/>
  <c r="CD827" i="1"/>
  <c r="CC827" i="1"/>
  <c r="CB827" i="1"/>
  <c r="CA827" i="1"/>
  <c r="BZ827" i="1"/>
  <c r="BY827" i="1"/>
  <c r="BX827" i="1"/>
  <c r="BW827" i="1"/>
  <c r="BV827" i="1"/>
  <c r="BU827" i="1"/>
  <c r="BT827" i="1"/>
  <c r="BS827" i="1"/>
  <c r="BR827" i="1"/>
  <c r="BQ827" i="1"/>
  <c r="BP827" i="1"/>
  <c r="BO827" i="1"/>
  <c r="BN827" i="1"/>
  <c r="BM827" i="1"/>
  <c r="BL827" i="1"/>
  <c r="BK827" i="1"/>
  <c r="BJ827" i="1"/>
  <c r="BI827" i="1"/>
  <c r="BH827" i="1"/>
  <c r="BG827" i="1"/>
  <c r="CE826" i="1"/>
  <c r="CD826" i="1"/>
  <c r="CC826" i="1"/>
  <c r="CB826" i="1"/>
  <c r="CA826" i="1"/>
  <c r="BZ826" i="1"/>
  <c r="BY826" i="1"/>
  <c r="BX826" i="1"/>
  <c r="BW826" i="1"/>
  <c r="BV826" i="1"/>
  <c r="BU826" i="1"/>
  <c r="BT826" i="1"/>
  <c r="BS826" i="1"/>
  <c r="BR826" i="1"/>
  <c r="BQ826" i="1"/>
  <c r="BP826" i="1"/>
  <c r="BO826" i="1"/>
  <c r="BN826" i="1"/>
  <c r="BM826" i="1"/>
  <c r="BL826" i="1"/>
  <c r="BK826" i="1"/>
  <c r="BJ826" i="1"/>
  <c r="BI826" i="1"/>
  <c r="BH826" i="1"/>
  <c r="BG826" i="1"/>
  <c r="CE825" i="1"/>
  <c r="CD825" i="1"/>
  <c r="CC825" i="1"/>
  <c r="CB825" i="1"/>
  <c r="CA825" i="1"/>
  <c r="BZ825" i="1"/>
  <c r="BY825" i="1"/>
  <c r="BX825" i="1"/>
  <c r="BW825" i="1"/>
  <c r="BV825" i="1"/>
  <c r="BU825" i="1"/>
  <c r="BT825" i="1"/>
  <c r="BS825" i="1"/>
  <c r="BR825" i="1"/>
  <c r="BQ825" i="1"/>
  <c r="BP825" i="1"/>
  <c r="BO825" i="1"/>
  <c r="BN825" i="1"/>
  <c r="BM825" i="1"/>
  <c r="BL825" i="1"/>
  <c r="BK825" i="1"/>
  <c r="BJ825" i="1"/>
  <c r="BI825" i="1"/>
  <c r="BH825" i="1"/>
  <c r="BG825" i="1"/>
  <c r="CE824" i="1"/>
  <c r="CD824" i="1"/>
  <c r="CC824" i="1"/>
  <c r="CB824" i="1"/>
  <c r="CA824" i="1"/>
  <c r="BZ824" i="1"/>
  <c r="BY824" i="1"/>
  <c r="BX824" i="1"/>
  <c r="BW824" i="1"/>
  <c r="BV824" i="1"/>
  <c r="BU824" i="1"/>
  <c r="BT824" i="1"/>
  <c r="BS824" i="1"/>
  <c r="BR824" i="1"/>
  <c r="BQ824" i="1"/>
  <c r="BP824" i="1"/>
  <c r="BO824" i="1"/>
  <c r="BN824" i="1"/>
  <c r="BM824" i="1"/>
  <c r="BL824" i="1"/>
  <c r="BK824" i="1"/>
  <c r="BJ824" i="1"/>
  <c r="BI824" i="1"/>
  <c r="BH824" i="1"/>
  <c r="BG824" i="1"/>
  <c r="CE823" i="1"/>
  <c r="CD823" i="1"/>
  <c r="CC823" i="1"/>
  <c r="CB823" i="1"/>
  <c r="CA823" i="1"/>
  <c r="BZ823" i="1"/>
  <c r="BY823" i="1"/>
  <c r="BX823" i="1"/>
  <c r="BW823" i="1"/>
  <c r="BV823" i="1"/>
  <c r="BU823" i="1"/>
  <c r="BT823" i="1"/>
  <c r="BS823" i="1"/>
  <c r="BR823" i="1"/>
  <c r="BQ823" i="1"/>
  <c r="BP823" i="1"/>
  <c r="BO823" i="1"/>
  <c r="BN823" i="1"/>
  <c r="BM823" i="1"/>
  <c r="BL823" i="1"/>
  <c r="BK823" i="1"/>
  <c r="BJ823" i="1"/>
  <c r="BI823" i="1"/>
  <c r="BH823" i="1"/>
  <c r="BG823" i="1"/>
  <c r="CE822" i="1"/>
  <c r="CD822" i="1"/>
  <c r="CC822" i="1"/>
  <c r="CB822" i="1"/>
  <c r="CA822" i="1"/>
  <c r="BZ822" i="1"/>
  <c r="BY822" i="1"/>
  <c r="BX822" i="1"/>
  <c r="BW822" i="1"/>
  <c r="BV822" i="1"/>
  <c r="BU822" i="1"/>
  <c r="BT822" i="1"/>
  <c r="BS822" i="1"/>
  <c r="BR822" i="1"/>
  <c r="BQ822" i="1"/>
  <c r="BP822" i="1"/>
  <c r="BO822" i="1"/>
  <c r="BN822" i="1"/>
  <c r="BM822" i="1"/>
  <c r="BL822" i="1"/>
  <c r="BK822" i="1"/>
  <c r="BJ822" i="1"/>
  <c r="BI822" i="1"/>
  <c r="BH822" i="1"/>
  <c r="BG822" i="1"/>
  <c r="CE821" i="1"/>
  <c r="CD821" i="1"/>
  <c r="CC821" i="1"/>
  <c r="CB821" i="1"/>
  <c r="CA821" i="1"/>
  <c r="BZ821" i="1"/>
  <c r="BY821" i="1"/>
  <c r="BX821" i="1"/>
  <c r="BW821" i="1"/>
  <c r="BV821" i="1"/>
  <c r="BU821" i="1"/>
  <c r="BT821" i="1"/>
  <c r="BS821" i="1"/>
  <c r="BR821" i="1"/>
  <c r="BQ821" i="1"/>
  <c r="BP821" i="1"/>
  <c r="BO821" i="1"/>
  <c r="BN821" i="1"/>
  <c r="BM821" i="1"/>
  <c r="BL821" i="1"/>
  <c r="BK821" i="1"/>
  <c r="BJ821" i="1"/>
  <c r="BI821" i="1"/>
  <c r="BH821" i="1"/>
  <c r="BG821" i="1"/>
  <c r="CE820" i="1"/>
  <c r="CD820" i="1"/>
  <c r="CC820" i="1"/>
  <c r="CB820" i="1"/>
  <c r="CA820" i="1"/>
  <c r="BZ820" i="1"/>
  <c r="BY820" i="1"/>
  <c r="BX820" i="1"/>
  <c r="BW820" i="1"/>
  <c r="BV820" i="1"/>
  <c r="BU820" i="1"/>
  <c r="BT820" i="1"/>
  <c r="BS820" i="1"/>
  <c r="BR820" i="1"/>
  <c r="BQ820" i="1"/>
  <c r="BP820" i="1"/>
  <c r="BO820" i="1"/>
  <c r="BN820" i="1"/>
  <c r="BM820" i="1"/>
  <c r="BL820" i="1"/>
  <c r="BK820" i="1"/>
  <c r="BJ820" i="1"/>
  <c r="BI820" i="1"/>
  <c r="BH820" i="1"/>
  <c r="BG820" i="1"/>
  <c r="CE819" i="1"/>
  <c r="CD819" i="1"/>
  <c r="CC819" i="1"/>
  <c r="CB819" i="1"/>
  <c r="CA819" i="1"/>
  <c r="BZ819" i="1"/>
  <c r="BY819" i="1"/>
  <c r="BX819" i="1"/>
  <c r="BW819" i="1"/>
  <c r="BV819" i="1"/>
  <c r="BU819" i="1"/>
  <c r="BT819" i="1"/>
  <c r="BS819" i="1"/>
  <c r="BR819" i="1"/>
  <c r="BQ819" i="1"/>
  <c r="BP819" i="1"/>
  <c r="BO819" i="1"/>
  <c r="BN819" i="1"/>
  <c r="BM819" i="1"/>
  <c r="BL819" i="1"/>
  <c r="BK819" i="1"/>
  <c r="BJ819" i="1"/>
  <c r="BI819" i="1"/>
  <c r="BH819" i="1"/>
  <c r="BG819" i="1"/>
  <c r="CE818" i="1"/>
  <c r="CD818" i="1"/>
  <c r="CC818" i="1"/>
  <c r="CB818" i="1"/>
  <c r="CA818" i="1"/>
  <c r="BZ818" i="1"/>
  <c r="BY818" i="1"/>
  <c r="BX818" i="1"/>
  <c r="BW818" i="1"/>
  <c r="BV818" i="1"/>
  <c r="BU818" i="1"/>
  <c r="BT818" i="1"/>
  <c r="BS818" i="1"/>
  <c r="BR818" i="1"/>
  <c r="BQ818" i="1"/>
  <c r="BP818" i="1"/>
  <c r="BO818" i="1"/>
  <c r="BN818" i="1"/>
  <c r="BM818" i="1"/>
  <c r="BL818" i="1"/>
  <c r="BK818" i="1"/>
  <c r="BJ818" i="1"/>
  <c r="BI818" i="1"/>
  <c r="BH818" i="1"/>
  <c r="BG818" i="1"/>
  <c r="CE817" i="1"/>
  <c r="CD817" i="1"/>
  <c r="CC817" i="1"/>
  <c r="CB817" i="1"/>
  <c r="CA817" i="1"/>
  <c r="BZ817" i="1"/>
  <c r="BY817" i="1"/>
  <c r="BX817" i="1"/>
  <c r="BW817" i="1"/>
  <c r="BV817" i="1"/>
  <c r="BU817" i="1"/>
  <c r="BT817" i="1"/>
  <c r="BS817" i="1"/>
  <c r="BR817" i="1"/>
  <c r="BQ817" i="1"/>
  <c r="BP817" i="1"/>
  <c r="BO817" i="1"/>
  <c r="BN817" i="1"/>
  <c r="BM817" i="1"/>
  <c r="BL817" i="1"/>
  <c r="BK817" i="1"/>
  <c r="BJ817" i="1"/>
  <c r="BI817" i="1"/>
  <c r="BH817" i="1"/>
  <c r="BG817" i="1"/>
  <c r="CE816" i="1"/>
  <c r="CD816" i="1"/>
  <c r="CC816" i="1"/>
  <c r="CB816" i="1"/>
  <c r="CA816" i="1"/>
  <c r="BZ816" i="1"/>
  <c r="BY816" i="1"/>
  <c r="BX816" i="1"/>
  <c r="BW816" i="1"/>
  <c r="BV816" i="1"/>
  <c r="BU816" i="1"/>
  <c r="BT816" i="1"/>
  <c r="BS816" i="1"/>
  <c r="BR816" i="1"/>
  <c r="BQ816" i="1"/>
  <c r="BP816" i="1"/>
  <c r="BO816" i="1"/>
  <c r="BN816" i="1"/>
  <c r="BM816" i="1"/>
  <c r="BL816" i="1"/>
  <c r="BK816" i="1"/>
  <c r="BJ816" i="1"/>
  <c r="BI816" i="1"/>
  <c r="BH816" i="1"/>
  <c r="BG816" i="1"/>
  <c r="CE815" i="1"/>
  <c r="CD815" i="1"/>
  <c r="CC815" i="1"/>
  <c r="CB815" i="1"/>
  <c r="CA815" i="1"/>
  <c r="BZ815" i="1"/>
  <c r="BY815" i="1"/>
  <c r="BX815" i="1"/>
  <c r="BW815" i="1"/>
  <c r="BV815" i="1"/>
  <c r="BU815" i="1"/>
  <c r="BT815" i="1"/>
  <c r="BS815" i="1"/>
  <c r="BR815" i="1"/>
  <c r="BQ815" i="1"/>
  <c r="BP815" i="1"/>
  <c r="BO815" i="1"/>
  <c r="BN815" i="1"/>
  <c r="BM815" i="1"/>
  <c r="BL815" i="1"/>
  <c r="BK815" i="1"/>
  <c r="BJ815" i="1"/>
  <c r="BI815" i="1"/>
  <c r="BH815" i="1"/>
  <c r="BG815" i="1"/>
  <c r="CE814" i="1"/>
  <c r="CD814" i="1"/>
  <c r="CC814" i="1"/>
  <c r="CB814" i="1"/>
  <c r="CA814" i="1"/>
  <c r="BZ814" i="1"/>
  <c r="BY814" i="1"/>
  <c r="BX814" i="1"/>
  <c r="BW814" i="1"/>
  <c r="BV814" i="1"/>
  <c r="BU814" i="1"/>
  <c r="BT814" i="1"/>
  <c r="BS814" i="1"/>
  <c r="BR814" i="1"/>
  <c r="BQ814" i="1"/>
  <c r="BP814" i="1"/>
  <c r="BO814" i="1"/>
  <c r="BN814" i="1"/>
  <c r="BM814" i="1"/>
  <c r="BL814" i="1"/>
  <c r="BK814" i="1"/>
  <c r="BJ814" i="1"/>
  <c r="BI814" i="1"/>
  <c r="BH814" i="1"/>
  <c r="BG814" i="1"/>
  <c r="CE813" i="1"/>
  <c r="CD813" i="1"/>
  <c r="CC813" i="1"/>
  <c r="CB813" i="1"/>
  <c r="CA813" i="1"/>
  <c r="BZ813" i="1"/>
  <c r="BY813" i="1"/>
  <c r="BX813" i="1"/>
  <c r="BW813" i="1"/>
  <c r="BV813" i="1"/>
  <c r="BU813" i="1"/>
  <c r="BT813" i="1"/>
  <c r="BS813" i="1"/>
  <c r="BR813" i="1"/>
  <c r="BQ813" i="1"/>
  <c r="BP813" i="1"/>
  <c r="BO813" i="1"/>
  <c r="BN813" i="1"/>
  <c r="BM813" i="1"/>
  <c r="BL813" i="1"/>
  <c r="BK813" i="1"/>
  <c r="BJ813" i="1"/>
  <c r="BI813" i="1"/>
  <c r="BH813" i="1"/>
  <c r="BG813" i="1"/>
  <c r="CE812" i="1"/>
  <c r="CD812" i="1"/>
  <c r="CC812" i="1"/>
  <c r="CB812" i="1"/>
  <c r="CA812" i="1"/>
  <c r="BZ812" i="1"/>
  <c r="BY812" i="1"/>
  <c r="BX812" i="1"/>
  <c r="BW812" i="1"/>
  <c r="BV812" i="1"/>
  <c r="BU812" i="1"/>
  <c r="BT812" i="1"/>
  <c r="BS812" i="1"/>
  <c r="BR812" i="1"/>
  <c r="BQ812" i="1"/>
  <c r="BP812" i="1"/>
  <c r="BO812" i="1"/>
  <c r="BN812" i="1"/>
  <c r="BM812" i="1"/>
  <c r="BL812" i="1"/>
  <c r="BK812" i="1"/>
  <c r="BJ812" i="1"/>
  <c r="BI812" i="1"/>
  <c r="BH812" i="1"/>
  <c r="BG812" i="1"/>
  <c r="CE811" i="1"/>
  <c r="CD811" i="1"/>
  <c r="CC811" i="1"/>
  <c r="CB811" i="1"/>
  <c r="CA811" i="1"/>
  <c r="BZ811" i="1"/>
  <c r="BY811" i="1"/>
  <c r="BX811" i="1"/>
  <c r="BW811" i="1"/>
  <c r="BV811" i="1"/>
  <c r="BU811" i="1"/>
  <c r="BT811" i="1"/>
  <c r="BS811" i="1"/>
  <c r="BR811" i="1"/>
  <c r="BQ811" i="1"/>
  <c r="BP811" i="1"/>
  <c r="BO811" i="1"/>
  <c r="BN811" i="1"/>
  <c r="BM811" i="1"/>
  <c r="BL811" i="1"/>
  <c r="BK811" i="1"/>
  <c r="BJ811" i="1"/>
  <c r="BI811" i="1"/>
  <c r="BH811" i="1"/>
  <c r="BG811" i="1"/>
  <c r="CE810" i="1"/>
  <c r="CD810" i="1"/>
  <c r="CC810" i="1"/>
  <c r="CB810" i="1"/>
  <c r="CA810" i="1"/>
  <c r="BZ810" i="1"/>
  <c r="BY810" i="1"/>
  <c r="BX810" i="1"/>
  <c r="BW810" i="1"/>
  <c r="BV810" i="1"/>
  <c r="BU810" i="1"/>
  <c r="BT810" i="1"/>
  <c r="BS810" i="1"/>
  <c r="BR810" i="1"/>
  <c r="BQ810" i="1"/>
  <c r="BP810" i="1"/>
  <c r="BO810" i="1"/>
  <c r="BN810" i="1"/>
  <c r="BM810" i="1"/>
  <c r="BL810" i="1"/>
  <c r="BK810" i="1"/>
  <c r="BJ810" i="1"/>
  <c r="BI810" i="1"/>
  <c r="BH810" i="1"/>
  <c r="BG810" i="1"/>
  <c r="CE809" i="1"/>
  <c r="CD809" i="1"/>
  <c r="CC809" i="1"/>
  <c r="CB809" i="1"/>
  <c r="CA809" i="1"/>
  <c r="BZ809" i="1"/>
  <c r="BY809" i="1"/>
  <c r="BX809" i="1"/>
  <c r="BW809" i="1"/>
  <c r="BV809" i="1"/>
  <c r="BU809" i="1"/>
  <c r="BT809" i="1"/>
  <c r="BS809" i="1"/>
  <c r="BR809" i="1"/>
  <c r="BQ809" i="1"/>
  <c r="BP809" i="1"/>
  <c r="BO809" i="1"/>
  <c r="BN809" i="1"/>
  <c r="BM809" i="1"/>
  <c r="BL809" i="1"/>
  <c r="BK809" i="1"/>
  <c r="BJ809" i="1"/>
  <c r="BI809" i="1"/>
  <c r="BH809" i="1"/>
  <c r="BG809" i="1"/>
  <c r="CE808" i="1"/>
  <c r="CD808" i="1"/>
  <c r="CC808" i="1"/>
  <c r="CB808" i="1"/>
  <c r="CA808" i="1"/>
  <c r="BZ808" i="1"/>
  <c r="BY808" i="1"/>
  <c r="BX808" i="1"/>
  <c r="BW808" i="1"/>
  <c r="BV808" i="1"/>
  <c r="BU808" i="1"/>
  <c r="BT808" i="1"/>
  <c r="BS808" i="1"/>
  <c r="BR808" i="1"/>
  <c r="BQ808" i="1"/>
  <c r="BP808" i="1"/>
  <c r="BO808" i="1"/>
  <c r="BN808" i="1"/>
  <c r="BM808" i="1"/>
  <c r="BL808" i="1"/>
  <c r="BK808" i="1"/>
  <c r="BJ808" i="1"/>
  <c r="BI808" i="1"/>
  <c r="BH808" i="1"/>
  <c r="BG808" i="1"/>
  <c r="CE807" i="1"/>
  <c r="CD807" i="1"/>
  <c r="CC807" i="1"/>
  <c r="CB807" i="1"/>
  <c r="CA807" i="1"/>
  <c r="BZ807" i="1"/>
  <c r="BY807" i="1"/>
  <c r="BX807" i="1"/>
  <c r="BW807" i="1"/>
  <c r="BV807" i="1"/>
  <c r="BU807" i="1"/>
  <c r="BT807" i="1"/>
  <c r="BS807" i="1"/>
  <c r="BR807" i="1"/>
  <c r="BQ807" i="1"/>
  <c r="BP807" i="1"/>
  <c r="BO807" i="1"/>
  <c r="BN807" i="1"/>
  <c r="BM807" i="1"/>
  <c r="BL807" i="1"/>
  <c r="BK807" i="1"/>
  <c r="BJ807" i="1"/>
  <c r="BI807" i="1"/>
  <c r="BH807" i="1"/>
  <c r="BG807" i="1"/>
  <c r="CE806" i="1"/>
  <c r="CD806" i="1"/>
  <c r="CC806" i="1"/>
  <c r="CB806" i="1"/>
  <c r="CA806" i="1"/>
  <c r="BZ806" i="1"/>
  <c r="BY806" i="1"/>
  <c r="BX806" i="1"/>
  <c r="BW806" i="1"/>
  <c r="BV806" i="1"/>
  <c r="BU806" i="1"/>
  <c r="BT806" i="1"/>
  <c r="BS806" i="1"/>
  <c r="BR806" i="1"/>
  <c r="BQ806" i="1"/>
  <c r="BP806" i="1"/>
  <c r="BO806" i="1"/>
  <c r="BN806" i="1"/>
  <c r="BM806" i="1"/>
  <c r="BL806" i="1"/>
  <c r="BK806" i="1"/>
  <c r="BJ806" i="1"/>
  <c r="BI806" i="1"/>
  <c r="BH806" i="1"/>
  <c r="BG806" i="1"/>
  <c r="CE805" i="1"/>
  <c r="CD805" i="1"/>
  <c r="CC805" i="1"/>
  <c r="CB805" i="1"/>
  <c r="CA805" i="1"/>
  <c r="BZ805" i="1"/>
  <c r="BY805" i="1"/>
  <c r="BX805" i="1"/>
  <c r="BW805" i="1"/>
  <c r="BV805" i="1"/>
  <c r="BU805" i="1"/>
  <c r="BT805" i="1"/>
  <c r="BS805" i="1"/>
  <c r="BR805" i="1"/>
  <c r="BQ805" i="1"/>
  <c r="BP805" i="1"/>
  <c r="BO805" i="1"/>
  <c r="BN805" i="1"/>
  <c r="BM805" i="1"/>
  <c r="BL805" i="1"/>
  <c r="BK805" i="1"/>
  <c r="BJ805" i="1"/>
  <c r="BI805" i="1"/>
  <c r="BH805" i="1"/>
  <c r="BG805" i="1"/>
  <c r="CE804" i="1"/>
  <c r="CD804" i="1"/>
  <c r="CC804" i="1"/>
  <c r="CB804" i="1"/>
  <c r="CA804" i="1"/>
  <c r="BZ804" i="1"/>
  <c r="BY804" i="1"/>
  <c r="BX804" i="1"/>
  <c r="BW804" i="1"/>
  <c r="BV804" i="1"/>
  <c r="BU804" i="1"/>
  <c r="BT804" i="1"/>
  <c r="BS804" i="1"/>
  <c r="BR804" i="1"/>
  <c r="BQ804" i="1"/>
  <c r="BP804" i="1"/>
  <c r="BO804" i="1"/>
  <c r="BN804" i="1"/>
  <c r="BM804" i="1"/>
  <c r="BL804" i="1"/>
  <c r="BK804" i="1"/>
  <c r="BJ804" i="1"/>
  <c r="BI804" i="1"/>
  <c r="BH804" i="1"/>
  <c r="BG804" i="1"/>
  <c r="CE803" i="1"/>
  <c r="CD803" i="1"/>
  <c r="CC803" i="1"/>
  <c r="CB803" i="1"/>
  <c r="CA803" i="1"/>
  <c r="BZ803" i="1"/>
  <c r="BY803" i="1"/>
  <c r="BX803" i="1"/>
  <c r="BW803" i="1"/>
  <c r="BV803" i="1"/>
  <c r="BU803" i="1"/>
  <c r="BT803" i="1"/>
  <c r="BS803" i="1"/>
  <c r="BR803" i="1"/>
  <c r="BQ803" i="1"/>
  <c r="BP803" i="1"/>
  <c r="BO803" i="1"/>
  <c r="BN803" i="1"/>
  <c r="BM803" i="1"/>
  <c r="BL803" i="1"/>
  <c r="BK803" i="1"/>
  <c r="BJ803" i="1"/>
  <c r="BI803" i="1"/>
  <c r="BH803" i="1"/>
  <c r="BG803" i="1"/>
  <c r="CE802" i="1"/>
  <c r="CD802" i="1"/>
  <c r="CC802" i="1"/>
  <c r="CB802" i="1"/>
  <c r="CA802" i="1"/>
  <c r="BZ802" i="1"/>
  <c r="BY802" i="1"/>
  <c r="BX802" i="1"/>
  <c r="BW802" i="1"/>
  <c r="BV802" i="1"/>
  <c r="BU802" i="1"/>
  <c r="BT802" i="1"/>
  <c r="BS802" i="1"/>
  <c r="BR802" i="1"/>
  <c r="BQ802" i="1"/>
  <c r="BP802" i="1"/>
  <c r="BO802" i="1"/>
  <c r="BN802" i="1"/>
  <c r="BM802" i="1"/>
  <c r="BL802" i="1"/>
  <c r="BK802" i="1"/>
  <c r="BJ802" i="1"/>
  <c r="BI802" i="1"/>
  <c r="BH802" i="1"/>
  <c r="BG802" i="1"/>
  <c r="CE801" i="1"/>
  <c r="CD801" i="1"/>
  <c r="CC801" i="1"/>
  <c r="CB801" i="1"/>
  <c r="CA801" i="1"/>
  <c r="BZ801" i="1"/>
  <c r="BY801" i="1"/>
  <c r="BX801" i="1"/>
  <c r="BW801" i="1"/>
  <c r="BV801" i="1"/>
  <c r="BU801" i="1"/>
  <c r="BT801" i="1"/>
  <c r="BS801" i="1"/>
  <c r="BR801" i="1"/>
  <c r="BQ801" i="1"/>
  <c r="BP801" i="1"/>
  <c r="BO801" i="1"/>
  <c r="BN801" i="1"/>
  <c r="BM801" i="1"/>
  <c r="BL801" i="1"/>
  <c r="BK801" i="1"/>
  <c r="BJ801" i="1"/>
  <c r="BI801" i="1"/>
  <c r="BH801" i="1"/>
  <c r="BG801" i="1"/>
  <c r="CE800" i="1"/>
  <c r="CD800" i="1"/>
  <c r="CC800" i="1"/>
  <c r="CB800" i="1"/>
  <c r="CA800" i="1"/>
  <c r="BZ800" i="1"/>
  <c r="BY800" i="1"/>
  <c r="BX800" i="1"/>
  <c r="BW800" i="1"/>
  <c r="BV800" i="1"/>
  <c r="BU800" i="1"/>
  <c r="BT800" i="1"/>
  <c r="BS800" i="1"/>
  <c r="BR800" i="1"/>
  <c r="BQ800" i="1"/>
  <c r="BP800" i="1"/>
  <c r="BO800" i="1"/>
  <c r="BN800" i="1"/>
  <c r="BM800" i="1"/>
  <c r="BL800" i="1"/>
  <c r="BK800" i="1"/>
  <c r="BJ800" i="1"/>
  <c r="BI800" i="1"/>
  <c r="BH800" i="1"/>
  <c r="BG800" i="1"/>
  <c r="CE799" i="1"/>
  <c r="CD799" i="1"/>
  <c r="CC799" i="1"/>
  <c r="CB799" i="1"/>
  <c r="CA799" i="1"/>
  <c r="BZ799" i="1"/>
  <c r="BY799" i="1"/>
  <c r="BX799" i="1"/>
  <c r="BW799" i="1"/>
  <c r="BV799" i="1"/>
  <c r="BU799" i="1"/>
  <c r="BT799" i="1"/>
  <c r="BS799" i="1"/>
  <c r="BR799" i="1"/>
  <c r="BQ799" i="1"/>
  <c r="BP799" i="1"/>
  <c r="BO799" i="1"/>
  <c r="BN799" i="1"/>
  <c r="BM799" i="1"/>
  <c r="BL799" i="1"/>
  <c r="BK799" i="1"/>
  <c r="BJ799" i="1"/>
  <c r="BI799" i="1"/>
  <c r="BH799" i="1"/>
  <c r="BG799" i="1"/>
  <c r="CE798" i="1"/>
  <c r="CD798" i="1"/>
  <c r="CC798" i="1"/>
  <c r="CB798" i="1"/>
  <c r="CA798" i="1"/>
  <c r="BZ798" i="1"/>
  <c r="BY798" i="1"/>
  <c r="BX798" i="1"/>
  <c r="BW798" i="1"/>
  <c r="BV798" i="1"/>
  <c r="BU798" i="1"/>
  <c r="BT798" i="1"/>
  <c r="BS798" i="1"/>
  <c r="BR798" i="1"/>
  <c r="BQ798" i="1"/>
  <c r="BP798" i="1"/>
  <c r="BO798" i="1"/>
  <c r="BN798" i="1"/>
  <c r="BM798" i="1"/>
  <c r="BL798" i="1"/>
  <c r="BK798" i="1"/>
  <c r="BJ798" i="1"/>
  <c r="BI798" i="1"/>
  <c r="BH798" i="1"/>
  <c r="BG798" i="1"/>
  <c r="CE797" i="1"/>
  <c r="CD797" i="1"/>
  <c r="CC797" i="1"/>
  <c r="CB797" i="1"/>
  <c r="CA797" i="1"/>
  <c r="BZ797" i="1"/>
  <c r="BY797" i="1"/>
  <c r="BX797" i="1"/>
  <c r="BW797" i="1"/>
  <c r="BV797" i="1"/>
  <c r="BU797" i="1"/>
  <c r="BT797" i="1"/>
  <c r="BS797" i="1"/>
  <c r="BR797" i="1"/>
  <c r="BQ797" i="1"/>
  <c r="BP797" i="1"/>
  <c r="BO797" i="1"/>
  <c r="BN797" i="1"/>
  <c r="BM797" i="1"/>
  <c r="BL797" i="1"/>
  <c r="BK797" i="1"/>
  <c r="BJ797" i="1"/>
  <c r="BI797" i="1"/>
  <c r="BH797" i="1"/>
  <c r="BG797" i="1"/>
  <c r="CE796" i="1"/>
  <c r="CD796" i="1"/>
  <c r="CC796" i="1"/>
  <c r="CB796" i="1"/>
  <c r="CA796" i="1"/>
  <c r="BZ796" i="1"/>
  <c r="BY796" i="1"/>
  <c r="BX796" i="1"/>
  <c r="BW796" i="1"/>
  <c r="BV796" i="1"/>
  <c r="BU796" i="1"/>
  <c r="BT796" i="1"/>
  <c r="BS796" i="1"/>
  <c r="BR796" i="1"/>
  <c r="BQ796" i="1"/>
  <c r="BP796" i="1"/>
  <c r="BO796" i="1"/>
  <c r="BN796" i="1"/>
  <c r="BM796" i="1"/>
  <c r="BL796" i="1"/>
  <c r="BK796" i="1"/>
  <c r="BJ796" i="1"/>
  <c r="BI796" i="1"/>
  <c r="BH796" i="1"/>
  <c r="BG796" i="1"/>
  <c r="CE795" i="1"/>
  <c r="CD795" i="1"/>
  <c r="CC795" i="1"/>
  <c r="CB795" i="1"/>
  <c r="CA795" i="1"/>
  <c r="BZ795" i="1"/>
  <c r="BY795" i="1"/>
  <c r="BX795" i="1"/>
  <c r="BW795" i="1"/>
  <c r="BV795" i="1"/>
  <c r="BU795" i="1"/>
  <c r="BT795" i="1"/>
  <c r="BS795" i="1"/>
  <c r="BR795" i="1"/>
  <c r="BQ795" i="1"/>
  <c r="BP795" i="1"/>
  <c r="BO795" i="1"/>
  <c r="BN795" i="1"/>
  <c r="BM795" i="1"/>
  <c r="BL795" i="1"/>
  <c r="BK795" i="1"/>
  <c r="BJ795" i="1"/>
  <c r="BI795" i="1"/>
  <c r="BH795" i="1"/>
  <c r="BG795" i="1"/>
  <c r="CE794" i="1"/>
  <c r="CD794" i="1"/>
  <c r="CC794" i="1"/>
  <c r="CB794" i="1"/>
  <c r="CA794" i="1"/>
  <c r="BZ794" i="1"/>
  <c r="BY794" i="1"/>
  <c r="BX794" i="1"/>
  <c r="BW794" i="1"/>
  <c r="BV794" i="1"/>
  <c r="BU794" i="1"/>
  <c r="BT794" i="1"/>
  <c r="BS794" i="1"/>
  <c r="BR794" i="1"/>
  <c r="BQ794" i="1"/>
  <c r="BP794" i="1"/>
  <c r="BO794" i="1"/>
  <c r="BN794" i="1"/>
  <c r="BM794" i="1"/>
  <c r="BL794" i="1"/>
  <c r="BK794" i="1"/>
  <c r="BJ794" i="1"/>
  <c r="BI794" i="1"/>
  <c r="BH794" i="1"/>
  <c r="BG794" i="1"/>
  <c r="CE793" i="1"/>
  <c r="CD793" i="1"/>
  <c r="CC793" i="1"/>
  <c r="CB793" i="1"/>
  <c r="CA793" i="1"/>
  <c r="BZ793" i="1"/>
  <c r="BY793" i="1"/>
  <c r="BX793" i="1"/>
  <c r="BW793" i="1"/>
  <c r="BV793" i="1"/>
  <c r="BU793" i="1"/>
  <c r="BT793" i="1"/>
  <c r="BS793" i="1"/>
  <c r="BR793" i="1"/>
  <c r="BQ793" i="1"/>
  <c r="BP793" i="1"/>
  <c r="BO793" i="1"/>
  <c r="BN793" i="1"/>
  <c r="BM793" i="1"/>
  <c r="BL793" i="1"/>
  <c r="BK793" i="1"/>
  <c r="BJ793" i="1"/>
  <c r="BI793" i="1"/>
  <c r="BH793" i="1"/>
  <c r="BG793" i="1"/>
  <c r="CE792" i="1"/>
  <c r="CD792" i="1"/>
  <c r="CC792" i="1"/>
  <c r="CB792" i="1"/>
  <c r="CA792" i="1"/>
  <c r="BZ792" i="1"/>
  <c r="BY792" i="1"/>
  <c r="BX792" i="1"/>
  <c r="BW792" i="1"/>
  <c r="BV792" i="1"/>
  <c r="BU792" i="1"/>
  <c r="BT792" i="1"/>
  <c r="BS792" i="1"/>
  <c r="BR792" i="1"/>
  <c r="BQ792" i="1"/>
  <c r="BP792" i="1"/>
  <c r="BO792" i="1"/>
  <c r="BN792" i="1"/>
  <c r="BM792" i="1"/>
  <c r="BL792" i="1"/>
  <c r="BK792" i="1"/>
  <c r="BJ792" i="1"/>
  <c r="BI792" i="1"/>
  <c r="BH792" i="1"/>
  <c r="BG792" i="1"/>
  <c r="CE791" i="1"/>
  <c r="CD791" i="1"/>
  <c r="CC791" i="1"/>
  <c r="CB791" i="1"/>
  <c r="CA791" i="1"/>
  <c r="BZ791" i="1"/>
  <c r="BY791" i="1"/>
  <c r="BX791" i="1"/>
  <c r="BW791" i="1"/>
  <c r="BV791" i="1"/>
  <c r="BU791" i="1"/>
  <c r="BT791" i="1"/>
  <c r="BS791" i="1"/>
  <c r="BR791" i="1"/>
  <c r="BQ791" i="1"/>
  <c r="BP791" i="1"/>
  <c r="BO791" i="1"/>
  <c r="BN791" i="1"/>
  <c r="BM791" i="1"/>
  <c r="BL791" i="1"/>
  <c r="BK791" i="1"/>
  <c r="BJ791" i="1"/>
  <c r="BI791" i="1"/>
  <c r="BH791" i="1"/>
  <c r="BG791" i="1"/>
  <c r="CE790" i="1"/>
  <c r="CD790" i="1"/>
  <c r="CC790" i="1"/>
  <c r="CB790" i="1"/>
  <c r="CA790" i="1"/>
  <c r="BZ790" i="1"/>
  <c r="BY790" i="1"/>
  <c r="BX790" i="1"/>
  <c r="BW790" i="1"/>
  <c r="BV790" i="1"/>
  <c r="BU790" i="1"/>
  <c r="BT790" i="1"/>
  <c r="BS790" i="1"/>
  <c r="BR790" i="1"/>
  <c r="BQ790" i="1"/>
  <c r="BP790" i="1"/>
  <c r="BO790" i="1"/>
  <c r="BN790" i="1"/>
  <c r="BM790" i="1"/>
  <c r="BL790" i="1"/>
  <c r="BK790" i="1"/>
  <c r="BJ790" i="1"/>
  <c r="BI790" i="1"/>
  <c r="BH790" i="1"/>
  <c r="BG790" i="1"/>
  <c r="CE789" i="1"/>
  <c r="CD789" i="1"/>
  <c r="CC789" i="1"/>
  <c r="CB789" i="1"/>
  <c r="CA789" i="1"/>
  <c r="BZ789" i="1"/>
  <c r="BY789" i="1"/>
  <c r="BX789" i="1"/>
  <c r="BW789" i="1"/>
  <c r="BV789" i="1"/>
  <c r="BU789" i="1"/>
  <c r="BT789" i="1"/>
  <c r="BS789" i="1"/>
  <c r="BR789" i="1"/>
  <c r="BQ789" i="1"/>
  <c r="BP789" i="1"/>
  <c r="BO789" i="1"/>
  <c r="BN789" i="1"/>
  <c r="BM789" i="1"/>
  <c r="BL789" i="1"/>
  <c r="BK789" i="1"/>
  <c r="BJ789" i="1"/>
  <c r="BI789" i="1"/>
  <c r="BH789" i="1"/>
  <c r="BG789" i="1"/>
  <c r="CE788" i="1"/>
  <c r="CD788" i="1"/>
  <c r="CC788" i="1"/>
  <c r="CB788" i="1"/>
  <c r="CA788" i="1"/>
  <c r="BZ788" i="1"/>
  <c r="BY788" i="1"/>
  <c r="BX788" i="1"/>
  <c r="BW788" i="1"/>
  <c r="BV788" i="1"/>
  <c r="BU788" i="1"/>
  <c r="BT788" i="1"/>
  <c r="BS788" i="1"/>
  <c r="BR788" i="1"/>
  <c r="BQ788" i="1"/>
  <c r="BP788" i="1"/>
  <c r="BO788" i="1"/>
  <c r="BN788" i="1"/>
  <c r="BM788" i="1"/>
  <c r="BL788" i="1"/>
  <c r="BK788" i="1"/>
  <c r="BJ788" i="1"/>
  <c r="BI788" i="1"/>
  <c r="BH788" i="1"/>
  <c r="BG788" i="1"/>
  <c r="CE787" i="1"/>
  <c r="CD787" i="1"/>
  <c r="CC787" i="1"/>
  <c r="CB787" i="1"/>
  <c r="CA787" i="1"/>
  <c r="BZ787" i="1"/>
  <c r="BY787" i="1"/>
  <c r="BX787" i="1"/>
  <c r="BW787" i="1"/>
  <c r="BV787" i="1"/>
  <c r="BU787" i="1"/>
  <c r="BT787" i="1"/>
  <c r="BS787" i="1"/>
  <c r="BR787" i="1"/>
  <c r="BQ787" i="1"/>
  <c r="BP787" i="1"/>
  <c r="BO787" i="1"/>
  <c r="BN787" i="1"/>
  <c r="BM787" i="1"/>
  <c r="BL787" i="1"/>
  <c r="BK787" i="1"/>
  <c r="BJ787" i="1"/>
  <c r="BI787" i="1"/>
  <c r="BH787" i="1"/>
  <c r="BG787" i="1"/>
  <c r="CE786" i="1"/>
  <c r="CD786" i="1"/>
  <c r="CC786" i="1"/>
  <c r="CB786" i="1"/>
  <c r="CA786" i="1"/>
  <c r="BZ786" i="1"/>
  <c r="BY786" i="1"/>
  <c r="BX786" i="1"/>
  <c r="BW786" i="1"/>
  <c r="BV786" i="1"/>
  <c r="BU786" i="1"/>
  <c r="BT786" i="1"/>
  <c r="BS786" i="1"/>
  <c r="BR786" i="1"/>
  <c r="BQ786" i="1"/>
  <c r="BP786" i="1"/>
  <c r="BO786" i="1"/>
  <c r="BN786" i="1"/>
  <c r="BM786" i="1"/>
  <c r="BL786" i="1"/>
  <c r="BK786" i="1"/>
  <c r="BJ786" i="1"/>
  <c r="BI786" i="1"/>
  <c r="BH786" i="1"/>
  <c r="BG786" i="1"/>
  <c r="CE785" i="1"/>
  <c r="CD785" i="1"/>
  <c r="CC785" i="1"/>
  <c r="CB785" i="1"/>
  <c r="CA785" i="1"/>
  <c r="BZ785" i="1"/>
  <c r="BY785" i="1"/>
  <c r="BX785" i="1"/>
  <c r="BW785" i="1"/>
  <c r="BV785" i="1"/>
  <c r="BU785" i="1"/>
  <c r="BT785" i="1"/>
  <c r="BS785" i="1"/>
  <c r="BR785" i="1"/>
  <c r="BQ785" i="1"/>
  <c r="BP785" i="1"/>
  <c r="BO785" i="1"/>
  <c r="BN785" i="1"/>
  <c r="BM785" i="1"/>
  <c r="BL785" i="1"/>
  <c r="BK785" i="1"/>
  <c r="BJ785" i="1"/>
  <c r="BI785" i="1"/>
  <c r="BH785" i="1"/>
  <c r="BG785" i="1"/>
  <c r="CE784" i="1"/>
  <c r="CD784" i="1"/>
  <c r="CC784" i="1"/>
  <c r="CB784" i="1"/>
  <c r="CA784" i="1"/>
  <c r="BZ784" i="1"/>
  <c r="BY784" i="1"/>
  <c r="BX784" i="1"/>
  <c r="BW784" i="1"/>
  <c r="BV784" i="1"/>
  <c r="BU784" i="1"/>
  <c r="BT784" i="1"/>
  <c r="BS784" i="1"/>
  <c r="BR784" i="1"/>
  <c r="BQ784" i="1"/>
  <c r="BP784" i="1"/>
  <c r="BO784" i="1"/>
  <c r="BN784" i="1"/>
  <c r="BM784" i="1"/>
  <c r="BL784" i="1"/>
  <c r="BK784" i="1"/>
  <c r="BJ784" i="1"/>
  <c r="BI784" i="1"/>
  <c r="BH784" i="1"/>
  <c r="BG784" i="1"/>
  <c r="CE783" i="1"/>
  <c r="CD783" i="1"/>
  <c r="CC783" i="1"/>
  <c r="CB783" i="1"/>
  <c r="CA783" i="1"/>
  <c r="BZ783" i="1"/>
  <c r="BY783" i="1"/>
  <c r="BX783" i="1"/>
  <c r="BW783" i="1"/>
  <c r="BV783" i="1"/>
  <c r="BU783" i="1"/>
  <c r="BT783" i="1"/>
  <c r="BS783" i="1"/>
  <c r="BR783" i="1"/>
  <c r="BQ783" i="1"/>
  <c r="BP783" i="1"/>
  <c r="BO783" i="1"/>
  <c r="BN783" i="1"/>
  <c r="BM783" i="1"/>
  <c r="BL783" i="1"/>
  <c r="BK783" i="1"/>
  <c r="BJ783" i="1"/>
  <c r="BI783" i="1"/>
  <c r="BH783" i="1"/>
  <c r="BG783" i="1"/>
  <c r="CE782" i="1"/>
  <c r="CD782" i="1"/>
  <c r="CC782" i="1"/>
  <c r="CB782" i="1"/>
  <c r="CA782" i="1"/>
  <c r="BZ782" i="1"/>
  <c r="BY782" i="1"/>
  <c r="BX782" i="1"/>
  <c r="BW782" i="1"/>
  <c r="BV782" i="1"/>
  <c r="BU782" i="1"/>
  <c r="BT782" i="1"/>
  <c r="BS782" i="1"/>
  <c r="BR782" i="1"/>
  <c r="BQ782" i="1"/>
  <c r="BP782" i="1"/>
  <c r="BO782" i="1"/>
  <c r="BN782" i="1"/>
  <c r="BM782" i="1"/>
  <c r="BL782" i="1"/>
  <c r="BK782" i="1"/>
  <c r="BJ782" i="1"/>
  <c r="BI782" i="1"/>
  <c r="BH782" i="1"/>
  <c r="BG782" i="1"/>
  <c r="CE781" i="1"/>
  <c r="CD781" i="1"/>
  <c r="CC781" i="1"/>
  <c r="CB781" i="1"/>
  <c r="CA781" i="1"/>
  <c r="BZ781" i="1"/>
  <c r="BY781" i="1"/>
  <c r="BX781" i="1"/>
  <c r="BW781" i="1"/>
  <c r="BV781" i="1"/>
  <c r="BU781" i="1"/>
  <c r="BT781" i="1"/>
  <c r="BS781" i="1"/>
  <c r="BR781" i="1"/>
  <c r="BQ781" i="1"/>
  <c r="BP781" i="1"/>
  <c r="BO781" i="1"/>
  <c r="BN781" i="1"/>
  <c r="BM781" i="1"/>
  <c r="BL781" i="1"/>
  <c r="BK781" i="1"/>
  <c r="BJ781" i="1"/>
  <c r="BI781" i="1"/>
  <c r="BH781" i="1"/>
  <c r="BG781" i="1"/>
  <c r="CE780" i="1"/>
  <c r="CD780" i="1"/>
  <c r="CC780" i="1"/>
  <c r="CB780" i="1"/>
  <c r="CA780" i="1"/>
  <c r="BZ780" i="1"/>
  <c r="BY780" i="1"/>
  <c r="BX780" i="1"/>
  <c r="BW780" i="1"/>
  <c r="BV780" i="1"/>
  <c r="BU780" i="1"/>
  <c r="BT780" i="1"/>
  <c r="BS780" i="1"/>
  <c r="BR780" i="1"/>
  <c r="BQ780" i="1"/>
  <c r="BP780" i="1"/>
  <c r="BO780" i="1"/>
  <c r="BN780" i="1"/>
  <c r="BM780" i="1"/>
  <c r="BL780" i="1"/>
  <c r="BK780" i="1"/>
  <c r="BJ780" i="1"/>
  <c r="BI780" i="1"/>
  <c r="BH780" i="1"/>
  <c r="BG780" i="1"/>
  <c r="CE779" i="1"/>
  <c r="CD779" i="1"/>
  <c r="CC779" i="1"/>
  <c r="CB779" i="1"/>
  <c r="CA779" i="1"/>
  <c r="BZ779" i="1"/>
  <c r="BY779" i="1"/>
  <c r="BX779" i="1"/>
  <c r="BW779" i="1"/>
  <c r="BV779" i="1"/>
  <c r="BU779" i="1"/>
  <c r="BT779" i="1"/>
  <c r="BS779" i="1"/>
  <c r="BR779" i="1"/>
  <c r="BQ779" i="1"/>
  <c r="BP779" i="1"/>
  <c r="BO779" i="1"/>
  <c r="BN779" i="1"/>
  <c r="BM779" i="1"/>
  <c r="BL779" i="1"/>
  <c r="BK779" i="1"/>
  <c r="BJ779" i="1"/>
  <c r="BI779" i="1"/>
  <c r="BH779" i="1"/>
  <c r="BG779" i="1"/>
  <c r="CE778" i="1"/>
  <c r="CD778" i="1"/>
  <c r="CC778" i="1"/>
  <c r="CB778" i="1"/>
  <c r="CA778" i="1"/>
  <c r="BZ778" i="1"/>
  <c r="BY778" i="1"/>
  <c r="BX778" i="1"/>
  <c r="BW778" i="1"/>
  <c r="BV778" i="1"/>
  <c r="BU778" i="1"/>
  <c r="BT778" i="1"/>
  <c r="BS778" i="1"/>
  <c r="BR778" i="1"/>
  <c r="BQ778" i="1"/>
  <c r="BP778" i="1"/>
  <c r="BO778" i="1"/>
  <c r="BN778" i="1"/>
  <c r="BM778" i="1"/>
  <c r="BL778" i="1"/>
  <c r="BK778" i="1"/>
  <c r="BJ778" i="1"/>
  <c r="BI778" i="1"/>
  <c r="BH778" i="1"/>
  <c r="BG778" i="1"/>
  <c r="CE777" i="1"/>
  <c r="CD777" i="1"/>
  <c r="CC777" i="1"/>
  <c r="CB777" i="1"/>
  <c r="CA777" i="1"/>
  <c r="BZ777" i="1"/>
  <c r="BY777" i="1"/>
  <c r="BX777" i="1"/>
  <c r="BW777" i="1"/>
  <c r="BV777" i="1"/>
  <c r="BU777" i="1"/>
  <c r="BT777" i="1"/>
  <c r="BS777" i="1"/>
  <c r="BR777" i="1"/>
  <c r="BQ777" i="1"/>
  <c r="BP777" i="1"/>
  <c r="BO777" i="1"/>
  <c r="BN777" i="1"/>
  <c r="BM777" i="1"/>
  <c r="BL777" i="1"/>
  <c r="BK777" i="1"/>
  <c r="BJ777" i="1"/>
  <c r="BI777" i="1"/>
  <c r="BH777" i="1"/>
  <c r="BG777" i="1"/>
  <c r="CE776" i="1"/>
  <c r="CD776" i="1"/>
  <c r="CC776" i="1"/>
  <c r="CB776" i="1"/>
  <c r="CA776" i="1"/>
  <c r="BZ776" i="1"/>
  <c r="BY776" i="1"/>
  <c r="BX776" i="1"/>
  <c r="BW776" i="1"/>
  <c r="BV776" i="1"/>
  <c r="BU776" i="1"/>
  <c r="BT776" i="1"/>
  <c r="BS776" i="1"/>
  <c r="BR776" i="1"/>
  <c r="BQ776" i="1"/>
  <c r="BP776" i="1"/>
  <c r="BO776" i="1"/>
  <c r="BN776" i="1"/>
  <c r="BM776" i="1"/>
  <c r="BL776" i="1"/>
  <c r="BK776" i="1"/>
  <c r="BJ776" i="1"/>
  <c r="BI776" i="1"/>
  <c r="BH776" i="1"/>
  <c r="BG776" i="1"/>
  <c r="CE775" i="1"/>
  <c r="CD775" i="1"/>
  <c r="CC775" i="1"/>
  <c r="CB775" i="1"/>
  <c r="CA775" i="1"/>
  <c r="BZ775" i="1"/>
  <c r="BY775" i="1"/>
  <c r="BX775" i="1"/>
  <c r="BW775" i="1"/>
  <c r="BV775" i="1"/>
  <c r="BU775" i="1"/>
  <c r="BT775" i="1"/>
  <c r="BS775" i="1"/>
  <c r="BR775" i="1"/>
  <c r="BQ775" i="1"/>
  <c r="BP775" i="1"/>
  <c r="BO775" i="1"/>
  <c r="BN775" i="1"/>
  <c r="BM775" i="1"/>
  <c r="BL775" i="1"/>
  <c r="BK775" i="1"/>
  <c r="BJ775" i="1"/>
  <c r="BI775" i="1"/>
  <c r="BH775" i="1"/>
  <c r="BG775" i="1"/>
  <c r="CE774" i="1"/>
  <c r="CD774" i="1"/>
  <c r="CC774" i="1"/>
  <c r="CB774" i="1"/>
  <c r="CA774" i="1"/>
  <c r="BZ774" i="1"/>
  <c r="BY774" i="1"/>
  <c r="BX774" i="1"/>
  <c r="BW774" i="1"/>
  <c r="BV774" i="1"/>
  <c r="BU774" i="1"/>
  <c r="BT774" i="1"/>
  <c r="BS774" i="1"/>
  <c r="BR774" i="1"/>
  <c r="BQ774" i="1"/>
  <c r="BP774" i="1"/>
  <c r="BO774" i="1"/>
  <c r="BN774" i="1"/>
  <c r="BM774" i="1"/>
  <c r="BL774" i="1"/>
  <c r="BK774" i="1"/>
  <c r="BJ774" i="1"/>
  <c r="BI774" i="1"/>
  <c r="BH774" i="1"/>
  <c r="BG774" i="1"/>
  <c r="CE773" i="1"/>
  <c r="CD773" i="1"/>
  <c r="CC773" i="1"/>
  <c r="CB773" i="1"/>
  <c r="CA773" i="1"/>
  <c r="BZ773" i="1"/>
  <c r="BY773" i="1"/>
  <c r="BX773" i="1"/>
  <c r="BW773" i="1"/>
  <c r="BV773" i="1"/>
  <c r="BU773" i="1"/>
  <c r="BT773" i="1"/>
  <c r="BS773" i="1"/>
  <c r="BR773" i="1"/>
  <c r="BQ773" i="1"/>
  <c r="BP773" i="1"/>
  <c r="BO773" i="1"/>
  <c r="BN773" i="1"/>
  <c r="BM773" i="1"/>
  <c r="BL773" i="1"/>
  <c r="BK773" i="1"/>
  <c r="BJ773" i="1"/>
  <c r="BI773" i="1"/>
  <c r="BH773" i="1"/>
  <c r="BG773" i="1"/>
  <c r="CE772" i="1"/>
  <c r="CD772" i="1"/>
  <c r="CC772" i="1"/>
  <c r="CB772" i="1"/>
  <c r="CA772" i="1"/>
  <c r="BZ772" i="1"/>
  <c r="BY772" i="1"/>
  <c r="BX772" i="1"/>
  <c r="BW772" i="1"/>
  <c r="BV772" i="1"/>
  <c r="BU772" i="1"/>
  <c r="BT772" i="1"/>
  <c r="BS772" i="1"/>
  <c r="BR772" i="1"/>
  <c r="BQ772" i="1"/>
  <c r="BP772" i="1"/>
  <c r="BO772" i="1"/>
  <c r="BN772" i="1"/>
  <c r="BM772" i="1"/>
  <c r="BL772" i="1"/>
  <c r="BK772" i="1"/>
  <c r="BJ772" i="1"/>
  <c r="BI772" i="1"/>
  <c r="BH772" i="1"/>
  <c r="BG772" i="1"/>
  <c r="CE771" i="1"/>
  <c r="CD771" i="1"/>
  <c r="CC771" i="1"/>
  <c r="CB771" i="1"/>
  <c r="CA771" i="1"/>
  <c r="BZ771" i="1"/>
  <c r="BY771" i="1"/>
  <c r="BX771" i="1"/>
  <c r="BW771" i="1"/>
  <c r="BV771" i="1"/>
  <c r="BU771" i="1"/>
  <c r="BT771" i="1"/>
  <c r="BS771" i="1"/>
  <c r="BR771" i="1"/>
  <c r="BQ771" i="1"/>
  <c r="BP771" i="1"/>
  <c r="BO771" i="1"/>
  <c r="BN771" i="1"/>
  <c r="BM771" i="1"/>
  <c r="BL771" i="1"/>
  <c r="BK771" i="1"/>
  <c r="BJ771" i="1"/>
  <c r="BI771" i="1"/>
  <c r="BH771" i="1"/>
  <c r="BG771" i="1"/>
  <c r="CE770" i="1"/>
  <c r="CD770" i="1"/>
  <c r="CC770" i="1"/>
  <c r="CB770" i="1"/>
  <c r="CA770" i="1"/>
  <c r="BZ770" i="1"/>
  <c r="BY770" i="1"/>
  <c r="BX770" i="1"/>
  <c r="BW770" i="1"/>
  <c r="BV770" i="1"/>
  <c r="BU770" i="1"/>
  <c r="BT770" i="1"/>
  <c r="BS770" i="1"/>
  <c r="BR770" i="1"/>
  <c r="BQ770" i="1"/>
  <c r="BP770" i="1"/>
  <c r="BO770" i="1"/>
  <c r="BN770" i="1"/>
  <c r="BM770" i="1"/>
  <c r="BL770" i="1"/>
  <c r="BK770" i="1"/>
  <c r="BJ770" i="1"/>
  <c r="BI770" i="1"/>
  <c r="BH770" i="1"/>
  <c r="BG770" i="1"/>
  <c r="CE769" i="1"/>
  <c r="CD769" i="1"/>
  <c r="CC769" i="1"/>
  <c r="CB769" i="1"/>
  <c r="CA769" i="1"/>
  <c r="BZ769" i="1"/>
  <c r="BY769" i="1"/>
  <c r="BX769" i="1"/>
  <c r="BW769" i="1"/>
  <c r="BV769" i="1"/>
  <c r="BU769" i="1"/>
  <c r="BT769" i="1"/>
  <c r="BS769" i="1"/>
  <c r="BR769" i="1"/>
  <c r="BQ769" i="1"/>
  <c r="BP769" i="1"/>
  <c r="BO769" i="1"/>
  <c r="BN769" i="1"/>
  <c r="BM769" i="1"/>
  <c r="BL769" i="1"/>
  <c r="BK769" i="1"/>
  <c r="BJ769" i="1"/>
  <c r="BI769" i="1"/>
  <c r="BH769" i="1"/>
  <c r="BG769" i="1"/>
  <c r="CE768" i="1"/>
  <c r="CD768" i="1"/>
  <c r="CC768" i="1"/>
  <c r="CB768" i="1"/>
  <c r="CA768" i="1"/>
  <c r="BZ768" i="1"/>
  <c r="BY768" i="1"/>
  <c r="BX768" i="1"/>
  <c r="BW768" i="1"/>
  <c r="BV768" i="1"/>
  <c r="BU768" i="1"/>
  <c r="BT768" i="1"/>
  <c r="BS768" i="1"/>
  <c r="BR768" i="1"/>
  <c r="BQ768" i="1"/>
  <c r="BP768" i="1"/>
  <c r="BO768" i="1"/>
  <c r="BN768" i="1"/>
  <c r="BM768" i="1"/>
  <c r="BL768" i="1"/>
  <c r="BK768" i="1"/>
  <c r="BJ768" i="1"/>
  <c r="BI768" i="1"/>
  <c r="BH768" i="1"/>
  <c r="BG768" i="1"/>
  <c r="CE767" i="1"/>
  <c r="CD767" i="1"/>
  <c r="CC767" i="1"/>
  <c r="CB767" i="1"/>
  <c r="CA767" i="1"/>
  <c r="BZ767" i="1"/>
  <c r="BY767" i="1"/>
  <c r="BX767" i="1"/>
  <c r="BW767" i="1"/>
  <c r="BV767" i="1"/>
  <c r="BU767" i="1"/>
  <c r="BT767" i="1"/>
  <c r="BS767" i="1"/>
  <c r="BR767" i="1"/>
  <c r="BQ767" i="1"/>
  <c r="BP767" i="1"/>
  <c r="BO767" i="1"/>
  <c r="BN767" i="1"/>
  <c r="BM767" i="1"/>
  <c r="BL767" i="1"/>
  <c r="BK767" i="1"/>
  <c r="BJ767" i="1"/>
  <c r="BI767" i="1"/>
  <c r="BH767" i="1"/>
  <c r="BG767" i="1"/>
  <c r="CE766" i="1"/>
  <c r="CD766" i="1"/>
  <c r="CC766" i="1"/>
  <c r="CB766" i="1"/>
  <c r="CA766" i="1"/>
  <c r="BZ766" i="1"/>
  <c r="BY766" i="1"/>
  <c r="BX766" i="1"/>
  <c r="BW766" i="1"/>
  <c r="BV766" i="1"/>
  <c r="BU766" i="1"/>
  <c r="BT766" i="1"/>
  <c r="BS766" i="1"/>
  <c r="BR766" i="1"/>
  <c r="BQ766" i="1"/>
  <c r="BP766" i="1"/>
  <c r="BO766" i="1"/>
  <c r="BN766" i="1"/>
  <c r="BM766" i="1"/>
  <c r="BL766" i="1"/>
  <c r="BK766" i="1"/>
  <c r="BJ766" i="1"/>
  <c r="BI766" i="1"/>
  <c r="BH766" i="1"/>
  <c r="BG766" i="1"/>
  <c r="CE765" i="1"/>
  <c r="CD765" i="1"/>
  <c r="CC765" i="1"/>
  <c r="CB765" i="1"/>
  <c r="CA765" i="1"/>
  <c r="BZ765" i="1"/>
  <c r="BY765" i="1"/>
  <c r="BX765" i="1"/>
  <c r="BW765" i="1"/>
  <c r="BV765" i="1"/>
  <c r="BU765" i="1"/>
  <c r="BT765" i="1"/>
  <c r="BS765" i="1"/>
  <c r="BR765" i="1"/>
  <c r="BQ765" i="1"/>
  <c r="BP765" i="1"/>
  <c r="BO765" i="1"/>
  <c r="BN765" i="1"/>
  <c r="BM765" i="1"/>
  <c r="BL765" i="1"/>
  <c r="BK765" i="1"/>
  <c r="BJ765" i="1"/>
  <c r="BI765" i="1"/>
  <c r="BH765" i="1"/>
  <c r="BG765" i="1"/>
  <c r="CE764" i="1"/>
  <c r="CD764" i="1"/>
  <c r="CC764" i="1"/>
  <c r="CB764" i="1"/>
  <c r="CA764" i="1"/>
  <c r="BZ764" i="1"/>
  <c r="BY764" i="1"/>
  <c r="BX764" i="1"/>
  <c r="BW764" i="1"/>
  <c r="BV764" i="1"/>
  <c r="BU764" i="1"/>
  <c r="BT764" i="1"/>
  <c r="BS764" i="1"/>
  <c r="BR764" i="1"/>
  <c r="BQ764" i="1"/>
  <c r="BP764" i="1"/>
  <c r="BO764" i="1"/>
  <c r="BN764" i="1"/>
  <c r="BM764" i="1"/>
  <c r="BL764" i="1"/>
  <c r="BK764" i="1"/>
  <c r="BJ764" i="1"/>
  <c r="BI764" i="1"/>
  <c r="BH764" i="1"/>
  <c r="BG764" i="1"/>
  <c r="CE763" i="1"/>
  <c r="CD763" i="1"/>
  <c r="CC763" i="1"/>
  <c r="CB763" i="1"/>
  <c r="CA763" i="1"/>
  <c r="BZ763" i="1"/>
  <c r="BY763" i="1"/>
  <c r="BX763" i="1"/>
  <c r="BW763" i="1"/>
  <c r="BV763" i="1"/>
  <c r="BU763" i="1"/>
  <c r="BT763" i="1"/>
  <c r="BS763" i="1"/>
  <c r="BR763" i="1"/>
  <c r="BQ763" i="1"/>
  <c r="BP763" i="1"/>
  <c r="BO763" i="1"/>
  <c r="BN763" i="1"/>
  <c r="BM763" i="1"/>
  <c r="BL763" i="1"/>
  <c r="BK763" i="1"/>
  <c r="BJ763" i="1"/>
  <c r="BI763" i="1"/>
  <c r="BH763" i="1"/>
  <c r="BG763" i="1"/>
  <c r="CE762" i="1"/>
  <c r="CD762" i="1"/>
  <c r="CC762" i="1"/>
  <c r="CB762" i="1"/>
  <c r="CA762" i="1"/>
  <c r="BZ762" i="1"/>
  <c r="BY762" i="1"/>
  <c r="BX762" i="1"/>
  <c r="BW762" i="1"/>
  <c r="BV762" i="1"/>
  <c r="BU762" i="1"/>
  <c r="BT762" i="1"/>
  <c r="BS762" i="1"/>
  <c r="BR762" i="1"/>
  <c r="BQ762" i="1"/>
  <c r="BP762" i="1"/>
  <c r="BO762" i="1"/>
  <c r="BN762" i="1"/>
  <c r="BM762" i="1"/>
  <c r="BL762" i="1"/>
  <c r="BK762" i="1"/>
  <c r="BJ762" i="1"/>
  <c r="BI762" i="1"/>
  <c r="BH762" i="1"/>
  <c r="BG762" i="1"/>
  <c r="CE761" i="1"/>
  <c r="CD761" i="1"/>
  <c r="CC761" i="1"/>
  <c r="CB761" i="1"/>
  <c r="CA761" i="1"/>
  <c r="BZ761" i="1"/>
  <c r="BY761" i="1"/>
  <c r="BX761" i="1"/>
  <c r="BW761" i="1"/>
  <c r="BV761" i="1"/>
  <c r="BU761" i="1"/>
  <c r="BT761" i="1"/>
  <c r="BS761" i="1"/>
  <c r="BR761" i="1"/>
  <c r="BQ761" i="1"/>
  <c r="BP761" i="1"/>
  <c r="BO761" i="1"/>
  <c r="BN761" i="1"/>
  <c r="BM761" i="1"/>
  <c r="BL761" i="1"/>
  <c r="BK761" i="1"/>
  <c r="BJ761" i="1"/>
  <c r="BI761" i="1"/>
  <c r="BH761" i="1"/>
  <c r="BG761" i="1"/>
  <c r="CE760" i="1"/>
  <c r="CD760" i="1"/>
  <c r="CC760" i="1"/>
  <c r="CB760" i="1"/>
  <c r="CA760" i="1"/>
  <c r="BZ760" i="1"/>
  <c r="BY760" i="1"/>
  <c r="BX760" i="1"/>
  <c r="BW760" i="1"/>
  <c r="BV760" i="1"/>
  <c r="BU760" i="1"/>
  <c r="BT760" i="1"/>
  <c r="BS760" i="1"/>
  <c r="BR760" i="1"/>
  <c r="BQ760" i="1"/>
  <c r="BP760" i="1"/>
  <c r="BO760" i="1"/>
  <c r="BN760" i="1"/>
  <c r="BM760" i="1"/>
  <c r="BL760" i="1"/>
  <c r="BK760" i="1"/>
  <c r="BJ760" i="1"/>
  <c r="BI760" i="1"/>
  <c r="BH760" i="1"/>
  <c r="BG760" i="1"/>
  <c r="CE759" i="1"/>
  <c r="CD759" i="1"/>
  <c r="CC759" i="1"/>
  <c r="CB759" i="1"/>
  <c r="CA759" i="1"/>
  <c r="BZ759" i="1"/>
  <c r="BY759" i="1"/>
  <c r="BX759" i="1"/>
  <c r="BW759" i="1"/>
  <c r="BV759" i="1"/>
  <c r="BU759" i="1"/>
  <c r="BT759" i="1"/>
  <c r="BS759" i="1"/>
  <c r="BR759" i="1"/>
  <c r="BQ759" i="1"/>
  <c r="BP759" i="1"/>
  <c r="BO759" i="1"/>
  <c r="BN759" i="1"/>
  <c r="BM759" i="1"/>
  <c r="BL759" i="1"/>
  <c r="BK759" i="1"/>
  <c r="BJ759" i="1"/>
  <c r="BI759" i="1"/>
  <c r="BH759" i="1"/>
  <c r="BG759" i="1"/>
  <c r="CE758" i="1"/>
  <c r="CD758" i="1"/>
  <c r="CC758" i="1"/>
  <c r="CB758" i="1"/>
  <c r="CA758" i="1"/>
  <c r="BZ758" i="1"/>
  <c r="BY758" i="1"/>
  <c r="BX758" i="1"/>
  <c r="BW758" i="1"/>
  <c r="BV758" i="1"/>
  <c r="BU758" i="1"/>
  <c r="BT758" i="1"/>
  <c r="BS758" i="1"/>
  <c r="BR758" i="1"/>
  <c r="BQ758" i="1"/>
  <c r="BP758" i="1"/>
  <c r="BO758" i="1"/>
  <c r="BN758" i="1"/>
  <c r="BM758" i="1"/>
  <c r="BL758" i="1"/>
  <c r="BK758" i="1"/>
  <c r="BJ758" i="1"/>
  <c r="BI758" i="1"/>
  <c r="BH758" i="1"/>
  <c r="BG758" i="1"/>
  <c r="CE757" i="1"/>
  <c r="CD757" i="1"/>
  <c r="CC757" i="1"/>
  <c r="CB757" i="1"/>
  <c r="CA757" i="1"/>
  <c r="BZ757" i="1"/>
  <c r="BY757" i="1"/>
  <c r="BX757" i="1"/>
  <c r="BW757" i="1"/>
  <c r="BV757" i="1"/>
  <c r="BU757" i="1"/>
  <c r="BT757" i="1"/>
  <c r="BS757" i="1"/>
  <c r="BR757" i="1"/>
  <c r="BQ757" i="1"/>
  <c r="BP757" i="1"/>
  <c r="BO757" i="1"/>
  <c r="BN757" i="1"/>
  <c r="BM757" i="1"/>
  <c r="BL757" i="1"/>
  <c r="BK757" i="1"/>
  <c r="BJ757" i="1"/>
  <c r="BI757" i="1"/>
  <c r="BH757" i="1"/>
  <c r="BG757" i="1"/>
  <c r="CE756" i="1"/>
  <c r="CD756" i="1"/>
  <c r="CC756" i="1"/>
  <c r="CB756" i="1"/>
  <c r="CA756" i="1"/>
  <c r="BZ756" i="1"/>
  <c r="BY756" i="1"/>
  <c r="BX756" i="1"/>
  <c r="BW756" i="1"/>
  <c r="BV756" i="1"/>
  <c r="BU756" i="1"/>
  <c r="BT756" i="1"/>
  <c r="BS756" i="1"/>
  <c r="BR756" i="1"/>
  <c r="BQ756" i="1"/>
  <c r="BP756" i="1"/>
  <c r="BO756" i="1"/>
  <c r="BN756" i="1"/>
  <c r="BM756" i="1"/>
  <c r="BL756" i="1"/>
  <c r="BK756" i="1"/>
  <c r="BJ756" i="1"/>
  <c r="BI756" i="1"/>
  <c r="BH756" i="1"/>
  <c r="BG756" i="1"/>
  <c r="CE755" i="1"/>
  <c r="CD755" i="1"/>
  <c r="CC755" i="1"/>
  <c r="CB755" i="1"/>
  <c r="CA755" i="1"/>
  <c r="BZ755" i="1"/>
  <c r="BY755" i="1"/>
  <c r="BX755" i="1"/>
  <c r="BW755" i="1"/>
  <c r="BV755" i="1"/>
  <c r="BU755" i="1"/>
  <c r="BT755" i="1"/>
  <c r="BS755" i="1"/>
  <c r="BR755" i="1"/>
  <c r="BQ755" i="1"/>
  <c r="BP755" i="1"/>
  <c r="BO755" i="1"/>
  <c r="BN755" i="1"/>
  <c r="BM755" i="1"/>
  <c r="BL755" i="1"/>
  <c r="BK755" i="1"/>
  <c r="BJ755" i="1"/>
  <c r="BI755" i="1"/>
  <c r="BH755" i="1"/>
  <c r="BG755" i="1"/>
  <c r="CE754" i="1"/>
  <c r="CD754" i="1"/>
  <c r="CC754" i="1"/>
  <c r="CB754" i="1"/>
  <c r="CA754" i="1"/>
  <c r="BZ754" i="1"/>
  <c r="BY754" i="1"/>
  <c r="BX754" i="1"/>
  <c r="BW754" i="1"/>
  <c r="BV754" i="1"/>
  <c r="BU754" i="1"/>
  <c r="BT754" i="1"/>
  <c r="BS754" i="1"/>
  <c r="BR754" i="1"/>
  <c r="BQ754" i="1"/>
  <c r="BP754" i="1"/>
  <c r="BO754" i="1"/>
  <c r="BN754" i="1"/>
  <c r="BM754" i="1"/>
  <c r="BL754" i="1"/>
  <c r="BK754" i="1"/>
  <c r="BJ754" i="1"/>
  <c r="BI754" i="1"/>
  <c r="BH754" i="1"/>
  <c r="BG754" i="1"/>
  <c r="CE753" i="1"/>
  <c r="CD753" i="1"/>
  <c r="CC753" i="1"/>
  <c r="CB753" i="1"/>
  <c r="CA753" i="1"/>
  <c r="BZ753" i="1"/>
  <c r="BY753" i="1"/>
  <c r="BX753" i="1"/>
  <c r="BW753" i="1"/>
  <c r="BV753" i="1"/>
  <c r="BU753" i="1"/>
  <c r="BT753" i="1"/>
  <c r="BS753" i="1"/>
  <c r="BR753" i="1"/>
  <c r="BQ753" i="1"/>
  <c r="BP753" i="1"/>
  <c r="BO753" i="1"/>
  <c r="BN753" i="1"/>
  <c r="BM753" i="1"/>
  <c r="BL753" i="1"/>
  <c r="BK753" i="1"/>
  <c r="BJ753" i="1"/>
  <c r="BI753" i="1"/>
  <c r="BH753" i="1"/>
  <c r="BG753" i="1"/>
  <c r="CE752" i="1"/>
  <c r="CD752" i="1"/>
  <c r="CC752" i="1"/>
  <c r="CB752" i="1"/>
  <c r="CA752" i="1"/>
  <c r="BZ752" i="1"/>
  <c r="BY752" i="1"/>
  <c r="BX752" i="1"/>
  <c r="BW752" i="1"/>
  <c r="BV752" i="1"/>
  <c r="BU752" i="1"/>
  <c r="BT752" i="1"/>
  <c r="BS752" i="1"/>
  <c r="BR752" i="1"/>
  <c r="BQ752" i="1"/>
  <c r="BP752" i="1"/>
  <c r="BO752" i="1"/>
  <c r="BN752" i="1"/>
  <c r="BM752" i="1"/>
  <c r="BL752" i="1"/>
  <c r="BK752" i="1"/>
  <c r="BJ752" i="1"/>
  <c r="BI752" i="1"/>
  <c r="BH752" i="1"/>
  <c r="BG752" i="1"/>
  <c r="CE751" i="1"/>
  <c r="CD751" i="1"/>
  <c r="CC751" i="1"/>
  <c r="CB751" i="1"/>
  <c r="CA751" i="1"/>
  <c r="BZ751" i="1"/>
  <c r="BY751" i="1"/>
  <c r="BX751" i="1"/>
  <c r="BW751" i="1"/>
  <c r="BV751" i="1"/>
  <c r="BU751" i="1"/>
  <c r="BT751" i="1"/>
  <c r="BS751" i="1"/>
  <c r="BR751" i="1"/>
  <c r="BQ751" i="1"/>
  <c r="BP751" i="1"/>
  <c r="BO751" i="1"/>
  <c r="BN751" i="1"/>
  <c r="BM751" i="1"/>
  <c r="BL751" i="1"/>
  <c r="BK751" i="1"/>
  <c r="BJ751" i="1"/>
  <c r="BI751" i="1"/>
  <c r="BH751" i="1"/>
  <c r="BG751" i="1"/>
  <c r="CE750" i="1"/>
  <c r="CD750" i="1"/>
  <c r="CC750" i="1"/>
  <c r="CB750" i="1"/>
  <c r="CA750" i="1"/>
  <c r="BZ750" i="1"/>
  <c r="BY750" i="1"/>
  <c r="BX750" i="1"/>
  <c r="BW750" i="1"/>
  <c r="BV750" i="1"/>
  <c r="BU750" i="1"/>
  <c r="BT750" i="1"/>
  <c r="BS750" i="1"/>
  <c r="BR750" i="1"/>
  <c r="BQ750" i="1"/>
  <c r="BP750" i="1"/>
  <c r="BO750" i="1"/>
  <c r="BN750" i="1"/>
  <c r="BM750" i="1"/>
  <c r="BL750" i="1"/>
  <c r="BK750" i="1"/>
  <c r="BJ750" i="1"/>
  <c r="BI750" i="1"/>
  <c r="BH750" i="1"/>
  <c r="BG750" i="1"/>
  <c r="CE749" i="1"/>
  <c r="CD749" i="1"/>
  <c r="CC749" i="1"/>
  <c r="CB749" i="1"/>
  <c r="CA749" i="1"/>
  <c r="BZ749" i="1"/>
  <c r="BY749" i="1"/>
  <c r="BX749" i="1"/>
  <c r="BW749" i="1"/>
  <c r="BV749" i="1"/>
  <c r="BU749" i="1"/>
  <c r="BT749" i="1"/>
  <c r="BS749" i="1"/>
  <c r="BR749" i="1"/>
  <c r="BQ749" i="1"/>
  <c r="BP749" i="1"/>
  <c r="BO749" i="1"/>
  <c r="BN749" i="1"/>
  <c r="BM749" i="1"/>
  <c r="BL749" i="1"/>
  <c r="BK749" i="1"/>
  <c r="BJ749" i="1"/>
  <c r="BI749" i="1"/>
  <c r="BH749" i="1"/>
  <c r="BG749" i="1"/>
  <c r="CE748" i="1"/>
  <c r="CD748" i="1"/>
  <c r="CC748" i="1"/>
  <c r="CB748" i="1"/>
  <c r="CA748" i="1"/>
  <c r="BZ748" i="1"/>
  <c r="BY748" i="1"/>
  <c r="BX748" i="1"/>
  <c r="BW748" i="1"/>
  <c r="BV748" i="1"/>
  <c r="BU748" i="1"/>
  <c r="BT748" i="1"/>
  <c r="BS748" i="1"/>
  <c r="BR748" i="1"/>
  <c r="BQ748" i="1"/>
  <c r="BP748" i="1"/>
  <c r="BO748" i="1"/>
  <c r="BN748" i="1"/>
  <c r="BM748" i="1"/>
  <c r="BL748" i="1"/>
  <c r="BK748" i="1"/>
  <c r="BJ748" i="1"/>
  <c r="BI748" i="1"/>
  <c r="BH748" i="1"/>
  <c r="BG748" i="1"/>
  <c r="CE747" i="1"/>
  <c r="CD747" i="1"/>
  <c r="CC747" i="1"/>
  <c r="CB747" i="1"/>
  <c r="CA747" i="1"/>
  <c r="BZ747" i="1"/>
  <c r="BY747" i="1"/>
  <c r="BX747" i="1"/>
  <c r="BW747" i="1"/>
  <c r="BV747" i="1"/>
  <c r="BU747" i="1"/>
  <c r="BT747" i="1"/>
  <c r="BS747" i="1"/>
  <c r="BR747" i="1"/>
  <c r="BQ747" i="1"/>
  <c r="BP747" i="1"/>
  <c r="BO747" i="1"/>
  <c r="BN747" i="1"/>
  <c r="BM747" i="1"/>
  <c r="BL747" i="1"/>
  <c r="BK747" i="1"/>
  <c r="BJ747" i="1"/>
  <c r="BI747" i="1"/>
  <c r="BH747" i="1"/>
  <c r="BG747" i="1"/>
  <c r="CE746" i="1"/>
  <c r="CD746" i="1"/>
  <c r="CC746" i="1"/>
  <c r="CB746" i="1"/>
  <c r="CA746" i="1"/>
  <c r="BZ746" i="1"/>
  <c r="BY746" i="1"/>
  <c r="BX746" i="1"/>
  <c r="BW746" i="1"/>
  <c r="BV746" i="1"/>
  <c r="BU746" i="1"/>
  <c r="BT746" i="1"/>
  <c r="BS746" i="1"/>
  <c r="BR746" i="1"/>
  <c r="BQ746" i="1"/>
  <c r="BP746" i="1"/>
  <c r="BO746" i="1"/>
  <c r="BN746" i="1"/>
  <c r="BM746" i="1"/>
  <c r="BL746" i="1"/>
  <c r="BK746" i="1"/>
  <c r="BJ746" i="1"/>
  <c r="BI746" i="1"/>
  <c r="BH746" i="1"/>
  <c r="BG746" i="1"/>
  <c r="CE745" i="1"/>
  <c r="CD745" i="1"/>
  <c r="CC745" i="1"/>
  <c r="CB745" i="1"/>
  <c r="CA745" i="1"/>
  <c r="BZ745" i="1"/>
  <c r="BY745" i="1"/>
  <c r="BX745" i="1"/>
  <c r="BW745" i="1"/>
  <c r="BV745" i="1"/>
  <c r="BU745" i="1"/>
  <c r="BT745" i="1"/>
  <c r="BS745" i="1"/>
  <c r="BR745" i="1"/>
  <c r="BQ745" i="1"/>
  <c r="BP745" i="1"/>
  <c r="BO745" i="1"/>
  <c r="BN745" i="1"/>
  <c r="BM745" i="1"/>
  <c r="BL745" i="1"/>
  <c r="BK745" i="1"/>
  <c r="BJ745" i="1"/>
  <c r="BI745" i="1"/>
  <c r="BH745" i="1"/>
  <c r="BG745" i="1"/>
  <c r="CE744" i="1"/>
  <c r="CD744" i="1"/>
  <c r="CC744" i="1"/>
  <c r="CB744" i="1"/>
  <c r="CA744" i="1"/>
  <c r="BZ744" i="1"/>
  <c r="BY744" i="1"/>
  <c r="BX744" i="1"/>
  <c r="BW744" i="1"/>
  <c r="BV744" i="1"/>
  <c r="BU744" i="1"/>
  <c r="BT744" i="1"/>
  <c r="BS744" i="1"/>
  <c r="BR744" i="1"/>
  <c r="BQ744" i="1"/>
  <c r="BP744" i="1"/>
  <c r="BO744" i="1"/>
  <c r="BN744" i="1"/>
  <c r="BM744" i="1"/>
  <c r="BL744" i="1"/>
  <c r="BK744" i="1"/>
  <c r="BJ744" i="1"/>
  <c r="BI744" i="1"/>
  <c r="BH744" i="1"/>
  <c r="BG744" i="1"/>
  <c r="CE743" i="1"/>
  <c r="CD743" i="1"/>
  <c r="CC743" i="1"/>
  <c r="CB743" i="1"/>
  <c r="CA743" i="1"/>
  <c r="BZ743" i="1"/>
  <c r="BY743" i="1"/>
  <c r="BX743" i="1"/>
  <c r="BW743" i="1"/>
  <c r="BV743" i="1"/>
  <c r="BU743" i="1"/>
  <c r="BT743" i="1"/>
  <c r="BS743" i="1"/>
  <c r="BR743" i="1"/>
  <c r="BQ743" i="1"/>
  <c r="BP743" i="1"/>
  <c r="BO743" i="1"/>
  <c r="BN743" i="1"/>
  <c r="BM743" i="1"/>
  <c r="BL743" i="1"/>
  <c r="BK743" i="1"/>
  <c r="BJ743" i="1"/>
  <c r="BI743" i="1"/>
  <c r="BH743" i="1"/>
  <c r="BG743" i="1"/>
  <c r="CE742" i="1"/>
  <c r="CD742" i="1"/>
  <c r="CC742" i="1"/>
  <c r="CB742" i="1"/>
  <c r="CA742" i="1"/>
  <c r="BZ742" i="1"/>
  <c r="BY742" i="1"/>
  <c r="BX742" i="1"/>
  <c r="BW742" i="1"/>
  <c r="BV742" i="1"/>
  <c r="BU742" i="1"/>
  <c r="BT742" i="1"/>
  <c r="BS742" i="1"/>
  <c r="BR742" i="1"/>
  <c r="BQ742" i="1"/>
  <c r="BP742" i="1"/>
  <c r="BO742" i="1"/>
  <c r="BN742" i="1"/>
  <c r="BM742" i="1"/>
  <c r="BL742" i="1"/>
  <c r="BK742" i="1"/>
  <c r="BJ742" i="1"/>
  <c r="BI742" i="1"/>
  <c r="BH742" i="1"/>
  <c r="BG742" i="1"/>
  <c r="CE741" i="1"/>
  <c r="CD741" i="1"/>
  <c r="CC741" i="1"/>
  <c r="CB741" i="1"/>
  <c r="CA741" i="1"/>
  <c r="BZ741" i="1"/>
  <c r="BY741" i="1"/>
  <c r="BX741" i="1"/>
  <c r="BW741" i="1"/>
  <c r="BV741" i="1"/>
  <c r="BU741" i="1"/>
  <c r="BT741" i="1"/>
  <c r="BS741" i="1"/>
  <c r="BR741" i="1"/>
  <c r="BQ741" i="1"/>
  <c r="BP741" i="1"/>
  <c r="BO741" i="1"/>
  <c r="BN741" i="1"/>
  <c r="BM741" i="1"/>
  <c r="BL741" i="1"/>
  <c r="BK741" i="1"/>
  <c r="BJ741" i="1"/>
  <c r="BI741" i="1"/>
  <c r="BH741" i="1"/>
  <c r="BG741" i="1"/>
  <c r="CE740" i="1"/>
  <c r="CD740" i="1"/>
  <c r="CC740" i="1"/>
  <c r="CB740" i="1"/>
  <c r="CA740" i="1"/>
  <c r="BZ740" i="1"/>
  <c r="BY740" i="1"/>
  <c r="BX740" i="1"/>
  <c r="BW740" i="1"/>
  <c r="BV740" i="1"/>
  <c r="BU740" i="1"/>
  <c r="BT740" i="1"/>
  <c r="BS740" i="1"/>
  <c r="BR740" i="1"/>
  <c r="BQ740" i="1"/>
  <c r="BP740" i="1"/>
  <c r="BO740" i="1"/>
  <c r="BN740" i="1"/>
  <c r="BM740" i="1"/>
  <c r="BL740" i="1"/>
  <c r="BK740" i="1"/>
  <c r="BJ740" i="1"/>
  <c r="BI740" i="1"/>
  <c r="BH740" i="1"/>
  <c r="BG740" i="1"/>
  <c r="CE739" i="1"/>
  <c r="CD739" i="1"/>
  <c r="CC739" i="1"/>
  <c r="CB739" i="1"/>
  <c r="CA739" i="1"/>
  <c r="BZ739" i="1"/>
  <c r="BY739" i="1"/>
  <c r="BX739" i="1"/>
  <c r="BW739" i="1"/>
  <c r="BV739" i="1"/>
  <c r="BU739" i="1"/>
  <c r="BT739" i="1"/>
  <c r="BS739" i="1"/>
  <c r="BR739" i="1"/>
  <c r="BQ739" i="1"/>
  <c r="BP739" i="1"/>
  <c r="BO739" i="1"/>
  <c r="BN739" i="1"/>
  <c r="BM739" i="1"/>
  <c r="BL739" i="1"/>
  <c r="BK739" i="1"/>
  <c r="BJ739" i="1"/>
  <c r="BI739" i="1"/>
  <c r="BH739" i="1"/>
  <c r="BG739" i="1"/>
  <c r="CE738" i="1"/>
  <c r="CD738" i="1"/>
  <c r="CC738" i="1"/>
  <c r="CB738" i="1"/>
  <c r="CA738" i="1"/>
  <c r="BZ738" i="1"/>
  <c r="BY738" i="1"/>
  <c r="BX738" i="1"/>
  <c r="BW738" i="1"/>
  <c r="BV738" i="1"/>
  <c r="BU738" i="1"/>
  <c r="BT738" i="1"/>
  <c r="BS738" i="1"/>
  <c r="BR738" i="1"/>
  <c r="BQ738" i="1"/>
  <c r="BP738" i="1"/>
  <c r="BO738" i="1"/>
  <c r="BN738" i="1"/>
  <c r="BM738" i="1"/>
  <c r="BL738" i="1"/>
  <c r="BK738" i="1"/>
  <c r="BJ738" i="1"/>
  <c r="BI738" i="1"/>
  <c r="BH738" i="1"/>
  <c r="BG738" i="1"/>
  <c r="CE737" i="1"/>
  <c r="CD737" i="1"/>
  <c r="CC737" i="1"/>
  <c r="CB737" i="1"/>
  <c r="CA737" i="1"/>
  <c r="BZ737" i="1"/>
  <c r="BY737" i="1"/>
  <c r="BX737" i="1"/>
  <c r="BW737" i="1"/>
  <c r="BV737" i="1"/>
  <c r="BU737" i="1"/>
  <c r="BT737" i="1"/>
  <c r="BS737" i="1"/>
  <c r="BR737" i="1"/>
  <c r="BQ737" i="1"/>
  <c r="BP737" i="1"/>
  <c r="BO737" i="1"/>
  <c r="BN737" i="1"/>
  <c r="BM737" i="1"/>
  <c r="BL737" i="1"/>
  <c r="BK737" i="1"/>
  <c r="BJ737" i="1"/>
  <c r="BI737" i="1"/>
  <c r="BH737" i="1"/>
  <c r="BG737" i="1"/>
  <c r="CE736" i="1"/>
  <c r="CD736" i="1"/>
  <c r="CC736" i="1"/>
  <c r="CB736" i="1"/>
  <c r="CA736" i="1"/>
  <c r="BZ736" i="1"/>
  <c r="BY736" i="1"/>
  <c r="BX736" i="1"/>
  <c r="BW736" i="1"/>
  <c r="BV736" i="1"/>
  <c r="BU736" i="1"/>
  <c r="BT736" i="1"/>
  <c r="BS736" i="1"/>
  <c r="BR736" i="1"/>
  <c r="BQ736" i="1"/>
  <c r="BP736" i="1"/>
  <c r="BO736" i="1"/>
  <c r="BN736" i="1"/>
  <c r="BM736" i="1"/>
  <c r="BL736" i="1"/>
  <c r="BK736" i="1"/>
  <c r="BJ736" i="1"/>
  <c r="BI736" i="1"/>
  <c r="BH736" i="1"/>
  <c r="BG736" i="1"/>
  <c r="CE735" i="1"/>
  <c r="CD735" i="1"/>
  <c r="CC735" i="1"/>
  <c r="CB735" i="1"/>
  <c r="CA735" i="1"/>
  <c r="BZ735" i="1"/>
  <c r="BY735" i="1"/>
  <c r="BX735" i="1"/>
  <c r="BW735" i="1"/>
  <c r="BV735" i="1"/>
  <c r="BU735" i="1"/>
  <c r="BT735" i="1"/>
  <c r="BS735" i="1"/>
  <c r="BR735" i="1"/>
  <c r="BQ735" i="1"/>
  <c r="BP735" i="1"/>
  <c r="BO735" i="1"/>
  <c r="BN735" i="1"/>
  <c r="BM735" i="1"/>
  <c r="BL735" i="1"/>
  <c r="BK735" i="1"/>
  <c r="BJ735" i="1"/>
  <c r="BI735" i="1"/>
  <c r="BH735" i="1"/>
  <c r="BG735" i="1"/>
  <c r="CE734" i="1"/>
  <c r="CD734" i="1"/>
  <c r="CC734" i="1"/>
  <c r="CB734" i="1"/>
  <c r="CA734" i="1"/>
  <c r="BZ734" i="1"/>
  <c r="BY734" i="1"/>
  <c r="BX734" i="1"/>
  <c r="BW734" i="1"/>
  <c r="BV734" i="1"/>
  <c r="BU734" i="1"/>
  <c r="BT734" i="1"/>
  <c r="BS734" i="1"/>
  <c r="BR734" i="1"/>
  <c r="BQ734" i="1"/>
  <c r="BP734" i="1"/>
  <c r="BO734" i="1"/>
  <c r="BN734" i="1"/>
  <c r="BM734" i="1"/>
  <c r="BL734" i="1"/>
  <c r="BK734" i="1"/>
  <c r="BJ734" i="1"/>
  <c r="BI734" i="1"/>
  <c r="BH734" i="1"/>
  <c r="BG734" i="1"/>
  <c r="CE733" i="1"/>
  <c r="CD733" i="1"/>
  <c r="CC733" i="1"/>
  <c r="CB733" i="1"/>
  <c r="CA733" i="1"/>
  <c r="BZ733" i="1"/>
  <c r="BY733" i="1"/>
  <c r="BX733" i="1"/>
  <c r="BW733" i="1"/>
  <c r="BV733" i="1"/>
  <c r="BU733" i="1"/>
  <c r="BT733" i="1"/>
  <c r="BS733" i="1"/>
  <c r="BR733" i="1"/>
  <c r="BQ733" i="1"/>
  <c r="BP733" i="1"/>
  <c r="BO733" i="1"/>
  <c r="BN733" i="1"/>
  <c r="BM733" i="1"/>
  <c r="BL733" i="1"/>
  <c r="BK733" i="1"/>
  <c r="BJ733" i="1"/>
  <c r="BI733" i="1"/>
  <c r="BH733" i="1"/>
  <c r="BG733" i="1"/>
  <c r="CE732" i="1"/>
  <c r="CD732" i="1"/>
  <c r="CC732" i="1"/>
  <c r="CB732" i="1"/>
  <c r="CA732" i="1"/>
  <c r="BZ732" i="1"/>
  <c r="BY732" i="1"/>
  <c r="BX732" i="1"/>
  <c r="BW732" i="1"/>
  <c r="BV732" i="1"/>
  <c r="BU732" i="1"/>
  <c r="BT732" i="1"/>
  <c r="BS732" i="1"/>
  <c r="BR732" i="1"/>
  <c r="BQ732" i="1"/>
  <c r="BP732" i="1"/>
  <c r="BO732" i="1"/>
  <c r="BN732" i="1"/>
  <c r="BM732" i="1"/>
  <c r="BL732" i="1"/>
  <c r="BK732" i="1"/>
  <c r="BJ732" i="1"/>
  <c r="BI732" i="1"/>
  <c r="BH732" i="1"/>
  <c r="BG732" i="1"/>
  <c r="CE731" i="1"/>
  <c r="CD731" i="1"/>
  <c r="CC731" i="1"/>
  <c r="CB731" i="1"/>
  <c r="CA731" i="1"/>
  <c r="BZ731" i="1"/>
  <c r="BY731" i="1"/>
  <c r="BX731" i="1"/>
  <c r="BW731" i="1"/>
  <c r="BV731" i="1"/>
  <c r="BU731" i="1"/>
  <c r="BT731" i="1"/>
  <c r="BS731" i="1"/>
  <c r="BR731" i="1"/>
  <c r="BQ731" i="1"/>
  <c r="BP731" i="1"/>
  <c r="BO731" i="1"/>
  <c r="BN731" i="1"/>
  <c r="BM731" i="1"/>
  <c r="BL731" i="1"/>
  <c r="BK731" i="1"/>
  <c r="BJ731" i="1"/>
  <c r="BI731" i="1"/>
  <c r="BH731" i="1"/>
  <c r="BG731" i="1"/>
  <c r="CE730" i="1"/>
  <c r="CD730" i="1"/>
  <c r="CC730" i="1"/>
  <c r="CB730" i="1"/>
  <c r="CA730" i="1"/>
  <c r="BZ730" i="1"/>
  <c r="BY730" i="1"/>
  <c r="BX730" i="1"/>
  <c r="BW730" i="1"/>
  <c r="BV730" i="1"/>
  <c r="BU730" i="1"/>
  <c r="BT730" i="1"/>
  <c r="BS730" i="1"/>
  <c r="BR730" i="1"/>
  <c r="BQ730" i="1"/>
  <c r="BP730" i="1"/>
  <c r="BO730" i="1"/>
  <c r="BN730" i="1"/>
  <c r="BM730" i="1"/>
  <c r="BL730" i="1"/>
  <c r="BK730" i="1"/>
  <c r="BJ730" i="1"/>
  <c r="BI730" i="1"/>
  <c r="BH730" i="1"/>
  <c r="BG730" i="1"/>
  <c r="CE729" i="1"/>
  <c r="CD729" i="1"/>
  <c r="CC729" i="1"/>
  <c r="CB729" i="1"/>
  <c r="CA729" i="1"/>
  <c r="BZ729" i="1"/>
  <c r="BY729" i="1"/>
  <c r="BX729" i="1"/>
  <c r="BW729" i="1"/>
  <c r="BV729" i="1"/>
  <c r="BU729" i="1"/>
  <c r="BT729" i="1"/>
  <c r="BS729" i="1"/>
  <c r="BR729" i="1"/>
  <c r="BQ729" i="1"/>
  <c r="BP729" i="1"/>
  <c r="BO729" i="1"/>
  <c r="BN729" i="1"/>
  <c r="BM729" i="1"/>
  <c r="BL729" i="1"/>
  <c r="BK729" i="1"/>
  <c r="BJ729" i="1"/>
  <c r="BI729" i="1"/>
  <c r="BH729" i="1"/>
  <c r="BG729" i="1"/>
  <c r="CE728" i="1"/>
  <c r="CD728" i="1"/>
  <c r="CC728" i="1"/>
  <c r="CB728" i="1"/>
  <c r="CA728" i="1"/>
  <c r="BZ728" i="1"/>
  <c r="BY728" i="1"/>
  <c r="BX728" i="1"/>
  <c r="BW728" i="1"/>
  <c r="BV728" i="1"/>
  <c r="BU728" i="1"/>
  <c r="BT728" i="1"/>
  <c r="BS728" i="1"/>
  <c r="BR728" i="1"/>
  <c r="BQ728" i="1"/>
  <c r="BP728" i="1"/>
  <c r="BO728" i="1"/>
  <c r="BN728" i="1"/>
  <c r="BM728" i="1"/>
  <c r="BL728" i="1"/>
  <c r="BK728" i="1"/>
  <c r="BJ728" i="1"/>
  <c r="BI728" i="1"/>
  <c r="BH728" i="1"/>
  <c r="BG728" i="1"/>
  <c r="CE727" i="1"/>
  <c r="CD727" i="1"/>
  <c r="CC727" i="1"/>
  <c r="CB727" i="1"/>
  <c r="CA727" i="1"/>
  <c r="BZ727" i="1"/>
  <c r="BY727" i="1"/>
  <c r="BX727" i="1"/>
  <c r="BW727" i="1"/>
  <c r="BV727" i="1"/>
  <c r="BU727" i="1"/>
  <c r="BT727" i="1"/>
  <c r="BS727" i="1"/>
  <c r="BR727" i="1"/>
  <c r="BQ727" i="1"/>
  <c r="BP727" i="1"/>
  <c r="BO727" i="1"/>
  <c r="BN727" i="1"/>
  <c r="BM727" i="1"/>
  <c r="BL727" i="1"/>
  <c r="BK727" i="1"/>
  <c r="BJ727" i="1"/>
  <c r="BI727" i="1"/>
  <c r="BH727" i="1"/>
  <c r="BG727" i="1"/>
  <c r="CE726" i="1"/>
  <c r="CD726" i="1"/>
  <c r="CC726" i="1"/>
  <c r="CB726" i="1"/>
  <c r="CA726" i="1"/>
  <c r="BZ726" i="1"/>
  <c r="BY726" i="1"/>
  <c r="BX726" i="1"/>
  <c r="BW726" i="1"/>
  <c r="BV726" i="1"/>
  <c r="BU726" i="1"/>
  <c r="BT726" i="1"/>
  <c r="BS726" i="1"/>
  <c r="BR726" i="1"/>
  <c r="BQ726" i="1"/>
  <c r="BP726" i="1"/>
  <c r="BO726" i="1"/>
  <c r="BN726" i="1"/>
  <c r="BM726" i="1"/>
  <c r="BL726" i="1"/>
  <c r="BK726" i="1"/>
  <c r="BJ726" i="1"/>
  <c r="BI726" i="1"/>
  <c r="BH726" i="1"/>
  <c r="BG726" i="1"/>
  <c r="CE725" i="1"/>
  <c r="CD725" i="1"/>
  <c r="CC725" i="1"/>
  <c r="CB725" i="1"/>
  <c r="CA725" i="1"/>
  <c r="BZ725" i="1"/>
  <c r="BY725" i="1"/>
  <c r="BX725" i="1"/>
  <c r="BW725" i="1"/>
  <c r="BV725" i="1"/>
  <c r="BU725" i="1"/>
  <c r="BT725" i="1"/>
  <c r="BS725" i="1"/>
  <c r="BR725" i="1"/>
  <c r="BQ725" i="1"/>
  <c r="BP725" i="1"/>
  <c r="BO725" i="1"/>
  <c r="BN725" i="1"/>
  <c r="BM725" i="1"/>
  <c r="BL725" i="1"/>
  <c r="BK725" i="1"/>
  <c r="BJ725" i="1"/>
  <c r="BI725" i="1"/>
  <c r="BH725" i="1"/>
  <c r="BG725" i="1"/>
  <c r="CE724" i="1"/>
  <c r="CD724" i="1"/>
  <c r="CC724" i="1"/>
  <c r="CB724" i="1"/>
  <c r="CA724" i="1"/>
  <c r="BZ724" i="1"/>
  <c r="BY724" i="1"/>
  <c r="BX724" i="1"/>
  <c r="BW724" i="1"/>
  <c r="BV724" i="1"/>
  <c r="BU724" i="1"/>
  <c r="BT724" i="1"/>
  <c r="BS724" i="1"/>
  <c r="BR724" i="1"/>
  <c r="BQ724" i="1"/>
  <c r="BP724" i="1"/>
  <c r="BO724" i="1"/>
  <c r="BN724" i="1"/>
  <c r="BM724" i="1"/>
  <c r="BL724" i="1"/>
  <c r="BK724" i="1"/>
  <c r="BJ724" i="1"/>
  <c r="BI724" i="1"/>
  <c r="BH724" i="1"/>
  <c r="BG724" i="1"/>
  <c r="CE723" i="1"/>
  <c r="CD723" i="1"/>
  <c r="CC723" i="1"/>
  <c r="CB723" i="1"/>
  <c r="CA723" i="1"/>
  <c r="BZ723" i="1"/>
  <c r="BY723" i="1"/>
  <c r="BX723" i="1"/>
  <c r="BW723" i="1"/>
  <c r="BV723" i="1"/>
  <c r="BU723" i="1"/>
  <c r="BT723" i="1"/>
  <c r="BS723" i="1"/>
  <c r="BR723" i="1"/>
  <c r="BQ723" i="1"/>
  <c r="BP723" i="1"/>
  <c r="BO723" i="1"/>
  <c r="BN723" i="1"/>
  <c r="BM723" i="1"/>
  <c r="BL723" i="1"/>
  <c r="BK723" i="1"/>
  <c r="BJ723" i="1"/>
  <c r="BI723" i="1"/>
  <c r="BH723" i="1"/>
  <c r="BG723" i="1"/>
  <c r="CE722" i="1"/>
  <c r="CD722" i="1"/>
  <c r="CC722" i="1"/>
  <c r="CB722" i="1"/>
  <c r="CA722" i="1"/>
  <c r="BZ722" i="1"/>
  <c r="BY722" i="1"/>
  <c r="BX722" i="1"/>
  <c r="BW722" i="1"/>
  <c r="BV722" i="1"/>
  <c r="BU722" i="1"/>
  <c r="BT722" i="1"/>
  <c r="BS722" i="1"/>
  <c r="BR722" i="1"/>
  <c r="BQ722" i="1"/>
  <c r="BP722" i="1"/>
  <c r="BO722" i="1"/>
  <c r="BN722" i="1"/>
  <c r="BM722" i="1"/>
  <c r="BL722" i="1"/>
  <c r="BK722" i="1"/>
  <c r="BJ722" i="1"/>
  <c r="BI722" i="1"/>
  <c r="BH722" i="1"/>
  <c r="BG722" i="1"/>
  <c r="CE721" i="1"/>
  <c r="CD721" i="1"/>
  <c r="CC721" i="1"/>
  <c r="CB721" i="1"/>
  <c r="CA721" i="1"/>
  <c r="BZ721" i="1"/>
  <c r="BY721" i="1"/>
  <c r="BX721" i="1"/>
  <c r="BW721" i="1"/>
  <c r="BV721" i="1"/>
  <c r="BU721" i="1"/>
  <c r="BT721" i="1"/>
  <c r="BS721" i="1"/>
  <c r="BR721" i="1"/>
  <c r="BQ721" i="1"/>
  <c r="BP721" i="1"/>
  <c r="BO721" i="1"/>
  <c r="BN721" i="1"/>
  <c r="BM721" i="1"/>
  <c r="BL721" i="1"/>
  <c r="BK721" i="1"/>
  <c r="BJ721" i="1"/>
  <c r="BI721" i="1"/>
  <c r="BH721" i="1"/>
  <c r="BG721" i="1"/>
  <c r="CE720" i="1"/>
  <c r="CD720" i="1"/>
  <c r="CC720" i="1"/>
  <c r="CB720" i="1"/>
  <c r="CA720" i="1"/>
  <c r="BZ720" i="1"/>
  <c r="BY720" i="1"/>
  <c r="BX720" i="1"/>
  <c r="BW720" i="1"/>
  <c r="BV720" i="1"/>
  <c r="BU720" i="1"/>
  <c r="BT720" i="1"/>
  <c r="BS720" i="1"/>
  <c r="BR720" i="1"/>
  <c r="BQ720" i="1"/>
  <c r="BP720" i="1"/>
  <c r="BO720" i="1"/>
  <c r="BN720" i="1"/>
  <c r="BM720" i="1"/>
  <c r="BL720" i="1"/>
  <c r="BK720" i="1"/>
  <c r="BJ720" i="1"/>
  <c r="BI720" i="1"/>
  <c r="BH720" i="1"/>
  <c r="BG720" i="1"/>
  <c r="CE719" i="1"/>
  <c r="CD719" i="1"/>
  <c r="CC719" i="1"/>
  <c r="CB719" i="1"/>
  <c r="CA719" i="1"/>
  <c r="BZ719" i="1"/>
  <c r="BY719" i="1"/>
  <c r="BX719" i="1"/>
  <c r="BW719" i="1"/>
  <c r="BV719" i="1"/>
  <c r="BU719" i="1"/>
  <c r="BT719" i="1"/>
  <c r="BS719" i="1"/>
  <c r="BR719" i="1"/>
  <c r="BQ719" i="1"/>
  <c r="BP719" i="1"/>
  <c r="BO719" i="1"/>
  <c r="BN719" i="1"/>
  <c r="BM719" i="1"/>
  <c r="BL719" i="1"/>
  <c r="BK719" i="1"/>
  <c r="BJ719" i="1"/>
  <c r="BI719" i="1"/>
  <c r="BH719" i="1"/>
  <c r="BG719" i="1"/>
  <c r="CE718" i="1"/>
  <c r="CD718" i="1"/>
  <c r="CC718" i="1"/>
  <c r="CB718" i="1"/>
  <c r="CA718" i="1"/>
  <c r="BZ718" i="1"/>
  <c r="BY718" i="1"/>
  <c r="BX718" i="1"/>
  <c r="BW718" i="1"/>
  <c r="BV718" i="1"/>
  <c r="BU718" i="1"/>
  <c r="BT718" i="1"/>
  <c r="BS718" i="1"/>
  <c r="BR718" i="1"/>
  <c r="BQ718" i="1"/>
  <c r="BP718" i="1"/>
  <c r="BO718" i="1"/>
  <c r="BN718" i="1"/>
  <c r="BM718" i="1"/>
  <c r="BL718" i="1"/>
  <c r="BK718" i="1"/>
  <c r="BJ718" i="1"/>
  <c r="BI718" i="1"/>
  <c r="BH718" i="1"/>
  <c r="BG718" i="1"/>
  <c r="CE717" i="1"/>
  <c r="CD717" i="1"/>
  <c r="CC717" i="1"/>
  <c r="CB717" i="1"/>
  <c r="CA717" i="1"/>
  <c r="BZ717" i="1"/>
  <c r="BY717" i="1"/>
  <c r="BX717" i="1"/>
  <c r="BW717" i="1"/>
  <c r="BV717" i="1"/>
  <c r="BU717" i="1"/>
  <c r="BT717" i="1"/>
  <c r="BS717" i="1"/>
  <c r="BR717" i="1"/>
  <c r="BQ717" i="1"/>
  <c r="BP717" i="1"/>
  <c r="BO717" i="1"/>
  <c r="BN717" i="1"/>
  <c r="BM717" i="1"/>
  <c r="BL717" i="1"/>
  <c r="BK717" i="1"/>
  <c r="BJ717" i="1"/>
  <c r="BI717" i="1"/>
  <c r="BH717" i="1"/>
  <c r="BG717" i="1"/>
  <c r="CE716" i="1"/>
  <c r="CD716" i="1"/>
  <c r="CC716" i="1"/>
  <c r="CB716" i="1"/>
  <c r="CA716" i="1"/>
  <c r="BZ716" i="1"/>
  <c r="BY716" i="1"/>
  <c r="BX716" i="1"/>
  <c r="BW716" i="1"/>
  <c r="BV716" i="1"/>
  <c r="BU716" i="1"/>
  <c r="BT716" i="1"/>
  <c r="BS716" i="1"/>
  <c r="BR716" i="1"/>
  <c r="BQ716" i="1"/>
  <c r="BP716" i="1"/>
  <c r="BO716" i="1"/>
  <c r="BN716" i="1"/>
  <c r="BM716" i="1"/>
  <c r="BL716" i="1"/>
  <c r="BK716" i="1"/>
  <c r="BJ716" i="1"/>
  <c r="BI716" i="1"/>
  <c r="BH716" i="1"/>
  <c r="BG716" i="1"/>
  <c r="CE715" i="1"/>
  <c r="CD715" i="1"/>
  <c r="CC715" i="1"/>
  <c r="CB715" i="1"/>
  <c r="CA715" i="1"/>
  <c r="BZ715" i="1"/>
  <c r="BY715" i="1"/>
  <c r="BX715" i="1"/>
  <c r="BW715" i="1"/>
  <c r="BV715" i="1"/>
  <c r="BU715" i="1"/>
  <c r="BT715" i="1"/>
  <c r="BS715" i="1"/>
  <c r="BR715" i="1"/>
  <c r="BQ715" i="1"/>
  <c r="BP715" i="1"/>
  <c r="BO715" i="1"/>
  <c r="BN715" i="1"/>
  <c r="BM715" i="1"/>
  <c r="BL715" i="1"/>
  <c r="BK715" i="1"/>
  <c r="BJ715" i="1"/>
  <c r="BI715" i="1"/>
  <c r="BH715" i="1"/>
  <c r="BG715" i="1"/>
  <c r="CE714" i="1"/>
  <c r="CD714" i="1"/>
  <c r="CC714" i="1"/>
  <c r="CB714" i="1"/>
  <c r="CA714" i="1"/>
  <c r="BZ714" i="1"/>
  <c r="BY714" i="1"/>
  <c r="BX714" i="1"/>
  <c r="BW714" i="1"/>
  <c r="BV714" i="1"/>
  <c r="BU714" i="1"/>
  <c r="BT714" i="1"/>
  <c r="BS714" i="1"/>
  <c r="BR714" i="1"/>
  <c r="BQ714" i="1"/>
  <c r="BP714" i="1"/>
  <c r="BO714" i="1"/>
  <c r="BN714" i="1"/>
  <c r="BM714" i="1"/>
  <c r="BL714" i="1"/>
  <c r="BK714" i="1"/>
  <c r="BJ714" i="1"/>
  <c r="BI714" i="1"/>
  <c r="BH714" i="1"/>
  <c r="BG714" i="1"/>
  <c r="CE713" i="1"/>
  <c r="CD713" i="1"/>
  <c r="CC713" i="1"/>
  <c r="CB713" i="1"/>
  <c r="CA713" i="1"/>
  <c r="BZ713" i="1"/>
  <c r="BY713" i="1"/>
  <c r="BX713" i="1"/>
  <c r="BW713" i="1"/>
  <c r="BV713" i="1"/>
  <c r="BU713" i="1"/>
  <c r="BT713" i="1"/>
  <c r="BS713" i="1"/>
  <c r="BR713" i="1"/>
  <c r="BQ713" i="1"/>
  <c r="BP713" i="1"/>
  <c r="BO713" i="1"/>
  <c r="BN713" i="1"/>
  <c r="BM713" i="1"/>
  <c r="BL713" i="1"/>
  <c r="BK713" i="1"/>
  <c r="BJ713" i="1"/>
  <c r="BI713" i="1"/>
  <c r="BH713" i="1"/>
  <c r="BG713" i="1"/>
  <c r="CE712" i="1"/>
  <c r="CD712" i="1"/>
  <c r="CC712" i="1"/>
  <c r="CB712" i="1"/>
  <c r="CA712" i="1"/>
  <c r="BZ712" i="1"/>
  <c r="BY712" i="1"/>
  <c r="BX712" i="1"/>
  <c r="BW712" i="1"/>
  <c r="BV712" i="1"/>
  <c r="BU712" i="1"/>
  <c r="BT712" i="1"/>
  <c r="BS712" i="1"/>
  <c r="BR712" i="1"/>
  <c r="BQ712" i="1"/>
  <c r="BP712" i="1"/>
  <c r="BO712" i="1"/>
  <c r="BN712" i="1"/>
  <c r="BM712" i="1"/>
  <c r="BL712" i="1"/>
  <c r="BK712" i="1"/>
  <c r="BJ712" i="1"/>
  <c r="BI712" i="1"/>
  <c r="BH712" i="1"/>
  <c r="BG712" i="1"/>
  <c r="CE711" i="1"/>
  <c r="CD711" i="1"/>
  <c r="CC711" i="1"/>
  <c r="CB711" i="1"/>
  <c r="CA711" i="1"/>
  <c r="BZ711" i="1"/>
  <c r="BY711" i="1"/>
  <c r="BX711" i="1"/>
  <c r="BW711" i="1"/>
  <c r="BV711" i="1"/>
  <c r="BU711" i="1"/>
  <c r="BT711" i="1"/>
  <c r="BS711" i="1"/>
  <c r="BR711" i="1"/>
  <c r="BQ711" i="1"/>
  <c r="BP711" i="1"/>
  <c r="BO711" i="1"/>
  <c r="BN711" i="1"/>
  <c r="BM711" i="1"/>
  <c r="BL711" i="1"/>
  <c r="BK711" i="1"/>
  <c r="BJ711" i="1"/>
  <c r="BI711" i="1"/>
  <c r="BH711" i="1"/>
  <c r="BG711" i="1"/>
  <c r="CE710" i="1"/>
  <c r="CD710" i="1"/>
  <c r="CC710" i="1"/>
  <c r="CB710" i="1"/>
  <c r="CA710" i="1"/>
  <c r="BZ710" i="1"/>
  <c r="BY710" i="1"/>
  <c r="BX710" i="1"/>
  <c r="BW710" i="1"/>
  <c r="BV710" i="1"/>
  <c r="BU710" i="1"/>
  <c r="BT710" i="1"/>
  <c r="BS710" i="1"/>
  <c r="BR710" i="1"/>
  <c r="BQ710" i="1"/>
  <c r="BP710" i="1"/>
  <c r="BO710" i="1"/>
  <c r="BN710" i="1"/>
  <c r="BM710" i="1"/>
  <c r="BL710" i="1"/>
  <c r="BK710" i="1"/>
  <c r="BJ710" i="1"/>
  <c r="BI710" i="1"/>
  <c r="BH710" i="1"/>
  <c r="BG710" i="1"/>
  <c r="CE709" i="1"/>
  <c r="CD709" i="1"/>
  <c r="CC709" i="1"/>
  <c r="CB709" i="1"/>
  <c r="CA709" i="1"/>
  <c r="BZ709" i="1"/>
  <c r="BY709" i="1"/>
  <c r="BX709" i="1"/>
  <c r="BW709" i="1"/>
  <c r="BV709" i="1"/>
  <c r="BU709" i="1"/>
  <c r="BT709" i="1"/>
  <c r="BS709" i="1"/>
  <c r="BR709" i="1"/>
  <c r="BQ709" i="1"/>
  <c r="BP709" i="1"/>
  <c r="BO709" i="1"/>
  <c r="BN709" i="1"/>
  <c r="BM709" i="1"/>
  <c r="BL709" i="1"/>
  <c r="BK709" i="1"/>
  <c r="BJ709" i="1"/>
  <c r="BI709" i="1"/>
  <c r="BH709" i="1"/>
  <c r="BG709" i="1"/>
  <c r="CE708" i="1"/>
  <c r="CD708" i="1"/>
  <c r="CC708" i="1"/>
  <c r="CB708" i="1"/>
  <c r="CA708" i="1"/>
  <c r="BZ708" i="1"/>
  <c r="BY708" i="1"/>
  <c r="BX708" i="1"/>
  <c r="BW708" i="1"/>
  <c r="BV708" i="1"/>
  <c r="BU708" i="1"/>
  <c r="BT708" i="1"/>
  <c r="BS708" i="1"/>
  <c r="BR708" i="1"/>
  <c r="BQ708" i="1"/>
  <c r="BP708" i="1"/>
  <c r="BO708" i="1"/>
  <c r="BN708" i="1"/>
  <c r="BM708" i="1"/>
  <c r="BL708" i="1"/>
  <c r="BK708" i="1"/>
  <c r="BJ708" i="1"/>
  <c r="BI708" i="1"/>
  <c r="BH708" i="1"/>
  <c r="BG708" i="1"/>
  <c r="CE707" i="1"/>
  <c r="CD707" i="1"/>
  <c r="CC707" i="1"/>
  <c r="CB707" i="1"/>
  <c r="CA707" i="1"/>
  <c r="BZ707" i="1"/>
  <c r="BY707" i="1"/>
  <c r="BX707" i="1"/>
  <c r="BW707" i="1"/>
  <c r="BV707" i="1"/>
  <c r="BU707" i="1"/>
  <c r="BT707" i="1"/>
  <c r="BS707" i="1"/>
  <c r="BR707" i="1"/>
  <c r="BQ707" i="1"/>
  <c r="BP707" i="1"/>
  <c r="BO707" i="1"/>
  <c r="BN707" i="1"/>
  <c r="BM707" i="1"/>
  <c r="BL707" i="1"/>
  <c r="BK707" i="1"/>
  <c r="BJ707" i="1"/>
  <c r="BI707" i="1"/>
  <c r="BH707" i="1"/>
  <c r="BG707" i="1"/>
  <c r="CE706" i="1"/>
  <c r="CD706" i="1"/>
  <c r="CC706" i="1"/>
  <c r="CB706" i="1"/>
  <c r="CA706" i="1"/>
  <c r="BZ706" i="1"/>
  <c r="BY706" i="1"/>
  <c r="BX706" i="1"/>
  <c r="BW706" i="1"/>
  <c r="BV706" i="1"/>
  <c r="BU706" i="1"/>
  <c r="BT706" i="1"/>
  <c r="BS706" i="1"/>
  <c r="BR706" i="1"/>
  <c r="BQ706" i="1"/>
  <c r="BP706" i="1"/>
  <c r="BO706" i="1"/>
  <c r="BN706" i="1"/>
  <c r="BM706" i="1"/>
  <c r="BL706" i="1"/>
  <c r="BK706" i="1"/>
  <c r="BJ706" i="1"/>
  <c r="BI706" i="1"/>
  <c r="BH706" i="1"/>
  <c r="BG706" i="1"/>
  <c r="CE705" i="1"/>
  <c r="CD705" i="1"/>
  <c r="CC705" i="1"/>
  <c r="CB705" i="1"/>
  <c r="CA705" i="1"/>
  <c r="BZ705" i="1"/>
  <c r="BY705" i="1"/>
  <c r="BX705" i="1"/>
  <c r="BW705" i="1"/>
  <c r="BV705" i="1"/>
  <c r="BU705" i="1"/>
  <c r="BT705" i="1"/>
  <c r="BS705" i="1"/>
  <c r="BR705" i="1"/>
  <c r="BQ705" i="1"/>
  <c r="BP705" i="1"/>
  <c r="BO705" i="1"/>
  <c r="BN705" i="1"/>
  <c r="BM705" i="1"/>
  <c r="BL705" i="1"/>
  <c r="BK705" i="1"/>
  <c r="BJ705" i="1"/>
  <c r="BI705" i="1"/>
  <c r="BH705" i="1"/>
  <c r="BG705" i="1"/>
  <c r="CE704" i="1"/>
  <c r="CD704" i="1"/>
  <c r="CC704" i="1"/>
  <c r="CB704" i="1"/>
  <c r="CA704" i="1"/>
  <c r="BZ704" i="1"/>
  <c r="BY704" i="1"/>
  <c r="BX704" i="1"/>
  <c r="BW704" i="1"/>
  <c r="BV704" i="1"/>
  <c r="BU704" i="1"/>
  <c r="BT704" i="1"/>
  <c r="BS704" i="1"/>
  <c r="BR704" i="1"/>
  <c r="BQ704" i="1"/>
  <c r="BP704" i="1"/>
  <c r="BO704" i="1"/>
  <c r="BN704" i="1"/>
  <c r="BM704" i="1"/>
  <c r="BL704" i="1"/>
  <c r="BK704" i="1"/>
  <c r="BJ704" i="1"/>
  <c r="BI704" i="1"/>
  <c r="BH704" i="1"/>
  <c r="BG704" i="1"/>
  <c r="CE703" i="1"/>
  <c r="CD703" i="1"/>
  <c r="CC703" i="1"/>
  <c r="CB703" i="1"/>
  <c r="CA703" i="1"/>
  <c r="BZ703" i="1"/>
  <c r="BY703" i="1"/>
  <c r="BX703" i="1"/>
  <c r="BW703" i="1"/>
  <c r="BV703" i="1"/>
  <c r="BU703" i="1"/>
  <c r="BT703" i="1"/>
  <c r="BS703" i="1"/>
  <c r="BR703" i="1"/>
  <c r="BQ703" i="1"/>
  <c r="BP703" i="1"/>
  <c r="BO703" i="1"/>
  <c r="BN703" i="1"/>
  <c r="BM703" i="1"/>
  <c r="BL703" i="1"/>
  <c r="BK703" i="1"/>
  <c r="BJ703" i="1"/>
  <c r="BI703" i="1"/>
  <c r="BH703" i="1"/>
  <c r="BG703" i="1"/>
  <c r="CE702" i="1"/>
  <c r="CD702" i="1"/>
  <c r="CC702" i="1"/>
  <c r="CB702" i="1"/>
  <c r="CA702" i="1"/>
  <c r="BZ702" i="1"/>
  <c r="BY702" i="1"/>
  <c r="BX702" i="1"/>
  <c r="BW702" i="1"/>
  <c r="BV702" i="1"/>
  <c r="BU702" i="1"/>
  <c r="BT702" i="1"/>
  <c r="BS702" i="1"/>
  <c r="BR702" i="1"/>
  <c r="BQ702" i="1"/>
  <c r="BP702" i="1"/>
  <c r="BO702" i="1"/>
  <c r="BN702" i="1"/>
  <c r="BM702" i="1"/>
  <c r="BL702" i="1"/>
  <c r="BK702" i="1"/>
  <c r="BJ702" i="1"/>
  <c r="BI702" i="1"/>
  <c r="BH702" i="1"/>
  <c r="BG702" i="1"/>
  <c r="CE701" i="1"/>
  <c r="CD701" i="1"/>
  <c r="CC701" i="1"/>
  <c r="CB701" i="1"/>
  <c r="CA701" i="1"/>
  <c r="BZ701" i="1"/>
  <c r="BY701" i="1"/>
  <c r="BX701" i="1"/>
  <c r="BW701" i="1"/>
  <c r="BV701" i="1"/>
  <c r="BU701" i="1"/>
  <c r="BT701" i="1"/>
  <c r="BS701" i="1"/>
  <c r="BR701" i="1"/>
  <c r="BQ701" i="1"/>
  <c r="BP701" i="1"/>
  <c r="BO701" i="1"/>
  <c r="BN701" i="1"/>
  <c r="BM701" i="1"/>
  <c r="BL701" i="1"/>
  <c r="BK701" i="1"/>
  <c r="BJ701" i="1"/>
  <c r="BI701" i="1"/>
  <c r="BH701" i="1"/>
  <c r="BG701" i="1"/>
  <c r="CE700" i="1"/>
  <c r="CD700" i="1"/>
  <c r="CC700" i="1"/>
  <c r="CB700" i="1"/>
  <c r="CA700" i="1"/>
  <c r="BZ700" i="1"/>
  <c r="BY700" i="1"/>
  <c r="BX700" i="1"/>
  <c r="BW700" i="1"/>
  <c r="BV700" i="1"/>
  <c r="BU700" i="1"/>
  <c r="BT700" i="1"/>
  <c r="BS700" i="1"/>
  <c r="BR700" i="1"/>
  <c r="BQ700" i="1"/>
  <c r="BP700" i="1"/>
  <c r="BO700" i="1"/>
  <c r="BN700" i="1"/>
  <c r="BM700" i="1"/>
  <c r="BL700" i="1"/>
  <c r="BK700" i="1"/>
  <c r="BJ700" i="1"/>
  <c r="BI700" i="1"/>
  <c r="BH700" i="1"/>
  <c r="BG700" i="1"/>
  <c r="CE699" i="1"/>
  <c r="CD699" i="1"/>
  <c r="CC699" i="1"/>
  <c r="CB699" i="1"/>
  <c r="CA699" i="1"/>
  <c r="BZ699" i="1"/>
  <c r="BY699" i="1"/>
  <c r="BX699" i="1"/>
  <c r="BW699" i="1"/>
  <c r="BV699" i="1"/>
  <c r="BU699" i="1"/>
  <c r="BT699" i="1"/>
  <c r="BS699" i="1"/>
  <c r="BR699" i="1"/>
  <c r="BQ699" i="1"/>
  <c r="BP699" i="1"/>
  <c r="BO699" i="1"/>
  <c r="BN699" i="1"/>
  <c r="BM699" i="1"/>
  <c r="BL699" i="1"/>
  <c r="BK699" i="1"/>
  <c r="BJ699" i="1"/>
  <c r="BI699" i="1"/>
  <c r="BH699" i="1"/>
  <c r="BG699" i="1"/>
  <c r="CE698" i="1"/>
  <c r="CD698" i="1"/>
  <c r="CC698" i="1"/>
  <c r="CB698" i="1"/>
  <c r="CA698" i="1"/>
  <c r="BZ698" i="1"/>
  <c r="BY698" i="1"/>
  <c r="BX698" i="1"/>
  <c r="BW698" i="1"/>
  <c r="BV698" i="1"/>
  <c r="BU698" i="1"/>
  <c r="BT698" i="1"/>
  <c r="BS698" i="1"/>
  <c r="BR698" i="1"/>
  <c r="BQ698" i="1"/>
  <c r="BP698" i="1"/>
  <c r="BO698" i="1"/>
  <c r="BN698" i="1"/>
  <c r="BM698" i="1"/>
  <c r="BL698" i="1"/>
  <c r="BK698" i="1"/>
  <c r="BJ698" i="1"/>
  <c r="BI698" i="1"/>
  <c r="BH698" i="1"/>
  <c r="BG698" i="1"/>
  <c r="CE697" i="1"/>
  <c r="CD697" i="1"/>
  <c r="CC697" i="1"/>
  <c r="CB697" i="1"/>
  <c r="CA697" i="1"/>
  <c r="BZ697" i="1"/>
  <c r="BY697" i="1"/>
  <c r="BX697" i="1"/>
  <c r="BW697" i="1"/>
  <c r="BV697" i="1"/>
  <c r="BU697" i="1"/>
  <c r="BT697" i="1"/>
  <c r="BS697" i="1"/>
  <c r="BR697" i="1"/>
  <c r="BQ697" i="1"/>
  <c r="BP697" i="1"/>
  <c r="BO697" i="1"/>
  <c r="BN697" i="1"/>
  <c r="BM697" i="1"/>
  <c r="BL697" i="1"/>
  <c r="BK697" i="1"/>
  <c r="BJ697" i="1"/>
  <c r="BI697" i="1"/>
  <c r="BH697" i="1"/>
  <c r="BG697" i="1"/>
  <c r="CE696" i="1"/>
  <c r="CD696" i="1"/>
  <c r="CC696" i="1"/>
  <c r="CB696" i="1"/>
  <c r="CA696" i="1"/>
  <c r="BZ696" i="1"/>
  <c r="BY696" i="1"/>
  <c r="BX696" i="1"/>
  <c r="BW696" i="1"/>
  <c r="BV696" i="1"/>
  <c r="BU696" i="1"/>
  <c r="BT696" i="1"/>
  <c r="BS696" i="1"/>
  <c r="BR696" i="1"/>
  <c r="BQ696" i="1"/>
  <c r="BP696" i="1"/>
  <c r="BO696" i="1"/>
  <c r="BN696" i="1"/>
  <c r="BM696" i="1"/>
  <c r="BL696" i="1"/>
  <c r="BK696" i="1"/>
  <c r="BJ696" i="1"/>
  <c r="BI696" i="1"/>
  <c r="BH696" i="1"/>
  <c r="BG696" i="1"/>
  <c r="CE695" i="1"/>
  <c r="CD695" i="1"/>
  <c r="CC695" i="1"/>
  <c r="CB695" i="1"/>
  <c r="CA695" i="1"/>
  <c r="BZ695" i="1"/>
  <c r="BY695" i="1"/>
  <c r="BX695" i="1"/>
  <c r="BW695" i="1"/>
  <c r="BV695" i="1"/>
  <c r="BU695" i="1"/>
  <c r="BT695" i="1"/>
  <c r="BS695" i="1"/>
  <c r="BR695" i="1"/>
  <c r="BQ695" i="1"/>
  <c r="BP695" i="1"/>
  <c r="BO695" i="1"/>
  <c r="BN695" i="1"/>
  <c r="BM695" i="1"/>
  <c r="BL695" i="1"/>
  <c r="BK695" i="1"/>
  <c r="BJ695" i="1"/>
  <c r="BI695" i="1"/>
  <c r="BH695" i="1"/>
  <c r="BG695" i="1"/>
  <c r="CE694" i="1"/>
  <c r="CD694" i="1"/>
  <c r="CC694" i="1"/>
  <c r="CB694" i="1"/>
  <c r="CA694" i="1"/>
  <c r="BZ694" i="1"/>
  <c r="BY694" i="1"/>
  <c r="BX694" i="1"/>
  <c r="BW694" i="1"/>
  <c r="BV694" i="1"/>
  <c r="BU694" i="1"/>
  <c r="BT694" i="1"/>
  <c r="BS694" i="1"/>
  <c r="BR694" i="1"/>
  <c r="BQ694" i="1"/>
  <c r="BP694" i="1"/>
  <c r="BO694" i="1"/>
  <c r="BN694" i="1"/>
  <c r="BM694" i="1"/>
  <c r="BL694" i="1"/>
  <c r="BK694" i="1"/>
  <c r="BJ694" i="1"/>
  <c r="BI694" i="1"/>
  <c r="BH694" i="1"/>
  <c r="BG694" i="1"/>
  <c r="CE693" i="1"/>
  <c r="CD693" i="1"/>
  <c r="CC693" i="1"/>
  <c r="CB693" i="1"/>
  <c r="CA693" i="1"/>
  <c r="BZ693" i="1"/>
  <c r="BY693" i="1"/>
  <c r="BX693" i="1"/>
  <c r="BW693" i="1"/>
  <c r="BV693" i="1"/>
  <c r="BU693" i="1"/>
  <c r="BT693" i="1"/>
  <c r="BS693" i="1"/>
  <c r="BR693" i="1"/>
  <c r="BQ693" i="1"/>
  <c r="BP693" i="1"/>
  <c r="BO693" i="1"/>
  <c r="BN693" i="1"/>
  <c r="BM693" i="1"/>
  <c r="BL693" i="1"/>
  <c r="BK693" i="1"/>
  <c r="BJ693" i="1"/>
  <c r="BI693" i="1"/>
  <c r="BH693" i="1"/>
  <c r="BG693" i="1"/>
  <c r="CE692" i="1"/>
  <c r="CD692" i="1"/>
  <c r="CC692" i="1"/>
  <c r="CB692" i="1"/>
  <c r="CA692" i="1"/>
  <c r="BZ692" i="1"/>
  <c r="BY692" i="1"/>
  <c r="BX692" i="1"/>
  <c r="BW692" i="1"/>
  <c r="BV692" i="1"/>
  <c r="BU692" i="1"/>
  <c r="BT692" i="1"/>
  <c r="BS692" i="1"/>
  <c r="BR692" i="1"/>
  <c r="BQ692" i="1"/>
  <c r="BP692" i="1"/>
  <c r="BO692" i="1"/>
  <c r="BN692" i="1"/>
  <c r="BM692" i="1"/>
  <c r="BL692" i="1"/>
  <c r="BK692" i="1"/>
  <c r="BJ692" i="1"/>
  <c r="BI692" i="1"/>
  <c r="BH692" i="1"/>
  <c r="BG692" i="1"/>
  <c r="CE691" i="1"/>
  <c r="CD691" i="1"/>
  <c r="CC691" i="1"/>
  <c r="CB691" i="1"/>
  <c r="CA691" i="1"/>
  <c r="BZ691" i="1"/>
  <c r="BY691" i="1"/>
  <c r="BX691" i="1"/>
  <c r="BW691" i="1"/>
  <c r="BV691" i="1"/>
  <c r="BU691" i="1"/>
  <c r="BT691" i="1"/>
  <c r="BS691" i="1"/>
  <c r="BR691" i="1"/>
  <c r="BQ691" i="1"/>
  <c r="BP691" i="1"/>
  <c r="BO691" i="1"/>
  <c r="BN691" i="1"/>
  <c r="BM691" i="1"/>
  <c r="BL691" i="1"/>
  <c r="BK691" i="1"/>
  <c r="BJ691" i="1"/>
  <c r="BI691" i="1"/>
  <c r="BH691" i="1"/>
  <c r="BG691" i="1"/>
  <c r="CE690" i="1"/>
  <c r="CD690" i="1"/>
  <c r="CC690" i="1"/>
  <c r="CB690" i="1"/>
  <c r="CA690" i="1"/>
  <c r="BZ690" i="1"/>
  <c r="BY690" i="1"/>
  <c r="BX690" i="1"/>
  <c r="BW690" i="1"/>
  <c r="BV690" i="1"/>
  <c r="BU690" i="1"/>
  <c r="BT690" i="1"/>
  <c r="BS690" i="1"/>
  <c r="BR690" i="1"/>
  <c r="BQ690" i="1"/>
  <c r="BP690" i="1"/>
  <c r="BO690" i="1"/>
  <c r="BN690" i="1"/>
  <c r="BM690" i="1"/>
  <c r="BL690" i="1"/>
  <c r="BK690" i="1"/>
  <c r="BJ690" i="1"/>
  <c r="BI690" i="1"/>
  <c r="BH690" i="1"/>
  <c r="BG690" i="1"/>
  <c r="CE689" i="1"/>
  <c r="CD689" i="1"/>
  <c r="CC689" i="1"/>
  <c r="CB689" i="1"/>
  <c r="CA689" i="1"/>
  <c r="BZ689" i="1"/>
  <c r="BY689" i="1"/>
  <c r="BX689" i="1"/>
  <c r="BW689" i="1"/>
  <c r="BV689" i="1"/>
  <c r="BU689" i="1"/>
  <c r="BT689" i="1"/>
  <c r="BS689" i="1"/>
  <c r="BR689" i="1"/>
  <c r="BQ689" i="1"/>
  <c r="BP689" i="1"/>
  <c r="BO689" i="1"/>
  <c r="BN689" i="1"/>
  <c r="BM689" i="1"/>
  <c r="BL689" i="1"/>
  <c r="BK689" i="1"/>
  <c r="BJ689" i="1"/>
  <c r="BI689" i="1"/>
  <c r="BH689" i="1"/>
  <c r="BG689" i="1"/>
  <c r="CE688" i="1"/>
  <c r="CD688" i="1"/>
  <c r="CC688" i="1"/>
  <c r="CB688" i="1"/>
  <c r="CA688" i="1"/>
  <c r="BZ688" i="1"/>
  <c r="BY688" i="1"/>
  <c r="BX688" i="1"/>
  <c r="BW688" i="1"/>
  <c r="BV688" i="1"/>
  <c r="BU688" i="1"/>
  <c r="BT688" i="1"/>
  <c r="BS688" i="1"/>
  <c r="BR688" i="1"/>
  <c r="BQ688" i="1"/>
  <c r="BP688" i="1"/>
  <c r="BO688" i="1"/>
  <c r="BN688" i="1"/>
  <c r="BM688" i="1"/>
  <c r="BL688" i="1"/>
  <c r="BK688" i="1"/>
  <c r="BJ688" i="1"/>
  <c r="BI688" i="1"/>
  <c r="BH688" i="1"/>
  <c r="BG688" i="1"/>
  <c r="CE687" i="1"/>
  <c r="CD687" i="1"/>
  <c r="CC687" i="1"/>
  <c r="CB687" i="1"/>
  <c r="CA687" i="1"/>
  <c r="BZ687" i="1"/>
  <c r="BY687" i="1"/>
  <c r="BX687" i="1"/>
  <c r="BW687" i="1"/>
  <c r="BV687" i="1"/>
  <c r="BU687" i="1"/>
  <c r="BT687" i="1"/>
  <c r="BS687" i="1"/>
  <c r="BR687" i="1"/>
  <c r="BQ687" i="1"/>
  <c r="BP687" i="1"/>
  <c r="BO687" i="1"/>
  <c r="BN687" i="1"/>
  <c r="BM687" i="1"/>
  <c r="BL687" i="1"/>
  <c r="BK687" i="1"/>
  <c r="BJ687" i="1"/>
  <c r="BI687" i="1"/>
  <c r="BH687" i="1"/>
  <c r="BG687" i="1"/>
  <c r="CE686" i="1"/>
  <c r="CD686" i="1"/>
  <c r="CC686" i="1"/>
  <c r="CB686" i="1"/>
  <c r="CA686" i="1"/>
  <c r="BZ686" i="1"/>
  <c r="BY686" i="1"/>
  <c r="BX686" i="1"/>
  <c r="BW686" i="1"/>
  <c r="BV686" i="1"/>
  <c r="BU686" i="1"/>
  <c r="BT686" i="1"/>
  <c r="BS686" i="1"/>
  <c r="BR686" i="1"/>
  <c r="BQ686" i="1"/>
  <c r="BP686" i="1"/>
  <c r="BO686" i="1"/>
  <c r="BN686" i="1"/>
  <c r="BM686" i="1"/>
  <c r="BL686" i="1"/>
  <c r="BK686" i="1"/>
  <c r="BJ686" i="1"/>
  <c r="BI686" i="1"/>
  <c r="BH686" i="1"/>
  <c r="BG686" i="1"/>
  <c r="CE685" i="1"/>
  <c r="CD685" i="1"/>
  <c r="CC685" i="1"/>
  <c r="CB685" i="1"/>
  <c r="CA685" i="1"/>
  <c r="BZ685" i="1"/>
  <c r="BY685" i="1"/>
  <c r="BX685" i="1"/>
  <c r="BW685" i="1"/>
  <c r="BV685" i="1"/>
  <c r="BU685" i="1"/>
  <c r="BT685" i="1"/>
  <c r="BS685" i="1"/>
  <c r="BR685" i="1"/>
  <c r="BQ685" i="1"/>
  <c r="BP685" i="1"/>
  <c r="BO685" i="1"/>
  <c r="BN685" i="1"/>
  <c r="BM685" i="1"/>
  <c r="BL685" i="1"/>
  <c r="BK685" i="1"/>
  <c r="BJ685" i="1"/>
  <c r="BI685" i="1"/>
  <c r="BH685" i="1"/>
  <c r="BG685" i="1"/>
  <c r="CE684" i="1"/>
  <c r="CD684" i="1"/>
  <c r="CC684" i="1"/>
  <c r="CB684" i="1"/>
  <c r="CA684" i="1"/>
  <c r="BZ684" i="1"/>
  <c r="BY684" i="1"/>
  <c r="BX684" i="1"/>
  <c r="BW684" i="1"/>
  <c r="BV684" i="1"/>
  <c r="BU684" i="1"/>
  <c r="BT684" i="1"/>
  <c r="BS684" i="1"/>
  <c r="BR684" i="1"/>
  <c r="BQ684" i="1"/>
  <c r="BP684" i="1"/>
  <c r="BO684" i="1"/>
  <c r="BN684" i="1"/>
  <c r="BM684" i="1"/>
  <c r="BL684" i="1"/>
  <c r="BK684" i="1"/>
  <c r="BJ684" i="1"/>
  <c r="BI684" i="1"/>
  <c r="BH684" i="1"/>
  <c r="BG684" i="1"/>
  <c r="CE683" i="1"/>
  <c r="CD683" i="1"/>
  <c r="CC683" i="1"/>
  <c r="CB683" i="1"/>
  <c r="CA683" i="1"/>
  <c r="BZ683" i="1"/>
  <c r="BY683" i="1"/>
  <c r="BX683" i="1"/>
  <c r="BW683" i="1"/>
  <c r="BV683" i="1"/>
  <c r="BU683" i="1"/>
  <c r="BT683" i="1"/>
  <c r="BS683" i="1"/>
  <c r="BR683" i="1"/>
  <c r="BQ683" i="1"/>
  <c r="BP683" i="1"/>
  <c r="BO683" i="1"/>
  <c r="BN683" i="1"/>
  <c r="BM683" i="1"/>
  <c r="BL683" i="1"/>
  <c r="BK683" i="1"/>
  <c r="BJ683" i="1"/>
  <c r="BI683" i="1"/>
  <c r="BH683" i="1"/>
  <c r="BG683" i="1"/>
  <c r="CE682" i="1"/>
  <c r="CD682" i="1"/>
  <c r="CC682" i="1"/>
  <c r="CB682" i="1"/>
  <c r="CA682" i="1"/>
  <c r="BZ682" i="1"/>
  <c r="BY682" i="1"/>
  <c r="BX682" i="1"/>
  <c r="BW682" i="1"/>
  <c r="BV682" i="1"/>
  <c r="BU682" i="1"/>
  <c r="BT682" i="1"/>
  <c r="BS682" i="1"/>
  <c r="BR682" i="1"/>
  <c r="BQ682" i="1"/>
  <c r="BP682" i="1"/>
  <c r="BO682" i="1"/>
  <c r="BN682" i="1"/>
  <c r="BM682" i="1"/>
  <c r="BL682" i="1"/>
  <c r="BK682" i="1"/>
  <c r="BJ682" i="1"/>
  <c r="BI682" i="1"/>
  <c r="BH682" i="1"/>
  <c r="BG682" i="1"/>
  <c r="CE681" i="1"/>
  <c r="CD681" i="1"/>
  <c r="CC681" i="1"/>
  <c r="CB681" i="1"/>
  <c r="CA681" i="1"/>
  <c r="BZ681" i="1"/>
  <c r="BY681" i="1"/>
  <c r="BX681" i="1"/>
  <c r="BW681" i="1"/>
  <c r="BV681" i="1"/>
  <c r="BU681" i="1"/>
  <c r="BT681" i="1"/>
  <c r="BS681" i="1"/>
  <c r="BR681" i="1"/>
  <c r="BQ681" i="1"/>
  <c r="BP681" i="1"/>
  <c r="BO681" i="1"/>
  <c r="BN681" i="1"/>
  <c r="BM681" i="1"/>
  <c r="BL681" i="1"/>
  <c r="BK681" i="1"/>
  <c r="BJ681" i="1"/>
  <c r="BI681" i="1"/>
  <c r="BH681" i="1"/>
  <c r="BG681" i="1"/>
  <c r="CE680" i="1"/>
  <c r="CD680" i="1"/>
  <c r="CC680" i="1"/>
  <c r="CB680" i="1"/>
  <c r="CA680" i="1"/>
  <c r="BZ680" i="1"/>
  <c r="BY680" i="1"/>
  <c r="BX680" i="1"/>
  <c r="BW680" i="1"/>
  <c r="BV680" i="1"/>
  <c r="BU680" i="1"/>
  <c r="BT680" i="1"/>
  <c r="BS680" i="1"/>
  <c r="BR680" i="1"/>
  <c r="BQ680" i="1"/>
  <c r="BP680" i="1"/>
  <c r="BO680" i="1"/>
  <c r="BN680" i="1"/>
  <c r="BM680" i="1"/>
  <c r="BL680" i="1"/>
  <c r="BK680" i="1"/>
  <c r="BJ680" i="1"/>
  <c r="BI680" i="1"/>
  <c r="BH680" i="1"/>
  <c r="BG680" i="1"/>
  <c r="CE679" i="1"/>
  <c r="CD679" i="1"/>
  <c r="CC679" i="1"/>
  <c r="CB679" i="1"/>
  <c r="CA679" i="1"/>
  <c r="BZ679" i="1"/>
  <c r="BY679" i="1"/>
  <c r="BX679" i="1"/>
  <c r="BW679" i="1"/>
  <c r="BV679" i="1"/>
  <c r="BU679" i="1"/>
  <c r="BT679" i="1"/>
  <c r="BS679" i="1"/>
  <c r="BR679" i="1"/>
  <c r="BQ679" i="1"/>
  <c r="BP679" i="1"/>
  <c r="BO679" i="1"/>
  <c r="BN679" i="1"/>
  <c r="BM679" i="1"/>
  <c r="BL679" i="1"/>
  <c r="BK679" i="1"/>
  <c r="BJ679" i="1"/>
  <c r="BI679" i="1"/>
  <c r="BH679" i="1"/>
  <c r="BG679" i="1"/>
  <c r="CE678" i="1"/>
  <c r="CD678" i="1"/>
  <c r="CC678" i="1"/>
  <c r="CB678" i="1"/>
  <c r="CA678" i="1"/>
  <c r="BZ678" i="1"/>
  <c r="BY678" i="1"/>
  <c r="BX678" i="1"/>
  <c r="BW678" i="1"/>
  <c r="BV678" i="1"/>
  <c r="BU678" i="1"/>
  <c r="BT678" i="1"/>
  <c r="BS678" i="1"/>
  <c r="BR678" i="1"/>
  <c r="BQ678" i="1"/>
  <c r="BP678" i="1"/>
  <c r="BO678" i="1"/>
  <c r="BN678" i="1"/>
  <c r="BM678" i="1"/>
  <c r="BL678" i="1"/>
  <c r="BK678" i="1"/>
  <c r="BJ678" i="1"/>
  <c r="BI678" i="1"/>
  <c r="BH678" i="1"/>
  <c r="BG678" i="1"/>
  <c r="CE677" i="1"/>
  <c r="CD677" i="1"/>
  <c r="CC677" i="1"/>
  <c r="CB677" i="1"/>
  <c r="CA677" i="1"/>
  <c r="BZ677" i="1"/>
  <c r="BY677" i="1"/>
  <c r="BX677" i="1"/>
  <c r="BW677" i="1"/>
  <c r="BV677" i="1"/>
  <c r="BU677" i="1"/>
  <c r="BT677" i="1"/>
  <c r="BS677" i="1"/>
  <c r="BR677" i="1"/>
  <c r="BQ677" i="1"/>
  <c r="BP677" i="1"/>
  <c r="BO677" i="1"/>
  <c r="BN677" i="1"/>
  <c r="BM677" i="1"/>
  <c r="BL677" i="1"/>
  <c r="BK677" i="1"/>
  <c r="BJ677" i="1"/>
  <c r="BI677" i="1"/>
  <c r="BH677" i="1"/>
  <c r="BG677" i="1"/>
  <c r="CE676" i="1"/>
  <c r="CD676" i="1"/>
  <c r="CC676" i="1"/>
  <c r="CB676" i="1"/>
  <c r="CA676" i="1"/>
  <c r="BZ676" i="1"/>
  <c r="BY676" i="1"/>
  <c r="BX676" i="1"/>
  <c r="BW676" i="1"/>
  <c r="BV676" i="1"/>
  <c r="BU676" i="1"/>
  <c r="BT676" i="1"/>
  <c r="BS676" i="1"/>
  <c r="BR676" i="1"/>
  <c r="BQ676" i="1"/>
  <c r="BP676" i="1"/>
  <c r="BO676" i="1"/>
  <c r="BN676" i="1"/>
  <c r="BM676" i="1"/>
  <c r="BL676" i="1"/>
  <c r="BK676" i="1"/>
  <c r="BJ676" i="1"/>
  <c r="BI676" i="1"/>
  <c r="BH676" i="1"/>
  <c r="BG676" i="1"/>
  <c r="CE675" i="1"/>
  <c r="CD675" i="1"/>
  <c r="CC675" i="1"/>
  <c r="CB675" i="1"/>
  <c r="CA675" i="1"/>
  <c r="BZ675" i="1"/>
  <c r="BY675" i="1"/>
  <c r="BX675" i="1"/>
  <c r="BW675" i="1"/>
  <c r="BV675" i="1"/>
  <c r="BU675" i="1"/>
  <c r="BT675" i="1"/>
  <c r="BS675" i="1"/>
  <c r="BR675" i="1"/>
  <c r="BQ675" i="1"/>
  <c r="BP675" i="1"/>
  <c r="BO675" i="1"/>
  <c r="BN675" i="1"/>
  <c r="BM675" i="1"/>
  <c r="BL675" i="1"/>
  <c r="BK675" i="1"/>
  <c r="BJ675" i="1"/>
  <c r="BI675" i="1"/>
  <c r="BH675" i="1"/>
  <c r="BG675" i="1"/>
  <c r="CE674" i="1"/>
  <c r="CD674" i="1"/>
  <c r="CC674" i="1"/>
  <c r="CB674" i="1"/>
  <c r="CA674" i="1"/>
  <c r="BZ674" i="1"/>
  <c r="BY674" i="1"/>
  <c r="BX674" i="1"/>
  <c r="BW674" i="1"/>
  <c r="BV674" i="1"/>
  <c r="BU674" i="1"/>
  <c r="BT674" i="1"/>
  <c r="BS674" i="1"/>
  <c r="BR674" i="1"/>
  <c r="BQ674" i="1"/>
  <c r="BP674" i="1"/>
  <c r="BO674" i="1"/>
  <c r="BN674" i="1"/>
  <c r="BM674" i="1"/>
  <c r="BL674" i="1"/>
  <c r="BK674" i="1"/>
  <c r="BJ674" i="1"/>
  <c r="BI674" i="1"/>
  <c r="BH674" i="1"/>
  <c r="BG674" i="1"/>
  <c r="CE673" i="1"/>
  <c r="CD673" i="1"/>
  <c r="CC673" i="1"/>
  <c r="CB673" i="1"/>
  <c r="CA673" i="1"/>
  <c r="BZ673" i="1"/>
  <c r="BY673" i="1"/>
  <c r="BX673" i="1"/>
  <c r="BW673" i="1"/>
  <c r="BV673" i="1"/>
  <c r="BU673" i="1"/>
  <c r="BT673" i="1"/>
  <c r="BS673" i="1"/>
  <c r="BR673" i="1"/>
  <c r="BQ673" i="1"/>
  <c r="BP673" i="1"/>
  <c r="BO673" i="1"/>
  <c r="BN673" i="1"/>
  <c r="BM673" i="1"/>
  <c r="BL673" i="1"/>
  <c r="BK673" i="1"/>
  <c r="BJ673" i="1"/>
  <c r="BI673" i="1"/>
  <c r="BH673" i="1"/>
  <c r="BG673" i="1"/>
  <c r="CE672" i="1"/>
  <c r="CD672" i="1"/>
  <c r="CC672" i="1"/>
  <c r="CB672" i="1"/>
  <c r="CA672" i="1"/>
  <c r="BZ672" i="1"/>
  <c r="BY672" i="1"/>
  <c r="BX672" i="1"/>
  <c r="BW672" i="1"/>
  <c r="BV672" i="1"/>
  <c r="BU672" i="1"/>
  <c r="BT672" i="1"/>
  <c r="BS672" i="1"/>
  <c r="BR672" i="1"/>
  <c r="BQ672" i="1"/>
  <c r="BP672" i="1"/>
  <c r="BO672" i="1"/>
  <c r="BN672" i="1"/>
  <c r="BM672" i="1"/>
  <c r="BL672" i="1"/>
  <c r="BK672" i="1"/>
  <c r="BJ672" i="1"/>
  <c r="BI672" i="1"/>
  <c r="BH672" i="1"/>
  <c r="BG672" i="1"/>
  <c r="CE671" i="1"/>
  <c r="CD671" i="1"/>
  <c r="CC671" i="1"/>
  <c r="CB671" i="1"/>
  <c r="CA671" i="1"/>
  <c r="BZ671" i="1"/>
  <c r="BY671" i="1"/>
  <c r="BX671" i="1"/>
  <c r="BW671" i="1"/>
  <c r="BV671" i="1"/>
  <c r="BU671" i="1"/>
  <c r="BT671" i="1"/>
  <c r="BS671" i="1"/>
  <c r="BR671" i="1"/>
  <c r="BQ671" i="1"/>
  <c r="BP671" i="1"/>
  <c r="BO671" i="1"/>
  <c r="BN671" i="1"/>
  <c r="BM671" i="1"/>
  <c r="BL671" i="1"/>
  <c r="BK671" i="1"/>
  <c r="BJ671" i="1"/>
  <c r="BI671" i="1"/>
  <c r="BH671" i="1"/>
  <c r="BG671" i="1"/>
  <c r="CE670" i="1"/>
  <c r="CD670" i="1"/>
  <c r="CC670" i="1"/>
  <c r="CB670" i="1"/>
  <c r="CA670" i="1"/>
  <c r="BZ670" i="1"/>
  <c r="BY670" i="1"/>
  <c r="BX670" i="1"/>
  <c r="BW670" i="1"/>
  <c r="BV670" i="1"/>
  <c r="BU670" i="1"/>
  <c r="BT670" i="1"/>
  <c r="BS670" i="1"/>
  <c r="BR670" i="1"/>
  <c r="BQ670" i="1"/>
  <c r="BP670" i="1"/>
  <c r="BO670" i="1"/>
  <c r="BN670" i="1"/>
  <c r="BM670" i="1"/>
  <c r="BL670" i="1"/>
  <c r="BK670" i="1"/>
  <c r="BJ670" i="1"/>
  <c r="BI670" i="1"/>
  <c r="BH670" i="1"/>
  <c r="BG670" i="1"/>
  <c r="CE669" i="1"/>
  <c r="CD669" i="1"/>
  <c r="CC669" i="1"/>
  <c r="CB669" i="1"/>
  <c r="CA669" i="1"/>
  <c r="BZ669" i="1"/>
  <c r="BY669" i="1"/>
  <c r="BX669" i="1"/>
  <c r="BW669" i="1"/>
  <c r="BV669" i="1"/>
  <c r="BU669" i="1"/>
  <c r="BT669" i="1"/>
  <c r="BS669" i="1"/>
  <c r="BR669" i="1"/>
  <c r="BQ669" i="1"/>
  <c r="BP669" i="1"/>
  <c r="BO669" i="1"/>
  <c r="BN669" i="1"/>
  <c r="BM669" i="1"/>
  <c r="BL669" i="1"/>
  <c r="BK669" i="1"/>
  <c r="BJ669" i="1"/>
  <c r="BI669" i="1"/>
  <c r="BH669" i="1"/>
  <c r="BG669" i="1"/>
  <c r="CE668" i="1"/>
  <c r="CD668" i="1"/>
  <c r="CC668" i="1"/>
  <c r="CB668" i="1"/>
  <c r="CA668" i="1"/>
  <c r="BZ668" i="1"/>
  <c r="BY668" i="1"/>
  <c r="BX668" i="1"/>
  <c r="BW668" i="1"/>
  <c r="BV668" i="1"/>
  <c r="BU668" i="1"/>
  <c r="BT668" i="1"/>
  <c r="BS668" i="1"/>
  <c r="BR668" i="1"/>
  <c r="BQ668" i="1"/>
  <c r="BP668" i="1"/>
  <c r="BO668" i="1"/>
  <c r="BN668" i="1"/>
  <c r="BM668" i="1"/>
  <c r="BL668" i="1"/>
  <c r="BK668" i="1"/>
  <c r="BJ668" i="1"/>
  <c r="BI668" i="1"/>
  <c r="BH668" i="1"/>
  <c r="BG668" i="1"/>
  <c r="CE667" i="1"/>
  <c r="CD667" i="1"/>
  <c r="CC667" i="1"/>
  <c r="CB667" i="1"/>
  <c r="CA667" i="1"/>
  <c r="BZ667" i="1"/>
  <c r="BY667" i="1"/>
  <c r="BX667" i="1"/>
  <c r="BW667" i="1"/>
  <c r="BV667" i="1"/>
  <c r="BU667" i="1"/>
  <c r="BT667" i="1"/>
  <c r="BS667" i="1"/>
  <c r="BR667" i="1"/>
  <c r="BQ667" i="1"/>
  <c r="BP667" i="1"/>
  <c r="BO667" i="1"/>
  <c r="BN667" i="1"/>
  <c r="BM667" i="1"/>
  <c r="BL667" i="1"/>
  <c r="BK667" i="1"/>
  <c r="BJ667" i="1"/>
  <c r="BI667" i="1"/>
  <c r="BH667" i="1"/>
  <c r="BG667" i="1"/>
  <c r="CE666" i="1"/>
  <c r="CD666" i="1"/>
  <c r="CC666" i="1"/>
  <c r="CB666" i="1"/>
  <c r="CA666" i="1"/>
  <c r="BZ666" i="1"/>
  <c r="BY666" i="1"/>
  <c r="BX666" i="1"/>
  <c r="BW666" i="1"/>
  <c r="BV666" i="1"/>
  <c r="BU666" i="1"/>
  <c r="BT666" i="1"/>
  <c r="BS666" i="1"/>
  <c r="BR666" i="1"/>
  <c r="BQ666" i="1"/>
  <c r="BP666" i="1"/>
  <c r="BO666" i="1"/>
  <c r="BN666" i="1"/>
  <c r="BM666" i="1"/>
  <c r="BL666" i="1"/>
  <c r="BK666" i="1"/>
  <c r="BJ666" i="1"/>
  <c r="BI666" i="1"/>
  <c r="BH666" i="1"/>
  <c r="BG666" i="1"/>
  <c r="CE665" i="1"/>
  <c r="CD665" i="1"/>
  <c r="CC665" i="1"/>
  <c r="CB665" i="1"/>
  <c r="CA665" i="1"/>
  <c r="BZ665" i="1"/>
  <c r="BY665" i="1"/>
  <c r="BX665" i="1"/>
  <c r="BW665" i="1"/>
  <c r="BV665" i="1"/>
  <c r="BU665" i="1"/>
  <c r="BT665" i="1"/>
  <c r="BS665" i="1"/>
  <c r="BR665" i="1"/>
  <c r="BQ665" i="1"/>
  <c r="BP665" i="1"/>
  <c r="BO665" i="1"/>
  <c r="BN665" i="1"/>
  <c r="BM665" i="1"/>
  <c r="BL665" i="1"/>
  <c r="BK665" i="1"/>
  <c r="BJ665" i="1"/>
  <c r="BI665" i="1"/>
  <c r="BH665" i="1"/>
  <c r="BG665" i="1"/>
  <c r="CE664" i="1"/>
  <c r="CD664" i="1"/>
  <c r="CC664" i="1"/>
  <c r="CB664" i="1"/>
  <c r="CA664" i="1"/>
  <c r="BZ664" i="1"/>
  <c r="BY664" i="1"/>
  <c r="BX664" i="1"/>
  <c r="BW664" i="1"/>
  <c r="BV664" i="1"/>
  <c r="BU664" i="1"/>
  <c r="BT664" i="1"/>
  <c r="BS664" i="1"/>
  <c r="BR664" i="1"/>
  <c r="BQ664" i="1"/>
  <c r="BP664" i="1"/>
  <c r="BO664" i="1"/>
  <c r="BN664" i="1"/>
  <c r="BM664" i="1"/>
  <c r="BL664" i="1"/>
  <c r="BK664" i="1"/>
  <c r="BJ664" i="1"/>
  <c r="BI664" i="1"/>
  <c r="BH664" i="1"/>
  <c r="BG664" i="1"/>
  <c r="CE663" i="1"/>
  <c r="CD663" i="1"/>
  <c r="CC663" i="1"/>
  <c r="CB663" i="1"/>
  <c r="CA663" i="1"/>
  <c r="BZ663" i="1"/>
  <c r="BY663" i="1"/>
  <c r="BX663" i="1"/>
  <c r="BW663" i="1"/>
  <c r="BV663" i="1"/>
  <c r="BU663" i="1"/>
  <c r="BT663" i="1"/>
  <c r="BS663" i="1"/>
  <c r="BR663" i="1"/>
  <c r="BQ663" i="1"/>
  <c r="BP663" i="1"/>
  <c r="BO663" i="1"/>
  <c r="BN663" i="1"/>
  <c r="BM663" i="1"/>
  <c r="BL663" i="1"/>
  <c r="BK663" i="1"/>
  <c r="BJ663" i="1"/>
  <c r="BI663" i="1"/>
  <c r="BH663" i="1"/>
  <c r="BG663" i="1"/>
  <c r="CE662" i="1"/>
  <c r="CD662" i="1"/>
  <c r="CC662" i="1"/>
  <c r="CB662" i="1"/>
  <c r="CA662" i="1"/>
  <c r="BZ662" i="1"/>
  <c r="BY662" i="1"/>
  <c r="BX662" i="1"/>
  <c r="BW662" i="1"/>
  <c r="BV662" i="1"/>
  <c r="BU662" i="1"/>
  <c r="BT662" i="1"/>
  <c r="BS662" i="1"/>
  <c r="BR662" i="1"/>
  <c r="BQ662" i="1"/>
  <c r="BP662" i="1"/>
  <c r="BO662" i="1"/>
  <c r="BN662" i="1"/>
  <c r="BM662" i="1"/>
  <c r="BL662" i="1"/>
  <c r="BK662" i="1"/>
  <c r="BJ662" i="1"/>
  <c r="BI662" i="1"/>
  <c r="BH662" i="1"/>
  <c r="BG662" i="1"/>
  <c r="CE661" i="1"/>
  <c r="CD661" i="1"/>
  <c r="CC661" i="1"/>
  <c r="CB661" i="1"/>
  <c r="CA661" i="1"/>
  <c r="BZ661" i="1"/>
  <c r="BY661" i="1"/>
  <c r="BX661" i="1"/>
  <c r="BW661" i="1"/>
  <c r="BV661" i="1"/>
  <c r="BU661" i="1"/>
  <c r="BT661" i="1"/>
  <c r="BS661" i="1"/>
  <c r="BR661" i="1"/>
  <c r="BQ661" i="1"/>
  <c r="BP661" i="1"/>
  <c r="BO661" i="1"/>
  <c r="BN661" i="1"/>
  <c r="BM661" i="1"/>
  <c r="BL661" i="1"/>
  <c r="BK661" i="1"/>
  <c r="BJ661" i="1"/>
  <c r="BI661" i="1"/>
  <c r="BH661" i="1"/>
  <c r="BG661" i="1"/>
  <c r="CE660" i="1"/>
  <c r="CD660" i="1"/>
  <c r="CC660" i="1"/>
  <c r="CB660" i="1"/>
  <c r="CA660" i="1"/>
  <c r="BZ660" i="1"/>
  <c r="BY660" i="1"/>
  <c r="BX660" i="1"/>
  <c r="BW660" i="1"/>
  <c r="BV660" i="1"/>
  <c r="BU660" i="1"/>
  <c r="BT660" i="1"/>
  <c r="BS660" i="1"/>
  <c r="BR660" i="1"/>
  <c r="BQ660" i="1"/>
  <c r="BP660" i="1"/>
  <c r="BO660" i="1"/>
  <c r="BN660" i="1"/>
  <c r="BM660" i="1"/>
  <c r="BL660" i="1"/>
  <c r="BK660" i="1"/>
  <c r="BJ660" i="1"/>
  <c r="BI660" i="1"/>
  <c r="BH660" i="1"/>
  <c r="BG660" i="1"/>
  <c r="CE659" i="1"/>
  <c r="CD659" i="1"/>
  <c r="CC659" i="1"/>
  <c r="CB659" i="1"/>
  <c r="CA659" i="1"/>
  <c r="BZ659" i="1"/>
  <c r="BY659" i="1"/>
  <c r="BX659" i="1"/>
  <c r="BW659" i="1"/>
  <c r="BV659" i="1"/>
  <c r="BU659" i="1"/>
  <c r="BT659" i="1"/>
  <c r="BS659" i="1"/>
  <c r="BR659" i="1"/>
  <c r="BQ659" i="1"/>
  <c r="BP659" i="1"/>
  <c r="BO659" i="1"/>
  <c r="BN659" i="1"/>
  <c r="BM659" i="1"/>
  <c r="BL659" i="1"/>
  <c r="BK659" i="1"/>
  <c r="BJ659" i="1"/>
  <c r="BI659" i="1"/>
  <c r="BH659" i="1"/>
  <c r="BG659" i="1"/>
  <c r="CE658" i="1"/>
  <c r="CD658" i="1"/>
  <c r="CC658" i="1"/>
  <c r="CB658" i="1"/>
  <c r="CA658" i="1"/>
  <c r="BZ658" i="1"/>
  <c r="BY658" i="1"/>
  <c r="BX658" i="1"/>
  <c r="BW658" i="1"/>
  <c r="BV658" i="1"/>
  <c r="BU658" i="1"/>
  <c r="BT658" i="1"/>
  <c r="BS658" i="1"/>
  <c r="BR658" i="1"/>
  <c r="BQ658" i="1"/>
  <c r="BP658" i="1"/>
  <c r="BO658" i="1"/>
  <c r="BN658" i="1"/>
  <c r="BM658" i="1"/>
  <c r="BL658" i="1"/>
  <c r="BK658" i="1"/>
  <c r="BJ658" i="1"/>
  <c r="BI658" i="1"/>
  <c r="BH658" i="1"/>
  <c r="BG658" i="1"/>
  <c r="CE657" i="1"/>
  <c r="CD657" i="1"/>
  <c r="CC657" i="1"/>
  <c r="CB657" i="1"/>
  <c r="CA657" i="1"/>
  <c r="BZ657" i="1"/>
  <c r="BY657" i="1"/>
  <c r="BX657" i="1"/>
  <c r="BW657" i="1"/>
  <c r="BV657" i="1"/>
  <c r="BU657" i="1"/>
  <c r="BT657" i="1"/>
  <c r="BS657" i="1"/>
  <c r="BR657" i="1"/>
  <c r="BQ657" i="1"/>
  <c r="BP657" i="1"/>
  <c r="BO657" i="1"/>
  <c r="BN657" i="1"/>
  <c r="BM657" i="1"/>
  <c r="BL657" i="1"/>
  <c r="BK657" i="1"/>
  <c r="BJ657" i="1"/>
  <c r="BI657" i="1"/>
  <c r="BH657" i="1"/>
  <c r="BG657" i="1"/>
  <c r="CE656" i="1"/>
  <c r="CD656" i="1"/>
  <c r="CC656" i="1"/>
  <c r="CB656" i="1"/>
  <c r="CA656" i="1"/>
  <c r="BZ656" i="1"/>
  <c r="BY656" i="1"/>
  <c r="BX656" i="1"/>
  <c r="BW656" i="1"/>
  <c r="BV656" i="1"/>
  <c r="BU656" i="1"/>
  <c r="BT656" i="1"/>
  <c r="BS656" i="1"/>
  <c r="BR656" i="1"/>
  <c r="BQ656" i="1"/>
  <c r="BP656" i="1"/>
  <c r="BO656" i="1"/>
  <c r="BN656" i="1"/>
  <c r="BM656" i="1"/>
  <c r="BL656" i="1"/>
  <c r="BK656" i="1"/>
  <c r="BJ656" i="1"/>
  <c r="BI656" i="1"/>
  <c r="BH656" i="1"/>
  <c r="BG656" i="1"/>
  <c r="CE655" i="1"/>
  <c r="CD655" i="1"/>
  <c r="CC655" i="1"/>
  <c r="CB655" i="1"/>
  <c r="CA655" i="1"/>
  <c r="BZ655" i="1"/>
  <c r="BY655" i="1"/>
  <c r="BX655" i="1"/>
  <c r="BW655" i="1"/>
  <c r="BV655" i="1"/>
  <c r="BU655" i="1"/>
  <c r="BT655" i="1"/>
  <c r="BS655" i="1"/>
  <c r="BR655" i="1"/>
  <c r="BQ655" i="1"/>
  <c r="BP655" i="1"/>
  <c r="BO655" i="1"/>
  <c r="BN655" i="1"/>
  <c r="BM655" i="1"/>
  <c r="BL655" i="1"/>
  <c r="BK655" i="1"/>
  <c r="BJ655" i="1"/>
  <c r="BI655" i="1"/>
  <c r="BH655" i="1"/>
  <c r="BG655" i="1"/>
  <c r="CE654" i="1"/>
  <c r="CD654" i="1"/>
  <c r="CC654" i="1"/>
  <c r="CB654" i="1"/>
  <c r="CA654" i="1"/>
  <c r="BZ654" i="1"/>
  <c r="BY654" i="1"/>
  <c r="BX654" i="1"/>
  <c r="BW654" i="1"/>
  <c r="BV654" i="1"/>
  <c r="BU654" i="1"/>
  <c r="BT654" i="1"/>
  <c r="BS654" i="1"/>
  <c r="BR654" i="1"/>
  <c r="BQ654" i="1"/>
  <c r="BP654" i="1"/>
  <c r="BO654" i="1"/>
  <c r="BN654" i="1"/>
  <c r="BM654" i="1"/>
  <c r="BL654" i="1"/>
  <c r="BK654" i="1"/>
  <c r="BJ654" i="1"/>
  <c r="BI654" i="1"/>
  <c r="BH654" i="1"/>
  <c r="BG654" i="1"/>
  <c r="CE653" i="1"/>
  <c r="CD653" i="1"/>
  <c r="CC653" i="1"/>
  <c r="CB653" i="1"/>
  <c r="CA653" i="1"/>
  <c r="BZ653" i="1"/>
  <c r="BY653" i="1"/>
  <c r="BX653" i="1"/>
  <c r="BW653" i="1"/>
  <c r="BV653" i="1"/>
  <c r="BU653" i="1"/>
  <c r="BT653" i="1"/>
  <c r="BS653" i="1"/>
  <c r="BR653" i="1"/>
  <c r="BQ653" i="1"/>
  <c r="BP653" i="1"/>
  <c r="BO653" i="1"/>
  <c r="BN653" i="1"/>
  <c r="BM653" i="1"/>
  <c r="BL653" i="1"/>
  <c r="BK653" i="1"/>
  <c r="BJ653" i="1"/>
  <c r="BI653" i="1"/>
  <c r="BH653" i="1"/>
  <c r="BG653" i="1"/>
  <c r="CE652" i="1"/>
  <c r="CD652" i="1"/>
  <c r="CC652" i="1"/>
  <c r="CB652" i="1"/>
  <c r="CA652" i="1"/>
  <c r="BZ652" i="1"/>
  <c r="BY652" i="1"/>
  <c r="BX652" i="1"/>
  <c r="BW652" i="1"/>
  <c r="BV652" i="1"/>
  <c r="BU652" i="1"/>
  <c r="BT652" i="1"/>
  <c r="BS652" i="1"/>
  <c r="BR652" i="1"/>
  <c r="BQ652" i="1"/>
  <c r="BP652" i="1"/>
  <c r="BO652" i="1"/>
  <c r="BN652" i="1"/>
  <c r="BM652" i="1"/>
  <c r="BL652" i="1"/>
  <c r="BK652" i="1"/>
  <c r="BJ652" i="1"/>
  <c r="BI652" i="1"/>
  <c r="BH652" i="1"/>
  <c r="BG652" i="1"/>
  <c r="CE651" i="1"/>
  <c r="CD651" i="1"/>
  <c r="CC651" i="1"/>
  <c r="CB651" i="1"/>
  <c r="CA651" i="1"/>
  <c r="BZ651" i="1"/>
  <c r="BY651" i="1"/>
  <c r="BX651" i="1"/>
  <c r="BW651" i="1"/>
  <c r="BV651" i="1"/>
  <c r="BU651" i="1"/>
  <c r="BT651" i="1"/>
  <c r="BS651" i="1"/>
  <c r="BR651" i="1"/>
  <c r="BQ651" i="1"/>
  <c r="BP651" i="1"/>
  <c r="BO651" i="1"/>
  <c r="BN651" i="1"/>
  <c r="BM651" i="1"/>
  <c r="BL651" i="1"/>
  <c r="BK651" i="1"/>
  <c r="BJ651" i="1"/>
  <c r="BI651" i="1"/>
  <c r="BH651" i="1"/>
  <c r="BG651" i="1"/>
  <c r="CE650" i="1"/>
  <c r="CD650" i="1"/>
  <c r="CC650" i="1"/>
  <c r="CB650" i="1"/>
  <c r="CA650" i="1"/>
  <c r="BZ650" i="1"/>
  <c r="BY650" i="1"/>
  <c r="BX650" i="1"/>
  <c r="BW650" i="1"/>
  <c r="BV650" i="1"/>
  <c r="BU650" i="1"/>
  <c r="BT650" i="1"/>
  <c r="BS650" i="1"/>
  <c r="BR650" i="1"/>
  <c r="BQ650" i="1"/>
  <c r="BP650" i="1"/>
  <c r="BO650" i="1"/>
  <c r="BN650" i="1"/>
  <c r="BM650" i="1"/>
  <c r="BL650" i="1"/>
  <c r="BK650" i="1"/>
  <c r="BJ650" i="1"/>
  <c r="BI650" i="1"/>
  <c r="BH650" i="1"/>
  <c r="BG650" i="1"/>
  <c r="CE649" i="1"/>
  <c r="CD649" i="1"/>
  <c r="CC649" i="1"/>
  <c r="CB649" i="1"/>
  <c r="CA649" i="1"/>
  <c r="BZ649" i="1"/>
  <c r="BY649" i="1"/>
  <c r="BX649" i="1"/>
  <c r="BW649" i="1"/>
  <c r="BV649" i="1"/>
  <c r="BU649" i="1"/>
  <c r="BT649" i="1"/>
  <c r="BS649" i="1"/>
  <c r="BR649" i="1"/>
  <c r="BQ649" i="1"/>
  <c r="BP649" i="1"/>
  <c r="BO649" i="1"/>
  <c r="BN649" i="1"/>
  <c r="BM649" i="1"/>
  <c r="BL649" i="1"/>
  <c r="BK649" i="1"/>
  <c r="BJ649" i="1"/>
  <c r="BI649" i="1"/>
  <c r="BH649" i="1"/>
  <c r="BG649" i="1"/>
  <c r="CE648" i="1"/>
  <c r="CD648" i="1"/>
  <c r="CC648" i="1"/>
  <c r="CB648" i="1"/>
  <c r="CA648" i="1"/>
  <c r="BZ648" i="1"/>
  <c r="BY648" i="1"/>
  <c r="BX648" i="1"/>
  <c r="BW648" i="1"/>
  <c r="BV648" i="1"/>
  <c r="BU648" i="1"/>
  <c r="BT648" i="1"/>
  <c r="BS648" i="1"/>
  <c r="BR648" i="1"/>
  <c r="BQ648" i="1"/>
  <c r="BP648" i="1"/>
  <c r="BO648" i="1"/>
  <c r="BN648" i="1"/>
  <c r="BM648" i="1"/>
  <c r="BL648" i="1"/>
  <c r="BK648" i="1"/>
  <c r="BJ648" i="1"/>
  <c r="BI648" i="1"/>
  <c r="BH648" i="1"/>
  <c r="BG648" i="1"/>
  <c r="CE647" i="1"/>
  <c r="CD647" i="1"/>
  <c r="CC647" i="1"/>
  <c r="CB647" i="1"/>
  <c r="CA647" i="1"/>
  <c r="BZ647" i="1"/>
  <c r="BY647" i="1"/>
  <c r="BX647" i="1"/>
  <c r="BW647" i="1"/>
  <c r="BV647" i="1"/>
  <c r="BU647" i="1"/>
  <c r="BT647" i="1"/>
  <c r="BS647" i="1"/>
  <c r="BR647" i="1"/>
  <c r="BQ647" i="1"/>
  <c r="BP647" i="1"/>
  <c r="BO647" i="1"/>
  <c r="BN647" i="1"/>
  <c r="BM647" i="1"/>
  <c r="BL647" i="1"/>
  <c r="BK647" i="1"/>
  <c r="BJ647" i="1"/>
  <c r="BI647" i="1"/>
  <c r="BH647" i="1"/>
  <c r="BG647" i="1"/>
  <c r="CE646" i="1"/>
  <c r="CD646" i="1"/>
  <c r="CC646" i="1"/>
  <c r="CB646" i="1"/>
  <c r="CA646" i="1"/>
  <c r="BZ646" i="1"/>
  <c r="BY646" i="1"/>
  <c r="BX646" i="1"/>
  <c r="BW646" i="1"/>
  <c r="BV646" i="1"/>
  <c r="BU646" i="1"/>
  <c r="BT646" i="1"/>
  <c r="BS646" i="1"/>
  <c r="BR646" i="1"/>
  <c r="BQ646" i="1"/>
  <c r="BP646" i="1"/>
  <c r="BO646" i="1"/>
  <c r="BN646" i="1"/>
  <c r="BM646" i="1"/>
  <c r="BL646" i="1"/>
  <c r="BK646" i="1"/>
  <c r="BJ646" i="1"/>
  <c r="BI646" i="1"/>
  <c r="BH646" i="1"/>
  <c r="BG646" i="1"/>
  <c r="CE645" i="1"/>
  <c r="CD645" i="1"/>
  <c r="CC645" i="1"/>
  <c r="CB645" i="1"/>
  <c r="CA645" i="1"/>
  <c r="BZ645" i="1"/>
  <c r="BY645" i="1"/>
  <c r="BX645" i="1"/>
  <c r="BW645" i="1"/>
  <c r="BV645" i="1"/>
  <c r="BU645" i="1"/>
  <c r="BT645" i="1"/>
  <c r="BS645" i="1"/>
  <c r="BR645" i="1"/>
  <c r="BQ645" i="1"/>
  <c r="BP645" i="1"/>
  <c r="BO645" i="1"/>
  <c r="BN645" i="1"/>
  <c r="BM645" i="1"/>
  <c r="BL645" i="1"/>
  <c r="BK645" i="1"/>
  <c r="BJ645" i="1"/>
  <c r="BI645" i="1"/>
  <c r="BH645" i="1"/>
  <c r="BG645" i="1"/>
  <c r="CE644" i="1"/>
  <c r="CD644" i="1"/>
  <c r="CC644" i="1"/>
  <c r="CB644" i="1"/>
  <c r="CA644" i="1"/>
  <c r="BZ644" i="1"/>
  <c r="BY644" i="1"/>
  <c r="BX644" i="1"/>
  <c r="BW644" i="1"/>
  <c r="BV644" i="1"/>
  <c r="BU644" i="1"/>
  <c r="BT644" i="1"/>
  <c r="BS644" i="1"/>
  <c r="BR644" i="1"/>
  <c r="BQ644" i="1"/>
  <c r="BP644" i="1"/>
  <c r="BO644" i="1"/>
  <c r="BN644" i="1"/>
  <c r="BM644" i="1"/>
  <c r="BL644" i="1"/>
  <c r="BK644" i="1"/>
  <c r="BJ644" i="1"/>
  <c r="BI644" i="1"/>
  <c r="BH644" i="1"/>
  <c r="BG644" i="1"/>
  <c r="CE643" i="1"/>
  <c r="CD643" i="1"/>
  <c r="CC643" i="1"/>
  <c r="CB643" i="1"/>
  <c r="CA643" i="1"/>
  <c r="BZ643" i="1"/>
  <c r="BY643" i="1"/>
  <c r="BX643" i="1"/>
  <c r="BW643" i="1"/>
  <c r="BV643" i="1"/>
  <c r="BU643" i="1"/>
  <c r="BT643" i="1"/>
  <c r="BS643" i="1"/>
  <c r="BR643" i="1"/>
  <c r="BQ643" i="1"/>
  <c r="BP643" i="1"/>
  <c r="BO643" i="1"/>
  <c r="BN643" i="1"/>
  <c r="BM643" i="1"/>
  <c r="BL643" i="1"/>
  <c r="BK643" i="1"/>
  <c r="BJ643" i="1"/>
  <c r="BI643" i="1"/>
  <c r="BH643" i="1"/>
  <c r="BG643" i="1"/>
  <c r="CE642" i="1"/>
  <c r="CD642" i="1"/>
  <c r="CC642" i="1"/>
  <c r="CB642" i="1"/>
  <c r="CA642" i="1"/>
  <c r="BZ642" i="1"/>
  <c r="BY642" i="1"/>
  <c r="BX642" i="1"/>
  <c r="BW642" i="1"/>
  <c r="BV642" i="1"/>
  <c r="BU642" i="1"/>
  <c r="BT642" i="1"/>
  <c r="BS642" i="1"/>
  <c r="BR642" i="1"/>
  <c r="BQ642" i="1"/>
  <c r="BP642" i="1"/>
  <c r="BO642" i="1"/>
  <c r="BN642" i="1"/>
  <c r="BM642" i="1"/>
  <c r="BL642" i="1"/>
  <c r="BK642" i="1"/>
  <c r="BJ642" i="1"/>
  <c r="BI642" i="1"/>
  <c r="BH642" i="1"/>
  <c r="BG642" i="1"/>
  <c r="CE641" i="1"/>
  <c r="CD641" i="1"/>
  <c r="CC641" i="1"/>
  <c r="CB641" i="1"/>
  <c r="CA641" i="1"/>
  <c r="BZ641" i="1"/>
  <c r="BY641" i="1"/>
  <c r="BX641" i="1"/>
  <c r="BW641" i="1"/>
  <c r="BV641" i="1"/>
  <c r="BU641" i="1"/>
  <c r="BT641" i="1"/>
  <c r="BS641" i="1"/>
  <c r="BR641" i="1"/>
  <c r="BQ641" i="1"/>
  <c r="BP641" i="1"/>
  <c r="BO641" i="1"/>
  <c r="BN641" i="1"/>
  <c r="BM641" i="1"/>
  <c r="BL641" i="1"/>
  <c r="BK641" i="1"/>
  <c r="BJ641" i="1"/>
  <c r="BI641" i="1"/>
  <c r="BH641" i="1"/>
  <c r="BG641" i="1"/>
  <c r="CE640" i="1"/>
  <c r="CD640" i="1"/>
  <c r="CC640" i="1"/>
  <c r="CB640" i="1"/>
  <c r="CA640" i="1"/>
  <c r="BZ640" i="1"/>
  <c r="BY640" i="1"/>
  <c r="BX640" i="1"/>
  <c r="BW640" i="1"/>
  <c r="BV640" i="1"/>
  <c r="BU640" i="1"/>
  <c r="BT640" i="1"/>
  <c r="BS640" i="1"/>
  <c r="BR640" i="1"/>
  <c r="BQ640" i="1"/>
  <c r="BP640" i="1"/>
  <c r="BO640" i="1"/>
  <c r="BN640" i="1"/>
  <c r="BM640" i="1"/>
  <c r="BL640" i="1"/>
  <c r="BK640" i="1"/>
  <c r="BJ640" i="1"/>
  <c r="BI640" i="1"/>
  <c r="BH640" i="1"/>
  <c r="BG640" i="1"/>
  <c r="CE639" i="1"/>
  <c r="CD639" i="1"/>
  <c r="CC639" i="1"/>
  <c r="CB639" i="1"/>
  <c r="CA639" i="1"/>
  <c r="BZ639" i="1"/>
  <c r="BY639" i="1"/>
  <c r="BX639" i="1"/>
  <c r="BW639" i="1"/>
  <c r="BV639" i="1"/>
  <c r="BU639" i="1"/>
  <c r="BT639" i="1"/>
  <c r="BS639" i="1"/>
  <c r="BR639" i="1"/>
  <c r="BQ639" i="1"/>
  <c r="BP639" i="1"/>
  <c r="BO639" i="1"/>
  <c r="BN639" i="1"/>
  <c r="BM639" i="1"/>
  <c r="BL639" i="1"/>
  <c r="BK639" i="1"/>
  <c r="BJ639" i="1"/>
  <c r="BI639" i="1"/>
  <c r="BH639" i="1"/>
  <c r="BG639" i="1"/>
  <c r="CE638" i="1"/>
  <c r="CD638" i="1"/>
  <c r="CC638" i="1"/>
  <c r="CB638" i="1"/>
  <c r="CA638" i="1"/>
  <c r="BZ638" i="1"/>
  <c r="BY638" i="1"/>
  <c r="BX638" i="1"/>
  <c r="BW638" i="1"/>
  <c r="BV638" i="1"/>
  <c r="BU638" i="1"/>
  <c r="BT638" i="1"/>
  <c r="BS638" i="1"/>
  <c r="BR638" i="1"/>
  <c r="BQ638" i="1"/>
  <c r="BP638" i="1"/>
  <c r="BO638" i="1"/>
  <c r="BN638" i="1"/>
  <c r="BM638" i="1"/>
  <c r="BL638" i="1"/>
  <c r="BK638" i="1"/>
  <c r="BJ638" i="1"/>
  <c r="BI638" i="1"/>
  <c r="BH638" i="1"/>
  <c r="BG638" i="1"/>
  <c r="CE637" i="1"/>
  <c r="CD637" i="1"/>
  <c r="CC637" i="1"/>
  <c r="CB637" i="1"/>
  <c r="CA637" i="1"/>
  <c r="BZ637" i="1"/>
  <c r="BY637" i="1"/>
  <c r="BX637" i="1"/>
  <c r="BW637" i="1"/>
  <c r="BV637" i="1"/>
  <c r="BU637" i="1"/>
  <c r="BT637" i="1"/>
  <c r="BS637" i="1"/>
  <c r="BR637" i="1"/>
  <c r="BQ637" i="1"/>
  <c r="BP637" i="1"/>
  <c r="BO637" i="1"/>
  <c r="BN637" i="1"/>
  <c r="BM637" i="1"/>
  <c r="BL637" i="1"/>
  <c r="BK637" i="1"/>
  <c r="BJ637" i="1"/>
  <c r="BI637" i="1"/>
  <c r="BH637" i="1"/>
  <c r="BG637" i="1"/>
  <c r="CE636" i="1"/>
  <c r="CD636" i="1"/>
  <c r="CC636" i="1"/>
  <c r="CB636" i="1"/>
  <c r="CA636" i="1"/>
  <c r="BZ636" i="1"/>
  <c r="BY636" i="1"/>
  <c r="BX636" i="1"/>
  <c r="BW636" i="1"/>
  <c r="BV636" i="1"/>
  <c r="BU636" i="1"/>
  <c r="BT636" i="1"/>
  <c r="BS636" i="1"/>
  <c r="BR636" i="1"/>
  <c r="BQ636" i="1"/>
  <c r="BP636" i="1"/>
  <c r="BO636" i="1"/>
  <c r="BN636" i="1"/>
  <c r="BM636" i="1"/>
  <c r="BL636" i="1"/>
  <c r="BK636" i="1"/>
  <c r="BJ636" i="1"/>
  <c r="BI636" i="1"/>
  <c r="BH636" i="1"/>
  <c r="BG636" i="1"/>
  <c r="CE635" i="1"/>
  <c r="CD635" i="1"/>
  <c r="CC635" i="1"/>
  <c r="CB635" i="1"/>
  <c r="CA635" i="1"/>
  <c r="BZ635" i="1"/>
  <c r="BY635" i="1"/>
  <c r="BX635" i="1"/>
  <c r="BW635" i="1"/>
  <c r="BV635" i="1"/>
  <c r="BU635" i="1"/>
  <c r="BT635" i="1"/>
  <c r="BS635" i="1"/>
  <c r="BR635" i="1"/>
  <c r="BQ635" i="1"/>
  <c r="BP635" i="1"/>
  <c r="BO635" i="1"/>
  <c r="BN635" i="1"/>
  <c r="BM635" i="1"/>
  <c r="BL635" i="1"/>
  <c r="BK635" i="1"/>
  <c r="BJ635" i="1"/>
  <c r="BI635" i="1"/>
  <c r="BH635" i="1"/>
  <c r="BG635" i="1"/>
  <c r="CE634" i="1"/>
  <c r="CD634" i="1"/>
  <c r="CC634" i="1"/>
  <c r="CB634" i="1"/>
  <c r="CA634" i="1"/>
  <c r="BZ634" i="1"/>
  <c r="BY634" i="1"/>
  <c r="BX634" i="1"/>
  <c r="BW634" i="1"/>
  <c r="BV634" i="1"/>
  <c r="BU634" i="1"/>
  <c r="BT634" i="1"/>
  <c r="BS634" i="1"/>
  <c r="BR634" i="1"/>
  <c r="BQ634" i="1"/>
  <c r="BP634" i="1"/>
  <c r="BO634" i="1"/>
  <c r="BN634" i="1"/>
  <c r="BM634" i="1"/>
  <c r="BL634" i="1"/>
  <c r="BK634" i="1"/>
  <c r="BJ634" i="1"/>
  <c r="BI634" i="1"/>
  <c r="BH634" i="1"/>
  <c r="BG634" i="1"/>
  <c r="CE633" i="1"/>
  <c r="CD633" i="1"/>
  <c r="CC633" i="1"/>
  <c r="CB633" i="1"/>
  <c r="CA633" i="1"/>
  <c r="BZ633" i="1"/>
  <c r="BY633" i="1"/>
  <c r="BX633" i="1"/>
  <c r="BW633" i="1"/>
  <c r="BV633" i="1"/>
  <c r="BU633" i="1"/>
  <c r="BT633" i="1"/>
  <c r="BS633" i="1"/>
  <c r="BR633" i="1"/>
  <c r="BQ633" i="1"/>
  <c r="BP633" i="1"/>
  <c r="BO633" i="1"/>
  <c r="BN633" i="1"/>
  <c r="BM633" i="1"/>
  <c r="BL633" i="1"/>
  <c r="BK633" i="1"/>
  <c r="BJ633" i="1"/>
  <c r="BI633" i="1"/>
  <c r="BH633" i="1"/>
  <c r="BG633" i="1"/>
  <c r="CE632" i="1"/>
  <c r="CD632" i="1"/>
  <c r="CC632" i="1"/>
  <c r="CB632" i="1"/>
  <c r="CA632" i="1"/>
  <c r="BZ632" i="1"/>
  <c r="BY632" i="1"/>
  <c r="BX632" i="1"/>
  <c r="BW632" i="1"/>
  <c r="BV632" i="1"/>
  <c r="BU632" i="1"/>
  <c r="BT632" i="1"/>
  <c r="BS632" i="1"/>
  <c r="BR632" i="1"/>
  <c r="BQ632" i="1"/>
  <c r="BP632" i="1"/>
  <c r="BO632" i="1"/>
  <c r="BN632" i="1"/>
  <c r="BM632" i="1"/>
  <c r="BL632" i="1"/>
  <c r="BK632" i="1"/>
  <c r="BJ632" i="1"/>
  <c r="BI632" i="1"/>
  <c r="BH632" i="1"/>
  <c r="BG632" i="1"/>
  <c r="CE631" i="1"/>
  <c r="CD631" i="1"/>
  <c r="CC631" i="1"/>
  <c r="CB631" i="1"/>
  <c r="CA631" i="1"/>
  <c r="BZ631" i="1"/>
  <c r="BY631" i="1"/>
  <c r="BX631" i="1"/>
  <c r="BW631" i="1"/>
  <c r="BV631" i="1"/>
  <c r="BU631" i="1"/>
  <c r="BT631" i="1"/>
  <c r="BS631" i="1"/>
  <c r="BR631" i="1"/>
  <c r="BQ631" i="1"/>
  <c r="BP631" i="1"/>
  <c r="BO631" i="1"/>
  <c r="BN631" i="1"/>
  <c r="BM631" i="1"/>
  <c r="BL631" i="1"/>
  <c r="BK631" i="1"/>
  <c r="BJ631" i="1"/>
  <c r="BI631" i="1"/>
  <c r="BH631" i="1"/>
  <c r="BG631" i="1"/>
  <c r="CE630" i="1"/>
  <c r="CD630" i="1"/>
  <c r="CC630" i="1"/>
  <c r="CB630" i="1"/>
  <c r="CA630" i="1"/>
  <c r="BZ630" i="1"/>
  <c r="BY630" i="1"/>
  <c r="BX630" i="1"/>
  <c r="BW630" i="1"/>
  <c r="BV630" i="1"/>
  <c r="BU630" i="1"/>
  <c r="BT630" i="1"/>
  <c r="BS630" i="1"/>
  <c r="BR630" i="1"/>
  <c r="BQ630" i="1"/>
  <c r="BP630" i="1"/>
  <c r="BO630" i="1"/>
  <c r="BN630" i="1"/>
  <c r="BM630" i="1"/>
  <c r="BL630" i="1"/>
  <c r="BK630" i="1"/>
  <c r="BJ630" i="1"/>
  <c r="BI630" i="1"/>
  <c r="BH630" i="1"/>
  <c r="BG630" i="1"/>
  <c r="CE629" i="1"/>
  <c r="CD629" i="1"/>
  <c r="CC629" i="1"/>
  <c r="CB629" i="1"/>
  <c r="CA629" i="1"/>
  <c r="BZ629" i="1"/>
  <c r="BY629" i="1"/>
  <c r="BX629" i="1"/>
  <c r="BW629" i="1"/>
  <c r="BV629" i="1"/>
  <c r="BU629" i="1"/>
  <c r="BT629" i="1"/>
  <c r="BS629" i="1"/>
  <c r="BR629" i="1"/>
  <c r="BQ629" i="1"/>
  <c r="BP629" i="1"/>
  <c r="BO629" i="1"/>
  <c r="BN629" i="1"/>
  <c r="BM629" i="1"/>
  <c r="BL629" i="1"/>
  <c r="BK629" i="1"/>
  <c r="BJ629" i="1"/>
  <c r="BI629" i="1"/>
  <c r="BH629" i="1"/>
  <c r="BG629" i="1"/>
  <c r="CE628" i="1"/>
  <c r="CD628" i="1"/>
  <c r="CC628" i="1"/>
  <c r="CB628" i="1"/>
  <c r="CA628" i="1"/>
  <c r="BZ628" i="1"/>
  <c r="BY628" i="1"/>
  <c r="BX628" i="1"/>
  <c r="BW628" i="1"/>
  <c r="BV628" i="1"/>
  <c r="BU628" i="1"/>
  <c r="BT628" i="1"/>
  <c r="BS628" i="1"/>
  <c r="BR628" i="1"/>
  <c r="BQ628" i="1"/>
  <c r="BP628" i="1"/>
  <c r="BO628" i="1"/>
  <c r="BN628" i="1"/>
  <c r="BM628" i="1"/>
  <c r="BL628" i="1"/>
  <c r="BK628" i="1"/>
  <c r="BJ628" i="1"/>
  <c r="BI628" i="1"/>
  <c r="BH628" i="1"/>
  <c r="BG628" i="1"/>
  <c r="CE627" i="1"/>
  <c r="CD627" i="1"/>
  <c r="CC627" i="1"/>
  <c r="CB627" i="1"/>
  <c r="CA627" i="1"/>
  <c r="BZ627" i="1"/>
  <c r="BY627" i="1"/>
  <c r="BX627" i="1"/>
  <c r="BW627" i="1"/>
  <c r="BV627" i="1"/>
  <c r="BU627" i="1"/>
  <c r="BT627" i="1"/>
  <c r="BS627" i="1"/>
  <c r="BR627" i="1"/>
  <c r="BQ627" i="1"/>
  <c r="BP627" i="1"/>
  <c r="BO627" i="1"/>
  <c r="BN627" i="1"/>
  <c r="BM627" i="1"/>
  <c r="BL627" i="1"/>
  <c r="BK627" i="1"/>
  <c r="BJ627" i="1"/>
  <c r="BI627" i="1"/>
  <c r="BH627" i="1"/>
  <c r="BG627" i="1"/>
  <c r="CE626" i="1"/>
  <c r="CD626" i="1"/>
  <c r="CC626" i="1"/>
  <c r="CB626" i="1"/>
  <c r="CA626" i="1"/>
  <c r="BZ626" i="1"/>
  <c r="BY626" i="1"/>
  <c r="BX626" i="1"/>
  <c r="BW626" i="1"/>
  <c r="BV626" i="1"/>
  <c r="BU626" i="1"/>
  <c r="BT626" i="1"/>
  <c r="BS626" i="1"/>
  <c r="BR626" i="1"/>
  <c r="BQ626" i="1"/>
  <c r="BP626" i="1"/>
  <c r="BO626" i="1"/>
  <c r="BN626" i="1"/>
  <c r="BM626" i="1"/>
  <c r="BL626" i="1"/>
  <c r="BK626" i="1"/>
  <c r="BJ626" i="1"/>
  <c r="BI626" i="1"/>
  <c r="BH626" i="1"/>
  <c r="BG626" i="1"/>
  <c r="CE625" i="1"/>
  <c r="CD625" i="1"/>
  <c r="CC625" i="1"/>
  <c r="CB625" i="1"/>
  <c r="CA625" i="1"/>
  <c r="BZ625" i="1"/>
  <c r="BY625" i="1"/>
  <c r="BX625" i="1"/>
  <c r="BW625" i="1"/>
  <c r="BV625" i="1"/>
  <c r="BU625" i="1"/>
  <c r="BT625" i="1"/>
  <c r="BS625" i="1"/>
  <c r="BR625" i="1"/>
  <c r="BQ625" i="1"/>
  <c r="BP625" i="1"/>
  <c r="BO625" i="1"/>
  <c r="BN625" i="1"/>
  <c r="BM625" i="1"/>
  <c r="BL625" i="1"/>
  <c r="BK625" i="1"/>
  <c r="BJ625" i="1"/>
  <c r="BI625" i="1"/>
  <c r="BH625" i="1"/>
  <c r="BG625" i="1"/>
  <c r="CE624" i="1"/>
  <c r="CD624" i="1"/>
  <c r="CC624" i="1"/>
  <c r="CB624" i="1"/>
  <c r="CA624" i="1"/>
  <c r="BZ624" i="1"/>
  <c r="BY624" i="1"/>
  <c r="BX624" i="1"/>
  <c r="BW624" i="1"/>
  <c r="BV624" i="1"/>
  <c r="BU624" i="1"/>
  <c r="BT624" i="1"/>
  <c r="BS624" i="1"/>
  <c r="BR624" i="1"/>
  <c r="BQ624" i="1"/>
  <c r="BP624" i="1"/>
  <c r="BO624" i="1"/>
  <c r="BN624" i="1"/>
  <c r="BM624" i="1"/>
  <c r="BL624" i="1"/>
  <c r="BK624" i="1"/>
  <c r="BJ624" i="1"/>
  <c r="BI624" i="1"/>
  <c r="BH624" i="1"/>
  <c r="BG624" i="1"/>
  <c r="CE623" i="1"/>
  <c r="CD623" i="1"/>
  <c r="CC623" i="1"/>
  <c r="CB623" i="1"/>
  <c r="CA623" i="1"/>
  <c r="BZ623" i="1"/>
  <c r="BY623" i="1"/>
  <c r="BX623" i="1"/>
  <c r="BW623" i="1"/>
  <c r="BV623" i="1"/>
  <c r="BU623" i="1"/>
  <c r="BT623" i="1"/>
  <c r="BS623" i="1"/>
  <c r="BR623" i="1"/>
  <c r="BQ623" i="1"/>
  <c r="BP623" i="1"/>
  <c r="BO623" i="1"/>
  <c r="BN623" i="1"/>
  <c r="BM623" i="1"/>
  <c r="BL623" i="1"/>
  <c r="BK623" i="1"/>
  <c r="BJ623" i="1"/>
  <c r="BI623" i="1"/>
  <c r="BH623" i="1"/>
  <c r="BG623" i="1"/>
  <c r="CE622" i="1"/>
  <c r="CD622" i="1"/>
  <c r="CC622" i="1"/>
  <c r="CB622" i="1"/>
  <c r="CA622" i="1"/>
  <c r="BZ622" i="1"/>
  <c r="BY622" i="1"/>
  <c r="BX622" i="1"/>
  <c r="BW622" i="1"/>
  <c r="BV622" i="1"/>
  <c r="BU622" i="1"/>
  <c r="BT622" i="1"/>
  <c r="BS622" i="1"/>
  <c r="BR622" i="1"/>
  <c r="BQ622" i="1"/>
  <c r="BP622" i="1"/>
  <c r="BO622" i="1"/>
  <c r="BN622" i="1"/>
  <c r="BM622" i="1"/>
  <c r="BL622" i="1"/>
  <c r="BK622" i="1"/>
  <c r="BJ622" i="1"/>
  <c r="BI622" i="1"/>
  <c r="BH622" i="1"/>
  <c r="BG622" i="1"/>
  <c r="CE621" i="1"/>
  <c r="CD621" i="1"/>
  <c r="CC621" i="1"/>
  <c r="CB621" i="1"/>
  <c r="CA621" i="1"/>
  <c r="BZ621" i="1"/>
  <c r="BY621" i="1"/>
  <c r="BX621" i="1"/>
  <c r="BW621" i="1"/>
  <c r="BV621" i="1"/>
  <c r="BU621" i="1"/>
  <c r="BT621" i="1"/>
  <c r="BS621" i="1"/>
  <c r="BR621" i="1"/>
  <c r="BQ621" i="1"/>
  <c r="BP621" i="1"/>
  <c r="BO621" i="1"/>
  <c r="BN621" i="1"/>
  <c r="BM621" i="1"/>
  <c r="BL621" i="1"/>
  <c r="BK621" i="1"/>
  <c r="BJ621" i="1"/>
  <c r="BI621" i="1"/>
  <c r="BH621" i="1"/>
  <c r="BG621" i="1"/>
  <c r="CE620" i="1"/>
  <c r="CD620" i="1"/>
  <c r="CC620" i="1"/>
  <c r="CB620" i="1"/>
  <c r="CA620" i="1"/>
  <c r="BZ620" i="1"/>
  <c r="BY620" i="1"/>
  <c r="BX620" i="1"/>
  <c r="BW620" i="1"/>
  <c r="BV620" i="1"/>
  <c r="BU620" i="1"/>
  <c r="BT620" i="1"/>
  <c r="BS620" i="1"/>
  <c r="BR620" i="1"/>
  <c r="BQ620" i="1"/>
  <c r="BP620" i="1"/>
  <c r="BO620" i="1"/>
  <c r="BN620" i="1"/>
  <c r="BM620" i="1"/>
  <c r="BL620" i="1"/>
  <c r="BK620" i="1"/>
  <c r="BJ620" i="1"/>
  <c r="BI620" i="1"/>
  <c r="BH620" i="1"/>
  <c r="BG620" i="1"/>
  <c r="CE619" i="1"/>
  <c r="CD619" i="1"/>
  <c r="CC619" i="1"/>
  <c r="CB619" i="1"/>
  <c r="CA619" i="1"/>
  <c r="BZ619" i="1"/>
  <c r="BY619" i="1"/>
  <c r="BX619" i="1"/>
  <c r="BW619" i="1"/>
  <c r="BV619" i="1"/>
  <c r="BU619" i="1"/>
  <c r="BT619" i="1"/>
  <c r="BS619" i="1"/>
  <c r="BR619" i="1"/>
  <c r="BQ619" i="1"/>
  <c r="BP619" i="1"/>
  <c r="BO619" i="1"/>
  <c r="BN619" i="1"/>
  <c r="BM619" i="1"/>
  <c r="BL619" i="1"/>
  <c r="BK619" i="1"/>
  <c r="BJ619" i="1"/>
  <c r="BI619" i="1"/>
  <c r="BH619" i="1"/>
  <c r="BG619" i="1"/>
  <c r="CE618" i="1"/>
  <c r="CD618" i="1"/>
  <c r="CC618" i="1"/>
  <c r="CB618" i="1"/>
  <c r="CA618" i="1"/>
  <c r="BZ618" i="1"/>
  <c r="BY618" i="1"/>
  <c r="BX618" i="1"/>
  <c r="BW618" i="1"/>
  <c r="BV618" i="1"/>
  <c r="BU618" i="1"/>
  <c r="BT618" i="1"/>
  <c r="BS618" i="1"/>
  <c r="BR618" i="1"/>
  <c r="BQ618" i="1"/>
  <c r="BP618" i="1"/>
  <c r="BO618" i="1"/>
  <c r="BN618" i="1"/>
  <c r="BM618" i="1"/>
  <c r="BL618" i="1"/>
  <c r="BK618" i="1"/>
  <c r="BJ618" i="1"/>
  <c r="BI618" i="1"/>
  <c r="BH618" i="1"/>
  <c r="BG618" i="1"/>
  <c r="CE617" i="1"/>
  <c r="CD617" i="1"/>
  <c r="CC617" i="1"/>
  <c r="CB617" i="1"/>
  <c r="CA617" i="1"/>
  <c r="BZ617" i="1"/>
  <c r="BY617" i="1"/>
  <c r="BX617" i="1"/>
  <c r="BW617" i="1"/>
  <c r="BV617" i="1"/>
  <c r="BU617" i="1"/>
  <c r="BT617" i="1"/>
  <c r="BS617" i="1"/>
  <c r="BR617" i="1"/>
  <c r="BQ617" i="1"/>
  <c r="BP617" i="1"/>
  <c r="BO617" i="1"/>
  <c r="BN617" i="1"/>
  <c r="BM617" i="1"/>
  <c r="BL617" i="1"/>
  <c r="BK617" i="1"/>
  <c r="BJ617" i="1"/>
  <c r="BI617" i="1"/>
  <c r="BH617" i="1"/>
  <c r="BG617" i="1"/>
  <c r="CE616" i="1"/>
  <c r="CD616" i="1"/>
  <c r="CC616" i="1"/>
  <c r="CB616" i="1"/>
  <c r="CA616" i="1"/>
  <c r="BZ616" i="1"/>
  <c r="BY616" i="1"/>
  <c r="BX616" i="1"/>
  <c r="BW616" i="1"/>
  <c r="BV616" i="1"/>
  <c r="BU616" i="1"/>
  <c r="BT616" i="1"/>
  <c r="BS616" i="1"/>
  <c r="BR616" i="1"/>
  <c r="BQ616" i="1"/>
  <c r="BP616" i="1"/>
  <c r="BO616" i="1"/>
  <c r="BN616" i="1"/>
  <c r="BM616" i="1"/>
  <c r="BL616" i="1"/>
  <c r="BK616" i="1"/>
  <c r="BJ616" i="1"/>
  <c r="BI616" i="1"/>
  <c r="BH616" i="1"/>
  <c r="BG616" i="1"/>
  <c r="CE615" i="1"/>
  <c r="CD615" i="1"/>
  <c r="CC615" i="1"/>
  <c r="CB615" i="1"/>
  <c r="CA615" i="1"/>
  <c r="BZ615" i="1"/>
  <c r="BY615" i="1"/>
  <c r="BX615" i="1"/>
  <c r="BW615" i="1"/>
  <c r="BV615" i="1"/>
  <c r="BU615" i="1"/>
  <c r="BT615" i="1"/>
  <c r="BS615" i="1"/>
  <c r="BR615" i="1"/>
  <c r="BQ615" i="1"/>
  <c r="BP615" i="1"/>
  <c r="BO615" i="1"/>
  <c r="BN615" i="1"/>
  <c r="BM615" i="1"/>
  <c r="BL615" i="1"/>
  <c r="BK615" i="1"/>
  <c r="BJ615" i="1"/>
  <c r="BI615" i="1"/>
  <c r="BH615" i="1"/>
  <c r="BG615" i="1"/>
  <c r="CE614" i="1"/>
  <c r="CD614" i="1"/>
  <c r="CC614" i="1"/>
  <c r="CB614" i="1"/>
  <c r="CA614" i="1"/>
  <c r="BZ614" i="1"/>
  <c r="BY614" i="1"/>
  <c r="BX614" i="1"/>
  <c r="BW614" i="1"/>
  <c r="BV614" i="1"/>
  <c r="BU614" i="1"/>
  <c r="BT614" i="1"/>
  <c r="BS614" i="1"/>
  <c r="BR614" i="1"/>
  <c r="BQ614" i="1"/>
  <c r="BP614" i="1"/>
  <c r="BO614" i="1"/>
  <c r="BN614" i="1"/>
  <c r="BM614" i="1"/>
  <c r="BL614" i="1"/>
  <c r="BK614" i="1"/>
  <c r="BJ614" i="1"/>
  <c r="BI614" i="1"/>
  <c r="BH614" i="1"/>
  <c r="BG614" i="1"/>
  <c r="CE613" i="1"/>
  <c r="CD613" i="1"/>
  <c r="CC613" i="1"/>
  <c r="CB613" i="1"/>
  <c r="CA613" i="1"/>
  <c r="BZ613" i="1"/>
  <c r="BY613" i="1"/>
  <c r="BX613" i="1"/>
  <c r="BW613" i="1"/>
  <c r="BV613" i="1"/>
  <c r="BU613" i="1"/>
  <c r="BT613" i="1"/>
  <c r="BS613" i="1"/>
  <c r="BR613" i="1"/>
  <c r="BQ613" i="1"/>
  <c r="BP613" i="1"/>
  <c r="BO613" i="1"/>
  <c r="BN613" i="1"/>
  <c r="BM613" i="1"/>
  <c r="BL613" i="1"/>
  <c r="BK613" i="1"/>
  <c r="BJ613" i="1"/>
  <c r="BI613" i="1"/>
  <c r="BH613" i="1"/>
  <c r="BG613" i="1"/>
  <c r="CE612" i="1"/>
  <c r="CD612" i="1"/>
  <c r="CC612" i="1"/>
  <c r="CB612" i="1"/>
  <c r="CA612" i="1"/>
  <c r="BZ612" i="1"/>
  <c r="BY612" i="1"/>
  <c r="BX612" i="1"/>
  <c r="BW612" i="1"/>
  <c r="BV612" i="1"/>
  <c r="BU612" i="1"/>
  <c r="BT612" i="1"/>
  <c r="BS612" i="1"/>
  <c r="BR612" i="1"/>
  <c r="BQ612" i="1"/>
  <c r="BP612" i="1"/>
  <c r="BO612" i="1"/>
  <c r="BN612" i="1"/>
  <c r="BM612" i="1"/>
  <c r="BL612" i="1"/>
  <c r="BK612" i="1"/>
  <c r="BJ612" i="1"/>
  <c r="BI612" i="1"/>
  <c r="BH612" i="1"/>
  <c r="BG612" i="1"/>
  <c r="CE611" i="1"/>
  <c r="CD611" i="1"/>
  <c r="CC611" i="1"/>
  <c r="CB611" i="1"/>
  <c r="CA611" i="1"/>
  <c r="BZ611" i="1"/>
  <c r="BY611" i="1"/>
  <c r="BX611" i="1"/>
  <c r="BW611" i="1"/>
  <c r="BV611" i="1"/>
  <c r="BU611" i="1"/>
  <c r="BT611" i="1"/>
  <c r="BS611" i="1"/>
  <c r="BR611" i="1"/>
  <c r="BQ611" i="1"/>
  <c r="BP611" i="1"/>
  <c r="BO611" i="1"/>
  <c r="BN611" i="1"/>
  <c r="BM611" i="1"/>
  <c r="BL611" i="1"/>
  <c r="BK611" i="1"/>
  <c r="BJ611" i="1"/>
  <c r="BI611" i="1"/>
  <c r="BH611" i="1"/>
  <c r="BG611" i="1"/>
  <c r="CE610" i="1"/>
  <c r="CD610" i="1"/>
  <c r="CC610" i="1"/>
  <c r="CB610" i="1"/>
  <c r="CA610" i="1"/>
  <c r="BZ610" i="1"/>
  <c r="BY610" i="1"/>
  <c r="BX610" i="1"/>
  <c r="BW610" i="1"/>
  <c r="BV610" i="1"/>
  <c r="BU610" i="1"/>
  <c r="BT610" i="1"/>
  <c r="BS610" i="1"/>
  <c r="BR610" i="1"/>
  <c r="BQ610" i="1"/>
  <c r="BP610" i="1"/>
  <c r="BO610" i="1"/>
  <c r="BN610" i="1"/>
  <c r="BM610" i="1"/>
  <c r="BL610" i="1"/>
  <c r="BK610" i="1"/>
  <c r="BJ610" i="1"/>
  <c r="BI610" i="1"/>
  <c r="BH610" i="1"/>
  <c r="BG610" i="1"/>
  <c r="CE609" i="1"/>
  <c r="CD609" i="1"/>
  <c r="CC609" i="1"/>
  <c r="CB609" i="1"/>
  <c r="CA609" i="1"/>
  <c r="BZ609" i="1"/>
  <c r="BY609" i="1"/>
  <c r="BX609" i="1"/>
  <c r="BW609" i="1"/>
  <c r="BV609" i="1"/>
  <c r="BU609" i="1"/>
  <c r="BT609" i="1"/>
  <c r="BS609" i="1"/>
  <c r="BR609" i="1"/>
  <c r="BQ609" i="1"/>
  <c r="BP609" i="1"/>
  <c r="BO609" i="1"/>
  <c r="BN609" i="1"/>
  <c r="BM609" i="1"/>
  <c r="BL609" i="1"/>
  <c r="BK609" i="1"/>
  <c r="BJ609" i="1"/>
  <c r="BI609" i="1"/>
  <c r="BH609" i="1"/>
  <c r="BG609" i="1"/>
  <c r="CE608" i="1"/>
  <c r="CD608" i="1"/>
  <c r="CC608" i="1"/>
  <c r="CB608" i="1"/>
  <c r="CA608" i="1"/>
  <c r="BZ608" i="1"/>
  <c r="BY608" i="1"/>
  <c r="BX608" i="1"/>
  <c r="BW608" i="1"/>
  <c r="BV608" i="1"/>
  <c r="BU608" i="1"/>
  <c r="BT608" i="1"/>
  <c r="BS608" i="1"/>
  <c r="BR608" i="1"/>
  <c r="BQ608" i="1"/>
  <c r="BP608" i="1"/>
  <c r="BO608" i="1"/>
  <c r="BN608" i="1"/>
  <c r="BM608" i="1"/>
  <c r="BL608" i="1"/>
  <c r="BK608" i="1"/>
  <c r="BJ608" i="1"/>
  <c r="BI608" i="1"/>
  <c r="BH608" i="1"/>
  <c r="BG608" i="1"/>
  <c r="CE607" i="1"/>
  <c r="CD607" i="1"/>
  <c r="CC607" i="1"/>
  <c r="CB607" i="1"/>
  <c r="CA607" i="1"/>
  <c r="BZ607" i="1"/>
  <c r="BY607" i="1"/>
  <c r="BX607" i="1"/>
  <c r="BW607" i="1"/>
  <c r="BV607" i="1"/>
  <c r="BU607" i="1"/>
  <c r="BT607" i="1"/>
  <c r="BS607" i="1"/>
  <c r="BR607" i="1"/>
  <c r="BQ607" i="1"/>
  <c r="BP607" i="1"/>
  <c r="BO607" i="1"/>
  <c r="BN607" i="1"/>
  <c r="BM607" i="1"/>
  <c r="BL607" i="1"/>
  <c r="BK607" i="1"/>
  <c r="BJ607" i="1"/>
  <c r="BI607" i="1"/>
  <c r="BH607" i="1"/>
  <c r="BG607" i="1"/>
  <c r="CE606" i="1"/>
  <c r="CD606" i="1"/>
  <c r="CC606" i="1"/>
  <c r="CB606" i="1"/>
  <c r="CA606" i="1"/>
  <c r="BZ606" i="1"/>
  <c r="BY606" i="1"/>
  <c r="BX606" i="1"/>
  <c r="BW606" i="1"/>
  <c r="BV606" i="1"/>
  <c r="BU606" i="1"/>
  <c r="BT606" i="1"/>
  <c r="BS606" i="1"/>
  <c r="BR606" i="1"/>
  <c r="BQ606" i="1"/>
  <c r="BP606" i="1"/>
  <c r="BO606" i="1"/>
  <c r="BN606" i="1"/>
  <c r="BM606" i="1"/>
  <c r="BL606" i="1"/>
  <c r="BK606" i="1"/>
  <c r="BJ606" i="1"/>
  <c r="BI606" i="1"/>
  <c r="BH606" i="1"/>
  <c r="BG606" i="1"/>
  <c r="CE605" i="1"/>
  <c r="CD605" i="1"/>
  <c r="CC605" i="1"/>
  <c r="CB605" i="1"/>
  <c r="CA605" i="1"/>
  <c r="BZ605" i="1"/>
  <c r="BY605" i="1"/>
  <c r="BX605" i="1"/>
  <c r="BW605" i="1"/>
  <c r="BV605" i="1"/>
  <c r="BU605" i="1"/>
  <c r="BT605" i="1"/>
  <c r="BS605" i="1"/>
  <c r="BR605" i="1"/>
  <c r="BQ605" i="1"/>
  <c r="BP605" i="1"/>
  <c r="BO605" i="1"/>
  <c r="BN605" i="1"/>
  <c r="BM605" i="1"/>
  <c r="BL605" i="1"/>
  <c r="BK605" i="1"/>
  <c r="BJ605" i="1"/>
  <c r="BI605" i="1"/>
  <c r="BH605" i="1"/>
  <c r="BG605" i="1"/>
  <c r="CE604" i="1"/>
  <c r="CD604" i="1"/>
  <c r="CC604" i="1"/>
  <c r="CB604" i="1"/>
  <c r="CA604" i="1"/>
  <c r="BZ604" i="1"/>
  <c r="BY604" i="1"/>
  <c r="BX604" i="1"/>
  <c r="BW604" i="1"/>
  <c r="BV604" i="1"/>
  <c r="BU604" i="1"/>
  <c r="BT604" i="1"/>
  <c r="BS604" i="1"/>
  <c r="BR604" i="1"/>
  <c r="BQ604" i="1"/>
  <c r="BP604" i="1"/>
  <c r="BO604" i="1"/>
  <c r="BN604" i="1"/>
  <c r="BM604" i="1"/>
  <c r="BL604" i="1"/>
  <c r="BK604" i="1"/>
  <c r="BJ604" i="1"/>
  <c r="BI604" i="1"/>
  <c r="BH604" i="1"/>
  <c r="BG604" i="1"/>
  <c r="CE603" i="1"/>
  <c r="CD603" i="1"/>
  <c r="CC603" i="1"/>
  <c r="CB603" i="1"/>
  <c r="CA603" i="1"/>
  <c r="BZ603" i="1"/>
  <c r="BY603" i="1"/>
  <c r="BX603" i="1"/>
  <c r="BW603" i="1"/>
  <c r="BV603" i="1"/>
  <c r="BU603" i="1"/>
  <c r="BT603" i="1"/>
  <c r="BS603" i="1"/>
  <c r="BR603" i="1"/>
  <c r="BQ603" i="1"/>
  <c r="BP603" i="1"/>
  <c r="BO603" i="1"/>
  <c r="BN603" i="1"/>
  <c r="BM603" i="1"/>
  <c r="BL603" i="1"/>
  <c r="BK603" i="1"/>
  <c r="BJ603" i="1"/>
  <c r="BI603" i="1"/>
  <c r="BH603" i="1"/>
  <c r="BG603" i="1"/>
  <c r="CE602" i="1"/>
  <c r="CD602" i="1"/>
  <c r="CC602" i="1"/>
  <c r="CB602" i="1"/>
  <c r="CA602" i="1"/>
  <c r="BZ602" i="1"/>
  <c r="BY602" i="1"/>
  <c r="BX602" i="1"/>
  <c r="BW602" i="1"/>
  <c r="BV602" i="1"/>
  <c r="BU602" i="1"/>
  <c r="BT602" i="1"/>
  <c r="BS602" i="1"/>
  <c r="BR602" i="1"/>
  <c r="BQ602" i="1"/>
  <c r="BP602" i="1"/>
  <c r="BO602" i="1"/>
  <c r="BN602" i="1"/>
  <c r="BM602" i="1"/>
  <c r="BL602" i="1"/>
  <c r="BK602" i="1"/>
  <c r="BJ602" i="1"/>
  <c r="BI602" i="1"/>
  <c r="BH602" i="1"/>
  <c r="BG602" i="1"/>
  <c r="CE601" i="1"/>
  <c r="CD601" i="1"/>
  <c r="CC601" i="1"/>
  <c r="CB601" i="1"/>
  <c r="CA601" i="1"/>
  <c r="BZ601" i="1"/>
  <c r="BY601" i="1"/>
  <c r="BX601" i="1"/>
  <c r="BW601" i="1"/>
  <c r="BV601" i="1"/>
  <c r="BU601" i="1"/>
  <c r="BT601" i="1"/>
  <c r="BS601" i="1"/>
  <c r="BR601" i="1"/>
  <c r="BQ601" i="1"/>
  <c r="BP601" i="1"/>
  <c r="BO601" i="1"/>
  <c r="BN601" i="1"/>
  <c r="BM601" i="1"/>
  <c r="BL601" i="1"/>
  <c r="BK601" i="1"/>
  <c r="BJ601" i="1"/>
  <c r="BI601" i="1"/>
  <c r="BH601" i="1"/>
  <c r="BG601" i="1"/>
  <c r="CE600" i="1"/>
  <c r="CD600" i="1"/>
  <c r="CC600" i="1"/>
  <c r="CB600" i="1"/>
  <c r="CA600" i="1"/>
  <c r="BZ600" i="1"/>
  <c r="BY600" i="1"/>
  <c r="BX600" i="1"/>
  <c r="BW600" i="1"/>
  <c r="BV600" i="1"/>
  <c r="BU600" i="1"/>
  <c r="BT600" i="1"/>
  <c r="BS600" i="1"/>
  <c r="BR600" i="1"/>
  <c r="BQ600" i="1"/>
  <c r="BP600" i="1"/>
  <c r="BO600" i="1"/>
  <c r="BN600" i="1"/>
  <c r="BM600" i="1"/>
  <c r="BL600" i="1"/>
  <c r="BK600" i="1"/>
  <c r="BJ600" i="1"/>
  <c r="BI600" i="1"/>
  <c r="BH600" i="1"/>
  <c r="BG600" i="1"/>
  <c r="CE599" i="1"/>
  <c r="CD599" i="1"/>
  <c r="CC599" i="1"/>
  <c r="CB599" i="1"/>
  <c r="CA599" i="1"/>
  <c r="BZ599" i="1"/>
  <c r="BY599" i="1"/>
  <c r="BX599" i="1"/>
  <c r="BW599" i="1"/>
  <c r="BV599" i="1"/>
  <c r="BU599" i="1"/>
  <c r="BT599" i="1"/>
  <c r="BS599" i="1"/>
  <c r="BR599" i="1"/>
  <c r="BQ599" i="1"/>
  <c r="BP599" i="1"/>
  <c r="BO599" i="1"/>
  <c r="BN599" i="1"/>
  <c r="BM599" i="1"/>
  <c r="BL599" i="1"/>
  <c r="BK599" i="1"/>
  <c r="BJ599" i="1"/>
  <c r="BI599" i="1"/>
  <c r="BH599" i="1"/>
  <c r="BG599" i="1"/>
  <c r="CE598" i="1"/>
  <c r="CD598" i="1"/>
  <c r="CC598" i="1"/>
  <c r="CB598" i="1"/>
  <c r="CA598" i="1"/>
  <c r="BZ598" i="1"/>
  <c r="BY598" i="1"/>
  <c r="BX598" i="1"/>
  <c r="BW598" i="1"/>
  <c r="BV598" i="1"/>
  <c r="BU598" i="1"/>
  <c r="BT598" i="1"/>
  <c r="BS598" i="1"/>
  <c r="BR598" i="1"/>
  <c r="BQ598" i="1"/>
  <c r="BP598" i="1"/>
  <c r="BO598" i="1"/>
  <c r="BN598" i="1"/>
  <c r="BM598" i="1"/>
  <c r="BL598" i="1"/>
  <c r="BK598" i="1"/>
  <c r="BJ598" i="1"/>
  <c r="BI598" i="1"/>
  <c r="BH598" i="1"/>
  <c r="BG598" i="1"/>
  <c r="CE597" i="1"/>
  <c r="CD597" i="1"/>
  <c r="CC597" i="1"/>
  <c r="CB597" i="1"/>
  <c r="CA597" i="1"/>
  <c r="BZ597" i="1"/>
  <c r="BY597" i="1"/>
  <c r="BX597" i="1"/>
  <c r="BW597" i="1"/>
  <c r="BV597" i="1"/>
  <c r="BU597" i="1"/>
  <c r="BT597" i="1"/>
  <c r="BS597" i="1"/>
  <c r="BR597" i="1"/>
  <c r="BQ597" i="1"/>
  <c r="BP597" i="1"/>
  <c r="BO597" i="1"/>
  <c r="BN597" i="1"/>
  <c r="BM597" i="1"/>
  <c r="BL597" i="1"/>
  <c r="BK597" i="1"/>
  <c r="BJ597" i="1"/>
  <c r="BI597" i="1"/>
  <c r="BH597" i="1"/>
  <c r="BG597" i="1"/>
  <c r="CE596" i="1"/>
  <c r="CD596" i="1"/>
  <c r="CC596" i="1"/>
  <c r="CB596" i="1"/>
  <c r="CA596" i="1"/>
  <c r="BZ596" i="1"/>
  <c r="BY596" i="1"/>
  <c r="BX596" i="1"/>
  <c r="BW596" i="1"/>
  <c r="BV596" i="1"/>
  <c r="BU596" i="1"/>
  <c r="BT596" i="1"/>
  <c r="BS596" i="1"/>
  <c r="BR596" i="1"/>
  <c r="BQ596" i="1"/>
  <c r="BP596" i="1"/>
  <c r="BO596" i="1"/>
  <c r="BN596" i="1"/>
  <c r="BM596" i="1"/>
  <c r="BL596" i="1"/>
  <c r="BK596" i="1"/>
  <c r="BJ596" i="1"/>
  <c r="BI596" i="1"/>
  <c r="BH596" i="1"/>
  <c r="BG596" i="1"/>
  <c r="CE595" i="1"/>
  <c r="CD595" i="1"/>
  <c r="CC595" i="1"/>
  <c r="CB595" i="1"/>
  <c r="CA595" i="1"/>
  <c r="BZ595" i="1"/>
  <c r="BY595" i="1"/>
  <c r="BX595" i="1"/>
  <c r="BW595" i="1"/>
  <c r="BV595" i="1"/>
  <c r="BU595" i="1"/>
  <c r="BT595" i="1"/>
  <c r="BS595" i="1"/>
  <c r="BR595" i="1"/>
  <c r="BQ595" i="1"/>
  <c r="BP595" i="1"/>
  <c r="BO595" i="1"/>
  <c r="BN595" i="1"/>
  <c r="BM595" i="1"/>
  <c r="BL595" i="1"/>
  <c r="BK595" i="1"/>
  <c r="BJ595" i="1"/>
  <c r="BI595" i="1"/>
  <c r="BH595" i="1"/>
  <c r="BG595" i="1"/>
  <c r="CE594" i="1"/>
  <c r="CD594" i="1"/>
  <c r="CC594" i="1"/>
  <c r="CB594" i="1"/>
  <c r="CA594" i="1"/>
  <c r="BZ594" i="1"/>
  <c r="BY594" i="1"/>
  <c r="BX594" i="1"/>
  <c r="BW594" i="1"/>
  <c r="BV594" i="1"/>
  <c r="BU594" i="1"/>
  <c r="BT594" i="1"/>
  <c r="BS594" i="1"/>
  <c r="BR594" i="1"/>
  <c r="BQ594" i="1"/>
  <c r="BP594" i="1"/>
  <c r="BO594" i="1"/>
  <c r="BN594" i="1"/>
  <c r="BM594" i="1"/>
  <c r="BL594" i="1"/>
  <c r="BK594" i="1"/>
  <c r="BJ594" i="1"/>
  <c r="BI594" i="1"/>
  <c r="BH594" i="1"/>
  <c r="BG594" i="1"/>
  <c r="CE593" i="1"/>
  <c r="CD593" i="1"/>
  <c r="CC593" i="1"/>
  <c r="CB593" i="1"/>
  <c r="CA593" i="1"/>
  <c r="BZ593" i="1"/>
  <c r="BY593" i="1"/>
  <c r="BX593" i="1"/>
  <c r="BW593" i="1"/>
  <c r="BV593" i="1"/>
  <c r="BU593" i="1"/>
  <c r="BT593" i="1"/>
  <c r="BS593" i="1"/>
  <c r="BR593" i="1"/>
  <c r="BQ593" i="1"/>
  <c r="BP593" i="1"/>
  <c r="BO593" i="1"/>
  <c r="BN593" i="1"/>
  <c r="BM593" i="1"/>
  <c r="BL593" i="1"/>
  <c r="BK593" i="1"/>
  <c r="BJ593" i="1"/>
  <c r="BI593" i="1"/>
  <c r="BH593" i="1"/>
  <c r="BG593" i="1"/>
  <c r="CE592" i="1"/>
  <c r="CD592" i="1"/>
  <c r="CC592" i="1"/>
  <c r="CB592" i="1"/>
  <c r="CA592" i="1"/>
  <c r="BZ592" i="1"/>
  <c r="BY592" i="1"/>
  <c r="BX592" i="1"/>
  <c r="BW592" i="1"/>
  <c r="BV592" i="1"/>
  <c r="BU592" i="1"/>
  <c r="BT592" i="1"/>
  <c r="BS592" i="1"/>
  <c r="BR592" i="1"/>
  <c r="BQ592" i="1"/>
  <c r="BP592" i="1"/>
  <c r="BO592" i="1"/>
  <c r="BN592" i="1"/>
  <c r="BM592" i="1"/>
  <c r="BL592" i="1"/>
  <c r="BK592" i="1"/>
  <c r="BJ592" i="1"/>
  <c r="BI592" i="1"/>
  <c r="BH592" i="1"/>
  <c r="BG592" i="1"/>
  <c r="CE591" i="1"/>
  <c r="CD591" i="1"/>
  <c r="CC591" i="1"/>
  <c r="CB591" i="1"/>
  <c r="CA591" i="1"/>
  <c r="BZ591" i="1"/>
  <c r="BY591" i="1"/>
  <c r="BX591" i="1"/>
  <c r="BW591" i="1"/>
  <c r="BV591" i="1"/>
  <c r="BU591" i="1"/>
  <c r="BT591" i="1"/>
  <c r="BS591" i="1"/>
  <c r="BR591" i="1"/>
  <c r="BQ591" i="1"/>
  <c r="BP591" i="1"/>
  <c r="BO591" i="1"/>
  <c r="BN591" i="1"/>
  <c r="BM591" i="1"/>
  <c r="BL591" i="1"/>
  <c r="BK591" i="1"/>
  <c r="BJ591" i="1"/>
  <c r="BI591" i="1"/>
  <c r="BH591" i="1"/>
  <c r="BG591" i="1"/>
  <c r="CE590" i="1"/>
  <c r="CD590" i="1"/>
  <c r="CC590" i="1"/>
  <c r="CB590" i="1"/>
  <c r="CA590" i="1"/>
  <c r="BZ590" i="1"/>
  <c r="BY590" i="1"/>
  <c r="BX590" i="1"/>
  <c r="BW590" i="1"/>
  <c r="BV590" i="1"/>
  <c r="BU590" i="1"/>
  <c r="BT590" i="1"/>
  <c r="BS590" i="1"/>
  <c r="BR590" i="1"/>
  <c r="BQ590" i="1"/>
  <c r="BP590" i="1"/>
  <c r="BO590" i="1"/>
  <c r="BN590" i="1"/>
  <c r="BM590" i="1"/>
  <c r="BL590" i="1"/>
  <c r="BK590" i="1"/>
  <c r="BJ590" i="1"/>
  <c r="BI590" i="1"/>
  <c r="BH590" i="1"/>
  <c r="BG590" i="1"/>
  <c r="CE589" i="1"/>
  <c r="CD589" i="1"/>
  <c r="CC589" i="1"/>
  <c r="CB589" i="1"/>
  <c r="CA589" i="1"/>
  <c r="BZ589" i="1"/>
  <c r="BY589" i="1"/>
  <c r="BX589" i="1"/>
  <c r="BW589" i="1"/>
  <c r="BV589" i="1"/>
  <c r="BU589" i="1"/>
  <c r="BT589" i="1"/>
  <c r="BS589" i="1"/>
  <c r="BR589" i="1"/>
  <c r="BQ589" i="1"/>
  <c r="BP589" i="1"/>
  <c r="BO589" i="1"/>
  <c r="BN589" i="1"/>
  <c r="BM589" i="1"/>
  <c r="BL589" i="1"/>
  <c r="BK589" i="1"/>
  <c r="BJ589" i="1"/>
  <c r="BI589" i="1"/>
  <c r="BH589" i="1"/>
  <c r="BG589" i="1"/>
  <c r="CE588" i="1"/>
  <c r="CD588" i="1"/>
  <c r="CC588" i="1"/>
  <c r="CB588" i="1"/>
  <c r="CA588" i="1"/>
  <c r="BZ588" i="1"/>
  <c r="BY588" i="1"/>
  <c r="BX588" i="1"/>
  <c r="BW588" i="1"/>
  <c r="BV588" i="1"/>
  <c r="BU588" i="1"/>
  <c r="BT588" i="1"/>
  <c r="BS588" i="1"/>
  <c r="BR588" i="1"/>
  <c r="BQ588" i="1"/>
  <c r="BP588" i="1"/>
  <c r="BO588" i="1"/>
  <c r="BN588" i="1"/>
  <c r="BM588" i="1"/>
  <c r="BL588" i="1"/>
  <c r="BK588" i="1"/>
  <c r="BJ588" i="1"/>
  <c r="BI588" i="1"/>
  <c r="BH588" i="1"/>
  <c r="BG588" i="1"/>
  <c r="CE587" i="1"/>
  <c r="CD587" i="1"/>
  <c r="CC587" i="1"/>
  <c r="CB587" i="1"/>
  <c r="CA587" i="1"/>
  <c r="BZ587" i="1"/>
  <c r="BY587" i="1"/>
  <c r="BX587" i="1"/>
  <c r="BW587" i="1"/>
  <c r="BV587" i="1"/>
  <c r="BU587" i="1"/>
  <c r="BT587" i="1"/>
  <c r="BS587" i="1"/>
  <c r="BR587" i="1"/>
  <c r="BQ587" i="1"/>
  <c r="BP587" i="1"/>
  <c r="BO587" i="1"/>
  <c r="BN587" i="1"/>
  <c r="BM587" i="1"/>
  <c r="BL587" i="1"/>
  <c r="BK587" i="1"/>
  <c r="BJ587" i="1"/>
  <c r="BI587" i="1"/>
  <c r="BH587" i="1"/>
  <c r="BG587" i="1"/>
  <c r="CE586" i="1"/>
  <c r="CD586" i="1"/>
  <c r="CC586" i="1"/>
  <c r="CB586" i="1"/>
  <c r="CA586" i="1"/>
  <c r="BZ586" i="1"/>
  <c r="BY586" i="1"/>
  <c r="BX586" i="1"/>
  <c r="BW586" i="1"/>
  <c r="BV586" i="1"/>
  <c r="BU586" i="1"/>
  <c r="BT586" i="1"/>
  <c r="BS586" i="1"/>
  <c r="BR586" i="1"/>
  <c r="BQ586" i="1"/>
  <c r="BP586" i="1"/>
  <c r="BO586" i="1"/>
  <c r="BN586" i="1"/>
  <c r="BM586" i="1"/>
  <c r="BL586" i="1"/>
  <c r="BK586" i="1"/>
  <c r="BJ586" i="1"/>
  <c r="BI586" i="1"/>
  <c r="BH586" i="1"/>
  <c r="BG586" i="1"/>
  <c r="CE585" i="1"/>
  <c r="CD585" i="1"/>
  <c r="CC585" i="1"/>
  <c r="CB585" i="1"/>
  <c r="CA585" i="1"/>
  <c r="BZ585" i="1"/>
  <c r="BY585" i="1"/>
  <c r="BX585" i="1"/>
  <c r="BW585" i="1"/>
  <c r="BV585" i="1"/>
  <c r="BU585" i="1"/>
  <c r="BT585" i="1"/>
  <c r="BS585" i="1"/>
  <c r="BR585" i="1"/>
  <c r="BQ585" i="1"/>
  <c r="BP585" i="1"/>
  <c r="BO585" i="1"/>
  <c r="BN585" i="1"/>
  <c r="BM585" i="1"/>
  <c r="BL585" i="1"/>
  <c r="BK585" i="1"/>
  <c r="BJ585" i="1"/>
  <c r="BI585" i="1"/>
  <c r="BH585" i="1"/>
  <c r="BG585" i="1"/>
  <c r="CE584" i="1"/>
  <c r="CD584" i="1"/>
  <c r="CC584" i="1"/>
  <c r="CB584" i="1"/>
  <c r="CA584" i="1"/>
  <c r="BZ584" i="1"/>
  <c r="BY584" i="1"/>
  <c r="BX584" i="1"/>
  <c r="BW584" i="1"/>
  <c r="BV584" i="1"/>
  <c r="BU584" i="1"/>
  <c r="BT584" i="1"/>
  <c r="BS584" i="1"/>
  <c r="BR584" i="1"/>
  <c r="BQ584" i="1"/>
  <c r="BP584" i="1"/>
  <c r="BO584" i="1"/>
  <c r="BN584" i="1"/>
  <c r="BM584" i="1"/>
  <c r="BL584" i="1"/>
  <c r="BK584" i="1"/>
  <c r="BJ584" i="1"/>
  <c r="BI584" i="1"/>
  <c r="BH584" i="1"/>
  <c r="BG584" i="1"/>
  <c r="CE583" i="1"/>
  <c r="CD583" i="1"/>
  <c r="CC583" i="1"/>
  <c r="CB583" i="1"/>
  <c r="CA583" i="1"/>
  <c r="BZ583" i="1"/>
  <c r="BY583" i="1"/>
  <c r="BX583" i="1"/>
  <c r="BW583" i="1"/>
  <c r="BV583" i="1"/>
  <c r="BU583" i="1"/>
  <c r="BT583" i="1"/>
  <c r="BS583" i="1"/>
  <c r="BR583" i="1"/>
  <c r="BQ583" i="1"/>
  <c r="BP583" i="1"/>
  <c r="BO583" i="1"/>
  <c r="BN583" i="1"/>
  <c r="BM583" i="1"/>
  <c r="BL583" i="1"/>
  <c r="BK583" i="1"/>
  <c r="BJ583" i="1"/>
  <c r="BI583" i="1"/>
  <c r="BH583" i="1"/>
  <c r="BG583" i="1"/>
  <c r="CE582" i="1"/>
  <c r="CD582" i="1"/>
  <c r="CC582" i="1"/>
  <c r="CB582" i="1"/>
  <c r="CA582" i="1"/>
  <c r="BZ582" i="1"/>
  <c r="BY582" i="1"/>
  <c r="BX582" i="1"/>
  <c r="BW582" i="1"/>
  <c r="BV582" i="1"/>
  <c r="BU582" i="1"/>
  <c r="BT582" i="1"/>
  <c r="BS582" i="1"/>
  <c r="BR582" i="1"/>
  <c r="BQ582" i="1"/>
  <c r="BP582" i="1"/>
  <c r="BO582" i="1"/>
  <c r="BN582" i="1"/>
  <c r="BM582" i="1"/>
  <c r="BL582" i="1"/>
  <c r="BK582" i="1"/>
  <c r="BJ582" i="1"/>
  <c r="BI582" i="1"/>
  <c r="BH582" i="1"/>
  <c r="BG582" i="1"/>
  <c r="CE581" i="1"/>
  <c r="CD581" i="1"/>
  <c r="CC581" i="1"/>
  <c r="CB581" i="1"/>
  <c r="CA581" i="1"/>
  <c r="BZ581" i="1"/>
  <c r="BY581" i="1"/>
  <c r="BX581" i="1"/>
  <c r="BW581" i="1"/>
  <c r="BV581" i="1"/>
  <c r="BU581" i="1"/>
  <c r="BT581" i="1"/>
  <c r="BS581" i="1"/>
  <c r="BR581" i="1"/>
  <c r="BQ581" i="1"/>
  <c r="BP581" i="1"/>
  <c r="BO581" i="1"/>
  <c r="BN581" i="1"/>
  <c r="BM581" i="1"/>
  <c r="BL581" i="1"/>
  <c r="BK581" i="1"/>
  <c r="BJ581" i="1"/>
  <c r="BI581" i="1"/>
  <c r="BH581" i="1"/>
  <c r="BG581" i="1"/>
  <c r="CE580" i="1"/>
  <c r="CD580" i="1"/>
  <c r="CC580" i="1"/>
  <c r="CB580" i="1"/>
  <c r="CA580" i="1"/>
  <c r="BZ580" i="1"/>
  <c r="BY580" i="1"/>
  <c r="BX580" i="1"/>
  <c r="BW580" i="1"/>
  <c r="BV580" i="1"/>
  <c r="BU580" i="1"/>
  <c r="BT580" i="1"/>
  <c r="BS580" i="1"/>
  <c r="BR580" i="1"/>
  <c r="BQ580" i="1"/>
  <c r="BP580" i="1"/>
  <c r="BO580" i="1"/>
  <c r="BN580" i="1"/>
  <c r="BM580" i="1"/>
  <c r="BL580" i="1"/>
  <c r="BK580" i="1"/>
  <c r="BJ580" i="1"/>
  <c r="BI580" i="1"/>
  <c r="BH580" i="1"/>
  <c r="BG580" i="1"/>
  <c r="CE579" i="1"/>
  <c r="CD579" i="1"/>
  <c r="CC579" i="1"/>
  <c r="CB579" i="1"/>
  <c r="CA579" i="1"/>
  <c r="BZ579" i="1"/>
  <c r="BY579" i="1"/>
  <c r="BX579" i="1"/>
  <c r="BW579" i="1"/>
  <c r="BV579" i="1"/>
  <c r="BU579" i="1"/>
  <c r="BT579" i="1"/>
  <c r="BS579" i="1"/>
  <c r="BR579" i="1"/>
  <c r="BQ579" i="1"/>
  <c r="BP579" i="1"/>
  <c r="BO579" i="1"/>
  <c r="BN579" i="1"/>
  <c r="BM579" i="1"/>
  <c r="BL579" i="1"/>
  <c r="BK579" i="1"/>
  <c r="BJ579" i="1"/>
  <c r="BI579" i="1"/>
  <c r="BH579" i="1"/>
  <c r="BG579" i="1"/>
  <c r="CE578" i="1"/>
  <c r="CD578" i="1"/>
  <c r="CC578" i="1"/>
  <c r="CB578" i="1"/>
  <c r="CA578" i="1"/>
  <c r="BZ578" i="1"/>
  <c r="BY578" i="1"/>
  <c r="BX578" i="1"/>
  <c r="BW578" i="1"/>
  <c r="BV578" i="1"/>
  <c r="BU578" i="1"/>
  <c r="BT578" i="1"/>
  <c r="BS578" i="1"/>
  <c r="BR578" i="1"/>
  <c r="BQ578" i="1"/>
  <c r="BP578" i="1"/>
  <c r="BO578" i="1"/>
  <c r="BN578" i="1"/>
  <c r="BM578" i="1"/>
  <c r="BL578" i="1"/>
  <c r="BK578" i="1"/>
  <c r="BJ578" i="1"/>
  <c r="BI578" i="1"/>
  <c r="BH578" i="1"/>
  <c r="BG578" i="1"/>
  <c r="CE577" i="1"/>
  <c r="CD577" i="1"/>
  <c r="CC577" i="1"/>
  <c r="CB577" i="1"/>
  <c r="CA577" i="1"/>
  <c r="BZ577" i="1"/>
  <c r="BY577" i="1"/>
  <c r="BX577" i="1"/>
  <c r="BW577" i="1"/>
  <c r="BV577" i="1"/>
  <c r="BU577" i="1"/>
  <c r="BT577" i="1"/>
  <c r="BS577" i="1"/>
  <c r="BR577" i="1"/>
  <c r="BQ577" i="1"/>
  <c r="BP577" i="1"/>
  <c r="BO577" i="1"/>
  <c r="BN577" i="1"/>
  <c r="BM577" i="1"/>
  <c r="BL577" i="1"/>
  <c r="BK577" i="1"/>
  <c r="BJ577" i="1"/>
  <c r="BI577" i="1"/>
  <c r="BH577" i="1"/>
  <c r="BG577" i="1"/>
  <c r="CE576" i="1"/>
  <c r="CD576" i="1"/>
  <c r="CC576" i="1"/>
  <c r="CB576" i="1"/>
  <c r="CA576" i="1"/>
  <c r="BZ576" i="1"/>
  <c r="BY576" i="1"/>
  <c r="BX576" i="1"/>
  <c r="BW576" i="1"/>
  <c r="BV576" i="1"/>
  <c r="BU576" i="1"/>
  <c r="BT576" i="1"/>
  <c r="BS576" i="1"/>
  <c r="BR576" i="1"/>
  <c r="BQ576" i="1"/>
  <c r="BP576" i="1"/>
  <c r="BO576" i="1"/>
  <c r="BN576" i="1"/>
  <c r="BM576" i="1"/>
  <c r="BL576" i="1"/>
  <c r="BK576" i="1"/>
  <c r="BJ576" i="1"/>
  <c r="BI576" i="1"/>
  <c r="BH576" i="1"/>
  <c r="BG576" i="1"/>
  <c r="CE575" i="1"/>
  <c r="CD575" i="1"/>
  <c r="CC575" i="1"/>
  <c r="CB575" i="1"/>
  <c r="CA575" i="1"/>
  <c r="BZ575" i="1"/>
  <c r="BY575" i="1"/>
  <c r="BX575" i="1"/>
  <c r="BW575" i="1"/>
  <c r="BV575" i="1"/>
  <c r="BU575" i="1"/>
  <c r="BT575" i="1"/>
  <c r="BS575" i="1"/>
  <c r="BR575" i="1"/>
  <c r="BQ575" i="1"/>
  <c r="BP575" i="1"/>
  <c r="BO575" i="1"/>
  <c r="BN575" i="1"/>
  <c r="BM575" i="1"/>
  <c r="BL575" i="1"/>
  <c r="BK575" i="1"/>
  <c r="BJ575" i="1"/>
  <c r="BI575" i="1"/>
  <c r="BH575" i="1"/>
  <c r="BG575" i="1"/>
  <c r="CE574" i="1"/>
  <c r="CD574" i="1"/>
  <c r="CC574" i="1"/>
  <c r="CB574" i="1"/>
  <c r="CA574" i="1"/>
  <c r="BZ574" i="1"/>
  <c r="BY574" i="1"/>
  <c r="BX574" i="1"/>
  <c r="BW574" i="1"/>
  <c r="BV574" i="1"/>
  <c r="BU574" i="1"/>
  <c r="BT574" i="1"/>
  <c r="BS574" i="1"/>
  <c r="BR574" i="1"/>
  <c r="BQ574" i="1"/>
  <c r="BP574" i="1"/>
  <c r="BO574" i="1"/>
  <c r="BN574" i="1"/>
  <c r="BM574" i="1"/>
  <c r="BL574" i="1"/>
  <c r="BK574" i="1"/>
  <c r="BJ574" i="1"/>
  <c r="BI574" i="1"/>
  <c r="BH574" i="1"/>
  <c r="BG574" i="1"/>
  <c r="CE573" i="1"/>
  <c r="CD573" i="1"/>
  <c r="CC573" i="1"/>
  <c r="CB573" i="1"/>
  <c r="CA573" i="1"/>
  <c r="BZ573" i="1"/>
  <c r="BY573" i="1"/>
  <c r="BX573" i="1"/>
  <c r="BW573" i="1"/>
  <c r="BV573" i="1"/>
  <c r="BU573" i="1"/>
  <c r="BT573" i="1"/>
  <c r="BS573" i="1"/>
  <c r="BR573" i="1"/>
  <c r="BQ573" i="1"/>
  <c r="BP573" i="1"/>
  <c r="BO573" i="1"/>
  <c r="BN573" i="1"/>
  <c r="BM573" i="1"/>
  <c r="BL573" i="1"/>
  <c r="BK573" i="1"/>
  <c r="BJ573" i="1"/>
  <c r="BI573" i="1"/>
  <c r="BH573" i="1"/>
  <c r="BG573" i="1"/>
  <c r="CE572" i="1"/>
  <c r="CD572" i="1"/>
  <c r="CC572" i="1"/>
  <c r="CB572" i="1"/>
  <c r="CA572" i="1"/>
  <c r="BZ572" i="1"/>
  <c r="BY572" i="1"/>
  <c r="BX572" i="1"/>
  <c r="BW572" i="1"/>
  <c r="BV572" i="1"/>
  <c r="BU572" i="1"/>
  <c r="BT572" i="1"/>
  <c r="BS572" i="1"/>
  <c r="BR572" i="1"/>
  <c r="BQ572" i="1"/>
  <c r="BP572" i="1"/>
  <c r="BO572" i="1"/>
  <c r="BN572" i="1"/>
  <c r="BM572" i="1"/>
  <c r="BL572" i="1"/>
  <c r="BK572" i="1"/>
  <c r="BJ572" i="1"/>
  <c r="BI572" i="1"/>
  <c r="BH572" i="1"/>
  <c r="BG572" i="1"/>
  <c r="CE571" i="1"/>
  <c r="CD571" i="1"/>
  <c r="CC571" i="1"/>
  <c r="CB571" i="1"/>
  <c r="CA571" i="1"/>
  <c r="BZ571" i="1"/>
  <c r="BY571" i="1"/>
  <c r="BX571" i="1"/>
  <c r="BW571" i="1"/>
  <c r="BV571" i="1"/>
  <c r="BU571" i="1"/>
  <c r="BT571" i="1"/>
  <c r="BS571" i="1"/>
  <c r="BR571" i="1"/>
  <c r="BQ571" i="1"/>
  <c r="BP571" i="1"/>
  <c r="BO571" i="1"/>
  <c r="BN571" i="1"/>
  <c r="BM571" i="1"/>
  <c r="BL571" i="1"/>
  <c r="BK571" i="1"/>
  <c r="BJ571" i="1"/>
  <c r="BI571" i="1"/>
  <c r="BH571" i="1"/>
  <c r="BG571" i="1"/>
  <c r="CE570" i="1"/>
  <c r="CD570" i="1"/>
  <c r="CC570" i="1"/>
  <c r="CB570" i="1"/>
  <c r="CA570" i="1"/>
  <c r="BZ570" i="1"/>
  <c r="BY570" i="1"/>
  <c r="BX570" i="1"/>
  <c r="BW570" i="1"/>
  <c r="BV570" i="1"/>
  <c r="BU570" i="1"/>
  <c r="BT570" i="1"/>
  <c r="BS570" i="1"/>
  <c r="BR570" i="1"/>
  <c r="BQ570" i="1"/>
  <c r="BP570" i="1"/>
  <c r="BO570" i="1"/>
  <c r="BN570" i="1"/>
  <c r="BM570" i="1"/>
  <c r="BL570" i="1"/>
  <c r="BK570" i="1"/>
  <c r="BJ570" i="1"/>
  <c r="BI570" i="1"/>
  <c r="BH570" i="1"/>
  <c r="BG570" i="1"/>
  <c r="CE569" i="1"/>
  <c r="CD569" i="1"/>
  <c r="CC569" i="1"/>
  <c r="CB569" i="1"/>
  <c r="CA569" i="1"/>
  <c r="BZ569" i="1"/>
  <c r="BY569" i="1"/>
  <c r="BX569" i="1"/>
  <c r="BW569" i="1"/>
  <c r="BV569" i="1"/>
  <c r="BU569" i="1"/>
  <c r="BT569" i="1"/>
  <c r="BS569" i="1"/>
  <c r="BR569" i="1"/>
  <c r="BQ569" i="1"/>
  <c r="BP569" i="1"/>
  <c r="BO569" i="1"/>
  <c r="BN569" i="1"/>
  <c r="BM569" i="1"/>
  <c r="BL569" i="1"/>
  <c r="BK569" i="1"/>
  <c r="BJ569" i="1"/>
  <c r="BI569" i="1"/>
  <c r="BH569" i="1"/>
  <c r="BG569" i="1"/>
  <c r="CE568" i="1"/>
  <c r="CD568" i="1"/>
  <c r="CC568" i="1"/>
  <c r="CB568" i="1"/>
  <c r="CA568" i="1"/>
  <c r="BZ568" i="1"/>
  <c r="BY568" i="1"/>
  <c r="BX568" i="1"/>
  <c r="BW568" i="1"/>
  <c r="BV568" i="1"/>
  <c r="BU568" i="1"/>
  <c r="BT568" i="1"/>
  <c r="BS568" i="1"/>
  <c r="BR568" i="1"/>
  <c r="BQ568" i="1"/>
  <c r="BP568" i="1"/>
  <c r="BO568" i="1"/>
  <c r="BN568" i="1"/>
  <c r="BM568" i="1"/>
  <c r="BL568" i="1"/>
  <c r="BK568" i="1"/>
  <c r="BJ568" i="1"/>
  <c r="BI568" i="1"/>
  <c r="BH568" i="1"/>
  <c r="BG568" i="1"/>
  <c r="CE567" i="1"/>
  <c r="CD567" i="1"/>
  <c r="CC567" i="1"/>
  <c r="CB567" i="1"/>
  <c r="CA567" i="1"/>
  <c r="BZ567" i="1"/>
  <c r="BY567" i="1"/>
  <c r="BX567" i="1"/>
  <c r="BW567" i="1"/>
  <c r="BV567" i="1"/>
  <c r="BU567" i="1"/>
  <c r="BT567" i="1"/>
  <c r="BS567" i="1"/>
  <c r="BR567" i="1"/>
  <c r="BQ567" i="1"/>
  <c r="BP567" i="1"/>
  <c r="BO567" i="1"/>
  <c r="BN567" i="1"/>
  <c r="BM567" i="1"/>
  <c r="BL567" i="1"/>
  <c r="BK567" i="1"/>
  <c r="BJ567" i="1"/>
  <c r="BI567" i="1"/>
  <c r="BH567" i="1"/>
  <c r="BG567" i="1"/>
  <c r="CE566" i="1"/>
  <c r="CD566" i="1"/>
  <c r="CC566" i="1"/>
  <c r="CB566" i="1"/>
  <c r="CA566" i="1"/>
  <c r="BZ566" i="1"/>
  <c r="BY566" i="1"/>
  <c r="BX566" i="1"/>
  <c r="BW566" i="1"/>
  <c r="BV566" i="1"/>
  <c r="BU566" i="1"/>
  <c r="BT566" i="1"/>
  <c r="BS566" i="1"/>
  <c r="BR566" i="1"/>
  <c r="BQ566" i="1"/>
  <c r="BP566" i="1"/>
  <c r="BO566" i="1"/>
  <c r="BN566" i="1"/>
  <c r="BM566" i="1"/>
  <c r="BL566" i="1"/>
  <c r="BK566" i="1"/>
  <c r="BJ566" i="1"/>
  <c r="BI566" i="1"/>
  <c r="BH566" i="1"/>
  <c r="BG566" i="1"/>
  <c r="CE565" i="1"/>
  <c r="CD565" i="1"/>
  <c r="CC565" i="1"/>
  <c r="CB565" i="1"/>
  <c r="CA565" i="1"/>
  <c r="BZ565" i="1"/>
  <c r="BY565" i="1"/>
  <c r="BX565" i="1"/>
  <c r="BW565" i="1"/>
  <c r="BV565" i="1"/>
  <c r="BU565" i="1"/>
  <c r="BT565" i="1"/>
  <c r="BS565" i="1"/>
  <c r="BR565" i="1"/>
  <c r="BQ565" i="1"/>
  <c r="BP565" i="1"/>
  <c r="BO565" i="1"/>
  <c r="BN565" i="1"/>
  <c r="BM565" i="1"/>
  <c r="BL565" i="1"/>
  <c r="BK565" i="1"/>
  <c r="BJ565" i="1"/>
  <c r="BI565" i="1"/>
  <c r="BH565" i="1"/>
  <c r="BG565" i="1"/>
  <c r="CE564" i="1"/>
  <c r="CD564" i="1"/>
  <c r="CC564" i="1"/>
  <c r="CB564" i="1"/>
  <c r="CA564" i="1"/>
  <c r="BZ564" i="1"/>
  <c r="BY564" i="1"/>
  <c r="BX564" i="1"/>
  <c r="BW564" i="1"/>
  <c r="BV564" i="1"/>
  <c r="BU564" i="1"/>
  <c r="BT564" i="1"/>
  <c r="BS564" i="1"/>
  <c r="BR564" i="1"/>
  <c r="BQ564" i="1"/>
  <c r="BP564" i="1"/>
  <c r="BO564" i="1"/>
  <c r="BN564" i="1"/>
  <c r="BM564" i="1"/>
  <c r="BL564" i="1"/>
  <c r="BK564" i="1"/>
  <c r="BJ564" i="1"/>
  <c r="BI564" i="1"/>
  <c r="BH564" i="1"/>
  <c r="BG564" i="1"/>
  <c r="CE563" i="1"/>
  <c r="CD563" i="1"/>
  <c r="CC563" i="1"/>
  <c r="CB563" i="1"/>
  <c r="CA563" i="1"/>
  <c r="BZ563" i="1"/>
  <c r="BY563" i="1"/>
  <c r="BX563" i="1"/>
  <c r="BW563" i="1"/>
  <c r="BV563" i="1"/>
  <c r="BU563" i="1"/>
  <c r="BT563" i="1"/>
  <c r="BS563" i="1"/>
  <c r="BR563" i="1"/>
  <c r="BQ563" i="1"/>
  <c r="BP563" i="1"/>
  <c r="BO563" i="1"/>
  <c r="BN563" i="1"/>
  <c r="BM563" i="1"/>
  <c r="BL563" i="1"/>
  <c r="BK563" i="1"/>
  <c r="BJ563" i="1"/>
  <c r="BI563" i="1"/>
  <c r="BH563" i="1"/>
  <c r="BG563" i="1"/>
  <c r="CE562" i="1"/>
  <c r="CD562" i="1"/>
  <c r="CC562" i="1"/>
  <c r="CB562" i="1"/>
  <c r="CA562" i="1"/>
  <c r="BZ562" i="1"/>
  <c r="BY562" i="1"/>
  <c r="BX562" i="1"/>
  <c r="BW562" i="1"/>
  <c r="BV562" i="1"/>
  <c r="BU562" i="1"/>
  <c r="BT562" i="1"/>
  <c r="BS562" i="1"/>
  <c r="BR562" i="1"/>
  <c r="BQ562" i="1"/>
  <c r="BP562" i="1"/>
  <c r="BO562" i="1"/>
  <c r="BN562" i="1"/>
  <c r="BM562" i="1"/>
  <c r="BL562" i="1"/>
  <c r="BK562" i="1"/>
  <c r="BJ562" i="1"/>
  <c r="BI562" i="1"/>
  <c r="BH562" i="1"/>
  <c r="BG562" i="1"/>
  <c r="CE561" i="1"/>
  <c r="CD561" i="1"/>
  <c r="CC561" i="1"/>
  <c r="CB561" i="1"/>
  <c r="CA561" i="1"/>
  <c r="BZ561" i="1"/>
  <c r="BY561" i="1"/>
  <c r="BX561" i="1"/>
  <c r="BW561" i="1"/>
  <c r="BV561" i="1"/>
  <c r="BU561" i="1"/>
  <c r="BT561" i="1"/>
  <c r="BS561" i="1"/>
  <c r="BR561" i="1"/>
  <c r="BQ561" i="1"/>
  <c r="BP561" i="1"/>
  <c r="BO561" i="1"/>
  <c r="BN561" i="1"/>
  <c r="BM561" i="1"/>
  <c r="BL561" i="1"/>
  <c r="BK561" i="1"/>
  <c r="BJ561" i="1"/>
  <c r="BI561" i="1"/>
  <c r="BH561" i="1"/>
  <c r="BG561" i="1"/>
  <c r="CE560" i="1"/>
  <c r="CD560" i="1"/>
  <c r="CC560" i="1"/>
  <c r="CB560" i="1"/>
  <c r="CA560" i="1"/>
  <c r="BZ560" i="1"/>
  <c r="BY560" i="1"/>
  <c r="BX560" i="1"/>
  <c r="BW560" i="1"/>
  <c r="BV560" i="1"/>
  <c r="BU560" i="1"/>
  <c r="BT560" i="1"/>
  <c r="BS560" i="1"/>
  <c r="BR560" i="1"/>
  <c r="BQ560" i="1"/>
  <c r="BP560" i="1"/>
  <c r="BO560" i="1"/>
  <c r="BN560" i="1"/>
  <c r="BM560" i="1"/>
  <c r="BL560" i="1"/>
  <c r="BK560" i="1"/>
  <c r="BJ560" i="1"/>
  <c r="BI560" i="1"/>
  <c r="BH560" i="1"/>
  <c r="BG560" i="1"/>
  <c r="CE559" i="1"/>
  <c r="CD559" i="1"/>
  <c r="CC559" i="1"/>
  <c r="CB559" i="1"/>
  <c r="CA559" i="1"/>
  <c r="BZ559" i="1"/>
  <c r="BY559" i="1"/>
  <c r="BX559" i="1"/>
  <c r="BW559" i="1"/>
  <c r="BV559" i="1"/>
  <c r="BU559" i="1"/>
  <c r="BT559" i="1"/>
  <c r="BS559" i="1"/>
  <c r="BR559" i="1"/>
  <c r="BQ559" i="1"/>
  <c r="BP559" i="1"/>
  <c r="BO559" i="1"/>
  <c r="BN559" i="1"/>
  <c r="BM559" i="1"/>
  <c r="BL559" i="1"/>
  <c r="BK559" i="1"/>
  <c r="BJ559" i="1"/>
  <c r="BI559" i="1"/>
  <c r="BH559" i="1"/>
  <c r="BG559" i="1"/>
  <c r="CE558" i="1"/>
  <c r="CD558" i="1"/>
  <c r="CC558" i="1"/>
  <c r="CB558" i="1"/>
  <c r="CA558" i="1"/>
  <c r="BZ558" i="1"/>
  <c r="BY558" i="1"/>
  <c r="BX558" i="1"/>
  <c r="BW558" i="1"/>
  <c r="BV558" i="1"/>
  <c r="BU558" i="1"/>
  <c r="BT558" i="1"/>
  <c r="BS558" i="1"/>
  <c r="BR558" i="1"/>
  <c r="BQ558" i="1"/>
  <c r="BP558" i="1"/>
  <c r="BO558" i="1"/>
  <c r="BN558" i="1"/>
  <c r="BM558" i="1"/>
  <c r="BL558" i="1"/>
  <c r="BK558" i="1"/>
  <c r="BJ558" i="1"/>
  <c r="BI558" i="1"/>
  <c r="BH558" i="1"/>
  <c r="BG558" i="1"/>
  <c r="CE557" i="1"/>
  <c r="CD557" i="1"/>
  <c r="CC557" i="1"/>
  <c r="CB557" i="1"/>
  <c r="CA557" i="1"/>
  <c r="BZ557" i="1"/>
  <c r="BY557" i="1"/>
  <c r="BX557" i="1"/>
  <c r="BW557" i="1"/>
  <c r="BV557" i="1"/>
  <c r="BU557" i="1"/>
  <c r="BT557" i="1"/>
  <c r="BS557" i="1"/>
  <c r="BR557" i="1"/>
  <c r="BQ557" i="1"/>
  <c r="BP557" i="1"/>
  <c r="BO557" i="1"/>
  <c r="BN557" i="1"/>
  <c r="BM557" i="1"/>
  <c r="BL557" i="1"/>
  <c r="BK557" i="1"/>
  <c r="BJ557" i="1"/>
  <c r="BI557" i="1"/>
  <c r="BH557" i="1"/>
  <c r="BG557" i="1"/>
  <c r="CE556" i="1"/>
  <c r="CD556" i="1"/>
  <c r="CC556" i="1"/>
  <c r="CB556" i="1"/>
  <c r="CA556" i="1"/>
  <c r="BZ556" i="1"/>
  <c r="BY556" i="1"/>
  <c r="BX556" i="1"/>
  <c r="BW556" i="1"/>
  <c r="BV556" i="1"/>
  <c r="BU556" i="1"/>
  <c r="BT556" i="1"/>
  <c r="BS556" i="1"/>
  <c r="BR556" i="1"/>
  <c r="BQ556" i="1"/>
  <c r="BP556" i="1"/>
  <c r="BO556" i="1"/>
  <c r="BN556" i="1"/>
  <c r="BM556" i="1"/>
  <c r="BL556" i="1"/>
  <c r="BK556" i="1"/>
  <c r="BJ556" i="1"/>
  <c r="BI556" i="1"/>
  <c r="BH556" i="1"/>
  <c r="BG556" i="1"/>
  <c r="CE555" i="1"/>
  <c r="CD555" i="1"/>
  <c r="CC555" i="1"/>
  <c r="CB555" i="1"/>
  <c r="CA555" i="1"/>
  <c r="BZ555" i="1"/>
  <c r="BY555" i="1"/>
  <c r="BX555" i="1"/>
  <c r="BW555" i="1"/>
  <c r="BV555" i="1"/>
  <c r="BU555" i="1"/>
  <c r="BT555" i="1"/>
  <c r="BS555" i="1"/>
  <c r="BR555" i="1"/>
  <c r="BQ555" i="1"/>
  <c r="BP555" i="1"/>
  <c r="BO555" i="1"/>
  <c r="BN555" i="1"/>
  <c r="BM555" i="1"/>
  <c r="BL555" i="1"/>
  <c r="BK555" i="1"/>
  <c r="BJ555" i="1"/>
  <c r="BI555" i="1"/>
  <c r="BH555" i="1"/>
  <c r="BG555" i="1"/>
  <c r="CE554" i="1"/>
  <c r="CD554" i="1"/>
  <c r="CC554" i="1"/>
  <c r="CB554" i="1"/>
  <c r="CA554" i="1"/>
  <c r="BZ554" i="1"/>
  <c r="BY554" i="1"/>
  <c r="BX554" i="1"/>
  <c r="BW554" i="1"/>
  <c r="BV554" i="1"/>
  <c r="BU554" i="1"/>
  <c r="BT554" i="1"/>
  <c r="BS554" i="1"/>
  <c r="BR554" i="1"/>
  <c r="BQ554" i="1"/>
  <c r="BP554" i="1"/>
  <c r="BO554" i="1"/>
  <c r="BN554" i="1"/>
  <c r="BM554" i="1"/>
  <c r="BL554" i="1"/>
  <c r="BK554" i="1"/>
  <c r="BJ554" i="1"/>
  <c r="BI554" i="1"/>
  <c r="BH554" i="1"/>
  <c r="BG554" i="1"/>
  <c r="CE553" i="1"/>
  <c r="CD553" i="1"/>
  <c r="CC553" i="1"/>
  <c r="CB553" i="1"/>
  <c r="CA553" i="1"/>
  <c r="BZ553" i="1"/>
  <c r="BY553" i="1"/>
  <c r="BX553" i="1"/>
  <c r="BW553" i="1"/>
  <c r="BV553" i="1"/>
  <c r="BU553" i="1"/>
  <c r="BT553" i="1"/>
  <c r="BS553" i="1"/>
  <c r="BR553" i="1"/>
  <c r="BQ553" i="1"/>
  <c r="BP553" i="1"/>
  <c r="BO553" i="1"/>
  <c r="BN553" i="1"/>
  <c r="BM553" i="1"/>
  <c r="BL553" i="1"/>
  <c r="BK553" i="1"/>
  <c r="BJ553" i="1"/>
  <c r="BI553" i="1"/>
  <c r="BH553" i="1"/>
  <c r="BG553" i="1"/>
  <c r="CE552" i="1"/>
  <c r="CD552" i="1"/>
  <c r="CC552" i="1"/>
  <c r="CB552" i="1"/>
  <c r="CA552" i="1"/>
  <c r="BZ552" i="1"/>
  <c r="BY552" i="1"/>
  <c r="BX552" i="1"/>
  <c r="BW552" i="1"/>
  <c r="BV552" i="1"/>
  <c r="BU552" i="1"/>
  <c r="BT552" i="1"/>
  <c r="BS552" i="1"/>
  <c r="BR552" i="1"/>
  <c r="BQ552" i="1"/>
  <c r="BP552" i="1"/>
  <c r="BO552" i="1"/>
  <c r="BN552" i="1"/>
  <c r="BM552" i="1"/>
  <c r="BL552" i="1"/>
  <c r="BK552" i="1"/>
  <c r="BJ552" i="1"/>
  <c r="BI552" i="1"/>
  <c r="BH552" i="1"/>
  <c r="BG552" i="1"/>
  <c r="CE551" i="1"/>
  <c r="CD551" i="1"/>
  <c r="CC551" i="1"/>
  <c r="CB551" i="1"/>
  <c r="CA551" i="1"/>
  <c r="BZ551" i="1"/>
  <c r="BY551" i="1"/>
  <c r="BX551" i="1"/>
  <c r="BW551" i="1"/>
  <c r="BV551" i="1"/>
  <c r="BU551" i="1"/>
  <c r="BT551" i="1"/>
  <c r="BS551" i="1"/>
  <c r="BR551" i="1"/>
  <c r="BQ551" i="1"/>
  <c r="BP551" i="1"/>
  <c r="BO551" i="1"/>
  <c r="BN551" i="1"/>
  <c r="BM551" i="1"/>
  <c r="BL551" i="1"/>
  <c r="BK551" i="1"/>
  <c r="BJ551" i="1"/>
  <c r="BI551" i="1"/>
  <c r="BH551" i="1"/>
  <c r="BG551" i="1"/>
  <c r="CE550" i="1"/>
  <c r="CD550" i="1"/>
  <c r="CC550" i="1"/>
  <c r="CB550" i="1"/>
  <c r="CA550" i="1"/>
  <c r="BZ550" i="1"/>
  <c r="BY550" i="1"/>
  <c r="BX550" i="1"/>
  <c r="BW550" i="1"/>
  <c r="BV550" i="1"/>
  <c r="BU550" i="1"/>
  <c r="BT550" i="1"/>
  <c r="BS550" i="1"/>
  <c r="BR550" i="1"/>
  <c r="BQ550" i="1"/>
  <c r="BP550" i="1"/>
  <c r="BO550" i="1"/>
  <c r="BN550" i="1"/>
  <c r="BM550" i="1"/>
  <c r="BL550" i="1"/>
  <c r="BK550" i="1"/>
  <c r="BJ550" i="1"/>
  <c r="BI550" i="1"/>
  <c r="BH550" i="1"/>
  <c r="BG550" i="1"/>
  <c r="CE549" i="1"/>
  <c r="CD549" i="1"/>
  <c r="CC549" i="1"/>
  <c r="CB549" i="1"/>
  <c r="CA549" i="1"/>
  <c r="BZ549" i="1"/>
  <c r="BY549" i="1"/>
  <c r="BX549" i="1"/>
  <c r="BW549" i="1"/>
  <c r="BV549" i="1"/>
  <c r="BU549" i="1"/>
  <c r="BT549" i="1"/>
  <c r="BS549" i="1"/>
  <c r="BR549" i="1"/>
  <c r="BQ549" i="1"/>
  <c r="BP549" i="1"/>
  <c r="BO549" i="1"/>
  <c r="BN549" i="1"/>
  <c r="BM549" i="1"/>
  <c r="BL549" i="1"/>
  <c r="BK549" i="1"/>
  <c r="BJ549" i="1"/>
  <c r="BI549" i="1"/>
  <c r="BH549" i="1"/>
  <c r="BG549" i="1"/>
  <c r="CE548" i="1"/>
  <c r="CD548" i="1"/>
  <c r="CC548" i="1"/>
  <c r="CB548" i="1"/>
  <c r="CA548" i="1"/>
  <c r="BZ548" i="1"/>
  <c r="BY548" i="1"/>
  <c r="BX548" i="1"/>
  <c r="BW548" i="1"/>
  <c r="BV548" i="1"/>
  <c r="BU548" i="1"/>
  <c r="BT548" i="1"/>
  <c r="BS548" i="1"/>
  <c r="BR548" i="1"/>
  <c r="BQ548" i="1"/>
  <c r="BP548" i="1"/>
  <c r="BO548" i="1"/>
  <c r="BN548" i="1"/>
  <c r="BM548" i="1"/>
  <c r="BL548" i="1"/>
  <c r="BK548" i="1"/>
  <c r="BJ548" i="1"/>
  <c r="BI548" i="1"/>
  <c r="BH548" i="1"/>
  <c r="BG548" i="1"/>
  <c r="CE547" i="1"/>
  <c r="CD547" i="1"/>
  <c r="CC547" i="1"/>
  <c r="CB547" i="1"/>
  <c r="CA547" i="1"/>
  <c r="BZ547" i="1"/>
  <c r="BY547" i="1"/>
  <c r="BX547" i="1"/>
  <c r="BW547" i="1"/>
  <c r="BV547" i="1"/>
  <c r="BU547" i="1"/>
  <c r="BT547" i="1"/>
  <c r="BS547" i="1"/>
  <c r="BR547" i="1"/>
  <c r="BQ547" i="1"/>
  <c r="BP547" i="1"/>
  <c r="BO547" i="1"/>
  <c r="BN547" i="1"/>
  <c r="BM547" i="1"/>
  <c r="BL547" i="1"/>
  <c r="BK547" i="1"/>
  <c r="BJ547" i="1"/>
  <c r="BI547" i="1"/>
  <c r="BH547" i="1"/>
  <c r="BG547" i="1"/>
  <c r="CE546" i="1"/>
  <c r="CD546" i="1"/>
  <c r="CC546" i="1"/>
  <c r="CB546" i="1"/>
  <c r="CA546" i="1"/>
  <c r="BZ546" i="1"/>
  <c r="BY546" i="1"/>
  <c r="BX546" i="1"/>
  <c r="BW546" i="1"/>
  <c r="BV546" i="1"/>
  <c r="BU546" i="1"/>
  <c r="BT546" i="1"/>
  <c r="BS546" i="1"/>
  <c r="BR546" i="1"/>
  <c r="BQ546" i="1"/>
  <c r="BP546" i="1"/>
  <c r="BO546" i="1"/>
  <c r="BN546" i="1"/>
  <c r="BM546" i="1"/>
  <c r="BL546" i="1"/>
  <c r="BK546" i="1"/>
  <c r="BJ546" i="1"/>
  <c r="BI546" i="1"/>
  <c r="BH546" i="1"/>
  <c r="BG546" i="1"/>
  <c r="CE545" i="1"/>
  <c r="CD545" i="1"/>
  <c r="CC545" i="1"/>
  <c r="CB545" i="1"/>
  <c r="CA545" i="1"/>
  <c r="BZ545" i="1"/>
  <c r="BY545" i="1"/>
  <c r="BX545" i="1"/>
  <c r="BW545" i="1"/>
  <c r="BV545" i="1"/>
  <c r="BU545" i="1"/>
  <c r="BT545" i="1"/>
  <c r="BS545" i="1"/>
  <c r="BR545" i="1"/>
  <c r="BQ545" i="1"/>
  <c r="BP545" i="1"/>
  <c r="BO545" i="1"/>
  <c r="BN545" i="1"/>
  <c r="BM545" i="1"/>
  <c r="BL545" i="1"/>
  <c r="BK545" i="1"/>
  <c r="BJ545" i="1"/>
  <c r="BI545" i="1"/>
  <c r="BH545" i="1"/>
  <c r="BG545" i="1"/>
  <c r="CE544" i="1"/>
  <c r="CD544" i="1"/>
  <c r="CC544" i="1"/>
  <c r="CB544" i="1"/>
  <c r="CA544" i="1"/>
  <c r="BZ544" i="1"/>
  <c r="BY544" i="1"/>
  <c r="BX544" i="1"/>
  <c r="BW544" i="1"/>
  <c r="BV544" i="1"/>
  <c r="BU544" i="1"/>
  <c r="BT544" i="1"/>
  <c r="BS544" i="1"/>
  <c r="BR544" i="1"/>
  <c r="BQ544" i="1"/>
  <c r="BP544" i="1"/>
  <c r="BO544" i="1"/>
  <c r="BN544" i="1"/>
  <c r="BM544" i="1"/>
  <c r="BL544" i="1"/>
  <c r="BK544" i="1"/>
  <c r="BJ544" i="1"/>
  <c r="BI544" i="1"/>
  <c r="BH544" i="1"/>
  <c r="BG544" i="1"/>
  <c r="CE543" i="1"/>
  <c r="CD543" i="1"/>
  <c r="CC543" i="1"/>
  <c r="CB543" i="1"/>
  <c r="CA543" i="1"/>
  <c r="BZ543" i="1"/>
  <c r="BY543" i="1"/>
  <c r="BX543" i="1"/>
  <c r="BW543" i="1"/>
  <c r="BV543" i="1"/>
  <c r="BU543" i="1"/>
  <c r="BT543" i="1"/>
  <c r="BS543" i="1"/>
  <c r="BR543" i="1"/>
  <c r="BQ543" i="1"/>
  <c r="BP543" i="1"/>
  <c r="BO543" i="1"/>
  <c r="BN543" i="1"/>
  <c r="BM543" i="1"/>
  <c r="BL543" i="1"/>
  <c r="BK543" i="1"/>
  <c r="BJ543" i="1"/>
  <c r="BI543" i="1"/>
  <c r="BH543" i="1"/>
  <c r="BG543" i="1"/>
  <c r="CE542" i="1"/>
  <c r="CD542" i="1"/>
  <c r="CC542" i="1"/>
  <c r="CB542" i="1"/>
  <c r="CA542" i="1"/>
  <c r="BZ542" i="1"/>
  <c r="BY542" i="1"/>
  <c r="BX542" i="1"/>
  <c r="BW542" i="1"/>
  <c r="BV542" i="1"/>
  <c r="BU542" i="1"/>
  <c r="BT542" i="1"/>
  <c r="BS542" i="1"/>
  <c r="BR542" i="1"/>
  <c r="BQ542" i="1"/>
  <c r="BP542" i="1"/>
  <c r="BO542" i="1"/>
  <c r="BN542" i="1"/>
  <c r="BM542" i="1"/>
  <c r="BL542" i="1"/>
  <c r="BK542" i="1"/>
  <c r="BJ542" i="1"/>
  <c r="BI542" i="1"/>
  <c r="BH542" i="1"/>
  <c r="BG542" i="1"/>
  <c r="CE541" i="1"/>
  <c r="CD541" i="1"/>
  <c r="CC541" i="1"/>
  <c r="CB541" i="1"/>
  <c r="CA541" i="1"/>
  <c r="BZ541" i="1"/>
  <c r="BY541" i="1"/>
  <c r="BX541" i="1"/>
  <c r="BW541" i="1"/>
  <c r="BV541" i="1"/>
  <c r="BU541" i="1"/>
  <c r="BT541" i="1"/>
  <c r="BS541" i="1"/>
  <c r="BR541" i="1"/>
  <c r="BQ541" i="1"/>
  <c r="BP541" i="1"/>
  <c r="BO541" i="1"/>
  <c r="BN541" i="1"/>
  <c r="BM541" i="1"/>
  <c r="BL541" i="1"/>
  <c r="BK541" i="1"/>
  <c r="BJ541" i="1"/>
  <c r="BI541" i="1"/>
  <c r="BH541" i="1"/>
  <c r="BG541" i="1"/>
  <c r="CE540" i="1"/>
  <c r="CD540" i="1"/>
  <c r="CC540" i="1"/>
  <c r="CB540" i="1"/>
  <c r="CA540" i="1"/>
  <c r="BZ540" i="1"/>
  <c r="BY540" i="1"/>
  <c r="BX540" i="1"/>
  <c r="BW540" i="1"/>
  <c r="BV540" i="1"/>
  <c r="BU540" i="1"/>
  <c r="BT540" i="1"/>
  <c r="BS540" i="1"/>
  <c r="BR540" i="1"/>
  <c r="BQ540" i="1"/>
  <c r="BP540" i="1"/>
  <c r="BO540" i="1"/>
  <c r="BN540" i="1"/>
  <c r="BM540" i="1"/>
  <c r="BL540" i="1"/>
  <c r="BK540" i="1"/>
  <c r="BJ540" i="1"/>
  <c r="BI540" i="1"/>
  <c r="BH540" i="1"/>
  <c r="BG540" i="1"/>
  <c r="CE539" i="1"/>
  <c r="CD539" i="1"/>
  <c r="CC539" i="1"/>
  <c r="CB539" i="1"/>
  <c r="CA539" i="1"/>
  <c r="BZ539" i="1"/>
  <c r="BY539" i="1"/>
  <c r="BX539" i="1"/>
  <c r="BW539" i="1"/>
  <c r="BV539" i="1"/>
  <c r="BU539" i="1"/>
  <c r="BT539" i="1"/>
  <c r="BS539" i="1"/>
  <c r="BR539" i="1"/>
  <c r="BQ539" i="1"/>
  <c r="BP539" i="1"/>
  <c r="BO539" i="1"/>
  <c r="BN539" i="1"/>
  <c r="BM539" i="1"/>
  <c r="BL539" i="1"/>
  <c r="BK539" i="1"/>
  <c r="BJ539" i="1"/>
  <c r="BI539" i="1"/>
  <c r="BH539" i="1"/>
  <c r="BG539" i="1"/>
  <c r="CE538" i="1"/>
  <c r="CD538" i="1"/>
  <c r="CC538" i="1"/>
  <c r="CB538" i="1"/>
  <c r="CA538" i="1"/>
  <c r="BZ538" i="1"/>
  <c r="BY538" i="1"/>
  <c r="BX538" i="1"/>
  <c r="BW538" i="1"/>
  <c r="BV538" i="1"/>
  <c r="BU538" i="1"/>
  <c r="BT538" i="1"/>
  <c r="BS538" i="1"/>
  <c r="BR538" i="1"/>
  <c r="BQ538" i="1"/>
  <c r="BP538" i="1"/>
  <c r="BO538" i="1"/>
  <c r="BN538" i="1"/>
  <c r="BM538" i="1"/>
  <c r="BL538" i="1"/>
  <c r="BK538" i="1"/>
  <c r="BJ538" i="1"/>
  <c r="BI538" i="1"/>
  <c r="BH538" i="1"/>
  <c r="BG538" i="1"/>
  <c r="CE537" i="1"/>
  <c r="CD537" i="1"/>
  <c r="CC537" i="1"/>
  <c r="CB537" i="1"/>
  <c r="CA537" i="1"/>
  <c r="BZ537" i="1"/>
  <c r="BY537" i="1"/>
  <c r="BX537" i="1"/>
  <c r="BW537" i="1"/>
  <c r="BV537" i="1"/>
  <c r="BU537" i="1"/>
  <c r="BT537" i="1"/>
  <c r="BS537" i="1"/>
  <c r="BR537" i="1"/>
  <c r="BQ537" i="1"/>
  <c r="BP537" i="1"/>
  <c r="BO537" i="1"/>
  <c r="BN537" i="1"/>
  <c r="BM537" i="1"/>
  <c r="BL537" i="1"/>
  <c r="BK537" i="1"/>
  <c r="BJ537" i="1"/>
  <c r="BI537" i="1"/>
  <c r="BH537" i="1"/>
  <c r="BG537" i="1"/>
  <c r="CE536" i="1"/>
  <c r="CD536" i="1"/>
  <c r="CC536" i="1"/>
  <c r="CB536" i="1"/>
  <c r="CA536" i="1"/>
  <c r="BZ536" i="1"/>
  <c r="BY536" i="1"/>
  <c r="BX536" i="1"/>
  <c r="BW536" i="1"/>
  <c r="BV536" i="1"/>
  <c r="BU536" i="1"/>
  <c r="BT536" i="1"/>
  <c r="BS536" i="1"/>
  <c r="BR536" i="1"/>
  <c r="BQ536" i="1"/>
  <c r="BP536" i="1"/>
  <c r="BO536" i="1"/>
  <c r="BN536" i="1"/>
  <c r="BM536" i="1"/>
  <c r="BL536" i="1"/>
  <c r="BK536" i="1"/>
  <c r="BJ536" i="1"/>
  <c r="BI536" i="1"/>
  <c r="BH536" i="1"/>
  <c r="BG536" i="1"/>
  <c r="CE535" i="1"/>
  <c r="CD535" i="1"/>
  <c r="CC535" i="1"/>
  <c r="CB535" i="1"/>
  <c r="CA535" i="1"/>
  <c r="BZ535" i="1"/>
  <c r="BY535" i="1"/>
  <c r="BX535" i="1"/>
  <c r="BW535" i="1"/>
  <c r="BV535" i="1"/>
  <c r="BU535" i="1"/>
  <c r="BT535" i="1"/>
  <c r="BS535" i="1"/>
  <c r="BR535" i="1"/>
  <c r="BQ535" i="1"/>
  <c r="BP535" i="1"/>
  <c r="BO535" i="1"/>
  <c r="BN535" i="1"/>
  <c r="BM535" i="1"/>
  <c r="BL535" i="1"/>
  <c r="BK535" i="1"/>
  <c r="BJ535" i="1"/>
  <c r="BI535" i="1"/>
  <c r="BH535" i="1"/>
  <c r="BG535" i="1"/>
  <c r="CE534" i="1"/>
  <c r="CD534" i="1"/>
  <c r="CC534" i="1"/>
  <c r="CB534" i="1"/>
  <c r="CA534" i="1"/>
  <c r="BZ534" i="1"/>
  <c r="BY534" i="1"/>
  <c r="BX534" i="1"/>
  <c r="BW534" i="1"/>
  <c r="BV534" i="1"/>
  <c r="BU534" i="1"/>
  <c r="BT534" i="1"/>
  <c r="BS534" i="1"/>
  <c r="BR534" i="1"/>
  <c r="BQ534" i="1"/>
  <c r="BP534" i="1"/>
  <c r="BO534" i="1"/>
  <c r="BN534" i="1"/>
  <c r="BM534" i="1"/>
  <c r="BL534" i="1"/>
  <c r="BK534" i="1"/>
  <c r="BJ534" i="1"/>
  <c r="BI534" i="1"/>
  <c r="BH534" i="1"/>
  <c r="BG534" i="1"/>
  <c r="CE533" i="1"/>
  <c r="CD533" i="1"/>
  <c r="CC533" i="1"/>
  <c r="CB533" i="1"/>
  <c r="CA533" i="1"/>
  <c r="BZ533" i="1"/>
  <c r="BY533" i="1"/>
  <c r="BX533" i="1"/>
  <c r="BW533" i="1"/>
  <c r="BV533" i="1"/>
  <c r="BU533" i="1"/>
  <c r="BT533" i="1"/>
  <c r="BS533" i="1"/>
  <c r="BR533" i="1"/>
  <c r="BQ533" i="1"/>
  <c r="BP533" i="1"/>
  <c r="BO533" i="1"/>
  <c r="BN533" i="1"/>
  <c r="BM533" i="1"/>
  <c r="BL533" i="1"/>
  <c r="BK533" i="1"/>
  <c r="BJ533" i="1"/>
  <c r="BI533" i="1"/>
  <c r="BH533" i="1"/>
  <c r="BG533" i="1"/>
  <c r="CE532" i="1"/>
  <c r="CD532" i="1"/>
  <c r="CC532" i="1"/>
  <c r="CB532" i="1"/>
  <c r="CA532" i="1"/>
  <c r="BZ532" i="1"/>
  <c r="BY532" i="1"/>
  <c r="BX532" i="1"/>
  <c r="BW532" i="1"/>
  <c r="BV532" i="1"/>
  <c r="BU532" i="1"/>
  <c r="BT532" i="1"/>
  <c r="BS532" i="1"/>
  <c r="BR532" i="1"/>
  <c r="BQ532" i="1"/>
  <c r="BP532" i="1"/>
  <c r="BO532" i="1"/>
  <c r="BN532" i="1"/>
  <c r="BM532" i="1"/>
  <c r="BL532" i="1"/>
  <c r="BK532" i="1"/>
  <c r="BJ532" i="1"/>
  <c r="BI532" i="1"/>
  <c r="BH532" i="1"/>
  <c r="BG532" i="1"/>
  <c r="CE531" i="1"/>
  <c r="CD531" i="1"/>
  <c r="CC531" i="1"/>
  <c r="CB531" i="1"/>
  <c r="CA531" i="1"/>
  <c r="BZ531" i="1"/>
  <c r="BY531" i="1"/>
  <c r="BX531" i="1"/>
  <c r="BW531" i="1"/>
  <c r="BV531" i="1"/>
  <c r="BU531" i="1"/>
  <c r="BT531" i="1"/>
  <c r="BS531" i="1"/>
  <c r="BR531" i="1"/>
  <c r="BQ531" i="1"/>
  <c r="BP531" i="1"/>
  <c r="BO531" i="1"/>
  <c r="BN531" i="1"/>
  <c r="BM531" i="1"/>
  <c r="BL531" i="1"/>
  <c r="BK531" i="1"/>
  <c r="BJ531" i="1"/>
  <c r="BI531" i="1"/>
  <c r="BH531" i="1"/>
  <c r="BG531" i="1"/>
  <c r="CE530" i="1"/>
  <c r="CD530" i="1"/>
  <c r="CC530" i="1"/>
  <c r="CB530" i="1"/>
  <c r="CA530" i="1"/>
  <c r="BZ530" i="1"/>
  <c r="BY530" i="1"/>
  <c r="BX530" i="1"/>
  <c r="BW530" i="1"/>
  <c r="BV530" i="1"/>
  <c r="BU530" i="1"/>
  <c r="BT530" i="1"/>
  <c r="BS530" i="1"/>
  <c r="BR530" i="1"/>
  <c r="BQ530" i="1"/>
  <c r="BP530" i="1"/>
  <c r="BO530" i="1"/>
  <c r="BN530" i="1"/>
  <c r="BM530" i="1"/>
  <c r="BL530" i="1"/>
  <c r="BK530" i="1"/>
  <c r="BJ530" i="1"/>
  <c r="BI530" i="1"/>
  <c r="BH530" i="1"/>
  <c r="BG530" i="1"/>
  <c r="CE529" i="1"/>
  <c r="CD529" i="1"/>
  <c r="CC529" i="1"/>
  <c r="CB529" i="1"/>
  <c r="CA529" i="1"/>
  <c r="BZ529" i="1"/>
  <c r="BY529" i="1"/>
  <c r="BX529" i="1"/>
  <c r="BW529" i="1"/>
  <c r="BV529" i="1"/>
  <c r="BU529" i="1"/>
  <c r="BT529" i="1"/>
  <c r="BS529" i="1"/>
  <c r="BR529" i="1"/>
  <c r="BQ529" i="1"/>
  <c r="BP529" i="1"/>
  <c r="BO529" i="1"/>
  <c r="BN529" i="1"/>
  <c r="BM529" i="1"/>
  <c r="BL529" i="1"/>
  <c r="BK529" i="1"/>
  <c r="BJ529" i="1"/>
  <c r="BI529" i="1"/>
  <c r="BH529" i="1"/>
  <c r="BG529" i="1"/>
  <c r="CE528" i="1"/>
  <c r="CD528" i="1"/>
  <c r="CC528" i="1"/>
  <c r="CB528" i="1"/>
  <c r="CA528" i="1"/>
  <c r="BZ528" i="1"/>
  <c r="BY528" i="1"/>
  <c r="BX528" i="1"/>
  <c r="BW528" i="1"/>
  <c r="BV528" i="1"/>
  <c r="BU528" i="1"/>
  <c r="BT528" i="1"/>
  <c r="BS528" i="1"/>
  <c r="BR528" i="1"/>
  <c r="BQ528" i="1"/>
  <c r="BP528" i="1"/>
  <c r="BO528" i="1"/>
  <c r="BN528" i="1"/>
  <c r="BM528" i="1"/>
  <c r="BL528" i="1"/>
  <c r="BK528" i="1"/>
  <c r="BJ528" i="1"/>
  <c r="BI528" i="1"/>
  <c r="BH528" i="1"/>
  <c r="BG528" i="1"/>
  <c r="CE527" i="1"/>
  <c r="CD527" i="1"/>
  <c r="CC527" i="1"/>
  <c r="CB527" i="1"/>
  <c r="CA527" i="1"/>
  <c r="BZ527" i="1"/>
  <c r="BY527" i="1"/>
  <c r="BX527" i="1"/>
  <c r="BW527" i="1"/>
  <c r="BV527" i="1"/>
  <c r="BU527" i="1"/>
  <c r="BT527" i="1"/>
  <c r="BS527" i="1"/>
  <c r="BR527" i="1"/>
  <c r="BQ527" i="1"/>
  <c r="BP527" i="1"/>
  <c r="BO527" i="1"/>
  <c r="BN527" i="1"/>
  <c r="BM527" i="1"/>
  <c r="BL527" i="1"/>
  <c r="BK527" i="1"/>
  <c r="BJ527" i="1"/>
  <c r="BI527" i="1"/>
  <c r="BH527" i="1"/>
  <c r="BG527" i="1"/>
  <c r="CE526" i="1"/>
  <c r="CD526" i="1"/>
  <c r="CC526" i="1"/>
  <c r="CB526" i="1"/>
  <c r="CA526" i="1"/>
  <c r="BZ526" i="1"/>
  <c r="BY526" i="1"/>
  <c r="BX526" i="1"/>
  <c r="BW526" i="1"/>
  <c r="BV526" i="1"/>
  <c r="BU526" i="1"/>
  <c r="BT526" i="1"/>
  <c r="BS526" i="1"/>
  <c r="BR526" i="1"/>
  <c r="BQ526" i="1"/>
  <c r="BP526" i="1"/>
  <c r="BO526" i="1"/>
  <c r="BN526" i="1"/>
  <c r="BM526" i="1"/>
  <c r="BL526" i="1"/>
  <c r="BK526" i="1"/>
  <c r="BJ526" i="1"/>
  <c r="BI526" i="1"/>
  <c r="BH526" i="1"/>
  <c r="BG526" i="1"/>
  <c r="CE525" i="1"/>
  <c r="CD525" i="1"/>
  <c r="CC525" i="1"/>
  <c r="CB525" i="1"/>
  <c r="CA525" i="1"/>
  <c r="BZ525" i="1"/>
  <c r="BY525" i="1"/>
  <c r="BX525" i="1"/>
  <c r="BW525" i="1"/>
  <c r="BV525" i="1"/>
  <c r="BU525" i="1"/>
  <c r="BT525" i="1"/>
  <c r="BS525" i="1"/>
  <c r="BR525" i="1"/>
  <c r="BQ525" i="1"/>
  <c r="BP525" i="1"/>
  <c r="BO525" i="1"/>
  <c r="BN525" i="1"/>
  <c r="BM525" i="1"/>
  <c r="BL525" i="1"/>
  <c r="BK525" i="1"/>
  <c r="BJ525" i="1"/>
  <c r="BI525" i="1"/>
  <c r="BH525" i="1"/>
  <c r="BG525" i="1"/>
  <c r="CE524" i="1"/>
  <c r="CD524" i="1"/>
  <c r="CC524" i="1"/>
  <c r="CB524" i="1"/>
  <c r="CA524" i="1"/>
  <c r="BZ524" i="1"/>
  <c r="BY524" i="1"/>
  <c r="BX524" i="1"/>
  <c r="BW524" i="1"/>
  <c r="BV524" i="1"/>
  <c r="BU524" i="1"/>
  <c r="BT524" i="1"/>
  <c r="BS524" i="1"/>
  <c r="BR524" i="1"/>
  <c r="BQ524" i="1"/>
  <c r="BP524" i="1"/>
  <c r="BO524" i="1"/>
  <c r="BN524" i="1"/>
  <c r="BM524" i="1"/>
  <c r="BL524" i="1"/>
  <c r="BK524" i="1"/>
  <c r="BJ524" i="1"/>
  <c r="BI524" i="1"/>
  <c r="BH524" i="1"/>
  <c r="BG524" i="1"/>
  <c r="CE523" i="1"/>
  <c r="CD523" i="1"/>
  <c r="CC523" i="1"/>
  <c r="CB523" i="1"/>
  <c r="CA523" i="1"/>
  <c r="BZ523" i="1"/>
  <c r="BY523" i="1"/>
  <c r="BX523" i="1"/>
  <c r="BW523" i="1"/>
  <c r="BV523" i="1"/>
  <c r="BU523" i="1"/>
  <c r="BT523" i="1"/>
  <c r="BS523" i="1"/>
  <c r="BR523" i="1"/>
  <c r="BQ523" i="1"/>
  <c r="BP523" i="1"/>
  <c r="BO523" i="1"/>
  <c r="BN523" i="1"/>
  <c r="BM523" i="1"/>
  <c r="BL523" i="1"/>
  <c r="BK523" i="1"/>
  <c r="BJ523" i="1"/>
  <c r="BI523" i="1"/>
  <c r="BH523" i="1"/>
  <c r="BG523" i="1"/>
  <c r="CE522" i="1"/>
  <c r="CD522" i="1"/>
  <c r="CC522" i="1"/>
  <c r="CB522" i="1"/>
  <c r="CA522" i="1"/>
  <c r="BZ522" i="1"/>
  <c r="BY522" i="1"/>
  <c r="BX522" i="1"/>
  <c r="BW522" i="1"/>
  <c r="BV522" i="1"/>
  <c r="BU522" i="1"/>
  <c r="BT522" i="1"/>
  <c r="BS522" i="1"/>
  <c r="BR522" i="1"/>
  <c r="BQ522" i="1"/>
  <c r="BP522" i="1"/>
  <c r="BO522" i="1"/>
  <c r="BN522" i="1"/>
  <c r="BM522" i="1"/>
  <c r="BL522" i="1"/>
  <c r="BK522" i="1"/>
  <c r="BJ522" i="1"/>
  <c r="BI522" i="1"/>
  <c r="BH522" i="1"/>
  <c r="BG522" i="1"/>
  <c r="CE521" i="1"/>
  <c r="CD521" i="1"/>
  <c r="CC521" i="1"/>
  <c r="CB521" i="1"/>
  <c r="CA521" i="1"/>
  <c r="BZ521" i="1"/>
  <c r="BY521" i="1"/>
  <c r="BX521" i="1"/>
  <c r="BW521" i="1"/>
  <c r="BV521" i="1"/>
  <c r="BU521" i="1"/>
  <c r="BT521" i="1"/>
  <c r="BS521" i="1"/>
  <c r="BR521" i="1"/>
  <c r="BQ521" i="1"/>
  <c r="BP521" i="1"/>
  <c r="BO521" i="1"/>
  <c r="BN521" i="1"/>
  <c r="BM521" i="1"/>
  <c r="BL521" i="1"/>
  <c r="BK521" i="1"/>
  <c r="BJ521" i="1"/>
  <c r="BI521" i="1"/>
  <c r="BH521" i="1"/>
  <c r="BG521" i="1"/>
  <c r="CE520" i="1"/>
  <c r="CD520" i="1"/>
  <c r="CC520" i="1"/>
  <c r="CB520" i="1"/>
  <c r="CA520" i="1"/>
  <c r="BZ520" i="1"/>
  <c r="BY520" i="1"/>
  <c r="BX520" i="1"/>
  <c r="BW520" i="1"/>
  <c r="BV520" i="1"/>
  <c r="BU520" i="1"/>
  <c r="BT520" i="1"/>
  <c r="BS520" i="1"/>
  <c r="BR520" i="1"/>
  <c r="BQ520" i="1"/>
  <c r="BP520" i="1"/>
  <c r="BO520" i="1"/>
  <c r="BN520" i="1"/>
  <c r="BM520" i="1"/>
  <c r="BL520" i="1"/>
  <c r="BK520" i="1"/>
  <c r="BJ520" i="1"/>
  <c r="BI520" i="1"/>
  <c r="BH520" i="1"/>
  <c r="BG520" i="1"/>
  <c r="CE519" i="1"/>
  <c r="CD519" i="1"/>
  <c r="CC519" i="1"/>
  <c r="CB519" i="1"/>
  <c r="CA519" i="1"/>
  <c r="BZ519" i="1"/>
  <c r="BY519" i="1"/>
  <c r="BX519" i="1"/>
  <c r="BW519" i="1"/>
  <c r="BV519" i="1"/>
  <c r="BU519" i="1"/>
  <c r="BT519" i="1"/>
  <c r="BS519" i="1"/>
  <c r="BR519" i="1"/>
  <c r="BQ519" i="1"/>
  <c r="BP519" i="1"/>
  <c r="BO519" i="1"/>
  <c r="BN519" i="1"/>
  <c r="BM519" i="1"/>
  <c r="BL519" i="1"/>
  <c r="BK519" i="1"/>
  <c r="BJ519" i="1"/>
  <c r="BI519" i="1"/>
  <c r="BH519" i="1"/>
  <c r="BG519" i="1"/>
  <c r="CE518" i="1"/>
  <c r="CD518" i="1"/>
  <c r="CC518" i="1"/>
  <c r="CB518" i="1"/>
  <c r="CA518" i="1"/>
  <c r="BZ518" i="1"/>
  <c r="BY518" i="1"/>
  <c r="BX518" i="1"/>
  <c r="BW518" i="1"/>
  <c r="BV518" i="1"/>
  <c r="BU518" i="1"/>
  <c r="BT518" i="1"/>
  <c r="BS518" i="1"/>
  <c r="BR518" i="1"/>
  <c r="BQ518" i="1"/>
  <c r="BP518" i="1"/>
  <c r="BO518" i="1"/>
  <c r="BN518" i="1"/>
  <c r="BM518" i="1"/>
  <c r="BL518" i="1"/>
  <c r="BK518" i="1"/>
  <c r="BJ518" i="1"/>
  <c r="BI518" i="1"/>
  <c r="BH518" i="1"/>
  <c r="BG518" i="1"/>
  <c r="CE517" i="1"/>
  <c r="CD517" i="1"/>
  <c r="CC517" i="1"/>
  <c r="CB517" i="1"/>
  <c r="CA517" i="1"/>
  <c r="BZ517" i="1"/>
  <c r="BY517" i="1"/>
  <c r="BX517" i="1"/>
  <c r="BW517" i="1"/>
  <c r="BV517" i="1"/>
  <c r="BU517" i="1"/>
  <c r="BT517" i="1"/>
  <c r="BS517" i="1"/>
  <c r="BR517" i="1"/>
  <c r="BQ517" i="1"/>
  <c r="BP517" i="1"/>
  <c r="BO517" i="1"/>
  <c r="BN517" i="1"/>
  <c r="BM517" i="1"/>
  <c r="BL517" i="1"/>
  <c r="BK517" i="1"/>
  <c r="BJ517" i="1"/>
  <c r="BI517" i="1"/>
  <c r="BH517" i="1"/>
  <c r="BG517" i="1"/>
  <c r="CE516" i="1"/>
  <c r="CD516" i="1"/>
  <c r="CC516" i="1"/>
  <c r="CB516" i="1"/>
  <c r="CA516" i="1"/>
  <c r="BZ516" i="1"/>
  <c r="BY516" i="1"/>
  <c r="BX516" i="1"/>
  <c r="BW516" i="1"/>
  <c r="BV516" i="1"/>
  <c r="BU516" i="1"/>
  <c r="BT516" i="1"/>
  <c r="BS516" i="1"/>
  <c r="BR516" i="1"/>
  <c r="BQ516" i="1"/>
  <c r="BP516" i="1"/>
  <c r="BO516" i="1"/>
  <c r="BN516" i="1"/>
  <c r="BM516" i="1"/>
  <c r="BL516" i="1"/>
  <c r="BK516" i="1"/>
  <c r="BJ516" i="1"/>
  <c r="BI516" i="1"/>
  <c r="BH516" i="1"/>
  <c r="BG516" i="1"/>
  <c r="CE515" i="1"/>
  <c r="CD515" i="1"/>
  <c r="CC515" i="1"/>
  <c r="CB515" i="1"/>
  <c r="CA515" i="1"/>
  <c r="BZ515" i="1"/>
  <c r="BY515" i="1"/>
  <c r="BX515" i="1"/>
  <c r="BW515" i="1"/>
  <c r="BV515" i="1"/>
  <c r="BU515" i="1"/>
  <c r="BT515" i="1"/>
  <c r="BS515" i="1"/>
  <c r="BR515" i="1"/>
  <c r="BQ515" i="1"/>
  <c r="BP515" i="1"/>
  <c r="BO515" i="1"/>
  <c r="BN515" i="1"/>
  <c r="BM515" i="1"/>
  <c r="BL515" i="1"/>
  <c r="BK515" i="1"/>
  <c r="BJ515" i="1"/>
  <c r="BI515" i="1"/>
  <c r="BH515" i="1"/>
  <c r="BG515" i="1"/>
  <c r="CE514" i="1"/>
  <c r="CD514" i="1"/>
  <c r="CC514" i="1"/>
  <c r="CB514" i="1"/>
  <c r="CA514" i="1"/>
  <c r="BZ514" i="1"/>
  <c r="BY514" i="1"/>
  <c r="BX514" i="1"/>
  <c r="BW514" i="1"/>
  <c r="BV514" i="1"/>
  <c r="BU514" i="1"/>
  <c r="BT514" i="1"/>
  <c r="BS514" i="1"/>
  <c r="BR514" i="1"/>
  <c r="BQ514" i="1"/>
  <c r="BP514" i="1"/>
  <c r="BO514" i="1"/>
  <c r="BN514" i="1"/>
  <c r="BM514" i="1"/>
  <c r="BL514" i="1"/>
  <c r="BK514" i="1"/>
  <c r="BJ514" i="1"/>
  <c r="BI514" i="1"/>
  <c r="BH514" i="1"/>
  <c r="BG514" i="1"/>
  <c r="CE513" i="1"/>
  <c r="CD513" i="1"/>
  <c r="CC513" i="1"/>
  <c r="CB513" i="1"/>
  <c r="CA513" i="1"/>
  <c r="BZ513" i="1"/>
  <c r="BY513" i="1"/>
  <c r="BX513" i="1"/>
  <c r="BW513" i="1"/>
  <c r="BV513" i="1"/>
  <c r="BU513" i="1"/>
  <c r="BT513" i="1"/>
  <c r="BS513" i="1"/>
  <c r="BR513" i="1"/>
  <c r="BQ513" i="1"/>
  <c r="BP513" i="1"/>
  <c r="BO513" i="1"/>
  <c r="BN513" i="1"/>
  <c r="BM513" i="1"/>
  <c r="BL513" i="1"/>
  <c r="BK513" i="1"/>
  <c r="BJ513" i="1"/>
  <c r="BI513" i="1"/>
  <c r="BH513" i="1"/>
  <c r="BG513" i="1"/>
  <c r="CE512" i="1"/>
  <c r="CD512" i="1"/>
  <c r="CC512" i="1"/>
  <c r="CB512" i="1"/>
  <c r="CA512" i="1"/>
  <c r="BZ512" i="1"/>
  <c r="BY512" i="1"/>
  <c r="BX512" i="1"/>
  <c r="BW512" i="1"/>
  <c r="BV512" i="1"/>
  <c r="BU512" i="1"/>
  <c r="BT512" i="1"/>
  <c r="BS512" i="1"/>
  <c r="BR512" i="1"/>
  <c r="BQ512" i="1"/>
  <c r="BP512" i="1"/>
  <c r="BO512" i="1"/>
  <c r="BN512" i="1"/>
  <c r="BM512" i="1"/>
  <c r="BL512" i="1"/>
  <c r="BK512" i="1"/>
  <c r="BJ512" i="1"/>
  <c r="BI512" i="1"/>
  <c r="BH512" i="1"/>
  <c r="BG512" i="1"/>
  <c r="CE511" i="1"/>
  <c r="CD511" i="1"/>
  <c r="CC511" i="1"/>
  <c r="CB511" i="1"/>
  <c r="CA511" i="1"/>
  <c r="BZ511" i="1"/>
  <c r="BY511" i="1"/>
  <c r="BX511" i="1"/>
  <c r="BW511" i="1"/>
  <c r="BV511" i="1"/>
  <c r="BU511" i="1"/>
  <c r="BT511" i="1"/>
  <c r="BS511" i="1"/>
  <c r="BR511" i="1"/>
  <c r="BQ511" i="1"/>
  <c r="BP511" i="1"/>
  <c r="BO511" i="1"/>
  <c r="BN511" i="1"/>
  <c r="BM511" i="1"/>
  <c r="BL511" i="1"/>
  <c r="BK511" i="1"/>
  <c r="BJ511" i="1"/>
  <c r="BI511" i="1"/>
  <c r="BH511" i="1"/>
  <c r="BG511" i="1"/>
  <c r="CE510" i="1"/>
  <c r="CD510" i="1"/>
  <c r="CC510" i="1"/>
  <c r="CB510" i="1"/>
  <c r="CA510" i="1"/>
  <c r="BZ510" i="1"/>
  <c r="BY510" i="1"/>
  <c r="BX510" i="1"/>
  <c r="BW510" i="1"/>
  <c r="BV510" i="1"/>
  <c r="BU510" i="1"/>
  <c r="BT510" i="1"/>
  <c r="BS510" i="1"/>
  <c r="BR510" i="1"/>
  <c r="BQ510" i="1"/>
  <c r="BP510" i="1"/>
  <c r="BO510" i="1"/>
  <c r="BN510" i="1"/>
  <c r="BM510" i="1"/>
  <c r="BL510" i="1"/>
  <c r="BK510" i="1"/>
  <c r="BJ510" i="1"/>
  <c r="BI510" i="1"/>
  <c r="BH510" i="1"/>
  <c r="BG510" i="1"/>
  <c r="CE509" i="1"/>
  <c r="CD509" i="1"/>
  <c r="CC509" i="1"/>
  <c r="CB509" i="1"/>
  <c r="CA509" i="1"/>
  <c r="BZ509" i="1"/>
  <c r="BY509" i="1"/>
  <c r="BX509" i="1"/>
  <c r="BW509" i="1"/>
  <c r="BV509" i="1"/>
  <c r="BU509" i="1"/>
  <c r="BT509" i="1"/>
  <c r="BS509" i="1"/>
  <c r="BR509" i="1"/>
  <c r="BQ509" i="1"/>
  <c r="BP509" i="1"/>
  <c r="BO509" i="1"/>
  <c r="BN509" i="1"/>
  <c r="BM509" i="1"/>
  <c r="BL509" i="1"/>
  <c r="BK509" i="1"/>
  <c r="BJ509" i="1"/>
  <c r="BI509" i="1"/>
  <c r="BH509" i="1"/>
  <c r="BG509" i="1"/>
  <c r="CE508" i="1"/>
  <c r="CD508" i="1"/>
  <c r="CC508" i="1"/>
  <c r="CB508" i="1"/>
  <c r="CA508" i="1"/>
  <c r="BZ508" i="1"/>
  <c r="BY508" i="1"/>
  <c r="BX508" i="1"/>
  <c r="BW508" i="1"/>
  <c r="BV508" i="1"/>
  <c r="BU508" i="1"/>
  <c r="BT508" i="1"/>
  <c r="BS508" i="1"/>
  <c r="BR508" i="1"/>
  <c r="BQ508" i="1"/>
  <c r="BP508" i="1"/>
  <c r="BO508" i="1"/>
  <c r="BN508" i="1"/>
  <c r="BM508" i="1"/>
  <c r="BL508" i="1"/>
  <c r="BK508" i="1"/>
  <c r="BJ508" i="1"/>
  <c r="BI508" i="1"/>
  <c r="BH508" i="1"/>
  <c r="BG508" i="1"/>
  <c r="CE507" i="1"/>
  <c r="CD507" i="1"/>
  <c r="CC507" i="1"/>
  <c r="CB507" i="1"/>
  <c r="CA507" i="1"/>
  <c r="BZ507" i="1"/>
  <c r="BY507" i="1"/>
  <c r="BX507" i="1"/>
  <c r="BW507" i="1"/>
  <c r="BV507" i="1"/>
  <c r="BU507" i="1"/>
  <c r="BT507" i="1"/>
  <c r="BS507" i="1"/>
  <c r="BR507" i="1"/>
  <c r="BQ507" i="1"/>
  <c r="BP507" i="1"/>
  <c r="BO507" i="1"/>
  <c r="BN507" i="1"/>
  <c r="BM507" i="1"/>
  <c r="BL507" i="1"/>
  <c r="BK507" i="1"/>
  <c r="BJ507" i="1"/>
  <c r="BI507" i="1"/>
  <c r="BH507" i="1"/>
  <c r="BG507" i="1"/>
  <c r="CE506" i="1"/>
  <c r="CD506" i="1"/>
  <c r="CC506" i="1"/>
  <c r="CB506" i="1"/>
  <c r="CA506" i="1"/>
  <c r="BZ506" i="1"/>
  <c r="BY506" i="1"/>
  <c r="BX506" i="1"/>
  <c r="BW506" i="1"/>
  <c r="BV506" i="1"/>
  <c r="BU506" i="1"/>
  <c r="BT506" i="1"/>
  <c r="BS506" i="1"/>
  <c r="BR506" i="1"/>
  <c r="BQ506" i="1"/>
  <c r="BP506" i="1"/>
  <c r="BO506" i="1"/>
  <c r="BN506" i="1"/>
  <c r="BM506" i="1"/>
  <c r="BL506" i="1"/>
  <c r="BK506" i="1"/>
  <c r="BJ506" i="1"/>
  <c r="BI506" i="1"/>
  <c r="BH506" i="1"/>
  <c r="BG506" i="1"/>
  <c r="CE505" i="1"/>
  <c r="CD505" i="1"/>
  <c r="CC505" i="1"/>
  <c r="CB505" i="1"/>
  <c r="CA505" i="1"/>
  <c r="BZ505" i="1"/>
  <c r="BY505" i="1"/>
  <c r="BX505" i="1"/>
  <c r="BW505" i="1"/>
  <c r="BV505" i="1"/>
  <c r="BU505" i="1"/>
  <c r="BT505" i="1"/>
  <c r="BS505" i="1"/>
  <c r="BR505" i="1"/>
  <c r="BQ505" i="1"/>
  <c r="BP505" i="1"/>
  <c r="BO505" i="1"/>
  <c r="BN505" i="1"/>
  <c r="BM505" i="1"/>
  <c r="BL505" i="1"/>
  <c r="BK505" i="1"/>
  <c r="BJ505" i="1"/>
  <c r="BI505" i="1"/>
  <c r="BH505" i="1"/>
  <c r="BG505" i="1"/>
  <c r="CE504" i="1"/>
  <c r="CD504" i="1"/>
  <c r="CC504" i="1"/>
  <c r="CB504" i="1"/>
  <c r="CA504" i="1"/>
  <c r="BZ504" i="1"/>
  <c r="BY504" i="1"/>
  <c r="BX504" i="1"/>
  <c r="BW504" i="1"/>
  <c r="BV504" i="1"/>
  <c r="BU504" i="1"/>
  <c r="BT504" i="1"/>
  <c r="BS504" i="1"/>
  <c r="BR504" i="1"/>
  <c r="BQ504" i="1"/>
  <c r="BP504" i="1"/>
  <c r="BO504" i="1"/>
  <c r="BN504" i="1"/>
  <c r="BM504" i="1"/>
  <c r="BL504" i="1"/>
  <c r="BK504" i="1"/>
  <c r="BJ504" i="1"/>
  <c r="BI504" i="1"/>
  <c r="BH504" i="1"/>
  <c r="BG504" i="1"/>
  <c r="CE503" i="1"/>
  <c r="CD503" i="1"/>
  <c r="CC503" i="1"/>
  <c r="CB503" i="1"/>
  <c r="CA503" i="1"/>
  <c r="BZ503" i="1"/>
  <c r="BY503" i="1"/>
  <c r="BX503" i="1"/>
  <c r="BW503" i="1"/>
  <c r="BV503" i="1"/>
  <c r="BU503" i="1"/>
  <c r="BT503" i="1"/>
  <c r="BS503" i="1"/>
  <c r="BR503" i="1"/>
  <c r="BQ503" i="1"/>
  <c r="BP503" i="1"/>
  <c r="BO503" i="1"/>
  <c r="BN503" i="1"/>
  <c r="BM503" i="1"/>
  <c r="BL503" i="1"/>
  <c r="BK503" i="1"/>
  <c r="BJ503" i="1"/>
  <c r="BI503" i="1"/>
  <c r="BH503" i="1"/>
  <c r="BG503" i="1"/>
  <c r="CE502" i="1"/>
  <c r="CD502" i="1"/>
  <c r="CC502" i="1"/>
  <c r="CB502" i="1"/>
  <c r="CA502" i="1"/>
  <c r="BZ502" i="1"/>
  <c r="BY502" i="1"/>
  <c r="BX502" i="1"/>
  <c r="BW502" i="1"/>
  <c r="BV502" i="1"/>
  <c r="BU502" i="1"/>
  <c r="BT502" i="1"/>
  <c r="BS502" i="1"/>
  <c r="BR502" i="1"/>
  <c r="BQ502" i="1"/>
  <c r="BP502" i="1"/>
  <c r="BO502" i="1"/>
  <c r="BN502" i="1"/>
  <c r="BM502" i="1"/>
  <c r="BL502" i="1"/>
  <c r="BK502" i="1"/>
  <c r="BJ502" i="1"/>
  <c r="BI502" i="1"/>
  <c r="BH502" i="1"/>
  <c r="BG502" i="1"/>
  <c r="CE501" i="1"/>
  <c r="CD501" i="1"/>
  <c r="CC501" i="1"/>
  <c r="CB501" i="1"/>
  <c r="CA501" i="1"/>
  <c r="BZ501" i="1"/>
  <c r="BY501" i="1"/>
  <c r="BX501" i="1"/>
  <c r="BW501" i="1"/>
  <c r="BV501" i="1"/>
  <c r="BU501" i="1"/>
  <c r="BT501" i="1"/>
  <c r="BS501" i="1"/>
  <c r="BR501" i="1"/>
  <c r="BQ501" i="1"/>
  <c r="BP501" i="1"/>
  <c r="BO501" i="1"/>
  <c r="BN501" i="1"/>
  <c r="BM501" i="1"/>
  <c r="BL501" i="1"/>
  <c r="BK501" i="1"/>
  <c r="BJ501" i="1"/>
  <c r="BI501" i="1"/>
  <c r="BH501" i="1"/>
  <c r="BG501" i="1"/>
  <c r="CE500" i="1"/>
  <c r="CD500" i="1"/>
  <c r="CC500" i="1"/>
  <c r="CB500" i="1"/>
  <c r="CA500" i="1"/>
  <c r="BZ500" i="1"/>
  <c r="BY500" i="1"/>
  <c r="BX500" i="1"/>
  <c r="BW500" i="1"/>
  <c r="BV500" i="1"/>
  <c r="BU500" i="1"/>
  <c r="BT500" i="1"/>
  <c r="BS500" i="1"/>
  <c r="BR500" i="1"/>
  <c r="BQ500" i="1"/>
  <c r="BP500" i="1"/>
  <c r="BO500" i="1"/>
  <c r="BN500" i="1"/>
  <c r="BM500" i="1"/>
  <c r="BL500" i="1"/>
  <c r="BK500" i="1"/>
  <c r="BJ500" i="1"/>
  <c r="BI500" i="1"/>
  <c r="BH500" i="1"/>
  <c r="BG500" i="1"/>
  <c r="CE499" i="1"/>
  <c r="CD499" i="1"/>
  <c r="CC499" i="1"/>
  <c r="CB499" i="1"/>
  <c r="CA499" i="1"/>
  <c r="BZ499" i="1"/>
  <c r="BY499" i="1"/>
  <c r="BX499" i="1"/>
  <c r="BW499" i="1"/>
  <c r="BV499" i="1"/>
  <c r="BU499" i="1"/>
  <c r="BT499" i="1"/>
  <c r="BS499" i="1"/>
  <c r="BR499" i="1"/>
  <c r="BQ499" i="1"/>
  <c r="BP499" i="1"/>
  <c r="BO499" i="1"/>
  <c r="BN499" i="1"/>
  <c r="BM499" i="1"/>
  <c r="BL499" i="1"/>
  <c r="BK499" i="1"/>
  <c r="BJ499" i="1"/>
  <c r="BI499" i="1"/>
  <c r="BH499" i="1"/>
  <c r="BG499" i="1"/>
  <c r="CE498" i="1"/>
  <c r="CD498" i="1"/>
  <c r="CC498" i="1"/>
  <c r="CB498" i="1"/>
  <c r="CA498" i="1"/>
  <c r="BZ498" i="1"/>
  <c r="BY498" i="1"/>
  <c r="BX498" i="1"/>
  <c r="BW498" i="1"/>
  <c r="BV498" i="1"/>
  <c r="BU498" i="1"/>
  <c r="BT498" i="1"/>
  <c r="BS498" i="1"/>
  <c r="BR498" i="1"/>
  <c r="BQ498" i="1"/>
  <c r="BP498" i="1"/>
  <c r="BO498" i="1"/>
  <c r="BN498" i="1"/>
  <c r="BM498" i="1"/>
  <c r="BL498" i="1"/>
  <c r="BK498" i="1"/>
  <c r="BJ498" i="1"/>
  <c r="BI498" i="1"/>
  <c r="BH498" i="1"/>
  <c r="BG498" i="1"/>
  <c r="CE497" i="1"/>
  <c r="CD497" i="1"/>
  <c r="CC497" i="1"/>
  <c r="CB497" i="1"/>
  <c r="CA497" i="1"/>
  <c r="BZ497" i="1"/>
  <c r="BY497" i="1"/>
  <c r="BX497" i="1"/>
  <c r="BW497" i="1"/>
  <c r="BV497" i="1"/>
  <c r="BU497" i="1"/>
  <c r="BT497" i="1"/>
  <c r="BS497" i="1"/>
  <c r="BR497" i="1"/>
  <c r="BQ497" i="1"/>
  <c r="BP497" i="1"/>
  <c r="BO497" i="1"/>
  <c r="BN497" i="1"/>
  <c r="BM497" i="1"/>
  <c r="BL497" i="1"/>
  <c r="BK497" i="1"/>
  <c r="BJ497" i="1"/>
  <c r="BI497" i="1"/>
  <c r="BH497" i="1"/>
  <c r="BG497" i="1"/>
  <c r="CE496" i="1"/>
  <c r="CD496" i="1"/>
  <c r="CC496" i="1"/>
  <c r="CB496" i="1"/>
  <c r="CA496" i="1"/>
  <c r="BZ496" i="1"/>
  <c r="BY496" i="1"/>
  <c r="BX496" i="1"/>
  <c r="BW496" i="1"/>
  <c r="BV496" i="1"/>
  <c r="BU496" i="1"/>
  <c r="BT496" i="1"/>
  <c r="BS496" i="1"/>
  <c r="BR496" i="1"/>
  <c r="BQ496" i="1"/>
  <c r="BP496" i="1"/>
  <c r="BO496" i="1"/>
  <c r="BN496" i="1"/>
  <c r="BM496" i="1"/>
  <c r="BL496" i="1"/>
  <c r="BK496" i="1"/>
  <c r="BJ496" i="1"/>
  <c r="BI496" i="1"/>
  <c r="BH496" i="1"/>
  <c r="BG496" i="1"/>
  <c r="CE495" i="1"/>
  <c r="CD495" i="1"/>
  <c r="CC495" i="1"/>
  <c r="CB495" i="1"/>
  <c r="CA495" i="1"/>
  <c r="BZ495" i="1"/>
  <c r="BY495" i="1"/>
  <c r="BX495" i="1"/>
  <c r="BW495" i="1"/>
  <c r="BV495" i="1"/>
  <c r="BU495" i="1"/>
  <c r="BT495" i="1"/>
  <c r="BS495" i="1"/>
  <c r="BR495" i="1"/>
  <c r="BQ495" i="1"/>
  <c r="BP495" i="1"/>
  <c r="BO495" i="1"/>
  <c r="BN495" i="1"/>
  <c r="BM495" i="1"/>
  <c r="BL495" i="1"/>
  <c r="BK495" i="1"/>
  <c r="BJ495" i="1"/>
  <c r="BI495" i="1"/>
  <c r="BH495" i="1"/>
  <c r="BG495" i="1"/>
  <c r="CE494" i="1"/>
  <c r="CD494" i="1"/>
  <c r="CC494" i="1"/>
  <c r="CB494" i="1"/>
  <c r="CA494" i="1"/>
  <c r="BZ494" i="1"/>
  <c r="BY494" i="1"/>
  <c r="BX494" i="1"/>
  <c r="BW494" i="1"/>
  <c r="BV494" i="1"/>
  <c r="BU494" i="1"/>
  <c r="BT494" i="1"/>
  <c r="BS494" i="1"/>
  <c r="BR494" i="1"/>
  <c r="BQ494" i="1"/>
  <c r="BP494" i="1"/>
  <c r="BO494" i="1"/>
  <c r="BN494" i="1"/>
  <c r="BM494" i="1"/>
  <c r="BL494" i="1"/>
  <c r="BK494" i="1"/>
  <c r="BJ494" i="1"/>
  <c r="BI494" i="1"/>
  <c r="BH494" i="1"/>
  <c r="BG494" i="1"/>
  <c r="CE493" i="1"/>
  <c r="CD493" i="1"/>
  <c r="CC493" i="1"/>
  <c r="CB493" i="1"/>
  <c r="CA493" i="1"/>
  <c r="BZ493" i="1"/>
  <c r="BY493" i="1"/>
  <c r="BX493" i="1"/>
  <c r="BW493" i="1"/>
  <c r="BV493" i="1"/>
  <c r="BU493" i="1"/>
  <c r="BT493" i="1"/>
  <c r="BS493" i="1"/>
  <c r="BR493" i="1"/>
  <c r="BQ493" i="1"/>
  <c r="BP493" i="1"/>
  <c r="BO493" i="1"/>
  <c r="BN493" i="1"/>
  <c r="BM493" i="1"/>
  <c r="BL493" i="1"/>
  <c r="BK493" i="1"/>
  <c r="BJ493" i="1"/>
  <c r="BI493" i="1"/>
  <c r="BH493" i="1"/>
  <c r="BG493" i="1"/>
  <c r="CE492" i="1"/>
  <c r="CD492" i="1"/>
  <c r="CC492" i="1"/>
  <c r="CB492" i="1"/>
  <c r="CA492" i="1"/>
  <c r="BZ492" i="1"/>
  <c r="BY492" i="1"/>
  <c r="BX492" i="1"/>
  <c r="BW492" i="1"/>
  <c r="BV492" i="1"/>
  <c r="BU492" i="1"/>
  <c r="BT492" i="1"/>
  <c r="BS492" i="1"/>
  <c r="BR492" i="1"/>
  <c r="BQ492" i="1"/>
  <c r="BP492" i="1"/>
  <c r="BO492" i="1"/>
  <c r="BN492" i="1"/>
  <c r="BM492" i="1"/>
  <c r="BL492" i="1"/>
  <c r="BK492" i="1"/>
  <c r="BJ492" i="1"/>
  <c r="BI492" i="1"/>
  <c r="BH492" i="1"/>
  <c r="BG492" i="1"/>
  <c r="CE491" i="1"/>
  <c r="CD491" i="1"/>
  <c r="CC491" i="1"/>
  <c r="CB491" i="1"/>
  <c r="CA491" i="1"/>
  <c r="BZ491" i="1"/>
  <c r="BY491" i="1"/>
  <c r="BX491" i="1"/>
  <c r="BW491" i="1"/>
  <c r="BV491" i="1"/>
  <c r="BU491" i="1"/>
  <c r="BT491" i="1"/>
  <c r="BS491" i="1"/>
  <c r="BR491" i="1"/>
  <c r="BQ491" i="1"/>
  <c r="BP491" i="1"/>
  <c r="BO491" i="1"/>
  <c r="BN491" i="1"/>
  <c r="BM491" i="1"/>
  <c r="BL491" i="1"/>
  <c r="BK491" i="1"/>
  <c r="BJ491" i="1"/>
  <c r="BI491" i="1"/>
  <c r="BH491" i="1"/>
  <c r="BG491" i="1"/>
  <c r="CE490" i="1"/>
  <c r="CD490" i="1"/>
  <c r="CC490" i="1"/>
  <c r="CB490" i="1"/>
  <c r="CA490" i="1"/>
  <c r="BZ490" i="1"/>
  <c r="BY490" i="1"/>
  <c r="BX490" i="1"/>
  <c r="BW490" i="1"/>
  <c r="BV490" i="1"/>
  <c r="BU490" i="1"/>
  <c r="BT490" i="1"/>
  <c r="BS490" i="1"/>
  <c r="BR490" i="1"/>
  <c r="BQ490" i="1"/>
  <c r="BP490" i="1"/>
  <c r="BO490" i="1"/>
  <c r="BN490" i="1"/>
  <c r="BM490" i="1"/>
  <c r="BL490" i="1"/>
  <c r="BK490" i="1"/>
  <c r="BJ490" i="1"/>
  <c r="BI490" i="1"/>
  <c r="BH490" i="1"/>
  <c r="BG490" i="1"/>
  <c r="CE489" i="1"/>
  <c r="CD489" i="1"/>
  <c r="CC489" i="1"/>
  <c r="CB489" i="1"/>
  <c r="CA489" i="1"/>
  <c r="BZ489" i="1"/>
  <c r="BY489" i="1"/>
  <c r="BX489" i="1"/>
  <c r="BW489" i="1"/>
  <c r="BV489" i="1"/>
  <c r="BU489" i="1"/>
  <c r="BT489" i="1"/>
  <c r="BS489" i="1"/>
  <c r="BR489" i="1"/>
  <c r="BQ489" i="1"/>
  <c r="BP489" i="1"/>
  <c r="BO489" i="1"/>
  <c r="BN489" i="1"/>
  <c r="BM489" i="1"/>
  <c r="BL489" i="1"/>
  <c r="BK489" i="1"/>
  <c r="BJ489" i="1"/>
  <c r="BI489" i="1"/>
  <c r="BH489" i="1"/>
  <c r="BG489" i="1"/>
  <c r="CE488" i="1"/>
  <c r="CD488" i="1"/>
  <c r="CC488" i="1"/>
  <c r="CB488" i="1"/>
  <c r="CA488" i="1"/>
  <c r="BZ488" i="1"/>
  <c r="BY488" i="1"/>
  <c r="BX488" i="1"/>
  <c r="BW488" i="1"/>
  <c r="BV488" i="1"/>
  <c r="BU488" i="1"/>
  <c r="BT488" i="1"/>
  <c r="BS488" i="1"/>
  <c r="BR488" i="1"/>
  <c r="BQ488" i="1"/>
  <c r="BP488" i="1"/>
  <c r="BO488" i="1"/>
  <c r="BN488" i="1"/>
  <c r="BM488" i="1"/>
  <c r="BL488" i="1"/>
  <c r="BK488" i="1"/>
  <c r="BJ488" i="1"/>
  <c r="BI488" i="1"/>
  <c r="BH488" i="1"/>
  <c r="BG488" i="1"/>
  <c r="CE487" i="1"/>
  <c r="CD487" i="1"/>
  <c r="CC487" i="1"/>
  <c r="CB487" i="1"/>
  <c r="CA487" i="1"/>
  <c r="BZ487" i="1"/>
  <c r="BY487" i="1"/>
  <c r="BX487" i="1"/>
  <c r="BW487" i="1"/>
  <c r="BV487" i="1"/>
  <c r="BU487" i="1"/>
  <c r="BT487" i="1"/>
  <c r="BS487" i="1"/>
  <c r="BR487" i="1"/>
  <c r="BQ487" i="1"/>
  <c r="BP487" i="1"/>
  <c r="BO487" i="1"/>
  <c r="BN487" i="1"/>
  <c r="BM487" i="1"/>
  <c r="BL487" i="1"/>
  <c r="BK487" i="1"/>
  <c r="BJ487" i="1"/>
  <c r="BI487" i="1"/>
  <c r="BH487" i="1"/>
  <c r="BG487" i="1"/>
  <c r="CE486" i="1"/>
  <c r="CD486" i="1"/>
  <c r="CC486" i="1"/>
  <c r="CB486" i="1"/>
  <c r="CA486" i="1"/>
  <c r="BZ486" i="1"/>
  <c r="BY486" i="1"/>
  <c r="BX486" i="1"/>
  <c r="BW486" i="1"/>
  <c r="BV486" i="1"/>
  <c r="BU486" i="1"/>
  <c r="BT486" i="1"/>
  <c r="BS486" i="1"/>
  <c r="BR486" i="1"/>
  <c r="BQ486" i="1"/>
  <c r="BP486" i="1"/>
  <c r="BO486" i="1"/>
  <c r="BN486" i="1"/>
  <c r="BM486" i="1"/>
  <c r="BL486" i="1"/>
  <c r="BK486" i="1"/>
  <c r="BJ486" i="1"/>
  <c r="BI486" i="1"/>
  <c r="BH486" i="1"/>
  <c r="BG486" i="1"/>
  <c r="CE485" i="1"/>
  <c r="CD485" i="1"/>
  <c r="CC485" i="1"/>
  <c r="CB485" i="1"/>
  <c r="CA485" i="1"/>
  <c r="BZ485" i="1"/>
  <c r="BY485" i="1"/>
  <c r="BX485" i="1"/>
  <c r="BW485" i="1"/>
  <c r="BV485" i="1"/>
  <c r="BU485" i="1"/>
  <c r="BT485" i="1"/>
  <c r="BS485" i="1"/>
  <c r="BR485" i="1"/>
  <c r="BQ485" i="1"/>
  <c r="BP485" i="1"/>
  <c r="BO485" i="1"/>
  <c r="BN485" i="1"/>
  <c r="BM485" i="1"/>
  <c r="BL485" i="1"/>
  <c r="BK485" i="1"/>
  <c r="BJ485" i="1"/>
  <c r="BI485" i="1"/>
  <c r="BH485" i="1"/>
  <c r="BG485" i="1"/>
  <c r="CE484" i="1"/>
  <c r="CD484" i="1"/>
  <c r="CC484" i="1"/>
  <c r="CB484" i="1"/>
  <c r="CA484" i="1"/>
  <c r="BZ484" i="1"/>
  <c r="BY484" i="1"/>
  <c r="BX484" i="1"/>
  <c r="BW484" i="1"/>
  <c r="BV484" i="1"/>
  <c r="BU484" i="1"/>
  <c r="BT484" i="1"/>
  <c r="BS484" i="1"/>
  <c r="BR484" i="1"/>
  <c r="BQ484" i="1"/>
  <c r="BP484" i="1"/>
  <c r="BO484" i="1"/>
  <c r="BN484" i="1"/>
  <c r="BM484" i="1"/>
  <c r="BL484" i="1"/>
  <c r="BK484" i="1"/>
  <c r="BJ484" i="1"/>
  <c r="BI484" i="1"/>
  <c r="BH484" i="1"/>
  <c r="BG484" i="1"/>
  <c r="CE483" i="1"/>
  <c r="CD483" i="1"/>
  <c r="CC483" i="1"/>
  <c r="CB483" i="1"/>
  <c r="CA483" i="1"/>
  <c r="BZ483" i="1"/>
  <c r="BY483" i="1"/>
  <c r="BX483" i="1"/>
  <c r="BW483" i="1"/>
  <c r="BV483" i="1"/>
  <c r="BU483" i="1"/>
  <c r="BT483" i="1"/>
  <c r="BS483" i="1"/>
  <c r="BR483" i="1"/>
  <c r="BQ483" i="1"/>
  <c r="BP483" i="1"/>
  <c r="BO483" i="1"/>
  <c r="BN483" i="1"/>
  <c r="BM483" i="1"/>
  <c r="BL483" i="1"/>
  <c r="BK483" i="1"/>
  <c r="BJ483" i="1"/>
  <c r="BI483" i="1"/>
  <c r="BH483" i="1"/>
  <c r="BG483" i="1"/>
  <c r="CE482" i="1"/>
  <c r="CD482" i="1"/>
  <c r="CC482" i="1"/>
  <c r="CB482" i="1"/>
  <c r="CA482" i="1"/>
  <c r="BZ482" i="1"/>
  <c r="BY482" i="1"/>
  <c r="BX482" i="1"/>
  <c r="BW482" i="1"/>
  <c r="BV482" i="1"/>
  <c r="BU482" i="1"/>
  <c r="BT482" i="1"/>
  <c r="BS482" i="1"/>
  <c r="BR482" i="1"/>
  <c r="BQ482" i="1"/>
  <c r="BP482" i="1"/>
  <c r="BO482" i="1"/>
  <c r="BN482" i="1"/>
  <c r="BM482" i="1"/>
  <c r="BL482" i="1"/>
  <c r="BK482" i="1"/>
  <c r="BJ482" i="1"/>
  <c r="BI482" i="1"/>
  <c r="BH482" i="1"/>
  <c r="BG482" i="1"/>
  <c r="CE481" i="1"/>
  <c r="CD481" i="1"/>
  <c r="CC481" i="1"/>
  <c r="CB481" i="1"/>
  <c r="CA481" i="1"/>
  <c r="BZ481" i="1"/>
  <c r="BY481" i="1"/>
  <c r="BX481" i="1"/>
  <c r="BW481" i="1"/>
  <c r="BV481" i="1"/>
  <c r="BU481" i="1"/>
  <c r="BT481" i="1"/>
  <c r="BS481" i="1"/>
  <c r="BR481" i="1"/>
  <c r="BQ481" i="1"/>
  <c r="BP481" i="1"/>
  <c r="BO481" i="1"/>
  <c r="BN481" i="1"/>
  <c r="BM481" i="1"/>
  <c r="BL481" i="1"/>
  <c r="BK481" i="1"/>
  <c r="BJ481" i="1"/>
  <c r="BI481" i="1"/>
  <c r="BH481" i="1"/>
  <c r="BG481" i="1"/>
  <c r="CE480" i="1"/>
  <c r="CD480" i="1"/>
  <c r="CC480" i="1"/>
  <c r="CB480" i="1"/>
  <c r="CA480" i="1"/>
  <c r="BZ480" i="1"/>
  <c r="BY480" i="1"/>
  <c r="BX480" i="1"/>
  <c r="BW480" i="1"/>
  <c r="BV480" i="1"/>
  <c r="BU480" i="1"/>
  <c r="BT480" i="1"/>
  <c r="BS480" i="1"/>
  <c r="BR480" i="1"/>
  <c r="BQ480" i="1"/>
  <c r="BP480" i="1"/>
  <c r="BO480" i="1"/>
  <c r="BN480" i="1"/>
  <c r="BM480" i="1"/>
  <c r="BL480" i="1"/>
  <c r="BK480" i="1"/>
  <c r="BJ480" i="1"/>
  <c r="BI480" i="1"/>
  <c r="BH480" i="1"/>
  <c r="BG480" i="1"/>
  <c r="CE479" i="1"/>
  <c r="CD479" i="1"/>
  <c r="CC479" i="1"/>
  <c r="CB479" i="1"/>
  <c r="CA479" i="1"/>
  <c r="BZ479" i="1"/>
  <c r="BY479" i="1"/>
  <c r="BX479" i="1"/>
  <c r="BW479" i="1"/>
  <c r="BV479" i="1"/>
  <c r="BU479" i="1"/>
  <c r="BT479" i="1"/>
  <c r="BS479" i="1"/>
  <c r="BR479" i="1"/>
  <c r="BQ479" i="1"/>
  <c r="BP479" i="1"/>
  <c r="BO479" i="1"/>
  <c r="BN479" i="1"/>
  <c r="BM479" i="1"/>
  <c r="BL479" i="1"/>
  <c r="BK479" i="1"/>
  <c r="BJ479" i="1"/>
  <c r="BI479" i="1"/>
  <c r="BH479" i="1"/>
  <c r="BG479" i="1"/>
  <c r="CE478" i="1"/>
  <c r="CD478" i="1"/>
  <c r="CC478" i="1"/>
  <c r="CB478" i="1"/>
  <c r="CA478" i="1"/>
  <c r="BZ478" i="1"/>
  <c r="BY478" i="1"/>
  <c r="BX478" i="1"/>
  <c r="BW478" i="1"/>
  <c r="BV478" i="1"/>
  <c r="BU478" i="1"/>
  <c r="BT478" i="1"/>
  <c r="BS478" i="1"/>
  <c r="BR478" i="1"/>
  <c r="BQ478" i="1"/>
  <c r="BP478" i="1"/>
  <c r="BO478" i="1"/>
  <c r="BN478" i="1"/>
  <c r="BM478" i="1"/>
  <c r="BL478" i="1"/>
  <c r="BK478" i="1"/>
  <c r="BJ478" i="1"/>
  <c r="BI478" i="1"/>
  <c r="BH478" i="1"/>
  <c r="BG478" i="1"/>
  <c r="CE477" i="1"/>
  <c r="CD477" i="1"/>
  <c r="CC477" i="1"/>
  <c r="CB477" i="1"/>
  <c r="CA477" i="1"/>
  <c r="BZ477" i="1"/>
  <c r="BY477" i="1"/>
  <c r="BX477" i="1"/>
  <c r="BW477" i="1"/>
  <c r="BV477" i="1"/>
  <c r="BU477" i="1"/>
  <c r="BT477" i="1"/>
  <c r="BS477" i="1"/>
  <c r="BR477" i="1"/>
  <c r="BQ477" i="1"/>
  <c r="BP477" i="1"/>
  <c r="BO477" i="1"/>
  <c r="BN477" i="1"/>
  <c r="BM477" i="1"/>
  <c r="BL477" i="1"/>
  <c r="BK477" i="1"/>
  <c r="BJ477" i="1"/>
  <c r="BI477" i="1"/>
  <c r="BH477" i="1"/>
  <c r="BG477" i="1"/>
  <c r="CE476" i="1"/>
  <c r="CD476" i="1"/>
  <c r="CC476" i="1"/>
  <c r="CB476" i="1"/>
  <c r="CA476" i="1"/>
  <c r="BZ476" i="1"/>
  <c r="BY476" i="1"/>
  <c r="BX476" i="1"/>
  <c r="BW476" i="1"/>
  <c r="BV476" i="1"/>
  <c r="BU476" i="1"/>
  <c r="BT476" i="1"/>
  <c r="BS476" i="1"/>
  <c r="BR476" i="1"/>
  <c r="BQ476" i="1"/>
  <c r="BP476" i="1"/>
  <c r="BO476" i="1"/>
  <c r="BN476" i="1"/>
  <c r="BM476" i="1"/>
  <c r="BL476" i="1"/>
  <c r="BK476" i="1"/>
  <c r="BJ476" i="1"/>
  <c r="BI476" i="1"/>
  <c r="BH476" i="1"/>
  <c r="BG476" i="1"/>
  <c r="CE475" i="1"/>
  <c r="CD475" i="1"/>
  <c r="CC475" i="1"/>
  <c r="CB475" i="1"/>
  <c r="CA475" i="1"/>
  <c r="BZ475" i="1"/>
  <c r="BY475" i="1"/>
  <c r="BX475" i="1"/>
  <c r="BW475" i="1"/>
  <c r="BV475" i="1"/>
  <c r="BU475" i="1"/>
  <c r="BT475" i="1"/>
  <c r="BS475" i="1"/>
  <c r="BR475" i="1"/>
  <c r="BQ475" i="1"/>
  <c r="BP475" i="1"/>
  <c r="BO475" i="1"/>
  <c r="BN475" i="1"/>
  <c r="BM475" i="1"/>
  <c r="BL475" i="1"/>
  <c r="BK475" i="1"/>
  <c r="BJ475" i="1"/>
  <c r="BI475" i="1"/>
  <c r="BH475" i="1"/>
  <c r="BG475" i="1"/>
  <c r="CE474" i="1"/>
  <c r="CD474" i="1"/>
  <c r="CC474" i="1"/>
  <c r="CB474" i="1"/>
  <c r="CA474" i="1"/>
  <c r="BZ474" i="1"/>
  <c r="BY474" i="1"/>
  <c r="BX474" i="1"/>
  <c r="BW474" i="1"/>
  <c r="BV474" i="1"/>
  <c r="BU474" i="1"/>
  <c r="BT474" i="1"/>
  <c r="BS474" i="1"/>
  <c r="BR474" i="1"/>
  <c r="BQ474" i="1"/>
  <c r="BP474" i="1"/>
  <c r="BO474" i="1"/>
  <c r="BN474" i="1"/>
  <c r="BM474" i="1"/>
  <c r="BL474" i="1"/>
  <c r="BK474" i="1"/>
  <c r="BJ474" i="1"/>
  <c r="BI474" i="1"/>
  <c r="BH474" i="1"/>
  <c r="BG474" i="1"/>
  <c r="CE473" i="1"/>
  <c r="CD473" i="1"/>
  <c r="CC473" i="1"/>
  <c r="CB473" i="1"/>
  <c r="CA473" i="1"/>
  <c r="BZ473" i="1"/>
  <c r="BY473" i="1"/>
  <c r="BX473" i="1"/>
  <c r="BW473" i="1"/>
  <c r="BV473" i="1"/>
  <c r="BU473" i="1"/>
  <c r="BT473" i="1"/>
  <c r="BS473" i="1"/>
  <c r="BR473" i="1"/>
  <c r="BQ473" i="1"/>
  <c r="BP473" i="1"/>
  <c r="BO473" i="1"/>
  <c r="BN473" i="1"/>
  <c r="BM473" i="1"/>
  <c r="BL473" i="1"/>
  <c r="BK473" i="1"/>
  <c r="BJ473" i="1"/>
  <c r="BI473" i="1"/>
  <c r="BH473" i="1"/>
  <c r="BG473" i="1"/>
  <c r="CE472" i="1"/>
  <c r="CD472" i="1"/>
  <c r="CC472" i="1"/>
  <c r="CB472" i="1"/>
  <c r="CA472" i="1"/>
  <c r="BZ472" i="1"/>
  <c r="BY472" i="1"/>
  <c r="BX472" i="1"/>
  <c r="BW472" i="1"/>
  <c r="BV472" i="1"/>
  <c r="BU472" i="1"/>
  <c r="BT472" i="1"/>
  <c r="BS472" i="1"/>
  <c r="BR472" i="1"/>
  <c r="BQ472" i="1"/>
  <c r="BP472" i="1"/>
  <c r="BO472" i="1"/>
  <c r="BN472" i="1"/>
  <c r="BM472" i="1"/>
  <c r="BL472" i="1"/>
  <c r="BK472" i="1"/>
  <c r="BJ472" i="1"/>
  <c r="BI472" i="1"/>
  <c r="BH472" i="1"/>
  <c r="BG472" i="1"/>
  <c r="CE471" i="1"/>
  <c r="CD471" i="1"/>
  <c r="CC471" i="1"/>
  <c r="CB471" i="1"/>
  <c r="CA471" i="1"/>
  <c r="BZ471" i="1"/>
  <c r="BY471" i="1"/>
  <c r="BX471" i="1"/>
  <c r="BW471" i="1"/>
  <c r="BV471" i="1"/>
  <c r="BU471" i="1"/>
  <c r="BT471" i="1"/>
  <c r="BS471" i="1"/>
  <c r="BR471" i="1"/>
  <c r="BQ471" i="1"/>
  <c r="BP471" i="1"/>
  <c r="BO471" i="1"/>
  <c r="BN471" i="1"/>
  <c r="BM471" i="1"/>
  <c r="BL471" i="1"/>
  <c r="BK471" i="1"/>
  <c r="BJ471" i="1"/>
  <c r="BI471" i="1"/>
  <c r="BH471" i="1"/>
  <c r="BG471" i="1"/>
  <c r="CE470" i="1"/>
  <c r="CD470" i="1"/>
  <c r="CC470" i="1"/>
  <c r="CB470" i="1"/>
  <c r="CA470" i="1"/>
  <c r="BZ470" i="1"/>
  <c r="BY470" i="1"/>
  <c r="BX470" i="1"/>
  <c r="BW470" i="1"/>
  <c r="BV470" i="1"/>
  <c r="BU470" i="1"/>
  <c r="BT470" i="1"/>
  <c r="BS470" i="1"/>
  <c r="BR470" i="1"/>
  <c r="BQ470" i="1"/>
  <c r="BP470" i="1"/>
  <c r="BO470" i="1"/>
  <c r="BN470" i="1"/>
  <c r="BM470" i="1"/>
  <c r="BL470" i="1"/>
  <c r="BK470" i="1"/>
  <c r="BJ470" i="1"/>
  <c r="BI470" i="1"/>
  <c r="BH470" i="1"/>
  <c r="BG470" i="1"/>
  <c r="CE469" i="1"/>
  <c r="CD469" i="1"/>
  <c r="CC469" i="1"/>
  <c r="CB469" i="1"/>
  <c r="CA469" i="1"/>
  <c r="BZ469" i="1"/>
  <c r="BY469" i="1"/>
  <c r="BX469" i="1"/>
  <c r="BW469" i="1"/>
  <c r="BV469" i="1"/>
  <c r="BU469" i="1"/>
  <c r="BT469" i="1"/>
  <c r="BS469" i="1"/>
  <c r="BR469" i="1"/>
  <c r="BQ469" i="1"/>
  <c r="BP469" i="1"/>
  <c r="BO469" i="1"/>
  <c r="BN469" i="1"/>
  <c r="BM469" i="1"/>
  <c r="BL469" i="1"/>
  <c r="BK469" i="1"/>
  <c r="BJ469" i="1"/>
  <c r="BI469" i="1"/>
  <c r="BH469" i="1"/>
  <c r="BG469" i="1"/>
  <c r="CE468" i="1"/>
  <c r="CD468" i="1"/>
  <c r="CC468" i="1"/>
  <c r="CB468" i="1"/>
  <c r="CA468" i="1"/>
  <c r="BZ468" i="1"/>
  <c r="BY468" i="1"/>
  <c r="BX468" i="1"/>
  <c r="BW468" i="1"/>
  <c r="BV468" i="1"/>
  <c r="BU468" i="1"/>
  <c r="BT468" i="1"/>
  <c r="BS468" i="1"/>
  <c r="BR468" i="1"/>
  <c r="BQ468" i="1"/>
  <c r="BP468" i="1"/>
  <c r="BO468" i="1"/>
  <c r="BN468" i="1"/>
  <c r="BM468" i="1"/>
  <c r="BL468" i="1"/>
  <c r="BK468" i="1"/>
  <c r="BJ468" i="1"/>
  <c r="BI468" i="1"/>
  <c r="BH468" i="1"/>
  <c r="BG468" i="1"/>
  <c r="CE467" i="1"/>
  <c r="CD467" i="1"/>
  <c r="CC467" i="1"/>
  <c r="CB467" i="1"/>
  <c r="CA467" i="1"/>
  <c r="BZ467" i="1"/>
  <c r="BY467" i="1"/>
  <c r="BX467" i="1"/>
  <c r="BW467" i="1"/>
  <c r="BV467" i="1"/>
  <c r="BU467" i="1"/>
  <c r="BT467" i="1"/>
  <c r="BS467" i="1"/>
  <c r="BR467" i="1"/>
  <c r="BQ467" i="1"/>
  <c r="BP467" i="1"/>
  <c r="BO467" i="1"/>
  <c r="BN467" i="1"/>
  <c r="BM467" i="1"/>
  <c r="BL467" i="1"/>
  <c r="BK467" i="1"/>
  <c r="BJ467" i="1"/>
  <c r="BI467" i="1"/>
  <c r="BH467" i="1"/>
  <c r="BG467" i="1"/>
  <c r="CE466" i="1"/>
  <c r="CD466" i="1"/>
  <c r="CC466" i="1"/>
  <c r="CB466" i="1"/>
  <c r="CA466" i="1"/>
  <c r="BZ466" i="1"/>
  <c r="BY466" i="1"/>
  <c r="BX466" i="1"/>
  <c r="BW466" i="1"/>
  <c r="BV466" i="1"/>
  <c r="BU466" i="1"/>
  <c r="BT466" i="1"/>
  <c r="BS466" i="1"/>
  <c r="BR466" i="1"/>
  <c r="BQ466" i="1"/>
  <c r="BP466" i="1"/>
  <c r="BO466" i="1"/>
  <c r="BN466" i="1"/>
  <c r="BM466" i="1"/>
  <c r="BL466" i="1"/>
  <c r="BK466" i="1"/>
  <c r="BJ466" i="1"/>
  <c r="BI466" i="1"/>
  <c r="BH466" i="1"/>
  <c r="BG466" i="1"/>
  <c r="CE465" i="1"/>
  <c r="CD465" i="1"/>
  <c r="CC465" i="1"/>
  <c r="CB465" i="1"/>
  <c r="CA465" i="1"/>
  <c r="BZ465" i="1"/>
  <c r="BY465" i="1"/>
  <c r="BX465" i="1"/>
  <c r="BW465" i="1"/>
  <c r="BV465" i="1"/>
  <c r="BU465" i="1"/>
  <c r="BT465" i="1"/>
  <c r="BS465" i="1"/>
  <c r="BR465" i="1"/>
  <c r="BQ465" i="1"/>
  <c r="BP465" i="1"/>
  <c r="BO465" i="1"/>
  <c r="BN465" i="1"/>
  <c r="BM465" i="1"/>
  <c r="BL465" i="1"/>
  <c r="BK465" i="1"/>
  <c r="BJ465" i="1"/>
  <c r="BI465" i="1"/>
  <c r="BH465" i="1"/>
  <c r="BG465" i="1"/>
  <c r="CE464" i="1"/>
  <c r="CD464" i="1"/>
  <c r="CC464" i="1"/>
  <c r="CB464" i="1"/>
  <c r="CA464" i="1"/>
  <c r="BZ464" i="1"/>
  <c r="BY464" i="1"/>
  <c r="BX464" i="1"/>
  <c r="BW464" i="1"/>
  <c r="BV464" i="1"/>
  <c r="BU464" i="1"/>
  <c r="BT464" i="1"/>
  <c r="BS464" i="1"/>
  <c r="BR464" i="1"/>
  <c r="BQ464" i="1"/>
  <c r="BP464" i="1"/>
  <c r="BO464" i="1"/>
  <c r="BN464" i="1"/>
  <c r="BM464" i="1"/>
  <c r="BL464" i="1"/>
  <c r="BK464" i="1"/>
  <c r="BJ464" i="1"/>
  <c r="BI464" i="1"/>
  <c r="BH464" i="1"/>
  <c r="BG464" i="1"/>
  <c r="CE463" i="1"/>
  <c r="CD463" i="1"/>
  <c r="CC463" i="1"/>
  <c r="CB463" i="1"/>
  <c r="CA463" i="1"/>
  <c r="BZ463" i="1"/>
  <c r="BY463" i="1"/>
  <c r="BX463" i="1"/>
  <c r="BW463" i="1"/>
  <c r="BV463" i="1"/>
  <c r="BU463" i="1"/>
  <c r="BT463" i="1"/>
  <c r="BS463" i="1"/>
  <c r="BR463" i="1"/>
  <c r="BQ463" i="1"/>
  <c r="BP463" i="1"/>
  <c r="BO463" i="1"/>
  <c r="BN463" i="1"/>
  <c r="BM463" i="1"/>
  <c r="BL463" i="1"/>
  <c r="BK463" i="1"/>
  <c r="BJ463" i="1"/>
  <c r="BI463" i="1"/>
  <c r="BH463" i="1"/>
  <c r="BG463" i="1"/>
  <c r="CE462" i="1"/>
  <c r="CD462" i="1"/>
  <c r="CC462" i="1"/>
  <c r="CB462" i="1"/>
  <c r="CA462" i="1"/>
  <c r="BZ462" i="1"/>
  <c r="BY462" i="1"/>
  <c r="BX462" i="1"/>
  <c r="BW462" i="1"/>
  <c r="BV462" i="1"/>
  <c r="BU462" i="1"/>
  <c r="BT462" i="1"/>
  <c r="BS462" i="1"/>
  <c r="BR462" i="1"/>
  <c r="BQ462" i="1"/>
  <c r="BP462" i="1"/>
  <c r="BO462" i="1"/>
  <c r="BN462" i="1"/>
  <c r="BM462" i="1"/>
  <c r="BL462" i="1"/>
  <c r="BK462" i="1"/>
  <c r="BJ462" i="1"/>
  <c r="BI462" i="1"/>
  <c r="BH462" i="1"/>
  <c r="BG462" i="1"/>
  <c r="CE461" i="1"/>
  <c r="CD461" i="1"/>
  <c r="CC461" i="1"/>
  <c r="CB461" i="1"/>
  <c r="CA461" i="1"/>
  <c r="BZ461" i="1"/>
  <c r="BY461" i="1"/>
  <c r="BX461" i="1"/>
  <c r="BW461" i="1"/>
  <c r="BV461" i="1"/>
  <c r="BU461" i="1"/>
  <c r="BT461" i="1"/>
  <c r="BS461" i="1"/>
  <c r="BR461" i="1"/>
  <c r="BQ461" i="1"/>
  <c r="BP461" i="1"/>
  <c r="BO461" i="1"/>
  <c r="BN461" i="1"/>
  <c r="BM461" i="1"/>
  <c r="BL461" i="1"/>
  <c r="BK461" i="1"/>
  <c r="BJ461" i="1"/>
  <c r="BI461" i="1"/>
  <c r="BH461" i="1"/>
  <c r="BG461" i="1"/>
  <c r="CE460" i="1"/>
  <c r="CD460" i="1"/>
  <c r="CC460" i="1"/>
  <c r="CB460" i="1"/>
  <c r="CA460" i="1"/>
  <c r="BZ460" i="1"/>
  <c r="BY460" i="1"/>
  <c r="BX460" i="1"/>
  <c r="BW460" i="1"/>
  <c r="BV460" i="1"/>
  <c r="BU460" i="1"/>
  <c r="BT460" i="1"/>
  <c r="BS460" i="1"/>
  <c r="BR460" i="1"/>
  <c r="BQ460" i="1"/>
  <c r="BP460" i="1"/>
  <c r="BO460" i="1"/>
  <c r="BN460" i="1"/>
  <c r="BM460" i="1"/>
  <c r="BL460" i="1"/>
  <c r="BK460" i="1"/>
  <c r="BJ460" i="1"/>
  <c r="BI460" i="1"/>
  <c r="BH460" i="1"/>
  <c r="BG460" i="1"/>
  <c r="CE459" i="1"/>
  <c r="CD459" i="1"/>
  <c r="CC459" i="1"/>
  <c r="CB459" i="1"/>
  <c r="CA459" i="1"/>
  <c r="BZ459" i="1"/>
  <c r="BY459" i="1"/>
  <c r="BX459" i="1"/>
  <c r="BW459" i="1"/>
  <c r="BV459" i="1"/>
  <c r="BU459" i="1"/>
  <c r="BT459" i="1"/>
  <c r="BS459" i="1"/>
  <c r="BR459" i="1"/>
  <c r="BQ459" i="1"/>
  <c r="BP459" i="1"/>
  <c r="BO459" i="1"/>
  <c r="BN459" i="1"/>
  <c r="BM459" i="1"/>
  <c r="BL459" i="1"/>
  <c r="BK459" i="1"/>
  <c r="BJ459" i="1"/>
  <c r="BI459" i="1"/>
  <c r="BH459" i="1"/>
  <c r="BG459" i="1"/>
  <c r="CE458" i="1"/>
  <c r="CD458" i="1"/>
  <c r="CC458" i="1"/>
  <c r="CB458" i="1"/>
  <c r="CA458" i="1"/>
  <c r="BZ458" i="1"/>
  <c r="BY458" i="1"/>
  <c r="BX458" i="1"/>
  <c r="BW458" i="1"/>
  <c r="BV458" i="1"/>
  <c r="BU458" i="1"/>
  <c r="BT458" i="1"/>
  <c r="BS458" i="1"/>
  <c r="BR458" i="1"/>
  <c r="BQ458" i="1"/>
  <c r="BP458" i="1"/>
  <c r="BO458" i="1"/>
  <c r="BN458" i="1"/>
  <c r="BM458" i="1"/>
  <c r="BL458" i="1"/>
  <c r="BK458" i="1"/>
  <c r="BJ458" i="1"/>
  <c r="BI458" i="1"/>
  <c r="BH458" i="1"/>
  <c r="BG458" i="1"/>
  <c r="CE457" i="1"/>
  <c r="CD457" i="1"/>
  <c r="CC457" i="1"/>
  <c r="CB457" i="1"/>
  <c r="CA457" i="1"/>
  <c r="BZ457" i="1"/>
  <c r="BY457" i="1"/>
  <c r="BX457" i="1"/>
  <c r="BW457" i="1"/>
  <c r="BV457" i="1"/>
  <c r="BU457" i="1"/>
  <c r="BT457" i="1"/>
  <c r="BS457" i="1"/>
  <c r="BR457" i="1"/>
  <c r="BQ457" i="1"/>
  <c r="BP457" i="1"/>
  <c r="BO457" i="1"/>
  <c r="BN457" i="1"/>
  <c r="BM457" i="1"/>
  <c r="BL457" i="1"/>
  <c r="BK457" i="1"/>
  <c r="BJ457" i="1"/>
  <c r="BI457" i="1"/>
  <c r="BH457" i="1"/>
  <c r="BG457" i="1"/>
  <c r="CE456" i="1"/>
  <c r="CD456" i="1"/>
  <c r="CC456" i="1"/>
  <c r="CB456" i="1"/>
  <c r="CA456" i="1"/>
  <c r="BZ456" i="1"/>
  <c r="BY456" i="1"/>
  <c r="BX456" i="1"/>
  <c r="BW456" i="1"/>
  <c r="BV456" i="1"/>
  <c r="BU456" i="1"/>
  <c r="BT456" i="1"/>
  <c r="BS456" i="1"/>
  <c r="BR456" i="1"/>
  <c r="BQ456" i="1"/>
  <c r="BP456" i="1"/>
  <c r="BO456" i="1"/>
  <c r="BN456" i="1"/>
  <c r="BM456" i="1"/>
  <c r="BL456" i="1"/>
  <c r="BK456" i="1"/>
  <c r="BJ456" i="1"/>
  <c r="BI456" i="1"/>
  <c r="BH456" i="1"/>
  <c r="BG456" i="1"/>
  <c r="CE455" i="1"/>
  <c r="CD455" i="1"/>
  <c r="CC455" i="1"/>
  <c r="CB455" i="1"/>
  <c r="CA455" i="1"/>
  <c r="BZ455" i="1"/>
  <c r="BY455" i="1"/>
  <c r="BX455" i="1"/>
  <c r="BW455" i="1"/>
  <c r="BV455" i="1"/>
  <c r="BU455" i="1"/>
  <c r="BT455" i="1"/>
  <c r="BS455" i="1"/>
  <c r="BR455" i="1"/>
  <c r="BQ455" i="1"/>
  <c r="BP455" i="1"/>
  <c r="BO455" i="1"/>
  <c r="BN455" i="1"/>
  <c r="BM455" i="1"/>
  <c r="BL455" i="1"/>
  <c r="BK455" i="1"/>
  <c r="BJ455" i="1"/>
  <c r="BI455" i="1"/>
  <c r="BH455" i="1"/>
  <c r="BG455" i="1"/>
  <c r="CE454" i="1"/>
  <c r="CD454" i="1"/>
  <c r="CC454" i="1"/>
  <c r="CB454" i="1"/>
  <c r="CA454" i="1"/>
  <c r="BZ454" i="1"/>
  <c r="BY454" i="1"/>
  <c r="BX454" i="1"/>
  <c r="BW454" i="1"/>
  <c r="BV454" i="1"/>
  <c r="BU454" i="1"/>
  <c r="BT454" i="1"/>
  <c r="BS454" i="1"/>
  <c r="BR454" i="1"/>
  <c r="BQ454" i="1"/>
  <c r="BP454" i="1"/>
  <c r="BO454" i="1"/>
  <c r="BN454" i="1"/>
  <c r="BM454" i="1"/>
  <c r="BL454" i="1"/>
  <c r="BK454" i="1"/>
  <c r="BJ454" i="1"/>
  <c r="BI454" i="1"/>
  <c r="BH454" i="1"/>
  <c r="BG454" i="1"/>
  <c r="CE453" i="1"/>
  <c r="CD453" i="1"/>
  <c r="CC453" i="1"/>
  <c r="CB453" i="1"/>
  <c r="CA453" i="1"/>
  <c r="BZ453" i="1"/>
  <c r="BY453" i="1"/>
  <c r="BX453" i="1"/>
  <c r="BW453" i="1"/>
  <c r="BV453" i="1"/>
  <c r="BU453" i="1"/>
  <c r="BT453" i="1"/>
  <c r="BS453" i="1"/>
  <c r="BR453" i="1"/>
  <c r="BQ453" i="1"/>
  <c r="BP453" i="1"/>
  <c r="BO453" i="1"/>
  <c r="BN453" i="1"/>
  <c r="BM453" i="1"/>
  <c r="BL453" i="1"/>
  <c r="BK453" i="1"/>
  <c r="BJ453" i="1"/>
  <c r="BI453" i="1"/>
  <c r="BH453" i="1"/>
  <c r="BG453" i="1"/>
  <c r="CE452" i="1"/>
  <c r="CD452" i="1"/>
  <c r="CC452" i="1"/>
  <c r="CB452" i="1"/>
  <c r="CA452" i="1"/>
  <c r="BZ452" i="1"/>
  <c r="BY452" i="1"/>
  <c r="BX452" i="1"/>
  <c r="BW452" i="1"/>
  <c r="BV452" i="1"/>
  <c r="BU452" i="1"/>
  <c r="BT452" i="1"/>
  <c r="BS452" i="1"/>
  <c r="BR452" i="1"/>
  <c r="BQ452" i="1"/>
  <c r="BP452" i="1"/>
  <c r="BO452" i="1"/>
  <c r="BN452" i="1"/>
  <c r="BM452" i="1"/>
  <c r="BL452" i="1"/>
  <c r="BK452" i="1"/>
  <c r="BJ452" i="1"/>
  <c r="BI452" i="1"/>
  <c r="BH452" i="1"/>
  <c r="BG452" i="1"/>
  <c r="CE451" i="1"/>
  <c r="CD451" i="1"/>
  <c r="CC451" i="1"/>
  <c r="CB451" i="1"/>
  <c r="CA451" i="1"/>
  <c r="BZ451" i="1"/>
  <c r="BY451" i="1"/>
  <c r="BX451" i="1"/>
  <c r="BW451" i="1"/>
  <c r="BV451" i="1"/>
  <c r="BU451" i="1"/>
  <c r="BT451" i="1"/>
  <c r="BS451" i="1"/>
  <c r="BR451" i="1"/>
  <c r="BQ451" i="1"/>
  <c r="BP451" i="1"/>
  <c r="BO451" i="1"/>
  <c r="BN451" i="1"/>
  <c r="BM451" i="1"/>
  <c r="BL451" i="1"/>
  <c r="BK451" i="1"/>
  <c r="BJ451" i="1"/>
  <c r="BI451" i="1"/>
  <c r="BH451" i="1"/>
  <c r="BG451" i="1"/>
  <c r="CE450" i="1"/>
  <c r="CD450" i="1"/>
  <c r="CC450" i="1"/>
  <c r="CB450" i="1"/>
  <c r="CA450" i="1"/>
  <c r="BZ450" i="1"/>
  <c r="BY450" i="1"/>
  <c r="BX450" i="1"/>
  <c r="BW450" i="1"/>
  <c r="BV450" i="1"/>
  <c r="BU450" i="1"/>
  <c r="BT450" i="1"/>
  <c r="BS450" i="1"/>
  <c r="BR450" i="1"/>
  <c r="BQ450" i="1"/>
  <c r="BP450" i="1"/>
  <c r="BO450" i="1"/>
  <c r="BN450" i="1"/>
  <c r="BM450" i="1"/>
  <c r="BL450" i="1"/>
  <c r="BK450" i="1"/>
  <c r="BJ450" i="1"/>
  <c r="BI450" i="1"/>
  <c r="BH450" i="1"/>
  <c r="BG450" i="1"/>
  <c r="CE449" i="1"/>
  <c r="CD449" i="1"/>
  <c r="CC449" i="1"/>
  <c r="CB449" i="1"/>
  <c r="CA449" i="1"/>
  <c r="BZ449" i="1"/>
  <c r="BY449" i="1"/>
  <c r="BX449" i="1"/>
  <c r="BW449" i="1"/>
  <c r="BV449" i="1"/>
  <c r="BU449" i="1"/>
  <c r="BT449" i="1"/>
  <c r="BS449" i="1"/>
  <c r="BR449" i="1"/>
  <c r="BQ449" i="1"/>
  <c r="BP449" i="1"/>
  <c r="BO449" i="1"/>
  <c r="BN449" i="1"/>
  <c r="BM449" i="1"/>
  <c r="BL449" i="1"/>
  <c r="BK449" i="1"/>
  <c r="BJ449" i="1"/>
  <c r="BI449" i="1"/>
  <c r="BH449" i="1"/>
  <c r="BG449" i="1"/>
  <c r="CE448" i="1"/>
  <c r="CD448" i="1"/>
  <c r="CC448" i="1"/>
  <c r="CB448" i="1"/>
  <c r="CA448" i="1"/>
  <c r="BZ448" i="1"/>
  <c r="BY448" i="1"/>
  <c r="BX448" i="1"/>
  <c r="BW448" i="1"/>
  <c r="BV448" i="1"/>
  <c r="BU448" i="1"/>
  <c r="BT448" i="1"/>
  <c r="BS448" i="1"/>
  <c r="BR448" i="1"/>
  <c r="BQ448" i="1"/>
  <c r="BP448" i="1"/>
  <c r="BO448" i="1"/>
  <c r="BN448" i="1"/>
  <c r="BM448" i="1"/>
  <c r="BL448" i="1"/>
  <c r="BK448" i="1"/>
  <c r="BJ448" i="1"/>
  <c r="BI448" i="1"/>
  <c r="BH448" i="1"/>
  <c r="BG448" i="1"/>
  <c r="CE447" i="1"/>
  <c r="CD447" i="1"/>
  <c r="CC447" i="1"/>
  <c r="CB447" i="1"/>
  <c r="CA447" i="1"/>
  <c r="BZ447" i="1"/>
  <c r="BY447" i="1"/>
  <c r="BX447" i="1"/>
  <c r="BW447" i="1"/>
  <c r="BV447" i="1"/>
  <c r="BU447" i="1"/>
  <c r="BT447" i="1"/>
  <c r="BS447" i="1"/>
  <c r="BR447" i="1"/>
  <c r="BQ447" i="1"/>
  <c r="BP447" i="1"/>
  <c r="BO447" i="1"/>
  <c r="BN447" i="1"/>
  <c r="BM447" i="1"/>
  <c r="BL447" i="1"/>
  <c r="BK447" i="1"/>
  <c r="BJ447" i="1"/>
  <c r="BI447" i="1"/>
  <c r="BH447" i="1"/>
  <c r="BG447" i="1"/>
  <c r="CE446" i="1"/>
  <c r="CD446" i="1"/>
  <c r="CC446" i="1"/>
  <c r="CB446" i="1"/>
  <c r="CA446" i="1"/>
  <c r="BZ446" i="1"/>
  <c r="BY446" i="1"/>
  <c r="BX446" i="1"/>
  <c r="BW446" i="1"/>
  <c r="BV446" i="1"/>
  <c r="BU446" i="1"/>
  <c r="BT446" i="1"/>
  <c r="BS446" i="1"/>
  <c r="BR446" i="1"/>
  <c r="BQ446" i="1"/>
  <c r="BP446" i="1"/>
  <c r="BO446" i="1"/>
  <c r="BN446" i="1"/>
  <c r="BM446" i="1"/>
  <c r="BL446" i="1"/>
  <c r="BK446" i="1"/>
  <c r="BJ446" i="1"/>
  <c r="BI446" i="1"/>
  <c r="BH446" i="1"/>
  <c r="BG446" i="1"/>
  <c r="CE445" i="1"/>
  <c r="CD445" i="1"/>
  <c r="CC445" i="1"/>
  <c r="CB445" i="1"/>
  <c r="CA445" i="1"/>
  <c r="BZ445" i="1"/>
  <c r="BY445" i="1"/>
  <c r="BX445" i="1"/>
  <c r="BW445" i="1"/>
  <c r="BV445" i="1"/>
  <c r="BU445" i="1"/>
  <c r="BT445" i="1"/>
  <c r="BS445" i="1"/>
  <c r="BR445" i="1"/>
  <c r="BQ445" i="1"/>
  <c r="BP445" i="1"/>
  <c r="BO445" i="1"/>
  <c r="BN445" i="1"/>
  <c r="BM445" i="1"/>
  <c r="BL445" i="1"/>
  <c r="BK445" i="1"/>
  <c r="BJ445" i="1"/>
  <c r="BI445" i="1"/>
  <c r="BH445" i="1"/>
  <c r="BG445" i="1"/>
  <c r="CE444" i="1"/>
  <c r="CD444" i="1"/>
  <c r="CC444" i="1"/>
  <c r="CB444" i="1"/>
  <c r="CA444" i="1"/>
  <c r="BZ444" i="1"/>
  <c r="BY444" i="1"/>
  <c r="BX444" i="1"/>
  <c r="BW444" i="1"/>
  <c r="BV444" i="1"/>
  <c r="BU444" i="1"/>
  <c r="BT444" i="1"/>
  <c r="BS444" i="1"/>
  <c r="BR444" i="1"/>
  <c r="BQ444" i="1"/>
  <c r="BP444" i="1"/>
  <c r="BO444" i="1"/>
  <c r="BN444" i="1"/>
  <c r="BM444" i="1"/>
  <c r="BL444" i="1"/>
  <c r="BK444" i="1"/>
  <c r="BJ444" i="1"/>
  <c r="BI444" i="1"/>
  <c r="BH444" i="1"/>
  <c r="BG444" i="1"/>
  <c r="CE443" i="1"/>
  <c r="CD443" i="1"/>
  <c r="CC443" i="1"/>
  <c r="CB443" i="1"/>
  <c r="CA443" i="1"/>
  <c r="BZ443" i="1"/>
  <c r="BY443" i="1"/>
  <c r="BX443" i="1"/>
  <c r="BW443" i="1"/>
  <c r="BV443" i="1"/>
  <c r="BU443" i="1"/>
  <c r="BT443" i="1"/>
  <c r="BS443" i="1"/>
  <c r="BR443" i="1"/>
  <c r="BQ443" i="1"/>
  <c r="BP443" i="1"/>
  <c r="BO443" i="1"/>
  <c r="BN443" i="1"/>
  <c r="BM443" i="1"/>
  <c r="BL443" i="1"/>
  <c r="BK443" i="1"/>
  <c r="BJ443" i="1"/>
  <c r="BI443" i="1"/>
  <c r="BH443" i="1"/>
  <c r="BG443" i="1"/>
  <c r="CE442" i="1"/>
  <c r="CD442" i="1"/>
  <c r="CC442" i="1"/>
  <c r="CB442" i="1"/>
  <c r="CA442" i="1"/>
  <c r="BZ442" i="1"/>
  <c r="BY442" i="1"/>
  <c r="BX442" i="1"/>
  <c r="BW442" i="1"/>
  <c r="BV442" i="1"/>
  <c r="BU442" i="1"/>
  <c r="BT442" i="1"/>
  <c r="BS442" i="1"/>
  <c r="BR442" i="1"/>
  <c r="BQ442" i="1"/>
  <c r="BP442" i="1"/>
  <c r="BO442" i="1"/>
  <c r="BN442" i="1"/>
  <c r="BM442" i="1"/>
  <c r="BL442" i="1"/>
  <c r="BK442" i="1"/>
  <c r="BJ442" i="1"/>
  <c r="BI442" i="1"/>
  <c r="BH442" i="1"/>
  <c r="BG442" i="1"/>
  <c r="CE441" i="1"/>
  <c r="CD441" i="1"/>
  <c r="CC441" i="1"/>
  <c r="CB441" i="1"/>
  <c r="CA441" i="1"/>
  <c r="BZ441" i="1"/>
  <c r="BY441" i="1"/>
  <c r="BX441" i="1"/>
  <c r="BW441" i="1"/>
  <c r="BV441" i="1"/>
  <c r="BU441" i="1"/>
  <c r="BT441" i="1"/>
  <c r="BS441" i="1"/>
  <c r="BR441" i="1"/>
  <c r="BQ441" i="1"/>
  <c r="BP441" i="1"/>
  <c r="BO441" i="1"/>
  <c r="BN441" i="1"/>
  <c r="BM441" i="1"/>
  <c r="BL441" i="1"/>
  <c r="BK441" i="1"/>
  <c r="BJ441" i="1"/>
  <c r="BI441" i="1"/>
  <c r="BH441" i="1"/>
  <c r="BG441" i="1"/>
  <c r="CE440" i="1"/>
  <c r="CD440" i="1"/>
  <c r="CC440" i="1"/>
  <c r="CB440" i="1"/>
  <c r="CA440" i="1"/>
  <c r="BZ440" i="1"/>
  <c r="BY440" i="1"/>
  <c r="BX440" i="1"/>
  <c r="BW440" i="1"/>
  <c r="BV440" i="1"/>
  <c r="BU440" i="1"/>
  <c r="BT440" i="1"/>
  <c r="BS440" i="1"/>
  <c r="BR440" i="1"/>
  <c r="BQ440" i="1"/>
  <c r="BP440" i="1"/>
  <c r="BO440" i="1"/>
  <c r="BN440" i="1"/>
  <c r="BM440" i="1"/>
  <c r="BL440" i="1"/>
  <c r="BK440" i="1"/>
  <c r="BJ440" i="1"/>
  <c r="BI440" i="1"/>
  <c r="BH440" i="1"/>
  <c r="BG440" i="1"/>
  <c r="CE439" i="1"/>
  <c r="CD439" i="1"/>
  <c r="CC439" i="1"/>
  <c r="CB439" i="1"/>
  <c r="CA439" i="1"/>
  <c r="BZ439" i="1"/>
  <c r="BY439" i="1"/>
  <c r="BX439" i="1"/>
  <c r="BW439" i="1"/>
  <c r="BV439" i="1"/>
  <c r="BU439" i="1"/>
  <c r="BT439" i="1"/>
  <c r="BS439" i="1"/>
  <c r="BR439" i="1"/>
  <c r="BQ439" i="1"/>
  <c r="BP439" i="1"/>
  <c r="BO439" i="1"/>
  <c r="BN439" i="1"/>
  <c r="BM439" i="1"/>
  <c r="BL439" i="1"/>
  <c r="BK439" i="1"/>
  <c r="BJ439" i="1"/>
  <c r="BI439" i="1"/>
  <c r="BH439" i="1"/>
  <c r="BG439" i="1"/>
  <c r="CE438" i="1"/>
  <c r="CD438" i="1"/>
  <c r="CC438" i="1"/>
  <c r="CB438" i="1"/>
  <c r="CA438" i="1"/>
  <c r="BZ438" i="1"/>
  <c r="BY438" i="1"/>
  <c r="BX438" i="1"/>
  <c r="BW438" i="1"/>
  <c r="BV438" i="1"/>
  <c r="BU438" i="1"/>
  <c r="BT438" i="1"/>
  <c r="BS438" i="1"/>
  <c r="BR438" i="1"/>
  <c r="BQ438" i="1"/>
  <c r="BP438" i="1"/>
  <c r="BO438" i="1"/>
  <c r="BN438" i="1"/>
  <c r="BM438" i="1"/>
  <c r="BL438" i="1"/>
  <c r="BK438" i="1"/>
  <c r="BJ438" i="1"/>
  <c r="BI438" i="1"/>
  <c r="BH438" i="1"/>
  <c r="BG438" i="1"/>
  <c r="CE437" i="1"/>
  <c r="CD437" i="1"/>
  <c r="CC437" i="1"/>
  <c r="CB437" i="1"/>
  <c r="CA437" i="1"/>
  <c r="BZ437" i="1"/>
  <c r="BY437" i="1"/>
  <c r="BX437" i="1"/>
  <c r="BW437" i="1"/>
  <c r="BV437" i="1"/>
  <c r="BU437" i="1"/>
  <c r="BT437" i="1"/>
  <c r="BS437" i="1"/>
  <c r="BR437" i="1"/>
  <c r="BQ437" i="1"/>
  <c r="BP437" i="1"/>
  <c r="BO437" i="1"/>
  <c r="BN437" i="1"/>
  <c r="BM437" i="1"/>
  <c r="BL437" i="1"/>
  <c r="BK437" i="1"/>
  <c r="BJ437" i="1"/>
  <c r="BI437" i="1"/>
  <c r="BH437" i="1"/>
  <c r="BG437" i="1"/>
  <c r="CE436" i="1"/>
  <c r="CD436" i="1"/>
  <c r="CC436" i="1"/>
  <c r="CB436" i="1"/>
  <c r="CA436" i="1"/>
  <c r="BZ436" i="1"/>
  <c r="BY436" i="1"/>
  <c r="BX436" i="1"/>
  <c r="BW436" i="1"/>
  <c r="BV436" i="1"/>
  <c r="BU436" i="1"/>
  <c r="BT436" i="1"/>
  <c r="BS436" i="1"/>
  <c r="BR436" i="1"/>
  <c r="BQ436" i="1"/>
  <c r="BP436" i="1"/>
  <c r="BO436" i="1"/>
  <c r="BN436" i="1"/>
  <c r="BM436" i="1"/>
  <c r="BL436" i="1"/>
  <c r="BK436" i="1"/>
  <c r="BJ436" i="1"/>
  <c r="BI436" i="1"/>
  <c r="BH436" i="1"/>
  <c r="BG436" i="1"/>
  <c r="CE435" i="1"/>
  <c r="CD435" i="1"/>
  <c r="CC435" i="1"/>
  <c r="CB435" i="1"/>
  <c r="CA435" i="1"/>
  <c r="BZ435" i="1"/>
  <c r="BY435" i="1"/>
  <c r="BX435" i="1"/>
  <c r="BW435" i="1"/>
  <c r="BV435" i="1"/>
  <c r="BU435" i="1"/>
  <c r="BT435" i="1"/>
  <c r="BS435" i="1"/>
  <c r="BR435" i="1"/>
  <c r="BQ435" i="1"/>
  <c r="BP435" i="1"/>
  <c r="BO435" i="1"/>
  <c r="BN435" i="1"/>
  <c r="BM435" i="1"/>
  <c r="BL435" i="1"/>
  <c r="BK435" i="1"/>
  <c r="BJ435" i="1"/>
  <c r="BI435" i="1"/>
  <c r="BH435" i="1"/>
  <c r="BG435" i="1"/>
  <c r="CE434" i="1"/>
  <c r="CD434" i="1"/>
  <c r="CC434" i="1"/>
  <c r="CB434" i="1"/>
  <c r="CA434" i="1"/>
  <c r="BZ434" i="1"/>
  <c r="BY434" i="1"/>
  <c r="BX434" i="1"/>
  <c r="BW434" i="1"/>
  <c r="BV434" i="1"/>
  <c r="BU434" i="1"/>
  <c r="BT434" i="1"/>
  <c r="BS434" i="1"/>
  <c r="BR434" i="1"/>
  <c r="BQ434" i="1"/>
  <c r="BP434" i="1"/>
  <c r="BO434" i="1"/>
  <c r="BN434" i="1"/>
  <c r="BM434" i="1"/>
  <c r="BL434" i="1"/>
  <c r="BK434" i="1"/>
  <c r="BJ434" i="1"/>
  <c r="BI434" i="1"/>
  <c r="BH434" i="1"/>
  <c r="BG434" i="1"/>
  <c r="CE433" i="1"/>
  <c r="CD433" i="1"/>
  <c r="CC433" i="1"/>
  <c r="CB433" i="1"/>
  <c r="CA433" i="1"/>
  <c r="BZ433" i="1"/>
  <c r="BY433" i="1"/>
  <c r="BX433" i="1"/>
  <c r="BW433" i="1"/>
  <c r="BV433" i="1"/>
  <c r="BU433" i="1"/>
  <c r="BT433" i="1"/>
  <c r="BS433" i="1"/>
  <c r="BR433" i="1"/>
  <c r="BQ433" i="1"/>
  <c r="BP433" i="1"/>
  <c r="BO433" i="1"/>
  <c r="BN433" i="1"/>
  <c r="BM433" i="1"/>
  <c r="BL433" i="1"/>
  <c r="BK433" i="1"/>
  <c r="BJ433" i="1"/>
  <c r="BI433" i="1"/>
  <c r="BH433" i="1"/>
  <c r="BG433" i="1"/>
  <c r="CE432" i="1"/>
  <c r="CD432" i="1"/>
  <c r="CC432" i="1"/>
  <c r="CB432" i="1"/>
  <c r="CA432" i="1"/>
  <c r="BZ432" i="1"/>
  <c r="BY432" i="1"/>
  <c r="BX432" i="1"/>
  <c r="BW432" i="1"/>
  <c r="BV432" i="1"/>
  <c r="BU432" i="1"/>
  <c r="BT432" i="1"/>
  <c r="BS432" i="1"/>
  <c r="BR432" i="1"/>
  <c r="BQ432" i="1"/>
  <c r="BP432" i="1"/>
  <c r="BO432" i="1"/>
  <c r="BN432" i="1"/>
  <c r="BM432" i="1"/>
  <c r="BL432" i="1"/>
  <c r="BK432" i="1"/>
  <c r="BJ432" i="1"/>
  <c r="BI432" i="1"/>
  <c r="BH432" i="1"/>
  <c r="BG432" i="1"/>
  <c r="CE431" i="1"/>
  <c r="CD431" i="1"/>
  <c r="CC431" i="1"/>
  <c r="CB431" i="1"/>
  <c r="CA431" i="1"/>
  <c r="BZ431" i="1"/>
  <c r="BY431" i="1"/>
  <c r="BX431" i="1"/>
  <c r="BW431" i="1"/>
  <c r="BV431" i="1"/>
  <c r="BU431" i="1"/>
  <c r="BT431" i="1"/>
  <c r="BS431" i="1"/>
  <c r="BR431" i="1"/>
  <c r="BQ431" i="1"/>
  <c r="BP431" i="1"/>
  <c r="BO431" i="1"/>
  <c r="BN431" i="1"/>
  <c r="BM431" i="1"/>
  <c r="BL431" i="1"/>
  <c r="BK431" i="1"/>
  <c r="BJ431" i="1"/>
  <c r="BI431" i="1"/>
  <c r="BH431" i="1"/>
  <c r="BG431" i="1"/>
  <c r="CE430" i="1"/>
  <c r="CD430" i="1"/>
  <c r="CC430" i="1"/>
  <c r="CB430" i="1"/>
  <c r="CA430" i="1"/>
  <c r="BZ430" i="1"/>
  <c r="BY430" i="1"/>
  <c r="BX430" i="1"/>
  <c r="BW430" i="1"/>
  <c r="BV430" i="1"/>
  <c r="BU430" i="1"/>
  <c r="BT430" i="1"/>
  <c r="BS430" i="1"/>
  <c r="BR430" i="1"/>
  <c r="BQ430" i="1"/>
  <c r="BP430" i="1"/>
  <c r="BO430" i="1"/>
  <c r="BN430" i="1"/>
  <c r="BM430" i="1"/>
  <c r="BL430" i="1"/>
  <c r="BK430" i="1"/>
  <c r="BJ430" i="1"/>
  <c r="BI430" i="1"/>
  <c r="BH430" i="1"/>
  <c r="BG430" i="1"/>
  <c r="CE429" i="1"/>
  <c r="CD429" i="1"/>
  <c r="CC429" i="1"/>
  <c r="CB429" i="1"/>
  <c r="CA429" i="1"/>
  <c r="BZ429" i="1"/>
  <c r="BY429" i="1"/>
  <c r="BX429" i="1"/>
  <c r="BW429" i="1"/>
  <c r="BV429" i="1"/>
  <c r="BU429" i="1"/>
  <c r="BT429" i="1"/>
  <c r="BS429" i="1"/>
  <c r="BR429" i="1"/>
  <c r="BQ429" i="1"/>
  <c r="BP429" i="1"/>
  <c r="BO429" i="1"/>
  <c r="BN429" i="1"/>
  <c r="BM429" i="1"/>
  <c r="BL429" i="1"/>
  <c r="BK429" i="1"/>
  <c r="BJ429" i="1"/>
  <c r="BI429" i="1"/>
  <c r="BH429" i="1"/>
  <c r="BG429" i="1"/>
  <c r="CE428" i="1"/>
  <c r="CD428" i="1"/>
  <c r="CC428" i="1"/>
  <c r="CB428" i="1"/>
  <c r="CA428" i="1"/>
  <c r="BZ428" i="1"/>
  <c r="BY428" i="1"/>
  <c r="BX428" i="1"/>
  <c r="BW428" i="1"/>
  <c r="BV428" i="1"/>
  <c r="BU428" i="1"/>
  <c r="BT428" i="1"/>
  <c r="BS428" i="1"/>
  <c r="BR428" i="1"/>
  <c r="BQ428" i="1"/>
  <c r="BP428" i="1"/>
  <c r="BO428" i="1"/>
  <c r="BN428" i="1"/>
  <c r="BM428" i="1"/>
  <c r="BL428" i="1"/>
  <c r="BK428" i="1"/>
  <c r="BJ428" i="1"/>
  <c r="BI428" i="1"/>
  <c r="BH428" i="1"/>
  <c r="BG428" i="1"/>
  <c r="CE427" i="1"/>
  <c r="CD427" i="1"/>
  <c r="CC427" i="1"/>
  <c r="CB427" i="1"/>
  <c r="CA427" i="1"/>
  <c r="BZ427" i="1"/>
  <c r="BY427" i="1"/>
  <c r="BX427" i="1"/>
  <c r="BW427" i="1"/>
  <c r="BV427" i="1"/>
  <c r="BU427" i="1"/>
  <c r="BT427" i="1"/>
  <c r="BS427" i="1"/>
  <c r="BR427" i="1"/>
  <c r="BQ427" i="1"/>
  <c r="BP427" i="1"/>
  <c r="BO427" i="1"/>
  <c r="BN427" i="1"/>
  <c r="BM427" i="1"/>
  <c r="BL427" i="1"/>
  <c r="BK427" i="1"/>
  <c r="BJ427" i="1"/>
  <c r="BI427" i="1"/>
  <c r="BH427" i="1"/>
  <c r="BG427" i="1"/>
  <c r="CE426" i="1"/>
  <c r="CD426" i="1"/>
  <c r="CC426" i="1"/>
  <c r="CB426" i="1"/>
  <c r="CA426" i="1"/>
  <c r="BZ426" i="1"/>
  <c r="BY426" i="1"/>
  <c r="BX426" i="1"/>
  <c r="BW426" i="1"/>
  <c r="BV426" i="1"/>
  <c r="BU426" i="1"/>
  <c r="BT426" i="1"/>
  <c r="BS426" i="1"/>
  <c r="BR426" i="1"/>
  <c r="BQ426" i="1"/>
  <c r="BP426" i="1"/>
  <c r="BO426" i="1"/>
  <c r="BN426" i="1"/>
  <c r="BM426" i="1"/>
  <c r="BL426" i="1"/>
  <c r="BK426" i="1"/>
  <c r="BJ426" i="1"/>
  <c r="BI426" i="1"/>
  <c r="BH426" i="1"/>
  <c r="BG426" i="1"/>
  <c r="CE425" i="1"/>
  <c r="CD425" i="1"/>
  <c r="CC425" i="1"/>
  <c r="CB425" i="1"/>
  <c r="CA425" i="1"/>
  <c r="BZ425" i="1"/>
  <c r="BY425" i="1"/>
  <c r="BX425" i="1"/>
  <c r="BW425" i="1"/>
  <c r="BV425" i="1"/>
  <c r="BU425" i="1"/>
  <c r="BT425" i="1"/>
  <c r="BS425" i="1"/>
  <c r="BR425" i="1"/>
  <c r="BQ425" i="1"/>
  <c r="BP425" i="1"/>
  <c r="BO425" i="1"/>
  <c r="BN425" i="1"/>
  <c r="BM425" i="1"/>
  <c r="BL425" i="1"/>
  <c r="BK425" i="1"/>
  <c r="BJ425" i="1"/>
  <c r="BI425" i="1"/>
  <c r="BH425" i="1"/>
  <c r="BG425" i="1"/>
  <c r="CE424" i="1"/>
  <c r="CD424" i="1"/>
  <c r="CC424" i="1"/>
  <c r="CB424" i="1"/>
  <c r="CA424" i="1"/>
  <c r="BZ424" i="1"/>
  <c r="BY424" i="1"/>
  <c r="BX424" i="1"/>
  <c r="BW424" i="1"/>
  <c r="BV424" i="1"/>
  <c r="BU424" i="1"/>
  <c r="BT424" i="1"/>
  <c r="BS424" i="1"/>
  <c r="BR424" i="1"/>
  <c r="BQ424" i="1"/>
  <c r="BP424" i="1"/>
  <c r="BO424" i="1"/>
  <c r="BN424" i="1"/>
  <c r="BM424" i="1"/>
  <c r="BL424" i="1"/>
  <c r="BK424" i="1"/>
  <c r="BJ424" i="1"/>
  <c r="BI424" i="1"/>
  <c r="BH424" i="1"/>
  <c r="BG424" i="1"/>
  <c r="CE423" i="1"/>
  <c r="CD423" i="1"/>
  <c r="CC423" i="1"/>
  <c r="CB423" i="1"/>
  <c r="CA423" i="1"/>
  <c r="BZ423" i="1"/>
  <c r="BY423" i="1"/>
  <c r="BX423" i="1"/>
  <c r="BW423" i="1"/>
  <c r="BV423" i="1"/>
  <c r="BU423" i="1"/>
  <c r="BT423" i="1"/>
  <c r="BS423" i="1"/>
  <c r="BR423" i="1"/>
  <c r="BQ423" i="1"/>
  <c r="BP423" i="1"/>
  <c r="BO423" i="1"/>
  <c r="BN423" i="1"/>
  <c r="BM423" i="1"/>
  <c r="BL423" i="1"/>
  <c r="BK423" i="1"/>
  <c r="BJ423" i="1"/>
  <c r="BI423" i="1"/>
  <c r="BH423" i="1"/>
  <c r="BG423" i="1"/>
  <c r="CE422" i="1"/>
  <c r="CD422" i="1"/>
  <c r="CC422" i="1"/>
  <c r="CB422" i="1"/>
  <c r="CA422" i="1"/>
  <c r="BZ422" i="1"/>
  <c r="BY422" i="1"/>
  <c r="BX422" i="1"/>
  <c r="BW422" i="1"/>
  <c r="BV422" i="1"/>
  <c r="BU422" i="1"/>
  <c r="BT422" i="1"/>
  <c r="BS422" i="1"/>
  <c r="BR422" i="1"/>
  <c r="BQ422" i="1"/>
  <c r="BP422" i="1"/>
  <c r="BO422" i="1"/>
  <c r="BN422" i="1"/>
  <c r="BM422" i="1"/>
  <c r="BL422" i="1"/>
  <c r="BK422" i="1"/>
  <c r="BJ422" i="1"/>
  <c r="BI422" i="1"/>
  <c r="BH422" i="1"/>
  <c r="BG422" i="1"/>
  <c r="CE421" i="1"/>
  <c r="CD421" i="1"/>
  <c r="CC421" i="1"/>
  <c r="CB421" i="1"/>
  <c r="CA421" i="1"/>
  <c r="BZ421" i="1"/>
  <c r="BY421" i="1"/>
  <c r="BX421" i="1"/>
  <c r="BW421" i="1"/>
  <c r="BV421" i="1"/>
  <c r="BU421" i="1"/>
  <c r="BT421" i="1"/>
  <c r="BS421" i="1"/>
  <c r="BR421" i="1"/>
  <c r="BQ421" i="1"/>
  <c r="BP421" i="1"/>
  <c r="BO421" i="1"/>
  <c r="BN421" i="1"/>
  <c r="BM421" i="1"/>
  <c r="BL421" i="1"/>
  <c r="BK421" i="1"/>
  <c r="BJ421" i="1"/>
  <c r="BI421" i="1"/>
  <c r="BH421" i="1"/>
  <c r="BG421" i="1"/>
  <c r="CE420" i="1"/>
  <c r="CD420" i="1"/>
  <c r="CC420" i="1"/>
  <c r="CB420" i="1"/>
  <c r="CA420" i="1"/>
  <c r="BZ420" i="1"/>
  <c r="BY420" i="1"/>
  <c r="BX420" i="1"/>
  <c r="BW420" i="1"/>
  <c r="BV420" i="1"/>
  <c r="BU420" i="1"/>
  <c r="BT420" i="1"/>
  <c r="BS420" i="1"/>
  <c r="BR420" i="1"/>
  <c r="BQ420" i="1"/>
  <c r="BP420" i="1"/>
  <c r="BO420" i="1"/>
  <c r="BN420" i="1"/>
  <c r="BM420" i="1"/>
  <c r="BL420" i="1"/>
  <c r="BK420" i="1"/>
  <c r="BJ420" i="1"/>
  <c r="BI420" i="1"/>
  <c r="BH420" i="1"/>
  <c r="BG420" i="1"/>
  <c r="CE419" i="1"/>
  <c r="CD419" i="1"/>
  <c r="CC419" i="1"/>
  <c r="CB419" i="1"/>
  <c r="CA419" i="1"/>
  <c r="BZ419" i="1"/>
  <c r="BY419" i="1"/>
  <c r="BX419" i="1"/>
  <c r="BW419" i="1"/>
  <c r="BV419" i="1"/>
  <c r="BU419" i="1"/>
  <c r="BT419" i="1"/>
  <c r="BS419" i="1"/>
  <c r="BR419" i="1"/>
  <c r="BQ419" i="1"/>
  <c r="BP419" i="1"/>
  <c r="BO419" i="1"/>
  <c r="BN419" i="1"/>
  <c r="BM419" i="1"/>
  <c r="BL419" i="1"/>
  <c r="BK419" i="1"/>
  <c r="BJ419" i="1"/>
  <c r="BI419" i="1"/>
  <c r="BH419" i="1"/>
  <c r="BG419" i="1"/>
  <c r="CE418" i="1"/>
  <c r="CD418" i="1"/>
  <c r="CC418" i="1"/>
  <c r="CB418" i="1"/>
  <c r="CA418" i="1"/>
  <c r="BZ418" i="1"/>
  <c r="BY418" i="1"/>
  <c r="BX418" i="1"/>
  <c r="BW418" i="1"/>
  <c r="BV418" i="1"/>
  <c r="BU418" i="1"/>
  <c r="BT418" i="1"/>
  <c r="BS418" i="1"/>
  <c r="BR418" i="1"/>
  <c r="BQ418" i="1"/>
  <c r="BP418" i="1"/>
  <c r="BO418" i="1"/>
  <c r="BN418" i="1"/>
  <c r="BM418" i="1"/>
  <c r="BL418" i="1"/>
  <c r="BK418" i="1"/>
  <c r="BJ418" i="1"/>
  <c r="BI418" i="1"/>
  <c r="BH418" i="1"/>
  <c r="BG418" i="1"/>
  <c r="CE417" i="1"/>
  <c r="CD417" i="1"/>
  <c r="CC417" i="1"/>
  <c r="CB417" i="1"/>
  <c r="CA417" i="1"/>
  <c r="BZ417" i="1"/>
  <c r="BY417" i="1"/>
  <c r="BX417" i="1"/>
  <c r="BW417" i="1"/>
  <c r="BV417" i="1"/>
  <c r="BU417" i="1"/>
  <c r="BT417" i="1"/>
  <c r="BS417" i="1"/>
  <c r="BR417" i="1"/>
  <c r="BQ417" i="1"/>
  <c r="BP417" i="1"/>
  <c r="BO417" i="1"/>
  <c r="BN417" i="1"/>
  <c r="BM417" i="1"/>
  <c r="BL417" i="1"/>
  <c r="BK417" i="1"/>
  <c r="BJ417" i="1"/>
  <c r="BI417" i="1"/>
  <c r="BH417" i="1"/>
  <c r="BG417" i="1"/>
  <c r="CE416" i="1"/>
  <c r="CD416" i="1"/>
  <c r="CC416" i="1"/>
  <c r="CB416" i="1"/>
  <c r="CA416" i="1"/>
  <c r="BZ416" i="1"/>
  <c r="BY416" i="1"/>
  <c r="BX416" i="1"/>
  <c r="BW416" i="1"/>
  <c r="BV416" i="1"/>
  <c r="BU416" i="1"/>
  <c r="BT416" i="1"/>
  <c r="BS416" i="1"/>
  <c r="BR416" i="1"/>
  <c r="BQ416" i="1"/>
  <c r="BP416" i="1"/>
  <c r="BO416" i="1"/>
  <c r="BN416" i="1"/>
  <c r="BM416" i="1"/>
  <c r="BL416" i="1"/>
  <c r="BK416" i="1"/>
  <c r="BJ416" i="1"/>
  <c r="BI416" i="1"/>
  <c r="BH416" i="1"/>
  <c r="BG416" i="1"/>
  <c r="CE415" i="1"/>
  <c r="CD415" i="1"/>
  <c r="CC415" i="1"/>
  <c r="CB415" i="1"/>
  <c r="CA415" i="1"/>
  <c r="BZ415" i="1"/>
  <c r="BY415" i="1"/>
  <c r="BX415" i="1"/>
  <c r="BW415" i="1"/>
  <c r="BV415" i="1"/>
  <c r="BU415" i="1"/>
  <c r="BT415" i="1"/>
  <c r="BS415" i="1"/>
  <c r="BR415" i="1"/>
  <c r="BQ415" i="1"/>
  <c r="BP415" i="1"/>
  <c r="BO415" i="1"/>
  <c r="BN415" i="1"/>
  <c r="BM415" i="1"/>
  <c r="BL415" i="1"/>
  <c r="BK415" i="1"/>
  <c r="BJ415" i="1"/>
  <c r="BI415" i="1"/>
  <c r="BH415" i="1"/>
  <c r="BG415" i="1"/>
  <c r="CE414" i="1"/>
  <c r="CD414" i="1"/>
  <c r="CC414" i="1"/>
  <c r="CB414" i="1"/>
  <c r="CA414" i="1"/>
  <c r="BZ414" i="1"/>
  <c r="BY414" i="1"/>
  <c r="BX414" i="1"/>
  <c r="BW414" i="1"/>
  <c r="BV414" i="1"/>
  <c r="BU414" i="1"/>
  <c r="BT414" i="1"/>
  <c r="BS414" i="1"/>
  <c r="BR414" i="1"/>
  <c r="BQ414" i="1"/>
  <c r="BP414" i="1"/>
  <c r="BO414" i="1"/>
  <c r="BN414" i="1"/>
  <c r="BM414" i="1"/>
  <c r="BL414" i="1"/>
  <c r="BK414" i="1"/>
  <c r="BJ414" i="1"/>
  <c r="BI414" i="1"/>
  <c r="BH414" i="1"/>
  <c r="BG414" i="1"/>
  <c r="CE413" i="1"/>
  <c r="CD413" i="1"/>
  <c r="CC413" i="1"/>
  <c r="CB413" i="1"/>
  <c r="CA413" i="1"/>
  <c r="BZ413" i="1"/>
  <c r="BY413" i="1"/>
  <c r="BX413" i="1"/>
  <c r="BW413" i="1"/>
  <c r="BV413" i="1"/>
  <c r="BU413" i="1"/>
  <c r="BT413" i="1"/>
  <c r="BS413" i="1"/>
  <c r="BR413" i="1"/>
  <c r="BQ413" i="1"/>
  <c r="BP413" i="1"/>
  <c r="BO413" i="1"/>
  <c r="BN413" i="1"/>
  <c r="BM413" i="1"/>
  <c r="BL413" i="1"/>
  <c r="BK413" i="1"/>
  <c r="BJ413" i="1"/>
  <c r="BI413" i="1"/>
  <c r="BH413" i="1"/>
  <c r="BG413" i="1"/>
  <c r="CE412" i="1"/>
  <c r="CD412" i="1"/>
  <c r="CC412" i="1"/>
  <c r="CB412" i="1"/>
  <c r="CA412" i="1"/>
  <c r="BZ412" i="1"/>
  <c r="BY412" i="1"/>
  <c r="BX412" i="1"/>
  <c r="BW412" i="1"/>
  <c r="BV412" i="1"/>
  <c r="BU412" i="1"/>
  <c r="BT412" i="1"/>
  <c r="BS412" i="1"/>
  <c r="BR412" i="1"/>
  <c r="BQ412" i="1"/>
  <c r="BP412" i="1"/>
  <c r="BO412" i="1"/>
  <c r="BN412" i="1"/>
  <c r="BM412" i="1"/>
  <c r="BL412" i="1"/>
  <c r="BK412" i="1"/>
  <c r="BJ412" i="1"/>
  <c r="BI412" i="1"/>
  <c r="BH412" i="1"/>
  <c r="BG412" i="1"/>
  <c r="CE411" i="1"/>
  <c r="CD411" i="1"/>
  <c r="CC411" i="1"/>
  <c r="CB411" i="1"/>
  <c r="CA411" i="1"/>
  <c r="BZ411" i="1"/>
  <c r="BY411" i="1"/>
  <c r="BX411" i="1"/>
  <c r="BW411" i="1"/>
  <c r="BV411" i="1"/>
  <c r="BU411" i="1"/>
  <c r="BT411" i="1"/>
  <c r="BS411" i="1"/>
  <c r="BR411" i="1"/>
  <c r="BQ411" i="1"/>
  <c r="BP411" i="1"/>
  <c r="BO411" i="1"/>
  <c r="BN411" i="1"/>
  <c r="BM411" i="1"/>
  <c r="BL411" i="1"/>
  <c r="BK411" i="1"/>
  <c r="BJ411" i="1"/>
  <c r="BI411" i="1"/>
  <c r="BH411" i="1"/>
  <c r="BG411" i="1"/>
  <c r="CE410" i="1"/>
  <c r="CD410" i="1"/>
  <c r="CC410" i="1"/>
  <c r="CB410" i="1"/>
  <c r="CA410" i="1"/>
  <c r="BZ410" i="1"/>
  <c r="BY410" i="1"/>
  <c r="BX410" i="1"/>
  <c r="BW410" i="1"/>
  <c r="BV410" i="1"/>
  <c r="BU410" i="1"/>
  <c r="BT410" i="1"/>
  <c r="BS410" i="1"/>
  <c r="BR410" i="1"/>
  <c r="BQ410" i="1"/>
  <c r="BP410" i="1"/>
  <c r="BO410" i="1"/>
  <c r="BN410" i="1"/>
  <c r="BM410" i="1"/>
  <c r="BL410" i="1"/>
  <c r="BK410" i="1"/>
  <c r="BJ410" i="1"/>
  <c r="BI410" i="1"/>
  <c r="BH410" i="1"/>
  <c r="BG410" i="1"/>
  <c r="CE409" i="1"/>
  <c r="CD409" i="1"/>
  <c r="CC409" i="1"/>
  <c r="CB409" i="1"/>
  <c r="CA409" i="1"/>
  <c r="BZ409" i="1"/>
  <c r="BY409" i="1"/>
  <c r="BX409" i="1"/>
  <c r="BW409" i="1"/>
  <c r="BV409" i="1"/>
  <c r="BU409" i="1"/>
  <c r="BT409" i="1"/>
  <c r="BS409" i="1"/>
  <c r="BR409" i="1"/>
  <c r="BQ409" i="1"/>
  <c r="BP409" i="1"/>
  <c r="BO409" i="1"/>
  <c r="BN409" i="1"/>
  <c r="BM409" i="1"/>
  <c r="BL409" i="1"/>
  <c r="BK409" i="1"/>
  <c r="BJ409" i="1"/>
  <c r="BI409" i="1"/>
  <c r="BH409" i="1"/>
  <c r="BG409" i="1"/>
  <c r="CE408" i="1"/>
  <c r="CD408" i="1"/>
  <c r="CC408" i="1"/>
  <c r="CB408" i="1"/>
  <c r="CA408" i="1"/>
  <c r="BZ408" i="1"/>
  <c r="BY408" i="1"/>
  <c r="BX408" i="1"/>
  <c r="BW408" i="1"/>
  <c r="BV408" i="1"/>
  <c r="BU408" i="1"/>
  <c r="BT408" i="1"/>
  <c r="BS408" i="1"/>
  <c r="BR408" i="1"/>
  <c r="BQ408" i="1"/>
  <c r="BP408" i="1"/>
  <c r="BO408" i="1"/>
  <c r="BN408" i="1"/>
  <c r="BM408" i="1"/>
  <c r="BL408" i="1"/>
  <c r="BK408" i="1"/>
  <c r="BJ408" i="1"/>
  <c r="BI408" i="1"/>
  <c r="BH408" i="1"/>
  <c r="BG408" i="1"/>
  <c r="CE407" i="1"/>
  <c r="CD407" i="1"/>
  <c r="CC407" i="1"/>
  <c r="CB407" i="1"/>
  <c r="CA407" i="1"/>
  <c r="BZ407" i="1"/>
  <c r="BY407" i="1"/>
  <c r="BX407" i="1"/>
  <c r="BW407" i="1"/>
  <c r="BV407" i="1"/>
  <c r="BU407" i="1"/>
  <c r="BT407" i="1"/>
  <c r="BS407" i="1"/>
  <c r="BR407" i="1"/>
  <c r="BQ407" i="1"/>
  <c r="BP407" i="1"/>
  <c r="BO407" i="1"/>
  <c r="BN407" i="1"/>
  <c r="BM407" i="1"/>
  <c r="BL407" i="1"/>
  <c r="BK407" i="1"/>
  <c r="BJ407" i="1"/>
  <c r="BI407" i="1"/>
  <c r="BH407" i="1"/>
  <c r="BG407" i="1"/>
  <c r="CE406" i="1"/>
  <c r="CD406" i="1"/>
  <c r="CC406" i="1"/>
  <c r="CB406" i="1"/>
  <c r="CA406" i="1"/>
  <c r="BZ406" i="1"/>
  <c r="BY406" i="1"/>
  <c r="BX406" i="1"/>
  <c r="BW406" i="1"/>
  <c r="BV406" i="1"/>
  <c r="BU406" i="1"/>
  <c r="BT406" i="1"/>
  <c r="BS406" i="1"/>
  <c r="BR406" i="1"/>
  <c r="BQ406" i="1"/>
  <c r="BP406" i="1"/>
  <c r="BO406" i="1"/>
  <c r="BN406" i="1"/>
  <c r="BM406" i="1"/>
  <c r="BL406" i="1"/>
  <c r="BK406" i="1"/>
  <c r="BJ406" i="1"/>
  <c r="BI406" i="1"/>
  <c r="BH406" i="1"/>
  <c r="BG406" i="1"/>
  <c r="CE405" i="1"/>
  <c r="CD405" i="1"/>
  <c r="CC405" i="1"/>
  <c r="CB405" i="1"/>
  <c r="CA405" i="1"/>
  <c r="BZ405" i="1"/>
  <c r="BY405" i="1"/>
  <c r="BX405" i="1"/>
  <c r="BW405" i="1"/>
  <c r="BV405" i="1"/>
  <c r="BU405" i="1"/>
  <c r="BT405" i="1"/>
  <c r="BS405" i="1"/>
  <c r="BR405" i="1"/>
  <c r="BQ405" i="1"/>
  <c r="BP405" i="1"/>
  <c r="BO405" i="1"/>
  <c r="BN405" i="1"/>
  <c r="BM405" i="1"/>
  <c r="BL405" i="1"/>
  <c r="BK405" i="1"/>
  <c r="BJ405" i="1"/>
  <c r="BI405" i="1"/>
  <c r="BH405" i="1"/>
  <c r="BG405" i="1"/>
  <c r="CE404" i="1"/>
  <c r="CD404" i="1"/>
  <c r="CC404" i="1"/>
  <c r="CB404" i="1"/>
  <c r="CA404" i="1"/>
  <c r="BZ404" i="1"/>
  <c r="BY404" i="1"/>
  <c r="BX404" i="1"/>
  <c r="BW404" i="1"/>
  <c r="BV404" i="1"/>
  <c r="BU404" i="1"/>
  <c r="BT404" i="1"/>
  <c r="BS404" i="1"/>
  <c r="BR404" i="1"/>
  <c r="BQ404" i="1"/>
  <c r="BP404" i="1"/>
  <c r="BO404" i="1"/>
  <c r="BN404" i="1"/>
  <c r="BM404" i="1"/>
  <c r="BL404" i="1"/>
  <c r="BK404" i="1"/>
  <c r="BJ404" i="1"/>
  <c r="BI404" i="1"/>
  <c r="BH404" i="1"/>
  <c r="BG404" i="1"/>
  <c r="CE403" i="1"/>
  <c r="CD403" i="1"/>
  <c r="CC403" i="1"/>
  <c r="CB403" i="1"/>
  <c r="CA403" i="1"/>
  <c r="BZ403" i="1"/>
  <c r="BY403" i="1"/>
  <c r="BX403" i="1"/>
  <c r="BW403" i="1"/>
  <c r="BV403" i="1"/>
  <c r="BU403" i="1"/>
  <c r="BT403" i="1"/>
  <c r="BS403" i="1"/>
  <c r="BR403" i="1"/>
  <c r="BQ403" i="1"/>
  <c r="BP403" i="1"/>
  <c r="BO403" i="1"/>
  <c r="BN403" i="1"/>
  <c r="BM403" i="1"/>
  <c r="BL403" i="1"/>
  <c r="BK403" i="1"/>
  <c r="BJ403" i="1"/>
  <c r="BI403" i="1"/>
  <c r="BH403" i="1"/>
  <c r="BG403" i="1"/>
  <c r="CE402" i="1"/>
  <c r="CD402" i="1"/>
  <c r="CC402" i="1"/>
  <c r="CB402" i="1"/>
  <c r="CA402" i="1"/>
  <c r="BZ402" i="1"/>
  <c r="BY402" i="1"/>
  <c r="BX402" i="1"/>
  <c r="BW402" i="1"/>
  <c r="BV402" i="1"/>
  <c r="BU402" i="1"/>
  <c r="BT402" i="1"/>
  <c r="BS402" i="1"/>
  <c r="BR402" i="1"/>
  <c r="BQ402" i="1"/>
  <c r="BP402" i="1"/>
  <c r="BO402" i="1"/>
  <c r="BN402" i="1"/>
  <c r="BM402" i="1"/>
  <c r="BL402" i="1"/>
  <c r="BK402" i="1"/>
  <c r="BJ402" i="1"/>
  <c r="BI402" i="1"/>
  <c r="BH402" i="1"/>
  <c r="BG402" i="1"/>
  <c r="CE401" i="1"/>
  <c r="CD401" i="1"/>
  <c r="CC401" i="1"/>
  <c r="CB401" i="1"/>
  <c r="CA401" i="1"/>
  <c r="BZ401" i="1"/>
  <c r="BY401" i="1"/>
  <c r="BX401" i="1"/>
  <c r="BW401" i="1"/>
  <c r="BV401" i="1"/>
  <c r="BU401" i="1"/>
  <c r="BT401" i="1"/>
  <c r="BS401" i="1"/>
  <c r="BR401" i="1"/>
  <c r="BQ401" i="1"/>
  <c r="BP401" i="1"/>
  <c r="BO401" i="1"/>
  <c r="BN401" i="1"/>
  <c r="BM401" i="1"/>
  <c r="BL401" i="1"/>
  <c r="BK401" i="1"/>
  <c r="BJ401" i="1"/>
  <c r="BI401" i="1"/>
  <c r="BH401" i="1"/>
  <c r="BG401" i="1"/>
  <c r="CE400" i="1"/>
  <c r="CD400" i="1"/>
  <c r="CC400" i="1"/>
  <c r="CB400" i="1"/>
  <c r="CA400" i="1"/>
  <c r="BZ400" i="1"/>
  <c r="BY400" i="1"/>
  <c r="BX400" i="1"/>
  <c r="BW400" i="1"/>
  <c r="BV400" i="1"/>
  <c r="BU400" i="1"/>
  <c r="BT400" i="1"/>
  <c r="BS400" i="1"/>
  <c r="BR400" i="1"/>
  <c r="BQ400" i="1"/>
  <c r="BP400" i="1"/>
  <c r="BO400" i="1"/>
  <c r="BN400" i="1"/>
  <c r="BM400" i="1"/>
  <c r="BL400" i="1"/>
  <c r="BK400" i="1"/>
  <c r="BJ400" i="1"/>
  <c r="BI400" i="1"/>
  <c r="BH400" i="1"/>
  <c r="BG400" i="1"/>
  <c r="CE399" i="1"/>
  <c r="CD399" i="1"/>
  <c r="CC399" i="1"/>
  <c r="CB399" i="1"/>
  <c r="CA399" i="1"/>
  <c r="BZ399" i="1"/>
  <c r="BY399" i="1"/>
  <c r="BX399" i="1"/>
  <c r="BW399" i="1"/>
  <c r="BV399" i="1"/>
  <c r="BU399" i="1"/>
  <c r="BT399" i="1"/>
  <c r="BS399" i="1"/>
  <c r="BR399" i="1"/>
  <c r="BQ399" i="1"/>
  <c r="BP399" i="1"/>
  <c r="BO399" i="1"/>
  <c r="BN399" i="1"/>
  <c r="BM399" i="1"/>
  <c r="BL399" i="1"/>
  <c r="BK399" i="1"/>
  <c r="BJ399" i="1"/>
  <c r="BI399" i="1"/>
  <c r="BH399" i="1"/>
  <c r="BG399" i="1"/>
  <c r="CE398" i="1"/>
  <c r="CD398" i="1"/>
  <c r="CC398" i="1"/>
  <c r="CB398" i="1"/>
  <c r="CA398" i="1"/>
  <c r="BZ398" i="1"/>
  <c r="BY398" i="1"/>
  <c r="BX398" i="1"/>
  <c r="BW398" i="1"/>
  <c r="BV398" i="1"/>
  <c r="BU398" i="1"/>
  <c r="BT398" i="1"/>
  <c r="BS398" i="1"/>
  <c r="BR398" i="1"/>
  <c r="BQ398" i="1"/>
  <c r="BP398" i="1"/>
  <c r="BO398" i="1"/>
  <c r="BN398" i="1"/>
  <c r="BM398" i="1"/>
  <c r="BL398" i="1"/>
  <c r="BK398" i="1"/>
  <c r="BJ398" i="1"/>
  <c r="BI398" i="1"/>
  <c r="BH398" i="1"/>
  <c r="BG398" i="1"/>
  <c r="CE397" i="1"/>
  <c r="CD397" i="1"/>
  <c r="CC397" i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BP397" i="1"/>
  <c r="BO397" i="1"/>
  <c r="BN397" i="1"/>
  <c r="BM397" i="1"/>
  <c r="BL397" i="1"/>
  <c r="BK397" i="1"/>
  <c r="BJ397" i="1"/>
  <c r="BI397" i="1"/>
  <c r="BH397" i="1"/>
  <c r="BG397" i="1"/>
  <c r="CE396" i="1"/>
  <c r="CD396" i="1"/>
  <c r="CC396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BP396" i="1"/>
  <c r="BO396" i="1"/>
  <c r="BN396" i="1"/>
  <c r="BM396" i="1"/>
  <c r="BL396" i="1"/>
  <c r="BK396" i="1"/>
  <c r="BJ396" i="1"/>
  <c r="BI396" i="1"/>
  <c r="BH396" i="1"/>
  <c r="BG396" i="1"/>
  <c r="CE395" i="1"/>
  <c r="CD395" i="1"/>
  <c r="CC395" i="1"/>
  <c r="CB395" i="1"/>
  <c r="CA395" i="1"/>
  <c r="BZ395" i="1"/>
  <c r="BY395" i="1"/>
  <c r="BX395" i="1"/>
  <c r="BW395" i="1"/>
  <c r="BV395" i="1"/>
  <c r="BU395" i="1"/>
  <c r="BT395" i="1"/>
  <c r="BS395" i="1"/>
  <c r="BR395" i="1"/>
  <c r="BQ395" i="1"/>
  <c r="BP395" i="1"/>
  <c r="BO395" i="1"/>
  <c r="BN395" i="1"/>
  <c r="BM395" i="1"/>
  <c r="BL395" i="1"/>
  <c r="BK395" i="1"/>
  <c r="BJ395" i="1"/>
  <c r="BI395" i="1"/>
  <c r="BH395" i="1"/>
  <c r="BG395" i="1"/>
  <c r="CE394" i="1"/>
  <c r="CD394" i="1"/>
  <c r="CC394" i="1"/>
  <c r="CB394" i="1"/>
  <c r="CA394" i="1"/>
  <c r="BZ394" i="1"/>
  <c r="BY394" i="1"/>
  <c r="BX394" i="1"/>
  <c r="BW394" i="1"/>
  <c r="BV394" i="1"/>
  <c r="BU394" i="1"/>
  <c r="BT394" i="1"/>
  <c r="BS394" i="1"/>
  <c r="BR394" i="1"/>
  <c r="BQ394" i="1"/>
  <c r="BP394" i="1"/>
  <c r="BO394" i="1"/>
  <c r="BN394" i="1"/>
  <c r="BM394" i="1"/>
  <c r="BL394" i="1"/>
  <c r="BK394" i="1"/>
  <c r="BJ394" i="1"/>
  <c r="BI394" i="1"/>
  <c r="BH394" i="1"/>
  <c r="BG394" i="1"/>
  <c r="CE393" i="1"/>
  <c r="CD393" i="1"/>
  <c r="CC393" i="1"/>
  <c r="CB393" i="1"/>
  <c r="CA393" i="1"/>
  <c r="BZ393" i="1"/>
  <c r="BY393" i="1"/>
  <c r="BX393" i="1"/>
  <c r="BW393" i="1"/>
  <c r="BV393" i="1"/>
  <c r="BU393" i="1"/>
  <c r="BT393" i="1"/>
  <c r="BS393" i="1"/>
  <c r="BR393" i="1"/>
  <c r="BQ393" i="1"/>
  <c r="BP393" i="1"/>
  <c r="BO393" i="1"/>
  <c r="BN393" i="1"/>
  <c r="BM393" i="1"/>
  <c r="BL393" i="1"/>
  <c r="BK393" i="1"/>
  <c r="BJ393" i="1"/>
  <c r="BI393" i="1"/>
  <c r="BH393" i="1"/>
  <c r="BG393" i="1"/>
  <c r="CE392" i="1"/>
  <c r="CD392" i="1"/>
  <c r="CC392" i="1"/>
  <c r="CB392" i="1"/>
  <c r="CA392" i="1"/>
  <c r="BZ392" i="1"/>
  <c r="BY392" i="1"/>
  <c r="BX392" i="1"/>
  <c r="BW392" i="1"/>
  <c r="BV392" i="1"/>
  <c r="BU392" i="1"/>
  <c r="BT392" i="1"/>
  <c r="BS392" i="1"/>
  <c r="BR392" i="1"/>
  <c r="BQ392" i="1"/>
  <c r="BP392" i="1"/>
  <c r="BO392" i="1"/>
  <c r="BN392" i="1"/>
  <c r="BM392" i="1"/>
  <c r="BL392" i="1"/>
  <c r="BK392" i="1"/>
  <c r="BJ392" i="1"/>
  <c r="BI392" i="1"/>
  <c r="BH392" i="1"/>
  <c r="BG392" i="1"/>
  <c r="CE391" i="1"/>
  <c r="CD391" i="1"/>
  <c r="CC391" i="1"/>
  <c r="CB391" i="1"/>
  <c r="CA391" i="1"/>
  <c r="BZ391" i="1"/>
  <c r="BY391" i="1"/>
  <c r="BX391" i="1"/>
  <c r="BW391" i="1"/>
  <c r="BV391" i="1"/>
  <c r="BU391" i="1"/>
  <c r="BT391" i="1"/>
  <c r="BS391" i="1"/>
  <c r="BR391" i="1"/>
  <c r="BQ391" i="1"/>
  <c r="BP391" i="1"/>
  <c r="BO391" i="1"/>
  <c r="BN391" i="1"/>
  <c r="BM391" i="1"/>
  <c r="BL391" i="1"/>
  <c r="BK391" i="1"/>
  <c r="BJ391" i="1"/>
  <c r="BI391" i="1"/>
  <c r="BH391" i="1"/>
  <c r="BG391" i="1"/>
  <c r="CE390" i="1"/>
  <c r="CD390" i="1"/>
  <c r="CC390" i="1"/>
  <c r="CB390" i="1"/>
  <c r="CA390" i="1"/>
  <c r="BZ390" i="1"/>
  <c r="BY390" i="1"/>
  <c r="BX390" i="1"/>
  <c r="BW390" i="1"/>
  <c r="BV390" i="1"/>
  <c r="BU390" i="1"/>
  <c r="BT390" i="1"/>
  <c r="BS390" i="1"/>
  <c r="BR390" i="1"/>
  <c r="BQ390" i="1"/>
  <c r="BP390" i="1"/>
  <c r="BO390" i="1"/>
  <c r="BN390" i="1"/>
  <c r="BM390" i="1"/>
  <c r="BL390" i="1"/>
  <c r="BK390" i="1"/>
  <c r="BJ390" i="1"/>
  <c r="BI390" i="1"/>
  <c r="BH390" i="1"/>
  <c r="BG390" i="1"/>
  <c r="CE389" i="1"/>
  <c r="CD389" i="1"/>
  <c r="CC389" i="1"/>
  <c r="CB389" i="1"/>
  <c r="CA389" i="1"/>
  <c r="BZ389" i="1"/>
  <c r="BY389" i="1"/>
  <c r="BX389" i="1"/>
  <c r="BW389" i="1"/>
  <c r="BV389" i="1"/>
  <c r="BU389" i="1"/>
  <c r="BT389" i="1"/>
  <c r="BS389" i="1"/>
  <c r="BR389" i="1"/>
  <c r="BQ389" i="1"/>
  <c r="BP389" i="1"/>
  <c r="BO389" i="1"/>
  <c r="BN389" i="1"/>
  <c r="BM389" i="1"/>
  <c r="BL389" i="1"/>
  <c r="BK389" i="1"/>
  <c r="BJ389" i="1"/>
  <c r="BI389" i="1"/>
  <c r="BH389" i="1"/>
  <c r="BG389" i="1"/>
  <c r="CE388" i="1"/>
  <c r="CD388" i="1"/>
  <c r="CC388" i="1"/>
  <c r="CB388" i="1"/>
  <c r="CA388" i="1"/>
  <c r="BZ388" i="1"/>
  <c r="BY388" i="1"/>
  <c r="BX388" i="1"/>
  <c r="BW388" i="1"/>
  <c r="BV388" i="1"/>
  <c r="BU388" i="1"/>
  <c r="BT388" i="1"/>
  <c r="BS388" i="1"/>
  <c r="BR388" i="1"/>
  <c r="BQ388" i="1"/>
  <c r="BP388" i="1"/>
  <c r="BO388" i="1"/>
  <c r="BN388" i="1"/>
  <c r="BM388" i="1"/>
  <c r="BL388" i="1"/>
  <c r="BK388" i="1"/>
  <c r="BJ388" i="1"/>
  <c r="BI388" i="1"/>
  <c r="BH388" i="1"/>
  <c r="BG388" i="1"/>
  <c r="CE387" i="1"/>
  <c r="CD387" i="1"/>
  <c r="CC387" i="1"/>
  <c r="CB387" i="1"/>
  <c r="CA387" i="1"/>
  <c r="BZ387" i="1"/>
  <c r="BY387" i="1"/>
  <c r="BX387" i="1"/>
  <c r="BW387" i="1"/>
  <c r="BV387" i="1"/>
  <c r="BU387" i="1"/>
  <c r="BT387" i="1"/>
  <c r="BS387" i="1"/>
  <c r="BR387" i="1"/>
  <c r="BQ387" i="1"/>
  <c r="BP387" i="1"/>
  <c r="BO387" i="1"/>
  <c r="BN387" i="1"/>
  <c r="BM387" i="1"/>
  <c r="BL387" i="1"/>
  <c r="BK387" i="1"/>
  <c r="BJ387" i="1"/>
  <c r="BI387" i="1"/>
  <c r="BH387" i="1"/>
  <c r="BG387" i="1"/>
  <c r="CE386" i="1"/>
  <c r="CD386" i="1"/>
  <c r="CC386" i="1"/>
  <c r="CB386" i="1"/>
  <c r="CA386" i="1"/>
  <c r="BZ386" i="1"/>
  <c r="BY386" i="1"/>
  <c r="BX386" i="1"/>
  <c r="BW386" i="1"/>
  <c r="BV386" i="1"/>
  <c r="BU386" i="1"/>
  <c r="BT386" i="1"/>
  <c r="BS386" i="1"/>
  <c r="BR386" i="1"/>
  <c r="BQ386" i="1"/>
  <c r="BP386" i="1"/>
  <c r="BO386" i="1"/>
  <c r="BN386" i="1"/>
  <c r="BM386" i="1"/>
  <c r="BL386" i="1"/>
  <c r="BK386" i="1"/>
  <c r="BJ386" i="1"/>
  <c r="BI386" i="1"/>
  <c r="BH386" i="1"/>
  <c r="BG386" i="1"/>
  <c r="CE385" i="1"/>
  <c r="CD385" i="1"/>
  <c r="CC385" i="1"/>
  <c r="CB385" i="1"/>
  <c r="CA385" i="1"/>
  <c r="BZ385" i="1"/>
  <c r="BY385" i="1"/>
  <c r="BX385" i="1"/>
  <c r="BW385" i="1"/>
  <c r="BV385" i="1"/>
  <c r="BU385" i="1"/>
  <c r="BT385" i="1"/>
  <c r="BS385" i="1"/>
  <c r="BR385" i="1"/>
  <c r="BQ385" i="1"/>
  <c r="BP385" i="1"/>
  <c r="BO385" i="1"/>
  <c r="BN385" i="1"/>
  <c r="BM385" i="1"/>
  <c r="BL385" i="1"/>
  <c r="BK385" i="1"/>
  <c r="BJ385" i="1"/>
  <c r="BI385" i="1"/>
  <c r="BH385" i="1"/>
  <c r="BG385" i="1"/>
  <c r="CE384" i="1"/>
  <c r="CD384" i="1"/>
  <c r="CC384" i="1"/>
  <c r="CB384" i="1"/>
  <c r="CA384" i="1"/>
  <c r="BZ384" i="1"/>
  <c r="BY384" i="1"/>
  <c r="BX384" i="1"/>
  <c r="BW384" i="1"/>
  <c r="BV384" i="1"/>
  <c r="BU384" i="1"/>
  <c r="BT384" i="1"/>
  <c r="BS384" i="1"/>
  <c r="BR384" i="1"/>
  <c r="BQ384" i="1"/>
  <c r="BP384" i="1"/>
  <c r="BO384" i="1"/>
  <c r="BN384" i="1"/>
  <c r="BM384" i="1"/>
  <c r="BL384" i="1"/>
  <c r="BK384" i="1"/>
  <c r="BJ384" i="1"/>
  <c r="BI384" i="1"/>
  <c r="BH384" i="1"/>
  <c r="BG384" i="1"/>
  <c r="CE383" i="1"/>
  <c r="CD383" i="1"/>
  <c r="CC383" i="1"/>
  <c r="CB383" i="1"/>
  <c r="CA383" i="1"/>
  <c r="BZ383" i="1"/>
  <c r="BY383" i="1"/>
  <c r="BX383" i="1"/>
  <c r="BW383" i="1"/>
  <c r="BV383" i="1"/>
  <c r="BU383" i="1"/>
  <c r="BT383" i="1"/>
  <c r="BS383" i="1"/>
  <c r="BR383" i="1"/>
  <c r="BQ383" i="1"/>
  <c r="BP383" i="1"/>
  <c r="BO383" i="1"/>
  <c r="BN383" i="1"/>
  <c r="BM383" i="1"/>
  <c r="BL383" i="1"/>
  <c r="BK383" i="1"/>
  <c r="BJ383" i="1"/>
  <c r="BI383" i="1"/>
  <c r="BH383" i="1"/>
  <c r="BG383" i="1"/>
  <c r="CE382" i="1"/>
  <c r="CD382" i="1"/>
  <c r="CC382" i="1"/>
  <c r="CB382" i="1"/>
  <c r="CA382" i="1"/>
  <c r="BZ382" i="1"/>
  <c r="BY382" i="1"/>
  <c r="BX382" i="1"/>
  <c r="BW382" i="1"/>
  <c r="BV382" i="1"/>
  <c r="BU382" i="1"/>
  <c r="BT382" i="1"/>
  <c r="BS382" i="1"/>
  <c r="BR382" i="1"/>
  <c r="BQ382" i="1"/>
  <c r="BP382" i="1"/>
  <c r="BO382" i="1"/>
  <c r="BN382" i="1"/>
  <c r="BM382" i="1"/>
  <c r="BL382" i="1"/>
  <c r="BK382" i="1"/>
  <c r="BJ382" i="1"/>
  <c r="BI382" i="1"/>
  <c r="BH382" i="1"/>
  <c r="BG382" i="1"/>
  <c r="CE381" i="1"/>
  <c r="CD381" i="1"/>
  <c r="CC381" i="1"/>
  <c r="CB381" i="1"/>
  <c r="CA381" i="1"/>
  <c r="BZ381" i="1"/>
  <c r="BY381" i="1"/>
  <c r="BX381" i="1"/>
  <c r="BW381" i="1"/>
  <c r="BV381" i="1"/>
  <c r="BU381" i="1"/>
  <c r="BT381" i="1"/>
  <c r="BS381" i="1"/>
  <c r="BR381" i="1"/>
  <c r="BQ381" i="1"/>
  <c r="BP381" i="1"/>
  <c r="BO381" i="1"/>
  <c r="BN381" i="1"/>
  <c r="BM381" i="1"/>
  <c r="BL381" i="1"/>
  <c r="BK381" i="1"/>
  <c r="BJ381" i="1"/>
  <c r="BI381" i="1"/>
  <c r="BH381" i="1"/>
  <c r="BG381" i="1"/>
  <c r="CE380" i="1"/>
  <c r="CD380" i="1"/>
  <c r="CC380" i="1"/>
  <c r="CB380" i="1"/>
  <c r="CA380" i="1"/>
  <c r="BZ380" i="1"/>
  <c r="BY380" i="1"/>
  <c r="BX380" i="1"/>
  <c r="BW380" i="1"/>
  <c r="BV380" i="1"/>
  <c r="BU380" i="1"/>
  <c r="BT380" i="1"/>
  <c r="BS380" i="1"/>
  <c r="BR380" i="1"/>
  <c r="BQ380" i="1"/>
  <c r="BP380" i="1"/>
  <c r="BO380" i="1"/>
  <c r="BN380" i="1"/>
  <c r="BM380" i="1"/>
  <c r="BL380" i="1"/>
  <c r="BK380" i="1"/>
  <c r="BJ380" i="1"/>
  <c r="BI380" i="1"/>
  <c r="BH380" i="1"/>
  <c r="BG380" i="1"/>
  <c r="CE379" i="1"/>
  <c r="CD379" i="1"/>
  <c r="CC379" i="1"/>
  <c r="CB379" i="1"/>
  <c r="CA379" i="1"/>
  <c r="BZ379" i="1"/>
  <c r="BY379" i="1"/>
  <c r="BX379" i="1"/>
  <c r="BW379" i="1"/>
  <c r="BV379" i="1"/>
  <c r="BU379" i="1"/>
  <c r="BT379" i="1"/>
  <c r="BS379" i="1"/>
  <c r="BR379" i="1"/>
  <c r="BQ379" i="1"/>
  <c r="BP379" i="1"/>
  <c r="BO379" i="1"/>
  <c r="BN379" i="1"/>
  <c r="BM379" i="1"/>
  <c r="BL379" i="1"/>
  <c r="BK379" i="1"/>
  <c r="BJ379" i="1"/>
  <c r="BI379" i="1"/>
  <c r="BH379" i="1"/>
  <c r="BG379" i="1"/>
  <c r="CE378" i="1"/>
  <c r="CD378" i="1"/>
  <c r="CC378" i="1"/>
  <c r="CB378" i="1"/>
  <c r="CA378" i="1"/>
  <c r="BZ378" i="1"/>
  <c r="BY378" i="1"/>
  <c r="BX378" i="1"/>
  <c r="BW378" i="1"/>
  <c r="BV378" i="1"/>
  <c r="BU378" i="1"/>
  <c r="BT378" i="1"/>
  <c r="BS378" i="1"/>
  <c r="BR378" i="1"/>
  <c r="BQ378" i="1"/>
  <c r="BP378" i="1"/>
  <c r="BO378" i="1"/>
  <c r="BN378" i="1"/>
  <c r="BM378" i="1"/>
  <c r="BL378" i="1"/>
  <c r="BK378" i="1"/>
  <c r="BJ378" i="1"/>
  <c r="BI378" i="1"/>
  <c r="BH378" i="1"/>
  <c r="BG378" i="1"/>
  <c r="CE377" i="1"/>
  <c r="CD377" i="1"/>
  <c r="CC377" i="1"/>
  <c r="CB377" i="1"/>
  <c r="CA377" i="1"/>
  <c r="BZ377" i="1"/>
  <c r="BY377" i="1"/>
  <c r="BX377" i="1"/>
  <c r="BW377" i="1"/>
  <c r="BV377" i="1"/>
  <c r="BU377" i="1"/>
  <c r="BT377" i="1"/>
  <c r="BS377" i="1"/>
  <c r="BR377" i="1"/>
  <c r="BQ377" i="1"/>
  <c r="BP377" i="1"/>
  <c r="BO377" i="1"/>
  <c r="BN377" i="1"/>
  <c r="BM377" i="1"/>
  <c r="BL377" i="1"/>
  <c r="BK377" i="1"/>
  <c r="BJ377" i="1"/>
  <c r="BI377" i="1"/>
  <c r="BH377" i="1"/>
  <c r="BG377" i="1"/>
  <c r="CE376" i="1"/>
  <c r="CD376" i="1"/>
  <c r="CC376" i="1"/>
  <c r="CB376" i="1"/>
  <c r="CA376" i="1"/>
  <c r="BZ376" i="1"/>
  <c r="BY376" i="1"/>
  <c r="BX376" i="1"/>
  <c r="BW376" i="1"/>
  <c r="BV376" i="1"/>
  <c r="BU376" i="1"/>
  <c r="BT376" i="1"/>
  <c r="BS376" i="1"/>
  <c r="BR376" i="1"/>
  <c r="BQ376" i="1"/>
  <c r="BP376" i="1"/>
  <c r="BO376" i="1"/>
  <c r="BN376" i="1"/>
  <c r="BM376" i="1"/>
  <c r="BL376" i="1"/>
  <c r="BK376" i="1"/>
  <c r="BJ376" i="1"/>
  <c r="BI376" i="1"/>
  <c r="BH376" i="1"/>
  <c r="BG376" i="1"/>
  <c r="CE375" i="1"/>
  <c r="CD375" i="1"/>
  <c r="CC375" i="1"/>
  <c r="CB375" i="1"/>
  <c r="CA375" i="1"/>
  <c r="BZ375" i="1"/>
  <c r="BY375" i="1"/>
  <c r="BX375" i="1"/>
  <c r="BW375" i="1"/>
  <c r="BV375" i="1"/>
  <c r="BU375" i="1"/>
  <c r="BT375" i="1"/>
  <c r="BS375" i="1"/>
  <c r="BR375" i="1"/>
  <c r="BQ375" i="1"/>
  <c r="BP375" i="1"/>
  <c r="BO375" i="1"/>
  <c r="BN375" i="1"/>
  <c r="BM375" i="1"/>
  <c r="BL375" i="1"/>
  <c r="BK375" i="1"/>
  <c r="BJ375" i="1"/>
  <c r="BI375" i="1"/>
  <c r="BH375" i="1"/>
  <c r="BG375" i="1"/>
  <c r="CE374" i="1"/>
  <c r="CD374" i="1"/>
  <c r="CC374" i="1"/>
  <c r="CB374" i="1"/>
  <c r="CA374" i="1"/>
  <c r="BZ374" i="1"/>
  <c r="BY374" i="1"/>
  <c r="BX374" i="1"/>
  <c r="BW374" i="1"/>
  <c r="BV374" i="1"/>
  <c r="BU374" i="1"/>
  <c r="BT374" i="1"/>
  <c r="BS374" i="1"/>
  <c r="BR374" i="1"/>
  <c r="BQ374" i="1"/>
  <c r="BP374" i="1"/>
  <c r="BO374" i="1"/>
  <c r="BN374" i="1"/>
  <c r="BM374" i="1"/>
  <c r="BL374" i="1"/>
  <c r="BK374" i="1"/>
  <c r="BJ374" i="1"/>
  <c r="BI374" i="1"/>
  <c r="BH374" i="1"/>
  <c r="BG374" i="1"/>
  <c r="CE373" i="1"/>
  <c r="CD373" i="1"/>
  <c r="CC373" i="1"/>
  <c r="CB373" i="1"/>
  <c r="CA373" i="1"/>
  <c r="BZ373" i="1"/>
  <c r="BY373" i="1"/>
  <c r="BX373" i="1"/>
  <c r="BW373" i="1"/>
  <c r="BV373" i="1"/>
  <c r="BU373" i="1"/>
  <c r="BT373" i="1"/>
  <c r="BS373" i="1"/>
  <c r="BR373" i="1"/>
  <c r="BQ373" i="1"/>
  <c r="BP373" i="1"/>
  <c r="BO373" i="1"/>
  <c r="BN373" i="1"/>
  <c r="BM373" i="1"/>
  <c r="BL373" i="1"/>
  <c r="BK373" i="1"/>
  <c r="BJ373" i="1"/>
  <c r="BI373" i="1"/>
  <c r="BH373" i="1"/>
  <c r="BG373" i="1"/>
  <c r="CE372" i="1"/>
  <c r="CD372" i="1"/>
  <c r="CC372" i="1"/>
  <c r="CB372" i="1"/>
  <c r="CA372" i="1"/>
  <c r="BZ372" i="1"/>
  <c r="BY372" i="1"/>
  <c r="BX372" i="1"/>
  <c r="BW372" i="1"/>
  <c r="BV372" i="1"/>
  <c r="BU372" i="1"/>
  <c r="BT372" i="1"/>
  <c r="BS372" i="1"/>
  <c r="BR372" i="1"/>
  <c r="BQ372" i="1"/>
  <c r="BP372" i="1"/>
  <c r="BO372" i="1"/>
  <c r="BN372" i="1"/>
  <c r="BM372" i="1"/>
  <c r="BL372" i="1"/>
  <c r="BK372" i="1"/>
  <c r="BJ372" i="1"/>
  <c r="BI372" i="1"/>
  <c r="BH372" i="1"/>
  <c r="BG372" i="1"/>
  <c r="CE371" i="1"/>
  <c r="CD371" i="1"/>
  <c r="CC371" i="1"/>
  <c r="CB371" i="1"/>
  <c r="CA371" i="1"/>
  <c r="BZ371" i="1"/>
  <c r="BY371" i="1"/>
  <c r="BX371" i="1"/>
  <c r="BW371" i="1"/>
  <c r="BV371" i="1"/>
  <c r="BU371" i="1"/>
  <c r="BT371" i="1"/>
  <c r="BS371" i="1"/>
  <c r="BR371" i="1"/>
  <c r="BQ371" i="1"/>
  <c r="BP371" i="1"/>
  <c r="BO371" i="1"/>
  <c r="BN371" i="1"/>
  <c r="BM371" i="1"/>
  <c r="BL371" i="1"/>
  <c r="BK371" i="1"/>
  <c r="BJ371" i="1"/>
  <c r="BI371" i="1"/>
  <c r="BH371" i="1"/>
  <c r="BG371" i="1"/>
  <c r="CE370" i="1"/>
  <c r="CD370" i="1"/>
  <c r="CC370" i="1"/>
  <c r="CB370" i="1"/>
  <c r="CA370" i="1"/>
  <c r="BZ370" i="1"/>
  <c r="BY370" i="1"/>
  <c r="BX370" i="1"/>
  <c r="BW370" i="1"/>
  <c r="BV370" i="1"/>
  <c r="BU370" i="1"/>
  <c r="BT370" i="1"/>
  <c r="BS370" i="1"/>
  <c r="BR370" i="1"/>
  <c r="BQ370" i="1"/>
  <c r="BP370" i="1"/>
  <c r="BO370" i="1"/>
  <c r="BN370" i="1"/>
  <c r="BM370" i="1"/>
  <c r="BL370" i="1"/>
  <c r="BK370" i="1"/>
  <c r="BJ370" i="1"/>
  <c r="BI370" i="1"/>
  <c r="BH370" i="1"/>
  <c r="BG370" i="1"/>
  <c r="CE369" i="1"/>
  <c r="CD369" i="1"/>
  <c r="CC369" i="1"/>
  <c r="CB369" i="1"/>
  <c r="CA369" i="1"/>
  <c r="BZ369" i="1"/>
  <c r="BY369" i="1"/>
  <c r="BX369" i="1"/>
  <c r="BW369" i="1"/>
  <c r="BV369" i="1"/>
  <c r="BU369" i="1"/>
  <c r="BT369" i="1"/>
  <c r="BS369" i="1"/>
  <c r="BR369" i="1"/>
  <c r="BQ369" i="1"/>
  <c r="BP369" i="1"/>
  <c r="BO369" i="1"/>
  <c r="BN369" i="1"/>
  <c r="BM369" i="1"/>
  <c r="BL369" i="1"/>
  <c r="BK369" i="1"/>
  <c r="BJ369" i="1"/>
  <c r="BI369" i="1"/>
  <c r="BH369" i="1"/>
  <c r="BG369" i="1"/>
  <c r="CE368" i="1"/>
  <c r="CD368" i="1"/>
  <c r="CC368" i="1"/>
  <c r="CB368" i="1"/>
  <c r="CA368" i="1"/>
  <c r="BZ368" i="1"/>
  <c r="BY368" i="1"/>
  <c r="BX368" i="1"/>
  <c r="BW368" i="1"/>
  <c r="BV368" i="1"/>
  <c r="BU368" i="1"/>
  <c r="BT368" i="1"/>
  <c r="BS368" i="1"/>
  <c r="BR368" i="1"/>
  <c r="BQ368" i="1"/>
  <c r="BP368" i="1"/>
  <c r="BO368" i="1"/>
  <c r="BN368" i="1"/>
  <c r="BM368" i="1"/>
  <c r="BL368" i="1"/>
  <c r="BK368" i="1"/>
  <c r="BJ368" i="1"/>
  <c r="BI368" i="1"/>
  <c r="BH368" i="1"/>
  <c r="BG368" i="1"/>
  <c r="CE367" i="1"/>
  <c r="CD367" i="1"/>
  <c r="CC367" i="1"/>
  <c r="CB367" i="1"/>
  <c r="CA367" i="1"/>
  <c r="BZ367" i="1"/>
  <c r="BY367" i="1"/>
  <c r="BX367" i="1"/>
  <c r="BW367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CE366" i="1"/>
  <c r="CD366" i="1"/>
  <c r="CC366" i="1"/>
  <c r="CB366" i="1"/>
  <c r="CA366" i="1"/>
  <c r="BZ366" i="1"/>
  <c r="BY366" i="1"/>
  <c r="BX366" i="1"/>
  <c r="BW366" i="1"/>
  <c r="BV366" i="1"/>
  <c r="BU366" i="1"/>
  <c r="BT366" i="1"/>
  <c r="BS366" i="1"/>
  <c r="BR366" i="1"/>
  <c r="BQ366" i="1"/>
  <c r="BP366" i="1"/>
  <c r="BO366" i="1"/>
  <c r="BN366" i="1"/>
  <c r="BM366" i="1"/>
  <c r="BL366" i="1"/>
  <c r="BK366" i="1"/>
  <c r="BJ366" i="1"/>
  <c r="BI366" i="1"/>
  <c r="BH366" i="1"/>
  <c r="BG366" i="1"/>
  <c r="CE365" i="1"/>
  <c r="CD365" i="1"/>
  <c r="CC365" i="1"/>
  <c r="CB365" i="1"/>
  <c r="CA365" i="1"/>
  <c r="BZ365" i="1"/>
  <c r="BY365" i="1"/>
  <c r="BX365" i="1"/>
  <c r="BW365" i="1"/>
  <c r="BV365" i="1"/>
  <c r="BU365" i="1"/>
  <c r="BT365" i="1"/>
  <c r="BS365" i="1"/>
  <c r="BR365" i="1"/>
  <c r="BQ365" i="1"/>
  <c r="BP365" i="1"/>
  <c r="BO365" i="1"/>
  <c r="BN365" i="1"/>
  <c r="BM365" i="1"/>
  <c r="BL365" i="1"/>
  <c r="BK365" i="1"/>
  <c r="BJ365" i="1"/>
  <c r="BI365" i="1"/>
  <c r="BH365" i="1"/>
  <c r="BG365" i="1"/>
  <c r="CE364" i="1"/>
  <c r="CD364" i="1"/>
  <c r="CC364" i="1"/>
  <c r="CB364" i="1"/>
  <c r="CA364" i="1"/>
  <c r="BZ364" i="1"/>
  <c r="BY364" i="1"/>
  <c r="BX364" i="1"/>
  <c r="BW364" i="1"/>
  <c r="BV364" i="1"/>
  <c r="BU364" i="1"/>
  <c r="BT364" i="1"/>
  <c r="BS364" i="1"/>
  <c r="BR364" i="1"/>
  <c r="BQ364" i="1"/>
  <c r="BP364" i="1"/>
  <c r="BO364" i="1"/>
  <c r="BN364" i="1"/>
  <c r="BM364" i="1"/>
  <c r="BL364" i="1"/>
  <c r="BK364" i="1"/>
  <c r="BJ364" i="1"/>
  <c r="BI364" i="1"/>
  <c r="BH364" i="1"/>
  <c r="BG364" i="1"/>
  <c r="CE363" i="1"/>
  <c r="CD363" i="1"/>
  <c r="CC363" i="1"/>
  <c r="CB363" i="1"/>
  <c r="CA363" i="1"/>
  <c r="BZ363" i="1"/>
  <c r="BY363" i="1"/>
  <c r="BX363" i="1"/>
  <c r="BW363" i="1"/>
  <c r="BV363" i="1"/>
  <c r="BU363" i="1"/>
  <c r="BT363" i="1"/>
  <c r="BS363" i="1"/>
  <c r="BR363" i="1"/>
  <c r="BQ363" i="1"/>
  <c r="BP363" i="1"/>
  <c r="BO363" i="1"/>
  <c r="BN363" i="1"/>
  <c r="BM363" i="1"/>
  <c r="BL363" i="1"/>
  <c r="BK363" i="1"/>
  <c r="BJ363" i="1"/>
  <c r="BI363" i="1"/>
  <c r="BH363" i="1"/>
  <c r="BG363" i="1"/>
  <c r="CE362" i="1"/>
  <c r="CD362" i="1"/>
  <c r="CC362" i="1"/>
  <c r="CB362" i="1"/>
  <c r="CA362" i="1"/>
  <c r="BZ362" i="1"/>
  <c r="BY362" i="1"/>
  <c r="BX362" i="1"/>
  <c r="BW362" i="1"/>
  <c r="BV362" i="1"/>
  <c r="BU362" i="1"/>
  <c r="BT362" i="1"/>
  <c r="BS362" i="1"/>
  <c r="BR362" i="1"/>
  <c r="BQ362" i="1"/>
  <c r="BP362" i="1"/>
  <c r="BO362" i="1"/>
  <c r="BN362" i="1"/>
  <c r="BM362" i="1"/>
  <c r="BL362" i="1"/>
  <c r="BK362" i="1"/>
  <c r="BJ362" i="1"/>
  <c r="BI362" i="1"/>
  <c r="BH362" i="1"/>
  <c r="BG362" i="1"/>
  <c r="CE361" i="1"/>
  <c r="CD361" i="1"/>
  <c r="CC361" i="1"/>
  <c r="CB361" i="1"/>
  <c r="CA361" i="1"/>
  <c r="BZ361" i="1"/>
  <c r="BY361" i="1"/>
  <c r="BX361" i="1"/>
  <c r="BW361" i="1"/>
  <c r="BV361" i="1"/>
  <c r="BU361" i="1"/>
  <c r="BT361" i="1"/>
  <c r="BS361" i="1"/>
  <c r="BR361" i="1"/>
  <c r="BQ361" i="1"/>
  <c r="BP361" i="1"/>
  <c r="BO361" i="1"/>
  <c r="BN361" i="1"/>
  <c r="BM361" i="1"/>
  <c r="BL361" i="1"/>
  <c r="BK361" i="1"/>
  <c r="BJ361" i="1"/>
  <c r="BI361" i="1"/>
  <c r="BH361" i="1"/>
  <c r="BG361" i="1"/>
  <c r="CE360" i="1"/>
  <c r="CD360" i="1"/>
  <c r="CC360" i="1"/>
  <c r="CB360" i="1"/>
  <c r="CA360" i="1"/>
  <c r="BZ360" i="1"/>
  <c r="BY360" i="1"/>
  <c r="BX360" i="1"/>
  <c r="BW360" i="1"/>
  <c r="BV360" i="1"/>
  <c r="BU360" i="1"/>
  <c r="BT360" i="1"/>
  <c r="BS360" i="1"/>
  <c r="BR360" i="1"/>
  <c r="BQ360" i="1"/>
  <c r="BP360" i="1"/>
  <c r="BO360" i="1"/>
  <c r="BN360" i="1"/>
  <c r="BM360" i="1"/>
  <c r="BL360" i="1"/>
  <c r="BK360" i="1"/>
  <c r="BJ360" i="1"/>
  <c r="BI360" i="1"/>
  <c r="BH360" i="1"/>
  <c r="BG360" i="1"/>
  <c r="CE359" i="1"/>
  <c r="CD359" i="1"/>
  <c r="CC359" i="1"/>
  <c r="CB359" i="1"/>
  <c r="CA359" i="1"/>
  <c r="BZ359" i="1"/>
  <c r="BY359" i="1"/>
  <c r="BX359" i="1"/>
  <c r="BW359" i="1"/>
  <c r="BV359" i="1"/>
  <c r="BU359" i="1"/>
  <c r="BT359" i="1"/>
  <c r="BS359" i="1"/>
  <c r="BR359" i="1"/>
  <c r="BQ359" i="1"/>
  <c r="BP359" i="1"/>
  <c r="BO359" i="1"/>
  <c r="BN359" i="1"/>
  <c r="BM359" i="1"/>
  <c r="BL359" i="1"/>
  <c r="BK359" i="1"/>
  <c r="BJ359" i="1"/>
  <c r="BI359" i="1"/>
  <c r="BH359" i="1"/>
  <c r="BG359" i="1"/>
  <c r="CE358" i="1"/>
  <c r="CD358" i="1"/>
  <c r="CC358" i="1"/>
  <c r="CB358" i="1"/>
  <c r="CA358" i="1"/>
  <c r="BZ358" i="1"/>
  <c r="BY358" i="1"/>
  <c r="BX358" i="1"/>
  <c r="BW358" i="1"/>
  <c r="BV358" i="1"/>
  <c r="BU358" i="1"/>
  <c r="BT358" i="1"/>
  <c r="BS358" i="1"/>
  <c r="BR358" i="1"/>
  <c r="BQ358" i="1"/>
  <c r="BP358" i="1"/>
  <c r="BO358" i="1"/>
  <c r="BN358" i="1"/>
  <c r="BM358" i="1"/>
  <c r="BL358" i="1"/>
  <c r="BK358" i="1"/>
  <c r="BJ358" i="1"/>
  <c r="BI358" i="1"/>
  <c r="BH358" i="1"/>
  <c r="BG358" i="1"/>
  <c r="CE357" i="1"/>
  <c r="CD357" i="1"/>
  <c r="CC357" i="1"/>
  <c r="CB357" i="1"/>
  <c r="CA357" i="1"/>
  <c r="BZ357" i="1"/>
  <c r="BY357" i="1"/>
  <c r="BX357" i="1"/>
  <c r="BW357" i="1"/>
  <c r="BV357" i="1"/>
  <c r="BU357" i="1"/>
  <c r="BT357" i="1"/>
  <c r="BS357" i="1"/>
  <c r="BR357" i="1"/>
  <c r="BQ357" i="1"/>
  <c r="BP357" i="1"/>
  <c r="BO357" i="1"/>
  <c r="BN357" i="1"/>
  <c r="BM357" i="1"/>
  <c r="BL357" i="1"/>
  <c r="BK357" i="1"/>
  <c r="BJ357" i="1"/>
  <c r="BI357" i="1"/>
  <c r="BH357" i="1"/>
  <c r="BG357" i="1"/>
  <c r="CE356" i="1"/>
  <c r="CD356" i="1"/>
  <c r="CC356" i="1"/>
  <c r="CB356" i="1"/>
  <c r="CA356" i="1"/>
  <c r="BZ356" i="1"/>
  <c r="BY356" i="1"/>
  <c r="BX356" i="1"/>
  <c r="BW356" i="1"/>
  <c r="BV356" i="1"/>
  <c r="BU356" i="1"/>
  <c r="BT356" i="1"/>
  <c r="BS356" i="1"/>
  <c r="BR356" i="1"/>
  <c r="BQ356" i="1"/>
  <c r="BP356" i="1"/>
  <c r="BO356" i="1"/>
  <c r="BN356" i="1"/>
  <c r="BM356" i="1"/>
  <c r="BL356" i="1"/>
  <c r="BK356" i="1"/>
  <c r="BJ356" i="1"/>
  <c r="BI356" i="1"/>
  <c r="BH356" i="1"/>
  <c r="BG356" i="1"/>
  <c r="CE355" i="1"/>
  <c r="CD355" i="1"/>
  <c r="CC355" i="1"/>
  <c r="CB355" i="1"/>
  <c r="CA355" i="1"/>
  <c r="BZ355" i="1"/>
  <c r="BY355" i="1"/>
  <c r="BX355" i="1"/>
  <c r="BW355" i="1"/>
  <c r="BV355" i="1"/>
  <c r="BU355" i="1"/>
  <c r="BT355" i="1"/>
  <c r="BS355" i="1"/>
  <c r="BR355" i="1"/>
  <c r="BQ355" i="1"/>
  <c r="BP355" i="1"/>
  <c r="BO355" i="1"/>
  <c r="BN355" i="1"/>
  <c r="BM355" i="1"/>
  <c r="BL355" i="1"/>
  <c r="BK355" i="1"/>
  <c r="BJ355" i="1"/>
  <c r="BI355" i="1"/>
  <c r="BH355" i="1"/>
  <c r="BG355" i="1"/>
  <c r="CE354" i="1"/>
  <c r="CD354" i="1"/>
  <c r="CC354" i="1"/>
  <c r="CB354" i="1"/>
  <c r="CA354" i="1"/>
  <c r="BZ354" i="1"/>
  <c r="BY354" i="1"/>
  <c r="BX354" i="1"/>
  <c r="BW354" i="1"/>
  <c r="BV354" i="1"/>
  <c r="BU354" i="1"/>
  <c r="BT354" i="1"/>
  <c r="BS354" i="1"/>
  <c r="BR354" i="1"/>
  <c r="BQ354" i="1"/>
  <c r="BP354" i="1"/>
  <c r="BO354" i="1"/>
  <c r="BN354" i="1"/>
  <c r="BM354" i="1"/>
  <c r="BL354" i="1"/>
  <c r="BK354" i="1"/>
  <c r="BJ354" i="1"/>
  <c r="BI354" i="1"/>
  <c r="BH354" i="1"/>
  <c r="BG354" i="1"/>
  <c r="CE353" i="1"/>
  <c r="CD353" i="1"/>
  <c r="CC353" i="1"/>
  <c r="CB353" i="1"/>
  <c r="CA353" i="1"/>
  <c r="BZ353" i="1"/>
  <c r="BY353" i="1"/>
  <c r="BX353" i="1"/>
  <c r="BW353" i="1"/>
  <c r="BV353" i="1"/>
  <c r="BU353" i="1"/>
  <c r="BT353" i="1"/>
  <c r="BS353" i="1"/>
  <c r="BR353" i="1"/>
  <c r="BQ353" i="1"/>
  <c r="BP353" i="1"/>
  <c r="BO353" i="1"/>
  <c r="BN353" i="1"/>
  <c r="BM353" i="1"/>
  <c r="BL353" i="1"/>
  <c r="BK353" i="1"/>
  <c r="BJ353" i="1"/>
  <c r="BI353" i="1"/>
  <c r="BH353" i="1"/>
  <c r="BG353" i="1"/>
  <c r="CE352" i="1"/>
  <c r="CD352" i="1"/>
  <c r="CC352" i="1"/>
  <c r="CB352" i="1"/>
  <c r="CA352" i="1"/>
  <c r="BZ352" i="1"/>
  <c r="BY352" i="1"/>
  <c r="BX352" i="1"/>
  <c r="BW352" i="1"/>
  <c r="BV352" i="1"/>
  <c r="BU352" i="1"/>
  <c r="BT352" i="1"/>
  <c r="BS352" i="1"/>
  <c r="BR352" i="1"/>
  <c r="BQ352" i="1"/>
  <c r="BP352" i="1"/>
  <c r="BO352" i="1"/>
  <c r="BN352" i="1"/>
  <c r="BM352" i="1"/>
  <c r="BL352" i="1"/>
  <c r="BK352" i="1"/>
  <c r="BJ352" i="1"/>
  <c r="BI352" i="1"/>
  <c r="BH352" i="1"/>
  <c r="BG352" i="1"/>
  <c r="CE351" i="1"/>
  <c r="CD351" i="1"/>
  <c r="CC351" i="1"/>
  <c r="CB351" i="1"/>
  <c r="CA351" i="1"/>
  <c r="BZ351" i="1"/>
  <c r="BY351" i="1"/>
  <c r="BX351" i="1"/>
  <c r="BW351" i="1"/>
  <c r="BV351" i="1"/>
  <c r="BU351" i="1"/>
  <c r="BT351" i="1"/>
  <c r="BS351" i="1"/>
  <c r="BR351" i="1"/>
  <c r="BQ351" i="1"/>
  <c r="BP351" i="1"/>
  <c r="BO351" i="1"/>
  <c r="BN351" i="1"/>
  <c r="BM351" i="1"/>
  <c r="BL351" i="1"/>
  <c r="BK351" i="1"/>
  <c r="BJ351" i="1"/>
  <c r="BI351" i="1"/>
  <c r="BH351" i="1"/>
  <c r="BG351" i="1"/>
  <c r="CE350" i="1"/>
  <c r="CD350" i="1"/>
  <c r="CC350" i="1"/>
  <c r="CB350" i="1"/>
  <c r="CA350" i="1"/>
  <c r="BZ350" i="1"/>
  <c r="BY350" i="1"/>
  <c r="BX350" i="1"/>
  <c r="BW350" i="1"/>
  <c r="BV350" i="1"/>
  <c r="BU350" i="1"/>
  <c r="BT350" i="1"/>
  <c r="BS350" i="1"/>
  <c r="BR350" i="1"/>
  <c r="BQ350" i="1"/>
  <c r="BP350" i="1"/>
  <c r="BO350" i="1"/>
  <c r="BN350" i="1"/>
  <c r="BM350" i="1"/>
  <c r="BL350" i="1"/>
  <c r="BK350" i="1"/>
  <c r="BJ350" i="1"/>
  <c r="BI350" i="1"/>
  <c r="BH350" i="1"/>
  <c r="BG350" i="1"/>
  <c r="CE349" i="1"/>
  <c r="CD349" i="1"/>
  <c r="CC349" i="1"/>
  <c r="CB349" i="1"/>
  <c r="CA349" i="1"/>
  <c r="BZ349" i="1"/>
  <c r="BY349" i="1"/>
  <c r="BX349" i="1"/>
  <c r="BW349" i="1"/>
  <c r="BV349" i="1"/>
  <c r="BU349" i="1"/>
  <c r="BT349" i="1"/>
  <c r="BS349" i="1"/>
  <c r="BR349" i="1"/>
  <c r="BQ349" i="1"/>
  <c r="BP349" i="1"/>
  <c r="BO349" i="1"/>
  <c r="BN349" i="1"/>
  <c r="BM349" i="1"/>
  <c r="BL349" i="1"/>
  <c r="BK349" i="1"/>
  <c r="BJ349" i="1"/>
  <c r="BI349" i="1"/>
  <c r="BH349" i="1"/>
  <c r="BG349" i="1"/>
  <c r="CE348" i="1"/>
  <c r="CD348" i="1"/>
  <c r="CC348" i="1"/>
  <c r="CB348" i="1"/>
  <c r="CA348" i="1"/>
  <c r="BZ348" i="1"/>
  <c r="BY348" i="1"/>
  <c r="BX348" i="1"/>
  <c r="BW348" i="1"/>
  <c r="BV348" i="1"/>
  <c r="BU348" i="1"/>
  <c r="BT348" i="1"/>
  <c r="BS348" i="1"/>
  <c r="BR348" i="1"/>
  <c r="BQ348" i="1"/>
  <c r="BP348" i="1"/>
  <c r="BO348" i="1"/>
  <c r="BN348" i="1"/>
  <c r="BM348" i="1"/>
  <c r="BL348" i="1"/>
  <c r="BK348" i="1"/>
  <c r="BJ348" i="1"/>
  <c r="BI348" i="1"/>
  <c r="BH348" i="1"/>
  <c r="BG348" i="1"/>
  <c r="CE347" i="1"/>
  <c r="CD347" i="1"/>
  <c r="CC347" i="1"/>
  <c r="CB347" i="1"/>
  <c r="CA347" i="1"/>
  <c r="BZ347" i="1"/>
  <c r="BY347" i="1"/>
  <c r="BX347" i="1"/>
  <c r="BW347" i="1"/>
  <c r="BV347" i="1"/>
  <c r="BU347" i="1"/>
  <c r="BT347" i="1"/>
  <c r="BS347" i="1"/>
  <c r="BR347" i="1"/>
  <c r="BQ347" i="1"/>
  <c r="BP347" i="1"/>
  <c r="BO347" i="1"/>
  <c r="BN347" i="1"/>
  <c r="BM347" i="1"/>
  <c r="BL347" i="1"/>
  <c r="BK347" i="1"/>
  <c r="BJ347" i="1"/>
  <c r="BI347" i="1"/>
  <c r="BH347" i="1"/>
  <c r="BG347" i="1"/>
  <c r="CE346" i="1"/>
  <c r="CD346" i="1"/>
  <c r="CC346" i="1"/>
  <c r="CB346" i="1"/>
  <c r="CA346" i="1"/>
  <c r="BZ346" i="1"/>
  <c r="BY346" i="1"/>
  <c r="BX346" i="1"/>
  <c r="BW346" i="1"/>
  <c r="BV346" i="1"/>
  <c r="BU346" i="1"/>
  <c r="BT346" i="1"/>
  <c r="BS346" i="1"/>
  <c r="BR346" i="1"/>
  <c r="BQ346" i="1"/>
  <c r="BP346" i="1"/>
  <c r="BO346" i="1"/>
  <c r="BN346" i="1"/>
  <c r="BM346" i="1"/>
  <c r="BL346" i="1"/>
  <c r="BK346" i="1"/>
  <c r="BJ346" i="1"/>
  <c r="BI346" i="1"/>
  <c r="BH346" i="1"/>
  <c r="BG346" i="1"/>
  <c r="CE345" i="1"/>
  <c r="CD345" i="1"/>
  <c r="CC345" i="1"/>
  <c r="CB345" i="1"/>
  <c r="CA345" i="1"/>
  <c r="BZ345" i="1"/>
  <c r="BY345" i="1"/>
  <c r="BX345" i="1"/>
  <c r="BW345" i="1"/>
  <c r="BV345" i="1"/>
  <c r="BU345" i="1"/>
  <c r="BT345" i="1"/>
  <c r="BS345" i="1"/>
  <c r="BR345" i="1"/>
  <c r="BQ345" i="1"/>
  <c r="BP345" i="1"/>
  <c r="BO345" i="1"/>
  <c r="BN345" i="1"/>
  <c r="BM345" i="1"/>
  <c r="BL345" i="1"/>
  <c r="BK345" i="1"/>
  <c r="BJ345" i="1"/>
  <c r="BI345" i="1"/>
  <c r="BH345" i="1"/>
  <c r="BG345" i="1"/>
  <c r="CE344" i="1"/>
  <c r="CD344" i="1"/>
  <c r="CC344" i="1"/>
  <c r="CB344" i="1"/>
  <c r="CA344" i="1"/>
  <c r="BZ344" i="1"/>
  <c r="BY344" i="1"/>
  <c r="BX344" i="1"/>
  <c r="BW344" i="1"/>
  <c r="BV344" i="1"/>
  <c r="BU344" i="1"/>
  <c r="BT344" i="1"/>
  <c r="BS344" i="1"/>
  <c r="BR344" i="1"/>
  <c r="BQ344" i="1"/>
  <c r="BP344" i="1"/>
  <c r="BO344" i="1"/>
  <c r="BN344" i="1"/>
  <c r="BM344" i="1"/>
  <c r="BL344" i="1"/>
  <c r="BK344" i="1"/>
  <c r="BJ344" i="1"/>
  <c r="BI344" i="1"/>
  <c r="BH344" i="1"/>
  <c r="BG344" i="1"/>
  <c r="CE343" i="1"/>
  <c r="CD343" i="1"/>
  <c r="CC343" i="1"/>
  <c r="CB343" i="1"/>
  <c r="CA343" i="1"/>
  <c r="BZ343" i="1"/>
  <c r="BY343" i="1"/>
  <c r="BX343" i="1"/>
  <c r="BW343" i="1"/>
  <c r="BV343" i="1"/>
  <c r="BU343" i="1"/>
  <c r="BT343" i="1"/>
  <c r="BS343" i="1"/>
  <c r="BR343" i="1"/>
  <c r="BQ343" i="1"/>
  <c r="BP343" i="1"/>
  <c r="BO343" i="1"/>
  <c r="BN343" i="1"/>
  <c r="BM343" i="1"/>
  <c r="BL343" i="1"/>
  <c r="BK343" i="1"/>
  <c r="BJ343" i="1"/>
  <c r="BI343" i="1"/>
  <c r="BH343" i="1"/>
  <c r="BG343" i="1"/>
  <c r="CE342" i="1"/>
  <c r="CD342" i="1"/>
  <c r="CC342" i="1"/>
  <c r="CB342" i="1"/>
  <c r="CA342" i="1"/>
  <c r="BZ342" i="1"/>
  <c r="BY342" i="1"/>
  <c r="BX342" i="1"/>
  <c r="BW342" i="1"/>
  <c r="BV342" i="1"/>
  <c r="BU342" i="1"/>
  <c r="BT342" i="1"/>
  <c r="BS342" i="1"/>
  <c r="BR342" i="1"/>
  <c r="BQ342" i="1"/>
  <c r="BP342" i="1"/>
  <c r="BO342" i="1"/>
  <c r="BN342" i="1"/>
  <c r="BM342" i="1"/>
  <c r="BL342" i="1"/>
  <c r="BK342" i="1"/>
  <c r="BJ342" i="1"/>
  <c r="BI342" i="1"/>
  <c r="BH342" i="1"/>
  <c r="BG342" i="1"/>
  <c r="CE341" i="1"/>
  <c r="CD341" i="1"/>
  <c r="CC341" i="1"/>
  <c r="CB341" i="1"/>
  <c r="CA341" i="1"/>
  <c r="BZ341" i="1"/>
  <c r="BY341" i="1"/>
  <c r="BX341" i="1"/>
  <c r="BW341" i="1"/>
  <c r="BV341" i="1"/>
  <c r="BU341" i="1"/>
  <c r="BT341" i="1"/>
  <c r="BS341" i="1"/>
  <c r="BR341" i="1"/>
  <c r="BQ341" i="1"/>
  <c r="BP341" i="1"/>
  <c r="BO341" i="1"/>
  <c r="BN341" i="1"/>
  <c r="BM341" i="1"/>
  <c r="BL341" i="1"/>
  <c r="BK341" i="1"/>
  <c r="BJ341" i="1"/>
  <c r="BI341" i="1"/>
  <c r="BH341" i="1"/>
  <c r="BG341" i="1"/>
  <c r="CE340" i="1"/>
  <c r="CD340" i="1"/>
  <c r="CC340" i="1"/>
  <c r="CB340" i="1"/>
  <c r="CA340" i="1"/>
  <c r="BZ340" i="1"/>
  <c r="BY340" i="1"/>
  <c r="BX340" i="1"/>
  <c r="BW340" i="1"/>
  <c r="BV340" i="1"/>
  <c r="BU340" i="1"/>
  <c r="BT340" i="1"/>
  <c r="BS340" i="1"/>
  <c r="BR340" i="1"/>
  <c r="BQ340" i="1"/>
  <c r="BP340" i="1"/>
  <c r="BO340" i="1"/>
  <c r="BN340" i="1"/>
  <c r="BM340" i="1"/>
  <c r="BL340" i="1"/>
  <c r="BK340" i="1"/>
  <c r="BJ340" i="1"/>
  <c r="BI340" i="1"/>
  <c r="BH340" i="1"/>
  <c r="BG340" i="1"/>
  <c r="CE339" i="1"/>
  <c r="CD339" i="1"/>
  <c r="CC339" i="1"/>
  <c r="CB339" i="1"/>
  <c r="CA339" i="1"/>
  <c r="BZ339" i="1"/>
  <c r="BY339" i="1"/>
  <c r="BX339" i="1"/>
  <c r="BW339" i="1"/>
  <c r="BV339" i="1"/>
  <c r="BU339" i="1"/>
  <c r="BT339" i="1"/>
  <c r="BS339" i="1"/>
  <c r="BR339" i="1"/>
  <c r="BQ339" i="1"/>
  <c r="BP339" i="1"/>
  <c r="BO339" i="1"/>
  <c r="BN339" i="1"/>
  <c r="BM339" i="1"/>
  <c r="BL339" i="1"/>
  <c r="BK339" i="1"/>
  <c r="BJ339" i="1"/>
  <c r="BI339" i="1"/>
  <c r="BH339" i="1"/>
  <c r="BG339" i="1"/>
  <c r="CE338" i="1"/>
  <c r="CD338" i="1"/>
  <c r="CC338" i="1"/>
  <c r="CB338" i="1"/>
  <c r="CA338" i="1"/>
  <c r="BZ338" i="1"/>
  <c r="BY338" i="1"/>
  <c r="BX338" i="1"/>
  <c r="BW338" i="1"/>
  <c r="BV338" i="1"/>
  <c r="BU338" i="1"/>
  <c r="BT338" i="1"/>
  <c r="BS338" i="1"/>
  <c r="BR338" i="1"/>
  <c r="BQ338" i="1"/>
  <c r="BP338" i="1"/>
  <c r="BO338" i="1"/>
  <c r="BN338" i="1"/>
  <c r="BM338" i="1"/>
  <c r="BL338" i="1"/>
  <c r="BK338" i="1"/>
  <c r="BJ338" i="1"/>
  <c r="BI338" i="1"/>
  <c r="BH338" i="1"/>
  <c r="BG338" i="1"/>
  <c r="CE337" i="1"/>
  <c r="CD337" i="1"/>
  <c r="CC337" i="1"/>
  <c r="CB337" i="1"/>
  <c r="CA337" i="1"/>
  <c r="BZ337" i="1"/>
  <c r="BY337" i="1"/>
  <c r="BX337" i="1"/>
  <c r="BW337" i="1"/>
  <c r="BV337" i="1"/>
  <c r="BU337" i="1"/>
  <c r="BT337" i="1"/>
  <c r="BS337" i="1"/>
  <c r="BR337" i="1"/>
  <c r="BQ337" i="1"/>
  <c r="BP337" i="1"/>
  <c r="BO337" i="1"/>
  <c r="BN337" i="1"/>
  <c r="BM337" i="1"/>
  <c r="BL337" i="1"/>
  <c r="BK337" i="1"/>
  <c r="BJ337" i="1"/>
  <c r="BI337" i="1"/>
  <c r="BH337" i="1"/>
  <c r="BG337" i="1"/>
  <c r="CE336" i="1"/>
  <c r="CD336" i="1"/>
  <c r="CC336" i="1"/>
  <c r="CB336" i="1"/>
  <c r="CA336" i="1"/>
  <c r="BZ336" i="1"/>
  <c r="BY336" i="1"/>
  <c r="BX336" i="1"/>
  <c r="BW336" i="1"/>
  <c r="BV336" i="1"/>
  <c r="BU336" i="1"/>
  <c r="BT336" i="1"/>
  <c r="BS336" i="1"/>
  <c r="BR336" i="1"/>
  <c r="BQ336" i="1"/>
  <c r="BP336" i="1"/>
  <c r="BO336" i="1"/>
  <c r="BN336" i="1"/>
  <c r="BM336" i="1"/>
  <c r="BL336" i="1"/>
  <c r="BK336" i="1"/>
  <c r="BJ336" i="1"/>
  <c r="BI336" i="1"/>
  <c r="BH336" i="1"/>
  <c r="BG336" i="1"/>
  <c r="CE335" i="1"/>
  <c r="CD335" i="1"/>
  <c r="CC335" i="1"/>
  <c r="CB335" i="1"/>
  <c r="CA335" i="1"/>
  <c r="BZ335" i="1"/>
  <c r="BY335" i="1"/>
  <c r="BX335" i="1"/>
  <c r="BW335" i="1"/>
  <c r="BV335" i="1"/>
  <c r="BU335" i="1"/>
  <c r="BT335" i="1"/>
  <c r="BS335" i="1"/>
  <c r="BR335" i="1"/>
  <c r="BQ335" i="1"/>
  <c r="BP335" i="1"/>
  <c r="BO335" i="1"/>
  <c r="BN335" i="1"/>
  <c r="BM335" i="1"/>
  <c r="BL335" i="1"/>
  <c r="BK335" i="1"/>
  <c r="BJ335" i="1"/>
  <c r="BI335" i="1"/>
  <c r="BH335" i="1"/>
  <c r="BG335" i="1"/>
  <c r="CE334" i="1"/>
  <c r="CD334" i="1"/>
  <c r="CC334" i="1"/>
  <c r="CB334" i="1"/>
  <c r="CA334" i="1"/>
  <c r="BZ334" i="1"/>
  <c r="BY334" i="1"/>
  <c r="BX334" i="1"/>
  <c r="BW334" i="1"/>
  <c r="BV334" i="1"/>
  <c r="BU334" i="1"/>
  <c r="BT334" i="1"/>
  <c r="BS334" i="1"/>
  <c r="BR334" i="1"/>
  <c r="BQ334" i="1"/>
  <c r="BP334" i="1"/>
  <c r="BO334" i="1"/>
  <c r="BN334" i="1"/>
  <c r="BM334" i="1"/>
  <c r="BL334" i="1"/>
  <c r="BK334" i="1"/>
  <c r="BJ334" i="1"/>
  <c r="BI334" i="1"/>
  <c r="BH334" i="1"/>
  <c r="BG334" i="1"/>
  <c r="CE333" i="1"/>
  <c r="CD333" i="1"/>
  <c r="CC333" i="1"/>
  <c r="CB333" i="1"/>
  <c r="CA333" i="1"/>
  <c r="BZ333" i="1"/>
  <c r="BY333" i="1"/>
  <c r="BX333" i="1"/>
  <c r="BW333" i="1"/>
  <c r="BV333" i="1"/>
  <c r="BU333" i="1"/>
  <c r="BT333" i="1"/>
  <c r="BS333" i="1"/>
  <c r="BR333" i="1"/>
  <c r="BQ333" i="1"/>
  <c r="BP333" i="1"/>
  <c r="BO333" i="1"/>
  <c r="BN333" i="1"/>
  <c r="BM333" i="1"/>
  <c r="BL333" i="1"/>
  <c r="BK333" i="1"/>
  <c r="BJ333" i="1"/>
  <c r="BI333" i="1"/>
  <c r="BH333" i="1"/>
  <c r="BG333" i="1"/>
  <c r="CE332" i="1"/>
  <c r="CD332" i="1"/>
  <c r="CC332" i="1"/>
  <c r="CB332" i="1"/>
  <c r="CA332" i="1"/>
  <c r="BZ332" i="1"/>
  <c r="BY332" i="1"/>
  <c r="BX332" i="1"/>
  <c r="BW332" i="1"/>
  <c r="BV332" i="1"/>
  <c r="BU332" i="1"/>
  <c r="BT332" i="1"/>
  <c r="BS332" i="1"/>
  <c r="BR332" i="1"/>
  <c r="BQ332" i="1"/>
  <c r="BP332" i="1"/>
  <c r="BO332" i="1"/>
  <c r="BN332" i="1"/>
  <c r="BM332" i="1"/>
  <c r="BL332" i="1"/>
  <c r="BK332" i="1"/>
  <c r="BJ332" i="1"/>
  <c r="BI332" i="1"/>
  <c r="BH332" i="1"/>
  <c r="BG332" i="1"/>
  <c r="CE331" i="1"/>
  <c r="CD331" i="1"/>
  <c r="CC331" i="1"/>
  <c r="CB331" i="1"/>
  <c r="CA331" i="1"/>
  <c r="BZ331" i="1"/>
  <c r="BY331" i="1"/>
  <c r="BX331" i="1"/>
  <c r="BW331" i="1"/>
  <c r="BV331" i="1"/>
  <c r="BU331" i="1"/>
  <c r="BT331" i="1"/>
  <c r="BS331" i="1"/>
  <c r="BR331" i="1"/>
  <c r="BQ331" i="1"/>
  <c r="BP331" i="1"/>
  <c r="BO331" i="1"/>
  <c r="BN331" i="1"/>
  <c r="BM331" i="1"/>
  <c r="BL331" i="1"/>
  <c r="BK331" i="1"/>
  <c r="BJ331" i="1"/>
  <c r="BI331" i="1"/>
  <c r="BH331" i="1"/>
  <c r="BG331" i="1"/>
  <c r="CE330" i="1"/>
  <c r="CD330" i="1"/>
  <c r="CC330" i="1"/>
  <c r="CB330" i="1"/>
  <c r="CA330" i="1"/>
  <c r="BZ330" i="1"/>
  <c r="BY330" i="1"/>
  <c r="BX330" i="1"/>
  <c r="BW330" i="1"/>
  <c r="BV330" i="1"/>
  <c r="BU330" i="1"/>
  <c r="BT330" i="1"/>
  <c r="BS330" i="1"/>
  <c r="BR330" i="1"/>
  <c r="BQ330" i="1"/>
  <c r="BP330" i="1"/>
  <c r="BO330" i="1"/>
  <c r="BN330" i="1"/>
  <c r="BM330" i="1"/>
  <c r="BL330" i="1"/>
  <c r="BK330" i="1"/>
  <c r="BJ330" i="1"/>
  <c r="BI330" i="1"/>
  <c r="BH330" i="1"/>
  <c r="BG330" i="1"/>
  <c r="CE329" i="1"/>
  <c r="CD329" i="1"/>
  <c r="CC329" i="1"/>
  <c r="CB329" i="1"/>
  <c r="CA329" i="1"/>
  <c r="BZ329" i="1"/>
  <c r="BY329" i="1"/>
  <c r="BX329" i="1"/>
  <c r="BW329" i="1"/>
  <c r="BV329" i="1"/>
  <c r="BU329" i="1"/>
  <c r="BT329" i="1"/>
  <c r="BS329" i="1"/>
  <c r="BR329" i="1"/>
  <c r="BQ329" i="1"/>
  <c r="BP329" i="1"/>
  <c r="BO329" i="1"/>
  <c r="BN329" i="1"/>
  <c r="BM329" i="1"/>
  <c r="BL329" i="1"/>
  <c r="BK329" i="1"/>
  <c r="BJ329" i="1"/>
  <c r="BI329" i="1"/>
  <c r="BH329" i="1"/>
  <c r="BG329" i="1"/>
  <c r="CE328" i="1"/>
  <c r="CD328" i="1"/>
  <c r="CC328" i="1"/>
  <c r="CB328" i="1"/>
  <c r="CA328" i="1"/>
  <c r="BZ328" i="1"/>
  <c r="BY328" i="1"/>
  <c r="BX328" i="1"/>
  <c r="BW328" i="1"/>
  <c r="BV328" i="1"/>
  <c r="BU328" i="1"/>
  <c r="BT328" i="1"/>
  <c r="BS328" i="1"/>
  <c r="BR328" i="1"/>
  <c r="BQ328" i="1"/>
  <c r="BP328" i="1"/>
  <c r="BO328" i="1"/>
  <c r="BN328" i="1"/>
  <c r="BM328" i="1"/>
  <c r="BL328" i="1"/>
  <c r="BK328" i="1"/>
  <c r="BJ328" i="1"/>
  <c r="BI328" i="1"/>
  <c r="BH328" i="1"/>
  <c r="BG328" i="1"/>
  <c r="CE327" i="1"/>
  <c r="CD327" i="1"/>
  <c r="CC327" i="1"/>
  <c r="CB327" i="1"/>
  <c r="CA327" i="1"/>
  <c r="BZ327" i="1"/>
  <c r="BY327" i="1"/>
  <c r="BX327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CE326" i="1"/>
  <c r="CD326" i="1"/>
  <c r="CC326" i="1"/>
  <c r="CB326" i="1"/>
  <c r="CA326" i="1"/>
  <c r="BZ326" i="1"/>
  <c r="BY326" i="1"/>
  <c r="BX326" i="1"/>
  <c r="BW326" i="1"/>
  <c r="BV326" i="1"/>
  <c r="BU326" i="1"/>
  <c r="BT326" i="1"/>
  <c r="BS326" i="1"/>
  <c r="BR326" i="1"/>
  <c r="BQ326" i="1"/>
  <c r="BP326" i="1"/>
  <c r="BO326" i="1"/>
  <c r="BN326" i="1"/>
  <c r="BM326" i="1"/>
  <c r="BL326" i="1"/>
  <c r="BK326" i="1"/>
  <c r="BJ326" i="1"/>
  <c r="BI326" i="1"/>
  <c r="BH326" i="1"/>
  <c r="BG326" i="1"/>
  <c r="CE325" i="1"/>
  <c r="CD325" i="1"/>
  <c r="CC325" i="1"/>
  <c r="CB325" i="1"/>
  <c r="CA325" i="1"/>
  <c r="BZ325" i="1"/>
  <c r="BY325" i="1"/>
  <c r="BX325" i="1"/>
  <c r="BW325" i="1"/>
  <c r="BV325" i="1"/>
  <c r="BU325" i="1"/>
  <c r="BT325" i="1"/>
  <c r="BS325" i="1"/>
  <c r="BR325" i="1"/>
  <c r="BQ325" i="1"/>
  <c r="BP325" i="1"/>
  <c r="BO325" i="1"/>
  <c r="BN325" i="1"/>
  <c r="BM325" i="1"/>
  <c r="BL325" i="1"/>
  <c r="BK325" i="1"/>
  <c r="BJ325" i="1"/>
  <c r="BI325" i="1"/>
  <c r="BH325" i="1"/>
  <c r="BG325" i="1"/>
  <c r="CE324" i="1"/>
  <c r="CD324" i="1"/>
  <c r="CC324" i="1"/>
  <c r="CB324" i="1"/>
  <c r="CA324" i="1"/>
  <c r="BZ324" i="1"/>
  <c r="BY324" i="1"/>
  <c r="BX324" i="1"/>
  <c r="BW324" i="1"/>
  <c r="BV324" i="1"/>
  <c r="BU324" i="1"/>
  <c r="BT324" i="1"/>
  <c r="BS324" i="1"/>
  <c r="BR324" i="1"/>
  <c r="BQ324" i="1"/>
  <c r="BP324" i="1"/>
  <c r="BO324" i="1"/>
  <c r="BN324" i="1"/>
  <c r="BM324" i="1"/>
  <c r="BL324" i="1"/>
  <c r="BK324" i="1"/>
  <c r="BJ324" i="1"/>
  <c r="BI324" i="1"/>
  <c r="BH324" i="1"/>
  <c r="BG324" i="1"/>
  <c r="CE323" i="1"/>
  <c r="CD323" i="1"/>
  <c r="CC323" i="1"/>
  <c r="CB323" i="1"/>
  <c r="CA323" i="1"/>
  <c r="BZ323" i="1"/>
  <c r="BY323" i="1"/>
  <c r="BX323" i="1"/>
  <c r="BW323" i="1"/>
  <c r="BV323" i="1"/>
  <c r="BU323" i="1"/>
  <c r="BT323" i="1"/>
  <c r="BS323" i="1"/>
  <c r="BR323" i="1"/>
  <c r="BQ323" i="1"/>
  <c r="BP323" i="1"/>
  <c r="BO323" i="1"/>
  <c r="BN323" i="1"/>
  <c r="BM323" i="1"/>
  <c r="BL323" i="1"/>
  <c r="BK323" i="1"/>
  <c r="BJ323" i="1"/>
  <c r="BI323" i="1"/>
  <c r="BH323" i="1"/>
  <c r="BG323" i="1"/>
  <c r="CE322" i="1"/>
  <c r="CD322" i="1"/>
  <c r="CC322" i="1"/>
  <c r="CB322" i="1"/>
  <c r="CA322" i="1"/>
  <c r="BZ322" i="1"/>
  <c r="BY322" i="1"/>
  <c r="BX322" i="1"/>
  <c r="BW322" i="1"/>
  <c r="BV322" i="1"/>
  <c r="BU322" i="1"/>
  <c r="BT322" i="1"/>
  <c r="BS322" i="1"/>
  <c r="BR322" i="1"/>
  <c r="BQ322" i="1"/>
  <c r="BP322" i="1"/>
  <c r="BO322" i="1"/>
  <c r="BN322" i="1"/>
  <c r="BM322" i="1"/>
  <c r="BL322" i="1"/>
  <c r="BK322" i="1"/>
  <c r="BJ322" i="1"/>
  <c r="BI322" i="1"/>
  <c r="BH322" i="1"/>
  <c r="BG322" i="1"/>
  <c r="CE321" i="1"/>
  <c r="CD321" i="1"/>
  <c r="CC321" i="1"/>
  <c r="CB321" i="1"/>
  <c r="CA321" i="1"/>
  <c r="BZ321" i="1"/>
  <c r="BY321" i="1"/>
  <c r="BX321" i="1"/>
  <c r="BW321" i="1"/>
  <c r="BV321" i="1"/>
  <c r="BU321" i="1"/>
  <c r="BT321" i="1"/>
  <c r="BS321" i="1"/>
  <c r="BR321" i="1"/>
  <c r="BQ321" i="1"/>
  <c r="BP321" i="1"/>
  <c r="BO321" i="1"/>
  <c r="BN321" i="1"/>
  <c r="BM321" i="1"/>
  <c r="BL321" i="1"/>
  <c r="BK321" i="1"/>
  <c r="BJ321" i="1"/>
  <c r="BI321" i="1"/>
  <c r="BH321" i="1"/>
  <c r="BG321" i="1"/>
  <c r="CE320" i="1"/>
  <c r="CD320" i="1"/>
  <c r="CC320" i="1"/>
  <c r="CB320" i="1"/>
  <c r="CA320" i="1"/>
  <c r="BZ320" i="1"/>
  <c r="BY320" i="1"/>
  <c r="BX320" i="1"/>
  <c r="BW320" i="1"/>
  <c r="BV320" i="1"/>
  <c r="BU320" i="1"/>
  <c r="BT320" i="1"/>
  <c r="BS320" i="1"/>
  <c r="BR320" i="1"/>
  <c r="BQ320" i="1"/>
  <c r="BP320" i="1"/>
  <c r="BO320" i="1"/>
  <c r="BN320" i="1"/>
  <c r="BM320" i="1"/>
  <c r="BL320" i="1"/>
  <c r="BK320" i="1"/>
  <c r="BJ320" i="1"/>
  <c r="BI320" i="1"/>
  <c r="BH320" i="1"/>
  <c r="BG320" i="1"/>
  <c r="CE319" i="1"/>
  <c r="CD319" i="1"/>
  <c r="CC319" i="1"/>
  <c r="CB319" i="1"/>
  <c r="CA319" i="1"/>
  <c r="BZ319" i="1"/>
  <c r="BY319" i="1"/>
  <c r="BX319" i="1"/>
  <c r="BW319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CE318" i="1"/>
  <c r="CD318" i="1"/>
  <c r="CC318" i="1"/>
  <c r="CB318" i="1"/>
  <c r="CA318" i="1"/>
  <c r="BZ318" i="1"/>
  <c r="BY318" i="1"/>
  <c r="BX318" i="1"/>
  <c r="BW318" i="1"/>
  <c r="BV318" i="1"/>
  <c r="BU318" i="1"/>
  <c r="BT318" i="1"/>
  <c r="BS318" i="1"/>
  <c r="BR318" i="1"/>
  <c r="BQ318" i="1"/>
  <c r="BP318" i="1"/>
  <c r="BO318" i="1"/>
  <c r="BN318" i="1"/>
  <c r="BM318" i="1"/>
  <c r="BL318" i="1"/>
  <c r="BK318" i="1"/>
  <c r="BJ318" i="1"/>
  <c r="BI318" i="1"/>
  <c r="BH318" i="1"/>
  <c r="BG318" i="1"/>
  <c r="CE317" i="1"/>
  <c r="CD317" i="1"/>
  <c r="CC317" i="1"/>
  <c r="CB317" i="1"/>
  <c r="CA317" i="1"/>
  <c r="BZ317" i="1"/>
  <c r="BY317" i="1"/>
  <c r="BX317" i="1"/>
  <c r="BW317" i="1"/>
  <c r="BV317" i="1"/>
  <c r="BU317" i="1"/>
  <c r="BT317" i="1"/>
  <c r="BS317" i="1"/>
  <c r="BR317" i="1"/>
  <c r="BQ317" i="1"/>
  <c r="BP317" i="1"/>
  <c r="BO317" i="1"/>
  <c r="BN317" i="1"/>
  <c r="BM317" i="1"/>
  <c r="BL317" i="1"/>
  <c r="BK317" i="1"/>
  <c r="BJ317" i="1"/>
  <c r="BI317" i="1"/>
  <c r="BH317" i="1"/>
  <c r="BG317" i="1"/>
  <c r="CE316" i="1"/>
  <c r="CD316" i="1"/>
  <c r="CC316" i="1"/>
  <c r="CB316" i="1"/>
  <c r="CA316" i="1"/>
  <c r="BZ316" i="1"/>
  <c r="BY316" i="1"/>
  <c r="BX316" i="1"/>
  <c r="BW316" i="1"/>
  <c r="BV316" i="1"/>
  <c r="BU316" i="1"/>
  <c r="BT316" i="1"/>
  <c r="BS316" i="1"/>
  <c r="BR316" i="1"/>
  <c r="BQ316" i="1"/>
  <c r="BP316" i="1"/>
  <c r="BO316" i="1"/>
  <c r="BN316" i="1"/>
  <c r="BM316" i="1"/>
  <c r="BL316" i="1"/>
  <c r="BK316" i="1"/>
  <c r="BJ316" i="1"/>
  <c r="BI316" i="1"/>
  <c r="BH316" i="1"/>
  <c r="BG316" i="1"/>
  <c r="CE315" i="1"/>
  <c r="CD315" i="1"/>
  <c r="CC315" i="1"/>
  <c r="CB315" i="1"/>
  <c r="CA315" i="1"/>
  <c r="BZ315" i="1"/>
  <c r="BY315" i="1"/>
  <c r="BX315" i="1"/>
  <c r="BW315" i="1"/>
  <c r="BV315" i="1"/>
  <c r="BU315" i="1"/>
  <c r="BT315" i="1"/>
  <c r="BS315" i="1"/>
  <c r="BR315" i="1"/>
  <c r="BQ315" i="1"/>
  <c r="BP315" i="1"/>
  <c r="BO315" i="1"/>
  <c r="BN315" i="1"/>
  <c r="BM315" i="1"/>
  <c r="BL315" i="1"/>
  <c r="BK315" i="1"/>
  <c r="BJ315" i="1"/>
  <c r="BI315" i="1"/>
  <c r="BH315" i="1"/>
  <c r="BG315" i="1"/>
  <c r="CE314" i="1"/>
  <c r="CD314" i="1"/>
  <c r="CC314" i="1"/>
  <c r="CB314" i="1"/>
  <c r="CA314" i="1"/>
  <c r="BZ314" i="1"/>
  <c r="BY314" i="1"/>
  <c r="BX314" i="1"/>
  <c r="BW314" i="1"/>
  <c r="BV314" i="1"/>
  <c r="BU314" i="1"/>
  <c r="BT314" i="1"/>
  <c r="BS314" i="1"/>
  <c r="BR314" i="1"/>
  <c r="BQ314" i="1"/>
  <c r="BP314" i="1"/>
  <c r="BO314" i="1"/>
  <c r="BN314" i="1"/>
  <c r="BM314" i="1"/>
  <c r="BL314" i="1"/>
  <c r="BK314" i="1"/>
  <c r="BJ314" i="1"/>
  <c r="BI314" i="1"/>
  <c r="BH314" i="1"/>
  <c r="BG314" i="1"/>
  <c r="CE313" i="1"/>
  <c r="CD313" i="1"/>
  <c r="CC313" i="1"/>
  <c r="CB313" i="1"/>
  <c r="CA313" i="1"/>
  <c r="BZ313" i="1"/>
  <c r="BY313" i="1"/>
  <c r="BX313" i="1"/>
  <c r="BW313" i="1"/>
  <c r="BV313" i="1"/>
  <c r="BU313" i="1"/>
  <c r="BT313" i="1"/>
  <c r="BS313" i="1"/>
  <c r="BR313" i="1"/>
  <c r="BQ313" i="1"/>
  <c r="BP313" i="1"/>
  <c r="BO313" i="1"/>
  <c r="BN313" i="1"/>
  <c r="BM313" i="1"/>
  <c r="BL313" i="1"/>
  <c r="BK313" i="1"/>
  <c r="BJ313" i="1"/>
  <c r="BI313" i="1"/>
  <c r="BH313" i="1"/>
  <c r="BG313" i="1"/>
  <c r="CE312" i="1"/>
  <c r="CD312" i="1"/>
  <c r="CC312" i="1"/>
  <c r="CB312" i="1"/>
  <c r="CA312" i="1"/>
  <c r="BZ312" i="1"/>
  <c r="BY312" i="1"/>
  <c r="BX312" i="1"/>
  <c r="BW312" i="1"/>
  <c r="BV312" i="1"/>
  <c r="BU312" i="1"/>
  <c r="BT312" i="1"/>
  <c r="BS312" i="1"/>
  <c r="BR312" i="1"/>
  <c r="BQ312" i="1"/>
  <c r="BP312" i="1"/>
  <c r="BO312" i="1"/>
  <c r="BN312" i="1"/>
  <c r="BM312" i="1"/>
  <c r="BL312" i="1"/>
  <c r="BK312" i="1"/>
  <c r="BJ312" i="1"/>
  <c r="BI312" i="1"/>
  <c r="BH312" i="1"/>
  <c r="BG312" i="1"/>
  <c r="CE311" i="1"/>
  <c r="CD311" i="1"/>
  <c r="CC311" i="1"/>
  <c r="CB311" i="1"/>
  <c r="CA311" i="1"/>
  <c r="BZ311" i="1"/>
  <c r="BY311" i="1"/>
  <c r="BX311" i="1"/>
  <c r="BW311" i="1"/>
  <c r="BV311" i="1"/>
  <c r="BU311" i="1"/>
  <c r="BT311" i="1"/>
  <c r="BS311" i="1"/>
  <c r="BR311" i="1"/>
  <c r="BQ311" i="1"/>
  <c r="BP311" i="1"/>
  <c r="BO311" i="1"/>
  <c r="BN311" i="1"/>
  <c r="BM311" i="1"/>
  <c r="BL311" i="1"/>
  <c r="BK311" i="1"/>
  <c r="BJ311" i="1"/>
  <c r="BI311" i="1"/>
  <c r="BH311" i="1"/>
  <c r="BG311" i="1"/>
  <c r="CE310" i="1"/>
  <c r="CD310" i="1"/>
  <c r="CC310" i="1"/>
  <c r="CB310" i="1"/>
  <c r="CA310" i="1"/>
  <c r="BZ310" i="1"/>
  <c r="BY310" i="1"/>
  <c r="BX310" i="1"/>
  <c r="BW310" i="1"/>
  <c r="BV310" i="1"/>
  <c r="BU310" i="1"/>
  <c r="BT310" i="1"/>
  <c r="BS310" i="1"/>
  <c r="BR310" i="1"/>
  <c r="BQ310" i="1"/>
  <c r="BP310" i="1"/>
  <c r="BO310" i="1"/>
  <c r="BN310" i="1"/>
  <c r="BM310" i="1"/>
  <c r="BL310" i="1"/>
  <c r="BK310" i="1"/>
  <c r="BJ310" i="1"/>
  <c r="BI310" i="1"/>
  <c r="BH310" i="1"/>
  <c r="BG310" i="1"/>
  <c r="CE309" i="1"/>
  <c r="CD309" i="1"/>
  <c r="CC309" i="1"/>
  <c r="CB309" i="1"/>
  <c r="CA309" i="1"/>
  <c r="BZ309" i="1"/>
  <c r="BY309" i="1"/>
  <c r="BX309" i="1"/>
  <c r="BW309" i="1"/>
  <c r="BV309" i="1"/>
  <c r="BU309" i="1"/>
  <c r="BT309" i="1"/>
  <c r="BS309" i="1"/>
  <c r="BR309" i="1"/>
  <c r="BQ309" i="1"/>
  <c r="BP309" i="1"/>
  <c r="BO309" i="1"/>
  <c r="BN309" i="1"/>
  <c r="BM309" i="1"/>
  <c r="BL309" i="1"/>
  <c r="BK309" i="1"/>
  <c r="BJ309" i="1"/>
  <c r="BI309" i="1"/>
  <c r="BH309" i="1"/>
  <c r="BG309" i="1"/>
  <c r="CE308" i="1"/>
  <c r="CD308" i="1"/>
  <c r="CC308" i="1"/>
  <c r="CB308" i="1"/>
  <c r="CA308" i="1"/>
  <c r="BZ308" i="1"/>
  <c r="BY308" i="1"/>
  <c r="BX308" i="1"/>
  <c r="BW308" i="1"/>
  <c r="BV308" i="1"/>
  <c r="BU308" i="1"/>
  <c r="BT308" i="1"/>
  <c r="BS308" i="1"/>
  <c r="BR308" i="1"/>
  <c r="BQ308" i="1"/>
  <c r="BP308" i="1"/>
  <c r="BO308" i="1"/>
  <c r="BN308" i="1"/>
  <c r="BM308" i="1"/>
  <c r="BL308" i="1"/>
  <c r="BK308" i="1"/>
  <c r="BJ308" i="1"/>
  <c r="BI308" i="1"/>
  <c r="BH308" i="1"/>
  <c r="BG308" i="1"/>
  <c r="CE307" i="1"/>
  <c r="CD307" i="1"/>
  <c r="CC307" i="1"/>
  <c r="CB307" i="1"/>
  <c r="CA307" i="1"/>
  <c r="BZ307" i="1"/>
  <c r="BY307" i="1"/>
  <c r="BX307" i="1"/>
  <c r="BW307" i="1"/>
  <c r="BV307" i="1"/>
  <c r="BU307" i="1"/>
  <c r="BT307" i="1"/>
  <c r="BS307" i="1"/>
  <c r="BR307" i="1"/>
  <c r="BQ307" i="1"/>
  <c r="BP307" i="1"/>
  <c r="BO307" i="1"/>
  <c r="BN307" i="1"/>
  <c r="BM307" i="1"/>
  <c r="BL307" i="1"/>
  <c r="BK307" i="1"/>
  <c r="BJ307" i="1"/>
  <c r="BI307" i="1"/>
  <c r="BH307" i="1"/>
  <c r="BG307" i="1"/>
  <c r="CE306" i="1"/>
  <c r="CD306" i="1"/>
  <c r="CC306" i="1"/>
  <c r="CB306" i="1"/>
  <c r="CA306" i="1"/>
  <c r="BZ306" i="1"/>
  <c r="BY306" i="1"/>
  <c r="BX306" i="1"/>
  <c r="BW306" i="1"/>
  <c r="BV306" i="1"/>
  <c r="BU306" i="1"/>
  <c r="BT306" i="1"/>
  <c r="BS306" i="1"/>
  <c r="BR306" i="1"/>
  <c r="BQ306" i="1"/>
  <c r="BP306" i="1"/>
  <c r="BO306" i="1"/>
  <c r="BN306" i="1"/>
  <c r="BM306" i="1"/>
  <c r="BL306" i="1"/>
  <c r="BK306" i="1"/>
  <c r="BJ306" i="1"/>
  <c r="BI306" i="1"/>
  <c r="BH306" i="1"/>
  <c r="BG306" i="1"/>
  <c r="CE305" i="1"/>
  <c r="CD305" i="1"/>
  <c r="CC305" i="1"/>
  <c r="CB305" i="1"/>
  <c r="CA305" i="1"/>
  <c r="BZ305" i="1"/>
  <c r="BY305" i="1"/>
  <c r="BX305" i="1"/>
  <c r="BW305" i="1"/>
  <c r="BV305" i="1"/>
  <c r="BU305" i="1"/>
  <c r="BT305" i="1"/>
  <c r="BS305" i="1"/>
  <c r="BR305" i="1"/>
  <c r="BQ305" i="1"/>
  <c r="BP305" i="1"/>
  <c r="BO305" i="1"/>
  <c r="BN305" i="1"/>
  <c r="BM305" i="1"/>
  <c r="BL305" i="1"/>
  <c r="BK305" i="1"/>
  <c r="BJ305" i="1"/>
  <c r="BI305" i="1"/>
  <c r="BH305" i="1"/>
  <c r="BG305" i="1"/>
  <c r="CE304" i="1"/>
  <c r="CD304" i="1"/>
  <c r="CC304" i="1"/>
  <c r="CB304" i="1"/>
  <c r="CA304" i="1"/>
  <c r="BZ304" i="1"/>
  <c r="BY304" i="1"/>
  <c r="BX304" i="1"/>
  <c r="BW304" i="1"/>
  <c r="BV304" i="1"/>
  <c r="BU304" i="1"/>
  <c r="BT304" i="1"/>
  <c r="BS304" i="1"/>
  <c r="BR304" i="1"/>
  <c r="BQ304" i="1"/>
  <c r="BP304" i="1"/>
  <c r="BO304" i="1"/>
  <c r="BN304" i="1"/>
  <c r="BM304" i="1"/>
  <c r="BL304" i="1"/>
  <c r="BK304" i="1"/>
  <c r="BJ304" i="1"/>
  <c r="BI304" i="1"/>
  <c r="BH304" i="1"/>
  <c r="BG304" i="1"/>
  <c r="CE303" i="1"/>
  <c r="CD303" i="1"/>
  <c r="CC303" i="1"/>
  <c r="CB303" i="1"/>
  <c r="CA303" i="1"/>
  <c r="BZ303" i="1"/>
  <c r="BY303" i="1"/>
  <c r="BX303" i="1"/>
  <c r="BW303" i="1"/>
  <c r="BV303" i="1"/>
  <c r="BU303" i="1"/>
  <c r="BT303" i="1"/>
  <c r="BS303" i="1"/>
  <c r="BR303" i="1"/>
  <c r="BQ303" i="1"/>
  <c r="BP303" i="1"/>
  <c r="BO303" i="1"/>
  <c r="BN303" i="1"/>
  <c r="BM303" i="1"/>
  <c r="BL303" i="1"/>
  <c r="BK303" i="1"/>
  <c r="BJ303" i="1"/>
  <c r="BI303" i="1"/>
  <c r="BH303" i="1"/>
  <c r="BG303" i="1"/>
  <c r="CE302" i="1"/>
  <c r="CD302" i="1"/>
  <c r="CC302" i="1"/>
  <c r="CB302" i="1"/>
  <c r="CA302" i="1"/>
  <c r="BZ302" i="1"/>
  <c r="BY302" i="1"/>
  <c r="BX302" i="1"/>
  <c r="BW302" i="1"/>
  <c r="BV302" i="1"/>
  <c r="BU302" i="1"/>
  <c r="BT302" i="1"/>
  <c r="BS302" i="1"/>
  <c r="BR302" i="1"/>
  <c r="BQ302" i="1"/>
  <c r="BP302" i="1"/>
  <c r="BO302" i="1"/>
  <c r="BN302" i="1"/>
  <c r="BM302" i="1"/>
  <c r="BL302" i="1"/>
  <c r="BK302" i="1"/>
  <c r="BJ302" i="1"/>
  <c r="BI302" i="1"/>
  <c r="BH302" i="1"/>
  <c r="BG302" i="1"/>
  <c r="CE301" i="1"/>
  <c r="CD301" i="1"/>
  <c r="CC301" i="1"/>
  <c r="CB301" i="1"/>
  <c r="CA301" i="1"/>
  <c r="BZ301" i="1"/>
  <c r="BY301" i="1"/>
  <c r="BX301" i="1"/>
  <c r="BW301" i="1"/>
  <c r="BV301" i="1"/>
  <c r="BU301" i="1"/>
  <c r="BT301" i="1"/>
  <c r="BS301" i="1"/>
  <c r="BR301" i="1"/>
  <c r="BQ301" i="1"/>
  <c r="BP301" i="1"/>
  <c r="BO301" i="1"/>
  <c r="BN301" i="1"/>
  <c r="BM301" i="1"/>
  <c r="BL301" i="1"/>
  <c r="BK301" i="1"/>
  <c r="BJ301" i="1"/>
  <c r="BI301" i="1"/>
  <c r="BH301" i="1"/>
  <c r="BG301" i="1"/>
  <c r="CE300" i="1"/>
  <c r="CD300" i="1"/>
  <c r="CC300" i="1"/>
  <c r="CB300" i="1"/>
  <c r="CA300" i="1"/>
  <c r="BZ300" i="1"/>
  <c r="BY300" i="1"/>
  <c r="BX300" i="1"/>
  <c r="BW300" i="1"/>
  <c r="BV300" i="1"/>
  <c r="BU300" i="1"/>
  <c r="BT300" i="1"/>
  <c r="BS300" i="1"/>
  <c r="BR300" i="1"/>
  <c r="BQ300" i="1"/>
  <c r="BP300" i="1"/>
  <c r="BO300" i="1"/>
  <c r="BN300" i="1"/>
  <c r="BM300" i="1"/>
  <c r="BL300" i="1"/>
  <c r="BK300" i="1"/>
  <c r="BJ300" i="1"/>
  <c r="BI300" i="1"/>
  <c r="BH300" i="1"/>
  <c r="BG300" i="1"/>
  <c r="CE299" i="1"/>
  <c r="CD299" i="1"/>
  <c r="CC299" i="1"/>
  <c r="CB299" i="1"/>
  <c r="CA299" i="1"/>
  <c r="BZ299" i="1"/>
  <c r="BY299" i="1"/>
  <c r="BX299" i="1"/>
  <c r="BW299" i="1"/>
  <c r="BV299" i="1"/>
  <c r="BU299" i="1"/>
  <c r="BT299" i="1"/>
  <c r="BS299" i="1"/>
  <c r="BR299" i="1"/>
  <c r="BQ299" i="1"/>
  <c r="BP299" i="1"/>
  <c r="BO299" i="1"/>
  <c r="BN299" i="1"/>
  <c r="BM299" i="1"/>
  <c r="BL299" i="1"/>
  <c r="BK299" i="1"/>
  <c r="BJ299" i="1"/>
  <c r="BI299" i="1"/>
  <c r="BH299" i="1"/>
  <c r="BG299" i="1"/>
  <c r="CE298" i="1"/>
  <c r="CD298" i="1"/>
  <c r="CC298" i="1"/>
  <c r="CB298" i="1"/>
  <c r="CA298" i="1"/>
  <c r="BZ298" i="1"/>
  <c r="BY298" i="1"/>
  <c r="BX298" i="1"/>
  <c r="BW298" i="1"/>
  <c r="BV298" i="1"/>
  <c r="BU298" i="1"/>
  <c r="BT298" i="1"/>
  <c r="BS298" i="1"/>
  <c r="BR298" i="1"/>
  <c r="BQ298" i="1"/>
  <c r="BP298" i="1"/>
  <c r="BO298" i="1"/>
  <c r="BN298" i="1"/>
  <c r="BM298" i="1"/>
  <c r="BL298" i="1"/>
  <c r="BK298" i="1"/>
  <c r="BJ298" i="1"/>
  <c r="BI298" i="1"/>
  <c r="BH298" i="1"/>
  <c r="BG298" i="1"/>
  <c r="CE297" i="1"/>
  <c r="CD297" i="1"/>
  <c r="CC297" i="1"/>
  <c r="CB297" i="1"/>
  <c r="CA297" i="1"/>
  <c r="BZ297" i="1"/>
  <c r="BY297" i="1"/>
  <c r="BX297" i="1"/>
  <c r="BW297" i="1"/>
  <c r="BV297" i="1"/>
  <c r="BU297" i="1"/>
  <c r="BT297" i="1"/>
  <c r="BS297" i="1"/>
  <c r="BR297" i="1"/>
  <c r="BQ297" i="1"/>
  <c r="BP297" i="1"/>
  <c r="BO297" i="1"/>
  <c r="BN297" i="1"/>
  <c r="BM297" i="1"/>
  <c r="BL297" i="1"/>
  <c r="BK297" i="1"/>
  <c r="BJ297" i="1"/>
  <c r="BI297" i="1"/>
  <c r="BH297" i="1"/>
  <c r="BG297" i="1"/>
  <c r="CE296" i="1"/>
  <c r="CD296" i="1"/>
  <c r="CC296" i="1"/>
  <c r="CB296" i="1"/>
  <c r="CA296" i="1"/>
  <c r="BZ296" i="1"/>
  <c r="BY296" i="1"/>
  <c r="BX296" i="1"/>
  <c r="BW296" i="1"/>
  <c r="BV296" i="1"/>
  <c r="BU296" i="1"/>
  <c r="BT296" i="1"/>
  <c r="BS296" i="1"/>
  <c r="BR296" i="1"/>
  <c r="BQ296" i="1"/>
  <c r="BP296" i="1"/>
  <c r="BO296" i="1"/>
  <c r="BN296" i="1"/>
  <c r="BM296" i="1"/>
  <c r="BL296" i="1"/>
  <c r="BK296" i="1"/>
  <c r="BJ296" i="1"/>
  <c r="BI296" i="1"/>
  <c r="BH296" i="1"/>
  <c r="BG296" i="1"/>
  <c r="CE295" i="1"/>
  <c r="CD295" i="1"/>
  <c r="CC295" i="1"/>
  <c r="CB295" i="1"/>
  <c r="CA295" i="1"/>
  <c r="BZ295" i="1"/>
  <c r="BY295" i="1"/>
  <c r="BX295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CE294" i="1"/>
  <c r="CD294" i="1"/>
  <c r="CC294" i="1"/>
  <c r="CB294" i="1"/>
  <c r="CA294" i="1"/>
  <c r="BZ294" i="1"/>
  <c r="BY294" i="1"/>
  <c r="BX294" i="1"/>
  <c r="BW294" i="1"/>
  <c r="BV294" i="1"/>
  <c r="BU294" i="1"/>
  <c r="BT294" i="1"/>
  <c r="BS294" i="1"/>
  <c r="BR294" i="1"/>
  <c r="BQ294" i="1"/>
  <c r="BP294" i="1"/>
  <c r="BO294" i="1"/>
  <c r="BN294" i="1"/>
  <c r="BM294" i="1"/>
  <c r="BL294" i="1"/>
  <c r="BK294" i="1"/>
  <c r="BJ294" i="1"/>
  <c r="BI294" i="1"/>
  <c r="BH294" i="1"/>
  <c r="BG294" i="1"/>
  <c r="CE293" i="1"/>
  <c r="CD293" i="1"/>
  <c r="CC293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CE292" i="1"/>
  <c r="CD292" i="1"/>
  <c r="CC292" i="1"/>
  <c r="CB292" i="1"/>
  <c r="CA292" i="1"/>
  <c r="BZ292" i="1"/>
  <c r="BY292" i="1"/>
  <c r="BX292" i="1"/>
  <c r="BW292" i="1"/>
  <c r="BV292" i="1"/>
  <c r="BU292" i="1"/>
  <c r="BT292" i="1"/>
  <c r="BS292" i="1"/>
  <c r="BR292" i="1"/>
  <c r="BQ292" i="1"/>
  <c r="BP292" i="1"/>
  <c r="BO292" i="1"/>
  <c r="BN292" i="1"/>
  <c r="BM292" i="1"/>
  <c r="BL292" i="1"/>
  <c r="BK292" i="1"/>
  <c r="BJ292" i="1"/>
  <c r="BI292" i="1"/>
  <c r="BH292" i="1"/>
  <c r="BG292" i="1"/>
  <c r="CE291" i="1"/>
  <c r="CD291" i="1"/>
  <c r="CC291" i="1"/>
  <c r="CB291" i="1"/>
  <c r="CA291" i="1"/>
  <c r="BZ291" i="1"/>
  <c r="BY291" i="1"/>
  <c r="BX291" i="1"/>
  <c r="BW291" i="1"/>
  <c r="BV291" i="1"/>
  <c r="BU291" i="1"/>
  <c r="BT291" i="1"/>
  <c r="BS291" i="1"/>
  <c r="BR291" i="1"/>
  <c r="BQ291" i="1"/>
  <c r="BP291" i="1"/>
  <c r="BO291" i="1"/>
  <c r="BN291" i="1"/>
  <c r="BM291" i="1"/>
  <c r="BL291" i="1"/>
  <c r="BK291" i="1"/>
  <c r="BJ291" i="1"/>
  <c r="BI291" i="1"/>
  <c r="BH291" i="1"/>
  <c r="BG291" i="1"/>
  <c r="CE290" i="1"/>
  <c r="CD290" i="1"/>
  <c r="CC290" i="1"/>
  <c r="CB290" i="1"/>
  <c r="CA290" i="1"/>
  <c r="BZ290" i="1"/>
  <c r="BY290" i="1"/>
  <c r="BX290" i="1"/>
  <c r="BW290" i="1"/>
  <c r="BV290" i="1"/>
  <c r="BU290" i="1"/>
  <c r="BT290" i="1"/>
  <c r="BS290" i="1"/>
  <c r="BR290" i="1"/>
  <c r="BQ290" i="1"/>
  <c r="BP290" i="1"/>
  <c r="BO290" i="1"/>
  <c r="BN290" i="1"/>
  <c r="BM290" i="1"/>
  <c r="BL290" i="1"/>
  <c r="BK290" i="1"/>
  <c r="BJ290" i="1"/>
  <c r="BI290" i="1"/>
  <c r="BH290" i="1"/>
  <c r="BG290" i="1"/>
  <c r="CE289" i="1"/>
  <c r="CD289" i="1"/>
  <c r="CC289" i="1"/>
  <c r="CB289" i="1"/>
  <c r="CA289" i="1"/>
  <c r="BZ289" i="1"/>
  <c r="BY289" i="1"/>
  <c r="BX289" i="1"/>
  <c r="BW289" i="1"/>
  <c r="BV289" i="1"/>
  <c r="BU289" i="1"/>
  <c r="BT289" i="1"/>
  <c r="BS289" i="1"/>
  <c r="BR289" i="1"/>
  <c r="BQ289" i="1"/>
  <c r="BP289" i="1"/>
  <c r="BO289" i="1"/>
  <c r="BN289" i="1"/>
  <c r="BM289" i="1"/>
  <c r="BL289" i="1"/>
  <c r="BK289" i="1"/>
  <c r="BJ289" i="1"/>
  <c r="BI289" i="1"/>
  <c r="BH289" i="1"/>
  <c r="BG289" i="1"/>
  <c r="CE288" i="1"/>
  <c r="CD288" i="1"/>
  <c r="CC288" i="1"/>
  <c r="CB288" i="1"/>
  <c r="CA288" i="1"/>
  <c r="BZ288" i="1"/>
  <c r="BY288" i="1"/>
  <c r="BX288" i="1"/>
  <c r="BW288" i="1"/>
  <c r="BV288" i="1"/>
  <c r="BU288" i="1"/>
  <c r="BT288" i="1"/>
  <c r="BS288" i="1"/>
  <c r="BR288" i="1"/>
  <c r="BQ288" i="1"/>
  <c r="BP288" i="1"/>
  <c r="BO288" i="1"/>
  <c r="BN288" i="1"/>
  <c r="BM288" i="1"/>
  <c r="BL288" i="1"/>
  <c r="BK288" i="1"/>
  <c r="BJ288" i="1"/>
  <c r="BI288" i="1"/>
  <c r="BH288" i="1"/>
  <c r="BG288" i="1"/>
  <c r="CE287" i="1"/>
  <c r="CD287" i="1"/>
  <c r="CC287" i="1"/>
  <c r="CB287" i="1"/>
  <c r="CA287" i="1"/>
  <c r="BZ287" i="1"/>
  <c r="BY287" i="1"/>
  <c r="BX287" i="1"/>
  <c r="BW287" i="1"/>
  <c r="BV287" i="1"/>
  <c r="BU287" i="1"/>
  <c r="BT287" i="1"/>
  <c r="BS287" i="1"/>
  <c r="BR287" i="1"/>
  <c r="BQ287" i="1"/>
  <c r="BP287" i="1"/>
  <c r="BO287" i="1"/>
  <c r="BN287" i="1"/>
  <c r="BM287" i="1"/>
  <c r="BL287" i="1"/>
  <c r="BK287" i="1"/>
  <c r="BJ287" i="1"/>
  <c r="BI287" i="1"/>
  <c r="BH287" i="1"/>
  <c r="BG287" i="1"/>
  <c r="CE286" i="1"/>
  <c r="CD286" i="1"/>
  <c r="CC286" i="1"/>
  <c r="CB286" i="1"/>
  <c r="CA286" i="1"/>
  <c r="BZ286" i="1"/>
  <c r="BY286" i="1"/>
  <c r="BX286" i="1"/>
  <c r="BW286" i="1"/>
  <c r="BV286" i="1"/>
  <c r="BU286" i="1"/>
  <c r="BT286" i="1"/>
  <c r="BS286" i="1"/>
  <c r="BR286" i="1"/>
  <c r="BQ286" i="1"/>
  <c r="BP286" i="1"/>
  <c r="BO286" i="1"/>
  <c r="BN286" i="1"/>
  <c r="BM286" i="1"/>
  <c r="BL286" i="1"/>
  <c r="BK286" i="1"/>
  <c r="BJ286" i="1"/>
  <c r="BI286" i="1"/>
  <c r="BH286" i="1"/>
  <c r="BG286" i="1"/>
  <c r="CE285" i="1"/>
  <c r="CD285" i="1"/>
  <c r="CC285" i="1"/>
  <c r="CB285" i="1"/>
  <c r="CA285" i="1"/>
  <c r="BZ285" i="1"/>
  <c r="BY285" i="1"/>
  <c r="BX285" i="1"/>
  <c r="BW285" i="1"/>
  <c r="BV285" i="1"/>
  <c r="BU285" i="1"/>
  <c r="BT285" i="1"/>
  <c r="BS285" i="1"/>
  <c r="BR285" i="1"/>
  <c r="BQ285" i="1"/>
  <c r="BP285" i="1"/>
  <c r="BO285" i="1"/>
  <c r="BN285" i="1"/>
  <c r="BM285" i="1"/>
  <c r="BL285" i="1"/>
  <c r="BK285" i="1"/>
  <c r="BJ285" i="1"/>
  <c r="BI285" i="1"/>
  <c r="BH285" i="1"/>
  <c r="BG285" i="1"/>
  <c r="CE284" i="1"/>
  <c r="CD284" i="1"/>
  <c r="CC284" i="1"/>
  <c r="CB284" i="1"/>
  <c r="CA284" i="1"/>
  <c r="BZ284" i="1"/>
  <c r="BY284" i="1"/>
  <c r="BX284" i="1"/>
  <c r="BW284" i="1"/>
  <c r="BV284" i="1"/>
  <c r="BU284" i="1"/>
  <c r="BT284" i="1"/>
  <c r="BS284" i="1"/>
  <c r="BR284" i="1"/>
  <c r="BQ284" i="1"/>
  <c r="BP284" i="1"/>
  <c r="BO284" i="1"/>
  <c r="BN284" i="1"/>
  <c r="BM284" i="1"/>
  <c r="BL284" i="1"/>
  <c r="BK284" i="1"/>
  <c r="BJ284" i="1"/>
  <c r="BI284" i="1"/>
  <c r="BH284" i="1"/>
  <c r="BG284" i="1"/>
  <c r="CE283" i="1"/>
  <c r="CD283" i="1"/>
  <c r="CC283" i="1"/>
  <c r="CB283" i="1"/>
  <c r="CA283" i="1"/>
  <c r="BZ283" i="1"/>
  <c r="BY283" i="1"/>
  <c r="BX283" i="1"/>
  <c r="BW283" i="1"/>
  <c r="BV283" i="1"/>
  <c r="BU283" i="1"/>
  <c r="BT283" i="1"/>
  <c r="BS283" i="1"/>
  <c r="BR283" i="1"/>
  <c r="BQ283" i="1"/>
  <c r="BP283" i="1"/>
  <c r="BO283" i="1"/>
  <c r="BN283" i="1"/>
  <c r="BM283" i="1"/>
  <c r="BL283" i="1"/>
  <c r="BK283" i="1"/>
  <c r="BJ283" i="1"/>
  <c r="BI283" i="1"/>
  <c r="BH283" i="1"/>
  <c r="BG283" i="1"/>
  <c r="CE282" i="1"/>
  <c r="CD282" i="1"/>
  <c r="CC282" i="1"/>
  <c r="CB282" i="1"/>
  <c r="CA282" i="1"/>
  <c r="BZ282" i="1"/>
  <c r="BY282" i="1"/>
  <c r="BX282" i="1"/>
  <c r="BW282" i="1"/>
  <c r="BV282" i="1"/>
  <c r="BU282" i="1"/>
  <c r="BT282" i="1"/>
  <c r="BS282" i="1"/>
  <c r="BR282" i="1"/>
  <c r="BQ282" i="1"/>
  <c r="BP282" i="1"/>
  <c r="BO282" i="1"/>
  <c r="BN282" i="1"/>
  <c r="BM282" i="1"/>
  <c r="BL282" i="1"/>
  <c r="BK282" i="1"/>
  <c r="BJ282" i="1"/>
  <c r="BI282" i="1"/>
  <c r="BH282" i="1"/>
  <c r="BG282" i="1"/>
  <c r="CE281" i="1"/>
  <c r="CD281" i="1"/>
  <c r="CC281" i="1"/>
  <c r="CB281" i="1"/>
  <c r="CA281" i="1"/>
  <c r="BZ281" i="1"/>
  <c r="BY281" i="1"/>
  <c r="BX281" i="1"/>
  <c r="BW281" i="1"/>
  <c r="BV281" i="1"/>
  <c r="BU281" i="1"/>
  <c r="BT281" i="1"/>
  <c r="BS281" i="1"/>
  <c r="BR281" i="1"/>
  <c r="BQ281" i="1"/>
  <c r="BP281" i="1"/>
  <c r="BO281" i="1"/>
  <c r="BN281" i="1"/>
  <c r="BM281" i="1"/>
  <c r="BL281" i="1"/>
  <c r="BK281" i="1"/>
  <c r="BJ281" i="1"/>
  <c r="BI281" i="1"/>
  <c r="BH281" i="1"/>
  <c r="BG281" i="1"/>
  <c r="CE280" i="1"/>
  <c r="CD280" i="1"/>
  <c r="CC280" i="1"/>
  <c r="CB280" i="1"/>
  <c r="CA280" i="1"/>
  <c r="BZ280" i="1"/>
  <c r="BY280" i="1"/>
  <c r="BX280" i="1"/>
  <c r="BW280" i="1"/>
  <c r="BV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CE279" i="1"/>
  <c r="CD279" i="1"/>
  <c r="CC279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CE278" i="1"/>
  <c r="CD278" i="1"/>
  <c r="CC278" i="1"/>
  <c r="CB278" i="1"/>
  <c r="CA278" i="1"/>
  <c r="BZ278" i="1"/>
  <c r="BY278" i="1"/>
  <c r="BX278" i="1"/>
  <c r="BW278" i="1"/>
  <c r="BV278" i="1"/>
  <c r="BU278" i="1"/>
  <c r="BT278" i="1"/>
  <c r="BS278" i="1"/>
  <c r="BR278" i="1"/>
  <c r="BQ278" i="1"/>
  <c r="BP278" i="1"/>
  <c r="BO278" i="1"/>
  <c r="BN278" i="1"/>
  <c r="BM278" i="1"/>
  <c r="BL278" i="1"/>
  <c r="BK278" i="1"/>
  <c r="BJ278" i="1"/>
  <c r="BI278" i="1"/>
  <c r="BH278" i="1"/>
  <c r="BG278" i="1"/>
  <c r="CE277" i="1"/>
  <c r="CD277" i="1"/>
  <c r="CC277" i="1"/>
  <c r="CB277" i="1"/>
  <c r="CA277" i="1"/>
  <c r="BZ277" i="1"/>
  <c r="BY277" i="1"/>
  <c r="BX277" i="1"/>
  <c r="BW277" i="1"/>
  <c r="BV277" i="1"/>
  <c r="BU277" i="1"/>
  <c r="BT277" i="1"/>
  <c r="BS277" i="1"/>
  <c r="BR277" i="1"/>
  <c r="BQ277" i="1"/>
  <c r="BP277" i="1"/>
  <c r="BO277" i="1"/>
  <c r="BN277" i="1"/>
  <c r="BM277" i="1"/>
  <c r="BL277" i="1"/>
  <c r="BK277" i="1"/>
  <c r="BJ277" i="1"/>
  <c r="BI277" i="1"/>
  <c r="BH277" i="1"/>
  <c r="BG277" i="1"/>
  <c r="CE276" i="1"/>
  <c r="CD276" i="1"/>
  <c r="CC276" i="1"/>
  <c r="CB276" i="1"/>
  <c r="CA276" i="1"/>
  <c r="BZ276" i="1"/>
  <c r="BY276" i="1"/>
  <c r="BX276" i="1"/>
  <c r="BW276" i="1"/>
  <c r="BV276" i="1"/>
  <c r="BU276" i="1"/>
  <c r="BT276" i="1"/>
  <c r="BS276" i="1"/>
  <c r="BR276" i="1"/>
  <c r="BQ276" i="1"/>
  <c r="BP276" i="1"/>
  <c r="BO276" i="1"/>
  <c r="BN276" i="1"/>
  <c r="BM276" i="1"/>
  <c r="BL276" i="1"/>
  <c r="BK276" i="1"/>
  <c r="BJ276" i="1"/>
  <c r="BI276" i="1"/>
  <c r="BH276" i="1"/>
  <c r="BG276" i="1"/>
  <c r="CE275" i="1"/>
  <c r="CD275" i="1"/>
  <c r="CC275" i="1"/>
  <c r="CB275" i="1"/>
  <c r="CA275" i="1"/>
  <c r="BZ275" i="1"/>
  <c r="BY275" i="1"/>
  <c r="BX275" i="1"/>
  <c r="BW275" i="1"/>
  <c r="BV275" i="1"/>
  <c r="BU275" i="1"/>
  <c r="BT275" i="1"/>
  <c r="BS275" i="1"/>
  <c r="BR275" i="1"/>
  <c r="BQ275" i="1"/>
  <c r="BP275" i="1"/>
  <c r="BO275" i="1"/>
  <c r="BN275" i="1"/>
  <c r="BM275" i="1"/>
  <c r="BL275" i="1"/>
  <c r="BK275" i="1"/>
  <c r="BJ275" i="1"/>
  <c r="BI275" i="1"/>
  <c r="BH275" i="1"/>
  <c r="BG275" i="1"/>
  <c r="CE274" i="1"/>
  <c r="CD274" i="1"/>
  <c r="CC274" i="1"/>
  <c r="CB274" i="1"/>
  <c r="CA274" i="1"/>
  <c r="BZ274" i="1"/>
  <c r="BY274" i="1"/>
  <c r="BX274" i="1"/>
  <c r="BW274" i="1"/>
  <c r="BV274" i="1"/>
  <c r="BU274" i="1"/>
  <c r="BT274" i="1"/>
  <c r="BS274" i="1"/>
  <c r="BR274" i="1"/>
  <c r="BQ274" i="1"/>
  <c r="BP274" i="1"/>
  <c r="BO274" i="1"/>
  <c r="BN274" i="1"/>
  <c r="BM274" i="1"/>
  <c r="BL274" i="1"/>
  <c r="BK274" i="1"/>
  <c r="BJ274" i="1"/>
  <c r="BI274" i="1"/>
  <c r="BH274" i="1"/>
  <c r="BG274" i="1"/>
  <c r="CE273" i="1"/>
  <c r="CD273" i="1"/>
  <c r="CC273" i="1"/>
  <c r="CB273" i="1"/>
  <c r="CA273" i="1"/>
  <c r="BZ273" i="1"/>
  <c r="BY273" i="1"/>
  <c r="BX273" i="1"/>
  <c r="BW273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CE272" i="1"/>
  <c r="CD272" i="1"/>
  <c r="CC272" i="1"/>
  <c r="CB272" i="1"/>
  <c r="CA272" i="1"/>
  <c r="BZ272" i="1"/>
  <c r="BY272" i="1"/>
  <c r="BX272" i="1"/>
  <c r="BW272" i="1"/>
  <c r="BV272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CE271" i="1"/>
  <c r="CD271" i="1"/>
  <c r="CC271" i="1"/>
  <c r="CB271" i="1"/>
  <c r="CA271" i="1"/>
  <c r="BZ271" i="1"/>
  <c r="BY271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CE270" i="1"/>
  <c r="CD270" i="1"/>
  <c r="CC270" i="1"/>
  <c r="CB270" i="1"/>
  <c r="CA270" i="1"/>
  <c r="BZ270" i="1"/>
  <c r="BY270" i="1"/>
  <c r="BX270" i="1"/>
  <c r="BW270" i="1"/>
  <c r="BV270" i="1"/>
  <c r="BU270" i="1"/>
  <c r="BT270" i="1"/>
  <c r="BS270" i="1"/>
  <c r="BR270" i="1"/>
  <c r="BQ270" i="1"/>
  <c r="BP270" i="1"/>
  <c r="BO270" i="1"/>
  <c r="BN270" i="1"/>
  <c r="BM270" i="1"/>
  <c r="BL270" i="1"/>
  <c r="BK270" i="1"/>
  <c r="BJ270" i="1"/>
  <c r="BI270" i="1"/>
  <c r="BH270" i="1"/>
  <c r="BG270" i="1"/>
  <c r="CE269" i="1"/>
  <c r="CD269" i="1"/>
  <c r="CC269" i="1"/>
  <c r="CB269" i="1"/>
  <c r="CA269" i="1"/>
  <c r="BZ269" i="1"/>
  <c r="BY269" i="1"/>
  <c r="BX269" i="1"/>
  <c r="BW269" i="1"/>
  <c r="BV269" i="1"/>
  <c r="BU269" i="1"/>
  <c r="BT269" i="1"/>
  <c r="BS269" i="1"/>
  <c r="BR269" i="1"/>
  <c r="BQ269" i="1"/>
  <c r="BP269" i="1"/>
  <c r="BO269" i="1"/>
  <c r="BN269" i="1"/>
  <c r="BM269" i="1"/>
  <c r="BL269" i="1"/>
  <c r="BK269" i="1"/>
  <c r="BJ269" i="1"/>
  <c r="BI269" i="1"/>
  <c r="BH269" i="1"/>
  <c r="BG269" i="1"/>
  <c r="CE268" i="1"/>
  <c r="CD268" i="1"/>
  <c r="CC268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CE267" i="1"/>
  <c r="CD267" i="1"/>
  <c r="CC267" i="1"/>
  <c r="CB267" i="1"/>
  <c r="CA267" i="1"/>
  <c r="BZ267" i="1"/>
  <c r="BY267" i="1"/>
  <c r="BX267" i="1"/>
  <c r="BW267" i="1"/>
  <c r="BV267" i="1"/>
  <c r="BU267" i="1"/>
  <c r="BT267" i="1"/>
  <c r="BS267" i="1"/>
  <c r="BR267" i="1"/>
  <c r="BQ267" i="1"/>
  <c r="BP267" i="1"/>
  <c r="BO267" i="1"/>
  <c r="BN267" i="1"/>
  <c r="BM267" i="1"/>
  <c r="BL267" i="1"/>
  <c r="BK267" i="1"/>
  <c r="BJ267" i="1"/>
  <c r="BI267" i="1"/>
  <c r="BH267" i="1"/>
  <c r="BG267" i="1"/>
  <c r="CE266" i="1"/>
  <c r="CD266" i="1"/>
  <c r="CC266" i="1"/>
  <c r="CB266" i="1"/>
  <c r="CA266" i="1"/>
  <c r="BZ266" i="1"/>
  <c r="BY266" i="1"/>
  <c r="BX266" i="1"/>
  <c r="BW266" i="1"/>
  <c r="BV266" i="1"/>
  <c r="BU266" i="1"/>
  <c r="BT266" i="1"/>
  <c r="BS266" i="1"/>
  <c r="BR266" i="1"/>
  <c r="BQ266" i="1"/>
  <c r="BP266" i="1"/>
  <c r="BO266" i="1"/>
  <c r="BN266" i="1"/>
  <c r="BM266" i="1"/>
  <c r="BL266" i="1"/>
  <c r="BK266" i="1"/>
  <c r="BJ266" i="1"/>
  <c r="BI266" i="1"/>
  <c r="BH266" i="1"/>
  <c r="BG266" i="1"/>
  <c r="CE265" i="1"/>
  <c r="CD265" i="1"/>
  <c r="CC265" i="1"/>
  <c r="CB265" i="1"/>
  <c r="CA265" i="1"/>
  <c r="BZ265" i="1"/>
  <c r="BY265" i="1"/>
  <c r="BX265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CE264" i="1"/>
  <c r="CD264" i="1"/>
  <c r="CC264" i="1"/>
  <c r="CB264" i="1"/>
  <c r="CA264" i="1"/>
  <c r="BZ264" i="1"/>
  <c r="BY264" i="1"/>
  <c r="BX264" i="1"/>
  <c r="BW264" i="1"/>
  <c r="BV264" i="1"/>
  <c r="BU264" i="1"/>
  <c r="BT264" i="1"/>
  <c r="BS264" i="1"/>
  <c r="BR264" i="1"/>
  <c r="BQ264" i="1"/>
  <c r="BP264" i="1"/>
  <c r="BO264" i="1"/>
  <c r="BN264" i="1"/>
  <c r="BM264" i="1"/>
  <c r="BL264" i="1"/>
  <c r="BK264" i="1"/>
  <c r="BJ264" i="1"/>
  <c r="BI264" i="1"/>
  <c r="BH264" i="1"/>
  <c r="BG264" i="1"/>
  <c r="CE263" i="1"/>
  <c r="CD263" i="1"/>
  <c r="CC263" i="1"/>
  <c r="CB263" i="1"/>
  <c r="CA263" i="1"/>
  <c r="BZ263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CE262" i="1"/>
  <c r="CD262" i="1"/>
  <c r="CC262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CE261" i="1"/>
  <c r="CD261" i="1"/>
  <c r="CC261" i="1"/>
  <c r="CB261" i="1"/>
  <c r="CA261" i="1"/>
  <c r="BZ261" i="1"/>
  <c r="BY261" i="1"/>
  <c r="BX261" i="1"/>
  <c r="BW261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CE260" i="1"/>
  <c r="CD260" i="1"/>
  <c r="CC260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CE259" i="1"/>
  <c r="CD259" i="1"/>
  <c r="CC259" i="1"/>
  <c r="CB259" i="1"/>
  <c r="CA259" i="1"/>
  <c r="BZ259" i="1"/>
  <c r="BY259" i="1"/>
  <c r="BX259" i="1"/>
  <c r="BW259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CE258" i="1"/>
  <c r="CD258" i="1"/>
  <c r="CC258" i="1"/>
  <c r="CB258" i="1"/>
  <c r="CA258" i="1"/>
  <c r="BZ258" i="1"/>
  <c r="BY258" i="1"/>
  <c r="BX258" i="1"/>
  <c r="BW258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CE257" i="1"/>
  <c r="CD257" i="1"/>
  <c r="CC257" i="1"/>
  <c r="CB257" i="1"/>
  <c r="CA257" i="1"/>
  <c r="BZ257" i="1"/>
  <c r="BY257" i="1"/>
  <c r="BX257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CE256" i="1"/>
  <c r="CD256" i="1"/>
  <c r="CC256" i="1"/>
  <c r="CB256" i="1"/>
  <c r="CA256" i="1"/>
  <c r="BZ256" i="1"/>
  <c r="BY256" i="1"/>
  <c r="BX256" i="1"/>
  <c r="BW256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CE255" i="1"/>
  <c r="CD255" i="1"/>
  <c r="CC255" i="1"/>
  <c r="CB255" i="1"/>
  <c r="CA255" i="1"/>
  <c r="BZ255" i="1"/>
  <c r="BY255" i="1"/>
  <c r="BX255" i="1"/>
  <c r="BW255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CE254" i="1"/>
  <c r="CD254" i="1"/>
  <c r="CC254" i="1"/>
  <c r="CB254" i="1"/>
  <c r="CA254" i="1"/>
  <c r="BZ254" i="1"/>
  <c r="BY254" i="1"/>
  <c r="BX254" i="1"/>
  <c r="BW254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CE253" i="1"/>
  <c r="CD253" i="1"/>
  <c r="CC253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CE252" i="1"/>
  <c r="CD252" i="1"/>
  <c r="CC252" i="1"/>
  <c r="CB252" i="1"/>
  <c r="CA252" i="1"/>
  <c r="BZ252" i="1"/>
  <c r="BY252" i="1"/>
  <c r="BX252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CE251" i="1"/>
  <c r="CD251" i="1"/>
  <c r="CC251" i="1"/>
  <c r="CB251" i="1"/>
  <c r="CA251" i="1"/>
  <c r="BZ251" i="1"/>
  <c r="BY251" i="1"/>
  <c r="BX251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CE250" i="1"/>
  <c r="CD250" i="1"/>
  <c r="CC250" i="1"/>
  <c r="CB250" i="1"/>
  <c r="CA250" i="1"/>
  <c r="BZ250" i="1"/>
  <c r="BY250" i="1"/>
  <c r="BX250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CE249" i="1"/>
  <c r="CD249" i="1"/>
  <c r="CC249" i="1"/>
  <c r="CB249" i="1"/>
  <c r="CA249" i="1"/>
  <c r="BZ249" i="1"/>
  <c r="BY249" i="1"/>
  <c r="BX249" i="1"/>
  <c r="BW249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CE248" i="1"/>
  <c r="CD248" i="1"/>
  <c r="CC248" i="1"/>
  <c r="CB248" i="1"/>
  <c r="CA248" i="1"/>
  <c r="BZ248" i="1"/>
  <c r="BY248" i="1"/>
  <c r="BX248" i="1"/>
  <c r="BW248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CE247" i="1"/>
  <c r="CD247" i="1"/>
  <c r="CC247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CE246" i="1"/>
  <c r="CD246" i="1"/>
  <c r="CC246" i="1"/>
  <c r="CB246" i="1"/>
  <c r="CA246" i="1"/>
  <c r="BZ246" i="1"/>
  <c r="BY246" i="1"/>
  <c r="BX246" i="1"/>
  <c r="BW246" i="1"/>
  <c r="BV246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CE245" i="1"/>
  <c r="CD245" i="1"/>
  <c r="CC245" i="1"/>
  <c r="CB245" i="1"/>
  <c r="CA245" i="1"/>
  <c r="BZ245" i="1"/>
  <c r="BY245" i="1"/>
  <c r="BX245" i="1"/>
  <c r="BW245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CE244" i="1"/>
  <c r="CD244" i="1"/>
  <c r="CC244" i="1"/>
  <c r="CB244" i="1"/>
  <c r="CA244" i="1"/>
  <c r="BZ244" i="1"/>
  <c r="BY244" i="1"/>
  <c r="BX244" i="1"/>
  <c r="BW244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CE243" i="1"/>
  <c r="CD243" i="1"/>
  <c r="CC243" i="1"/>
  <c r="CB243" i="1"/>
  <c r="CA243" i="1"/>
  <c r="BZ243" i="1"/>
  <c r="BY243" i="1"/>
  <c r="BX243" i="1"/>
  <c r="BW243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CE242" i="1"/>
  <c r="CD242" i="1"/>
  <c r="CC242" i="1"/>
  <c r="CB242" i="1"/>
  <c r="CA242" i="1"/>
  <c r="BZ242" i="1"/>
  <c r="BY242" i="1"/>
  <c r="BX242" i="1"/>
  <c r="BW242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CE241" i="1"/>
  <c r="CD241" i="1"/>
  <c r="CC241" i="1"/>
  <c r="CB241" i="1"/>
  <c r="CA241" i="1"/>
  <c r="BZ241" i="1"/>
  <c r="BY241" i="1"/>
  <c r="BX241" i="1"/>
  <c r="BW241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CE240" i="1"/>
  <c r="CD240" i="1"/>
  <c r="CC240" i="1"/>
  <c r="CB240" i="1"/>
  <c r="CA240" i="1"/>
  <c r="BZ240" i="1"/>
  <c r="BY240" i="1"/>
  <c r="BX240" i="1"/>
  <c r="BW240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CE239" i="1"/>
  <c r="CD239" i="1"/>
  <c r="CC239" i="1"/>
  <c r="CB239" i="1"/>
  <c r="CA239" i="1"/>
  <c r="BZ239" i="1"/>
  <c r="BY239" i="1"/>
  <c r="BX239" i="1"/>
  <c r="BW239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CE238" i="1"/>
  <c r="CD238" i="1"/>
  <c r="CC238" i="1"/>
  <c r="CB238" i="1"/>
  <c r="CA238" i="1"/>
  <c r="BZ238" i="1"/>
  <c r="BY238" i="1"/>
  <c r="BX238" i="1"/>
  <c r="BW238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CE237" i="1"/>
  <c r="CD237" i="1"/>
  <c r="CC237" i="1"/>
  <c r="CB237" i="1"/>
  <c r="CA237" i="1"/>
  <c r="BZ237" i="1"/>
  <c r="BY237" i="1"/>
  <c r="BX237" i="1"/>
  <c r="BW237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CE236" i="1"/>
  <c r="CD236" i="1"/>
  <c r="CC236" i="1"/>
  <c r="CB236" i="1"/>
  <c r="CA236" i="1"/>
  <c r="BZ236" i="1"/>
  <c r="BY236" i="1"/>
  <c r="BX236" i="1"/>
  <c r="BW236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CE235" i="1"/>
  <c r="CD235" i="1"/>
  <c r="CC235" i="1"/>
  <c r="CB235" i="1"/>
  <c r="CA235" i="1"/>
  <c r="BZ235" i="1"/>
  <c r="BY235" i="1"/>
  <c r="BX235" i="1"/>
  <c r="BW235" i="1"/>
  <c r="BV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CE234" i="1"/>
  <c r="CD234" i="1"/>
  <c r="CC234" i="1"/>
  <c r="CB234" i="1"/>
  <c r="CA234" i="1"/>
  <c r="BZ234" i="1"/>
  <c r="BY234" i="1"/>
  <c r="BX234" i="1"/>
  <c r="BW234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CE233" i="1"/>
  <c r="CD233" i="1"/>
  <c r="CC233" i="1"/>
  <c r="CB233" i="1"/>
  <c r="CA233" i="1"/>
  <c r="BZ233" i="1"/>
  <c r="BY233" i="1"/>
  <c r="BX233" i="1"/>
  <c r="BW233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CE232" i="1"/>
  <c r="CD232" i="1"/>
  <c r="CC232" i="1"/>
  <c r="CB232" i="1"/>
  <c r="CA232" i="1"/>
  <c r="BZ232" i="1"/>
  <c r="BY232" i="1"/>
  <c r="BX232" i="1"/>
  <c r="BW232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CE231" i="1"/>
  <c r="CD231" i="1"/>
  <c r="CC231" i="1"/>
  <c r="CB231" i="1"/>
  <c r="CA231" i="1"/>
  <c r="BZ231" i="1"/>
  <c r="BY231" i="1"/>
  <c r="BX231" i="1"/>
  <c r="BW231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CE230" i="1"/>
  <c r="CD230" i="1"/>
  <c r="CC230" i="1"/>
  <c r="CB230" i="1"/>
  <c r="CA230" i="1"/>
  <c r="BZ230" i="1"/>
  <c r="BY230" i="1"/>
  <c r="BX230" i="1"/>
  <c r="BW230" i="1"/>
  <c r="BV230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CE229" i="1"/>
  <c r="CD229" i="1"/>
  <c r="CC229" i="1"/>
  <c r="CB229" i="1"/>
  <c r="CA229" i="1"/>
  <c r="BZ229" i="1"/>
  <c r="BY229" i="1"/>
  <c r="BX229" i="1"/>
  <c r="BW229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CE228" i="1"/>
  <c r="CD228" i="1"/>
  <c r="CC228" i="1"/>
  <c r="CB228" i="1"/>
  <c r="CA228" i="1"/>
  <c r="BZ228" i="1"/>
  <c r="BY228" i="1"/>
  <c r="BX228" i="1"/>
  <c r="BW228" i="1"/>
  <c r="BV228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CE227" i="1"/>
  <c r="CD227" i="1"/>
  <c r="CC227" i="1"/>
  <c r="CB227" i="1"/>
  <c r="CA227" i="1"/>
  <c r="BZ227" i="1"/>
  <c r="BY227" i="1"/>
  <c r="BX227" i="1"/>
  <c r="BW227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CE226" i="1"/>
  <c r="CD226" i="1"/>
  <c r="CC226" i="1"/>
  <c r="CB226" i="1"/>
  <c r="CA226" i="1"/>
  <c r="BZ226" i="1"/>
  <c r="BY226" i="1"/>
  <c r="BX226" i="1"/>
  <c r="BW226" i="1"/>
  <c r="BV226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CE225" i="1"/>
  <c r="CD225" i="1"/>
  <c r="CC225" i="1"/>
  <c r="CB225" i="1"/>
  <c r="CA225" i="1"/>
  <c r="BZ225" i="1"/>
  <c r="BY225" i="1"/>
  <c r="BX225" i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CE224" i="1"/>
  <c r="CD224" i="1"/>
  <c r="CC224" i="1"/>
  <c r="CB224" i="1"/>
  <c r="CA224" i="1"/>
  <c r="BZ224" i="1"/>
  <c r="BY224" i="1"/>
  <c r="BX224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CE223" i="1"/>
  <c r="CD223" i="1"/>
  <c r="CC223" i="1"/>
  <c r="CB223" i="1"/>
  <c r="CA223" i="1"/>
  <c r="BZ223" i="1"/>
  <c r="BY223" i="1"/>
  <c r="BX223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CE222" i="1"/>
  <c r="CD222" i="1"/>
  <c r="CC222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CE221" i="1"/>
  <c r="CD221" i="1"/>
  <c r="CC221" i="1"/>
  <c r="CB221" i="1"/>
  <c r="CA221" i="1"/>
  <c r="BZ221" i="1"/>
  <c r="BY221" i="1"/>
  <c r="BX221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CE220" i="1"/>
  <c r="CD220" i="1"/>
  <c r="CC220" i="1"/>
  <c r="CB220" i="1"/>
  <c r="CA220" i="1"/>
  <c r="BZ220" i="1"/>
  <c r="BY220" i="1"/>
  <c r="BX220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CE219" i="1"/>
  <c r="CD219" i="1"/>
  <c r="CC219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CE218" i="1"/>
  <c r="CD218" i="1"/>
  <c r="CC218" i="1"/>
  <c r="CB218" i="1"/>
  <c r="CA218" i="1"/>
  <c r="BZ218" i="1"/>
  <c r="BY218" i="1"/>
  <c r="BX218" i="1"/>
  <c r="BW218" i="1"/>
  <c r="BV218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CE217" i="1"/>
  <c r="CD217" i="1"/>
  <c r="CC217" i="1"/>
  <c r="CB217" i="1"/>
  <c r="CA217" i="1"/>
  <c r="BZ217" i="1"/>
  <c r="BY217" i="1"/>
  <c r="BX217" i="1"/>
  <c r="BW217" i="1"/>
  <c r="BV217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CE216" i="1"/>
  <c r="CD216" i="1"/>
  <c r="CC216" i="1"/>
  <c r="CB216" i="1"/>
  <c r="CA216" i="1"/>
  <c r="BZ216" i="1"/>
  <c r="BY216" i="1"/>
  <c r="BX216" i="1"/>
  <c r="BW216" i="1"/>
  <c r="BV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CE215" i="1"/>
  <c r="CD215" i="1"/>
  <c r="CC215" i="1"/>
  <c r="CB215" i="1"/>
  <c r="CA215" i="1"/>
  <c r="BZ215" i="1"/>
  <c r="BY215" i="1"/>
  <c r="BX215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CE214" i="1"/>
  <c r="CD214" i="1"/>
  <c r="CC214" i="1"/>
  <c r="CB214" i="1"/>
  <c r="CA214" i="1"/>
  <c r="BZ214" i="1"/>
  <c r="BY214" i="1"/>
  <c r="BX214" i="1"/>
  <c r="BW214" i="1"/>
  <c r="BV214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CE213" i="1"/>
  <c r="CD213" i="1"/>
  <c r="CC213" i="1"/>
  <c r="CB213" i="1"/>
  <c r="CA213" i="1"/>
  <c r="BZ213" i="1"/>
  <c r="BY213" i="1"/>
  <c r="BX213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CE212" i="1"/>
  <c r="CD212" i="1"/>
  <c r="CC212" i="1"/>
  <c r="CB212" i="1"/>
  <c r="CA212" i="1"/>
  <c r="BZ212" i="1"/>
  <c r="BY212" i="1"/>
  <c r="BX212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CE211" i="1"/>
  <c r="CD211" i="1"/>
  <c r="CC211" i="1"/>
  <c r="CB211" i="1"/>
  <c r="CA211" i="1"/>
  <c r="BZ211" i="1"/>
  <c r="BY211" i="1"/>
  <c r="BX211" i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CE210" i="1"/>
  <c r="CD210" i="1"/>
  <c r="CC210" i="1"/>
  <c r="CB210" i="1"/>
  <c r="CA210" i="1"/>
  <c r="BZ210" i="1"/>
  <c r="BY210" i="1"/>
  <c r="BX210" i="1"/>
  <c r="BW210" i="1"/>
  <c r="BV210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CE209" i="1"/>
  <c r="CD209" i="1"/>
  <c r="CC209" i="1"/>
  <c r="CB209" i="1"/>
  <c r="CA209" i="1"/>
  <c r="BZ209" i="1"/>
  <c r="BY209" i="1"/>
  <c r="BX209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CE208" i="1"/>
  <c r="CD208" i="1"/>
  <c r="CC208" i="1"/>
  <c r="CB208" i="1"/>
  <c r="CA208" i="1"/>
  <c r="BZ208" i="1"/>
  <c r="BY208" i="1"/>
  <c r="BX208" i="1"/>
  <c r="BW208" i="1"/>
  <c r="BV208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CE207" i="1"/>
  <c r="CD207" i="1"/>
  <c r="CC207" i="1"/>
  <c r="CB207" i="1"/>
  <c r="CA207" i="1"/>
  <c r="BZ207" i="1"/>
  <c r="BY207" i="1"/>
  <c r="BX207" i="1"/>
  <c r="BW207" i="1"/>
  <c r="BV207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CE206" i="1"/>
  <c r="CD206" i="1"/>
  <c r="CC206" i="1"/>
  <c r="CB206" i="1"/>
  <c r="CA206" i="1"/>
  <c r="BZ206" i="1"/>
  <c r="BY206" i="1"/>
  <c r="BX206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CE205" i="1"/>
  <c r="CD205" i="1"/>
  <c r="CC205" i="1"/>
  <c r="CB205" i="1"/>
  <c r="CA205" i="1"/>
  <c r="BZ205" i="1"/>
  <c r="BY205" i="1"/>
  <c r="BX205" i="1"/>
  <c r="BW205" i="1"/>
  <c r="BV205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CE204" i="1"/>
  <c r="CD204" i="1"/>
  <c r="CC204" i="1"/>
  <c r="CB204" i="1"/>
  <c r="CA204" i="1"/>
  <c r="BZ204" i="1"/>
  <c r="BY204" i="1"/>
  <c r="BX204" i="1"/>
  <c r="BW204" i="1"/>
  <c r="BV204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CE203" i="1"/>
  <c r="CD203" i="1"/>
  <c r="CC203" i="1"/>
  <c r="CB203" i="1"/>
  <c r="CA203" i="1"/>
  <c r="BZ203" i="1"/>
  <c r="BY203" i="1"/>
  <c r="BX203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CE202" i="1"/>
  <c r="CD202" i="1"/>
  <c r="CC202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CE201" i="1"/>
  <c r="CD201" i="1"/>
  <c r="CC201" i="1"/>
  <c r="CB201" i="1"/>
  <c r="CA201" i="1"/>
  <c r="BZ201" i="1"/>
  <c r="BY201" i="1"/>
  <c r="BX201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CE200" i="1"/>
  <c r="CD200" i="1"/>
  <c r="CC200" i="1"/>
  <c r="CB200" i="1"/>
  <c r="CA200" i="1"/>
  <c r="BZ200" i="1"/>
  <c r="BY200" i="1"/>
  <c r="BX200" i="1"/>
  <c r="BW200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CE199" i="1"/>
  <c r="CD199" i="1"/>
  <c r="CC199" i="1"/>
  <c r="CB199" i="1"/>
  <c r="CA199" i="1"/>
  <c r="BZ199" i="1"/>
  <c r="BY199" i="1"/>
  <c r="BX199" i="1"/>
  <c r="BW199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CE198" i="1"/>
  <c r="CD198" i="1"/>
  <c r="CC198" i="1"/>
  <c r="CB198" i="1"/>
  <c r="CA198" i="1"/>
  <c r="BZ198" i="1"/>
  <c r="BY198" i="1"/>
  <c r="BX198" i="1"/>
  <c r="BW198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CE197" i="1"/>
  <c r="CD197" i="1"/>
  <c r="CC197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CE196" i="1"/>
  <c r="CD196" i="1"/>
  <c r="CC196" i="1"/>
  <c r="CB196" i="1"/>
  <c r="CA196" i="1"/>
  <c r="BZ196" i="1"/>
  <c r="BY196" i="1"/>
  <c r="BX196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CE195" i="1"/>
  <c r="CD195" i="1"/>
  <c r="CC195" i="1"/>
  <c r="CB195" i="1"/>
  <c r="CA195" i="1"/>
  <c r="BZ195" i="1"/>
  <c r="BY195" i="1"/>
  <c r="BX195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CE194" i="1"/>
  <c r="CD194" i="1"/>
  <c r="CC194" i="1"/>
  <c r="CB194" i="1"/>
  <c r="CA194" i="1"/>
  <c r="BZ194" i="1"/>
  <c r="BY194" i="1"/>
  <c r="BX194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CE193" i="1"/>
  <c r="CD193" i="1"/>
  <c r="CC193" i="1"/>
  <c r="CB193" i="1"/>
  <c r="CA193" i="1"/>
  <c r="BZ193" i="1"/>
  <c r="BY193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CE192" i="1"/>
  <c r="CD192" i="1"/>
  <c r="CC192" i="1"/>
  <c r="CB192" i="1"/>
  <c r="CA192" i="1"/>
  <c r="BZ192" i="1"/>
  <c r="BY192" i="1"/>
  <c r="BX192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CE191" i="1"/>
  <c r="CD191" i="1"/>
  <c r="CC191" i="1"/>
  <c r="CB191" i="1"/>
  <c r="CA191" i="1"/>
  <c r="BZ191" i="1"/>
  <c r="BY191" i="1"/>
  <c r="BX191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CE190" i="1"/>
  <c r="CD190" i="1"/>
  <c r="CC190" i="1"/>
  <c r="CB190" i="1"/>
  <c r="CA190" i="1"/>
  <c r="BZ190" i="1"/>
  <c r="BY190" i="1"/>
  <c r="BX190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CE189" i="1"/>
  <c r="CD189" i="1"/>
  <c r="CC189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CE187" i="1"/>
  <c r="CD187" i="1"/>
  <c r="CC187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CE186" i="1"/>
  <c r="CD186" i="1"/>
  <c r="CC186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CE185" i="1"/>
  <c r="CD185" i="1"/>
  <c r="CC185" i="1"/>
  <c r="CB185" i="1"/>
  <c r="CA185" i="1"/>
  <c r="BZ185" i="1"/>
  <c r="BY185" i="1"/>
  <c r="BX185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CE184" i="1"/>
  <c r="CD184" i="1"/>
  <c r="CC184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CE183" i="1"/>
  <c r="CD183" i="1"/>
  <c r="CC183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CE182" i="1"/>
  <c r="CD182" i="1"/>
  <c r="CC182" i="1"/>
  <c r="CB182" i="1"/>
  <c r="CA182" i="1"/>
  <c r="BZ182" i="1"/>
  <c r="BY182" i="1"/>
  <c r="BX182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CE180" i="1"/>
  <c r="CD180" i="1"/>
  <c r="CC180" i="1"/>
  <c r="CB180" i="1"/>
  <c r="CA180" i="1"/>
  <c r="BZ180" i="1"/>
  <c r="BY180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CE179" i="1"/>
  <c r="CD179" i="1"/>
  <c r="CC179" i="1"/>
  <c r="CB179" i="1"/>
  <c r="CA179" i="1"/>
  <c r="BZ179" i="1"/>
  <c r="BY179" i="1"/>
  <c r="BX179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CE178" i="1"/>
  <c r="CD178" i="1"/>
  <c r="CC178" i="1"/>
  <c r="CB178" i="1"/>
  <c r="CA178" i="1"/>
  <c r="BZ178" i="1"/>
  <c r="BY178" i="1"/>
  <c r="BX178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CE177" i="1"/>
  <c r="CD177" i="1"/>
  <c r="CC177" i="1"/>
  <c r="CB177" i="1"/>
  <c r="CA177" i="1"/>
  <c r="BZ177" i="1"/>
  <c r="BY177" i="1"/>
  <c r="BX177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CE176" i="1"/>
  <c r="CD176" i="1"/>
  <c r="CC176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CE175" i="1"/>
  <c r="CD175" i="1"/>
  <c r="CC175" i="1"/>
  <c r="CB175" i="1"/>
  <c r="CA175" i="1"/>
  <c r="BZ175" i="1"/>
  <c r="BY175" i="1"/>
  <c r="BX175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CE174" i="1"/>
  <c r="CD174" i="1"/>
  <c r="CC174" i="1"/>
  <c r="CB174" i="1"/>
  <c r="CA174" i="1"/>
  <c r="BZ174" i="1"/>
  <c r="BY174" i="1"/>
  <c r="BX174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CE173" i="1"/>
  <c r="CD173" i="1"/>
  <c r="CC173" i="1"/>
  <c r="CB173" i="1"/>
  <c r="CA173" i="1"/>
  <c r="BZ173" i="1"/>
  <c r="BY173" i="1"/>
  <c r="BX173" i="1"/>
  <c r="BW173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CE172" i="1"/>
  <c r="CD172" i="1"/>
  <c r="CC172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CE171" i="1"/>
  <c r="CD171" i="1"/>
  <c r="CC171" i="1"/>
  <c r="CB171" i="1"/>
  <c r="CA171" i="1"/>
  <c r="BZ171" i="1"/>
  <c r="BY171" i="1"/>
  <c r="BX171" i="1"/>
  <c r="BW171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CE170" i="1"/>
  <c r="CD170" i="1"/>
  <c r="CC170" i="1"/>
  <c r="CB170" i="1"/>
  <c r="CA170" i="1"/>
  <c r="BZ170" i="1"/>
  <c r="BY170" i="1"/>
  <c r="BX170" i="1"/>
  <c r="BW170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CE169" i="1"/>
  <c r="CD169" i="1"/>
  <c r="CC169" i="1"/>
  <c r="CB169" i="1"/>
  <c r="CA169" i="1"/>
  <c r="BZ169" i="1"/>
  <c r="BY169" i="1"/>
  <c r="BX169" i="1"/>
  <c r="BW169" i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CE168" i="1"/>
  <c r="CD168" i="1"/>
  <c r="CC168" i="1"/>
  <c r="CB168" i="1"/>
  <c r="CA168" i="1"/>
  <c r="BZ168" i="1"/>
  <c r="BY168" i="1"/>
  <c r="BX168" i="1"/>
  <c r="BW168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CE167" i="1"/>
  <c r="CD167" i="1"/>
  <c r="CC167" i="1"/>
  <c r="CB167" i="1"/>
  <c r="CA167" i="1"/>
  <c r="BZ167" i="1"/>
  <c r="BY167" i="1"/>
  <c r="BX167" i="1"/>
  <c r="BW167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CE166" i="1"/>
  <c r="CD166" i="1"/>
  <c r="CC166" i="1"/>
  <c r="CB166" i="1"/>
  <c r="CA166" i="1"/>
  <c r="BZ166" i="1"/>
  <c r="BY166" i="1"/>
  <c r="BX166" i="1"/>
  <c r="BW166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CE165" i="1"/>
  <c r="CD165" i="1"/>
  <c r="CC165" i="1"/>
  <c r="CB165" i="1"/>
  <c r="CA165" i="1"/>
  <c r="BZ165" i="1"/>
  <c r="BY165" i="1"/>
  <c r="BX165" i="1"/>
  <c r="BW165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CE164" i="1"/>
  <c r="CD164" i="1"/>
  <c r="CC164" i="1"/>
  <c r="CB164" i="1"/>
  <c r="CA164" i="1"/>
  <c r="BZ164" i="1"/>
  <c r="BY164" i="1"/>
  <c r="BX164" i="1"/>
  <c r="BW164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CE163" i="1"/>
  <c r="CD163" i="1"/>
  <c r="CC163" i="1"/>
  <c r="CB163" i="1"/>
  <c r="CA163" i="1"/>
  <c r="BZ163" i="1"/>
  <c r="BY163" i="1"/>
  <c r="BX163" i="1"/>
  <c r="BW163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CE162" i="1"/>
  <c r="CD162" i="1"/>
  <c r="CC162" i="1"/>
  <c r="CB162" i="1"/>
  <c r="CA162" i="1"/>
  <c r="BZ162" i="1"/>
  <c r="BY162" i="1"/>
  <c r="BX162" i="1"/>
  <c r="BW162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CE161" i="1"/>
  <c r="CD161" i="1"/>
  <c r="CC161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CE160" i="1"/>
  <c r="CD160" i="1"/>
  <c r="CC160" i="1"/>
  <c r="CB160" i="1"/>
  <c r="CA160" i="1"/>
  <c r="BZ160" i="1"/>
  <c r="BY160" i="1"/>
  <c r="BX160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CE159" i="1"/>
  <c r="CD159" i="1"/>
  <c r="CC159" i="1"/>
  <c r="CB159" i="1"/>
  <c r="CA159" i="1"/>
  <c r="BZ159" i="1"/>
  <c r="BY159" i="1"/>
  <c r="BX159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CE158" i="1"/>
  <c r="CD158" i="1"/>
  <c r="CC158" i="1"/>
  <c r="CB158" i="1"/>
  <c r="CA158" i="1"/>
  <c r="BZ158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CE157" i="1"/>
  <c r="CD157" i="1"/>
  <c r="CC157" i="1"/>
  <c r="CB157" i="1"/>
  <c r="CA157" i="1"/>
  <c r="BZ157" i="1"/>
  <c r="BY157" i="1"/>
  <c r="BX157" i="1"/>
  <c r="BW157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CE156" i="1"/>
  <c r="CD156" i="1"/>
  <c r="CC156" i="1"/>
  <c r="CB156" i="1"/>
  <c r="CA156" i="1"/>
  <c r="BZ156" i="1"/>
  <c r="BY156" i="1"/>
  <c r="BX156" i="1"/>
  <c r="BW156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CE155" i="1"/>
  <c r="CD155" i="1"/>
  <c r="CC155" i="1"/>
  <c r="CB155" i="1"/>
  <c r="CA155" i="1"/>
  <c r="BZ155" i="1"/>
  <c r="BY155" i="1"/>
  <c r="BX155" i="1"/>
  <c r="BW155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CE154" i="1"/>
  <c r="CD154" i="1"/>
  <c r="CC154" i="1"/>
  <c r="CB154" i="1"/>
  <c r="CA154" i="1"/>
  <c r="BZ154" i="1"/>
  <c r="BY154" i="1"/>
  <c r="BX154" i="1"/>
  <c r="BW154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CE153" i="1"/>
  <c r="CD153" i="1"/>
  <c r="CC153" i="1"/>
  <c r="CB153" i="1"/>
  <c r="CA153" i="1"/>
  <c r="BZ153" i="1"/>
  <c r="BY153" i="1"/>
  <c r="BX153" i="1"/>
  <c r="BW153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CE152" i="1"/>
  <c r="CD152" i="1"/>
  <c r="CC152" i="1"/>
  <c r="CB152" i="1"/>
  <c r="CA152" i="1"/>
  <c r="BZ152" i="1"/>
  <c r="BY152" i="1"/>
  <c r="BX152" i="1"/>
  <c r="BW152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CE151" i="1"/>
  <c r="CD151" i="1"/>
  <c r="CC151" i="1"/>
  <c r="CB151" i="1"/>
  <c r="CA151" i="1"/>
  <c r="BZ151" i="1"/>
  <c r="BY151" i="1"/>
  <c r="BX151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CE150" i="1"/>
  <c r="CD150" i="1"/>
  <c r="CC150" i="1"/>
  <c r="CB150" i="1"/>
  <c r="CA150" i="1"/>
  <c r="BZ150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CE149" i="1"/>
  <c r="CD149" i="1"/>
  <c r="CC149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CE148" i="1"/>
  <c r="CD148" i="1"/>
  <c r="CC148" i="1"/>
  <c r="CB148" i="1"/>
  <c r="CA148" i="1"/>
  <c r="BZ148" i="1"/>
  <c r="BY148" i="1"/>
  <c r="BX148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CE147" i="1"/>
  <c r="CD147" i="1"/>
  <c r="CC147" i="1"/>
  <c r="CB147" i="1"/>
  <c r="CA147" i="1"/>
  <c r="BZ147" i="1"/>
  <c r="BY147" i="1"/>
  <c r="BX147" i="1"/>
  <c r="BW147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CE146" i="1"/>
  <c r="CD146" i="1"/>
  <c r="CC146" i="1"/>
  <c r="CB146" i="1"/>
  <c r="CA146" i="1"/>
  <c r="BZ146" i="1"/>
  <c r="BY146" i="1"/>
  <c r="BX146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CE145" i="1"/>
  <c r="CD145" i="1"/>
  <c r="CC145" i="1"/>
  <c r="CB145" i="1"/>
  <c r="CA145" i="1"/>
  <c r="BZ145" i="1"/>
  <c r="BY145" i="1"/>
  <c r="BX145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CE144" i="1"/>
  <c r="CD144" i="1"/>
  <c r="CC144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CE139" i="1"/>
  <c r="CD139" i="1"/>
  <c r="CC139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CE137" i="1"/>
  <c r="CD137" i="1"/>
  <c r="CC137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CE134" i="1"/>
  <c r="CD134" i="1"/>
  <c r="CC134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CE133" i="1"/>
  <c r="CD133" i="1"/>
  <c r="CC133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CE132" i="1"/>
  <c r="CD132" i="1"/>
  <c r="CC132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CE130" i="1"/>
  <c r="CD130" i="1"/>
  <c r="CC130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CE129" i="1"/>
  <c r="CD129" i="1"/>
  <c r="CC129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CE127" i="1"/>
  <c r="CD127" i="1"/>
  <c r="CC127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CE126" i="1"/>
  <c r="CD126" i="1"/>
  <c r="CC126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N1" i="1" l="1"/>
  <c r="V80" i="8"/>
  <c r="V79" i="8"/>
  <c r="V78" i="8"/>
  <c r="V77" i="8"/>
  <c r="V76" i="8"/>
  <c r="V75" i="8"/>
  <c r="V74" i="8"/>
  <c r="V73" i="8"/>
  <c r="V72" i="8"/>
  <c r="V71" i="8"/>
  <c r="V70" i="8"/>
  <c r="V69" i="8"/>
  <c r="V68" i="8"/>
  <c r="V67" i="8"/>
  <c r="V66" i="8"/>
  <c r="V65" i="8"/>
  <c r="V64" i="8"/>
  <c r="V63" i="8"/>
  <c r="V62" i="8"/>
  <c r="V61" i="8"/>
  <c r="V60" i="8"/>
  <c r="V59" i="8"/>
  <c r="V58" i="8"/>
  <c r="V57" i="8"/>
  <c r="V56" i="8"/>
  <c r="V52" i="8" l="1"/>
  <c r="V51" i="8"/>
  <c r="V50" i="8"/>
  <c r="V49" i="8"/>
  <c r="V48" i="8"/>
  <c r="V47" i="8"/>
  <c r="V46" i="8"/>
  <c r="V45" i="8"/>
  <c r="V44" i="8"/>
  <c r="V43" i="8"/>
  <c r="V42" i="8"/>
  <c r="V41" i="8"/>
  <c r="V40" i="8"/>
  <c r="V39" i="8"/>
  <c r="V38" i="8"/>
  <c r="V37" i="8"/>
  <c r="V36" i="8"/>
  <c r="V35" i="8"/>
  <c r="V34" i="8"/>
  <c r="V33" i="8"/>
  <c r="V32" i="8"/>
  <c r="V31" i="8"/>
  <c r="V30" i="8"/>
  <c r="V29" i="8"/>
  <c r="V28" i="8"/>
  <c r="AF26" i="8" l="1"/>
  <c r="AF25" i="8"/>
  <c r="AF24" i="8"/>
  <c r="AF23" i="8"/>
  <c r="AF22" i="8"/>
  <c r="AF21" i="8"/>
  <c r="AF20" i="8"/>
  <c r="AF19" i="8"/>
  <c r="AF18" i="8"/>
  <c r="AF17" i="8"/>
  <c r="AF16" i="8"/>
  <c r="AF15" i="8"/>
  <c r="AF14" i="8"/>
  <c r="AF13" i="8"/>
  <c r="AF12" i="8"/>
  <c r="AF11" i="8"/>
  <c r="AF10" i="8"/>
  <c r="AF9" i="8"/>
  <c r="AF8" i="8"/>
  <c r="AF7" i="8"/>
  <c r="AF6" i="8"/>
  <c r="AF5" i="8"/>
  <c r="AF4" i="8"/>
  <c r="AF3" i="8"/>
  <c r="AM1" i="8"/>
  <c r="AW1" i="8" s="1"/>
  <c r="BG1" i="8" s="1"/>
  <c r="AL1" i="8"/>
  <c r="AV1" i="8" s="1"/>
  <c r="BF1" i="8" s="1"/>
  <c r="AK1" i="8"/>
  <c r="AU1" i="8" s="1"/>
  <c r="BE1" i="8" s="1"/>
  <c r="AJ1" i="8"/>
  <c r="AT1" i="8" s="1"/>
  <c r="BD1" i="8" s="1"/>
  <c r="AI1" i="8"/>
  <c r="AS1" i="8" s="1"/>
  <c r="BC1" i="8" s="1"/>
  <c r="AH1" i="8"/>
  <c r="AR1" i="8" s="1"/>
  <c r="BB1" i="8" s="1"/>
  <c r="AF2" i="8"/>
  <c r="AF30" i="8" l="1"/>
  <c r="AP4" i="8"/>
  <c r="AF32" i="8"/>
  <c r="AP6" i="8"/>
  <c r="AF34" i="8"/>
  <c r="AP8" i="8"/>
  <c r="AF36" i="8"/>
  <c r="AP10" i="8"/>
  <c r="AF38" i="8"/>
  <c r="AP12" i="8"/>
  <c r="AF40" i="8"/>
  <c r="AP14" i="8"/>
  <c r="AF42" i="8"/>
  <c r="AP16" i="8"/>
  <c r="AF44" i="8"/>
  <c r="AP18" i="8"/>
  <c r="AF46" i="8"/>
  <c r="AP20" i="8"/>
  <c r="AF48" i="8"/>
  <c r="AP22" i="8"/>
  <c r="AF50" i="8"/>
  <c r="AP24" i="8"/>
  <c r="AF52" i="8"/>
  <c r="AP26" i="8"/>
  <c r="AF28" i="8"/>
  <c r="AP2" i="8"/>
  <c r="AF29" i="8"/>
  <c r="AP3" i="8"/>
  <c r="AP5" i="8"/>
  <c r="AF31" i="8"/>
  <c r="AF33" i="8"/>
  <c r="AP7" i="8"/>
  <c r="AP9" i="8"/>
  <c r="AF35" i="8"/>
  <c r="AF37" i="8"/>
  <c r="AP11" i="8"/>
  <c r="AP13" i="8"/>
  <c r="AF39" i="8"/>
  <c r="AF41" i="8"/>
  <c r="AP15" i="8"/>
  <c r="AP17" i="8"/>
  <c r="AF43" i="8"/>
  <c r="AF45" i="8"/>
  <c r="AP19" i="8"/>
  <c r="AP21" i="8"/>
  <c r="AF47" i="8"/>
  <c r="AF49" i="8"/>
  <c r="AP23" i="8"/>
  <c r="AP25" i="8"/>
  <c r="AF51" i="8"/>
  <c r="AP49" i="8" l="1"/>
  <c r="AZ49" i="8" s="1"/>
  <c r="AZ23" i="8"/>
  <c r="AP45" i="8"/>
  <c r="AZ45" i="8" s="1"/>
  <c r="AZ19" i="8"/>
  <c r="AP41" i="8"/>
  <c r="AZ41" i="8" s="1"/>
  <c r="AZ15" i="8"/>
  <c r="AP37" i="8"/>
  <c r="AZ37" i="8" s="1"/>
  <c r="AZ11" i="8"/>
  <c r="AP33" i="8"/>
  <c r="AZ33" i="8" s="1"/>
  <c r="AZ7" i="8"/>
  <c r="AP29" i="8"/>
  <c r="AZ29" i="8" s="1"/>
  <c r="AZ3" i="8"/>
  <c r="AP28" i="8"/>
  <c r="AZ2" i="8"/>
  <c r="AP52" i="8"/>
  <c r="AZ52" i="8" s="1"/>
  <c r="AZ26" i="8"/>
  <c r="AZ24" i="8"/>
  <c r="AP50" i="8"/>
  <c r="AZ50" i="8" s="1"/>
  <c r="AP48" i="8"/>
  <c r="AZ48" i="8" s="1"/>
  <c r="AZ22" i="8"/>
  <c r="AZ20" i="8"/>
  <c r="AP46" i="8"/>
  <c r="AZ46" i="8" s="1"/>
  <c r="AP44" i="8"/>
  <c r="AZ44" i="8" s="1"/>
  <c r="AZ18" i="8"/>
  <c r="AP42" i="8"/>
  <c r="AZ42" i="8" s="1"/>
  <c r="AZ16" i="8"/>
  <c r="AP40" i="8"/>
  <c r="AZ40" i="8" s="1"/>
  <c r="AZ14" i="8"/>
  <c r="AZ12" i="8"/>
  <c r="AP38" i="8"/>
  <c r="AZ38" i="8" s="1"/>
  <c r="AP36" i="8"/>
  <c r="AZ36" i="8" s="1"/>
  <c r="AZ10" i="8"/>
  <c r="AZ8" i="8"/>
  <c r="AP34" i="8"/>
  <c r="AZ34" i="8" s="1"/>
  <c r="AP32" i="8"/>
  <c r="AZ32" i="8" s="1"/>
  <c r="AZ6" i="8"/>
  <c r="AZ4" i="8"/>
  <c r="AP30" i="8"/>
  <c r="AZ30" i="8" s="1"/>
  <c r="AP51" i="8"/>
  <c r="AZ51" i="8" s="1"/>
  <c r="AZ25" i="8"/>
  <c r="AP47" i="8"/>
  <c r="AZ47" i="8" s="1"/>
  <c r="AZ21" i="8"/>
  <c r="AP43" i="8"/>
  <c r="AZ43" i="8" s="1"/>
  <c r="AZ17" i="8"/>
  <c r="AP39" i="8"/>
  <c r="AZ39" i="8" s="1"/>
  <c r="AZ13" i="8"/>
  <c r="AP35" i="8"/>
  <c r="AZ35" i="8" s="1"/>
  <c r="AZ9" i="8"/>
  <c r="AP31" i="8"/>
  <c r="AZ31" i="8" s="1"/>
  <c r="AZ5" i="8"/>
  <c r="AZ28" i="8" l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E1220" i="3"/>
  <c r="D1220" i="3"/>
  <c r="C1215" i="1" s="1"/>
  <c r="C1220" i="3"/>
  <c r="B1220" i="3"/>
  <c r="A1220" i="3"/>
  <c r="E1219" i="3"/>
  <c r="D1219" i="3"/>
  <c r="C1219" i="3"/>
  <c r="B1219" i="3"/>
  <c r="A1219" i="3"/>
  <c r="E1218" i="3"/>
  <c r="D1218" i="3"/>
  <c r="C1213" i="1" s="1"/>
  <c r="C1218" i="3"/>
  <c r="B1218" i="3"/>
  <c r="A1218" i="3"/>
  <c r="E1217" i="3"/>
  <c r="D1217" i="3"/>
  <c r="C1212" i="1" s="1"/>
  <c r="C1217" i="3"/>
  <c r="B1217" i="3"/>
  <c r="A1217" i="3"/>
  <c r="E1216" i="3"/>
  <c r="D1216" i="3"/>
  <c r="C1216" i="3"/>
  <c r="B1216" i="3"/>
  <c r="A1216" i="3"/>
  <c r="E1215" i="3"/>
  <c r="D1215" i="3"/>
  <c r="C1215" i="3"/>
  <c r="B1215" i="3"/>
  <c r="A1215" i="3"/>
  <c r="E1214" i="3"/>
  <c r="D1214" i="3"/>
  <c r="C1214" i="3"/>
  <c r="B1214" i="3"/>
  <c r="A1214" i="3"/>
  <c r="E1213" i="3"/>
  <c r="D1213" i="3"/>
  <c r="C1213" i="3"/>
  <c r="B1213" i="3"/>
  <c r="A1213" i="3"/>
  <c r="E1212" i="3"/>
  <c r="D1212" i="3"/>
  <c r="C1212" i="3"/>
  <c r="B1212" i="3"/>
  <c r="A1212" i="3"/>
  <c r="E1211" i="3"/>
  <c r="D1211" i="3"/>
  <c r="C1211" i="3"/>
  <c r="B1211" i="3"/>
  <c r="A1211" i="3"/>
  <c r="E1210" i="3"/>
  <c r="D1210" i="3"/>
  <c r="C1205" i="1" s="1"/>
  <c r="C1210" i="3"/>
  <c r="B1210" i="3"/>
  <c r="A1210" i="3"/>
  <c r="E1209" i="3"/>
  <c r="D1209" i="3"/>
  <c r="C1204" i="1" s="1"/>
  <c r="C1209" i="3"/>
  <c r="B1209" i="3"/>
  <c r="A1209" i="3"/>
  <c r="E1208" i="3"/>
  <c r="D1208" i="3"/>
  <c r="C1208" i="3"/>
  <c r="B1208" i="3"/>
  <c r="A1208" i="3"/>
  <c r="E1207" i="3"/>
  <c r="D1207" i="3"/>
  <c r="C1207" i="3"/>
  <c r="B1207" i="3"/>
  <c r="A1207" i="3"/>
  <c r="E1206" i="3"/>
  <c r="D1206" i="3"/>
  <c r="C1206" i="3"/>
  <c r="B1206" i="3"/>
  <c r="A1206" i="3"/>
  <c r="E1205" i="3"/>
  <c r="D1205" i="3"/>
  <c r="C1205" i="3"/>
  <c r="B1205" i="3"/>
  <c r="A1205" i="3"/>
  <c r="E1204" i="3"/>
  <c r="D1204" i="3"/>
  <c r="C1204" i="3"/>
  <c r="B1204" i="3"/>
  <c r="A1204" i="3"/>
  <c r="E1203" i="3"/>
  <c r="D1203" i="3"/>
  <c r="C1203" i="3"/>
  <c r="B1203" i="3"/>
  <c r="A1203" i="3"/>
  <c r="E1202" i="3"/>
  <c r="D1202" i="3"/>
  <c r="C1197" i="1" s="1"/>
  <c r="C1202" i="3"/>
  <c r="B1202" i="3"/>
  <c r="A1202" i="3"/>
  <c r="E1201" i="3"/>
  <c r="D1201" i="3"/>
  <c r="C1196" i="1" s="1"/>
  <c r="C1201" i="3"/>
  <c r="B1201" i="3"/>
  <c r="A1201" i="3"/>
  <c r="E1200" i="3"/>
  <c r="D1200" i="3"/>
  <c r="C1200" i="3"/>
  <c r="B1200" i="3"/>
  <c r="A1200" i="3"/>
  <c r="E1199" i="3"/>
  <c r="D1199" i="3"/>
  <c r="C1194" i="1" s="1"/>
  <c r="C1199" i="3"/>
  <c r="B1199" i="3"/>
  <c r="A1199" i="3"/>
  <c r="E1198" i="3"/>
  <c r="D1198" i="3"/>
  <c r="C1198" i="3"/>
  <c r="B1198" i="3"/>
  <c r="A1198" i="3"/>
  <c r="E1197" i="3"/>
  <c r="D1197" i="3"/>
  <c r="C1197" i="3"/>
  <c r="B1197" i="3"/>
  <c r="A1197" i="3"/>
  <c r="E1196" i="3"/>
  <c r="D1196" i="3"/>
  <c r="C1196" i="3"/>
  <c r="B1196" i="3"/>
  <c r="A1196" i="3"/>
  <c r="E1195" i="3"/>
  <c r="D1195" i="3"/>
  <c r="C1195" i="3"/>
  <c r="B1195" i="3"/>
  <c r="A1195" i="3"/>
  <c r="E1194" i="3"/>
  <c r="D1194" i="3"/>
  <c r="C1189" i="1" s="1"/>
  <c r="C1194" i="3"/>
  <c r="B1194" i="3"/>
  <c r="A1194" i="3"/>
  <c r="E1193" i="3"/>
  <c r="D1193" i="3"/>
  <c r="C1188" i="1" s="1"/>
  <c r="C1193" i="3"/>
  <c r="B1193" i="3"/>
  <c r="A1193" i="3"/>
  <c r="E1192" i="3"/>
  <c r="D1192" i="3"/>
  <c r="C1192" i="3"/>
  <c r="B1192" i="3"/>
  <c r="A1192" i="3"/>
  <c r="E1191" i="3"/>
  <c r="D1191" i="3"/>
  <c r="C1191" i="3"/>
  <c r="B1191" i="3"/>
  <c r="A1191" i="3"/>
  <c r="E1190" i="3"/>
  <c r="D1190" i="3"/>
  <c r="C1190" i="3"/>
  <c r="B1190" i="3"/>
  <c r="A1190" i="3"/>
  <c r="E1189" i="3"/>
  <c r="D1189" i="3"/>
  <c r="C1189" i="3"/>
  <c r="B1189" i="3"/>
  <c r="A1189" i="3"/>
  <c r="E1188" i="3"/>
  <c r="D1188" i="3"/>
  <c r="C1188" i="3"/>
  <c r="B1188" i="3"/>
  <c r="A1188" i="3"/>
  <c r="E1187" i="3"/>
  <c r="D1187" i="3"/>
  <c r="C1187" i="3"/>
  <c r="B1187" i="3"/>
  <c r="A1187" i="3"/>
  <c r="E1186" i="3"/>
  <c r="D1186" i="3"/>
  <c r="C1181" i="1" s="1"/>
  <c r="C1186" i="3"/>
  <c r="B1186" i="3"/>
  <c r="A1186" i="3"/>
  <c r="E1185" i="3"/>
  <c r="D1185" i="3"/>
  <c r="C1180" i="1" s="1"/>
  <c r="C1185" i="3"/>
  <c r="B1185" i="3"/>
  <c r="A1185" i="3"/>
  <c r="E1184" i="3"/>
  <c r="D1184" i="3"/>
  <c r="C1184" i="3"/>
  <c r="B1184" i="3"/>
  <c r="A1184" i="3"/>
  <c r="E1183" i="3"/>
  <c r="D1183" i="3"/>
  <c r="C1183" i="3"/>
  <c r="B1183" i="3"/>
  <c r="A1183" i="3"/>
  <c r="E1182" i="3"/>
  <c r="D1182" i="3"/>
  <c r="C1182" i="3"/>
  <c r="B1182" i="3"/>
  <c r="A1182" i="3"/>
  <c r="E1181" i="3"/>
  <c r="D1181" i="3"/>
  <c r="C1181" i="3"/>
  <c r="B1181" i="3"/>
  <c r="A1181" i="3"/>
  <c r="E1180" i="3"/>
  <c r="D1180" i="3"/>
  <c r="C1180" i="3"/>
  <c r="B1180" i="3"/>
  <c r="A1180" i="3"/>
  <c r="E1179" i="3"/>
  <c r="D1179" i="3"/>
  <c r="C1179" i="3"/>
  <c r="B1179" i="3"/>
  <c r="A1179" i="3"/>
  <c r="E1178" i="3"/>
  <c r="D1178" i="3"/>
  <c r="C1173" i="1" s="1"/>
  <c r="C1178" i="3"/>
  <c r="B1178" i="3"/>
  <c r="A1178" i="3"/>
  <c r="E1177" i="3"/>
  <c r="D1177" i="3"/>
  <c r="C1172" i="1" s="1"/>
  <c r="C1177" i="3"/>
  <c r="B1177" i="3"/>
  <c r="A1177" i="3"/>
  <c r="E1176" i="3"/>
  <c r="D1176" i="3"/>
  <c r="C1176" i="3"/>
  <c r="B1176" i="3"/>
  <c r="A1176" i="3"/>
  <c r="E1175" i="3"/>
  <c r="D1175" i="3"/>
  <c r="C1175" i="3"/>
  <c r="B1175" i="3"/>
  <c r="A1175" i="3"/>
  <c r="E1174" i="3"/>
  <c r="D1174" i="3"/>
  <c r="C1174" i="3"/>
  <c r="B1174" i="3"/>
  <c r="A1174" i="3"/>
  <c r="E1173" i="3"/>
  <c r="D1173" i="3"/>
  <c r="C1173" i="3"/>
  <c r="B1173" i="3"/>
  <c r="A1173" i="3"/>
  <c r="E1172" i="3"/>
  <c r="D1172" i="3"/>
  <c r="C1172" i="3"/>
  <c r="B1172" i="3"/>
  <c r="A1172" i="3"/>
  <c r="E1171" i="3"/>
  <c r="D1171" i="3"/>
  <c r="C1171" i="3"/>
  <c r="B1171" i="3"/>
  <c r="A1171" i="3"/>
  <c r="E1170" i="3"/>
  <c r="D1170" i="3"/>
  <c r="C1170" i="3"/>
  <c r="B1170" i="3"/>
  <c r="A1170" i="3"/>
  <c r="E1169" i="3"/>
  <c r="D1169" i="3"/>
  <c r="C1164" i="1" s="1"/>
  <c r="C1169" i="3"/>
  <c r="B1169" i="3"/>
  <c r="A1169" i="3"/>
  <c r="E1168" i="3"/>
  <c r="D1168" i="3"/>
  <c r="C1168" i="3"/>
  <c r="B1168" i="3"/>
  <c r="A1168" i="3"/>
  <c r="E1167" i="3"/>
  <c r="D1167" i="3"/>
  <c r="C1167" i="3"/>
  <c r="B1167" i="3"/>
  <c r="A1167" i="3"/>
  <c r="E1166" i="3"/>
  <c r="D1166" i="3"/>
  <c r="C1166" i="3"/>
  <c r="B1166" i="3"/>
  <c r="A1166" i="3"/>
  <c r="E1165" i="3"/>
  <c r="D1165" i="3"/>
  <c r="C1165" i="3"/>
  <c r="B1165" i="3"/>
  <c r="A1165" i="3"/>
  <c r="E1164" i="3"/>
  <c r="D1164" i="3"/>
  <c r="C1159" i="1" s="1"/>
  <c r="C1164" i="3"/>
  <c r="B1164" i="3"/>
  <c r="A1164" i="3"/>
  <c r="E1163" i="3"/>
  <c r="D1163" i="3"/>
  <c r="C1163" i="3"/>
  <c r="B1163" i="3"/>
  <c r="A1163" i="3"/>
  <c r="E1162" i="3"/>
  <c r="D1162" i="3"/>
  <c r="C1162" i="3"/>
  <c r="B1162" i="3"/>
  <c r="A1162" i="3"/>
  <c r="E1161" i="3"/>
  <c r="D1161" i="3"/>
  <c r="C1156" i="1" s="1"/>
  <c r="C1161" i="3"/>
  <c r="B1161" i="3"/>
  <c r="A1161" i="3"/>
  <c r="E1160" i="3"/>
  <c r="D1160" i="3"/>
  <c r="C1160" i="3"/>
  <c r="B1160" i="3"/>
  <c r="A1160" i="3"/>
  <c r="E1159" i="3"/>
  <c r="D1159" i="3"/>
  <c r="C1159" i="3"/>
  <c r="B1159" i="3"/>
  <c r="A1159" i="3"/>
  <c r="E1158" i="3"/>
  <c r="D1158" i="3"/>
  <c r="C1158" i="3"/>
  <c r="B1158" i="3"/>
  <c r="A1158" i="3"/>
  <c r="BE1215" i="1"/>
  <c r="BA1215" i="1"/>
  <c r="AZ1215" i="1"/>
  <c r="AY1215" i="1"/>
  <c r="AI1215" i="1"/>
  <c r="AC1215" i="1"/>
  <c r="M1215" i="1" s="1"/>
  <c r="BE1214" i="1"/>
  <c r="BA1214" i="1"/>
  <c r="AZ1214" i="1"/>
  <c r="AY1214" i="1"/>
  <c r="AI1214" i="1"/>
  <c r="AC1214" i="1"/>
  <c r="BE1213" i="1"/>
  <c r="BA1213" i="1"/>
  <c r="AZ1213" i="1"/>
  <c r="AY1213" i="1"/>
  <c r="AI1213" i="1"/>
  <c r="AC1213" i="1" s="1"/>
  <c r="M1213" i="1" s="1"/>
  <c r="BE1212" i="1"/>
  <c r="BA1212" i="1"/>
  <c r="AZ1212" i="1"/>
  <c r="AY1212" i="1"/>
  <c r="AI1212" i="1"/>
  <c r="AC1212" i="1" s="1"/>
  <c r="M1212" i="1" s="1"/>
  <c r="BE1211" i="1"/>
  <c r="BA1211" i="1"/>
  <c r="AZ1211" i="1"/>
  <c r="AY1211" i="1"/>
  <c r="AI1211" i="1"/>
  <c r="AC1211" i="1" s="1"/>
  <c r="M1211" i="1" s="1"/>
  <c r="BE1210" i="1"/>
  <c r="BA1210" i="1"/>
  <c r="AZ1210" i="1"/>
  <c r="AY1210" i="1"/>
  <c r="AI1210" i="1"/>
  <c r="AC1210" i="1" s="1"/>
  <c r="M1210" i="1" s="1"/>
  <c r="BE1209" i="1"/>
  <c r="BA1209" i="1"/>
  <c r="AZ1209" i="1"/>
  <c r="AY1209" i="1"/>
  <c r="AI1209" i="1"/>
  <c r="AC1209" i="1"/>
  <c r="M1209" i="1" s="1"/>
  <c r="BE1208" i="1"/>
  <c r="BA1208" i="1"/>
  <c r="AZ1208" i="1"/>
  <c r="AY1208" i="1"/>
  <c r="AI1208" i="1"/>
  <c r="AC1208" i="1" s="1"/>
  <c r="M1208" i="1" s="1"/>
  <c r="BE1207" i="1"/>
  <c r="BA1207" i="1"/>
  <c r="AZ1207" i="1"/>
  <c r="AY1207" i="1"/>
  <c r="AI1207" i="1"/>
  <c r="AC1207" i="1"/>
  <c r="M1207" i="1" s="1"/>
  <c r="BE1206" i="1"/>
  <c r="BA1206" i="1"/>
  <c r="AZ1206" i="1"/>
  <c r="AY1206" i="1"/>
  <c r="AI1206" i="1"/>
  <c r="AC1206" i="1" s="1"/>
  <c r="M1206" i="1" s="1"/>
  <c r="BE1205" i="1"/>
  <c r="BA1205" i="1"/>
  <c r="AZ1205" i="1"/>
  <c r="AY1205" i="1"/>
  <c r="AI1205" i="1"/>
  <c r="AC1205" i="1"/>
  <c r="M1205" i="1" s="1"/>
  <c r="BE1204" i="1"/>
  <c r="BA1204" i="1"/>
  <c r="AZ1204" i="1"/>
  <c r="AY1204" i="1"/>
  <c r="AI1204" i="1"/>
  <c r="AC1204" i="1" s="1"/>
  <c r="M1204" i="1" s="1"/>
  <c r="BE1203" i="1"/>
  <c r="BA1203" i="1"/>
  <c r="AZ1203" i="1"/>
  <c r="AY1203" i="1"/>
  <c r="AI1203" i="1"/>
  <c r="AC1203" i="1" s="1"/>
  <c r="M1203" i="1" s="1"/>
  <c r="BE1202" i="1"/>
  <c r="BA1202" i="1"/>
  <c r="AZ1202" i="1"/>
  <c r="AY1202" i="1"/>
  <c r="AI1202" i="1"/>
  <c r="AC1202" i="1"/>
  <c r="M1202" i="1" s="1"/>
  <c r="BE1201" i="1"/>
  <c r="BA1201" i="1"/>
  <c r="AZ1201" i="1"/>
  <c r="AY1201" i="1"/>
  <c r="AI1201" i="1"/>
  <c r="AC1201" i="1"/>
  <c r="BE1200" i="1"/>
  <c r="BA1200" i="1"/>
  <c r="AZ1200" i="1"/>
  <c r="AY1200" i="1"/>
  <c r="AI1200" i="1"/>
  <c r="AC1200" i="1" s="1"/>
  <c r="M1200" i="1" s="1"/>
  <c r="BE1199" i="1"/>
  <c r="BA1199" i="1"/>
  <c r="AZ1199" i="1"/>
  <c r="AY1199" i="1"/>
  <c r="AI1199" i="1"/>
  <c r="AC1199" i="1" s="1"/>
  <c r="M1199" i="1" s="1"/>
  <c r="BE1198" i="1"/>
  <c r="BA1198" i="1"/>
  <c r="AZ1198" i="1"/>
  <c r="AY1198" i="1"/>
  <c r="AI1198" i="1"/>
  <c r="AC1198" i="1"/>
  <c r="M1198" i="1" s="1"/>
  <c r="BE1197" i="1"/>
  <c r="BA1197" i="1"/>
  <c r="AZ1197" i="1"/>
  <c r="AY1197" i="1"/>
  <c r="AI1197" i="1"/>
  <c r="AC1197" i="1"/>
  <c r="BE1196" i="1"/>
  <c r="BA1196" i="1"/>
  <c r="AZ1196" i="1"/>
  <c r="AY1196" i="1"/>
  <c r="AI1196" i="1"/>
  <c r="AC1196" i="1" s="1"/>
  <c r="M1196" i="1" s="1"/>
  <c r="BE1195" i="1"/>
  <c r="BA1195" i="1"/>
  <c r="AZ1195" i="1"/>
  <c r="AY1195" i="1"/>
  <c r="AI1195" i="1"/>
  <c r="AC1195" i="1"/>
  <c r="M1195" i="1" s="1"/>
  <c r="BE1194" i="1"/>
  <c r="BA1194" i="1"/>
  <c r="AZ1194" i="1"/>
  <c r="AY1194" i="1"/>
  <c r="AI1194" i="1"/>
  <c r="AC1194" i="1"/>
  <c r="M1194" i="1" s="1"/>
  <c r="BE1193" i="1"/>
  <c r="BA1193" i="1"/>
  <c r="AZ1193" i="1"/>
  <c r="AY1193" i="1"/>
  <c r="AI1193" i="1"/>
  <c r="AC1193" i="1" s="1"/>
  <c r="M1193" i="1" s="1"/>
  <c r="BE1192" i="1"/>
  <c r="BA1192" i="1"/>
  <c r="AZ1192" i="1"/>
  <c r="AY1192" i="1"/>
  <c r="AI1192" i="1"/>
  <c r="AC1192" i="1" s="1"/>
  <c r="M1192" i="1" s="1"/>
  <c r="BE1191" i="1"/>
  <c r="BA1191" i="1"/>
  <c r="AZ1191" i="1"/>
  <c r="AY1191" i="1"/>
  <c r="AI1191" i="1"/>
  <c r="AC1191" i="1"/>
  <c r="M1191" i="1" s="1"/>
  <c r="BE1190" i="1"/>
  <c r="BA1190" i="1"/>
  <c r="AZ1190" i="1"/>
  <c r="AY1190" i="1"/>
  <c r="AI1190" i="1"/>
  <c r="AC1190" i="1"/>
  <c r="BE1189" i="1"/>
  <c r="BA1189" i="1"/>
  <c r="AZ1189" i="1"/>
  <c r="AY1189" i="1"/>
  <c r="AI1189" i="1"/>
  <c r="AC1189" i="1"/>
  <c r="M1189" i="1" s="1"/>
  <c r="BE1188" i="1"/>
  <c r="BA1188" i="1"/>
  <c r="AZ1188" i="1"/>
  <c r="AY1188" i="1"/>
  <c r="AI1188" i="1"/>
  <c r="AC1188" i="1" s="1"/>
  <c r="M1188" i="1" s="1"/>
  <c r="BE1187" i="1"/>
  <c r="BA1187" i="1"/>
  <c r="AZ1187" i="1"/>
  <c r="AY1187" i="1"/>
  <c r="AI1187" i="1"/>
  <c r="AC1187" i="1"/>
  <c r="M1187" i="1" s="1"/>
  <c r="BE1186" i="1"/>
  <c r="BA1186" i="1"/>
  <c r="AZ1186" i="1"/>
  <c r="AY1186" i="1"/>
  <c r="AI1186" i="1"/>
  <c r="AC1186" i="1" s="1"/>
  <c r="M1186" i="1" s="1"/>
  <c r="BE1185" i="1"/>
  <c r="BA1185" i="1"/>
  <c r="AZ1185" i="1"/>
  <c r="AY1185" i="1"/>
  <c r="AI1185" i="1"/>
  <c r="AC1185" i="1" s="1"/>
  <c r="M1185" i="1" s="1"/>
  <c r="BE1184" i="1"/>
  <c r="BA1184" i="1"/>
  <c r="AZ1184" i="1"/>
  <c r="AY1184" i="1"/>
  <c r="AI1184" i="1"/>
  <c r="AC1184" i="1" s="1"/>
  <c r="M1184" i="1" s="1"/>
  <c r="BE1183" i="1"/>
  <c r="BA1183" i="1"/>
  <c r="AZ1183" i="1"/>
  <c r="AY1183" i="1"/>
  <c r="AI1183" i="1"/>
  <c r="AC1183" i="1"/>
  <c r="M1183" i="1" s="1"/>
  <c r="BE1182" i="1"/>
  <c r="BA1182" i="1"/>
  <c r="AZ1182" i="1"/>
  <c r="AY1182" i="1"/>
  <c r="AI1182" i="1"/>
  <c r="AC1182" i="1"/>
  <c r="BE1181" i="1"/>
  <c r="BA1181" i="1"/>
  <c r="AZ1181" i="1"/>
  <c r="AY1181" i="1"/>
  <c r="AI1181" i="1"/>
  <c r="AC1181" i="1" s="1"/>
  <c r="M1181" i="1" s="1"/>
  <c r="BE1180" i="1"/>
  <c r="BA1180" i="1"/>
  <c r="AZ1180" i="1"/>
  <c r="AY1180" i="1"/>
  <c r="AI1180" i="1"/>
  <c r="AC1180" i="1" s="1"/>
  <c r="M1180" i="1" s="1"/>
  <c r="BE1179" i="1"/>
  <c r="BA1179" i="1"/>
  <c r="AZ1179" i="1"/>
  <c r="AY1179" i="1"/>
  <c r="AI1179" i="1"/>
  <c r="AC1179" i="1" s="1"/>
  <c r="M1179" i="1" s="1"/>
  <c r="BE1178" i="1"/>
  <c r="BA1178" i="1"/>
  <c r="AZ1178" i="1"/>
  <c r="AY1178" i="1"/>
  <c r="AI1178" i="1"/>
  <c r="AC1178" i="1" s="1"/>
  <c r="M1178" i="1" s="1"/>
  <c r="BE1177" i="1"/>
  <c r="BA1177" i="1"/>
  <c r="AZ1177" i="1"/>
  <c r="AY1177" i="1"/>
  <c r="AI1177" i="1"/>
  <c r="AC1177" i="1"/>
  <c r="M1177" i="1" s="1"/>
  <c r="BE1176" i="1"/>
  <c r="BA1176" i="1"/>
  <c r="AZ1176" i="1"/>
  <c r="AY1176" i="1"/>
  <c r="AI1176" i="1"/>
  <c r="AC1176" i="1" s="1"/>
  <c r="M1176" i="1" s="1"/>
  <c r="BE1175" i="1"/>
  <c r="BA1175" i="1"/>
  <c r="AZ1175" i="1"/>
  <c r="AY1175" i="1"/>
  <c r="AI1175" i="1"/>
  <c r="AC1175" i="1"/>
  <c r="M1175" i="1" s="1"/>
  <c r="BE1174" i="1"/>
  <c r="BA1174" i="1"/>
  <c r="AZ1174" i="1"/>
  <c r="AY1174" i="1"/>
  <c r="AI1174" i="1"/>
  <c r="AC1174" i="1" s="1"/>
  <c r="M1174" i="1" s="1"/>
  <c r="BE1173" i="1"/>
  <c r="BA1173" i="1"/>
  <c r="AZ1173" i="1"/>
  <c r="AY1173" i="1"/>
  <c r="AI1173" i="1"/>
  <c r="AC1173" i="1"/>
  <c r="M1173" i="1" s="1"/>
  <c r="BE1172" i="1"/>
  <c r="BA1172" i="1"/>
  <c r="AZ1172" i="1"/>
  <c r="AY1172" i="1"/>
  <c r="AI1172" i="1"/>
  <c r="AC1172" i="1" s="1"/>
  <c r="M1172" i="1" s="1"/>
  <c r="BE1171" i="1"/>
  <c r="BA1171" i="1"/>
  <c r="AZ1171" i="1"/>
  <c r="AY1171" i="1"/>
  <c r="AI1171" i="1"/>
  <c r="AC1171" i="1" s="1"/>
  <c r="M1171" i="1" s="1"/>
  <c r="BE1170" i="1"/>
  <c r="BA1170" i="1"/>
  <c r="AZ1170" i="1"/>
  <c r="AY1170" i="1"/>
  <c r="AI1170" i="1"/>
  <c r="AC1170" i="1"/>
  <c r="M1170" i="1" s="1"/>
  <c r="BE1169" i="1"/>
  <c r="BA1169" i="1"/>
  <c r="AZ1169" i="1"/>
  <c r="AY1169" i="1"/>
  <c r="AI1169" i="1"/>
  <c r="AC1169" i="1"/>
  <c r="BE1168" i="1"/>
  <c r="BA1168" i="1"/>
  <c r="AZ1168" i="1"/>
  <c r="AY1168" i="1"/>
  <c r="AI1168" i="1"/>
  <c r="AC1168" i="1" s="1"/>
  <c r="M1168" i="1" s="1"/>
  <c r="BE1167" i="1"/>
  <c r="BA1167" i="1"/>
  <c r="AZ1167" i="1"/>
  <c r="AY1167" i="1"/>
  <c r="AI1167" i="1"/>
  <c r="AC1167" i="1" s="1"/>
  <c r="M1167" i="1" s="1"/>
  <c r="BE1166" i="1"/>
  <c r="BA1166" i="1"/>
  <c r="AZ1166" i="1"/>
  <c r="AY1166" i="1"/>
  <c r="AI1166" i="1"/>
  <c r="AC1166" i="1"/>
  <c r="M1166" i="1" s="1"/>
  <c r="BE1165" i="1"/>
  <c r="BA1165" i="1"/>
  <c r="AZ1165" i="1"/>
  <c r="AY1165" i="1"/>
  <c r="AI1165" i="1"/>
  <c r="AC1165" i="1"/>
  <c r="BE1164" i="1"/>
  <c r="BA1164" i="1"/>
  <c r="AZ1164" i="1"/>
  <c r="AY1164" i="1"/>
  <c r="AI1164" i="1"/>
  <c r="AC1164" i="1" s="1"/>
  <c r="M1164" i="1" s="1"/>
  <c r="BE1163" i="1"/>
  <c r="BA1163" i="1"/>
  <c r="AZ1163" i="1"/>
  <c r="AY1163" i="1"/>
  <c r="AI1163" i="1"/>
  <c r="AC1163" i="1"/>
  <c r="M1163" i="1" s="1"/>
  <c r="BE1162" i="1"/>
  <c r="BA1162" i="1"/>
  <c r="AZ1162" i="1"/>
  <c r="AY1162" i="1"/>
  <c r="AI1162" i="1"/>
  <c r="AC1162" i="1"/>
  <c r="M1162" i="1" s="1"/>
  <c r="BE1161" i="1"/>
  <c r="BA1161" i="1"/>
  <c r="AZ1161" i="1"/>
  <c r="AY1161" i="1"/>
  <c r="AI1161" i="1"/>
  <c r="AC1161" i="1" s="1"/>
  <c r="M1161" i="1" s="1"/>
  <c r="BE1160" i="1"/>
  <c r="BA1160" i="1"/>
  <c r="AZ1160" i="1"/>
  <c r="AY1160" i="1"/>
  <c r="AI1160" i="1"/>
  <c r="AC1160" i="1" s="1"/>
  <c r="M1160" i="1" s="1"/>
  <c r="BE1159" i="1"/>
  <c r="BA1159" i="1"/>
  <c r="AZ1159" i="1"/>
  <c r="AY1159" i="1"/>
  <c r="AI1159" i="1"/>
  <c r="AC1159" i="1"/>
  <c r="M1159" i="1" s="1"/>
  <c r="BE1158" i="1"/>
  <c r="BA1158" i="1"/>
  <c r="AZ1158" i="1"/>
  <c r="AY1158" i="1"/>
  <c r="AI1158" i="1"/>
  <c r="AC1158" i="1"/>
  <c r="BE1157" i="1"/>
  <c r="BA1157" i="1"/>
  <c r="AZ1157" i="1"/>
  <c r="AY1157" i="1"/>
  <c r="AI1157" i="1"/>
  <c r="AC1157" i="1"/>
  <c r="M1157" i="1" s="1"/>
  <c r="BE1156" i="1"/>
  <c r="BA1156" i="1"/>
  <c r="AZ1156" i="1"/>
  <c r="AY1156" i="1"/>
  <c r="AI1156" i="1"/>
  <c r="AC1156" i="1" s="1"/>
  <c r="M1156" i="1" s="1"/>
  <c r="BE1155" i="1"/>
  <c r="BA1155" i="1"/>
  <c r="AZ1155" i="1"/>
  <c r="AY1155" i="1"/>
  <c r="AI1155" i="1"/>
  <c r="AC1155" i="1"/>
  <c r="M1155" i="1" s="1"/>
  <c r="BE1154" i="1"/>
  <c r="BA1154" i="1"/>
  <c r="AZ1154" i="1"/>
  <c r="AY1154" i="1"/>
  <c r="AI1154" i="1"/>
  <c r="AC1154" i="1" s="1"/>
  <c r="M1154" i="1" s="1"/>
  <c r="BE1153" i="1"/>
  <c r="BA1153" i="1"/>
  <c r="AZ1153" i="1"/>
  <c r="AY1153" i="1"/>
  <c r="AI1153" i="1"/>
  <c r="AC1153" i="1" s="1"/>
  <c r="M1153" i="1" s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J1215" i="1"/>
  <c r="M1214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M1201" i="1"/>
  <c r="J1201" i="1"/>
  <c r="J1200" i="1"/>
  <c r="J1199" i="1"/>
  <c r="J1198" i="1"/>
  <c r="M1197" i="1"/>
  <c r="J1197" i="1"/>
  <c r="J1196" i="1"/>
  <c r="J1195" i="1"/>
  <c r="J1194" i="1"/>
  <c r="J1193" i="1"/>
  <c r="J1192" i="1"/>
  <c r="J1191" i="1"/>
  <c r="M1190" i="1"/>
  <c r="J1190" i="1"/>
  <c r="J1189" i="1"/>
  <c r="J1188" i="1"/>
  <c r="J1187" i="1"/>
  <c r="J1186" i="1"/>
  <c r="J1185" i="1"/>
  <c r="J1184" i="1"/>
  <c r="J1183" i="1"/>
  <c r="M1182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M1169" i="1"/>
  <c r="J1169" i="1"/>
  <c r="J1168" i="1"/>
  <c r="J1167" i="1"/>
  <c r="J1166" i="1"/>
  <c r="M1165" i="1"/>
  <c r="J1165" i="1"/>
  <c r="J1164" i="1"/>
  <c r="J1163" i="1"/>
  <c r="J1162" i="1"/>
  <c r="J1161" i="1"/>
  <c r="J1160" i="1"/>
  <c r="J1159" i="1"/>
  <c r="M1158" i="1"/>
  <c r="J1158" i="1"/>
  <c r="J1157" i="1"/>
  <c r="J1156" i="1"/>
  <c r="J1155" i="1"/>
  <c r="J1154" i="1"/>
  <c r="J1153" i="1"/>
  <c r="F1172" i="3" l="1"/>
  <c r="F1180" i="3"/>
  <c r="F1188" i="3"/>
  <c r="F1196" i="3"/>
  <c r="F1204" i="3"/>
  <c r="F1212" i="3"/>
  <c r="F1163" i="3"/>
  <c r="F1171" i="3"/>
  <c r="F1179" i="3"/>
  <c r="F1187" i="3"/>
  <c r="F1195" i="3"/>
  <c r="F1203" i="3"/>
  <c r="F1211" i="3"/>
  <c r="F1219" i="3"/>
  <c r="F1165" i="3"/>
  <c r="F1173" i="3"/>
  <c r="F1181" i="3"/>
  <c r="F1189" i="3"/>
  <c r="F1197" i="3"/>
  <c r="F1205" i="3"/>
  <c r="F1213" i="3"/>
  <c r="F1160" i="3"/>
  <c r="F1168" i="3"/>
  <c r="F1176" i="3"/>
  <c r="F1184" i="3"/>
  <c r="F1192" i="3"/>
  <c r="F1200" i="3"/>
  <c r="F1208" i="3"/>
  <c r="F1216" i="3"/>
  <c r="F1159" i="3"/>
  <c r="F1167" i="3"/>
  <c r="F1175" i="3"/>
  <c r="F1183" i="3"/>
  <c r="F1191" i="3"/>
  <c r="F1199" i="3"/>
  <c r="F1207" i="3"/>
  <c r="F1215" i="3"/>
  <c r="C1170" i="1"/>
  <c r="C1202" i="1"/>
  <c r="C1154" i="1"/>
  <c r="C1162" i="1"/>
  <c r="C1178" i="1"/>
  <c r="C1210" i="1"/>
  <c r="C1186" i="1"/>
  <c r="C1158" i="1"/>
  <c r="C1166" i="1"/>
  <c r="C1174" i="1"/>
  <c r="C1182" i="1"/>
  <c r="C1190" i="1"/>
  <c r="C1214" i="1"/>
  <c r="F1162" i="3"/>
  <c r="F1170" i="3"/>
  <c r="F1178" i="3"/>
  <c r="F1186" i="3"/>
  <c r="F1194" i="3"/>
  <c r="F1202" i="3"/>
  <c r="F1210" i="3"/>
  <c r="F1218" i="3"/>
  <c r="C1155" i="1"/>
  <c r="C1163" i="1"/>
  <c r="C1167" i="1"/>
  <c r="C1171" i="1"/>
  <c r="C1175" i="1"/>
  <c r="C1179" i="1"/>
  <c r="C1183" i="1"/>
  <c r="C1187" i="1"/>
  <c r="C1191" i="1"/>
  <c r="C1195" i="1"/>
  <c r="C1199" i="1"/>
  <c r="C1203" i="1"/>
  <c r="C1207" i="1"/>
  <c r="C1211" i="1"/>
  <c r="C1198" i="1"/>
  <c r="F1164" i="3"/>
  <c r="F1220" i="3"/>
  <c r="C1160" i="1"/>
  <c r="C1168" i="1"/>
  <c r="C1176" i="1"/>
  <c r="C1184" i="1"/>
  <c r="C1192" i="1"/>
  <c r="C1200" i="1"/>
  <c r="C1208" i="1"/>
  <c r="F1161" i="3"/>
  <c r="F1169" i="3"/>
  <c r="F1177" i="3"/>
  <c r="F1185" i="3"/>
  <c r="F1193" i="3"/>
  <c r="F1201" i="3"/>
  <c r="F1209" i="3"/>
  <c r="F1217" i="3"/>
  <c r="C1206" i="1"/>
  <c r="F1158" i="3"/>
  <c r="F1166" i="3"/>
  <c r="F1174" i="3"/>
  <c r="F1182" i="3"/>
  <c r="F1190" i="3"/>
  <c r="F1198" i="3"/>
  <c r="F1206" i="3"/>
  <c r="F1214" i="3"/>
  <c r="C1153" i="1"/>
  <c r="C1157" i="1"/>
  <c r="C1161" i="1"/>
  <c r="C1165" i="1"/>
  <c r="C1169" i="1"/>
  <c r="C1177" i="1"/>
  <c r="C1185" i="1"/>
  <c r="C1193" i="1"/>
  <c r="C1201" i="1"/>
  <c r="C1209" i="1"/>
  <c r="J1153" i="3"/>
  <c r="H1153" i="3"/>
  <c r="J1157" i="3"/>
  <c r="K1157" i="3" s="1"/>
  <c r="H1157" i="3"/>
  <c r="I1157" i="3" s="1"/>
  <c r="K1156" i="3"/>
  <c r="J1156" i="3"/>
  <c r="I1156" i="3"/>
  <c r="H1156" i="3"/>
  <c r="J1155" i="3"/>
  <c r="K1155" i="3" s="1"/>
  <c r="H1155" i="3"/>
  <c r="I1155" i="3" s="1"/>
  <c r="K1154" i="3"/>
  <c r="J1154" i="3"/>
  <c r="I1154" i="3"/>
  <c r="H1154" i="3"/>
  <c r="K1152" i="3"/>
  <c r="J1152" i="3"/>
  <c r="I1152" i="3"/>
  <c r="H1152" i="3"/>
  <c r="J1151" i="3"/>
  <c r="K1151" i="3" s="1"/>
  <c r="H1151" i="3"/>
  <c r="I1151" i="3" s="1"/>
  <c r="K1150" i="3"/>
  <c r="J1150" i="3"/>
  <c r="I1150" i="3"/>
  <c r="H1150" i="3"/>
  <c r="D1152" i="1"/>
  <c r="D1151" i="1"/>
  <c r="D1150" i="1"/>
  <c r="D1149" i="1"/>
  <c r="D1148" i="1"/>
  <c r="D1147" i="1"/>
  <c r="D1146" i="1"/>
  <c r="D1145" i="1"/>
  <c r="E1157" i="3"/>
  <c r="C1157" i="3"/>
  <c r="B1157" i="3"/>
  <c r="A1157" i="3"/>
  <c r="BE1152" i="1"/>
  <c r="BA1152" i="1"/>
  <c r="AZ1152" i="1"/>
  <c r="AY1152" i="1"/>
  <c r="AI1152" i="1"/>
  <c r="AC1152" i="1" s="1"/>
  <c r="Q1152" i="1"/>
  <c r="J1152" i="1"/>
  <c r="E1156" i="3"/>
  <c r="E1155" i="3"/>
  <c r="E1154" i="3"/>
  <c r="E1153" i="3"/>
  <c r="E1152" i="3"/>
  <c r="E1151" i="3"/>
  <c r="E1150" i="3"/>
  <c r="C1156" i="3"/>
  <c r="B1156" i="3"/>
  <c r="A1156" i="3"/>
  <c r="C1155" i="3"/>
  <c r="B1155" i="3"/>
  <c r="A1155" i="3"/>
  <c r="C1154" i="3"/>
  <c r="B1154" i="3"/>
  <c r="A1154" i="3"/>
  <c r="C1153" i="3"/>
  <c r="B1153" i="3"/>
  <c r="A1153" i="3"/>
  <c r="C1152" i="3"/>
  <c r="B1152" i="3"/>
  <c r="A1152" i="3"/>
  <c r="C1151" i="3"/>
  <c r="B1151" i="3"/>
  <c r="A1151" i="3"/>
  <c r="C1150" i="3"/>
  <c r="B1150" i="3"/>
  <c r="A1150" i="3"/>
  <c r="D1155" i="3"/>
  <c r="D1153" i="3"/>
  <c r="D1151" i="3"/>
  <c r="BE1151" i="1"/>
  <c r="BA1151" i="1"/>
  <c r="AZ1151" i="1"/>
  <c r="AY1151" i="1"/>
  <c r="BE1150" i="1"/>
  <c r="BA1150" i="1"/>
  <c r="AZ1150" i="1"/>
  <c r="AY1150" i="1"/>
  <c r="BE1149" i="1"/>
  <c r="BA1149" i="1"/>
  <c r="AZ1149" i="1"/>
  <c r="AY1149" i="1"/>
  <c r="BE1148" i="1"/>
  <c r="BA1148" i="1"/>
  <c r="AZ1148" i="1"/>
  <c r="AY1148" i="1"/>
  <c r="BE1147" i="1"/>
  <c r="BA1147" i="1"/>
  <c r="AZ1147" i="1"/>
  <c r="AY1147" i="1"/>
  <c r="BE1146" i="1"/>
  <c r="BA1146" i="1"/>
  <c r="AZ1146" i="1"/>
  <c r="AY1146" i="1"/>
  <c r="BE1145" i="1"/>
  <c r="BA1145" i="1"/>
  <c r="AZ1145" i="1"/>
  <c r="AY1145" i="1"/>
  <c r="AI1151" i="1"/>
  <c r="AC1151" i="1" s="1"/>
  <c r="AI1150" i="1"/>
  <c r="AC1150" i="1" s="1"/>
  <c r="M1150" i="1" s="1"/>
  <c r="AI1149" i="1"/>
  <c r="AC1149" i="1" s="1"/>
  <c r="AI1148" i="1"/>
  <c r="AC1148" i="1" s="1"/>
  <c r="M1148" i="1" s="1"/>
  <c r="AI1147" i="1"/>
  <c r="AC1147" i="1" s="1"/>
  <c r="AI1146" i="1"/>
  <c r="AC1146" i="1" s="1"/>
  <c r="AI1145" i="1"/>
  <c r="AC1145" i="1" s="1"/>
  <c r="Q1151" i="1"/>
  <c r="Q1150" i="1"/>
  <c r="Q1149" i="1"/>
  <c r="Q1148" i="1"/>
  <c r="Q1147" i="1"/>
  <c r="Q1146" i="1"/>
  <c r="Q1145" i="1"/>
  <c r="J1151" i="1"/>
  <c r="J1150" i="1"/>
  <c r="J1149" i="1"/>
  <c r="J1148" i="1"/>
  <c r="J1147" i="1"/>
  <c r="J1146" i="1"/>
  <c r="J1145" i="1"/>
  <c r="F1151" i="3" l="1"/>
  <c r="M1152" i="1"/>
  <c r="M1146" i="1"/>
  <c r="F1155" i="3"/>
  <c r="F1153" i="3"/>
  <c r="G1152" i="3"/>
  <c r="G1156" i="3"/>
  <c r="G1150" i="3"/>
  <c r="C1146" i="1"/>
  <c r="C1150" i="1"/>
  <c r="D1157" i="3"/>
  <c r="F1157" i="3" s="1"/>
  <c r="C1148" i="1"/>
  <c r="G1154" i="3"/>
  <c r="G1151" i="3"/>
  <c r="G1153" i="3"/>
  <c r="G1155" i="3"/>
  <c r="G1157" i="3"/>
  <c r="M1145" i="1"/>
  <c r="M1147" i="1"/>
  <c r="M1149" i="1"/>
  <c r="M1151" i="1"/>
  <c r="D1150" i="3"/>
  <c r="D1152" i="3"/>
  <c r="D1154" i="3"/>
  <c r="D1156" i="3"/>
  <c r="E1143" i="15"/>
  <c r="E1142" i="15"/>
  <c r="E1141" i="15"/>
  <c r="E1140" i="15"/>
  <c r="E1139" i="15"/>
  <c r="E1138" i="15"/>
  <c r="E1137" i="15"/>
  <c r="E1136" i="15"/>
  <c r="E1135" i="15"/>
  <c r="E1134" i="15"/>
  <c r="E1133" i="15"/>
  <c r="E1132" i="15"/>
  <c r="E1131" i="15"/>
  <c r="E1130" i="15"/>
  <c r="E1129" i="15"/>
  <c r="E1128" i="15"/>
  <c r="E1127" i="15"/>
  <c r="E1126" i="15"/>
  <c r="E1125" i="15"/>
  <c r="E1124" i="15"/>
  <c r="E1123" i="15"/>
  <c r="E1122" i="15"/>
  <c r="E1121" i="15"/>
  <c r="E1120" i="15"/>
  <c r="E1119" i="15"/>
  <c r="E1118" i="15"/>
  <c r="E1117" i="15"/>
  <c r="E1116" i="15"/>
  <c r="E1115" i="15"/>
  <c r="E1114" i="15"/>
  <c r="E1113" i="15"/>
  <c r="E1112" i="15"/>
  <c r="E1111" i="15"/>
  <c r="E1110" i="15"/>
  <c r="E1109" i="15"/>
  <c r="E1108" i="15"/>
  <c r="E1107" i="15"/>
  <c r="E1106" i="15"/>
  <c r="E1105" i="15"/>
  <c r="E1104" i="15"/>
  <c r="E1103" i="15"/>
  <c r="E1102" i="15"/>
  <c r="E1101" i="15"/>
  <c r="E1100" i="15"/>
  <c r="E1099" i="15"/>
  <c r="E1098" i="15"/>
  <c r="E1097" i="15"/>
  <c r="E1096" i="15"/>
  <c r="E1095" i="15"/>
  <c r="E1094" i="15"/>
  <c r="E1093" i="15"/>
  <c r="E1092" i="15"/>
  <c r="E1091" i="15"/>
  <c r="E1090" i="15"/>
  <c r="E1089" i="15"/>
  <c r="E1088" i="15"/>
  <c r="E1087" i="15"/>
  <c r="E1086" i="15"/>
  <c r="E1085" i="15"/>
  <c r="E1084" i="15"/>
  <c r="E1083" i="15"/>
  <c r="E1082" i="15"/>
  <c r="E1081" i="15"/>
  <c r="E1080" i="15"/>
  <c r="E1079" i="15"/>
  <c r="E1078" i="15"/>
  <c r="E1077" i="15"/>
  <c r="E1076" i="15"/>
  <c r="E1075" i="15"/>
  <c r="E1074" i="15"/>
  <c r="E1073" i="15"/>
  <c r="E1072" i="15"/>
  <c r="E1071" i="15"/>
  <c r="E1070" i="15"/>
  <c r="E1069" i="15"/>
  <c r="E1068" i="15"/>
  <c r="E1067" i="15"/>
  <c r="E1066" i="15"/>
  <c r="E1065" i="15"/>
  <c r="E1064" i="15"/>
  <c r="E1063" i="15"/>
  <c r="E1062" i="15"/>
  <c r="E1061" i="15"/>
  <c r="E1060" i="15"/>
  <c r="E1059" i="15"/>
  <c r="E1058" i="15"/>
  <c r="E1057" i="15"/>
  <c r="E1056" i="15"/>
  <c r="E1055" i="15"/>
  <c r="E1054" i="15"/>
  <c r="E1053" i="15"/>
  <c r="E1052" i="15"/>
  <c r="E1051" i="15"/>
  <c r="E1050" i="15"/>
  <c r="E1049" i="15"/>
  <c r="E1048" i="15"/>
  <c r="E1047" i="15"/>
  <c r="E1046" i="15"/>
  <c r="E1045" i="15"/>
  <c r="E1044" i="15"/>
  <c r="E1043" i="15"/>
  <c r="E1042" i="15"/>
  <c r="E1041" i="15"/>
  <c r="E1040" i="15"/>
  <c r="E1039" i="15"/>
  <c r="E1038" i="15"/>
  <c r="E1037" i="15"/>
  <c r="E1036" i="15"/>
  <c r="E1035" i="15"/>
  <c r="E1034" i="15"/>
  <c r="E1033" i="15"/>
  <c r="E1032" i="15"/>
  <c r="E1031" i="15"/>
  <c r="E1030" i="15"/>
  <c r="E1029" i="15"/>
  <c r="E1028" i="15"/>
  <c r="E1027" i="15"/>
  <c r="E1026" i="15"/>
  <c r="E1025" i="15"/>
  <c r="E1024" i="15"/>
  <c r="E1023" i="15"/>
  <c r="E1022" i="15"/>
  <c r="E1021" i="15"/>
  <c r="E1020" i="15"/>
  <c r="E1019" i="15"/>
  <c r="E1018" i="15"/>
  <c r="E1017" i="15"/>
  <c r="E1016" i="15"/>
  <c r="E1015" i="15"/>
  <c r="E1014" i="15"/>
  <c r="E1013" i="15"/>
  <c r="E1012" i="15"/>
  <c r="E1011" i="15"/>
  <c r="E1010" i="15"/>
  <c r="E1009" i="15"/>
  <c r="E1008" i="15"/>
  <c r="E1007" i="15"/>
  <c r="E1006" i="15"/>
  <c r="E1005" i="15"/>
  <c r="E1004" i="15"/>
  <c r="E1003" i="15"/>
  <c r="E1002" i="15"/>
  <c r="E1001" i="15"/>
  <c r="E1000" i="15"/>
  <c r="E999" i="15"/>
  <c r="E998" i="15"/>
  <c r="E997" i="15"/>
  <c r="E996" i="15"/>
  <c r="E995" i="15"/>
  <c r="E994" i="15"/>
  <c r="E993" i="15"/>
  <c r="E992" i="15"/>
  <c r="E991" i="15"/>
  <c r="E990" i="15"/>
  <c r="E989" i="15"/>
  <c r="E988" i="15"/>
  <c r="E987" i="15"/>
  <c r="E986" i="15"/>
  <c r="E985" i="15"/>
  <c r="E984" i="15"/>
  <c r="E983" i="15"/>
  <c r="E982" i="15"/>
  <c r="E981" i="15"/>
  <c r="E980" i="15"/>
  <c r="E979" i="15"/>
  <c r="E978" i="15"/>
  <c r="E977" i="15"/>
  <c r="E976" i="15"/>
  <c r="E975" i="15"/>
  <c r="E974" i="15"/>
  <c r="E973" i="15"/>
  <c r="E972" i="15"/>
  <c r="E971" i="15"/>
  <c r="E970" i="15"/>
  <c r="E969" i="15"/>
  <c r="E968" i="15"/>
  <c r="E967" i="15"/>
  <c r="E966" i="15"/>
  <c r="E965" i="15"/>
  <c r="E964" i="15"/>
  <c r="E963" i="15"/>
  <c r="E962" i="15"/>
  <c r="E961" i="15"/>
  <c r="E960" i="15"/>
  <c r="E959" i="15"/>
  <c r="E958" i="15"/>
  <c r="E957" i="15"/>
  <c r="E956" i="15"/>
  <c r="E955" i="15"/>
  <c r="E954" i="15"/>
  <c r="E953" i="15"/>
  <c r="E952" i="15"/>
  <c r="E951" i="15"/>
  <c r="E950" i="15"/>
  <c r="E949" i="15"/>
  <c r="E948" i="15"/>
  <c r="E947" i="15"/>
  <c r="E946" i="15"/>
  <c r="E945" i="15"/>
  <c r="E944" i="15"/>
  <c r="E943" i="15"/>
  <c r="E942" i="15"/>
  <c r="E941" i="15"/>
  <c r="E940" i="15"/>
  <c r="E939" i="15"/>
  <c r="E938" i="15"/>
  <c r="E937" i="15"/>
  <c r="E936" i="15"/>
  <c r="E935" i="15"/>
  <c r="E934" i="15"/>
  <c r="E933" i="15"/>
  <c r="E932" i="15"/>
  <c r="E931" i="15"/>
  <c r="E930" i="15"/>
  <c r="E929" i="15"/>
  <c r="E928" i="15"/>
  <c r="E927" i="15"/>
  <c r="E926" i="15"/>
  <c r="E925" i="15"/>
  <c r="E924" i="15"/>
  <c r="E923" i="15"/>
  <c r="E922" i="15"/>
  <c r="E921" i="15"/>
  <c r="E920" i="15"/>
  <c r="E919" i="15"/>
  <c r="E918" i="15"/>
  <c r="E917" i="15"/>
  <c r="E916" i="15"/>
  <c r="E915" i="15"/>
  <c r="E914" i="15"/>
  <c r="E913" i="15"/>
  <c r="E912" i="15"/>
  <c r="E911" i="15"/>
  <c r="E910" i="15"/>
  <c r="E909" i="15"/>
  <c r="E908" i="15"/>
  <c r="E907" i="15"/>
  <c r="E906" i="15"/>
  <c r="E905" i="15"/>
  <c r="E904" i="15"/>
  <c r="E903" i="15"/>
  <c r="E902" i="15"/>
  <c r="E901" i="15"/>
  <c r="E900" i="15"/>
  <c r="E899" i="15"/>
  <c r="E898" i="15"/>
  <c r="E897" i="15"/>
  <c r="E896" i="15"/>
  <c r="E895" i="15"/>
  <c r="E894" i="15"/>
  <c r="E893" i="15"/>
  <c r="E892" i="15"/>
  <c r="E891" i="15"/>
  <c r="E890" i="15"/>
  <c r="E889" i="15"/>
  <c r="E888" i="15"/>
  <c r="E887" i="15"/>
  <c r="E886" i="15"/>
  <c r="E885" i="15"/>
  <c r="E884" i="15"/>
  <c r="E883" i="15"/>
  <c r="E882" i="15"/>
  <c r="E881" i="15"/>
  <c r="E880" i="15"/>
  <c r="E879" i="15"/>
  <c r="E878" i="15"/>
  <c r="E877" i="15"/>
  <c r="E876" i="15"/>
  <c r="E875" i="15"/>
  <c r="E874" i="15"/>
  <c r="E873" i="15"/>
  <c r="E872" i="15"/>
  <c r="E871" i="15"/>
  <c r="E870" i="15"/>
  <c r="E869" i="15"/>
  <c r="E868" i="15"/>
  <c r="E867" i="15"/>
  <c r="E866" i="15"/>
  <c r="E865" i="15"/>
  <c r="E864" i="15"/>
  <c r="E863" i="15"/>
  <c r="E862" i="15"/>
  <c r="E861" i="15"/>
  <c r="E860" i="15"/>
  <c r="E859" i="15"/>
  <c r="E858" i="15"/>
  <c r="E857" i="15"/>
  <c r="E856" i="15"/>
  <c r="E855" i="15"/>
  <c r="E854" i="15"/>
  <c r="E853" i="15"/>
  <c r="E852" i="15"/>
  <c r="E851" i="15"/>
  <c r="E850" i="15"/>
  <c r="E849" i="15"/>
  <c r="E848" i="15"/>
  <c r="E847" i="15"/>
  <c r="E846" i="15"/>
  <c r="E845" i="15"/>
  <c r="E844" i="15"/>
  <c r="E843" i="15"/>
  <c r="E842" i="15"/>
  <c r="E841" i="15"/>
  <c r="E840" i="15"/>
  <c r="E839" i="15"/>
  <c r="E838" i="15"/>
  <c r="E837" i="15"/>
  <c r="E836" i="15"/>
  <c r="E835" i="15"/>
  <c r="E834" i="15"/>
  <c r="E833" i="15"/>
  <c r="E832" i="15"/>
  <c r="E831" i="15"/>
  <c r="E830" i="15"/>
  <c r="E829" i="15"/>
  <c r="E828" i="15"/>
  <c r="E827" i="15"/>
  <c r="E826" i="15"/>
  <c r="E825" i="15"/>
  <c r="E824" i="15"/>
  <c r="E823" i="15"/>
  <c r="E822" i="15"/>
  <c r="E821" i="15"/>
  <c r="E820" i="15"/>
  <c r="E819" i="15"/>
  <c r="E818" i="15"/>
  <c r="E817" i="15"/>
  <c r="E816" i="15"/>
  <c r="E815" i="15"/>
  <c r="E814" i="15"/>
  <c r="E813" i="15"/>
  <c r="E812" i="15"/>
  <c r="E811" i="15"/>
  <c r="E810" i="15"/>
  <c r="E809" i="15"/>
  <c r="E808" i="15"/>
  <c r="E807" i="15"/>
  <c r="E806" i="15"/>
  <c r="E805" i="15"/>
  <c r="E804" i="15"/>
  <c r="E803" i="15"/>
  <c r="E802" i="15"/>
  <c r="E801" i="15"/>
  <c r="E800" i="15"/>
  <c r="E799" i="15"/>
  <c r="E798" i="15"/>
  <c r="E797" i="15"/>
  <c r="E796" i="15"/>
  <c r="E795" i="15"/>
  <c r="E794" i="15"/>
  <c r="E793" i="15"/>
  <c r="E792" i="15"/>
  <c r="E791" i="15"/>
  <c r="E790" i="15"/>
  <c r="E789" i="15"/>
  <c r="E788" i="15"/>
  <c r="E787" i="15"/>
  <c r="E786" i="15"/>
  <c r="E785" i="15"/>
  <c r="E784" i="15"/>
  <c r="E783" i="15"/>
  <c r="E782" i="15"/>
  <c r="E781" i="15"/>
  <c r="E780" i="15"/>
  <c r="E779" i="15"/>
  <c r="E778" i="15"/>
  <c r="E777" i="15"/>
  <c r="E776" i="15"/>
  <c r="E775" i="15"/>
  <c r="E774" i="15"/>
  <c r="E773" i="15"/>
  <c r="E772" i="15"/>
  <c r="E771" i="15"/>
  <c r="E770" i="15"/>
  <c r="E769" i="15"/>
  <c r="E768" i="15"/>
  <c r="E767" i="15"/>
  <c r="E766" i="15"/>
  <c r="E765" i="15"/>
  <c r="E764" i="15"/>
  <c r="E763" i="15"/>
  <c r="E762" i="15"/>
  <c r="E761" i="15"/>
  <c r="E760" i="15"/>
  <c r="E759" i="15"/>
  <c r="E758" i="15"/>
  <c r="E757" i="15"/>
  <c r="E756" i="15"/>
  <c r="E755" i="15"/>
  <c r="E754" i="15"/>
  <c r="E753" i="15"/>
  <c r="E752" i="15"/>
  <c r="E751" i="15"/>
  <c r="E750" i="15"/>
  <c r="E749" i="15"/>
  <c r="E748" i="15"/>
  <c r="E747" i="15"/>
  <c r="E746" i="15"/>
  <c r="E745" i="15"/>
  <c r="E744" i="15"/>
  <c r="E743" i="15"/>
  <c r="E742" i="15"/>
  <c r="E741" i="15"/>
  <c r="E740" i="15"/>
  <c r="E739" i="15"/>
  <c r="E738" i="15"/>
  <c r="E737" i="15"/>
  <c r="E736" i="15"/>
  <c r="E735" i="15"/>
  <c r="E734" i="15"/>
  <c r="E733" i="15"/>
  <c r="E732" i="15"/>
  <c r="E731" i="15"/>
  <c r="E730" i="15"/>
  <c r="E729" i="15"/>
  <c r="E728" i="15"/>
  <c r="E727" i="15"/>
  <c r="E726" i="15"/>
  <c r="E725" i="15"/>
  <c r="E724" i="15"/>
  <c r="E723" i="15"/>
  <c r="E722" i="15"/>
  <c r="E721" i="15"/>
  <c r="E720" i="15"/>
  <c r="E719" i="15"/>
  <c r="E718" i="15"/>
  <c r="E717" i="15"/>
  <c r="E716" i="15"/>
  <c r="E715" i="15"/>
  <c r="E714" i="15"/>
  <c r="E713" i="15"/>
  <c r="E712" i="15"/>
  <c r="E711" i="15"/>
  <c r="E710" i="15"/>
  <c r="E709" i="15"/>
  <c r="E708" i="15"/>
  <c r="E707" i="15"/>
  <c r="E706" i="15"/>
  <c r="E705" i="15"/>
  <c r="E704" i="15"/>
  <c r="E703" i="15"/>
  <c r="E702" i="15"/>
  <c r="E701" i="15"/>
  <c r="E700" i="15"/>
  <c r="E699" i="15"/>
  <c r="E698" i="15"/>
  <c r="E697" i="15"/>
  <c r="E696" i="15"/>
  <c r="E695" i="15"/>
  <c r="E694" i="15"/>
  <c r="E693" i="15"/>
  <c r="E692" i="15"/>
  <c r="E691" i="15"/>
  <c r="E690" i="15"/>
  <c r="E689" i="15"/>
  <c r="E688" i="15"/>
  <c r="E687" i="15"/>
  <c r="E686" i="15"/>
  <c r="E685" i="15"/>
  <c r="E684" i="15"/>
  <c r="E683" i="15"/>
  <c r="E682" i="15"/>
  <c r="E681" i="15"/>
  <c r="E680" i="15"/>
  <c r="E679" i="15"/>
  <c r="E678" i="15"/>
  <c r="E677" i="15"/>
  <c r="E676" i="15"/>
  <c r="E675" i="15"/>
  <c r="E674" i="15"/>
  <c r="E673" i="15"/>
  <c r="E672" i="15"/>
  <c r="E671" i="15"/>
  <c r="E670" i="15"/>
  <c r="E669" i="15"/>
  <c r="E668" i="15"/>
  <c r="E667" i="15"/>
  <c r="E666" i="15"/>
  <c r="E665" i="15"/>
  <c r="E664" i="15"/>
  <c r="E663" i="15"/>
  <c r="E662" i="15"/>
  <c r="E661" i="15"/>
  <c r="E660" i="15"/>
  <c r="E659" i="15"/>
  <c r="E658" i="15"/>
  <c r="E657" i="15"/>
  <c r="E656" i="15"/>
  <c r="E655" i="15"/>
  <c r="E654" i="15"/>
  <c r="E653" i="15"/>
  <c r="E652" i="15"/>
  <c r="E651" i="15"/>
  <c r="E650" i="15"/>
  <c r="E649" i="15"/>
  <c r="E648" i="15"/>
  <c r="E647" i="15"/>
  <c r="E646" i="15"/>
  <c r="E645" i="15"/>
  <c r="E644" i="15"/>
  <c r="E643" i="15"/>
  <c r="E642" i="15"/>
  <c r="E641" i="15"/>
  <c r="E640" i="15"/>
  <c r="E639" i="15"/>
  <c r="E638" i="15"/>
  <c r="E637" i="15"/>
  <c r="E636" i="15"/>
  <c r="E635" i="15"/>
  <c r="E634" i="15"/>
  <c r="E633" i="15"/>
  <c r="E632" i="15"/>
  <c r="E631" i="15"/>
  <c r="E630" i="15"/>
  <c r="E629" i="15"/>
  <c r="E628" i="15"/>
  <c r="E627" i="15"/>
  <c r="E626" i="15"/>
  <c r="E625" i="15"/>
  <c r="E624" i="15"/>
  <c r="E623" i="15"/>
  <c r="E622" i="15"/>
  <c r="E621" i="15"/>
  <c r="E620" i="15"/>
  <c r="E619" i="15"/>
  <c r="E618" i="15"/>
  <c r="E617" i="15"/>
  <c r="E616" i="15"/>
  <c r="E615" i="15"/>
  <c r="E614" i="15"/>
  <c r="E613" i="15"/>
  <c r="E612" i="15"/>
  <c r="E611" i="15"/>
  <c r="E610" i="15"/>
  <c r="E609" i="15"/>
  <c r="E608" i="15"/>
  <c r="E607" i="15"/>
  <c r="E606" i="15"/>
  <c r="E605" i="15"/>
  <c r="E604" i="15"/>
  <c r="E603" i="15"/>
  <c r="E602" i="15"/>
  <c r="E601" i="15"/>
  <c r="E600" i="15"/>
  <c r="E599" i="15"/>
  <c r="E598" i="15"/>
  <c r="E597" i="15"/>
  <c r="E596" i="15"/>
  <c r="E595" i="15"/>
  <c r="E594" i="15"/>
  <c r="E593" i="15"/>
  <c r="E592" i="15"/>
  <c r="E591" i="15"/>
  <c r="E590" i="15"/>
  <c r="E589" i="15"/>
  <c r="E588" i="15"/>
  <c r="E587" i="15"/>
  <c r="E586" i="15"/>
  <c r="E585" i="15"/>
  <c r="E584" i="15"/>
  <c r="E583" i="15"/>
  <c r="E582" i="15"/>
  <c r="E581" i="15"/>
  <c r="E580" i="15"/>
  <c r="E579" i="15"/>
  <c r="E578" i="15"/>
  <c r="E577" i="15"/>
  <c r="E576" i="15"/>
  <c r="E575" i="15"/>
  <c r="E574" i="15"/>
  <c r="E573" i="15"/>
  <c r="E572" i="15"/>
  <c r="E571" i="15"/>
  <c r="E570" i="15"/>
  <c r="E569" i="15"/>
  <c r="E568" i="15"/>
  <c r="E567" i="15"/>
  <c r="E566" i="15"/>
  <c r="E565" i="15"/>
  <c r="E564" i="15"/>
  <c r="E563" i="15"/>
  <c r="E562" i="15"/>
  <c r="E561" i="15"/>
  <c r="E560" i="15"/>
  <c r="E559" i="15"/>
  <c r="E558" i="15"/>
  <c r="E557" i="15"/>
  <c r="E556" i="15"/>
  <c r="E555" i="15"/>
  <c r="E554" i="15"/>
  <c r="E553" i="15"/>
  <c r="E552" i="15"/>
  <c r="E551" i="15"/>
  <c r="E550" i="15"/>
  <c r="E549" i="15"/>
  <c r="E548" i="15"/>
  <c r="E547" i="15"/>
  <c r="E546" i="15"/>
  <c r="E545" i="15"/>
  <c r="E544" i="15"/>
  <c r="E543" i="15"/>
  <c r="E542" i="15"/>
  <c r="E541" i="15"/>
  <c r="E540" i="15"/>
  <c r="E539" i="15"/>
  <c r="E538" i="15"/>
  <c r="E537" i="15"/>
  <c r="E536" i="15"/>
  <c r="E535" i="15"/>
  <c r="E534" i="15"/>
  <c r="E533" i="15"/>
  <c r="E532" i="15"/>
  <c r="E531" i="15"/>
  <c r="E530" i="15"/>
  <c r="E529" i="15"/>
  <c r="E528" i="15"/>
  <c r="E527" i="15"/>
  <c r="E526" i="15"/>
  <c r="E525" i="15"/>
  <c r="E524" i="15"/>
  <c r="E523" i="15"/>
  <c r="E522" i="15"/>
  <c r="E521" i="15"/>
  <c r="E520" i="15"/>
  <c r="E519" i="15"/>
  <c r="E518" i="15"/>
  <c r="E517" i="15"/>
  <c r="E516" i="15"/>
  <c r="E515" i="15"/>
  <c r="E514" i="15"/>
  <c r="E513" i="15"/>
  <c r="E512" i="15"/>
  <c r="E511" i="15"/>
  <c r="E510" i="15"/>
  <c r="E509" i="15"/>
  <c r="E508" i="15"/>
  <c r="E507" i="15"/>
  <c r="E506" i="15"/>
  <c r="E505" i="15"/>
  <c r="E504" i="15"/>
  <c r="E503" i="15"/>
  <c r="E502" i="15"/>
  <c r="E501" i="15"/>
  <c r="E500" i="15"/>
  <c r="E499" i="15"/>
  <c r="E498" i="15"/>
  <c r="E497" i="15"/>
  <c r="E496" i="15"/>
  <c r="E495" i="15"/>
  <c r="E494" i="15"/>
  <c r="E493" i="15"/>
  <c r="E492" i="15"/>
  <c r="E491" i="15"/>
  <c r="E490" i="15"/>
  <c r="E489" i="15"/>
  <c r="E488" i="15"/>
  <c r="E487" i="15"/>
  <c r="E486" i="15"/>
  <c r="E485" i="15"/>
  <c r="E484" i="15"/>
  <c r="E483" i="15"/>
  <c r="E482" i="15"/>
  <c r="E481" i="15"/>
  <c r="E480" i="15"/>
  <c r="E479" i="15"/>
  <c r="E478" i="15"/>
  <c r="E477" i="15"/>
  <c r="E476" i="15"/>
  <c r="E475" i="15"/>
  <c r="E474" i="15"/>
  <c r="E473" i="15"/>
  <c r="E472" i="15"/>
  <c r="E471" i="15"/>
  <c r="E470" i="15"/>
  <c r="E469" i="15"/>
  <c r="E468" i="15"/>
  <c r="E467" i="15"/>
  <c r="E466" i="15"/>
  <c r="E465" i="15"/>
  <c r="E464" i="15"/>
  <c r="E463" i="15"/>
  <c r="E462" i="15"/>
  <c r="E461" i="15"/>
  <c r="E460" i="15"/>
  <c r="E459" i="15"/>
  <c r="E458" i="15"/>
  <c r="E457" i="15"/>
  <c r="E456" i="15"/>
  <c r="E455" i="15"/>
  <c r="E454" i="15"/>
  <c r="E453" i="15"/>
  <c r="E452" i="15"/>
  <c r="E451" i="15"/>
  <c r="E450" i="15"/>
  <c r="E449" i="15"/>
  <c r="E448" i="15"/>
  <c r="E447" i="15"/>
  <c r="E446" i="15"/>
  <c r="E445" i="15"/>
  <c r="E444" i="15"/>
  <c r="E443" i="15"/>
  <c r="E442" i="15"/>
  <c r="E441" i="15"/>
  <c r="E440" i="15"/>
  <c r="E439" i="15"/>
  <c r="E438" i="15"/>
  <c r="E437" i="15"/>
  <c r="E436" i="15"/>
  <c r="E435" i="15"/>
  <c r="E434" i="15"/>
  <c r="E433" i="15"/>
  <c r="E432" i="15"/>
  <c r="E431" i="15"/>
  <c r="E430" i="15"/>
  <c r="E429" i="15"/>
  <c r="E428" i="15"/>
  <c r="E427" i="15"/>
  <c r="E426" i="15"/>
  <c r="E425" i="15"/>
  <c r="E424" i="15"/>
  <c r="E423" i="15"/>
  <c r="E422" i="15"/>
  <c r="E421" i="15"/>
  <c r="E420" i="15"/>
  <c r="E419" i="15"/>
  <c r="E418" i="15"/>
  <c r="E417" i="15"/>
  <c r="E416" i="15"/>
  <c r="E415" i="15"/>
  <c r="E414" i="15"/>
  <c r="E413" i="15"/>
  <c r="E412" i="15"/>
  <c r="E411" i="15"/>
  <c r="E410" i="15"/>
  <c r="E409" i="15"/>
  <c r="E408" i="15"/>
  <c r="E407" i="15"/>
  <c r="E406" i="15"/>
  <c r="E405" i="15"/>
  <c r="E404" i="15"/>
  <c r="E403" i="15"/>
  <c r="E402" i="15"/>
  <c r="E401" i="15"/>
  <c r="E400" i="15"/>
  <c r="E399" i="15"/>
  <c r="E398" i="15"/>
  <c r="E397" i="15"/>
  <c r="E396" i="15"/>
  <c r="E395" i="15"/>
  <c r="E394" i="15"/>
  <c r="E393" i="15"/>
  <c r="E392" i="15"/>
  <c r="E391" i="15"/>
  <c r="E390" i="15"/>
  <c r="E389" i="15"/>
  <c r="E388" i="15"/>
  <c r="E387" i="15"/>
  <c r="E386" i="15"/>
  <c r="E385" i="15"/>
  <c r="E384" i="15"/>
  <c r="E383" i="15"/>
  <c r="E382" i="15"/>
  <c r="E381" i="15"/>
  <c r="E380" i="15"/>
  <c r="E379" i="15"/>
  <c r="E378" i="15"/>
  <c r="E377" i="15"/>
  <c r="E376" i="15"/>
  <c r="E375" i="15"/>
  <c r="E374" i="15"/>
  <c r="E373" i="15"/>
  <c r="E372" i="15"/>
  <c r="E371" i="15"/>
  <c r="E370" i="15"/>
  <c r="E369" i="15"/>
  <c r="E368" i="15"/>
  <c r="E367" i="15"/>
  <c r="E366" i="15"/>
  <c r="E365" i="15"/>
  <c r="E364" i="15"/>
  <c r="E363" i="15"/>
  <c r="E362" i="15"/>
  <c r="E361" i="15"/>
  <c r="E360" i="15"/>
  <c r="E359" i="15"/>
  <c r="E358" i="15"/>
  <c r="E357" i="15"/>
  <c r="E356" i="15"/>
  <c r="E355" i="15"/>
  <c r="E354" i="15"/>
  <c r="E353" i="15"/>
  <c r="E352" i="15"/>
  <c r="E351" i="15"/>
  <c r="E350" i="15"/>
  <c r="E349" i="15"/>
  <c r="E348" i="15"/>
  <c r="E347" i="15"/>
  <c r="E346" i="15"/>
  <c r="E345" i="15"/>
  <c r="E344" i="15"/>
  <c r="E343" i="15"/>
  <c r="E342" i="15"/>
  <c r="E341" i="15"/>
  <c r="E340" i="15"/>
  <c r="E339" i="15"/>
  <c r="E338" i="15"/>
  <c r="E337" i="15"/>
  <c r="E336" i="15"/>
  <c r="E335" i="15"/>
  <c r="E334" i="15"/>
  <c r="E333" i="15"/>
  <c r="E332" i="15"/>
  <c r="E331" i="15"/>
  <c r="E330" i="15"/>
  <c r="E329" i="15"/>
  <c r="E328" i="15"/>
  <c r="E327" i="15"/>
  <c r="E326" i="15"/>
  <c r="E325" i="15"/>
  <c r="E324" i="15"/>
  <c r="E323" i="15"/>
  <c r="E322" i="15"/>
  <c r="E321" i="15"/>
  <c r="E320" i="15"/>
  <c r="E319" i="15"/>
  <c r="E318" i="15"/>
  <c r="E317" i="15"/>
  <c r="E316" i="15"/>
  <c r="E315" i="15"/>
  <c r="E314" i="15"/>
  <c r="E313" i="15"/>
  <c r="E312" i="15"/>
  <c r="E311" i="15"/>
  <c r="E310" i="15"/>
  <c r="E309" i="15"/>
  <c r="E308" i="15"/>
  <c r="E307" i="15"/>
  <c r="E306" i="15"/>
  <c r="E305" i="15"/>
  <c r="E304" i="15"/>
  <c r="E303" i="15"/>
  <c r="E302" i="15"/>
  <c r="E301" i="15"/>
  <c r="E300" i="15"/>
  <c r="E299" i="15"/>
  <c r="E298" i="15"/>
  <c r="E297" i="15"/>
  <c r="E296" i="15"/>
  <c r="E295" i="15"/>
  <c r="E294" i="15"/>
  <c r="E293" i="15"/>
  <c r="E292" i="15"/>
  <c r="E291" i="15"/>
  <c r="E290" i="15"/>
  <c r="E289" i="15"/>
  <c r="E288" i="15"/>
  <c r="E287" i="15"/>
  <c r="E286" i="15"/>
  <c r="E285" i="15"/>
  <c r="E284" i="15"/>
  <c r="E283" i="15"/>
  <c r="E282" i="15"/>
  <c r="E281" i="15"/>
  <c r="E280" i="15"/>
  <c r="E279" i="15"/>
  <c r="E278" i="15"/>
  <c r="E277" i="15"/>
  <c r="E276" i="15"/>
  <c r="E275" i="15"/>
  <c r="E274" i="15"/>
  <c r="E273" i="15"/>
  <c r="E272" i="15"/>
  <c r="E271" i="15"/>
  <c r="E270" i="15"/>
  <c r="E269" i="15"/>
  <c r="E268" i="15"/>
  <c r="E267" i="15"/>
  <c r="E266" i="15"/>
  <c r="E265" i="15"/>
  <c r="E264" i="15"/>
  <c r="E263" i="15"/>
  <c r="E262" i="15"/>
  <c r="E261" i="15"/>
  <c r="E260" i="15"/>
  <c r="E259" i="15"/>
  <c r="E258" i="15"/>
  <c r="E257" i="15"/>
  <c r="E256" i="15"/>
  <c r="E255" i="15"/>
  <c r="E254" i="15"/>
  <c r="E253" i="15"/>
  <c r="E252" i="15"/>
  <c r="E251" i="15"/>
  <c r="E250" i="15"/>
  <c r="E249" i="15"/>
  <c r="E248" i="15"/>
  <c r="E247" i="15"/>
  <c r="E246" i="15"/>
  <c r="E245" i="15"/>
  <c r="E244" i="15"/>
  <c r="E243" i="15"/>
  <c r="E242" i="15"/>
  <c r="E241" i="15"/>
  <c r="E240" i="15"/>
  <c r="E239" i="15"/>
  <c r="E238" i="15"/>
  <c r="E237" i="15"/>
  <c r="E236" i="15"/>
  <c r="E235" i="15"/>
  <c r="E234" i="15"/>
  <c r="E233" i="15"/>
  <c r="E232" i="15"/>
  <c r="E231" i="15"/>
  <c r="E230" i="15"/>
  <c r="E229" i="15"/>
  <c r="E228" i="15"/>
  <c r="E227" i="15"/>
  <c r="E226" i="15"/>
  <c r="E225" i="15"/>
  <c r="E224" i="15"/>
  <c r="E223" i="15"/>
  <c r="E222" i="15"/>
  <c r="E221" i="15"/>
  <c r="E220" i="15"/>
  <c r="E219" i="15"/>
  <c r="E218" i="15"/>
  <c r="E217" i="15"/>
  <c r="E216" i="15"/>
  <c r="E215" i="15"/>
  <c r="E214" i="15"/>
  <c r="E213" i="15"/>
  <c r="E212" i="15"/>
  <c r="E211" i="15"/>
  <c r="E210" i="15"/>
  <c r="E209" i="15"/>
  <c r="E208" i="15"/>
  <c r="E207" i="15"/>
  <c r="E206" i="15"/>
  <c r="E205" i="15"/>
  <c r="E204" i="15"/>
  <c r="E203" i="15"/>
  <c r="E202" i="15"/>
  <c r="E201" i="15"/>
  <c r="E200" i="15"/>
  <c r="E199" i="15"/>
  <c r="E198" i="15"/>
  <c r="E197" i="15"/>
  <c r="E196" i="15"/>
  <c r="E195" i="15"/>
  <c r="E194" i="15"/>
  <c r="E193" i="15"/>
  <c r="E192" i="15"/>
  <c r="E191" i="15"/>
  <c r="E190" i="15"/>
  <c r="E189" i="15"/>
  <c r="E188" i="15"/>
  <c r="E187" i="15"/>
  <c r="E186" i="15"/>
  <c r="E185" i="15"/>
  <c r="E184" i="15"/>
  <c r="E183" i="15"/>
  <c r="E182" i="15"/>
  <c r="E181" i="15"/>
  <c r="E180" i="15"/>
  <c r="E179" i="15"/>
  <c r="E178" i="15"/>
  <c r="E177" i="15"/>
  <c r="E176" i="15"/>
  <c r="E175" i="15"/>
  <c r="E174" i="15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E2" i="15"/>
  <c r="C1152" i="1" l="1"/>
  <c r="F1156" i="3"/>
  <c r="C1151" i="1"/>
  <c r="F1152" i="3"/>
  <c r="C1147" i="1"/>
  <c r="F1154" i="3"/>
  <c r="C1149" i="1"/>
  <c r="F1150" i="3"/>
  <c r="C1145" i="1"/>
  <c r="M4" i="15"/>
  <c r="M6" i="15"/>
  <c r="M8" i="15"/>
  <c r="M10" i="15"/>
  <c r="M12" i="15"/>
  <c r="M14" i="15"/>
  <c r="M16" i="15"/>
  <c r="M18" i="15"/>
  <c r="M20" i="15"/>
  <c r="M22" i="15"/>
  <c r="M24" i="15"/>
  <c r="M26" i="15"/>
  <c r="M28" i="15"/>
  <c r="M30" i="15"/>
  <c r="M32" i="15"/>
  <c r="M34" i="15"/>
  <c r="M36" i="15"/>
  <c r="M38" i="15"/>
  <c r="M40" i="15"/>
  <c r="M42" i="15"/>
  <c r="M44" i="15"/>
  <c r="M46" i="15"/>
  <c r="M48" i="15"/>
  <c r="M50" i="15"/>
  <c r="M52" i="15"/>
  <c r="M54" i="15"/>
  <c r="M56" i="15"/>
  <c r="M58" i="15"/>
  <c r="M60" i="15"/>
  <c r="M62" i="15"/>
  <c r="M64" i="15"/>
  <c r="M66" i="15"/>
  <c r="M68" i="15"/>
  <c r="M70" i="15"/>
  <c r="M72" i="15"/>
  <c r="M74" i="15"/>
  <c r="M76" i="15"/>
  <c r="M78" i="15"/>
  <c r="M80" i="15"/>
  <c r="M82" i="15"/>
  <c r="M84" i="15"/>
  <c r="M86" i="15"/>
  <c r="M88" i="15"/>
  <c r="M90" i="15"/>
  <c r="M92" i="15"/>
  <c r="M94" i="15"/>
  <c r="M96" i="15"/>
  <c r="M98" i="15"/>
  <c r="M100" i="15"/>
  <c r="M102" i="15"/>
  <c r="M104" i="15"/>
  <c r="M106" i="15"/>
  <c r="M108" i="15"/>
  <c r="M110" i="15"/>
  <c r="M112" i="15"/>
  <c r="M114" i="15"/>
  <c r="M116" i="15"/>
  <c r="M118" i="15"/>
  <c r="M120" i="15"/>
  <c r="M122" i="15"/>
  <c r="R123" i="15"/>
  <c r="P123" i="15"/>
  <c r="N123" i="15"/>
  <c r="Q122" i="15"/>
  <c r="O122" i="15"/>
  <c r="R121" i="15"/>
  <c r="P121" i="15"/>
  <c r="N121" i="15"/>
  <c r="Q120" i="15"/>
  <c r="O120" i="15"/>
  <c r="R119" i="15"/>
  <c r="P119" i="15"/>
  <c r="N119" i="15"/>
  <c r="Q118" i="15"/>
  <c r="O118" i="15"/>
  <c r="R117" i="15"/>
  <c r="P117" i="15"/>
  <c r="N117" i="15"/>
  <c r="Q116" i="15"/>
  <c r="O116" i="15"/>
  <c r="R115" i="15"/>
  <c r="P115" i="15"/>
  <c r="N115" i="15"/>
  <c r="Q114" i="15"/>
  <c r="O114" i="15"/>
  <c r="R113" i="15"/>
  <c r="P113" i="15"/>
  <c r="N113" i="15"/>
  <c r="Q112" i="15"/>
  <c r="O112" i="15"/>
  <c r="R111" i="15"/>
  <c r="P111" i="15"/>
  <c r="N111" i="15"/>
  <c r="Q110" i="15"/>
  <c r="O110" i="15"/>
  <c r="R109" i="15"/>
  <c r="P109" i="15"/>
  <c r="N109" i="15"/>
  <c r="Q108" i="15"/>
  <c r="O108" i="15"/>
  <c r="R107" i="15"/>
  <c r="P107" i="15"/>
  <c r="N107" i="15"/>
  <c r="Q106" i="15"/>
  <c r="O106" i="15"/>
  <c r="R105" i="15"/>
  <c r="P105" i="15"/>
  <c r="N105" i="15"/>
  <c r="Q104" i="15"/>
  <c r="O104" i="15"/>
  <c r="R103" i="15"/>
  <c r="P103" i="15"/>
  <c r="N103" i="15"/>
  <c r="Q102" i="15"/>
  <c r="O102" i="15"/>
  <c r="R101" i="15"/>
  <c r="P101" i="15"/>
  <c r="N101" i="15"/>
  <c r="Q100" i="15"/>
  <c r="O100" i="15"/>
  <c r="R99" i="15"/>
  <c r="P99" i="15"/>
  <c r="N99" i="15"/>
  <c r="Q98" i="15"/>
  <c r="O98" i="15"/>
  <c r="R97" i="15"/>
  <c r="P97" i="15"/>
  <c r="N97" i="15"/>
  <c r="Q96" i="15"/>
  <c r="O96" i="15"/>
  <c r="R95" i="15"/>
  <c r="P95" i="15"/>
  <c r="N95" i="15"/>
  <c r="Q94" i="15"/>
  <c r="O94" i="15"/>
  <c r="R93" i="15"/>
  <c r="P93" i="15"/>
  <c r="N93" i="15"/>
  <c r="Q92" i="15"/>
  <c r="O92" i="15"/>
  <c r="R91" i="15"/>
  <c r="P91" i="15"/>
  <c r="N91" i="15"/>
  <c r="Q90" i="15"/>
  <c r="O90" i="15"/>
  <c r="R89" i="15"/>
  <c r="P89" i="15"/>
  <c r="N89" i="15"/>
  <c r="Q88" i="15"/>
  <c r="M3" i="15"/>
  <c r="M5" i="15"/>
  <c r="M7" i="15"/>
  <c r="M9" i="15"/>
  <c r="M11" i="15"/>
  <c r="M13" i="15"/>
  <c r="M15" i="15"/>
  <c r="M17" i="15"/>
  <c r="M19" i="15"/>
  <c r="M21" i="15"/>
  <c r="M23" i="15"/>
  <c r="M25" i="15"/>
  <c r="M27" i="15"/>
  <c r="M29" i="15"/>
  <c r="M31" i="15"/>
  <c r="M33" i="15"/>
  <c r="M35" i="15"/>
  <c r="M37" i="15"/>
  <c r="M39" i="15"/>
  <c r="M41" i="15"/>
  <c r="M43" i="15"/>
  <c r="M45" i="15"/>
  <c r="M47" i="15"/>
  <c r="M49" i="15"/>
  <c r="M51" i="15"/>
  <c r="M53" i="15"/>
  <c r="M55" i="15"/>
  <c r="M57" i="15"/>
  <c r="M59" i="15"/>
  <c r="M61" i="15"/>
  <c r="M63" i="15"/>
  <c r="M65" i="15"/>
  <c r="M67" i="15"/>
  <c r="M69" i="15"/>
  <c r="M71" i="15"/>
  <c r="M73" i="15"/>
  <c r="M75" i="15"/>
  <c r="M77" i="15"/>
  <c r="M79" i="15"/>
  <c r="M81" i="15"/>
  <c r="M83" i="15"/>
  <c r="M85" i="15"/>
  <c r="M87" i="15"/>
  <c r="M89" i="15"/>
  <c r="M91" i="15"/>
  <c r="M93" i="15"/>
  <c r="M95" i="15"/>
  <c r="M97" i="15"/>
  <c r="M99" i="15"/>
  <c r="M101" i="15"/>
  <c r="M103" i="15"/>
  <c r="M105" i="15"/>
  <c r="M107" i="15"/>
  <c r="M109" i="15"/>
  <c r="M111" i="15"/>
  <c r="M113" i="15"/>
  <c r="M115" i="15"/>
  <c r="M117" i="15"/>
  <c r="M119" i="15"/>
  <c r="M121" i="15"/>
  <c r="M123" i="15"/>
  <c r="O3" i="15"/>
  <c r="Q3" i="15"/>
  <c r="N4" i="15"/>
  <c r="P4" i="15"/>
  <c r="R4" i="15"/>
  <c r="O5" i="15"/>
  <c r="Q5" i="15"/>
  <c r="N6" i="15"/>
  <c r="P6" i="15"/>
  <c r="R6" i="15"/>
  <c r="O7" i="15"/>
  <c r="Q7" i="15"/>
  <c r="N8" i="15"/>
  <c r="P8" i="15"/>
  <c r="R8" i="15"/>
  <c r="O9" i="15"/>
  <c r="Q9" i="15"/>
  <c r="N10" i="15"/>
  <c r="P10" i="15"/>
  <c r="R10" i="15"/>
  <c r="O11" i="15"/>
  <c r="Q11" i="15"/>
  <c r="N12" i="15"/>
  <c r="P12" i="15"/>
  <c r="R12" i="15"/>
  <c r="O13" i="15"/>
  <c r="Q13" i="15"/>
  <c r="N14" i="15"/>
  <c r="P14" i="15"/>
  <c r="R14" i="15"/>
  <c r="O15" i="15"/>
  <c r="Q15" i="15"/>
  <c r="N16" i="15"/>
  <c r="P16" i="15"/>
  <c r="R16" i="15"/>
  <c r="O17" i="15"/>
  <c r="Q17" i="15"/>
  <c r="N18" i="15"/>
  <c r="P18" i="15"/>
  <c r="R18" i="15"/>
  <c r="O19" i="15"/>
  <c r="Q19" i="15"/>
  <c r="N20" i="15"/>
  <c r="P20" i="15"/>
  <c r="R20" i="15"/>
  <c r="O21" i="15"/>
  <c r="Q21" i="15"/>
  <c r="N22" i="15"/>
  <c r="P22" i="15"/>
  <c r="R22" i="15"/>
  <c r="O23" i="15"/>
  <c r="Q23" i="15"/>
  <c r="N24" i="15"/>
  <c r="P24" i="15"/>
  <c r="R24" i="15"/>
  <c r="O25" i="15"/>
  <c r="Q25" i="15"/>
  <c r="N26" i="15"/>
  <c r="P26" i="15"/>
  <c r="R26" i="15"/>
  <c r="O27" i="15"/>
  <c r="Q27" i="15"/>
  <c r="N28" i="15"/>
  <c r="P28" i="15"/>
  <c r="R28" i="15"/>
  <c r="O29" i="15"/>
  <c r="Q29" i="15"/>
  <c r="N30" i="15"/>
  <c r="P30" i="15"/>
  <c r="R30" i="15"/>
  <c r="O31" i="15"/>
  <c r="Q31" i="15"/>
  <c r="N32" i="15"/>
  <c r="P32" i="15"/>
  <c r="R32" i="15"/>
  <c r="O33" i="15"/>
  <c r="Q33" i="15"/>
  <c r="N34" i="15"/>
  <c r="P34" i="15"/>
  <c r="R34" i="15"/>
  <c r="O35" i="15"/>
  <c r="Q35" i="15"/>
  <c r="N36" i="15"/>
  <c r="P36" i="15"/>
  <c r="R36" i="15"/>
  <c r="O37" i="15"/>
  <c r="Q37" i="15"/>
  <c r="N38" i="15"/>
  <c r="P38" i="15"/>
  <c r="R38" i="15"/>
  <c r="O39" i="15"/>
  <c r="Q39" i="15"/>
  <c r="N40" i="15"/>
  <c r="P40" i="15"/>
  <c r="R40" i="15"/>
  <c r="O41" i="15"/>
  <c r="Q41" i="15"/>
  <c r="N42" i="15"/>
  <c r="P42" i="15"/>
  <c r="R42" i="15"/>
  <c r="O43" i="15"/>
  <c r="Q43" i="15"/>
  <c r="N44" i="15"/>
  <c r="P44" i="15"/>
  <c r="R44" i="15"/>
  <c r="O45" i="15"/>
  <c r="Q45" i="15"/>
  <c r="N46" i="15"/>
  <c r="P46" i="15"/>
  <c r="R46" i="15"/>
  <c r="O47" i="15"/>
  <c r="Q47" i="15"/>
  <c r="N48" i="15"/>
  <c r="P48" i="15"/>
  <c r="R48" i="15"/>
  <c r="O49" i="15"/>
  <c r="Q49" i="15"/>
  <c r="N50" i="15"/>
  <c r="P50" i="15"/>
  <c r="R50" i="15"/>
  <c r="O51" i="15"/>
  <c r="Q51" i="15"/>
  <c r="N52" i="15"/>
  <c r="P52" i="15"/>
  <c r="R52" i="15"/>
  <c r="O53" i="15"/>
  <c r="Q53" i="15"/>
  <c r="N54" i="15"/>
  <c r="P54" i="15"/>
  <c r="R54" i="15"/>
  <c r="O55" i="15"/>
  <c r="Q55" i="15"/>
  <c r="N56" i="15"/>
  <c r="P56" i="15"/>
  <c r="R56" i="15"/>
  <c r="O57" i="15"/>
  <c r="Q57" i="15"/>
  <c r="N58" i="15"/>
  <c r="P58" i="15"/>
  <c r="R58" i="15"/>
  <c r="O59" i="15"/>
  <c r="Q59" i="15"/>
  <c r="N60" i="15"/>
  <c r="P60" i="15"/>
  <c r="R60" i="15"/>
  <c r="O61" i="15"/>
  <c r="Q61" i="15"/>
  <c r="N62" i="15"/>
  <c r="P62" i="15"/>
  <c r="R62" i="15"/>
  <c r="O63" i="15"/>
  <c r="Q63" i="15"/>
  <c r="N64" i="15"/>
  <c r="P64" i="15"/>
  <c r="R64" i="15"/>
  <c r="O65" i="15"/>
  <c r="Q65" i="15"/>
  <c r="N66" i="15"/>
  <c r="P66" i="15"/>
  <c r="R66" i="15"/>
  <c r="O67" i="15"/>
  <c r="Q67" i="15"/>
  <c r="N68" i="15"/>
  <c r="P68" i="15"/>
  <c r="R68" i="15"/>
  <c r="O69" i="15"/>
  <c r="Q69" i="15"/>
  <c r="N70" i="15"/>
  <c r="P70" i="15"/>
  <c r="R70" i="15"/>
  <c r="O71" i="15"/>
  <c r="Q71" i="15"/>
  <c r="N72" i="15"/>
  <c r="P72" i="15"/>
  <c r="R72" i="15"/>
  <c r="O73" i="15"/>
  <c r="Q73" i="15"/>
  <c r="N74" i="15"/>
  <c r="P74" i="15"/>
  <c r="R74" i="15"/>
  <c r="O75" i="15"/>
  <c r="Q75" i="15"/>
  <c r="N76" i="15"/>
  <c r="P76" i="15"/>
  <c r="R76" i="15"/>
  <c r="O77" i="15"/>
  <c r="Q77" i="15"/>
  <c r="N78" i="15"/>
  <c r="P78" i="15"/>
  <c r="R78" i="15"/>
  <c r="O79" i="15"/>
  <c r="Q79" i="15"/>
  <c r="N80" i="15"/>
  <c r="P80" i="15"/>
  <c r="R80" i="15"/>
  <c r="O81" i="15"/>
  <c r="Q81" i="15"/>
  <c r="N82" i="15"/>
  <c r="P82" i="15"/>
  <c r="R82" i="15"/>
  <c r="O83" i="15"/>
  <c r="Q83" i="15"/>
  <c r="N84" i="15"/>
  <c r="P84" i="15"/>
  <c r="R84" i="15"/>
  <c r="O85" i="15"/>
  <c r="Q85" i="15"/>
  <c r="N86" i="15"/>
  <c r="P86" i="15"/>
  <c r="R86" i="15"/>
  <c r="O87" i="15"/>
  <c r="Q87" i="15"/>
  <c r="N88" i="15"/>
  <c r="P88" i="15"/>
  <c r="O89" i="15"/>
  <c r="N90" i="15"/>
  <c r="R90" i="15"/>
  <c r="Q91" i="15"/>
  <c r="P92" i="15"/>
  <c r="O93" i="15"/>
  <c r="N94" i="15"/>
  <c r="R94" i="15"/>
  <c r="Q95" i="15"/>
  <c r="P96" i="15"/>
  <c r="O97" i="15"/>
  <c r="N98" i="15"/>
  <c r="R98" i="15"/>
  <c r="Q99" i="15"/>
  <c r="P100" i="15"/>
  <c r="O101" i="15"/>
  <c r="N102" i="15"/>
  <c r="R102" i="15"/>
  <c r="Q103" i="15"/>
  <c r="P104" i="15"/>
  <c r="O105" i="15"/>
  <c r="N106" i="15"/>
  <c r="R106" i="15"/>
  <c r="Q107" i="15"/>
  <c r="P108" i="15"/>
  <c r="O109" i="15"/>
  <c r="N110" i="15"/>
  <c r="R110" i="15"/>
  <c r="Q111" i="15"/>
  <c r="P112" i="15"/>
  <c r="O113" i="15"/>
  <c r="N114" i="15"/>
  <c r="R114" i="15"/>
  <c r="Q115" i="15"/>
  <c r="P116" i="15"/>
  <c r="O117" i="15"/>
  <c r="N118" i="15"/>
  <c r="R118" i="15"/>
  <c r="Q119" i="15"/>
  <c r="P120" i="15"/>
  <c r="O121" i="15"/>
  <c r="N122" i="15"/>
  <c r="R122" i="15"/>
  <c r="Q123" i="15"/>
  <c r="N3" i="15"/>
  <c r="P3" i="15"/>
  <c r="R3" i="15"/>
  <c r="O4" i="15"/>
  <c r="Q4" i="15"/>
  <c r="N5" i="15"/>
  <c r="P5" i="15"/>
  <c r="R5" i="15"/>
  <c r="O6" i="15"/>
  <c r="Q6" i="15"/>
  <c r="N7" i="15"/>
  <c r="P7" i="15"/>
  <c r="R7" i="15"/>
  <c r="O8" i="15"/>
  <c r="Q8" i="15"/>
  <c r="N9" i="15"/>
  <c r="P9" i="15"/>
  <c r="R9" i="15"/>
  <c r="O10" i="15"/>
  <c r="Q10" i="15"/>
  <c r="N11" i="15"/>
  <c r="P11" i="15"/>
  <c r="R11" i="15"/>
  <c r="O12" i="15"/>
  <c r="Q12" i="15"/>
  <c r="N13" i="15"/>
  <c r="P13" i="15"/>
  <c r="R13" i="15"/>
  <c r="O14" i="15"/>
  <c r="Q14" i="15"/>
  <c r="N15" i="15"/>
  <c r="P15" i="15"/>
  <c r="R15" i="15"/>
  <c r="O16" i="15"/>
  <c r="Q16" i="15"/>
  <c r="N17" i="15"/>
  <c r="P17" i="15"/>
  <c r="R17" i="15"/>
  <c r="O18" i="15"/>
  <c r="Q18" i="15"/>
  <c r="N19" i="15"/>
  <c r="P19" i="15"/>
  <c r="R19" i="15"/>
  <c r="O20" i="15"/>
  <c r="Q20" i="15"/>
  <c r="N21" i="15"/>
  <c r="P21" i="15"/>
  <c r="R21" i="15"/>
  <c r="O22" i="15"/>
  <c r="Q22" i="15"/>
  <c r="N23" i="15"/>
  <c r="P23" i="15"/>
  <c r="R23" i="15"/>
  <c r="O24" i="15"/>
  <c r="Q24" i="15"/>
  <c r="N25" i="15"/>
  <c r="P25" i="15"/>
  <c r="R25" i="15"/>
  <c r="O26" i="15"/>
  <c r="Q26" i="15"/>
  <c r="N27" i="15"/>
  <c r="P27" i="15"/>
  <c r="R27" i="15"/>
  <c r="O28" i="15"/>
  <c r="Q28" i="15"/>
  <c r="N29" i="15"/>
  <c r="P29" i="15"/>
  <c r="R29" i="15"/>
  <c r="O30" i="15"/>
  <c r="Q30" i="15"/>
  <c r="N31" i="15"/>
  <c r="P31" i="15"/>
  <c r="R31" i="15"/>
  <c r="O32" i="15"/>
  <c r="Q32" i="15"/>
  <c r="N33" i="15"/>
  <c r="P33" i="15"/>
  <c r="R33" i="15"/>
  <c r="O34" i="15"/>
  <c r="Q34" i="15"/>
  <c r="N35" i="15"/>
  <c r="P35" i="15"/>
  <c r="R35" i="15"/>
  <c r="O36" i="15"/>
  <c r="Q36" i="15"/>
  <c r="N37" i="15"/>
  <c r="P37" i="15"/>
  <c r="R37" i="15"/>
  <c r="O38" i="15"/>
  <c r="Q38" i="15"/>
  <c r="N39" i="15"/>
  <c r="P39" i="15"/>
  <c r="R39" i="15"/>
  <c r="O40" i="15"/>
  <c r="Q40" i="15"/>
  <c r="N41" i="15"/>
  <c r="P41" i="15"/>
  <c r="R41" i="15"/>
  <c r="O42" i="15"/>
  <c r="Q42" i="15"/>
  <c r="N43" i="15"/>
  <c r="P43" i="15"/>
  <c r="R43" i="15"/>
  <c r="O44" i="15"/>
  <c r="Q44" i="15"/>
  <c r="N45" i="15"/>
  <c r="P45" i="15"/>
  <c r="R45" i="15"/>
  <c r="O46" i="15"/>
  <c r="Q46" i="15"/>
  <c r="N47" i="15"/>
  <c r="P47" i="15"/>
  <c r="R47" i="15"/>
  <c r="O48" i="15"/>
  <c r="Q48" i="15"/>
  <c r="N49" i="15"/>
  <c r="P49" i="15"/>
  <c r="R49" i="15"/>
  <c r="O50" i="15"/>
  <c r="Q50" i="15"/>
  <c r="N51" i="15"/>
  <c r="P51" i="15"/>
  <c r="R51" i="15"/>
  <c r="O52" i="15"/>
  <c r="Q52" i="15"/>
  <c r="N53" i="15"/>
  <c r="P53" i="15"/>
  <c r="R53" i="15"/>
  <c r="O54" i="15"/>
  <c r="Q54" i="15"/>
  <c r="N55" i="15"/>
  <c r="P55" i="15"/>
  <c r="R55" i="15"/>
  <c r="O56" i="15"/>
  <c r="Q56" i="15"/>
  <c r="N57" i="15"/>
  <c r="P57" i="15"/>
  <c r="R57" i="15"/>
  <c r="O58" i="15"/>
  <c r="Q58" i="15"/>
  <c r="N59" i="15"/>
  <c r="P59" i="15"/>
  <c r="R59" i="15"/>
  <c r="O60" i="15"/>
  <c r="Q60" i="15"/>
  <c r="N61" i="15"/>
  <c r="P61" i="15"/>
  <c r="R61" i="15"/>
  <c r="O62" i="15"/>
  <c r="Q62" i="15"/>
  <c r="N63" i="15"/>
  <c r="P63" i="15"/>
  <c r="R63" i="15"/>
  <c r="O64" i="15"/>
  <c r="Q64" i="15"/>
  <c r="N65" i="15"/>
  <c r="P65" i="15"/>
  <c r="R65" i="15"/>
  <c r="O66" i="15"/>
  <c r="Q66" i="15"/>
  <c r="N67" i="15"/>
  <c r="P67" i="15"/>
  <c r="R67" i="15"/>
  <c r="O68" i="15"/>
  <c r="Q68" i="15"/>
  <c r="N69" i="15"/>
  <c r="P69" i="15"/>
  <c r="R69" i="15"/>
  <c r="O70" i="15"/>
  <c r="Q70" i="15"/>
  <c r="N71" i="15"/>
  <c r="P71" i="15"/>
  <c r="R71" i="15"/>
  <c r="O72" i="15"/>
  <c r="Q72" i="15"/>
  <c r="N73" i="15"/>
  <c r="P73" i="15"/>
  <c r="R73" i="15"/>
  <c r="O74" i="15"/>
  <c r="Q74" i="15"/>
  <c r="N75" i="15"/>
  <c r="P75" i="15"/>
  <c r="R75" i="15"/>
  <c r="O76" i="15"/>
  <c r="Q76" i="15"/>
  <c r="N77" i="15"/>
  <c r="P77" i="15"/>
  <c r="R77" i="15"/>
  <c r="O78" i="15"/>
  <c r="Q78" i="15"/>
  <c r="N79" i="15"/>
  <c r="P79" i="15"/>
  <c r="R79" i="15"/>
  <c r="O80" i="15"/>
  <c r="Q80" i="15"/>
  <c r="N81" i="15"/>
  <c r="P81" i="15"/>
  <c r="R81" i="15"/>
  <c r="O82" i="15"/>
  <c r="Q82" i="15"/>
  <c r="N83" i="15"/>
  <c r="P83" i="15"/>
  <c r="R83" i="15"/>
  <c r="O84" i="15"/>
  <c r="Q84" i="15"/>
  <c r="N85" i="15"/>
  <c r="P85" i="15"/>
  <c r="R85" i="15"/>
  <c r="O86" i="15"/>
  <c r="Q86" i="15"/>
  <c r="N87" i="15"/>
  <c r="P87" i="15"/>
  <c r="R87" i="15"/>
  <c r="O88" i="15"/>
  <c r="R88" i="15"/>
  <c r="Q89" i="15"/>
  <c r="P90" i="15"/>
  <c r="O91" i="15"/>
  <c r="N92" i="15"/>
  <c r="R92" i="15"/>
  <c r="Q93" i="15"/>
  <c r="P94" i="15"/>
  <c r="O95" i="15"/>
  <c r="N96" i="15"/>
  <c r="R96" i="15"/>
  <c r="Q97" i="15"/>
  <c r="P98" i="15"/>
  <c r="O99" i="15"/>
  <c r="N100" i="15"/>
  <c r="R100" i="15"/>
  <c r="Q101" i="15"/>
  <c r="P102" i="15"/>
  <c r="O103" i="15"/>
  <c r="N104" i="15"/>
  <c r="R104" i="15"/>
  <c r="Q105" i="15"/>
  <c r="P106" i="15"/>
  <c r="O107" i="15"/>
  <c r="N108" i="15"/>
  <c r="R108" i="15"/>
  <c r="Q109" i="15"/>
  <c r="P110" i="15"/>
  <c r="O111" i="15"/>
  <c r="N112" i="15"/>
  <c r="R112" i="15"/>
  <c r="Q113" i="15"/>
  <c r="P114" i="15"/>
  <c r="O115" i="15"/>
  <c r="N116" i="15"/>
  <c r="R116" i="15"/>
  <c r="Q117" i="15"/>
  <c r="P118" i="15"/>
  <c r="O119" i="15"/>
  <c r="N120" i="15"/>
  <c r="R120" i="15"/>
  <c r="Q121" i="15"/>
  <c r="P122" i="15"/>
  <c r="O123" i="15"/>
  <c r="C239" i="15"/>
  <c r="A239" i="15"/>
  <c r="A1143" i="15"/>
  <c r="A1142" i="15"/>
  <c r="A1141" i="15"/>
  <c r="A1140" i="15"/>
  <c r="A1139" i="15"/>
  <c r="A1138" i="15"/>
  <c r="A1137" i="15"/>
  <c r="A1136" i="15"/>
  <c r="A1135" i="15"/>
  <c r="A1134" i="15"/>
  <c r="A1133" i="15"/>
  <c r="A1132" i="15"/>
  <c r="A1131" i="15"/>
  <c r="A1130" i="15"/>
  <c r="A1129" i="15"/>
  <c r="A1128" i="15"/>
  <c r="A1127" i="15"/>
  <c r="A1126" i="15"/>
  <c r="A1125" i="15"/>
  <c r="A1071" i="15"/>
  <c r="A1070" i="15"/>
  <c r="A1069" i="15"/>
  <c r="A1068" i="15"/>
  <c r="A1067" i="15"/>
  <c r="A1066" i="15"/>
  <c r="A1065" i="15"/>
  <c r="A1064" i="15"/>
  <c r="A558" i="15"/>
  <c r="A557" i="15"/>
  <c r="A556" i="15"/>
  <c r="A555" i="15"/>
  <c r="A554" i="15"/>
  <c r="A553" i="15"/>
  <c r="A552" i="15"/>
  <c r="A551" i="15"/>
  <c r="A550" i="15"/>
  <c r="A549" i="15"/>
  <c r="A548" i="15"/>
  <c r="A547" i="15"/>
  <c r="A546" i="15"/>
  <c r="A545" i="15"/>
  <c r="A544" i="15"/>
  <c r="A543" i="15"/>
  <c r="A542" i="15"/>
  <c r="A541" i="15"/>
  <c r="A540" i="15"/>
  <c r="A539" i="15"/>
  <c r="A538" i="15"/>
  <c r="A537" i="15"/>
  <c r="A536" i="15"/>
  <c r="A535" i="15"/>
  <c r="A534" i="15"/>
  <c r="A533" i="15"/>
  <c r="A898" i="15"/>
  <c r="A897" i="15"/>
  <c r="A896" i="15"/>
  <c r="A895" i="15"/>
  <c r="A894" i="15"/>
  <c r="A893" i="15"/>
  <c r="A892" i="15"/>
  <c r="A891" i="15"/>
  <c r="A890" i="15"/>
  <c r="A889" i="15"/>
  <c r="A888" i="15"/>
  <c r="A887" i="15"/>
  <c r="A886" i="15"/>
  <c r="A885" i="15"/>
  <c r="A884" i="15"/>
  <c r="A883" i="15"/>
  <c r="A882" i="15"/>
  <c r="A881" i="15"/>
  <c r="A880" i="15"/>
  <c r="A879" i="15"/>
  <c r="A878" i="15"/>
  <c r="A877" i="15"/>
  <c r="A876" i="15"/>
  <c r="A875" i="15"/>
  <c r="A874" i="15"/>
  <c r="A873" i="15"/>
  <c r="A872" i="15"/>
  <c r="A871" i="15"/>
  <c r="A870" i="15"/>
  <c r="A869" i="15"/>
  <c r="A868" i="15"/>
  <c r="A867" i="15"/>
  <c r="A866" i="15"/>
  <c r="A865" i="15"/>
  <c r="A864" i="15"/>
  <c r="A863" i="15"/>
  <c r="A862" i="15"/>
  <c r="A861" i="15"/>
  <c r="A860" i="15"/>
  <c r="A859" i="15"/>
  <c r="A858" i="15"/>
  <c r="A857" i="15"/>
  <c r="A856" i="15"/>
  <c r="A855" i="15"/>
  <c r="A854" i="15"/>
  <c r="A1063" i="15"/>
  <c r="A1062" i="15"/>
  <c r="A1061" i="15"/>
  <c r="A1060" i="15"/>
  <c r="A1059" i="15"/>
  <c r="A1058" i="15"/>
  <c r="A1057" i="15"/>
  <c r="A1056" i="15"/>
  <c r="A1055" i="15"/>
  <c r="A1054" i="15"/>
  <c r="A1053" i="15"/>
  <c r="A1052" i="15"/>
  <c r="A1051" i="15"/>
  <c r="A1050" i="15"/>
  <c r="A1049" i="15"/>
  <c r="A1048" i="15"/>
  <c r="A1047" i="15"/>
  <c r="A1046" i="15"/>
  <c r="A1045" i="15"/>
  <c r="A1044" i="15"/>
  <c r="A1043" i="15"/>
  <c r="A1042" i="15"/>
  <c r="A1041" i="15"/>
  <c r="A1040" i="15"/>
  <c r="A1039" i="15"/>
  <c r="A1038" i="15"/>
  <c r="A1037" i="15"/>
  <c r="A1036" i="15"/>
  <c r="A1035" i="15"/>
  <c r="A1034" i="15"/>
  <c r="A1033" i="15"/>
  <c r="A1032" i="15"/>
  <c r="A1031" i="15"/>
  <c r="A1030" i="15"/>
  <c r="A1029" i="15"/>
  <c r="A853" i="15"/>
  <c r="A852" i="15"/>
  <c r="A851" i="15"/>
  <c r="A850" i="15"/>
  <c r="A849" i="15"/>
  <c r="A848" i="15"/>
  <c r="A847" i="15"/>
  <c r="A846" i="15"/>
  <c r="A845" i="15"/>
  <c r="A844" i="15"/>
  <c r="A843" i="15"/>
  <c r="A842" i="15"/>
  <c r="A841" i="15"/>
  <c r="A840" i="15"/>
  <c r="A839" i="15"/>
  <c r="A838" i="15"/>
  <c r="A837" i="15"/>
  <c r="A836" i="15"/>
  <c r="A835" i="15"/>
  <c r="A834" i="15"/>
  <c r="A833" i="15"/>
  <c r="A832" i="15"/>
  <c r="A831" i="15"/>
  <c r="A1028" i="15"/>
  <c r="A1027" i="15"/>
  <c r="A1026" i="15"/>
  <c r="A1025" i="15"/>
  <c r="A1024" i="15"/>
  <c r="A1023" i="15"/>
  <c r="A1022" i="15"/>
  <c r="A1021" i="15"/>
  <c r="A1020" i="15"/>
  <c r="A1019" i="15"/>
  <c r="A1018" i="15"/>
  <c r="A1017" i="15"/>
  <c r="A1016" i="15"/>
  <c r="A1015" i="15"/>
  <c r="A1014" i="15"/>
  <c r="A1013" i="15"/>
  <c r="A1012" i="15"/>
  <c r="A1011" i="15"/>
  <c r="A1010" i="15"/>
  <c r="A1009" i="15"/>
  <c r="A1008" i="15"/>
  <c r="A1007" i="15"/>
  <c r="A1006" i="15"/>
  <c r="A1005" i="15"/>
  <c r="A1004" i="15"/>
  <c r="A1003" i="15"/>
  <c r="A1002" i="15"/>
  <c r="A1001" i="15"/>
  <c r="A1000" i="15"/>
  <c r="A1124" i="15"/>
  <c r="A1123" i="15"/>
  <c r="A1122" i="15"/>
  <c r="A1121" i="15"/>
  <c r="A1120" i="15"/>
  <c r="A1119" i="15"/>
  <c r="A1118" i="15"/>
  <c r="A1117" i="15"/>
  <c r="A1116" i="15"/>
  <c r="A1115" i="15"/>
  <c r="A1114" i="15"/>
  <c r="A830" i="15"/>
  <c r="A829" i="15"/>
  <c r="A828" i="15"/>
  <c r="A827" i="15"/>
  <c r="C826" i="15"/>
  <c r="A826" i="15"/>
  <c r="C825" i="15"/>
  <c r="A825" i="15"/>
  <c r="C788" i="15"/>
  <c r="A788" i="15"/>
  <c r="C787" i="15"/>
  <c r="A787" i="15"/>
  <c r="A999" i="15"/>
  <c r="A998" i="15"/>
  <c r="A997" i="15"/>
  <c r="A996" i="15"/>
  <c r="A995" i="15"/>
  <c r="A994" i="15"/>
  <c r="A993" i="15"/>
  <c r="A992" i="15"/>
  <c r="A991" i="15"/>
  <c r="A990" i="15"/>
  <c r="A989" i="15"/>
  <c r="A988" i="15"/>
  <c r="A1113" i="15"/>
  <c r="A1112" i="15"/>
  <c r="A1111" i="15"/>
  <c r="A1110" i="15"/>
  <c r="A1109" i="15"/>
  <c r="A1108" i="15"/>
  <c r="A1107" i="15"/>
  <c r="A1106" i="15"/>
  <c r="A1105" i="15"/>
  <c r="A1104" i="15"/>
  <c r="A1103" i="15"/>
  <c r="A1102" i="15"/>
  <c r="A1101" i="15"/>
  <c r="A1100" i="15"/>
  <c r="A1099" i="15"/>
  <c r="A1098" i="15"/>
  <c r="A1097" i="15"/>
  <c r="A1096" i="15"/>
  <c r="A1095" i="15"/>
  <c r="A1094" i="15"/>
  <c r="A1093" i="15"/>
  <c r="A1092" i="15"/>
  <c r="A1091" i="15"/>
  <c r="A1090" i="15"/>
  <c r="A1089" i="15"/>
  <c r="A1088" i="15"/>
  <c r="A1087" i="15"/>
  <c r="A1086" i="15"/>
  <c r="A1085" i="15"/>
  <c r="A824" i="15"/>
  <c r="A823" i="15"/>
  <c r="A822" i="15"/>
  <c r="A821" i="15"/>
  <c r="A820" i="15"/>
  <c r="A819" i="15"/>
  <c r="A818" i="15"/>
  <c r="A987" i="15"/>
  <c r="A986" i="15"/>
  <c r="A985" i="15"/>
  <c r="A984" i="15"/>
  <c r="A983" i="15"/>
  <c r="A982" i="15"/>
  <c r="A981" i="15"/>
  <c r="A980" i="15"/>
  <c r="A979" i="15"/>
  <c r="A978" i="15"/>
  <c r="A977" i="15"/>
  <c r="A976" i="15"/>
  <c r="A975" i="15"/>
  <c r="A974" i="15"/>
  <c r="A973" i="15"/>
  <c r="A972" i="15"/>
  <c r="A971" i="15"/>
  <c r="A970" i="15"/>
  <c r="A969" i="15"/>
  <c r="A968" i="15"/>
  <c r="A967" i="15"/>
  <c r="A966" i="15"/>
  <c r="A965" i="15"/>
  <c r="A964" i="15"/>
  <c r="A963" i="15"/>
  <c r="A962" i="15"/>
  <c r="A961" i="15"/>
  <c r="A960" i="15"/>
  <c r="A959" i="15"/>
  <c r="A958" i="15"/>
  <c r="A957" i="15"/>
  <c r="A956" i="15"/>
  <c r="A955" i="15"/>
  <c r="A954" i="15"/>
  <c r="A953" i="15"/>
  <c r="A952" i="15"/>
  <c r="A951" i="15"/>
  <c r="A950" i="15"/>
  <c r="A949" i="15"/>
  <c r="A948" i="15"/>
  <c r="A947" i="15"/>
  <c r="A946" i="15"/>
  <c r="A945" i="15"/>
  <c r="A944" i="15"/>
  <c r="A943" i="15"/>
  <c r="A942" i="15"/>
  <c r="A941" i="15"/>
  <c r="A940" i="15"/>
  <c r="A939" i="15"/>
  <c r="A938" i="15"/>
  <c r="A937" i="15"/>
  <c r="A936" i="15"/>
  <c r="A935" i="15"/>
  <c r="A934" i="15"/>
  <c r="A933" i="15"/>
  <c r="A932" i="15"/>
  <c r="A931" i="15"/>
  <c r="A930" i="15"/>
  <c r="A929" i="15"/>
  <c r="A928" i="15"/>
  <c r="A927" i="15"/>
  <c r="A926" i="15"/>
  <c r="A925" i="15"/>
  <c r="A924" i="15"/>
  <c r="A923" i="15"/>
  <c r="A922" i="15"/>
  <c r="A921" i="15"/>
  <c r="A920" i="15"/>
  <c r="A919" i="15"/>
  <c r="A918" i="15"/>
  <c r="A917" i="15"/>
  <c r="A916" i="15"/>
  <c r="A915" i="15"/>
  <c r="A914" i="15"/>
  <c r="A913" i="15"/>
  <c r="A912" i="15"/>
  <c r="A911" i="15"/>
  <c r="A910" i="15"/>
  <c r="A909" i="15"/>
  <c r="A908" i="15"/>
  <c r="A907" i="15"/>
  <c r="A906" i="15"/>
  <c r="A905" i="15"/>
  <c r="A904" i="15"/>
  <c r="A903" i="15"/>
  <c r="A902" i="15"/>
  <c r="A901" i="15"/>
  <c r="A900" i="15"/>
  <c r="A899" i="15"/>
  <c r="A1084" i="15"/>
  <c r="A1083" i="15"/>
  <c r="A1082" i="15"/>
  <c r="A1081" i="15"/>
  <c r="A1080" i="15"/>
  <c r="A1079" i="15"/>
  <c r="A1078" i="15"/>
  <c r="A1077" i="15"/>
  <c r="A1076" i="15"/>
  <c r="A1075" i="15"/>
  <c r="A1074" i="15"/>
  <c r="A817" i="15"/>
  <c r="A816" i="15"/>
  <c r="A815" i="15"/>
  <c r="A814" i="15"/>
  <c r="A813" i="15"/>
  <c r="A812" i="15"/>
  <c r="A811" i="15"/>
  <c r="A810" i="15"/>
  <c r="A809" i="15"/>
  <c r="A808" i="15"/>
  <c r="A807" i="15"/>
  <c r="A806" i="15"/>
  <c r="A805" i="15"/>
  <c r="A804" i="15"/>
  <c r="C803" i="15"/>
  <c r="A803" i="15"/>
  <c r="C802" i="15"/>
  <c r="A802" i="15"/>
  <c r="C801" i="15"/>
  <c r="A801" i="15"/>
  <c r="C800" i="15"/>
  <c r="A800" i="15"/>
  <c r="C799" i="15"/>
  <c r="A799" i="15"/>
  <c r="C798" i="15"/>
  <c r="A798" i="15"/>
  <c r="C797" i="15"/>
  <c r="A797" i="15"/>
  <c r="C796" i="15"/>
  <c r="A796" i="15"/>
  <c r="C795" i="15"/>
  <c r="A795" i="15"/>
  <c r="C794" i="15"/>
  <c r="A794" i="15"/>
  <c r="C793" i="15"/>
  <c r="A793" i="15"/>
  <c r="C792" i="15"/>
  <c r="A792" i="15"/>
  <c r="C532" i="15"/>
  <c r="A532" i="15"/>
  <c r="C531" i="15"/>
  <c r="A531" i="15"/>
  <c r="C530" i="15"/>
  <c r="A530" i="15"/>
  <c r="C529" i="15"/>
  <c r="A529" i="15"/>
  <c r="C528" i="15"/>
  <c r="A528" i="15"/>
  <c r="C527" i="15"/>
  <c r="A527" i="15"/>
  <c r="C526" i="15"/>
  <c r="A526" i="15"/>
  <c r="C525" i="15"/>
  <c r="A525" i="15"/>
  <c r="C524" i="15"/>
  <c r="A524" i="15"/>
  <c r="C523" i="15"/>
  <c r="A523" i="15"/>
  <c r="C522" i="15"/>
  <c r="A522" i="15"/>
  <c r="A786" i="15"/>
  <c r="A785" i="15"/>
  <c r="A784" i="15"/>
  <c r="A783" i="15"/>
  <c r="A782" i="15"/>
  <c r="A781" i="15"/>
  <c r="A780" i="15"/>
  <c r="A779" i="15"/>
  <c r="A778" i="15"/>
  <c r="A777" i="15"/>
  <c r="A776" i="15"/>
  <c r="A775" i="15"/>
  <c r="A774" i="15"/>
  <c r="A773" i="15"/>
  <c r="A772" i="15"/>
  <c r="A771" i="15"/>
  <c r="A770" i="15"/>
  <c r="A769" i="15"/>
  <c r="A768" i="15"/>
  <c r="A767" i="15"/>
  <c r="A766" i="15"/>
  <c r="A765" i="15"/>
  <c r="A764" i="15"/>
  <c r="A763" i="15"/>
  <c r="A762" i="15"/>
  <c r="A761" i="15"/>
  <c r="A760" i="15"/>
  <c r="A759" i="15"/>
  <c r="A758" i="15"/>
  <c r="A757" i="15"/>
  <c r="A756" i="15"/>
  <c r="A755" i="15"/>
  <c r="A754" i="15"/>
  <c r="A753" i="15"/>
  <c r="A752" i="15"/>
  <c r="A751" i="15"/>
  <c r="A750" i="15"/>
  <c r="A749" i="15"/>
  <c r="A748" i="15"/>
  <c r="A747" i="15"/>
  <c r="A746" i="15"/>
  <c r="A745" i="15"/>
  <c r="A744" i="15"/>
  <c r="A743" i="15"/>
  <c r="A742" i="15"/>
  <c r="A741" i="15"/>
  <c r="A740" i="15"/>
  <c r="A739" i="15"/>
  <c r="A738" i="15"/>
  <c r="A737" i="15"/>
  <c r="A736" i="15"/>
  <c r="A735" i="15"/>
  <c r="A734" i="15"/>
  <c r="A733" i="15"/>
  <c r="A732" i="15"/>
  <c r="A731" i="15"/>
  <c r="A730" i="15"/>
  <c r="A729" i="15"/>
  <c r="A728" i="15"/>
  <c r="A727" i="15"/>
  <c r="A726" i="15"/>
  <c r="A725" i="15"/>
  <c r="A724" i="15"/>
  <c r="A723" i="15"/>
  <c r="A722" i="15"/>
  <c r="A721" i="15"/>
  <c r="A720" i="15"/>
  <c r="A719" i="15"/>
  <c r="A718" i="15"/>
  <c r="A717" i="15"/>
  <c r="A716" i="15"/>
  <c r="A715" i="15"/>
  <c r="A714" i="15"/>
  <c r="A713" i="15"/>
  <c r="A712" i="15"/>
  <c r="A711" i="15"/>
  <c r="A710" i="15"/>
  <c r="A709" i="15"/>
  <c r="A708" i="15"/>
  <c r="A707" i="15"/>
  <c r="A706" i="15"/>
  <c r="A705" i="15"/>
  <c r="A704" i="15"/>
  <c r="A703" i="15"/>
  <c r="A702" i="15"/>
  <c r="A701" i="15"/>
  <c r="A700" i="15"/>
  <c r="A699" i="15"/>
  <c r="A698" i="15"/>
  <c r="A697" i="15"/>
  <c r="A696" i="15"/>
  <c r="A695" i="15"/>
  <c r="A694" i="15"/>
  <c r="A693" i="15"/>
  <c r="A692" i="15"/>
  <c r="A691" i="15"/>
  <c r="A690" i="15"/>
  <c r="A689" i="15"/>
  <c r="A688" i="15"/>
  <c r="A687" i="15"/>
  <c r="A686" i="15"/>
  <c r="A685" i="15"/>
  <c r="A684" i="15"/>
  <c r="A683" i="15"/>
  <c r="A682" i="15"/>
  <c r="A681" i="15"/>
  <c r="A680" i="15"/>
  <c r="A679" i="15"/>
  <c r="A678" i="15"/>
  <c r="A677" i="15"/>
  <c r="A676" i="15"/>
  <c r="A675" i="15"/>
  <c r="A674" i="15"/>
  <c r="A673" i="15"/>
  <c r="A672" i="15"/>
  <c r="A671" i="15"/>
  <c r="A670" i="15"/>
  <c r="A669" i="15"/>
  <c r="A668" i="15"/>
  <c r="A667" i="15"/>
  <c r="A666" i="15"/>
  <c r="A665" i="15"/>
  <c r="A664" i="15"/>
  <c r="A663" i="15"/>
  <c r="A662" i="15"/>
  <c r="A661" i="15"/>
  <c r="A660" i="15"/>
  <c r="A659" i="15"/>
  <c r="A658" i="15"/>
  <c r="A657" i="15"/>
  <c r="A656" i="15"/>
  <c r="A655" i="15"/>
  <c r="A654" i="15"/>
  <c r="A653" i="15"/>
  <c r="A652" i="15"/>
  <c r="A651" i="15"/>
  <c r="A650" i="15"/>
  <c r="A649" i="15"/>
  <c r="A648" i="15"/>
  <c r="A647" i="15"/>
  <c r="A646" i="15"/>
  <c r="A645" i="15"/>
  <c r="A644" i="15"/>
  <c r="A643" i="15"/>
  <c r="C642" i="15"/>
  <c r="A642" i="15"/>
  <c r="C641" i="15"/>
  <c r="A641" i="15"/>
  <c r="A640" i="15"/>
  <c r="A639" i="15"/>
  <c r="A638" i="15"/>
  <c r="A637" i="15"/>
  <c r="A636" i="15"/>
  <c r="A635" i="15"/>
  <c r="A634" i="15"/>
  <c r="A633" i="15"/>
  <c r="A632" i="15"/>
  <c r="A631" i="15"/>
  <c r="A630" i="15"/>
  <c r="A629" i="15"/>
  <c r="A628" i="15"/>
  <c r="A627" i="15"/>
  <c r="A626" i="15"/>
  <c r="A625" i="15"/>
  <c r="A624" i="15"/>
  <c r="A623" i="15"/>
  <c r="A622" i="15"/>
  <c r="A621" i="15"/>
  <c r="A620" i="15"/>
  <c r="A619" i="15"/>
  <c r="A618" i="15"/>
  <c r="A617" i="15"/>
  <c r="A616" i="15"/>
  <c r="A615" i="15"/>
  <c r="A614" i="15"/>
  <c r="A613" i="15"/>
  <c r="A612" i="15"/>
  <c r="A611" i="15"/>
  <c r="A610" i="15"/>
  <c r="A609" i="15"/>
  <c r="A608" i="15"/>
  <c r="A607" i="15"/>
  <c r="A606" i="15"/>
  <c r="A605" i="15"/>
  <c r="A604" i="15"/>
  <c r="A603" i="15"/>
  <c r="A602" i="15"/>
  <c r="A601" i="15"/>
  <c r="A600" i="15"/>
  <c r="A599" i="15"/>
  <c r="A598" i="15"/>
  <c r="A597" i="15"/>
  <c r="A596" i="15"/>
  <c r="A595" i="15"/>
  <c r="A594" i="15"/>
  <c r="A593" i="15"/>
  <c r="A592" i="15"/>
  <c r="A591" i="15"/>
  <c r="A590" i="15"/>
  <c r="A589" i="15"/>
  <c r="A588" i="15"/>
  <c r="A587" i="15"/>
  <c r="A586" i="15"/>
  <c r="A585" i="15"/>
  <c r="A584" i="15"/>
  <c r="A583" i="15"/>
  <c r="A582" i="15"/>
  <c r="A581" i="15"/>
  <c r="A580" i="15"/>
  <c r="A521" i="15"/>
  <c r="A520" i="15"/>
  <c r="A519" i="15"/>
  <c r="A518" i="15"/>
  <c r="A517" i="15"/>
  <c r="A516" i="15"/>
  <c r="A515" i="15"/>
  <c r="A514" i="15"/>
  <c r="A513" i="15"/>
  <c r="A512" i="15"/>
  <c r="A511" i="15"/>
  <c r="A510" i="15"/>
  <c r="A509" i="15"/>
  <c r="A508" i="15"/>
  <c r="A507" i="15"/>
  <c r="A506" i="15"/>
  <c r="A505" i="15"/>
  <c r="A504" i="15"/>
  <c r="A503" i="15"/>
  <c r="A502" i="15"/>
  <c r="A501" i="15"/>
  <c r="A500" i="15"/>
  <c r="A499" i="15"/>
  <c r="A498" i="15"/>
  <c r="A497" i="15"/>
  <c r="A496" i="15"/>
  <c r="A495" i="15"/>
  <c r="A494" i="15"/>
  <c r="A493" i="15"/>
  <c r="A492" i="15"/>
  <c r="A491" i="15"/>
  <c r="A490" i="15"/>
  <c r="A489" i="15"/>
  <c r="A488" i="15"/>
  <c r="A487" i="15"/>
  <c r="A486" i="15"/>
  <c r="A485" i="15"/>
  <c r="A484" i="15"/>
  <c r="A483" i="15"/>
  <c r="A482" i="15"/>
  <c r="A481" i="15"/>
  <c r="A480" i="15"/>
  <c r="A479" i="15"/>
  <c r="A478" i="15"/>
  <c r="C579" i="15"/>
  <c r="A579" i="15"/>
  <c r="C578" i="15"/>
  <c r="A578" i="15"/>
  <c r="C577" i="15"/>
  <c r="A577" i="15"/>
  <c r="A576" i="15"/>
  <c r="A575" i="15"/>
  <c r="A574" i="15"/>
  <c r="A573" i="15"/>
  <c r="A572" i="15"/>
  <c r="A571" i="15"/>
  <c r="A570" i="15"/>
  <c r="A569" i="15"/>
  <c r="A568" i="15"/>
  <c r="A567" i="15"/>
  <c r="A566" i="15"/>
  <c r="A565" i="15"/>
  <c r="A564" i="15"/>
  <c r="A563" i="15"/>
  <c r="A562" i="15"/>
  <c r="A561" i="15"/>
  <c r="C477" i="15"/>
  <c r="A477" i="15"/>
  <c r="C476" i="15"/>
  <c r="A476" i="15"/>
  <c r="C1073" i="15"/>
  <c r="A1073" i="15"/>
  <c r="C1072" i="15"/>
  <c r="A1072" i="15"/>
  <c r="A791" i="15"/>
  <c r="A790" i="15"/>
  <c r="A789" i="15"/>
  <c r="C560" i="15"/>
  <c r="A560" i="15"/>
  <c r="C559" i="15"/>
  <c r="A559" i="15"/>
  <c r="C427" i="15"/>
  <c r="A427" i="15"/>
  <c r="A426" i="15"/>
  <c r="A425" i="15"/>
  <c r="A424" i="15"/>
  <c r="A423" i="15"/>
  <c r="A422" i="15"/>
  <c r="A421" i="15"/>
  <c r="A420" i="15"/>
  <c r="A419" i="15"/>
  <c r="A418" i="15"/>
  <c r="A417" i="15"/>
  <c r="A416" i="15"/>
  <c r="A415" i="15"/>
  <c r="A414" i="15"/>
  <c r="A413" i="15"/>
  <c r="A412" i="15"/>
  <c r="A411" i="15"/>
  <c r="A402" i="15"/>
  <c r="A401" i="15"/>
  <c r="A400" i="15"/>
  <c r="A399" i="15"/>
  <c r="A398" i="15"/>
  <c r="A410" i="15"/>
  <c r="A409" i="15"/>
  <c r="A408" i="15"/>
  <c r="A397" i="15"/>
  <c r="A396" i="15"/>
  <c r="A395" i="15"/>
  <c r="A394" i="15"/>
  <c r="A393" i="15"/>
  <c r="A392" i="15"/>
  <c r="A391" i="15"/>
  <c r="A390" i="15"/>
  <c r="A389" i="15"/>
  <c r="A388" i="15"/>
  <c r="A387" i="15"/>
  <c r="A386" i="15"/>
  <c r="A385" i="15"/>
  <c r="A384" i="15"/>
  <c r="A383" i="15"/>
  <c r="C382" i="15"/>
  <c r="A382" i="15"/>
  <c r="C381" i="15"/>
  <c r="A381" i="15"/>
  <c r="C380" i="15"/>
  <c r="A380" i="15"/>
  <c r="C379" i="15"/>
  <c r="A379" i="15"/>
  <c r="A378" i="15"/>
  <c r="A377" i="15"/>
  <c r="A376" i="15"/>
  <c r="A375" i="15"/>
  <c r="A374" i="15"/>
  <c r="A373" i="15"/>
  <c r="A372" i="15"/>
  <c r="A371" i="15"/>
  <c r="A370" i="15"/>
  <c r="A369" i="15"/>
  <c r="A368" i="15"/>
  <c r="A367" i="15"/>
  <c r="A366" i="15"/>
  <c r="A365" i="15"/>
  <c r="A364" i="15"/>
  <c r="A363" i="15"/>
  <c r="A362" i="15"/>
  <c r="A361" i="15"/>
  <c r="A360" i="15"/>
  <c r="A359" i="15"/>
  <c r="A358" i="15"/>
  <c r="A357" i="15"/>
  <c r="A356" i="15"/>
  <c r="A355" i="15"/>
  <c r="A354" i="15"/>
  <c r="A353" i="15"/>
  <c r="A352" i="15"/>
  <c r="A351" i="15"/>
  <c r="A350" i="15"/>
  <c r="A349" i="15"/>
  <c r="A348" i="15"/>
  <c r="A347" i="15"/>
  <c r="A346" i="15"/>
  <c r="C407" i="15"/>
  <c r="A407" i="15"/>
  <c r="C406" i="15"/>
  <c r="A406" i="15"/>
  <c r="C405" i="15"/>
  <c r="A405" i="15"/>
  <c r="C404" i="15"/>
  <c r="A404" i="15"/>
  <c r="C403" i="15"/>
  <c r="A403" i="15"/>
  <c r="C345" i="15"/>
  <c r="A345" i="15"/>
  <c r="C344" i="15"/>
  <c r="A344" i="15"/>
  <c r="C343" i="15"/>
  <c r="A343" i="15"/>
  <c r="C342" i="15"/>
  <c r="A342" i="15"/>
  <c r="C341" i="15"/>
  <c r="A341" i="15"/>
  <c r="C340" i="15"/>
  <c r="A340" i="15"/>
  <c r="C339" i="15"/>
  <c r="A339" i="15"/>
  <c r="C338" i="15"/>
  <c r="A338" i="15"/>
  <c r="C337" i="15"/>
  <c r="A337" i="15"/>
  <c r="C336" i="15"/>
  <c r="A336" i="15"/>
  <c r="C335" i="15"/>
  <c r="A335" i="15"/>
  <c r="C334" i="15"/>
  <c r="A334" i="15"/>
  <c r="C333" i="15"/>
  <c r="A333" i="15"/>
  <c r="C332" i="15"/>
  <c r="A332" i="15"/>
  <c r="C331" i="15"/>
  <c r="A331" i="15"/>
  <c r="C330" i="15"/>
  <c r="A330" i="15"/>
  <c r="C329" i="15"/>
  <c r="A329" i="15"/>
  <c r="C328" i="15"/>
  <c r="A328" i="15"/>
  <c r="C327" i="15"/>
  <c r="A327" i="15"/>
  <c r="C326" i="15"/>
  <c r="A326" i="15"/>
  <c r="C325" i="15"/>
  <c r="A325" i="15"/>
  <c r="C324" i="15"/>
  <c r="A324" i="15"/>
  <c r="C297" i="15"/>
  <c r="A297" i="15"/>
  <c r="C296" i="15"/>
  <c r="A296" i="15"/>
  <c r="C323" i="15"/>
  <c r="A323" i="15"/>
  <c r="C295" i="15"/>
  <c r="A295" i="15"/>
  <c r="C294" i="15"/>
  <c r="A294" i="15"/>
  <c r="C293" i="15"/>
  <c r="A293" i="15"/>
  <c r="C292" i="15"/>
  <c r="A292" i="15"/>
  <c r="C291" i="15"/>
  <c r="A291" i="15"/>
  <c r="C290" i="15"/>
  <c r="A290" i="15"/>
  <c r="C322" i="15"/>
  <c r="A322" i="15"/>
  <c r="C321" i="15"/>
  <c r="A321" i="15"/>
  <c r="C320" i="15"/>
  <c r="A320" i="15"/>
  <c r="C319" i="15"/>
  <c r="A319" i="15"/>
  <c r="C318" i="15"/>
  <c r="A318" i="15"/>
  <c r="C317" i="15"/>
  <c r="A317" i="15"/>
  <c r="C316" i="15"/>
  <c r="A316" i="15"/>
  <c r="C315" i="15"/>
  <c r="A315" i="15"/>
  <c r="C314" i="15"/>
  <c r="A314" i="15"/>
  <c r="A313" i="15"/>
  <c r="A312" i="15"/>
  <c r="A311" i="15"/>
  <c r="A310" i="15"/>
  <c r="A309" i="15"/>
  <c r="A308" i="15"/>
  <c r="A307" i="15"/>
  <c r="A306" i="15"/>
  <c r="A305" i="15"/>
  <c r="A304" i="15"/>
  <c r="A303" i="15"/>
  <c r="A302" i="15"/>
  <c r="A301" i="15"/>
  <c r="A300" i="15"/>
  <c r="A299" i="15"/>
  <c r="A298" i="15"/>
  <c r="A475" i="15"/>
  <c r="A474" i="15"/>
  <c r="A473" i="15"/>
  <c r="A472" i="15"/>
  <c r="A471" i="15"/>
  <c r="A470" i="15"/>
  <c r="A469" i="15"/>
  <c r="A468" i="15"/>
  <c r="A467" i="15"/>
  <c r="A466" i="15"/>
  <c r="A465" i="15"/>
  <c r="A464" i="15"/>
  <c r="A463" i="15"/>
  <c r="A462" i="15"/>
  <c r="A461" i="15"/>
  <c r="A460" i="15"/>
  <c r="A459" i="15"/>
  <c r="A458" i="15"/>
  <c r="A457" i="15"/>
  <c r="A456" i="15"/>
  <c r="A455" i="15"/>
  <c r="A454" i="15"/>
  <c r="A453" i="15"/>
  <c r="A452" i="15"/>
  <c r="A451" i="15"/>
  <c r="A450" i="15"/>
  <c r="A449" i="15"/>
  <c r="A448" i="15"/>
  <c r="A447" i="15"/>
  <c r="A446" i="15"/>
  <c r="A445" i="15"/>
  <c r="A444" i="15"/>
  <c r="A443" i="15"/>
  <c r="A442" i="15"/>
  <c r="A441" i="15"/>
  <c r="A440" i="15"/>
  <c r="A439" i="15"/>
  <c r="A438" i="15"/>
  <c r="A437" i="15"/>
  <c r="A436" i="15"/>
  <c r="A435" i="15"/>
  <c r="A434" i="15"/>
  <c r="A433" i="15"/>
  <c r="A432" i="15"/>
  <c r="A431" i="15"/>
  <c r="A430" i="15"/>
  <c r="A429" i="15"/>
  <c r="A428" i="15"/>
  <c r="A289" i="15"/>
  <c r="A288" i="15"/>
  <c r="A287" i="15"/>
  <c r="A286" i="15"/>
  <c r="A285" i="15"/>
  <c r="A284" i="15"/>
  <c r="A283" i="15"/>
  <c r="A282" i="15"/>
  <c r="A281" i="15"/>
  <c r="A280" i="15"/>
  <c r="A279" i="15"/>
  <c r="A278" i="15"/>
  <c r="A277" i="15"/>
  <c r="A276" i="15"/>
  <c r="A275" i="15"/>
  <c r="A274" i="15"/>
  <c r="A273" i="15"/>
  <c r="A272" i="15"/>
  <c r="A271" i="15"/>
  <c r="A270" i="15"/>
  <c r="A269" i="15"/>
  <c r="A268" i="15"/>
  <c r="A267" i="15"/>
  <c r="A266" i="15"/>
  <c r="A265" i="15"/>
  <c r="A264" i="15"/>
  <c r="A263" i="15"/>
  <c r="A262" i="15"/>
  <c r="A261" i="15"/>
  <c r="A260" i="15"/>
  <c r="A259" i="15"/>
  <c r="A258" i="15"/>
  <c r="A257" i="15"/>
  <c r="A256" i="15"/>
  <c r="A255" i="15"/>
  <c r="A254" i="15"/>
  <c r="A253" i="15"/>
  <c r="A252" i="15"/>
  <c r="A251" i="15"/>
  <c r="A250" i="15"/>
  <c r="A249" i="15"/>
  <c r="A248" i="15"/>
  <c r="A247" i="15"/>
  <c r="A246" i="15"/>
  <c r="C238" i="15"/>
  <c r="A238" i="15"/>
  <c r="C237" i="15"/>
  <c r="A237" i="15"/>
  <c r="A236" i="15"/>
  <c r="A235" i="15"/>
  <c r="A234" i="15"/>
  <c r="A233" i="15"/>
  <c r="A232" i="15"/>
  <c r="A231" i="15"/>
  <c r="A230" i="15"/>
  <c r="A229" i="15"/>
  <c r="A228" i="15"/>
  <c r="C227" i="15"/>
  <c r="A227" i="15"/>
  <c r="C226" i="15"/>
  <c r="A226" i="15"/>
  <c r="A225" i="15"/>
  <c r="A224" i="15"/>
  <c r="A223" i="15"/>
  <c r="A222" i="15"/>
  <c r="A221" i="15"/>
  <c r="A220" i="15"/>
  <c r="A219" i="15"/>
  <c r="A218" i="15"/>
  <c r="A217" i="15"/>
  <c r="A216" i="15"/>
  <c r="A215" i="15"/>
  <c r="A214" i="15"/>
  <c r="C213" i="15"/>
  <c r="A213" i="15"/>
  <c r="C212" i="15"/>
  <c r="A212" i="15"/>
  <c r="A211" i="15"/>
  <c r="A210" i="15"/>
  <c r="A209" i="15"/>
  <c r="A208" i="15"/>
  <c r="A207" i="15"/>
  <c r="A206" i="15"/>
  <c r="A205" i="15"/>
  <c r="A204" i="15"/>
  <c r="A203" i="15"/>
  <c r="A245" i="15"/>
  <c r="A244" i="15"/>
  <c r="A243" i="15"/>
  <c r="A242" i="15"/>
  <c r="A241" i="15"/>
  <c r="A240" i="15"/>
  <c r="C202" i="15"/>
  <c r="A202" i="15"/>
  <c r="C201" i="15"/>
  <c r="A201" i="15"/>
  <c r="C200" i="15"/>
  <c r="A200" i="15"/>
  <c r="C199" i="15"/>
  <c r="A199" i="15"/>
  <c r="C198" i="15"/>
  <c r="A198" i="15"/>
  <c r="C197" i="15"/>
  <c r="A197" i="15"/>
  <c r="C196" i="15"/>
  <c r="A196" i="15"/>
  <c r="A195" i="15"/>
  <c r="A194" i="15"/>
  <c r="A193" i="15"/>
  <c r="A192" i="15"/>
  <c r="A191" i="15"/>
  <c r="A190" i="15"/>
  <c r="A189" i="15"/>
  <c r="A188" i="15"/>
  <c r="A187" i="15"/>
  <c r="A186" i="15"/>
  <c r="A185" i="15"/>
  <c r="A184" i="15"/>
  <c r="A183" i="15"/>
  <c r="A182" i="15"/>
  <c r="A181" i="15"/>
  <c r="A180" i="15"/>
  <c r="A179" i="15"/>
  <c r="A178" i="15"/>
  <c r="A177" i="15"/>
  <c r="A176" i="15"/>
  <c r="A175" i="15"/>
  <c r="A174" i="15"/>
  <c r="A173" i="15"/>
  <c r="A172" i="15"/>
  <c r="A171" i="15"/>
  <c r="A170" i="15"/>
  <c r="A169" i="15"/>
  <c r="A168" i="15"/>
  <c r="A167" i="15"/>
  <c r="A166" i="15"/>
  <c r="C165" i="15"/>
  <c r="A165" i="15"/>
  <c r="C164" i="15"/>
  <c r="A164" i="15"/>
  <c r="C163" i="15"/>
  <c r="A163" i="15"/>
  <c r="C162" i="15"/>
  <c r="A162" i="15"/>
  <c r="C161" i="15"/>
  <c r="A161" i="15"/>
  <c r="C160" i="15"/>
  <c r="A160" i="15"/>
  <c r="C158" i="15"/>
  <c r="A158" i="15"/>
  <c r="C157" i="15"/>
  <c r="A157" i="15"/>
  <c r="C156" i="15"/>
  <c r="A156" i="15"/>
  <c r="C155" i="15"/>
  <c r="A155" i="15"/>
  <c r="C154" i="15"/>
  <c r="A154" i="15"/>
  <c r="C153" i="15"/>
  <c r="A153" i="15"/>
  <c r="C152" i="15"/>
  <c r="A152" i="15"/>
  <c r="C151" i="15"/>
  <c r="A151" i="15"/>
  <c r="C150" i="15"/>
  <c r="A150" i="15"/>
  <c r="C149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C124" i="15"/>
  <c r="A124" i="15"/>
  <c r="C123" i="15"/>
  <c r="A123" i="15"/>
  <c r="A132" i="15"/>
  <c r="A131" i="15"/>
  <c r="A130" i="15"/>
  <c r="A129" i="15"/>
  <c r="A128" i="15"/>
  <c r="A127" i="15"/>
  <c r="A126" i="15"/>
  <c r="A125" i="15"/>
  <c r="C122" i="15"/>
  <c r="A122" i="15"/>
  <c r="C121" i="15"/>
  <c r="A121" i="15"/>
  <c r="C120" i="15"/>
  <c r="A120" i="15"/>
  <c r="C119" i="15"/>
  <c r="A119" i="15"/>
  <c r="C118" i="15"/>
  <c r="A118" i="15"/>
  <c r="C117" i="15"/>
  <c r="A117" i="15"/>
  <c r="C116" i="15"/>
  <c r="A116" i="15"/>
  <c r="C115" i="15"/>
  <c r="A115" i="15"/>
  <c r="C114" i="15"/>
  <c r="A114" i="15"/>
  <c r="C113" i="15"/>
  <c r="A113" i="15"/>
  <c r="C112" i="15"/>
  <c r="A112" i="15"/>
  <c r="C111" i="15"/>
  <c r="A111" i="15"/>
  <c r="C110" i="15"/>
  <c r="A110" i="15"/>
  <c r="C109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A86" i="15"/>
  <c r="A85" i="15"/>
  <c r="A84" i="15"/>
  <c r="A83" i="15"/>
  <c r="C82" i="15"/>
  <c r="A82" i="15"/>
  <c r="C81" i="15"/>
  <c r="A81" i="15"/>
  <c r="A80" i="15"/>
  <c r="A79" i="15"/>
  <c r="A78" i="15"/>
  <c r="A77" i="15"/>
  <c r="A76" i="15"/>
  <c r="A75" i="15"/>
  <c r="A74" i="15"/>
  <c r="A73" i="15"/>
  <c r="A72" i="15"/>
  <c r="A71" i="15"/>
  <c r="A70" i="15"/>
  <c r="A69" i="15"/>
  <c r="A68" i="15"/>
  <c r="A67" i="15"/>
  <c r="A66" i="15"/>
  <c r="A65" i="15"/>
  <c r="A64" i="15"/>
  <c r="A63" i="15"/>
  <c r="A62" i="15"/>
  <c r="A61" i="15"/>
  <c r="A60" i="15"/>
  <c r="A59" i="15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C20" i="15"/>
  <c r="A20" i="15"/>
  <c r="C19" i="15"/>
  <c r="A19" i="15"/>
  <c r="C18" i="15"/>
  <c r="A18" i="15"/>
  <c r="C17" i="15"/>
  <c r="A17" i="15"/>
  <c r="C16" i="15"/>
  <c r="A16" i="15"/>
  <c r="C159" i="15"/>
  <c r="A159" i="15"/>
  <c r="C15" i="15"/>
  <c r="A15" i="15"/>
  <c r="C14" i="15"/>
  <c r="A14" i="15"/>
  <c r="A13" i="15"/>
  <c r="A12" i="15"/>
  <c r="A11" i="15"/>
  <c r="A10" i="15"/>
  <c r="A9" i="15"/>
  <c r="A8" i="15"/>
  <c r="A7" i="15"/>
  <c r="A6" i="15"/>
  <c r="A5" i="15"/>
  <c r="C4" i="15"/>
  <c r="A4" i="15"/>
  <c r="C3" i="15"/>
  <c r="A3" i="15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E1149" i="3"/>
  <c r="C1149" i="3"/>
  <c r="B1149" i="3"/>
  <c r="A1149" i="3"/>
  <c r="E1148" i="3"/>
  <c r="C1148" i="3"/>
  <c r="B1148" i="3"/>
  <c r="A1148" i="3"/>
  <c r="E1147" i="3"/>
  <c r="C1147" i="3"/>
  <c r="B1147" i="3"/>
  <c r="A1147" i="3"/>
  <c r="E1146" i="3"/>
  <c r="C1146" i="3"/>
  <c r="B1146" i="3"/>
  <c r="A1146" i="3"/>
  <c r="E1145" i="3"/>
  <c r="C1145" i="3"/>
  <c r="B1145" i="3"/>
  <c r="A1145" i="3"/>
  <c r="E1144" i="3"/>
  <c r="C1144" i="3"/>
  <c r="B1144" i="3"/>
  <c r="A1144" i="3"/>
  <c r="E1143" i="3"/>
  <c r="C1143" i="3"/>
  <c r="B1143" i="3"/>
  <c r="A1143" i="3"/>
  <c r="E1142" i="3"/>
  <c r="C1142" i="3"/>
  <c r="B1142" i="3"/>
  <c r="A1142" i="3"/>
  <c r="E1141" i="3"/>
  <c r="C1141" i="3"/>
  <c r="B1141" i="3"/>
  <c r="A1141" i="3"/>
  <c r="E1140" i="3"/>
  <c r="C1140" i="3"/>
  <c r="B1140" i="3"/>
  <c r="A1140" i="3"/>
  <c r="E1139" i="3"/>
  <c r="C1139" i="3"/>
  <c r="B1139" i="3"/>
  <c r="A1139" i="3"/>
  <c r="E1138" i="3"/>
  <c r="C1138" i="3"/>
  <c r="B1138" i="3"/>
  <c r="A1138" i="3"/>
  <c r="E1137" i="3"/>
  <c r="C1137" i="3"/>
  <c r="B1137" i="3"/>
  <c r="A1137" i="3"/>
  <c r="E1136" i="3"/>
  <c r="C1136" i="3"/>
  <c r="B1136" i="3"/>
  <c r="A1136" i="3"/>
  <c r="E1135" i="3"/>
  <c r="C1135" i="3"/>
  <c r="B1135" i="3"/>
  <c r="A1135" i="3"/>
  <c r="E1134" i="3"/>
  <c r="C1134" i="3"/>
  <c r="B1134" i="3"/>
  <c r="A1134" i="3"/>
  <c r="E1133" i="3"/>
  <c r="C1133" i="3"/>
  <c r="B1133" i="3"/>
  <c r="A1133" i="3"/>
  <c r="E1132" i="3"/>
  <c r="C1132" i="3"/>
  <c r="B1132" i="3"/>
  <c r="A1132" i="3"/>
  <c r="E1131" i="3"/>
  <c r="C1131" i="3"/>
  <c r="B1131" i="3"/>
  <c r="A1131" i="3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C1143" i="15"/>
  <c r="C1142" i="15"/>
  <c r="C1141" i="15"/>
  <c r="C1140" i="15"/>
  <c r="C1139" i="15"/>
  <c r="C1138" i="15"/>
  <c r="C1137" i="15"/>
  <c r="C1136" i="15"/>
  <c r="C1135" i="15"/>
  <c r="C1134" i="15"/>
  <c r="C1133" i="15"/>
  <c r="C1132" i="15"/>
  <c r="C1131" i="15"/>
  <c r="C1130" i="15"/>
  <c r="C1129" i="15"/>
  <c r="C1128" i="15"/>
  <c r="C1127" i="15"/>
  <c r="C1126" i="15"/>
  <c r="C1125" i="15"/>
  <c r="AI1144" i="1"/>
  <c r="AC1144" i="1" s="1"/>
  <c r="AI1143" i="1"/>
  <c r="AC1143" i="1" s="1"/>
  <c r="AI1142" i="1"/>
  <c r="AC1142" i="1" s="1"/>
  <c r="AI1141" i="1"/>
  <c r="AC1141" i="1" s="1"/>
  <c r="AI1140" i="1"/>
  <c r="AC1140" i="1" s="1"/>
  <c r="AI1139" i="1"/>
  <c r="AC1139" i="1" s="1"/>
  <c r="AI1138" i="1"/>
  <c r="AC1138" i="1" s="1"/>
  <c r="AI1137" i="1"/>
  <c r="AC1137" i="1" s="1"/>
  <c r="AI1136" i="1"/>
  <c r="AC1136" i="1" s="1"/>
  <c r="AI1135" i="1"/>
  <c r="AC1135" i="1" s="1"/>
  <c r="AI1134" i="1"/>
  <c r="AC1134" i="1" s="1"/>
  <c r="AI1133" i="1"/>
  <c r="AC1133" i="1" s="1"/>
  <c r="AI1132" i="1"/>
  <c r="AC1132" i="1" s="1"/>
  <c r="AI1131" i="1"/>
  <c r="AC1131" i="1" s="1"/>
  <c r="AI1130" i="1"/>
  <c r="AC1130" i="1" s="1"/>
  <c r="AI1129" i="1"/>
  <c r="AC1129" i="1" s="1"/>
  <c r="AI1128" i="1"/>
  <c r="AC1128" i="1" s="1"/>
  <c r="AI1127" i="1"/>
  <c r="AC1127" i="1" s="1"/>
  <c r="BE1144" i="1"/>
  <c r="BA1144" i="1"/>
  <c r="AZ1144" i="1"/>
  <c r="AY1144" i="1"/>
  <c r="BE1143" i="1"/>
  <c r="BA1143" i="1"/>
  <c r="AZ1143" i="1"/>
  <c r="AY1143" i="1"/>
  <c r="BE1142" i="1"/>
  <c r="BA1142" i="1"/>
  <c r="AZ1142" i="1"/>
  <c r="AY1142" i="1"/>
  <c r="BE1141" i="1"/>
  <c r="BA1141" i="1"/>
  <c r="AZ1141" i="1"/>
  <c r="AY1141" i="1"/>
  <c r="BE1140" i="1"/>
  <c r="BA1140" i="1"/>
  <c r="AZ1140" i="1"/>
  <c r="AY1140" i="1"/>
  <c r="BE1139" i="1"/>
  <c r="BA1139" i="1"/>
  <c r="AZ1139" i="1"/>
  <c r="AY1139" i="1"/>
  <c r="BE1138" i="1"/>
  <c r="BA1138" i="1"/>
  <c r="AZ1138" i="1"/>
  <c r="AY1138" i="1"/>
  <c r="BE1137" i="1"/>
  <c r="BA1137" i="1"/>
  <c r="AZ1137" i="1"/>
  <c r="AY1137" i="1"/>
  <c r="BE1136" i="1"/>
  <c r="BA1136" i="1"/>
  <c r="AZ1136" i="1"/>
  <c r="AY1136" i="1"/>
  <c r="BE1135" i="1"/>
  <c r="BA1135" i="1"/>
  <c r="AZ1135" i="1"/>
  <c r="AY1135" i="1"/>
  <c r="BE1134" i="1"/>
  <c r="BA1134" i="1"/>
  <c r="AZ1134" i="1"/>
  <c r="AY1134" i="1"/>
  <c r="BE1133" i="1"/>
  <c r="BA1133" i="1"/>
  <c r="AZ1133" i="1"/>
  <c r="AY1133" i="1"/>
  <c r="BE1132" i="1"/>
  <c r="BA1132" i="1"/>
  <c r="AZ1132" i="1"/>
  <c r="AY1132" i="1"/>
  <c r="BE1131" i="1"/>
  <c r="BA1131" i="1"/>
  <c r="AZ1131" i="1"/>
  <c r="AY1131" i="1"/>
  <c r="BE1130" i="1"/>
  <c r="BA1130" i="1"/>
  <c r="AZ1130" i="1"/>
  <c r="AY1130" i="1"/>
  <c r="BE1129" i="1"/>
  <c r="BA1129" i="1"/>
  <c r="AZ1129" i="1"/>
  <c r="AY1129" i="1"/>
  <c r="BE1128" i="1"/>
  <c r="BA1128" i="1"/>
  <c r="AZ1128" i="1"/>
  <c r="AY1128" i="1"/>
  <c r="BE1127" i="1"/>
  <c r="BA1127" i="1"/>
  <c r="AZ1127" i="1"/>
  <c r="AY1127" i="1"/>
  <c r="BE1126" i="1"/>
  <c r="BA1126" i="1"/>
  <c r="AZ1126" i="1"/>
  <c r="AY1126" i="1"/>
  <c r="Q1144" i="1"/>
  <c r="P1144" i="1" s="1"/>
  <c r="Q1143" i="1"/>
  <c r="P1143" i="1" s="1"/>
  <c r="Q1142" i="1"/>
  <c r="P1142" i="1" s="1"/>
  <c r="Q1141" i="1"/>
  <c r="P1141" i="1" s="1"/>
  <c r="Q1140" i="1"/>
  <c r="P1140" i="1" s="1"/>
  <c r="Q1139" i="1"/>
  <c r="P1139" i="1" s="1"/>
  <c r="Q1138" i="1"/>
  <c r="P1138" i="1" s="1"/>
  <c r="Q1137" i="1"/>
  <c r="P1137" i="1" s="1"/>
  <c r="Q1136" i="1"/>
  <c r="P1136" i="1" s="1"/>
  <c r="Q1135" i="1"/>
  <c r="P1135" i="1" s="1"/>
  <c r="Q1134" i="1"/>
  <c r="P1134" i="1" s="1"/>
  <c r="Q1133" i="1"/>
  <c r="P1133" i="1" s="1"/>
  <c r="Q1132" i="1"/>
  <c r="P1132" i="1" s="1"/>
  <c r="Q1131" i="1"/>
  <c r="P1131" i="1" s="1"/>
  <c r="Q1130" i="1"/>
  <c r="P1130" i="1" s="1"/>
  <c r="Q1129" i="1"/>
  <c r="P1129" i="1" s="1"/>
  <c r="Q1128" i="1"/>
  <c r="P1128" i="1" s="1"/>
  <c r="Q1127" i="1"/>
  <c r="P1127" i="1" s="1"/>
  <c r="Q1126" i="1"/>
  <c r="P1126" i="1" s="1"/>
  <c r="AI1126" i="1"/>
  <c r="AC1126" i="1" s="1"/>
  <c r="F1072" i="15" l="1"/>
  <c r="M1126" i="1"/>
  <c r="B1125" i="15" s="1"/>
  <c r="M1128" i="1"/>
  <c r="B1127" i="15" s="1"/>
  <c r="M1130" i="1"/>
  <c r="B1129" i="15" s="1"/>
  <c r="M1132" i="1"/>
  <c r="B1131" i="15" s="1"/>
  <c r="M1134" i="1"/>
  <c r="B1133" i="15" s="1"/>
  <c r="M1136" i="1"/>
  <c r="B1135" i="15" s="1"/>
  <c r="M1138" i="1"/>
  <c r="B1137" i="15" s="1"/>
  <c r="M1140" i="1"/>
  <c r="B1139" i="15" s="1"/>
  <c r="M1142" i="1"/>
  <c r="B1141" i="15" s="1"/>
  <c r="M1144" i="1"/>
  <c r="B1143" i="15" s="1"/>
  <c r="D1132" i="3"/>
  <c r="C1127" i="1" s="1"/>
  <c r="D1134" i="3"/>
  <c r="C1129" i="1" s="1"/>
  <c r="D1136" i="3"/>
  <c r="C1131" i="1" s="1"/>
  <c r="D1138" i="3"/>
  <c r="C1133" i="1" s="1"/>
  <c r="D1140" i="3"/>
  <c r="C1135" i="1" s="1"/>
  <c r="D1142" i="3"/>
  <c r="C1137" i="1" s="1"/>
  <c r="D1144" i="3"/>
  <c r="C1139" i="1" s="1"/>
  <c r="D1146" i="3"/>
  <c r="C1141" i="1" s="1"/>
  <c r="D1148" i="3"/>
  <c r="C1143" i="1" s="1"/>
  <c r="M1127" i="1"/>
  <c r="B1126" i="15" s="1"/>
  <c r="M1129" i="1"/>
  <c r="B1128" i="15" s="1"/>
  <c r="M1131" i="1"/>
  <c r="B1130" i="15" s="1"/>
  <c r="M1133" i="1"/>
  <c r="B1132" i="15" s="1"/>
  <c r="M1135" i="1"/>
  <c r="B1134" i="15" s="1"/>
  <c r="M1137" i="1"/>
  <c r="B1136" i="15" s="1"/>
  <c r="M1139" i="1"/>
  <c r="B1138" i="15" s="1"/>
  <c r="M1141" i="1"/>
  <c r="B1140" i="15" s="1"/>
  <c r="M1143" i="1"/>
  <c r="B1142" i="15" s="1"/>
  <c r="D1131" i="3"/>
  <c r="D1133" i="3"/>
  <c r="D1135" i="3"/>
  <c r="D1137" i="3"/>
  <c r="D1139" i="3"/>
  <c r="D1141" i="3"/>
  <c r="D1143" i="3"/>
  <c r="D1145" i="3"/>
  <c r="D1147" i="3"/>
  <c r="D1149" i="3"/>
  <c r="F912" i="15"/>
  <c r="F917" i="15"/>
  <c r="F922" i="15"/>
  <c r="F928" i="15"/>
  <c r="F1106" i="15"/>
  <c r="F997" i="15"/>
  <c r="F1008" i="15"/>
  <c r="F1024" i="15"/>
  <c r="F1034" i="15"/>
  <c r="F1066" i="15"/>
  <c r="F1132" i="15"/>
  <c r="F1075" i="15"/>
  <c r="F1077" i="15"/>
  <c r="F1079" i="15"/>
  <c r="F1081" i="15"/>
  <c r="F1083" i="15"/>
  <c r="F909" i="15"/>
  <c r="F911" i="15"/>
  <c r="F913" i="15"/>
  <c r="F914" i="15"/>
  <c r="F915" i="15"/>
  <c r="F919" i="15"/>
  <c r="F921" i="15"/>
  <c r="F923" i="15"/>
  <c r="F925" i="15"/>
  <c r="F927" i="15"/>
  <c r="F929" i="15"/>
  <c r="F931" i="15"/>
  <c r="F933" i="15"/>
  <c r="F935" i="15"/>
  <c r="F937" i="15"/>
  <c r="F939" i="15"/>
  <c r="F941" i="15"/>
  <c r="F943" i="15"/>
  <c r="F945" i="15"/>
  <c r="F947" i="15"/>
  <c r="F949" i="15"/>
  <c r="F951" i="15"/>
  <c r="F953" i="15"/>
  <c r="F955" i="15"/>
  <c r="F957" i="15"/>
  <c r="F959" i="15"/>
  <c r="F961" i="15"/>
  <c r="F963" i="15"/>
  <c r="F965" i="15"/>
  <c r="F967" i="15"/>
  <c r="F969" i="15"/>
  <c r="F971" i="15"/>
  <c r="F973" i="15"/>
  <c r="F975" i="15"/>
  <c r="F977" i="15"/>
  <c r="F979" i="15"/>
  <c r="F981" i="15"/>
  <c r="F983" i="15"/>
  <c r="F985" i="15"/>
  <c r="F987" i="15"/>
  <c r="F1085" i="15"/>
  <c r="F1087" i="15"/>
  <c r="F1089" i="15"/>
  <c r="F1091" i="15"/>
  <c r="F1093" i="15"/>
  <c r="F1095" i="15"/>
  <c r="F1097" i="15"/>
  <c r="F1099" i="15"/>
  <c r="F1101" i="15"/>
  <c r="F1103" i="15"/>
  <c r="F1105" i="15"/>
  <c r="F1107" i="15"/>
  <c r="F1109" i="15"/>
  <c r="F1111" i="15"/>
  <c r="F1113" i="15"/>
  <c r="F989" i="15"/>
  <c r="F991" i="15"/>
  <c r="F993" i="15"/>
  <c r="F995" i="15"/>
  <c r="F999" i="15"/>
  <c r="F1115" i="15"/>
  <c r="F1117" i="15"/>
  <c r="F1119" i="15"/>
  <c r="F1121" i="15"/>
  <c r="F1123" i="15"/>
  <c r="F1002" i="15"/>
  <c r="F1004" i="15"/>
  <c r="F1005" i="15"/>
  <c r="F1006" i="15"/>
  <c r="F1010" i="15"/>
  <c r="F1012" i="15"/>
  <c r="F1014" i="15"/>
  <c r="F1016" i="15"/>
  <c r="F1018" i="15"/>
  <c r="F1020" i="15"/>
  <c r="F1022" i="15"/>
  <c r="F1026" i="15"/>
  <c r="F1028" i="15"/>
  <c r="F1030" i="15"/>
  <c r="F1031" i="15"/>
  <c r="F1033" i="15"/>
  <c r="F1035" i="15"/>
  <c r="F1036" i="15"/>
  <c r="F1037" i="15"/>
  <c r="F1039" i="15"/>
  <c r="F1041" i="15"/>
  <c r="F1043" i="15"/>
  <c r="F1045" i="15"/>
  <c r="F1047" i="15"/>
  <c r="F1049" i="15"/>
  <c r="F1051" i="15"/>
  <c r="F1053" i="15"/>
  <c r="F1055" i="15"/>
  <c r="F1057" i="15"/>
  <c r="F1059" i="15"/>
  <c r="F1061" i="15"/>
  <c r="F1063" i="15"/>
  <c r="F1068" i="15"/>
  <c r="F1070" i="15"/>
  <c r="F1125" i="15"/>
  <c r="F1127" i="15"/>
  <c r="F1129" i="15"/>
  <c r="F1130" i="15"/>
  <c r="F1131" i="15"/>
  <c r="F1133" i="15"/>
  <c r="F1135" i="15"/>
  <c r="F1137" i="15"/>
  <c r="F1139" i="15"/>
  <c r="F1141" i="15"/>
  <c r="F1143" i="15"/>
  <c r="F1073" i="15"/>
  <c r="F1074" i="15"/>
  <c r="F1076" i="15"/>
  <c r="F1078" i="15"/>
  <c r="F1080" i="15"/>
  <c r="F1082" i="15"/>
  <c r="F1084" i="15"/>
  <c r="F910" i="15"/>
  <c r="F916" i="15"/>
  <c r="F918" i="15"/>
  <c r="F920" i="15"/>
  <c r="F924" i="15"/>
  <c r="F926" i="15"/>
  <c r="F936" i="15"/>
  <c r="F940" i="15"/>
  <c r="F942" i="15"/>
  <c r="F944" i="15"/>
  <c r="F954" i="15"/>
  <c r="F956" i="15"/>
  <c r="F960" i="15"/>
  <c r="F968" i="15"/>
  <c r="F970" i="15"/>
  <c r="F974" i="15"/>
  <c r="F1090" i="15"/>
  <c r="F1112" i="15"/>
  <c r="F988" i="15"/>
  <c r="F990" i="15"/>
  <c r="F998" i="15"/>
  <c r="F938" i="15"/>
  <c r="F980" i="15"/>
  <c r="F1000" i="15"/>
  <c r="F1029" i="15"/>
  <c r="F1064" i="15"/>
  <c r="F958" i="15"/>
  <c r="F972" i="15"/>
  <c r="F1013" i="15"/>
  <c r="F1044" i="15"/>
  <c r="F930" i="15"/>
  <c r="F934" i="15"/>
  <c r="F946" i="15"/>
  <c r="F950" i="15"/>
  <c r="F964" i="15"/>
  <c r="F978" i="15"/>
  <c r="F986" i="15"/>
  <c r="F1086" i="15"/>
  <c r="F1092" i="15"/>
  <c r="F1096" i="15"/>
  <c r="F1098" i="15"/>
  <c r="F1102" i="15"/>
  <c r="F1110" i="15"/>
  <c r="F996" i="15"/>
  <c r="F1116" i="15"/>
  <c r="F1118" i="15"/>
  <c r="F1122" i="15"/>
  <c r="F1003" i="15"/>
  <c r="F1007" i="15"/>
  <c r="F1011" i="15"/>
  <c r="F1017" i="15"/>
  <c r="F1021" i="15"/>
  <c r="F1023" i="15"/>
  <c r="F1027" i="15"/>
  <c r="F1032" i="15"/>
  <c r="F1038" i="15"/>
  <c r="F1040" i="15"/>
  <c r="F1042" i="15"/>
  <c r="F1046" i="15"/>
  <c r="F1048" i="15"/>
  <c r="F1050" i="15"/>
  <c r="F1052" i="15"/>
  <c r="F1054" i="15"/>
  <c r="F1056" i="15"/>
  <c r="F1058" i="15"/>
  <c r="F1060" i="15"/>
  <c r="F1062" i="15"/>
  <c r="F1065" i="15"/>
  <c r="F1067" i="15"/>
  <c r="F1069" i="15"/>
  <c r="F1071" i="15"/>
  <c r="F1126" i="15"/>
  <c r="F1128" i="15"/>
  <c r="F1134" i="15"/>
  <c r="F1136" i="15"/>
  <c r="F1138" i="15"/>
  <c r="F1140" i="15"/>
  <c r="F1142" i="15"/>
  <c r="F932" i="15"/>
  <c r="F948" i="15"/>
  <c r="F952" i="15"/>
  <c r="F962" i="15"/>
  <c r="F966" i="15"/>
  <c r="F976" i="15"/>
  <c r="F982" i="15"/>
  <c r="F984" i="15"/>
  <c r="F1088" i="15"/>
  <c r="F1094" i="15"/>
  <c r="F1100" i="15"/>
  <c r="F1104" i="15"/>
  <c r="F1108" i="15"/>
  <c r="F992" i="15"/>
  <c r="F994" i="15"/>
  <c r="F1114" i="15"/>
  <c r="F1120" i="15"/>
  <c r="F1124" i="15"/>
  <c r="F1001" i="15"/>
  <c r="F1009" i="15"/>
  <c r="F1015" i="15"/>
  <c r="F1019" i="15"/>
  <c r="F1025" i="15"/>
  <c r="D1125" i="1"/>
  <c r="D1124" i="1"/>
  <c r="D1123" i="1"/>
  <c r="D1122" i="1"/>
  <c r="D1121" i="1"/>
  <c r="D1120" i="1"/>
  <c r="D1119" i="1"/>
  <c r="D1118" i="1"/>
  <c r="J1130" i="3"/>
  <c r="H1130" i="3"/>
  <c r="E1130" i="3"/>
  <c r="C1130" i="3"/>
  <c r="B1130" i="3"/>
  <c r="A1130" i="3"/>
  <c r="J1129" i="3"/>
  <c r="H1129" i="3"/>
  <c r="E1129" i="3"/>
  <c r="C1129" i="3"/>
  <c r="B1129" i="3"/>
  <c r="A1129" i="3"/>
  <c r="J1128" i="3"/>
  <c r="H1128" i="3"/>
  <c r="E1128" i="3"/>
  <c r="C1128" i="3"/>
  <c r="B1128" i="3"/>
  <c r="A1128" i="3"/>
  <c r="J1127" i="3"/>
  <c r="H1127" i="3"/>
  <c r="E1127" i="3"/>
  <c r="C1127" i="3"/>
  <c r="B1127" i="3"/>
  <c r="A1127" i="3"/>
  <c r="E1126" i="3"/>
  <c r="C1126" i="3"/>
  <c r="B1126" i="3"/>
  <c r="A1126" i="3"/>
  <c r="E1125" i="3"/>
  <c r="C1125" i="3"/>
  <c r="B1125" i="3"/>
  <c r="A1125" i="3"/>
  <c r="E1124" i="3"/>
  <c r="C1124" i="3"/>
  <c r="B1124" i="3"/>
  <c r="A1124" i="3"/>
  <c r="J1123" i="3"/>
  <c r="H1123" i="3"/>
  <c r="E1123" i="3"/>
  <c r="C1123" i="3"/>
  <c r="B1123" i="3"/>
  <c r="A1123" i="3"/>
  <c r="J1125" i="1"/>
  <c r="J1124" i="1"/>
  <c r="J1123" i="1"/>
  <c r="J1122" i="1"/>
  <c r="J1121" i="1"/>
  <c r="J1120" i="1"/>
  <c r="J1119" i="1"/>
  <c r="J1118" i="1"/>
  <c r="BE1125" i="1"/>
  <c r="BA1125" i="1"/>
  <c r="AZ1125" i="1"/>
  <c r="AY1125" i="1"/>
  <c r="BE1124" i="1"/>
  <c r="BA1124" i="1"/>
  <c r="AZ1124" i="1"/>
  <c r="AY1124" i="1"/>
  <c r="BE1123" i="1"/>
  <c r="BA1123" i="1"/>
  <c r="AZ1123" i="1"/>
  <c r="AY1123" i="1"/>
  <c r="BE1122" i="1"/>
  <c r="BA1122" i="1"/>
  <c r="AZ1122" i="1"/>
  <c r="AY1122" i="1"/>
  <c r="BE1121" i="1"/>
  <c r="BA1121" i="1"/>
  <c r="AZ1121" i="1"/>
  <c r="AY1121" i="1"/>
  <c r="BE1120" i="1"/>
  <c r="BA1120" i="1"/>
  <c r="AZ1120" i="1"/>
  <c r="AY1120" i="1"/>
  <c r="BE1119" i="1"/>
  <c r="BA1119" i="1"/>
  <c r="AZ1119" i="1"/>
  <c r="AY1119" i="1"/>
  <c r="BE1118" i="1"/>
  <c r="BA1118" i="1"/>
  <c r="AZ1118" i="1"/>
  <c r="AY1118" i="1"/>
  <c r="AI1125" i="1"/>
  <c r="AC1125" i="1" s="1"/>
  <c r="AI1124" i="1"/>
  <c r="AC1124" i="1"/>
  <c r="AI1123" i="1"/>
  <c r="AC1123" i="1"/>
  <c r="AI1122" i="1"/>
  <c r="AC1122" i="1" s="1"/>
  <c r="AI1121" i="1"/>
  <c r="AC1121" i="1"/>
  <c r="AI1120" i="1"/>
  <c r="AC1120" i="1"/>
  <c r="AI1119" i="1"/>
  <c r="AC1119" i="1" s="1"/>
  <c r="AI1118" i="1"/>
  <c r="AC1118" i="1" s="1"/>
  <c r="N1125" i="1"/>
  <c r="C1071" i="15" s="1"/>
  <c r="N1124" i="1"/>
  <c r="C1070" i="15" s="1"/>
  <c r="N1123" i="1"/>
  <c r="C1069" i="15" s="1"/>
  <c r="N1122" i="1"/>
  <c r="C1068" i="15" s="1"/>
  <c r="N1121" i="1"/>
  <c r="C1067" i="15" s="1"/>
  <c r="N1120" i="1"/>
  <c r="C1066" i="15" s="1"/>
  <c r="N1119" i="1"/>
  <c r="C1065" i="15" s="1"/>
  <c r="N1118" i="1"/>
  <c r="C1064" i="15" s="1"/>
  <c r="P1125" i="1"/>
  <c r="Q1125" i="1" s="1"/>
  <c r="P1124" i="1"/>
  <c r="Q1124" i="1" s="1"/>
  <c r="P1123" i="1"/>
  <c r="Q1123" i="1" s="1"/>
  <c r="P1122" i="1"/>
  <c r="Q1122" i="1" s="1"/>
  <c r="P1121" i="1"/>
  <c r="Q1121" i="1" s="1"/>
  <c r="P1120" i="1"/>
  <c r="Q1120" i="1" s="1"/>
  <c r="P1119" i="1"/>
  <c r="Q1119" i="1" s="1"/>
  <c r="P1118" i="1"/>
  <c r="Q1118" i="1" s="1"/>
  <c r="D483" i="1"/>
  <c r="D482" i="1"/>
  <c r="F1134" i="3" l="1"/>
  <c r="F1142" i="3"/>
  <c r="F1138" i="3"/>
  <c r="F1146" i="3"/>
  <c r="F1148" i="3"/>
  <c r="F1144" i="3"/>
  <c r="F1140" i="3"/>
  <c r="F1136" i="3"/>
  <c r="F1132" i="3"/>
  <c r="M1118" i="1"/>
  <c r="B1064" i="15" s="1"/>
  <c r="M1120" i="1"/>
  <c r="B1066" i="15" s="1"/>
  <c r="M1122" i="1"/>
  <c r="B1068" i="15" s="1"/>
  <c r="M1124" i="1"/>
  <c r="B1070" i="15" s="1"/>
  <c r="D1124" i="3"/>
  <c r="F1124" i="3" s="1"/>
  <c r="D1126" i="3"/>
  <c r="C1121" i="1" s="1"/>
  <c r="D1128" i="3"/>
  <c r="F1128" i="3" s="1"/>
  <c r="D1130" i="3"/>
  <c r="M1119" i="1"/>
  <c r="B1065" i="15" s="1"/>
  <c r="M1121" i="1"/>
  <c r="B1067" i="15" s="1"/>
  <c r="M1123" i="1"/>
  <c r="B1069" i="15" s="1"/>
  <c r="M1125" i="1"/>
  <c r="B1071" i="15" s="1"/>
  <c r="D1123" i="3"/>
  <c r="F1123" i="3" s="1"/>
  <c r="D1125" i="3"/>
  <c r="F1125" i="3" s="1"/>
  <c r="D1127" i="3"/>
  <c r="C1122" i="1" s="1"/>
  <c r="D1129" i="3"/>
  <c r="C1124" i="1" s="1"/>
  <c r="F1149" i="3"/>
  <c r="C1144" i="1"/>
  <c r="F1147" i="3"/>
  <c r="C1142" i="1"/>
  <c r="F1145" i="3"/>
  <c r="C1140" i="1"/>
  <c r="F1143" i="3"/>
  <c r="C1138" i="1"/>
  <c r="F1141" i="3"/>
  <c r="C1136" i="1"/>
  <c r="F1139" i="3"/>
  <c r="C1134" i="1"/>
  <c r="F1137" i="3"/>
  <c r="C1132" i="1"/>
  <c r="F1135" i="3"/>
  <c r="C1130" i="1"/>
  <c r="F1133" i="3"/>
  <c r="C1128" i="1"/>
  <c r="F1131" i="3"/>
  <c r="C1126" i="1"/>
  <c r="C1120" i="1" l="1"/>
  <c r="F1129" i="3"/>
  <c r="F1126" i="3"/>
  <c r="F1127" i="3"/>
  <c r="C1119" i="1"/>
  <c r="C1123" i="1"/>
  <c r="C1118" i="1"/>
  <c r="F1130" i="3"/>
  <c r="C1125" i="1"/>
  <c r="G487" i="3"/>
  <c r="E488" i="3"/>
  <c r="D488" i="3"/>
  <c r="C488" i="3"/>
  <c r="B488" i="3"/>
  <c r="A488" i="3"/>
  <c r="E487" i="3"/>
  <c r="D487" i="3"/>
  <c r="C487" i="3"/>
  <c r="B487" i="3"/>
  <c r="A487" i="3"/>
  <c r="BE483" i="1"/>
  <c r="BA483" i="1"/>
  <c r="AY483" i="1"/>
  <c r="BE482" i="1"/>
  <c r="BA482" i="1"/>
  <c r="AY482" i="1"/>
  <c r="AZ483" i="1"/>
  <c r="AI483" i="1"/>
  <c r="AC483" i="1"/>
  <c r="M483" i="1" s="1"/>
  <c r="B1073" i="15" s="1"/>
  <c r="AZ482" i="1"/>
  <c r="AI482" i="1"/>
  <c r="AC482" i="1" s="1"/>
  <c r="M482" i="1" s="1"/>
  <c r="B1072" i="15" s="1"/>
  <c r="X483" i="1"/>
  <c r="X482" i="1"/>
  <c r="Q483" i="1"/>
  <c r="J483" i="1"/>
  <c r="Q482" i="1"/>
  <c r="J482" i="1"/>
  <c r="D481" i="1"/>
  <c r="D480" i="1"/>
  <c r="D479" i="1"/>
  <c r="E486" i="3"/>
  <c r="C486" i="3"/>
  <c r="B486" i="3"/>
  <c r="A486" i="3"/>
  <c r="E485" i="3"/>
  <c r="C485" i="3"/>
  <c r="B485" i="3"/>
  <c r="A485" i="3"/>
  <c r="E484" i="3"/>
  <c r="C484" i="3"/>
  <c r="B484" i="3"/>
  <c r="A484" i="3"/>
  <c r="N481" i="1"/>
  <c r="C791" i="15" s="1"/>
  <c r="N480" i="1"/>
  <c r="C790" i="15" s="1"/>
  <c r="N479" i="1"/>
  <c r="C789" i="15" s="1"/>
  <c r="P479" i="1"/>
  <c r="P480" i="1" s="1"/>
  <c r="BE481" i="1"/>
  <c r="BA481" i="1"/>
  <c r="AZ481" i="1"/>
  <c r="AY481" i="1"/>
  <c r="AI481" i="1"/>
  <c r="AC481" i="1" s="1"/>
  <c r="M481" i="1" s="1"/>
  <c r="B791" i="15" s="1"/>
  <c r="J481" i="1"/>
  <c r="BE480" i="1"/>
  <c r="BA480" i="1"/>
  <c r="AZ480" i="1"/>
  <c r="AY480" i="1"/>
  <c r="AI480" i="1"/>
  <c r="AC480" i="1" s="1"/>
  <c r="J480" i="1"/>
  <c r="BE479" i="1"/>
  <c r="BA479" i="1"/>
  <c r="AZ479" i="1"/>
  <c r="AY479" i="1"/>
  <c r="AI479" i="1"/>
  <c r="AC479" i="1" s="1"/>
  <c r="J479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N1117" i="1"/>
  <c r="C558" i="15" s="1"/>
  <c r="N1116" i="1"/>
  <c r="C557" i="15" s="1"/>
  <c r="N1115" i="1"/>
  <c r="N1114" i="1"/>
  <c r="C555" i="15" s="1"/>
  <c r="N1113" i="1"/>
  <c r="C554" i="15" s="1"/>
  <c r="N1112" i="1"/>
  <c r="N1111" i="1"/>
  <c r="C552" i="15" s="1"/>
  <c r="N1110" i="1"/>
  <c r="C551" i="15" s="1"/>
  <c r="N1109" i="1"/>
  <c r="C550" i="15" s="1"/>
  <c r="N1108" i="1"/>
  <c r="N1107" i="1"/>
  <c r="N1106" i="1"/>
  <c r="C547" i="15" s="1"/>
  <c r="N1105" i="1"/>
  <c r="N1104" i="1"/>
  <c r="N1103" i="1"/>
  <c r="C544" i="15" s="1"/>
  <c r="N1102" i="1"/>
  <c r="C543" i="15" s="1"/>
  <c r="N1101" i="1"/>
  <c r="C542" i="15" s="1"/>
  <c r="N1100" i="1"/>
  <c r="C541" i="15" s="1"/>
  <c r="N1099" i="1"/>
  <c r="N1098" i="1"/>
  <c r="C539" i="15" s="1"/>
  <c r="N1097" i="1"/>
  <c r="C538" i="15" s="1"/>
  <c r="N1096" i="1"/>
  <c r="N1095" i="1"/>
  <c r="C536" i="15" s="1"/>
  <c r="N1094" i="1"/>
  <c r="C535" i="15" s="1"/>
  <c r="N1093" i="1"/>
  <c r="C534" i="15" s="1"/>
  <c r="N1092" i="1"/>
  <c r="C533" i="15" s="1"/>
  <c r="D1121" i="3"/>
  <c r="C1116" i="1" s="1"/>
  <c r="D1100" i="3"/>
  <c r="J1102" i="3"/>
  <c r="H1102" i="3"/>
  <c r="J1101" i="3"/>
  <c r="H1101" i="3"/>
  <c r="J1100" i="3"/>
  <c r="H1100" i="3"/>
  <c r="J1099" i="3"/>
  <c r="H1099" i="3"/>
  <c r="J1098" i="3"/>
  <c r="H1098" i="3"/>
  <c r="J1097" i="3"/>
  <c r="H1097" i="3"/>
  <c r="J1122" i="3"/>
  <c r="H1122" i="3"/>
  <c r="J1121" i="3"/>
  <c r="H1121" i="3"/>
  <c r="J1120" i="3"/>
  <c r="H1120" i="3"/>
  <c r="J1119" i="3"/>
  <c r="H1119" i="3"/>
  <c r="E1122" i="3"/>
  <c r="C1122" i="3"/>
  <c r="B1122" i="3"/>
  <c r="A1122" i="3"/>
  <c r="E1121" i="3"/>
  <c r="C1121" i="3"/>
  <c r="B1121" i="3"/>
  <c r="A1121" i="3"/>
  <c r="E1120" i="3"/>
  <c r="C1120" i="3"/>
  <c r="B1120" i="3"/>
  <c r="A1120" i="3"/>
  <c r="E1119" i="3"/>
  <c r="C1119" i="3"/>
  <c r="B1119" i="3"/>
  <c r="A1119" i="3"/>
  <c r="E1118" i="3"/>
  <c r="D1118" i="3"/>
  <c r="C1113" i="1" s="1"/>
  <c r="C1118" i="3"/>
  <c r="B1118" i="3"/>
  <c r="A1118" i="3"/>
  <c r="E1117" i="3"/>
  <c r="C1117" i="3"/>
  <c r="B1117" i="3"/>
  <c r="A1117" i="3"/>
  <c r="E1116" i="3"/>
  <c r="C1116" i="3"/>
  <c r="B1116" i="3"/>
  <c r="A1116" i="3"/>
  <c r="E1115" i="3"/>
  <c r="C1115" i="3"/>
  <c r="B1115" i="3"/>
  <c r="A1115" i="3"/>
  <c r="E1114" i="3"/>
  <c r="C1114" i="3"/>
  <c r="B1114" i="3"/>
  <c r="A1114" i="3"/>
  <c r="E1113" i="3"/>
  <c r="C1113" i="3"/>
  <c r="B1113" i="3"/>
  <c r="A1113" i="3"/>
  <c r="E1112" i="3"/>
  <c r="C1112" i="3"/>
  <c r="B1112" i="3"/>
  <c r="A1112" i="3"/>
  <c r="E1111" i="3"/>
  <c r="C1111" i="3"/>
  <c r="B1111" i="3"/>
  <c r="A1111" i="3"/>
  <c r="E1110" i="3"/>
  <c r="C1110" i="3"/>
  <c r="B1110" i="3"/>
  <c r="A1110" i="3"/>
  <c r="E1109" i="3"/>
  <c r="C1109" i="3"/>
  <c r="B1109" i="3"/>
  <c r="A1109" i="3"/>
  <c r="E1108" i="3"/>
  <c r="C1108" i="3"/>
  <c r="B1108" i="3"/>
  <c r="A1108" i="3"/>
  <c r="E1107" i="3"/>
  <c r="C1107" i="3"/>
  <c r="B1107" i="3"/>
  <c r="A1107" i="3"/>
  <c r="E1106" i="3"/>
  <c r="C1106" i="3"/>
  <c r="B1106" i="3"/>
  <c r="A1106" i="3"/>
  <c r="E1105" i="3"/>
  <c r="C1105" i="3"/>
  <c r="B1105" i="3"/>
  <c r="A1105" i="3"/>
  <c r="E1104" i="3"/>
  <c r="C1104" i="3"/>
  <c r="B1104" i="3"/>
  <c r="A1104" i="3"/>
  <c r="E1103" i="3"/>
  <c r="C1103" i="3"/>
  <c r="B1103" i="3"/>
  <c r="A1103" i="3"/>
  <c r="E1102" i="3"/>
  <c r="C1102" i="3"/>
  <c r="B1102" i="3"/>
  <c r="A1102" i="3"/>
  <c r="E1101" i="3"/>
  <c r="C1101" i="3"/>
  <c r="B1101" i="3"/>
  <c r="A1101" i="3"/>
  <c r="E1100" i="3"/>
  <c r="C1100" i="3"/>
  <c r="B1100" i="3"/>
  <c r="A1100" i="3"/>
  <c r="E1099" i="3"/>
  <c r="C1099" i="3"/>
  <c r="B1099" i="3"/>
  <c r="A1099" i="3"/>
  <c r="E1098" i="3"/>
  <c r="C1098" i="3"/>
  <c r="B1098" i="3"/>
  <c r="A1098" i="3"/>
  <c r="E1097" i="3"/>
  <c r="C1097" i="3"/>
  <c r="B1097" i="3"/>
  <c r="A1097" i="3"/>
  <c r="BE1117" i="1"/>
  <c r="BA1117" i="1"/>
  <c r="AZ1117" i="1"/>
  <c r="AY1117" i="1"/>
  <c r="AI1117" i="1"/>
  <c r="AC1117" i="1" s="1"/>
  <c r="BE1116" i="1"/>
  <c r="BA1116" i="1"/>
  <c r="AZ1116" i="1"/>
  <c r="AY1116" i="1"/>
  <c r="AI1116" i="1"/>
  <c r="AC1116" i="1" s="1"/>
  <c r="BE1115" i="1"/>
  <c r="BA1115" i="1"/>
  <c r="AZ1115" i="1"/>
  <c r="AY1115" i="1"/>
  <c r="AI1115" i="1"/>
  <c r="AC1115" i="1" s="1"/>
  <c r="BE1114" i="1"/>
  <c r="BA1114" i="1"/>
  <c r="AZ1114" i="1"/>
  <c r="AY1114" i="1"/>
  <c r="AI1114" i="1"/>
  <c r="AC1114" i="1" s="1"/>
  <c r="Q1117" i="1"/>
  <c r="Q1116" i="1"/>
  <c r="Q1115" i="1"/>
  <c r="Q1114" i="1"/>
  <c r="J1117" i="1"/>
  <c r="J1116" i="1"/>
  <c r="J1115" i="1"/>
  <c r="J1114" i="1"/>
  <c r="BE1113" i="1"/>
  <c r="BA1113" i="1"/>
  <c r="AZ1113" i="1"/>
  <c r="AY1113" i="1"/>
  <c r="BE1112" i="1"/>
  <c r="BA1112" i="1"/>
  <c r="AZ1112" i="1"/>
  <c r="AY1112" i="1"/>
  <c r="BE1111" i="1"/>
  <c r="BA1111" i="1"/>
  <c r="AZ1111" i="1"/>
  <c r="AY1111" i="1"/>
  <c r="BE1110" i="1"/>
  <c r="BA1110" i="1"/>
  <c r="AZ1110" i="1"/>
  <c r="AY1110" i="1"/>
  <c r="BE1109" i="1"/>
  <c r="BA1109" i="1"/>
  <c r="AZ1109" i="1"/>
  <c r="AY1109" i="1"/>
  <c r="BE1108" i="1"/>
  <c r="BA1108" i="1"/>
  <c r="AZ1108" i="1"/>
  <c r="AY1108" i="1"/>
  <c r="BE1107" i="1"/>
  <c r="BA1107" i="1"/>
  <c r="AZ1107" i="1"/>
  <c r="AY1107" i="1"/>
  <c r="BE1106" i="1"/>
  <c r="BA1106" i="1"/>
  <c r="AZ1106" i="1"/>
  <c r="AY1106" i="1"/>
  <c r="BE1105" i="1"/>
  <c r="BA1105" i="1"/>
  <c r="AZ1105" i="1"/>
  <c r="AY1105" i="1"/>
  <c r="BE1104" i="1"/>
  <c r="BA1104" i="1"/>
  <c r="AZ1104" i="1"/>
  <c r="AY1104" i="1"/>
  <c r="BE1103" i="1"/>
  <c r="BA1103" i="1"/>
  <c r="AZ1103" i="1"/>
  <c r="AY1103" i="1"/>
  <c r="BE1102" i="1"/>
  <c r="BA1102" i="1"/>
  <c r="AZ1102" i="1"/>
  <c r="AY1102" i="1"/>
  <c r="BE1101" i="1"/>
  <c r="BA1101" i="1"/>
  <c r="AZ1101" i="1"/>
  <c r="AY1101" i="1"/>
  <c r="BE1100" i="1"/>
  <c r="BA1100" i="1"/>
  <c r="AZ1100" i="1"/>
  <c r="AY1100" i="1"/>
  <c r="BE1099" i="1"/>
  <c r="BA1099" i="1"/>
  <c r="AZ1099" i="1"/>
  <c r="AY1099" i="1"/>
  <c r="BE1098" i="1"/>
  <c r="BA1098" i="1"/>
  <c r="AZ1098" i="1"/>
  <c r="AY1098" i="1"/>
  <c r="AI1113" i="1"/>
  <c r="AC1113" i="1" s="1"/>
  <c r="AI1112" i="1"/>
  <c r="AC1112" i="1" s="1"/>
  <c r="AI1111" i="1"/>
  <c r="AC1111" i="1" s="1"/>
  <c r="AI1110" i="1"/>
  <c r="AC1110" i="1" s="1"/>
  <c r="AI1109" i="1"/>
  <c r="AC1109" i="1" s="1"/>
  <c r="AI1108" i="1"/>
  <c r="AC1108" i="1" s="1"/>
  <c r="AI1107" i="1"/>
  <c r="AC1107" i="1" s="1"/>
  <c r="AI1106" i="1"/>
  <c r="AC1106" i="1" s="1"/>
  <c r="AI1105" i="1"/>
  <c r="AC1105" i="1" s="1"/>
  <c r="AI1104" i="1"/>
  <c r="AC1104" i="1" s="1"/>
  <c r="AI1103" i="1"/>
  <c r="AC1103" i="1" s="1"/>
  <c r="AI1102" i="1"/>
  <c r="AC1102" i="1" s="1"/>
  <c r="AI1101" i="1"/>
  <c r="AC1101" i="1" s="1"/>
  <c r="AI1100" i="1"/>
  <c r="AC1100" i="1" s="1"/>
  <c r="AI1099" i="1"/>
  <c r="AC1099" i="1" s="1"/>
  <c r="AI1098" i="1"/>
  <c r="AC1098" i="1" s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BE1097" i="1"/>
  <c r="BA1097" i="1"/>
  <c r="AZ1097" i="1"/>
  <c r="AY1097" i="1"/>
  <c r="BE1096" i="1"/>
  <c r="BA1096" i="1"/>
  <c r="AZ1096" i="1"/>
  <c r="AY1096" i="1"/>
  <c r="BE1095" i="1"/>
  <c r="BA1095" i="1"/>
  <c r="AZ1095" i="1"/>
  <c r="AY1095" i="1"/>
  <c r="BE1094" i="1"/>
  <c r="BA1094" i="1"/>
  <c r="AZ1094" i="1"/>
  <c r="AY1094" i="1"/>
  <c r="BE1093" i="1"/>
  <c r="BA1093" i="1"/>
  <c r="AZ1093" i="1"/>
  <c r="AY1093" i="1"/>
  <c r="BE1092" i="1"/>
  <c r="BA1092" i="1"/>
  <c r="AZ1092" i="1"/>
  <c r="AY1092" i="1"/>
  <c r="AI1097" i="1"/>
  <c r="AC1097" i="1" s="1"/>
  <c r="AI1096" i="1"/>
  <c r="AC1096" i="1" s="1"/>
  <c r="AI1095" i="1"/>
  <c r="AC1095" i="1" s="1"/>
  <c r="AI1094" i="1"/>
  <c r="AC1094" i="1" s="1"/>
  <c r="AI1093" i="1"/>
  <c r="AC1093" i="1" s="1"/>
  <c r="Q1097" i="1"/>
  <c r="Q1096" i="1"/>
  <c r="Q1095" i="1"/>
  <c r="Q1094" i="1"/>
  <c r="Q1093" i="1"/>
  <c r="Q1092" i="1"/>
  <c r="J1097" i="1"/>
  <c r="J1096" i="1"/>
  <c r="J1095" i="1"/>
  <c r="J1094" i="1"/>
  <c r="J1093" i="1"/>
  <c r="J1092" i="1"/>
  <c r="AI1092" i="1"/>
  <c r="AC1092" i="1" s="1"/>
  <c r="D959" i="1"/>
  <c r="D958" i="1"/>
  <c r="D957" i="1"/>
  <c r="D956" i="1"/>
  <c r="D955" i="1"/>
  <c r="D954" i="1"/>
  <c r="D953" i="1"/>
  <c r="D952" i="1"/>
  <c r="D951" i="1"/>
  <c r="D950" i="1"/>
  <c r="D949" i="1"/>
  <c r="E964" i="3"/>
  <c r="C964" i="3"/>
  <c r="B964" i="3"/>
  <c r="A964" i="3"/>
  <c r="E963" i="3"/>
  <c r="C963" i="3"/>
  <c r="B963" i="3"/>
  <c r="A963" i="3"/>
  <c r="E962" i="3"/>
  <c r="C962" i="3"/>
  <c r="B962" i="3"/>
  <c r="A962" i="3"/>
  <c r="E961" i="3"/>
  <c r="C961" i="3"/>
  <c r="B961" i="3"/>
  <c r="A961" i="3"/>
  <c r="E960" i="3"/>
  <c r="C960" i="3"/>
  <c r="B960" i="3"/>
  <c r="A960" i="3"/>
  <c r="E959" i="3"/>
  <c r="C959" i="3"/>
  <c r="B959" i="3"/>
  <c r="A959" i="3"/>
  <c r="E958" i="3"/>
  <c r="C958" i="3"/>
  <c r="B958" i="3"/>
  <c r="A958" i="3"/>
  <c r="E957" i="3"/>
  <c r="C957" i="3"/>
  <c r="B957" i="3"/>
  <c r="A957" i="3"/>
  <c r="E956" i="3"/>
  <c r="C956" i="3"/>
  <c r="B956" i="3"/>
  <c r="A956" i="3"/>
  <c r="E955" i="3"/>
  <c r="C955" i="3"/>
  <c r="B955" i="3"/>
  <c r="A955" i="3"/>
  <c r="E954" i="3"/>
  <c r="C954" i="3"/>
  <c r="B954" i="3"/>
  <c r="A954" i="3"/>
  <c r="N959" i="1"/>
  <c r="N958" i="1"/>
  <c r="N957" i="1"/>
  <c r="N956" i="1"/>
  <c r="N955" i="1"/>
  <c r="N954" i="1"/>
  <c r="N953" i="1"/>
  <c r="N952" i="1"/>
  <c r="C1117" i="15" s="1"/>
  <c r="N951" i="1"/>
  <c r="C1116" i="15" s="1"/>
  <c r="N950" i="1"/>
  <c r="C1115" i="15" s="1"/>
  <c r="N949" i="1"/>
  <c r="C1114" i="15" s="1"/>
  <c r="BE959" i="1"/>
  <c r="BA959" i="1"/>
  <c r="AZ959" i="1"/>
  <c r="AY959" i="1"/>
  <c r="BE958" i="1"/>
  <c r="BA958" i="1"/>
  <c r="AZ958" i="1"/>
  <c r="AY958" i="1"/>
  <c r="BE957" i="1"/>
  <c r="BA957" i="1"/>
  <c r="AZ957" i="1"/>
  <c r="AY957" i="1"/>
  <c r="BE956" i="1"/>
  <c r="BA956" i="1"/>
  <c r="AZ956" i="1"/>
  <c r="AY956" i="1"/>
  <c r="BE955" i="1"/>
  <c r="BA955" i="1"/>
  <c r="AZ955" i="1"/>
  <c r="AY955" i="1"/>
  <c r="BE954" i="1"/>
  <c r="BA954" i="1"/>
  <c r="AZ954" i="1"/>
  <c r="AY954" i="1"/>
  <c r="BE953" i="1"/>
  <c r="BA953" i="1"/>
  <c r="AZ953" i="1"/>
  <c r="AY953" i="1"/>
  <c r="BE952" i="1"/>
  <c r="BA952" i="1"/>
  <c r="AZ952" i="1"/>
  <c r="AY952" i="1"/>
  <c r="BE951" i="1"/>
  <c r="BA951" i="1"/>
  <c r="AZ951" i="1"/>
  <c r="AY951" i="1"/>
  <c r="BE950" i="1"/>
  <c r="BA950" i="1"/>
  <c r="AZ950" i="1"/>
  <c r="AY950" i="1"/>
  <c r="BE949" i="1"/>
  <c r="BA949" i="1"/>
  <c r="AZ949" i="1"/>
  <c r="AY949" i="1"/>
  <c r="AI959" i="1"/>
  <c r="AC959" i="1" s="1"/>
  <c r="AI958" i="1"/>
  <c r="AC958" i="1" s="1"/>
  <c r="AI957" i="1"/>
  <c r="AC957" i="1" s="1"/>
  <c r="AI956" i="1"/>
  <c r="AC956" i="1" s="1"/>
  <c r="AI955" i="1"/>
  <c r="AC955" i="1" s="1"/>
  <c r="AI954" i="1"/>
  <c r="AC954" i="1" s="1"/>
  <c r="AI953" i="1"/>
  <c r="AC953" i="1" s="1"/>
  <c r="AI952" i="1"/>
  <c r="AC952" i="1" s="1"/>
  <c r="AI951" i="1"/>
  <c r="AC951" i="1" s="1"/>
  <c r="AI950" i="1"/>
  <c r="AC950" i="1" s="1"/>
  <c r="AI949" i="1"/>
  <c r="AC949" i="1" s="1"/>
  <c r="J959" i="1"/>
  <c r="J958" i="1"/>
  <c r="J957" i="1"/>
  <c r="J956" i="1"/>
  <c r="J955" i="1"/>
  <c r="J954" i="1"/>
  <c r="J953" i="1"/>
  <c r="J952" i="1"/>
  <c r="J951" i="1"/>
  <c r="J950" i="1"/>
  <c r="J949" i="1"/>
  <c r="P959" i="1"/>
  <c r="P958" i="1"/>
  <c r="Q959" i="1"/>
  <c r="Q958" i="1"/>
  <c r="P957" i="1"/>
  <c r="Q957" i="1" s="1"/>
  <c r="P956" i="1"/>
  <c r="Q956" i="1" s="1"/>
  <c r="P955" i="1"/>
  <c r="Q955" i="1" s="1"/>
  <c r="P954" i="1"/>
  <c r="Q954" i="1" s="1"/>
  <c r="P953" i="1"/>
  <c r="Q953" i="1" s="1"/>
  <c r="P952" i="1"/>
  <c r="P951" i="1"/>
  <c r="Q952" i="1"/>
  <c r="Q951" i="1"/>
  <c r="P950" i="1"/>
  <c r="Q950" i="1" s="1"/>
  <c r="P949" i="1"/>
  <c r="Q949" i="1" s="1"/>
  <c r="D1216" i="1"/>
  <c r="C1216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C795" i="1"/>
  <c r="D794" i="1"/>
  <c r="C794" i="1"/>
  <c r="D793" i="1"/>
  <c r="C793" i="1"/>
  <c r="D792" i="1"/>
  <c r="D791" i="1"/>
  <c r="D790" i="1"/>
  <c r="D789" i="1"/>
  <c r="C789" i="1"/>
  <c r="D788" i="1"/>
  <c r="C788" i="1"/>
  <c r="D787" i="1"/>
  <c r="C787" i="1"/>
  <c r="D786" i="1"/>
  <c r="C786" i="1"/>
  <c r="D785" i="1"/>
  <c r="C785" i="1"/>
  <c r="D784" i="1"/>
  <c r="C784" i="1"/>
  <c r="D783" i="1"/>
  <c r="C783" i="1"/>
  <c r="D782" i="1"/>
  <c r="C782" i="1"/>
  <c r="D781" i="1"/>
  <c r="C781" i="1"/>
  <c r="D780" i="1"/>
  <c r="C780" i="1"/>
  <c r="D779" i="1"/>
  <c r="C779" i="1"/>
  <c r="D778" i="1"/>
  <c r="C778" i="1"/>
  <c r="D777" i="1"/>
  <c r="C777" i="1"/>
  <c r="D776" i="1"/>
  <c r="C776" i="1"/>
  <c r="D775" i="1"/>
  <c r="C775" i="1"/>
  <c r="D774" i="1"/>
  <c r="C774" i="1"/>
  <c r="D773" i="1"/>
  <c r="C773" i="1"/>
  <c r="D772" i="1"/>
  <c r="C772" i="1"/>
  <c r="D771" i="1"/>
  <c r="C771" i="1"/>
  <c r="D770" i="1"/>
  <c r="D769" i="1"/>
  <c r="C769" i="1"/>
  <c r="D768" i="1"/>
  <c r="C768" i="1"/>
  <c r="D767" i="1"/>
  <c r="C767" i="1"/>
  <c r="D766" i="1"/>
  <c r="C766" i="1"/>
  <c r="D765" i="1"/>
  <c r="C765" i="1"/>
  <c r="D764" i="1"/>
  <c r="C764" i="1"/>
  <c r="D763" i="1"/>
  <c r="C763" i="1"/>
  <c r="D762" i="1"/>
  <c r="C762" i="1"/>
  <c r="D761" i="1"/>
  <c r="C761" i="1"/>
  <c r="D760" i="1"/>
  <c r="C760" i="1"/>
  <c r="D759" i="1"/>
  <c r="C759" i="1"/>
  <c r="D758" i="1"/>
  <c r="C758" i="1"/>
  <c r="D757" i="1"/>
  <c r="C757" i="1"/>
  <c r="D756" i="1"/>
  <c r="C756" i="1"/>
  <c r="D755" i="1"/>
  <c r="C755" i="1"/>
  <c r="D754" i="1"/>
  <c r="C754" i="1"/>
  <c r="D753" i="1"/>
  <c r="C753" i="1"/>
  <c r="D752" i="1"/>
  <c r="C752" i="1"/>
  <c r="D751" i="1"/>
  <c r="C751" i="1"/>
  <c r="D750" i="1"/>
  <c r="C750" i="1"/>
  <c r="D749" i="1"/>
  <c r="C749" i="1"/>
  <c r="D748" i="1"/>
  <c r="C748" i="1"/>
  <c r="D747" i="1"/>
  <c r="C747" i="1"/>
  <c r="D746" i="1"/>
  <c r="C746" i="1"/>
  <c r="D745" i="1"/>
  <c r="C745" i="1"/>
  <c r="D744" i="1"/>
  <c r="C744" i="1"/>
  <c r="D743" i="1"/>
  <c r="C743" i="1"/>
  <c r="D742" i="1"/>
  <c r="C742" i="1"/>
  <c r="D741" i="1"/>
  <c r="C741" i="1"/>
  <c r="D740" i="1"/>
  <c r="C740" i="1"/>
  <c r="D739" i="1"/>
  <c r="C739" i="1"/>
  <c r="D738" i="1"/>
  <c r="C738" i="1"/>
  <c r="D737" i="1"/>
  <c r="C737" i="1"/>
  <c r="D736" i="1"/>
  <c r="C736" i="1"/>
  <c r="D735" i="1"/>
  <c r="C735" i="1"/>
  <c r="D734" i="1"/>
  <c r="C734" i="1"/>
  <c r="D733" i="1"/>
  <c r="C733" i="1"/>
  <c r="D732" i="1"/>
  <c r="C732" i="1"/>
  <c r="D731" i="1"/>
  <c r="C731" i="1"/>
  <c r="D730" i="1"/>
  <c r="C730" i="1"/>
  <c r="D729" i="1"/>
  <c r="C729" i="1"/>
  <c r="D728" i="1"/>
  <c r="C728" i="1"/>
  <c r="D727" i="1"/>
  <c r="C727" i="1"/>
  <c r="D726" i="1"/>
  <c r="C726" i="1"/>
  <c r="D725" i="1"/>
  <c r="C725" i="1"/>
  <c r="D724" i="1"/>
  <c r="C724" i="1"/>
  <c r="D723" i="1"/>
  <c r="C723" i="1"/>
  <c r="D722" i="1"/>
  <c r="C722" i="1"/>
  <c r="D721" i="1"/>
  <c r="C721" i="1"/>
  <c r="D720" i="1"/>
  <c r="C720" i="1"/>
  <c r="D719" i="1"/>
  <c r="C719" i="1"/>
  <c r="D718" i="1"/>
  <c r="C718" i="1"/>
  <c r="D717" i="1"/>
  <c r="C717" i="1"/>
  <c r="D716" i="1"/>
  <c r="C716" i="1"/>
  <c r="D715" i="1"/>
  <c r="C715" i="1"/>
  <c r="D714" i="1"/>
  <c r="C714" i="1"/>
  <c r="D713" i="1"/>
  <c r="C713" i="1"/>
  <c r="D712" i="1"/>
  <c r="C712" i="1"/>
  <c r="D711" i="1"/>
  <c r="C711" i="1"/>
  <c r="D710" i="1"/>
  <c r="C710" i="1"/>
  <c r="D709" i="1"/>
  <c r="C709" i="1"/>
  <c r="D708" i="1"/>
  <c r="C708" i="1"/>
  <c r="D707" i="1"/>
  <c r="C707" i="1"/>
  <c r="D706" i="1"/>
  <c r="C706" i="1"/>
  <c r="D705" i="1"/>
  <c r="C705" i="1"/>
  <c r="D704" i="1"/>
  <c r="C704" i="1"/>
  <c r="D703" i="1"/>
  <c r="C703" i="1"/>
  <c r="D702" i="1"/>
  <c r="C702" i="1"/>
  <c r="D701" i="1"/>
  <c r="C701" i="1"/>
  <c r="D700" i="1"/>
  <c r="C700" i="1"/>
  <c r="D699" i="1"/>
  <c r="C699" i="1"/>
  <c r="D698" i="1"/>
  <c r="C698" i="1"/>
  <c r="D697" i="1"/>
  <c r="C697" i="1"/>
  <c r="D696" i="1"/>
  <c r="C696" i="1"/>
  <c r="D695" i="1"/>
  <c r="C695" i="1"/>
  <c r="D694" i="1"/>
  <c r="C694" i="1"/>
  <c r="D693" i="1"/>
  <c r="C693" i="1"/>
  <c r="D692" i="1"/>
  <c r="C692" i="1"/>
  <c r="D691" i="1"/>
  <c r="C691" i="1"/>
  <c r="D690" i="1"/>
  <c r="C690" i="1"/>
  <c r="D689" i="1"/>
  <c r="C689" i="1"/>
  <c r="D688" i="1"/>
  <c r="C688" i="1"/>
  <c r="D687" i="1"/>
  <c r="C687" i="1"/>
  <c r="D686" i="1"/>
  <c r="C686" i="1"/>
  <c r="D685" i="1"/>
  <c r="C685" i="1"/>
  <c r="D684" i="1"/>
  <c r="C684" i="1"/>
  <c r="D683" i="1"/>
  <c r="C683" i="1"/>
  <c r="D682" i="1"/>
  <c r="C682" i="1"/>
  <c r="D681" i="1"/>
  <c r="C681" i="1"/>
  <c r="D680" i="1"/>
  <c r="C680" i="1"/>
  <c r="D679" i="1"/>
  <c r="C679" i="1"/>
  <c r="D678" i="1"/>
  <c r="C678" i="1"/>
  <c r="D677" i="1"/>
  <c r="C677" i="1"/>
  <c r="D676" i="1"/>
  <c r="C676" i="1"/>
  <c r="D675" i="1"/>
  <c r="C675" i="1"/>
  <c r="D674" i="1"/>
  <c r="C674" i="1"/>
  <c r="D673" i="1"/>
  <c r="C673" i="1"/>
  <c r="D672" i="1"/>
  <c r="C672" i="1"/>
  <c r="D671" i="1"/>
  <c r="C671" i="1"/>
  <c r="D670" i="1"/>
  <c r="C670" i="1"/>
  <c r="D669" i="1"/>
  <c r="C669" i="1"/>
  <c r="D668" i="1"/>
  <c r="C668" i="1"/>
  <c r="D667" i="1"/>
  <c r="C667" i="1"/>
  <c r="D666" i="1"/>
  <c r="C666" i="1"/>
  <c r="D665" i="1"/>
  <c r="C665" i="1"/>
  <c r="D664" i="1"/>
  <c r="C664" i="1"/>
  <c r="D663" i="1"/>
  <c r="C663" i="1"/>
  <c r="D662" i="1"/>
  <c r="C662" i="1"/>
  <c r="D661" i="1"/>
  <c r="C661" i="1"/>
  <c r="D660" i="1"/>
  <c r="C660" i="1"/>
  <c r="D659" i="1"/>
  <c r="C659" i="1"/>
  <c r="D658" i="1"/>
  <c r="C658" i="1"/>
  <c r="D657" i="1"/>
  <c r="C657" i="1"/>
  <c r="D656" i="1"/>
  <c r="C656" i="1"/>
  <c r="D655" i="1"/>
  <c r="C655" i="1"/>
  <c r="D654" i="1"/>
  <c r="C654" i="1"/>
  <c r="D653" i="1"/>
  <c r="C653" i="1"/>
  <c r="D652" i="1"/>
  <c r="C652" i="1"/>
  <c r="D651" i="1"/>
  <c r="C651" i="1"/>
  <c r="D650" i="1"/>
  <c r="C650" i="1"/>
  <c r="D649" i="1"/>
  <c r="C649" i="1"/>
  <c r="D648" i="1"/>
  <c r="C648" i="1"/>
  <c r="D647" i="1"/>
  <c r="C647" i="1"/>
  <c r="D646" i="1"/>
  <c r="C646" i="1"/>
  <c r="D645" i="1"/>
  <c r="C645" i="1"/>
  <c r="D644" i="1"/>
  <c r="C644" i="1"/>
  <c r="D643" i="1"/>
  <c r="C643" i="1"/>
  <c r="D642" i="1"/>
  <c r="C642" i="1"/>
  <c r="D641" i="1"/>
  <c r="C641" i="1"/>
  <c r="D640" i="1"/>
  <c r="C640" i="1"/>
  <c r="D639" i="1"/>
  <c r="C639" i="1"/>
  <c r="D638" i="1"/>
  <c r="C638" i="1"/>
  <c r="D637" i="1"/>
  <c r="C637" i="1"/>
  <c r="D636" i="1"/>
  <c r="C636" i="1"/>
  <c r="D635" i="1"/>
  <c r="C635" i="1"/>
  <c r="D634" i="1"/>
  <c r="C634" i="1"/>
  <c r="D633" i="1"/>
  <c r="C633" i="1"/>
  <c r="D632" i="1"/>
  <c r="C632" i="1"/>
  <c r="D631" i="1"/>
  <c r="C631" i="1"/>
  <c r="D630" i="1"/>
  <c r="C630" i="1"/>
  <c r="D629" i="1"/>
  <c r="C629" i="1"/>
  <c r="D628" i="1"/>
  <c r="C628" i="1"/>
  <c r="D627" i="1"/>
  <c r="C627" i="1"/>
  <c r="D626" i="1"/>
  <c r="C626" i="1"/>
  <c r="D625" i="1"/>
  <c r="C625" i="1"/>
  <c r="D624" i="1"/>
  <c r="C624" i="1"/>
  <c r="D623" i="1"/>
  <c r="C623" i="1"/>
  <c r="D622" i="1"/>
  <c r="C622" i="1"/>
  <c r="D621" i="1"/>
  <c r="C621" i="1"/>
  <c r="D620" i="1"/>
  <c r="C620" i="1"/>
  <c r="D619" i="1"/>
  <c r="C619" i="1"/>
  <c r="D618" i="1"/>
  <c r="C618" i="1"/>
  <c r="D617" i="1"/>
  <c r="C617" i="1"/>
  <c r="D616" i="1"/>
  <c r="C616" i="1"/>
  <c r="D615" i="1"/>
  <c r="C615" i="1"/>
  <c r="D614" i="1"/>
  <c r="C614" i="1"/>
  <c r="D613" i="1"/>
  <c r="C613" i="1"/>
  <c r="D612" i="1"/>
  <c r="C612" i="1"/>
  <c r="D611" i="1"/>
  <c r="D610" i="1"/>
  <c r="D609" i="1"/>
  <c r="C609" i="1"/>
  <c r="D608" i="1"/>
  <c r="C608" i="1"/>
  <c r="D607" i="1"/>
  <c r="C607" i="1"/>
  <c r="D606" i="1"/>
  <c r="C606" i="1"/>
  <c r="D605" i="1"/>
  <c r="C605" i="1"/>
  <c r="D604" i="1"/>
  <c r="C604" i="1"/>
  <c r="D603" i="1"/>
  <c r="C603" i="1"/>
  <c r="D602" i="1"/>
  <c r="C602" i="1"/>
  <c r="D601" i="1"/>
  <c r="C601" i="1"/>
  <c r="D600" i="1"/>
  <c r="C600" i="1"/>
  <c r="D599" i="1"/>
  <c r="C599" i="1"/>
  <c r="D598" i="1"/>
  <c r="C598" i="1"/>
  <c r="D597" i="1"/>
  <c r="C597" i="1"/>
  <c r="D596" i="1"/>
  <c r="C596" i="1"/>
  <c r="D595" i="1"/>
  <c r="C595" i="1"/>
  <c r="D594" i="1"/>
  <c r="C594" i="1"/>
  <c r="D593" i="1"/>
  <c r="C593" i="1"/>
  <c r="D592" i="1"/>
  <c r="C592" i="1"/>
  <c r="D591" i="1"/>
  <c r="C591" i="1"/>
  <c r="D590" i="1"/>
  <c r="C590" i="1"/>
  <c r="D589" i="1"/>
  <c r="C589" i="1"/>
  <c r="D588" i="1"/>
  <c r="C588" i="1"/>
  <c r="D587" i="1"/>
  <c r="C587" i="1"/>
  <c r="D586" i="1"/>
  <c r="C586" i="1"/>
  <c r="D585" i="1"/>
  <c r="C585" i="1"/>
  <c r="D584" i="1"/>
  <c r="C584" i="1"/>
  <c r="D583" i="1"/>
  <c r="C583" i="1"/>
  <c r="D582" i="1"/>
  <c r="C582" i="1"/>
  <c r="D581" i="1"/>
  <c r="C581" i="1"/>
  <c r="D580" i="1"/>
  <c r="C580" i="1"/>
  <c r="D579" i="1"/>
  <c r="C579" i="1"/>
  <c r="D578" i="1"/>
  <c r="C578" i="1"/>
  <c r="D577" i="1"/>
  <c r="C577" i="1"/>
  <c r="D576" i="1"/>
  <c r="C576" i="1"/>
  <c r="D575" i="1"/>
  <c r="C575" i="1"/>
  <c r="D574" i="1"/>
  <c r="C574" i="1"/>
  <c r="D573" i="1"/>
  <c r="C573" i="1"/>
  <c r="D572" i="1"/>
  <c r="C572" i="1"/>
  <c r="D571" i="1"/>
  <c r="C571" i="1"/>
  <c r="D570" i="1"/>
  <c r="C570" i="1"/>
  <c r="D569" i="1"/>
  <c r="C569" i="1"/>
  <c r="D568" i="1"/>
  <c r="C568" i="1"/>
  <c r="D567" i="1"/>
  <c r="C567" i="1"/>
  <c r="D566" i="1"/>
  <c r="C566" i="1"/>
  <c r="D565" i="1"/>
  <c r="C565" i="1"/>
  <c r="D564" i="1"/>
  <c r="C564" i="1"/>
  <c r="D563" i="1"/>
  <c r="C563" i="1"/>
  <c r="D562" i="1"/>
  <c r="C562" i="1"/>
  <c r="D561" i="1"/>
  <c r="C561" i="1"/>
  <c r="D560" i="1"/>
  <c r="C560" i="1"/>
  <c r="D559" i="1"/>
  <c r="C559" i="1"/>
  <c r="D558" i="1"/>
  <c r="C558" i="1"/>
  <c r="D557" i="1"/>
  <c r="C557" i="1"/>
  <c r="D556" i="1"/>
  <c r="C556" i="1"/>
  <c r="D555" i="1"/>
  <c r="C555" i="1"/>
  <c r="D554" i="1"/>
  <c r="C554" i="1"/>
  <c r="D553" i="1"/>
  <c r="C553" i="1"/>
  <c r="D552" i="1"/>
  <c r="C552" i="1"/>
  <c r="D551" i="1"/>
  <c r="C551" i="1"/>
  <c r="D550" i="1"/>
  <c r="C550" i="1"/>
  <c r="D549" i="1"/>
  <c r="C549" i="1"/>
  <c r="D548" i="1"/>
  <c r="C548" i="1"/>
  <c r="D547" i="1"/>
  <c r="C547" i="1"/>
  <c r="D546" i="1"/>
  <c r="C546" i="1"/>
  <c r="D545" i="1"/>
  <c r="C545" i="1"/>
  <c r="D544" i="1"/>
  <c r="C544" i="1"/>
  <c r="D543" i="1"/>
  <c r="C543" i="1"/>
  <c r="D542" i="1"/>
  <c r="C542" i="1"/>
  <c r="D541" i="1"/>
  <c r="C541" i="1"/>
  <c r="D540" i="1"/>
  <c r="C540" i="1"/>
  <c r="D539" i="1"/>
  <c r="C539" i="1"/>
  <c r="D538" i="1"/>
  <c r="C538" i="1"/>
  <c r="D537" i="1"/>
  <c r="C537" i="1"/>
  <c r="D536" i="1"/>
  <c r="C536" i="1"/>
  <c r="D535" i="1"/>
  <c r="C535" i="1"/>
  <c r="D534" i="1"/>
  <c r="C534" i="1"/>
  <c r="D533" i="1"/>
  <c r="C533" i="1"/>
  <c r="D532" i="1"/>
  <c r="C532" i="1"/>
  <c r="D531" i="1"/>
  <c r="C531" i="1"/>
  <c r="D530" i="1"/>
  <c r="C530" i="1"/>
  <c r="D529" i="1"/>
  <c r="C529" i="1"/>
  <c r="D528" i="1"/>
  <c r="C528" i="1"/>
  <c r="D527" i="1"/>
  <c r="C527" i="1"/>
  <c r="D526" i="1"/>
  <c r="D525" i="1"/>
  <c r="D524" i="1"/>
  <c r="D523" i="1"/>
  <c r="C523" i="1"/>
  <c r="D522" i="1"/>
  <c r="D521" i="1"/>
  <c r="D520" i="1"/>
  <c r="D519" i="1"/>
  <c r="C519" i="1"/>
  <c r="D518" i="1"/>
  <c r="C518" i="1"/>
  <c r="D517" i="1"/>
  <c r="D516" i="1"/>
  <c r="D515" i="1"/>
  <c r="C515" i="1"/>
  <c r="D514" i="1"/>
  <c r="C514" i="1"/>
  <c r="D513" i="1"/>
  <c r="C513" i="1"/>
  <c r="D512" i="1"/>
  <c r="C512" i="1"/>
  <c r="D511" i="1"/>
  <c r="D510" i="1"/>
  <c r="D509" i="1"/>
  <c r="C509" i="1"/>
  <c r="D508" i="1"/>
  <c r="C508" i="1"/>
  <c r="D507" i="1"/>
  <c r="D506" i="1"/>
  <c r="D505" i="1"/>
  <c r="D504" i="1"/>
  <c r="C504" i="1"/>
  <c r="D503" i="1"/>
  <c r="C503" i="1"/>
  <c r="D502" i="1"/>
  <c r="C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C485" i="1"/>
  <c r="D484" i="1"/>
  <c r="C484" i="1"/>
  <c r="D478" i="1"/>
  <c r="D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D458" i="1"/>
  <c r="D457" i="1"/>
  <c r="D456" i="1"/>
  <c r="D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D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D237" i="1"/>
  <c r="D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D21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E1096" i="3"/>
  <c r="C1096" i="3"/>
  <c r="B1096" i="3"/>
  <c r="A1096" i="3"/>
  <c r="E1095" i="3"/>
  <c r="C1095" i="3"/>
  <c r="B1095" i="3"/>
  <c r="A1095" i="3"/>
  <c r="E1094" i="3"/>
  <c r="C1094" i="3"/>
  <c r="B1094" i="3"/>
  <c r="A1094" i="3"/>
  <c r="E1093" i="3"/>
  <c r="C1093" i="3"/>
  <c r="B1093" i="3"/>
  <c r="A1093" i="3"/>
  <c r="E1092" i="3"/>
  <c r="C1092" i="3"/>
  <c r="B1092" i="3"/>
  <c r="A1092" i="3"/>
  <c r="E1091" i="3"/>
  <c r="C1091" i="3"/>
  <c r="B1091" i="3"/>
  <c r="A1091" i="3"/>
  <c r="E1090" i="3"/>
  <c r="C1090" i="3"/>
  <c r="B1090" i="3"/>
  <c r="A1090" i="3"/>
  <c r="E1089" i="3"/>
  <c r="C1089" i="3"/>
  <c r="B1089" i="3"/>
  <c r="A1089" i="3"/>
  <c r="E1088" i="3"/>
  <c r="C1088" i="3"/>
  <c r="B1088" i="3"/>
  <c r="A1088" i="3"/>
  <c r="E1087" i="3"/>
  <c r="C1087" i="3"/>
  <c r="B1087" i="3"/>
  <c r="A1087" i="3"/>
  <c r="E1086" i="3"/>
  <c r="C1086" i="3"/>
  <c r="B1086" i="3"/>
  <c r="A1086" i="3"/>
  <c r="E1085" i="3"/>
  <c r="C1085" i="3"/>
  <c r="B1085" i="3"/>
  <c r="A1085" i="3"/>
  <c r="E1084" i="3"/>
  <c r="C1084" i="3"/>
  <c r="B1084" i="3"/>
  <c r="A1084" i="3"/>
  <c r="E1083" i="3"/>
  <c r="C1083" i="3"/>
  <c r="B1083" i="3"/>
  <c r="A1083" i="3"/>
  <c r="E1082" i="3"/>
  <c r="C1082" i="3"/>
  <c r="B1082" i="3"/>
  <c r="A1082" i="3"/>
  <c r="N1091" i="1"/>
  <c r="C898" i="15" s="1"/>
  <c r="N1090" i="1"/>
  <c r="C897" i="15" s="1"/>
  <c r="N1089" i="1"/>
  <c r="C896" i="15" s="1"/>
  <c r="N1088" i="1"/>
  <c r="C895" i="15" s="1"/>
  <c r="N1086" i="1"/>
  <c r="C893" i="15" s="1"/>
  <c r="N1085" i="1"/>
  <c r="C892" i="15" s="1"/>
  <c r="N1084" i="1"/>
  <c r="C891" i="15" s="1"/>
  <c r="N1083" i="1"/>
  <c r="C890" i="15" s="1"/>
  <c r="N1082" i="1"/>
  <c r="N1087" i="1"/>
  <c r="C894" i="15" s="1"/>
  <c r="AI1091" i="1"/>
  <c r="AC1091" i="1" s="1"/>
  <c r="AI1090" i="1"/>
  <c r="AC1090" i="1" s="1"/>
  <c r="AI1089" i="1"/>
  <c r="AC1089" i="1" s="1"/>
  <c r="AI1088" i="1"/>
  <c r="AC1088" i="1" s="1"/>
  <c r="AI1087" i="1"/>
  <c r="AC1087" i="1" s="1"/>
  <c r="AI1086" i="1"/>
  <c r="AC1086" i="1" s="1"/>
  <c r="AI1085" i="1"/>
  <c r="AC1085" i="1" s="1"/>
  <c r="AI1084" i="1"/>
  <c r="AC1084" i="1" s="1"/>
  <c r="AI1083" i="1"/>
  <c r="AC1083" i="1" s="1"/>
  <c r="BE1091" i="1"/>
  <c r="BA1091" i="1"/>
  <c r="AZ1091" i="1"/>
  <c r="AY1091" i="1"/>
  <c r="BE1090" i="1"/>
  <c r="BA1090" i="1"/>
  <c r="AZ1090" i="1"/>
  <c r="AY1090" i="1"/>
  <c r="BE1089" i="1"/>
  <c r="BA1089" i="1"/>
  <c r="AZ1089" i="1"/>
  <c r="AY1089" i="1"/>
  <c r="BE1088" i="1"/>
  <c r="BA1088" i="1"/>
  <c r="AZ1088" i="1"/>
  <c r="AY1088" i="1"/>
  <c r="BE1087" i="1"/>
  <c r="BA1087" i="1"/>
  <c r="AZ1087" i="1"/>
  <c r="AY1087" i="1"/>
  <c r="BE1086" i="1"/>
  <c r="BA1086" i="1"/>
  <c r="AZ1086" i="1"/>
  <c r="AY1086" i="1"/>
  <c r="BE1085" i="1"/>
  <c r="BA1085" i="1"/>
  <c r="AZ1085" i="1"/>
  <c r="AY1085" i="1"/>
  <c r="BE1084" i="1"/>
  <c r="BA1084" i="1"/>
  <c r="AZ1084" i="1"/>
  <c r="AY1084" i="1"/>
  <c r="BE1083" i="1"/>
  <c r="BA1083" i="1"/>
  <c r="AZ1083" i="1"/>
  <c r="AY1083" i="1"/>
  <c r="BE1082" i="1"/>
  <c r="BA1082" i="1"/>
  <c r="AZ1082" i="1"/>
  <c r="AY1082" i="1"/>
  <c r="Q1091" i="1"/>
  <c r="P1091" i="1" s="1"/>
  <c r="Q1090" i="1"/>
  <c r="P1090" i="1" s="1"/>
  <c r="Q1089" i="1"/>
  <c r="P1089" i="1" s="1"/>
  <c r="Q1088" i="1"/>
  <c r="P1088" i="1" s="1"/>
  <c r="Q1087" i="1"/>
  <c r="P1087" i="1" s="1"/>
  <c r="Q1086" i="1"/>
  <c r="P1086" i="1" s="1"/>
  <c r="Q1085" i="1"/>
  <c r="P1085" i="1" s="1"/>
  <c r="Q1084" i="1"/>
  <c r="P1084" i="1" s="1"/>
  <c r="Q1083" i="1"/>
  <c r="P1083" i="1" s="1"/>
  <c r="P1082" i="1"/>
  <c r="Q1082" i="1" s="1"/>
  <c r="J1091" i="1"/>
  <c r="J1090" i="1"/>
  <c r="J1089" i="1"/>
  <c r="J1088" i="1"/>
  <c r="J1087" i="1"/>
  <c r="J1086" i="1"/>
  <c r="J1085" i="1"/>
  <c r="J1084" i="1"/>
  <c r="J1083" i="1"/>
  <c r="J1082" i="1"/>
  <c r="AI1082" i="1"/>
  <c r="AC1082" i="1" s="1"/>
  <c r="M479" i="1" l="1"/>
  <c r="B789" i="15" s="1"/>
  <c r="D1103" i="3"/>
  <c r="C1098" i="1" s="1"/>
  <c r="M1114" i="1"/>
  <c r="B555" i="15" s="1"/>
  <c r="D1111" i="3"/>
  <c r="F1111" i="3" s="1"/>
  <c r="D1119" i="3"/>
  <c r="F1119" i="3" s="1"/>
  <c r="M951" i="1"/>
  <c r="B1116" i="15" s="1"/>
  <c r="D1097" i="3"/>
  <c r="C1092" i="1" s="1"/>
  <c r="D1099" i="3"/>
  <c r="F1099" i="3" s="1"/>
  <c r="D1105" i="3"/>
  <c r="C1100" i="1" s="1"/>
  <c r="M949" i="1"/>
  <c r="B1114" i="15" s="1"/>
  <c r="M1115" i="1"/>
  <c r="B556" i="15" s="1"/>
  <c r="M950" i="1"/>
  <c r="B1115" i="15" s="1"/>
  <c r="D1122" i="3"/>
  <c r="C1117" i="1" s="1"/>
  <c r="D1107" i="3"/>
  <c r="C1102" i="1" s="1"/>
  <c r="Q479" i="1"/>
  <c r="M480" i="1"/>
  <c r="B790" i="15" s="1"/>
  <c r="M1116" i="1"/>
  <c r="B557" i="15" s="1"/>
  <c r="D1115" i="3"/>
  <c r="F1115" i="3" s="1"/>
  <c r="X479" i="1"/>
  <c r="D1098" i="3"/>
  <c r="F1098" i="3" s="1"/>
  <c r="D1102" i="3"/>
  <c r="F1102" i="3" s="1"/>
  <c r="D1106" i="3"/>
  <c r="F1106" i="3" s="1"/>
  <c r="D1114" i="3"/>
  <c r="C1109" i="1" s="1"/>
  <c r="D1108" i="3"/>
  <c r="C1103" i="1" s="1"/>
  <c r="D1116" i="3"/>
  <c r="C1111" i="1" s="1"/>
  <c r="Q480" i="1"/>
  <c r="P481" i="1"/>
  <c r="Q481" i="1" s="1"/>
  <c r="M1083" i="1"/>
  <c r="B890" i="15" s="1"/>
  <c r="M1085" i="1"/>
  <c r="B892" i="15" s="1"/>
  <c r="M1087" i="1"/>
  <c r="B894" i="15" s="1"/>
  <c r="M1089" i="1"/>
  <c r="B896" i="15" s="1"/>
  <c r="M1091" i="1"/>
  <c r="B898" i="15" s="1"/>
  <c r="D1088" i="3"/>
  <c r="C1083" i="1" s="1"/>
  <c r="D1090" i="3"/>
  <c r="C1085" i="1" s="1"/>
  <c r="D1092" i="3"/>
  <c r="F1092" i="3" s="1"/>
  <c r="D1094" i="3"/>
  <c r="C1089" i="1" s="1"/>
  <c r="D1096" i="3"/>
  <c r="F1096" i="3" s="1"/>
  <c r="D959" i="3"/>
  <c r="C954" i="1" s="1"/>
  <c r="C1119" i="15"/>
  <c r="D961" i="3"/>
  <c r="F961" i="3" s="1"/>
  <c r="C1121" i="15"/>
  <c r="D963" i="3"/>
  <c r="C958" i="1" s="1"/>
  <c r="C1123" i="15"/>
  <c r="D955" i="3"/>
  <c r="C950" i="1" s="1"/>
  <c r="D957" i="3"/>
  <c r="F957" i="3" s="1"/>
  <c r="D1101" i="3"/>
  <c r="C1096" i="1" s="1"/>
  <c r="C537" i="15"/>
  <c r="D1109" i="3"/>
  <c r="C1104" i="1" s="1"/>
  <c r="C545" i="15"/>
  <c r="D1113" i="3"/>
  <c r="C1108" i="1" s="1"/>
  <c r="C549" i="15"/>
  <c r="D1117" i="3"/>
  <c r="C1112" i="1" s="1"/>
  <c r="C553" i="15"/>
  <c r="M1092" i="1"/>
  <c r="B533" i="15" s="1"/>
  <c r="M1094" i="1"/>
  <c r="B535" i="15" s="1"/>
  <c r="M1096" i="1"/>
  <c r="B537" i="15" s="1"/>
  <c r="M1098" i="1"/>
  <c r="B539" i="15" s="1"/>
  <c r="M1100" i="1"/>
  <c r="B541" i="15" s="1"/>
  <c r="M1102" i="1"/>
  <c r="B543" i="15" s="1"/>
  <c r="M1104" i="1"/>
  <c r="B545" i="15" s="1"/>
  <c r="M1106" i="1"/>
  <c r="B547" i="15" s="1"/>
  <c r="M1108" i="1"/>
  <c r="B549" i="15" s="1"/>
  <c r="M1110" i="1"/>
  <c r="B551" i="15" s="1"/>
  <c r="M1112" i="1"/>
  <c r="B553" i="15" s="1"/>
  <c r="M1117" i="1"/>
  <c r="B558" i="15" s="1"/>
  <c r="D485" i="3"/>
  <c r="C480" i="1" s="1"/>
  <c r="M1082" i="1"/>
  <c r="B889" i="15" s="1"/>
  <c r="C889" i="15"/>
  <c r="M1084" i="1"/>
  <c r="B891" i="15" s="1"/>
  <c r="M1086" i="1"/>
  <c r="B893" i="15" s="1"/>
  <c r="M1088" i="1"/>
  <c r="B895" i="15" s="1"/>
  <c r="M1090" i="1"/>
  <c r="B897" i="15" s="1"/>
  <c r="D1087" i="3"/>
  <c r="F1087" i="3" s="1"/>
  <c r="D1089" i="3"/>
  <c r="C1084" i="1" s="1"/>
  <c r="D1091" i="3"/>
  <c r="C1086" i="1" s="1"/>
  <c r="D1093" i="3"/>
  <c r="C1088" i="1" s="1"/>
  <c r="D1095" i="3"/>
  <c r="F1095" i="3" s="1"/>
  <c r="D958" i="3"/>
  <c r="C953" i="1" s="1"/>
  <c r="C1118" i="15"/>
  <c r="M955" i="1"/>
  <c r="B1120" i="15" s="1"/>
  <c r="C1120" i="15"/>
  <c r="D962" i="3"/>
  <c r="C957" i="1" s="1"/>
  <c r="C1122" i="15"/>
  <c r="D964" i="3"/>
  <c r="C959" i="1" s="1"/>
  <c r="C1124" i="15"/>
  <c r="D954" i="3"/>
  <c r="C949" i="1" s="1"/>
  <c r="D956" i="3"/>
  <c r="C951" i="1" s="1"/>
  <c r="D960" i="3"/>
  <c r="F960" i="3" s="1"/>
  <c r="D1104" i="3"/>
  <c r="C1099" i="1" s="1"/>
  <c r="C540" i="15"/>
  <c r="D1110" i="3"/>
  <c r="F1110" i="3" s="1"/>
  <c r="C546" i="15"/>
  <c r="D1112" i="3"/>
  <c r="F1112" i="3" s="1"/>
  <c r="C548" i="15"/>
  <c r="D1120" i="3"/>
  <c r="C1115" i="1" s="1"/>
  <c r="C556" i="15"/>
  <c r="M1093" i="1"/>
  <c r="B534" i="15" s="1"/>
  <c r="M1095" i="1"/>
  <c r="B536" i="15" s="1"/>
  <c r="M1097" i="1"/>
  <c r="B538" i="15" s="1"/>
  <c r="M1099" i="1"/>
  <c r="B540" i="15" s="1"/>
  <c r="M1101" i="1"/>
  <c r="B542" i="15" s="1"/>
  <c r="M1103" i="1"/>
  <c r="B544" i="15" s="1"/>
  <c r="M1105" i="1"/>
  <c r="B546" i="15" s="1"/>
  <c r="M1107" i="1"/>
  <c r="B548" i="15" s="1"/>
  <c r="M1109" i="1"/>
  <c r="B550" i="15" s="1"/>
  <c r="M1111" i="1"/>
  <c r="B552" i="15" s="1"/>
  <c r="M1113" i="1"/>
  <c r="B554" i="15" s="1"/>
  <c r="D484" i="3"/>
  <c r="F484" i="3" s="1"/>
  <c r="D486" i="3"/>
  <c r="C481" i="1" s="1"/>
  <c r="F488" i="3"/>
  <c r="C483" i="1"/>
  <c r="F487" i="3"/>
  <c r="C482" i="1"/>
  <c r="X481" i="1"/>
  <c r="X480" i="1"/>
  <c r="F1100" i="3"/>
  <c r="C1095" i="1"/>
  <c r="F1118" i="3"/>
  <c r="F1121" i="3"/>
  <c r="M958" i="1"/>
  <c r="B1123" i="15" s="1"/>
  <c r="M952" i="1"/>
  <c r="B1117" i="15" s="1"/>
  <c r="M959" i="1"/>
  <c r="B1124" i="15" s="1"/>
  <c r="M953" i="1"/>
  <c r="B1118" i="15" s="1"/>
  <c r="M954" i="1"/>
  <c r="B1119" i="15" s="1"/>
  <c r="M957" i="1"/>
  <c r="B1122" i="15" s="1"/>
  <c r="M956" i="1"/>
  <c r="B1121" i="15" s="1"/>
  <c r="N1050" i="1"/>
  <c r="C857" i="15" s="1"/>
  <c r="N1051" i="1"/>
  <c r="C858" i="15" s="1"/>
  <c r="N1049" i="1"/>
  <c r="C856" i="15" s="1"/>
  <c r="N1048" i="1"/>
  <c r="C855" i="15" s="1"/>
  <c r="N1047" i="1"/>
  <c r="C854" i="15" s="1"/>
  <c r="N1080" i="1"/>
  <c r="N1079" i="1"/>
  <c r="N1078" i="1"/>
  <c r="N1077" i="1"/>
  <c r="N1076" i="1"/>
  <c r="C883" i="15" s="1"/>
  <c r="N1075" i="1"/>
  <c r="C882" i="15" s="1"/>
  <c r="N1074" i="1"/>
  <c r="C881" i="15" s="1"/>
  <c r="N1073" i="1"/>
  <c r="C880" i="15" s="1"/>
  <c r="N1072" i="1"/>
  <c r="C879" i="15" s="1"/>
  <c r="N1071" i="1"/>
  <c r="C878" i="15" s="1"/>
  <c r="N1070" i="1"/>
  <c r="C877" i="15" s="1"/>
  <c r="N1069" i="1"/>
  <c r="C876" i="15" s="1"/>
  <c r="N1068" i="1"/>
  <c r="C875" i="15" s="1"/>
  <c r="N1067" i="1"/>
  <c r="C874" i="15" s="1"/>
  <c r="N1066" i="1"/>
  <c r="C873" i="15" s="1"/>
  <c r="N1065" i="1"/>
  <c r="C872" i="15" s="1"/>
  <c r="N1064" i="1"/>
  <c r="C871" i="15" s="1"/>
  <c r="N1063" i="1"/>
  <c r="C870" i="15" s="1"/>
  <c r="N1062" i="1"/>
  <c r="C869" i="15" s="1"/>
  <c r="N1061" i="1"/>
  <c r="C868" i="15" s="1"/>
  <c r="N1060" i="1"/>
  <c r="C867" i="15" s="1"/>
  <c r="N1059" i="1"/>
  <c r="C866" i="15" s="1"/>
  <c r="N1058" i="1"/>
  <c r="C865" i="15" s="1"/>
  <c r="N1057" i="1"/>
  <c r="C864" i="15" s="1"/>
  <c r="N1056" i="1"/>
  <c r="C863" i="15" s="1"/>
  <c r="N1055" i="1"/>
  <c r="C862" i="15" s="1"/>
  <c r="N1054" i="1"/>
  <c r="C861" i="15" s="1"/>
  <c r="N1053" i="1"/>
  <c r="C860" i="15" s="1"/>
  <c r="N1052" i="1"/>
  <c r="C859" i="15" s="1"/>
  <c r="N1081" i="1"/>
  <c r="BE1081" i="1"/>
  <c r="BA1081" i="1"/>
  <c r="AZ1081" i="1"/>
  <c r="AY1081" i="1"/>
  <c r="BE1080" i="1"/>
  <c r="BA1080" i="1"/>
  <c r="AZ1080" i="1"/>
  <c r="AY1080" i="1"/>
  <c r="BE1079" i="1"/>
  <c r="BA1079" i="1"/>
  <c r="AZ1079" i="1"/>
  <c r="AY1079" i="1"/>
  <c r="BE1078" i="1"/>
  <c r="BA1078" i="1"/>
  <c r="AZ1078" i="1"/>
  <c r="AY1078" i="1"/>
  <c r="BE1077" i="1"/>
  <c r="BA1077" i="1"/>
  <c r="AZ1077" i="1"/>
  <c r="AY1077" i="1"/>
  <c r="BE1076" i="1"/>
  <c r="BA1076" i="1"/>
  <c r="AZ1076" i="1"/>
  <c r="AY1076" i="1"/>
  <c r="BE1075" i="1"/>
  <c r="BA1075" i="1"/>
  <c r="AZ1075" i="1"/>
  <c r="AY1075" i="1"/>
  <c r="BE1074" i="1"/>
  <c r="BA1074" i="1"/>
  <c r="AZ1074" i="1"/>
  <c r="AY1074" i="1"/>
  <c r="BE1073" i="1"/>
  <c r="BA1073" i="1"/>
  <c r="AZ1073" i="1"/>
  <c r="AY1073" i="1"/>
  <c r="BE1072" i="1"/>
  <c r="BA1072" i="1"/>
  <c r="AZ1072" i="1"/>
  <c r="AY1072" i="1"/>
  <c r="BE1071" i="1"/>
  <c r="BA1071" i="1"/>
  <c r="AZ1071" i="1"/>
  <c r="AY1071" i="1"/>
  <c r="BE1070" i="1"/>
  <c r="BA1070" i="1"/>
  <c r="AZ1070" i="1"/>
  <c r="AY1070" i="1"/>
  <c r="BE1069" i="1"/>
  <c r="BA1069" i="1"/>
  <c r="AZ1069" i="1"/>
  <c r="AY1069" i="1"/>
  <c r="BE1068" i="1"/>
  <c r="BA1068" i="1"/>
  <c r="AZ1068" i="1"/>
  <c r="AY1068" i="1"/>
  <c r="BE1067" i="1"/>
  <c r="BA1067" i="1"/>
  <c r="AZ1067" i="1"/>
  <c r="AY1067" i="1"/>
  <c r="BE1066" i="1"/>
  <c r="BA1066" i="1"/>
  <c r="AZ1066" i="1"/>
  <c r="AY1066" i="1"/>
  <c r="BE1065" i="1"/>
  <c r="BA1065" i="1"/>
  <c r="AZ1065" i="1"/>
  <c r="AY1065" i="1"/>
  <c r="BE1064" i="1"/>
  <c r="BA1064" i="1"/>
  <c r="AZ1064" i="1"/>
  <c r="AY1064" i="1"/>
  <c r="BE1063" i="1"/>
  <c r="BA1063" i="1"/>
  <c r="AZ1063" i="1"/>
  <c r="AY1063" i="1"/>
  <c r="BE1062" i="1"/>
  <c r="BA1062" i="1"/>
  <c r="AZ1062" i="1"/>
  <c r="AY1062" i="1"/>
  <c r="BE1061" i="1"/>
  <c r="BA1061" i="1"/>
  <c r="AZ1061" i="1"/>
  <c r="AY1061" i="1"/>
  <c r="BE1060" i="1"/>
  <c r="BA1060" i="1"/>
  <c r="AZ1060" i="1"/>
  <c r="AY1060" i="1"/>
  <c r="BE1059" i="1"/>
  <c r="BA1059" i="1"/>
  <c r="AZ1059" i="1"/>
  <c r="AY1059" i="1"/>
  <c r="BE1058" i="1"/>
  <c r="BA1058" i="1"/>
  <c r="AZ1058" i="1"/>
  <c r="AY1058" i="1"/>
  <c r="BE1057" i="1"/>
  <c r="BA1057" i="1"/>
  <c r="AZ1057" i="1"/>
  <c r="AY1057" i="1"/>
  <c r="BE1056" i="1"/>
  <c r="BA1056" i="1"/>
  <c r="AZ1056" i="1"/>
  <c r="AY1056" i="1"/>
  <c r="BE1055" i="1"/>
  <c r="BA1055" i="1"/>
  <c r="AZ1055" i="1"/>
  <c r="AY1055" i="1"/>
  <c r="BE1054" i="1"/>
  <c r="BA1054" i="1"/>
  <c r="AZ1054" i="1"/>
  <c r="AY1054" i="1"/>
  <c r="BE1053" i="1"/>
  <c r="BA1053" i="1"/>
  <c r="AZ1053" i="1"/>
  <c r="AY1053" i="1"/>
  <c r="BE1052" i="1"/>
  <c r="BA1052" i="1"/>
  <c r="AZ1052" i="1"/>
  <c r="AY1052" i="1"/>
  <c r="BE1051" i="1"/>
  <c r="BA1051" i="1"/>
  <c r="AZ1051" i="1"/>
  <c r="AY1051" i="1"/>
  <c r="BE1050" i="1"/>
  <c r="BA1050" i="1"/>
  <c r="AZ1050" i="1"/>
  <c r="AY1050" i="1"/>
  <c r="BE1049" i="1"/>
  <c r="BA1049" i="1"/>
  <c r="AZ1049" i="1"/>
  <c r="AY1049" i="1"/>
  <c r="BE1048" i="1"/>
  <c r="BA1048" i="1"/>
  <c r="AZ1048" i="1"/>
  <c r="AY1048" i="1"/>
  <c r="BE1047" i="1"/>
  <c r="BA1047" i="1"/>
  <c r="AZ1047" i="1"/>
  <c r="AY1047" i="1"/>
  <c r="AI1081" i="1"/>
  <c r="AC1081" i="1" s="1"/>
  <c r="AI1080" i="1"/>
  <c r="AC1080" i="1" s="1"/>
  <c r="AI1079" i="1"/>
  <c r="AC1079" i="1" s="1"/>
  <c r="AI1078" i="1"/>
  <c r="AC1078" i="1" s="1"/>
  <c r="AI1077" i="1"/>
  <c r="AC1077" i="1" s="1"/>
  <c r="AI1076" i="1"/>
  <c r="AC1076" i="1" s="1"/>
  <c r="AI1075" i="1"/>
  <c r="AC1075" i="1" s="1"/>
  <c r="AI1074" i="1"/>
  <c r="AC1074" i="1" s="1"/>
  <c r="AI1073" i="1"/>
  <c r="AC1073" i="1" s="1"/>
  <c r="AI1072" i="1"/>
  <c r="AC1072" i="1" s="1"/>
  <c r="AI1071" i="1"/>
  <c r="AC1071" i="1" s="1"/>
  <c r="AI1070" i="1"/>
  <c r="AC1070" i="1" s="1"/>
  <c r="AI1069" i="1"/>
  <c r="AC1069" i="1" s="1"/>
  <c r="AI1068" i="1"/>
  <c r="AC1068" i="1" s="1"/>
  <c r="AI1067" i="1"/>
  <c r="AC1067" i="1" s="1"/>
  <c r="AI1066" i="1"/>
  <c r="AC1066" i="1" s="1"/>
  <c r="AI1065" i="1"/>
  <c r="AC1065" i="1" s="1"/>
  <c r="AI1064" i="1"/>
  <c r="AC1064" i="1" s="1"/>
  <c r="AI1063" i="1"/>
  <c r="AC1063" i="1" s="1"/>
  <c r="AI1062" i="1"/>
  <c r="AC1062" i="1" s="1"/>
  <c r="AI1061" i="1"/>
  <c r="AC1061" i="1" s="1"/>
  <c r="AI1060" i="1"/>
  <c r="AC1060" i="1" s="1"/>
  <c r="AI1059" i="1"/>
  <c r="AC1059" i="1" s="1"/>
  <c r="AI1058" i="1"/>
  <c r="AC1058" i="1" s="1"/>
  <c r="AI1057" i="1"/>
  <c r="AC1057" i="1" s="1"/>
  <c r="AI1056" i="1"/>
  <c r="AC1056" i="1" s="1"/>
  <c r="AI1055" i="1"/>
  <c r="AC1055" i="1" s="1"/>
  <c r="AI1054" i="1"/>
  <c r="AC1054" i="1" s="1"/>
  <c r="AI1053" i="1"/>
  <c r="AC1053" i="1" s="1"/>
  <c r="AI1052" i="1"/>
  <c r="AC1052" i="1" s="1"/>
  <c r="AI1051" i="1"/>
  <c r="AC1051" i="1" s="1"/>
  <c r="AI1050" i="1"/>
  <c r="AC1050" i="1" s="1"/>
  <c r="AI1049" i="1"/>
  <c r="AC1049" i="1" s="1"/>
  <c r="AI1048" i="1"/>
  <c r="AC1048" i="1" s="1"/>
  <c r="F1103" i="3" l="1"/>
  <c r="C1110" i="1"/>
  <c r="F958" i="3"/>
  <c r="C1101" i="1"/>
  <c r="F1122" i="3"/>
  <c r="F1105" i="3"/>
  <c r="F1116" i="3"/>
  <c r="C1114" i="1"/>
  <c r="C956" i="1"/>
  <c r="F1097" i="3"/>
  <c r="C1106" i="1"/>
  <c r="F1108" i="3"/>
  <c r="C1094" i="1"/>
  <c r="F1107" i="3"/>
  <c r="M1050" i="1"/>
  <c r="B857" i="15" s="1"/>
  <c r="F1093" i="3"/>
  <c r="F1117" i="3"/>
  <c r="F964" i="3"/>
  <c r="F1094" i="3"/>
  <c r="M1051" i="1"/>
  <c r="B858" i="15" s="1"/>
  <c r="C1093" i="1"/>
  <c r="F954" i="3"/>
  <c r="F959" i="3"/>
  <c r="C479" i="1"/>
  <c r="C955" i="1"/>
  <c r="F485" i="3"/>
  <c r="F962" i="3"/>
  <c r="F1109" i="3"/>
  <c r="F1104" i="3"/>
  <c r="C1105" i="1"/>
  <c r="C1097" i="1"/>
  <c r="C1107" i="1"/>
  <c r="M1049" i="1"/>
  <c r="B856" i="15" s="1"/>
  <c r="M1053" i="1"/>
  <c r="B860" i="15" s="1"/>
  <c r="M1055" i="1"/>
  <c r="B862" i="15" s="1"/>
  <c r="M1057" i="1"/>
  <c r="B864" i="15" s="1"/>
  <c r="M1059" i="1"/>
  <c r="B866" i="15" s="1"/>
  <c r="M1061" i="1"/>
  <c r="B868" i="15" s="1"/>
  <c r="M1063" i="1"/>
  <c r="B870" i="15" s="1"/>
  <c r="M1065" i="1"/>
  <c r="B872" i="15" s="1"/>
  <c r="M1067" i="1"/>
  <c r="B874" i="15" s="1"/>
  <c r="M1069" i="1"/>
  <c r="B876" i="15" s="1"/>
  <c r="M1071" i="1"/>
  <c r="B878" i="15" s="1"/>
  <c r="M1073" i="1"/>
  <c r="B880" i="15" s="1"/>
  <c r="M1075" i="1"/>
  <c r="B882" i="15" s="1"/>
  <c r="M1077" i="1"/>
  <c r="B884" i="15" s="1"/>
  <c r="M1079" i="1"/>
  <c r="B886" i="15" s="1"/>
  <c r="M1081" i="1"/>
  <c r="B888" i="15" s="1"/>
  <c r="F1114" i="3"/>
  <c r="C1087" i="1"/>
  <c r="C1091" i="1"/>
  <c r="C1082" i="1"/>
  <c r="F1088" i="3"/>
  <c r="C952" i="1"/>
  <c r="F1090" i="3"/>
  <c r="F1089" i="3"/>
  <c r="F963" i="3"/>
  <c r="F955" i="3"/>
  <c r="F1113" i="3"/>
  <c r="F1101" i="3"/>
  <c r="F1091" i="3"/>
  <c r="C1090" i="1"/>
  <c r="F956" i="3"/>
  <c r="C885" i="15"/>
  <c r="D1083" i="3"/>
  <c r="C887" i="15"/>
  <c r="D1085" i="3"/>
  <c r="M1048" i="1"/>
  <c r="B855" i="15" s="1"/>
  <c r="M1052" i="1"/>
  <c r="B859" i="15" s="1"/>
  <c r="M1054" i="1"/>
  <c r="B861" i="15" s="1"/>
  <c r="M1056" i="1"/>
  <c r="B863" i="15" s="1"/>
  <c r="M1058" i="1"/>
  <c r="B865" i="15" s="1"/>
  <c r="M1060" i="1"/>
  <c r="B867" i="15" s="1"/>
  <c r="M1062" i="1"/>
  <c r="B869" i="15" s="1"/>
  <c r="M1064" i="1"/>
  <c r="B871" i="15" s="1"/>
  <c r="M1066" i="1"/>
  <c r="B873" i="15" s="1"/>
  <c r="M1068" i="1"/>
  <c r="B875" i="15" s="1"/>
  <c r="M1070" i="1"/>
  <c r="B877" i="15" s="1"/>
  <c r="M1072" i="1"/>
  <c r="B879" i="15" s="1"/>
  <c r="M1074" i="1"/>
  <c r="B881" i="15" s="1"/>
  <c r="M1076" i="1"/>
  <c r="B883" i="15" s="1"/>
  <c r="M1078" i="1"/>
  <c r="B885" i="15" s="1"/>
  <c r="M1080" i="1"/>
  <c r="B887" i="15" s="1"/>
  <c r="C888" i="15"/>
  <c r="D1086" i="3"/>
  <c r="C884" i="15"/>
  <c r="D1082" i="3"/>
  <c r="C886" i="15"/>
  <c r="D1084" i="3"/>
  <c r="F1120" i="3"/>
  <c r="F486" i="3"/>
  <c r="J1056" i="3"/>
  <c r="H1056" i="3"/>
  <c r="J1055" i="3"/>
  <c r="H1055" i="3"/>
  <c r="J1054" i="3"/>
  <c r="H1054" i="3"/>
  <c r="J1053" i="3"/>
  <c r="H1053" i="3"/>
  <c r="J1052" i="3"/>
  <c r="H1052" i="3"/>
  <c r="E1081" i="3"/>
  <c r="D1081" i="3"/>
  <c r="C1076" i="1" s="1"/>
  <c r="C1081" i="3"/>
  <c r="B1081" i="3"/>
  <c r="A1081" i="3"/>
  <c r="E1080" i="3"/>
  <c r="D1080" i="3"/>
  <c r="C1075" i="1" s="1"/>
  <c r="C1080" i="3"/>
  <c r="B1080" i="3"/>
  <c r="A1080" i="3"/>
  <c r="E1079" i="3"/>
  <c r="D1079" i="3"/>
  <c r="C1079" i="3"/>
  <c r="B1079" i="3"/>
  <c r="A1079" i="3"/>
  <c r="E1078" i="3"/>
  <c r="D1078" i="3"/>
  <c r="C1073" i="1" s="1"/>
  <c r="C1078" i="3"/>
  <c r="B1078" i="3"/>
  <c r="A1078" i="3"/>
  <c r="E1077" i="3"/>
  <c r="D1077" i="3"/>
  <c r="C1077" i="3"/>
  <c r="B1077" i="3"/>
  <c r="A1077" i="3"/>
  <c r="E1076" i="3"/>
  <c r="D1076" i="3"/>
  <c r="C1071" i="1" s="1"/>
  <c r="C1076" i="3"/>
  <c r="B1076" i="3"/>
  <c r="A1076" i="3"/>
  <c r="E1075" i="3"/>
  <c r="D1075" i="3"/>
  <c r="C1075" i="3"/>
  <c r="B1075" i="3"/>
  <c r="A1075" i="3"/>
  <c r="E1074" i="3"/>
  <c r="D1074" i="3"/>
  <c r="C1069" i="1" s="1"/>
  <c r="C1074" i="3"/>
  <c r="B1074" i="3"/>
  <c r="A1074" i="3"/>
  <c r="E1073" i="3"/>
  <c r="D1073" i="3"/>
  <c r="C1068" i="1" s="1"/>
  <c r="C1073" i="3"/>
  <c r="B1073" i="3"/>
  <c r="A1073" i="3"/>
  <c r="E1072" i="3"/>
  <c r="D1072" i="3"/>
  <c r="C1067" i="1" s="1"/>
  <c r="C1072" i="3"/>
  <c r="B1072" i="3"/>
  <c r="A1072" i="3"/>
  <c r="E1071" i="3"/>
  <c r="D1071" i="3"/>
  <c r="C1071" i="3"/>
  <c r="B1071" i="3"/>
  <c r="A1071" i="3"/>
  <c r="E1070" i="3"/>
  <c r="D1070" i="3"/>
  <c r="C1065" i="1" s="1"/>
  <c r="C1070" i="3"/>
  <c r="B1070" i="3"/>
  <c r="A1070" i="3"/>
  <c r="E1069" i="3"/>
  <c r="D1069" i="3"/>
  <c r="C1069" i="3"/>
  <c r="B1069" i="3"/>
  <c r="A1069" i="3"/>
  <c r="E1068" i="3"/>
  <c r="D1068" i="3"/>
  <c r="C1063" i="1" s="1"/>
  <c r="C1068" i="3"/>
  <c r="B1068" i="3"/>
  <c r="A1068" i="3"/>
  <c r="E1067" i="3"/>
  <c r="D1067" i="3"/>
  <c r="C1067" i="3"/>
  <c r="B1067" i="3"/>
  <c r="A1067" i="3"/>
  <c r="E1066" i="3"/>
  <c r="D1066" i="3"/>
  <c r="C1061" i="1" s="1"/>
  <c r="C1066" i="3"/>
  <c r="B1066" i="3"/>
  <c r="A1066" i="3"/>
  <c r="E1065" i="3"/>
  <c r="D1065" i="3"/>
  <c r="C1060" i="1" s="1"/>
  <c r="C1065" i="3"/>
  <c r="B1065" i="3"/>
  <c r="A1065" i="3"/>
  <c r="E1064" i="3"/>
  <c r="D1064" i="3"/>
  <c r="C1059" i="1" s="1"/>
  <c r="C1064" i="3"/>
  <c r="B1064" i="3"/>
  <c r="A1064" i="3"/>
  <c r="E1063" i="3"/>
  <c r="D1063" i="3"/>
  <c r="C1063" i="3"/>
  <c r="B1063" i="3"/>
  <c r="A1063" i="3"/>
  <c r="E1062" i="3"/>
  <c r="D1062" i="3"/>
  <c r="C1057" i="1" s="1"/>
  <c r="C1062" i="3"/>
  <c r="B1062" i="3"/>
  <c r="A1062" i="3"/>
  <c r="E1061" i="3"/>
  <c r="D1061" i="3"/>
  <c r="C1061" i="3"/>
  <c r="B1061" i="3"/>
  <c r="A1061" i="3"/>
  <c r="E1060" i="3"/>
  <c r="D1060" i="3"/>
  <c r="C1055" i="1" s="1"/>
  <c r="C1060" i="3"/>
  <c r="B1060" i="3"/>
  <c r="A1060" i="3"/>
  <c r="E1059" i="3"/>
  <c r="D1059" i="3"/>
  <c r="C1059" i="3"/>
  <c r="B1059" i="3"/>
  <c r="A1059" i="3"/>
  <c r="E1058" i="3"/>
  <c r="D1058" i="3"/>
  <c r="C1053" i="1" s="1"/>
  <c r="C1058" i="3"/>
  <c r="B1058" i="3"/>
  <c r="A1058" i="3"/>
  <c r="E1057" i="3"/>
  <c r="D1057" i="3"/>
  <c r="C1052" i="1" s="1"/>
  <c r="C1057" i="3"/>
  <c r="B1057" i="3"/>
  <c r="A1057" i="3"/>
  <c r="E1056" i="3"/>
  <c r="D1056" i="3"/>
  <c r="C1051" i="1" s="1"/>
  <c r="C1056" i="3"/>
  <c r="B1056" i="3"/>
  <c r="A1056" i="3"/>
  <c r="E1055" i="3"/>
  <c r="D1055" i="3"/>
  <c r="C1055" i="3"/>
  <c r="B1055" i="3"/>
  <c r="A1055" i="3"/>
  <c r="E1054" i="3"/>
  <c r="D1054" i="3"/>
  <c r="C1049" i="1" s="1"/>
  <c r="C1054" i="3"/>
  <c r="B1054" i="3"/>
  <c r="A1054" i="3"/>
  <c r="E1053" i="3"/>
  <c r="D1053" i="3"/>
  <c r="C1053" i="3"/>
  <c r="B1053" i="3"/>
  <c r="A1053" i="3"/>
  <c r="E1052" i="3"/>
  <c r="D1052" i="3"/>
  <c r="C1047" i="1" s="1"/>
  <c r="C1052" i="3"/>
  <c r="B1052" i="3"/>
  <c r="A1052" i="3"/>
  <c r="E1051" i="3"/>
  <c r="C1051" i="3"/>
  <c r="B1051" i="3"/>
  <c r="A1051" i="3"/>
  <c r="E1050" i="3"/>
  <c r="C1050" i="3"/>
  <c r="B1050" i="3"/>
  <c r="A1050" i="3"/>
  <c r="E1049" i="3"/>
  <c r="C1049" i="3"/>
  <c r="B1049" i="3"/>
  <c r="A1049" i="3"/>
  <c r="E1048" i="3"/>
  <c r="C1048" i="3"/>
  <c r="B1048" i="3"/>
  <c r="A1048" i="3"/>
  <c r="E1047" i="3"/>
  <c r="C1047" i="3"/>
  <c r="B1047" i="3"/>
  <c r="A1047" i="3"/>
  <c r="E1046" i="3"/>
  <c r="C1046" i="3"/>
  <c r="B1046" i="3"/>
  <c r="A1046" i="3"/>
  <c r="E1045" i="3"/>
  <c r="C1045" i="3"/>
  <c r="B1045" i="3"/>
  <c r="A1045" i="3"/>
  <c r="E1044" i="3"/>
  <c r="C1044" i="3"/>
  <c r="B1044" i="3"/>
  <c r="A1044" i="3"/>
  <c r="E1043" i="3"/>
  <c r="C1043" i="3"/>
  <c r="B1043" i="3"/>
  <c r="A1043" i="3"/>
  <c r="E1042" i="3"/>
  <c r="C1042" i="3"/>
  <c r="B1042" i="3"/>
  <c r="A1042" i="3"/>
  <c r="E1041" i="3"/>
  <c r="C1041" i="3"/>
  <c r="B1041" i="3"/>
  <c r="A1041" i="3"/>
  <c r="E1040" i="3"/>
  <c r="C1040" i="3"/>
  <c r="B1040" i="3"/>
  <c r="A1040" i="3"/>
  <c r="E1039" i="3"/>
  <c r="C1039" i="3"/>
  <c r="B1039" i="3"/>
  <c r="A1039" i="3"/>
  <c r="E1038" i="3"/>
  <c r="C1038" i="3"/>
  <c r="B1038" i="3"/>
  <c r="A1038" i="3"/>
  <c r="E1037" i="3"/>
  <c r="C1037" i="3"/>
  <c r="B1037" i="3"/>
  <c r="A1037" i="3"/>
  <c r="E1036" i="3"/>
  <c r="C1036" i="3"/>
  <c r="B1036" i="3"/>
  <c r="A1036" i="3"/>
  <c r="E1035" i="3"/>
  <c r="C1035" i="3"/>
  <c r="B1035" i="3"/>
  <c r="A1035" i="3"/>
  <c r="E1034" i="3"/>
  <c r="C1034" i="3"/>
  <c r="B1034" i="3"/>
  <c r="A1034" i="3"/>
  <c r="E1033" i="3"/>
  <c r="C1033" i="3"/>
  <c r="B1033" i="3"/>
  <c r="A1033" i="3"/>
  <c r="E1032" i="3"/>
  <c r="C1032" i="3"/>
  <c r="B1032" i="3"/>
  <c r="A1032" i="3"/>
  <c r="E1031" i="3"/>
  <c r="C1031" i="3"/>
  <c r="B1031" i="3"/>
  <c r="A1031" i="3"/>
  <c r="E1030" i="3"/>
  <c r="C1030" i="3"/>
  <c r="B1030" i="3"/>
  <c r="A1030" i="3"/>
  <c r="E1029" i="3"/>
  <c r="C1029" i="3"/>
  <c r="B1029" i="3"/>
  <c r="A1029" i="3"/>
  <c r="E1028" i="3"/>
  <c r="C1028" i="3"/>
  <c r="B1028" i="3"/>
  <c r="A1028" i="3"/>
  <c r="E1027" i="3"/>
  <c r="C1027" i="3"/>
  <c r="B1027" i="3"/>
  <c r="A1027" i="3"/>
  <c r="E1026" i="3"/>
  <c r="C1026" i="3"/>
  <c r="B1026" i="3"/>
  <c r="A1026" i="3"/>
  <c r="E1025" i="3"/>
  <c r="C1025" i="3"/>
  <c r="B1025" i="3"/>
  <c r="A1025" i="3"/>
  <c r="E1024" i="3"/>
  <c r="C1024" i="3"/>
  <c r="B1024" i="3"/>
  <c r="A1024" i="3"/>
  <c r="E1023" i="3"/>
  <c r="C1023" i="3"/>
  <c r="B1023" i="3"/>
  <c r="A1023" i="3"/>
  <c r="E1022" i="3"/>
  <c r="C1022" i="3"/>
  <c r="B1022" i="3"/>
  <c r="A1022" i="3"/>
  <c r="E1021" i="3"/>
  <c r="C1021" i="3"/>
  <c r="B1021" i="3"/>
  <c r="A1021" i="3"/>
  <c r="E1020" i="3"/>
  <c r="C1020" i="3"/>
  <c r="B1020" i="3"/>
  <c r="A1020" i="3"/>
  <c r="E1019" i="3"/>
  <c r="C1019" i="3"/>
  <c r="B1019" i="3"/>
  <c r="A1019" i="3"/>
  <c r="E1018" i="3"/>
  <c r="C1018" i="3"/>
  <c r="B1018" i="3"/>
  <c r="A1018" i="3"/>
  <c r="E1017" i="3"/>
  <c r="C1017" i="3"/>
  <c r="B1017" i="3"/>
  <c r="A1017" i="3"/>
  <c r="E1016" i="3"/>
  <c r="C1016" i="3"/>
  <c r="B1016" i="3"/>
  <c r="A1016" i="3"/>
  <c r="E1015" i="3"/>
  <c r="C1015" i="3"/>
  <c r="B1015" i="3"/>
  <c r="A1015" i="3"/>
  <c r="E1014" i="3"/>
  <c r="C1014" i="3"/>
  <c r="B1014" i="3"/>
  <c r="A1014" i="3"/>
  <c r="E1013" i="3"/>
  <c r="C1013" i="3"/>
  <c r="B1013" i="3"/>
  <c r="A1013" i="3"/>
  <c r="E1012" i="3"/>
  <c r="C1012" i="3"/>
  <c r="B1012" i="3"/>
  <c r="A1012" i="3"/>
  <c r="P1081" i="1"/>
  <c r="P1080" i="1"/>
  <c r="Q1080" i="1" s="1"/>
  <c r="P1079" i="1"/>
  <c r="Q1079" i="1" s="1"/>
  <c r="P1078" i="1"/>
  <c r="Q1078" i="1" s="1"/>
  <c r="P1077" i="1"/>
  <c r="Q1077" i="1" s="1"/>
  <c r="P1076" i="1"/>
  <c r="Q1076" i="1" s="1"/>
  <c r="P1075" i="1"/>
  <c r="Q1075" i="1" s="1"/>
  <c r="P1074" i="1"/>
  <c r="Q1074" i="1" s="1"/>
  <c r="P1073" i="1"/>
  <c r="Q1073" i="1" s="1"/>
  <c r="P1072" i="1"/>
  <c r="Q1072" i="1" s="1"/>
  <c r="P1071" i="1"/>
  <c r="Q1071" i="1" s="1"/>
  <c r="P1070" i="1"/>
  <c r="Q1070" i="1" s="1"/>
  <c r="P1069" i="1"/>
  <c r="Q1069" i="1" s="1"/>
  <c r="P1068" i="1"/>
  <c r="Q1068" i="1" s="1"/>
  <c r="P1067" i="1"/>
  <c r="Q1067" i="1" s="1"/>
  <c r="P1066" i="1"/>
  <c r="Q1066" i="1" s="1"/>
  <c r="Q1081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P1065" i="1"/>
  <c r="Q1065" i="1" s="1"/>
  <c r="P1064" i="1"/>
  <c r="Q1064" i="1" s="1"/>
  <c r="P1063" i="1"/>
  <c r="Q1063" i="1" s="1"/>
  <c r="P1062" i="1"/>
  <c r="Q1062" i="1" s="1"/>
  <c r="P1061" i="1"/>
  <c r="Q1061" i="1" s="1"/>
  <c r="P1060" i="1"/>
  <c r="Q1060" i="1" s="1"/>
  <c r="P1059" i="1"/>
  <c r="Q1059" i="1" s="1"/>
  <c r="P1058" i="1"/>
  <c r="Q1058" i="1" s="1"/>
  <c r="P1057" i="1"/>
  <c r="Q1057" i="1" s="1"/>
  <c r="P1056" i="1"/>
  <c r="Q1056" i="1" s="1"/>
  <c r="P1055" i="1"/>
  <c r="Q1055" i="1" s="1"/>
  <c r="P1054" i="1"/>
  <c r="Q1054" i="1" s="1"/>
  <c r="P1053" i="1"/>
  <c r="Q1053" i="1" s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P1052" i="1"/>
  <c r="Q1052" i="1" s="1"/>
  <c r="J1052" i="1"/>
  <c r="J1051" i="1"/>
  <c r="J1050" i="1"/>
  <c r="J1049" i="1"/>
  <c r="J1048" i="1"/>
  <c r="Q1051" i="1"/>
  <c r="P1051" i="1" s="1"/>
  <c r="Q1050" i="1"/>
  <c r="P1050" i="1" s="1"/>
  <c r="P1049" i="1"/>
  <c r="Q1049" i="1" s="1"/>
  <c r="P1048" i="1"/>
  <c r="Q1048" i="1" s="1"/>
  <c r="P1047" i="1"/>
  <c r="Q1047" i="1" s="1"/>
  <c r="J1047" i="1"/>
  <c r="AI1047" i="1"/>
  <c r="AC1047" i="1" s="1"/>
  <c r="M1047" i="1" s="1"/>
  <c r="B854" i="15" s="1"/>
  <c r="BE1046" i="1"/>
  <c r="BA1046" i="1"/>
  <c r="AZ1046" i="1"/>
  <c r="AY1046" i="1"/>
  <c r="BE1045" i="1"/>
  <c r="BA1045" i="1"/>
  <c r="AZ1045" i="1"/>
  <c r="AY1045" i="1"/>
  <c r="BE1044" i="1"/>
  <c r="BA1044" i="1"/>
  <c r="AZ1044" i="1"/>
  <c r="AY1044" i="1"/>
  <c r="BE1043" i="1"/>
  <c r="BA1043" i="1"/>
  <c r="AZ1043" i="1"/>
  <c r="AY1043" i="1"/>
  <c r="BE1042" i="1"/>
  <c r="BA1042" i="1"/>
  <c r="AZ1042" i="1"/>
  <c r="AY1042" i="1"/>
  <c r="BE1041" i="1"/>
  <c r="BA1041" i="1"/>
  <c r="AZ1041" i="1"/>
  <c r="AY1041" i="1"/>
  <c r="BE1040" i="1"/>
  <c r="BA1040" i="1"/>
  <c r="AZ1040" i="1"/>
  <c r="AY1040" i="1"/>
  <c r="BE1039" i="1"/>
  <c r="BA1039" i="1"/>
  <c r="AZ1039" i="1"/>
  <c r="AY1039" i="1"/>
  <c r="BE1038" i="1"/>
  <c r="BA1038" i="1"/>
  <c r="AZ1038" i="1"/>
  <c r="AY1038" i="1"/>
  <c r="BE1037" i="1"/>
  <c r="BA1037" i="1"/>
  <c r="AZ1037" i="1"/>
  <c r="AY1037" i="1"/>
  <c r="BE1036" i="1"/>
  <c r="BA1036" i="1"/>
  <c r="AZ1036" i="1"/>
  <c r="AY1036" i="1"/>
  <c r="BE1035" i="1"/>
  <c r="BA1035" i="1"/>
  <c r="AZ1035" i="1"/>
  <c r="AY1035" i="1"/>
  <c r="BE1034" i="1"/>
  <c r="BA1034" i="1"/>
  <c r="AZ1034" i="1"/>
  <c r="AY1034" i="1"/>
  <c r="BE1033" i="1"/>
  <c r="BA1033" i="1"/>
  <c r="AZ1033" i="1"/>
  <c r="AY1033" i="1"/>
  <c r="BE1032" i="1"/>
  <c r="BA1032" i="1"/>
  <c r="AZ1032" i="1"/>
  <c r="AY1032" i="1"/>
  <c r="BE1031" i="1"/>
  <c r="BA1031" i="1"/>
  <c r="AZ1031" i="1"/>
  <c r="AY1031" i="1"/>
  <c r="BE1030" i="1"/>
  <c r="BA1030" i="1"/>
  <c r="AZ1030" i="1"/>
  <c r="AY1030" i="1"/>
  <c r="BE1029" i="1"/>
  <c r="BA1029" i="1"/>
  <c r="AZ1029" i="1"/>
  <c r="AY1029" i="1"/>
  <c r="BE1028" i="1"/>
  <c r="BA1028" i="1"/>
  <c r="AZ1028" i="1"/>
  <c r="AY1028" i="1"/>
  <c r="BE1027" i="1"/>
  <c r="BA1027" i="1"/>
  <c r="AZ1027" i="1"/>
  <c r="AY1027" i="1"/>
  <c r="BE1026" i="1"/>
  <c r="BA1026" i="1"/>
  <c r="AZ1026" i="1"/>
  <c r="AY1026" i="1"/>
  <c r="BE1025" i="1"/>
  <c r="BA1025" i="1"/>
  <c r="AZ1025" i="1"/>
  <c r="AY1025" i="1"/>
  <c r="BE1024" i="1"/>
  <c r="BA1024" i="1"/>
  <c r="AZ1024" i="1"/>
  <c r="AY1024" i="1"/>
  <c r="BE1023" i="1"/>
  <c r="BA1023" i="1"/>
  <c r="AZ1023" i="1"/>
  <c r="AY1023" i="1"/>
  <c r="BE1022" i="1"/>
  <c r="BA1022" i="1"/>
  <c r="AZ1022" i="1"/>
  <c r="AY1022" i="1"/>
  <c r="BE1021" i="1"/>
  <c r="BA1021" i="1"/>
  <c r="AZ1021" i="1"/>
  <c r="AY1021" i="1"/>
  <c r="BE1020" i="1"/>
  <c r="BA1020" i="1"/>
  <c r="AZ1020" i="1"/>
  <c r="AY1020" i="1"/>
  <c r="BE1019" i="1"/>
  <c r="BA1019" i="1"/>
  <c r="AZ1019" i="1"/>
  <c r="AY1019" i="1"/>
  <c r="BE1018" i="1"/>
  <c r="BA1018" i="1"/>
  <c r="AZ1018" i="1"/>
  <c r="AY1018" i="1"/>
  <c r="BE1017" i="1"/>
  <c r="BA1017" i="1"/>
  <c r="AZ1017" i="1"/>
  <c r="AY1017" i="1"/>
  <c r="BE1016" i="1"/>
  <c r="BA1016" i="1"/>
  <c r="AZ1016" i="1"/>
  <c r="AY1016" i="1"/>
  <c r="BE1015" i="1"/>
  <c r="BA1015" i="1"/>
  <c r="AZ1015" i="1"/>
  <c r="AY1015" i="1"/>
  <c r="BE1014" i="1"/>
  <c r="BA1014" i="1"/>
  <c r="AZ1014" i="1"/>
  <c r="AY1014" i="1"/>
  <c r="BE1013" i="1"/>
  <c r="BA1013" i="1"/>
  <c r="AZ1013" i="1"/>
  <c r="AY1013" i="1"/>
  <c r="BE1012" i="1"/>
  <c r="BA1012" i="1"/>
  <c r="AZ1012" i="1"/>
  <c r="AY1012" i="1"/>
  <c r="AI1046" i="1"/>
  <c r="AC1046" i="1" s="1"/>
  <c r="AI1045" i="1"/>
  <c r="AC1045" i="1" s="1"/>
  <c r="AI1044" i="1"/>
  <c r="AC1044" i="1" s="1"/>
  <c r="AI1043" i="1"/>
  <c r="AC1043" i="1" s="1"/>
  <c r="AI1042" i="1"/>
  <c r="AC1042" i="1" s="1"/>
  <c r="AI1041" i="1"/>
  <c r="AC1041" i="1" s="1"/>
  <c r="AI1040" i="1"/>
  <c r="AC1040" i="1" s="1"/>
  <c r="AI1039" i="1"/>
  <c r="AC1039" i="1" s="1"/>
  <c r="AI1038" i="1"/>
  <c r="AC1038" i="1" s="1"/>
  <c r="AI1037" i="1"/>
  <c r="AC1037" i="1" s="1"/>
  <c r="AI1036" i="1"/>
  <c r="AC1036" i="1" s="1"/>
  <c r="AI1035" i="1"/>
  <c r="AC1035" i="1" s="1"/>
  <c r="AI1034" i="1"/>
  <c r="AC1034" i="1" s="1"/>
  <c r="AI1033" i="1"/>
  <c r="AC1033" i="1" s="1"/>
  <c r="AI1032" i="1"/>
  <c r="AC1032" i="1" s="1"/>
  <c r="AI1031" i="1"/>
  <c r="AC1031" i="1" s="1"/>
  <c r="AI1030" i="1"/>
  <c r="AC1030" i="1" s="1"/>
  <c r="AI1029" i="1"/>
  <c r="AC1029" i="1" s="1"/>
  <c r="AI1028" i="1"/>
  <c r="AC1028" i="1" s="1"/>
  <c r="AI1027" i="1"/>
  <c r="AC1027" i="1" s="1"/>
  <c r="AI1026" i="1"/>
  <c r="AC1026" i="1" s="1"/>
  <c r="AI1025" i="1"/>
  <c r="AC1025" i="1" s="1"/>
  <c r="AI1024" i="1"/>
  <c r="AC1024" i="1" s="1"/>
  <c r="AI1023" i="1"/>
  <c r="AC1023" i="1" s="1"/>
  <c r="AI1022" i="1"/>
  <c r="AC1022" i="1" s="1"/>
  <c r="AI1021" i="1"/>
  <c r="AC1021" i="1" s="1"/>
  <c r="AI1020" i="1"/>
  <c r="AC1020" i="1" s="1"/>
  <c r="AI1019" i="1"/>
  <c r="AC1019" i="1" s="1"/>
  <c r="AI1018" i="1"/>
  <c r="AC1018" i="1" s="1"/>
  <c r="AI1017" i="1"/>
  <c r="AC1017" i="1" s="1"/>
  <c r="AI1016" i="1"/>
  <c r="AC1016" i="1" s="1"/>
  <c r="AI1015" i="1"/>
  <c r="AC1015" i="1" s="1"/>
  <c r="AI1014" i="1"/>
  <c r="AC1014" i="1" s="1"/>
  <c r="AI1013" i="1"/>
  <c r="AC1013" i="1" s="1"/>
  <c r="N1046" i="1"/>
  <c r="D1051" i="3" s="1"/>
  <c r="J1046" i="1"/>
  <c r="N1045" i="1"/>
  <c r="C1062" i="15" s="1"/>
  <c r="J1045" i="1"/>
  <c r="N1044" i="1"/>
  <c r="C1061" i="15" s="1"/>
  <c r="J1044" i="1"/>
  <c r="N1043" i="1"/>
  <c r="C1060" i="15" s="1"/>
  <c r="J1043" i="1"/>
  <c r="N1042" i="1"/>
  <c r="D1047" i="3" s="1"/>
  <c r="J1042" i="1"/>
  <c r="N1041" i="1"/>
  <c r="C1058" i="15" s="1"/>
  <c r="J1041" i="1"/>
  <c r="N1040" i="1"/>
  <c r="C1057" i="15" s="1"/>
  <c r="J1040" i="1"/>
  <c r="N1039" i="1"/>
  <c r="C1056" i="15" s="1"/>
  <c r="J1039" i="1"/>
  <c r="N1038" i="1"/>
  <c r="D1043" i="3" s="1"/>
  <c r="J1038" i="1"/>
  <c r="N1037" i="1"/>
  <c r="C1054" i="15" s="1"/>
  <c r="J1037" i="1"/>
  <c r="N1036" i="1"/>
  <c r="C1053" i="15" s="1"/>
  <c r="J1036" i="1"/>
  <c r="N1035" i="1"/>
  <c r="C1052" i="15" s="1"/>
  <c r="J1035" i="1"/>
  <c r="N1034" i="1"/>
  <c r="D1039" i="3" s="1"/>
  <c r="J1034" i="1"/>
  <c r="N1033" i="1"/>
  <c r="C1050" i="15" s="1"/>
  <c r="J1033" i="1"/>
  <c r="N1032" i="1"/>
  <c r="C1049" i="15" s="1"/>
  <c r="J1032" i="1"/>
  <c r="N1031" i="1"/>
  <c r="C1048" i="15" s="1"/>
  <c r="J1031" i="1"/>
  <c r="N1030" i="1"/>
  <c r="D1035" i="3" s="1"/>
  <c r="J1030" i="1"/>
  <c r="N1029" i="1"/>
  <c r="C1046" i="15" s="1"/>
  <c r="J1029" i="1"/>
  <c r="N1028" i="1"/>
  <c r="C1045" i="15" s="1"/>
  <c r="J1028" i="1"/>
  <c r="N1027" i="1"/>
  <c r="C1044" i="15" s="1"/>
  <c r="J1027" i="1"/>
  <c r="N1026" i="1"/>
  <c r="D1031" i="3" s="1"/>
  <c r="J1026" i="1"/>
  <c r="N1025" i="1"/>
  <c r="C1042" i="15" s="1"/>
  <c r="J1025" i="1"/>
  <c r="N1024" i="1"/>
  <c r="C1041" i="15" s="1"/>
  <c r="J1024" i="1"/>
  <c r="N1023" i="1"/>
  <c r="C1040" i="15" s="1"/>
  <c r="J1023" i="1"/>
  <c r="N1022" i="1"/>
  <c r="C1039" i="15" s="1"/>
  <c r="J1022" i="1"/>
  <c r="N1021" i="1"/>
  <c r="C1038" i="15" s="1"/>
  <c r="J1021" i="1"/>
  <c r="N1020" i="1"/>
  <c r="C1037" i="15" s="1"/>
  <c r="J1020" i="1"/>
  <c r="N1019" i="1"/>
  <c r="C1036" i="15" s="1"/>
  <c r="J1019" i="1"/>
  <c r="N1018" i="1"/>
  <c r="C1035" i="15" s="1"/>
  <c r="J1018" i="1"/>
  <c r="N1017" i="1"/>
  <c r="C1034" i="15" s="1"/>
  <c r="J1017" i="1"/>
  <c r="N1016" i="1"/>
  <c r="C1033" i="15" s="1"/>
  <c r="J1016" i="1"/>
  <c r="N1015" i="1"/>
  <c r="C1032" i="15" s="1"/>
  <c r="J1015" i="1"/>
  <c r="N1014" i="1"/>
  <c r="C1031" i="15" s="1"/>
  <c r="J1014" i="1"/>
  <c r="N1013" i="1"/>
  <c r="C1030" i="15" s="1"/>
  <c r="J1013" i="1"/>
  <c r="N1012" i="1"/>
  <c r="C1029" i="15" s="1"/>
  <c r="P1046" i="1"/>
  <c r="Q1046" i="1" s="1"/>
  <c r="P1045" i="1"/>
  <c r="Q1045" i="1" s="1"/>
  <c r="P1044" i="1"/>
  <c r="Q1044" i="1" s="1"/>
  <c r="P1043" i="1"/>
  <c r="Q1043" i="1" s="1"/>
  <c r="P1042" i="1"/>
  <c r="Q1042" i="1" s="1"/>
  <c r="P1041" i="1"/>
  <c r="Q1041" i="1" s="1"/>
  <c r="P1040" i="1"/>
  <c r="Q1040" i="1" s="1"/>
  <c r="P1039" i="1"/>
  <c r="Q1039" i="1" s="1"/>
  <c r="P1038" i="1"/>
  <c r="Q1038" i="1" s="1"/>
  <c r="P1037" i="1"/>
  <c r="Q1037" i="1" s="1"/>
  <c r="P1036" i="1"/>
  <c r="Q1036" i="1" s="1"/>
  <c r="P1035" i="1"/>
  <c r="Q1035" i="1" s="1"/>
  <c r="P1034" i="1"/>
  <c r="Q1034" i="1" s="1"/>
  <c r="P1033" i="1"/>
  <c r="Q1033" i="1" s="1"/>
  <c r="P1032" i="1"/>
  <c r="Q1032" i="1" s="1"/>
  <c r="P1019" i="1"/>
  <c r="Q1019" i="1" s="1"/>
  <c r="P1020" i="1"/>
  <c r="Q1020" i="1" s="1"/>
  <c r="P1021" i="1"/>
  <c r="Q1021" i="1" s="1"/>
  <c r="P1022" i="1"/>
  <c r="Q1022" i="1" s="1"/>
  <c r="P1023" i="1"/>
  <c r="Q1023" i="1" s="1"/>
  <c r="P1024" i="1"/>
  <c r="Q1024" i="1" s="1"/>
  <c r="P1025" i="1"/>
  <c r="Q1025" i="1" s="1"/>
  <c r="P1026" i="1"/>
  <c r="Q1026" i="1" s="1"/>
  <c r="P1027" i="1"/>
  <c r="Q1027" i="1" s="1"/>
  <c r="P1028" i="1"/>
  <c r="Q1028" i="1" s="1"/>
  <c r="P1029" i="1"/>
  <c r="Q1029" i="1" s="1"/>
  <c r="P1030" i="1"/>
  <c r="Q1030" i="1" s="1"/>
  <c r="P1031" i="1"/>
  <c r="Q1031" i="1" s="1"/>
  <c r="P1018" i="1"/>
  <c r="Q1018" i="1" s="1"/>
  <c r="P1017" i="1"/>
  <c r="Q1017" i="1" s="1"/>
  <c r="P1016" i="1"/>
  <c r="Q1016" i="1" s="1"/>
  <c r="P1015" i="1"/>
  <c r="Q1015" i="1" s="1"/>
  <c r="P1014" i="1"/>
  <c r="Q1014" i="1" s="1"/>
  <c r="P1013" i="1"/>
  <c r="Q1013" i="1" s="1"/>
  <c r="P1012" i="1"/>
  <c r="Q1012" i="1" s="1"/>
  <c r="J1012" i="1"/>
  <c r="AI1012" i="1"/>
  <c r="AC1012" i="1" s="1"/>
  <c r="D1017" i="3" l="1"/>
  <c r="C1012" i="1" s="1"/>
  <c r="D1019" i="3"/>
  <c r="C1014" i="1" s="1"/>
  <c r="D1021" i="3"/>
  <c r="C1016" i="1" s="1"/>
  <c r="D1023" i="3"/>
  <c r="C1018" i="1" s="1"/>
  <c r="D1025" i="3"/>
  <c r="C1020" i="1" s="1"/>
  <c r="D1027" i="3"/>
  <c r="C1022" i="1" s="1"/>
  <c r="D1029" i="3"/>
  <c r="F1029" i="3" s="1"/>
  <c r="D1033" i="3"/>
  <c r="C1028" i="1" s="1"/>
  <c r="D1037" i="3"/>
  <c r="D1041" i="3"/>
  <c r="C1036" i="1" s="1"/>
  <c r="D1045" i="3"/>
  <c r="C1040" i="1" s="1"/>
  <c r="D1049" i="3"/>
  <c r="C1044" i="1" s="1"/>
  <c r="C1079" i="1"/>
  <c r="F1084" i="3"/>
  <c r="C1077" i="1"/>
  <c r="F1082" i="3"/>
  <c r="C1081" i="1"/>
  <c r="F1086" i="3"/>
  <c r="C1080" i="1"/>
  <c r="F1085" i="3"/>
  <c r="F1083" i="3"/>
  <c r="C1078" i="1"/>
  <c r="M1026" i="1"/>
  <c r="B1043" i="15" s="1"/>
  <c r="C1043" i="15"/>
  <c r="M1030" i="1"/>
  <c r="B1047" i="15" s="1"/>
  <c r="C1047" i="15"/>
  <c r="M1034" i="1"/>
  <c r="B1051" i="15" s="1"/>
  <c r="C1051" i="15"/>
  <c r="M1038" i="1"/>
  <c r="B1055" i="15" s="1"/>
  <c r="C1055" i="15"/>
  <c r="M1042" i="1"/>
  <c r="B1059" i="15" s="1"/>
  <c r="C1059" i="15"/>
  <c r="M1046" i="1"/>
  <c r="B1063" i="15" s="1"/>
  <c r="C1063" i="15"/>
  <c r="D1018" i="3"/>
  <c r="C1013" i="1" s="1"/>
  <c r="D1020" i="3"/>
  <c r="C1015" i="1" s="1"/>
  <c r="D1022" i="3"/>
  <c r="C1017" i="1" s="1"/>
  <c r="D1024" i="3"/>
  <c r="C1019" i="1" s="1"/>
  <c r="D1026" i="3"/>
  <c r="C1021" i="1" s="1"/>
  <c r="D1028" i="3"/>
  <c r="C1023" i="1" s="1"/>
  <c r="D1030" i="3"/>
  <c r="C1025" i="1" s="1"/>
  <c r="D1032" i="3"/>
  <c r="C1027" i="1" s="1"/>
  <c r="D1034" i="3"/>
  <c r="C1029" i="1" s="1"/>
  <c r="D1036" i="3"/>
  <c r="C1031" i="1" s="1"/>
  <c r="D1038" i="3"/>
  <c r="C1033" i="1" s="1"/>
  <c r="D1040" i="3"/>
  <c r="C1035" i="1" s="1"/>
  <c r="D1042" i="3"/>
  <c r="C1037" i="1" s="1"/>
  <c r="D1044" i="3"/>
  <c r="C1039" i="1" s="1"/>
  <c r="D1046" i="3"/>
  <c r="C1041" i="1" s="1"/>
  <c r="D1048" i="3"/>
  <c r="C1043" i="1" s="1"/>
  <c r="D1050" i="3"/>
  <c r="C1045" i="1" s="1"/>
  <c r="F1021" i="3"/>
  <c r="F1069" i="3"/>
  <c r="C1064" i="1"/>
  <c r="F1077" i="3"/>
  <c r="C1072" i="1"/>
  <c r="F1047" i="3"/>
  <c r="C1042" i="1"/>
  <c r="F1055" i="3"/>
  <c r="C1050" i="1"/>
  <c r="F1037" i="3"/>
  <c r="C1032" i="1"/>
  <c r="F1061" i="3"/>
  <c r="C1056" i="1"/>
  <c r="F1063" i="3"/>
  <c r="C1058" i="1"/>
  <c r="F1071" i="3"/>
  <c r="C1066" i="1"/>
  <c r="F1035" i="3"/>
  <c r="C1030" i="1"/>
  <c r="F1043" i="3"/>
  <c r="C1038" i="1"/>
  <c r="F1051" i="3"/>
  <c r="C1046" i="1"/>
  <c r="F1059" i="3"/>
  <c r="C1054" i="1"/>
  <c r="F1067" i="3"/>
  <c r="C1062" i="1"/>
  <c r="F1075" i="3"/>
  <c r="C1070" i="1"/>
  <c r="F1053" i="3"/>
  <c r="C1048" i="1"/>
  <c r="F1031" i="3"/>
  <c r="C1026" i="1"/>
  <c r="F1039" i="3"/>
  <c r="C1034" i="1"/>
  <c r="F1079" i="3"/>
  <c r="C1074" i="1"/>
  <c r="F1017" i="3"/>
  <c r="F1057" i="3"/>
  <c r="F1065" i="3"/>
  <c r="F1073" i="3"/>
  <c r="F1081" i="3"/>
  <c r="F1052" i="3"/>
  <c r="F1054" i="3"/>
  <c r="F1056" i="3"/>
  <c r="F1058" i="3"/>
  <c r="F1060" i="3"/>
  <c r="F1062" i="3"/>
  <c r="F1064" i="3"/>
  <c r="F1066" i="3"/>
  <c r="F1068" i="3"/>
  <c r="F1070" i="3"/>
  <c r="F1072" i="3"/>
  <c r="F1074" i="3"/>
  <c r="F1076" i="3"/>
  <c r="F1078" i="3"/>
  <c r="F1080" i="3"/>
  <c r="M1012" i="1"/>
  <c r="B1029" i="15" s="1"/>
  <c r="M1028" i="1"/>
  <c r="B1045" i="15" s="1"/>
  <c r="M1032" i="1"/>
  <c r="B1049" i="15" s="1"/>
  <c r="M1036" i="1"/>
  <c r="B1053" i="15" s="1"/>
  <c r="M1040" i="1"/>
  <c r="B1057" i="15" s="1"/>
  <c r="M1044" i="1"/>
  <c r="B1061" i="15" s="1"/>
  <c r="M1014" i="1"/>
  <c r="B1031" i="15" s="1"/>
  <c r="M1016" i="1"/>
  <c r="B1033" i="15" s="1"/>
  <c r="M1018" i="1"/>
  <c r="B1035" i="15" s="1"/>
  <c r="M1020" i="1"/>
  <c r="B1037" i="15" s="1"/>
  <c r="M1022" i="1"/>
  <c r="B1039" i="15" s="1"/>
  <c r="M1024" i="1"/>
  <c r="B1041" i="15" s="1"/>
  <c r="M1013" i="1"/>
  <c r="B1030" i="15" s="1"/>
  <c r="M1015" i="1"/>
  <c r="B1032" i="15" s="1"/>
  <c r="M1017" i="1"/>
  <c r="B1034" i="15" s="1"/>
  <c r="M1019" i="1"/>
  <c r="B1036" i="15" s="1"/>
  <c r="M1021" i="1"/>
  <c r="B1038" i="15" s="1"/>
  <c r="M1023" i="1"/>
  <c r="B1040" i="15" s="1"/>
  <c r="M1025" i="1"/>
  <c r="B1042" i="15" s="1"/>
  <c r="M1027" i="1"/>
  <c r="B1044" i="15" s="1"/>
  <c r="M1029" i="1"/>
  <c r="B1046" i="15" s="1"/>
  <c r="M1031" i="1"/>
  <c r="B1048" i="15" s="1"/>
  <c r="M1033" i="1"/>
  <c r="B1050" i="15" s="1"/>
  <c r="M1035" i="1"/>
  <c r="B1052" i="15" s="1"/>
  <c r="M1037" i="1"/>
  <c r="B1054" i="15" s="1"/>
  <c r="M1039" i="1"/>
  <c r="B1056" i="15" s="1"/>
  <c r="M1041" i="1"/>
  <c r="B1058" i="15" s="1"/>
  <c r="M1043" i="1"/>
  <c r="B1060" i="15" s="1"/>
  <c r="M1045" i="1"/>
  <c r="B1062" i="15" s="1"/>
  <c r="E1011" i="3"/>
  <c r="C1011" i="3"/>
  <c r="B1011" i="3"/>
  <c r="A1011" i="3"/>
  <c r="E1010" i="3"/>
  <c r="C1010" i="3"/>
  <c r="B1010" i="3"/>
  <c r="A1010" i="3"/>
  <c r="E1009" i="3"/>
  <c r="C1009" i="3"/>
  <c r="B1009" i="3"/>
  <c r="A1009" i="3"/>
  <c r="E1008" i="3"/>
  <c r="C1008" i="3"/>
  <c r="B1008" i="3"/>
  <c r="A1008" i="3"/>
  <c r="E1007" i="3"/>
  <c r="C1007" i="3"/>
  <c r="B1007" i="3"/>
  <c r="A1007" i="3"/>
  <c r="E1006" i="3"/>
  <c r="C1006" i="3"/>
  <c r="B1006" i="3"/>
  <c r="A1006" i="3"/>
  <c r="E1005" i="3"/>
  <c r="C1005" i="3"/>
  <c r="B1005" i="3"/>
  <c r="A1005" i="3"/>
  <c r="E1004" i="3"/>
  <c r="C1004" i="3"/>
  <c r="B1004" i="3"/>
  <c r="A1004" i="3"/>
  <c r="E1003" i="3"/>
  <c r="C1003" i="3"/>
  <c r="B1003" i="3"/>
  <c r="A1003" i="3"/>
  <c r="E1002" i="3"/>
  <c r="C1002" i="3"/>
  <c r="B1002" i="3"/>
  <c r="A1002" i="3"/>
  <c r="C838" i="15"/>
  <c r="C836" i="15"/>
  <c r="C831" i="15"/>
  <c r="J996" i="1"/>
  <c r="Q996" i="1"/>
  <c r="AI996" i="1"/>
  <c r="AC996" i="1" s="1"/>
  <c r="AY996" i="1"/>
  <c r="AZ996" i="1"/>
  <c r="BA996" i="1"/>
  <c r="BE996" i="1"/>
  <c r="BE1011" i="1"/>
  <c r="BA1011" i="1"/>
  <c r="AZ1011" i="1"/>
  <c r="AY1011" i="1"/>
  <c r="AI1011" i="1"/>
  <c r="AC1011" i="1" s="1"/>
  <c r="BE1010" i="1"/>
  <c r="BA1010" i="1"/>
  <c r="AZ1010" i="1"/>
  <c r="AY1010" i="1"/>
  <c r="AI1010" i="1"/>
  <c r="AC1010" i="1" s="1"/>
  <c r="BE1009" i="1"/>
  <c r="BA1009" i="1"/>
  <c r="AZ1009" i="1"/>
  <c r="AY1009" i="1"/>
  <c r="AI1009" i="1"/>
  <c r="AC1009" i="1" s="1"/>
  <c r="BE1008" i="1"/>
  <c r="BA1008" i="1"/>
  <c r="AZ1008" i="1"/>
  <c r="AY1008" i="1"/>
  <c r="AI1008" i="1"/>
  <c r="AC1008" i="1" s="1"/>
  <c r="BE1007" i="1"/>
  <c r="BA1007" i="1"/>
  <c r="AZ1007" i="1"/>
  <c r="AY1007" i="1"/>
  <c r="AI1007" i="1"/>
  <c r="AC1007" i="1" s="1"/>
  <c r="BE1006" i="1"/>
  <c r="BA1006" i="1"/>
  <c r="AZ1006" i="1"/>
  <c r="AY1006" i="1"/>
  <c r="AI1006" i="1"/>
  <c r="AC1006" i="1" s="1"/>
  <c r="BE1005" i="1"/>
  <c r="BA1005" i="1"/>
  <c r="AZ1005" i="1"/>
  <c r="AY1005" i="1"/>
  <c r="AI1005" i="1"/>
  <c r="AC1005" i="1" s="1"/>
  <c r="BE1004" i="1"/>
  <c r="BA1004" i="1"/>
  <c r="AZ1004" i="1"/>
  <c r="AY1004" i="1"/>
  <c r="AI1004" i="1"/>
  <c r="AC1004" i="1" s="1"/>
  <c r="BE1003" i="1"/>
  <c r="BA1003" i="1"/>
  <c r="AZ1003" i="1"/>
  <c r="AY1003" i="1"/>
  <c r="AI1003" i="1"/>
  <c r="AC1003" i="1" s="1"/>
  <c r="M1003" i="1" s="1"/>
  <c r="B845" i="15" s="1"/>
  <c r="Q1011" i="1"/>
  <c r="J1011" i="1"/>
  <c r="Q1010" i="1"/>
  <c r="J1010" i="1"/>
  <c r="Q1009" i="1"/>
  <c r="J1009" i="1"/>
  <c r="Q1008" i="1"/>
  <c r="J1008" i="1"/>
  <c r="Q1007" i="1"/>
  <c r="J1007" i="1"/>
  <c r="Q1006" i="1"/>
  <c r="J1006" i="1"/>
  <c r="Q1005" i="1"/>
  <c r="J1005" i="1"/>
  <c r="Q1004" i="1"/>
  <c r="J1004" i="1"/>
  <c r="Q1003" i="1"/>
  <c r="J1003" i="1"/>
  <c r="BE1002" i="1"/>
  <c r="BA1002" i="1"/>
  <c r="AZ1002" i="1"/>
  <c r="AY1002" i="1"/>
  <c r="AI1002" i="1"/>
  <c r="AC1002" i="1" s="1"/>
  <c r="BE1001" i="1"/>
  <c r="BA1001" i="1"/>
  <c r="AZ1001" i="1"/>
  <c r="AY1001" i="1"/>
  <c r="AI1001" i="1"/>
  <c r="AC1001" i="1" s="1"/>
  <c r="BE1000" i="1"/>
  <c r="BA1000" i="1"/>
  <c r="AZ1000" i="1"/>
  <c r="AY1000" i="1"/>
  <c r="AI1000" i="1"/>
  <c r="AC1000" i="1" s="1"/>
  <c r="BE999" i="1"/>
  <c r="BA999" i="1"/>
  <c r="AZ999" i="1"/>
  <c r="AY999" i="1"/>
  <c r="AI999" i="1"/>
  <c r="AC999" i="1" s="1"/>
  <c r="BE998" i="1"/>
  <c r="BA998" i="1"/>
  <c r="AZ998" i="1"/>
  <c r="AY998" i="1"/>
  <c r="AI998" i="1"/>
  <c r="AC998" i="1" s="1"/>
  <c r="BE997" i="1"/>
  <c r="BA997" i="1"/>
  <c r="AZ997" i="1"/>
  <c r="AY997" i="1"/>
  <c r="AI997" i="1"/>
  <c r="AC997" i="1" s="1"/>
  <c r="Q1002" i="1"/>
  <c r="J1002" i="1"/>
  <c r="Q1001" i="1"/>
  <c r="J1001" i="1"/>
  <c r="Q1000" i="1"/>
  <c r="J1000" i="1"/>
  <c r="Q999" i="1"/>
  <c r="J999" i="1"/>
  <c r="Q998" i="1"/>
  <c r="J998" i="1"/>
  <c r="Q997" i="1"/>
  <c r="J997" i="1"/>
  <c r="J1001" i="3"/>
  <c r="H1001" i="3"/>
  <c r="H1221" i="3"/>
  <c r="J1221" i="3"/>
  <c r="E1001" i="3"/>
  <c r="C1001" i="3"/>
  <c r="B1001" i="3"/>
  <c r="A1001" i="3"/>
  <c r="E1000" i="3"/>
  <c r="C1000" i="3"/>
  <c r="B1000" i="3"/>
  <c r="A1000" i="3"/>
  <c r="E999" i="3"/>
  <c r="C999" i="3"/>
  <c r="B999" i="3"/>
  <c r="A999" i="3"/>
  <c r="E998" i="3"/>
  <c r="C998" i="3"/>
  <c r="B998" i="3"/>
  <c r="A998" i="3"/>
  <c r="E997" i="3"/>
  <c r="C997" i="3"/>
  <c r="B997" i="3"/>
  <c r="A997" i="3"/>
  <c r="E996" i="3"/>
  <c r="C996" i="3"/>
  <c r="B996" i="3"/>
  <c r="A996" i="3"/>
  <c r="E995" i="3"/>
  <c r="C995" i="3"/>
  <c r="B995" i="3"/>
  <c r="A995" i="3"/>
  <c r="BE995" i="1"/>
  <c r="BA995" i="1"/>
  <c r="AZ995" i="1"/>
  <c r="AY995" i="1"/>
  <c r="AI995" i="1"/>
  <c r="AC995" i="1" s="1"/>
  <c r="Q995" i="1"/>
  <c r="J995" i="1"/>
  <c r="BE994" i="1"/>
  <c r="BA994" i="1"/>
  <c r="AZ994" i="1"/>
  <c r="AY994" i="1"/>
  <c r="AI994" i="1"/>
  <c r="AC994" i="1" s="1"/>
  <c r="Q994" i="1"/>
  <c r="J994" i="1"/>
  <c r="BE993" i="1"/>
  <c r="BA993" i="1"/>
  <c r="AZ993" i="1"/>
  <c r="AY993" i="1"/>
  <c r="AI993" i="1"/>
  <c r="AC993" i="1" s="1"/>
  <c r="M993" i="1" s="1"/>
  <c r="B835" i="15" s="1"/>
  <c r="Q993" i="1"/>
  <c r="J993" i="1"/>
  <c r="BE992" i="1"/>
  <c r="BA992" i="1"/>
  <c r="AZ992" i="1"/>
  <c r="AY992" i="1"/>
  <c r="AI992" i="1"/>
  <c r="AC992" i="1" s="1"/>
  <c r="Q992" i="1"/>
  <c r="J992" i="1"/>
  <c r="BE991" i="1"/>
  <c r="BA991" i="1"/>
  <c r="AZ991" i="1"/>
  <c r="AY991" i="1"/>
  <c r="AI991" i="1"/>
  <c r="AC991" i="1" s="1"/>
  <c r="Q991" i="1"/>
  <c r="J991" i="1"/>
  <c r="BE990" i="1"/>
  <c r="BA990" i="1"/>
  <c r="AZ990" i="1"/>
  <c r="AY990" i="1"/>
  <c r="AI990" i="1"/>
  <c r="AC990" i="1" s="1"/>
  <c r="Q990" i="1"/>
  <c r="J990" i="1"/>
  <c r="J994" i="3"/>
  <c r="H994" i="3"/>
  <c r="E994" i="3"/>
  <c r="C994" i="3"/>
  <c r="B994" i="3"/>
  <c r="A994" i="3"/>
  <c r="BE989" i="1"/>
  <c r="BA989" i="1"/>
  <c r="AZ989" i="1"/>
  <c r="AY989" i="1"/>
  <c r="Q989" i="1"/>
  <c r="J989" i="1"/>
  <c r="AI989" i="1"/>
  <c r="AC989" i="1" s="1"/>
  <c r="E993" i="3"/>
  <c r="C993" i="3"/>
  <c r="B993" i="3"/>
  <c r="A993" i="3"/>
  <c r="E992" i="3"/>
  <c r="C992" i="3"/>
  <c r="B992" i="3"/>
  <c r="A992" i="3"/>
  <c r="E991" i="3"/>
  <c r="C991" i="3"/>
  <c r="B991" i="3"/>
  <c r="A991" i="3"/>
  <c r="E990" i="3"/>
  <c r="C990" i="3"/>
  <c r="B990" i="3"/>
  <c r="A990" i="3"/>
  <c r="E989" i="3"/>
  <c r="C989" i="3"/>
  <c r="B989" i="3"/>
  <c r="A989" i="3"/>
  <c r="E988" i="3"/>
  <c r="C988" i="3"/>
  <c r="B988" i="3"/>
  <c r="A988" i="3"/>
  <c r="E987" i="3"/>
  <c r="C987" i="3"/>
  <c r="B987" i="3"/>
  <c r="A987" i="3"/>
  <c r="E986" i="3"/>
  <c r="C986" i="3"/>
  <c r="B986" i="3"/>
  <c r="A986" i="3"/>
  <c r="BE988" i="1"/>
  <c r="BA988" i="1"/>
  <c r="AZ988" i="1"/>
  <c r="AY988" i="1"/>
  <c r="AI988" i="1"/>
  <c r="AC988" i="1" s="1"/>
  <c r="BE987" i="1"/>
  <c r="BA987" i="1"/>
  <c r="AZ987" i="1"/>
  <c r="AY987" i="1"/>
  <c r="AI987" i="1"/>
  <c r="AC987" i="1" s="1"/>
  <c r="BE986" i="1"/>
  <c r="BA986" i="1"/>
  <c r="AZ986" i="1"/>
  <c r="AY986" i="1"/>
  <c r="AI986" i="1"/>
  <c r="AC986" i="1" s="1"/>
  <c r="BE985" i="1"/>
  <c r="BA985" i="1"/>
  <c r="AZ985" i="1"/>
  <c r="AY985" i="1"/>
  <c r="AI985" i="1"/>
  <c r="AC985" i="1" s="1"/>
  <c r="BE984" i="1"/>
  <c r="BA984" i="1"/>
  <c r="AZ984" i="1"/>
  <c r="AY984" i="1"/>
  <c r="AI984" i="1"/>
  <c r="AC984" i="1" s="1"/>
  <c r="BE983" i="1"/>
  <c r="BA983" i="1"/>
  <c r="AZ983" i="1"/>
  <c r="AY983" i="1"/>
  <c r="AI983" i="1"/>
  <c r="AC983" i="1" s="1"/>
  <c r="BE982" i="1"/>
  <c r="BA982" i="1"/>
  <c r="AZ982" i="1"/>
  <c r="AY982" i="1"/>
  <c r="AI982" i="1"/>
  <c r="AC982" i="1" s="1"/>
  <c r="BE981" i="1"/>
  <c r="BA981" i="1"/>
  <c r="AZ981" i="1"/>
  <c r="AY981" i="1"/>
  <c r="AI981" i="1"/>
  <c r="AC981" i="1" s="1"/>
  <c r="P988" i="1"/>
  <c r="Q988" i="1" s="1"/>
  <c r="P987" i="1"/>
  <c r="Q987" i="1" s="1"/>
  <c r="P986" i="1"/>
  <c r="Q986" i="1" s="1"/>
  <c r="P985" i="1"/>
  <c r="Q985" i="1" s="1"/>
  <c r="P984" i="1"/>
  <c r="Q984" i="1" s="1"/>
  <c r="P983" i="1"/>
  <c r="Q983" i="1" s="1"/>
  <c r="P982" i="1"/>
  <c r="Q982" i="1" s="1"/>
  <c r="P981" i="1"/>
  <c r="Q981" i="1" s="1"/>
  <c r="N984" i="1"/>
  <c r="N983" i="1"/>
  <c r="N982" i="1"/>
  <c r="N981" i="1"/>
  <c r="N988" i="1"/>
  <c r="N987" i="1"/>
  <c r="N986" i="1"/>
  <c r="N985" i="1"/>
  <c r="N980" i="1"/>
  <c r="N979" i="1"/>
  <c r="N978" i="1"/>
  <c r="N977" i="1"/>
  <c r="N976" i="1"/>
  <c r="N975" i="1"/>
  <c r="N974" i="1"/>
  <c r="C1014" i="15" s="1"/>
  <c r="N973" i="1"/>
  <c r="N972" i="1"/>
  <c r="N971" i="1"/>
  <c r="N970" i="1"/>
  <c r="N969" i="1"/>
  <c r="N968" i="1"/>
  <c r="N967" i="1"/>
  <c r="N966" i="1"/>
  <c r="C1006" i="15" s="1"/>
  <c r="N965" i="1"/>
  <c r="N964" i="1"/>
  <c r="C1004" i="15" s="1"/>
  <c r="N963" i="1"/>
  <c r="C1003" i="15" s="1"/>
  <c r="N962" i="1"/>
  <c r="C1002" i="15" s="1"/>
  <c r="N961" i="1"/>
  <c r="N960" i="1"/>
  <c r="J988" i="1"/>
  <c r="J987" i="1"/>
  <c r="J986" i="1"/>
  <c r="J985" i="1"/>
  <c r="J984" i="1"/>
  <c r="J983" i="1"/>
  <c r="J982" i="1"/>
  <c r="J981" i="1"/>
  <c r="BE980" i="1"/>
  <c r="BA980" i="1"/>
  <c r="AZ980" i="1"/>
  <c r="AY980" i="1"/>
  <c r="AI980" i="1"/>
  <c r="AC980" i="1" s="1"/>
  <c r="BE979" i="1"/>
  <c r="BA979" i="1"/>
  <c r="AZ979" i="1"/>
  <c r="AY979" i="1"/>
  <c r="AI979" i="1"/>
  <c r="AC979" i="1" s="1"/>
  <c r="BE978" i="1"/>
  <c r="BA978" i="1"/>
  <c r="AZ978" i="1"/>
  <c r="AY978" i="1"/>
  <c r="AI978" i="1"/>
  <c r="AC978" i="1" s="1"/>
  <c r="BE977" i="1"/>
  <c r="BA977" i="1"/>
  <c r="AZ977" i="1"/>
  <c r="AY977" i="1"/>
  <c r="AI977" i="1"/>
  <c r="AC977" i="1" s="1"/>
  <c r="BE976" i="1"/>
  <c r="BA976" i="1"/>
  <c r="AZ976" i="1"/>
  <c r="AY976" i="1"/>
  <c r="AI976" i="1"/>
  <c r="AC976" i="1" s="1"/>
  <c r="M976" i="1" s="1"/>
  <c r="B1016" i="15" s="1"/>
  <c r="BE975" i="1"/>
  <c r="BA975" i="1"/>
  <c r="AZ975" i="1"/>
  <c r="AY975" i="1"/>
  <c r="AI975" i="1"/>
  <c r="AC975" i="1" s="1"/>
  <c r="BE974" i="1"/>
  <c r="BA974" i="1"/>
  <c r="AZ974" i="1"/>
  <c r="AY974" i="1"/>
  <c r="AI974" i="1"/>
  <c r="AC974" i="1" s="1"/>
  <c r="BE973" i="1"/>
  <c r="BA973" i="1"/>
  <c r="AZ973" i="1"/>
  <c r="AY973" i="1"/>
  <c r="AI973" i="1"/>
  <c r="AC973" i="1" s="1"/>
  <c r="BE972" i="1"/>
  <c r="BA972" i="1"/>
  <c r="AZ972" i="1"/>
  <c r="AY972" i="1"/>
  <c r="AI972" i="1"/>
  <c r="AC972" i="1" s="1"/>
  <c r="BE971" i="1"/>
  <c r="BA971" i="1"/>
  <c r="AZ971" i="1"/>
  <c r="AY971" i="1"/>
  <c r="AI971" i="1"/>
  <c r="AC971" i="1" s="1"/>
  <c r="BE970" i="1"/>
  <c r="BA970" i="1"/>
  <c r="AZ970" i="1"/>
  <c r="AY970" i="1"/>
  <c r="AI970" i="1"/>
  <c r="AC970" i="1" s="1"/>
  <c r="BE969" i="1"/>
  <c r="BA969" i="1"/>
  <c r="AZ969" i="1"/>
  <c r="AY969" i="1"/>
  <c r="AI969" i="1"/>
  <c r="AC969" i="1" s="1"/>
  <c r="BE968" i="1"/>
  <c r="BA968" i="1"/>
  <c r="AZ968" i="1"/>
  <c r="AY968" i="1"/>
  <c r="AI968" i="1"/>
  <c r="AC968" i="1" s="1"/>
  <c r="BE967" i="1"/>
  <c r="BA967" i="1"/>
  <c r="AZ967" i="1"/>
  <c r="AY967" i="1"/>
  <c r="AI967" i="1"/>
  <c r="AC967" i="1" s="1"/>
  <c r="E985" i="3"/>
  <c r="C985" i="3"/>
  <c r="B985" i="3"/>
  <c r="A985" i="3"/>
  <c r="E984" i="3"/>
  <c r="C984" i="3"/>
  <c r="B984" i="3"/>
  <c r="A984" i="3"/>
  <c r="E983" i="3"/>
  <c r="C983" i="3"/>
  <c r="B983" i="3"/>
  <c r="A983" i="3"/>
  <c r="E982" i="3"/>
  <c r="C982" i="3"/>
  <c r="B982" i="3"/>
  <c r="A982" i="3"/>
  <c r="E981" i="3"/>
  <c r="C981" i="3"/>
  <c r="B981" i="3"/>
  <c r="A981" i="3"/>
  <c r="E980" i="3"/>
  <c r="C980" i="3"/>
  <c r="B980" i="3"/>
  <c r="A980" i="3"/>
  <c r="E979" i="3"/>
  <c r="C979" i="3"/>
  <c r="B979" i="3"/>
  <c r="A979" i="3"/>
  <c r="E978" i="3"/>
  <c r="C978" i="3"/>
  <c r="B978" i="3"/>
  <c r="A978" i="3"/>
  <c r="E977" i="3"/>
  <c r="C977" i="3"/>
  <c r="B977" i="3"/>
  <c r="A977" i="3"/>
  <c r="E976" i="3"/>
  <c r="C976" i="3"/>
  <c r="B976" i="3"/>
  <c r="A976" i="3"/>
  <c r="E975" i="3"/>
  <c r="C975" i="3"/>
  <c r="B975" i="3"/>
  <c r="A975" i="3"/>
  <c r="E974" i="3"/>
  <c r="C974" i="3"/>
  <c r="B974" i="3"/>
  <c r="A974" i="3"/>
  <c r="E973" i="3"/>
  <c r="C973" i="3"/>
  <c r="B973" i="3"/>
  <c r="A973" i="3"/>
  <c r="E972" i="3"/>
  <c r="C972" i="3"/>
  <c r="B972" i="3"/>
  <c r="A972" i="3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P980" i="1"/>
  <c r="Q980" i="1" s="1"/>
  <c r="P979" i="1"/>
  <c r="Q979" i="1" s="1"/>
  <c r="P978" i="1"/>
  <c r="Q978" i="1" s="1"/>
  <c r="P977" i="1"/>
  <c r="Q977" i="1" s="1"/>
  <c r="P976" i="1"/>
  <c r="Q976" i="1" s="1"/>
  <c r="P975" i="1"/>
  <c r="Q975" i="1" s="1"/>
  <c r="P974" i="1"/>
  <c r="Q974" i="1" s="1"/>
  <c r="P973" i="1"/>
  <c r="Q973" i="1" s="1"/>
  <c r="P972" i="1"/>
  <c r="Q972" i="1" s="1"/>
  <c r="P971" i="1"/>
  <c r="Q971" i="1" s="1"/>
  <c r="P970" i="1"/>
  <c r="Q970" i="1" s="1"/>
  <c r="P969" i="1"/>
  <c r="Q969" i="1" s="1"/>
  <c r="P968" i="1"/>
  <c r="Q968" i="1" s="1"/>
  <c r="P967" i="1"/>
  <c r="Q967" i="1" s="1"/>
  <c r="J971" i="3"/>
  <c r="H971" i="3"/>
  <c r="J970" i="3"/>
  <c r="H970" i="3"/>
  <c r="J969" i="3"/>
  <c r="H969" i="3"/>
  <c r="J968" i="3"/>
  <c r="H968" i="3"/>
  <c r="J967" i="3"/>
  <c r="H967" i="3"/>
  <c r="J966" i="3"/>
  <c r="H966" i="3"/>
  <c r="J965" i="3"/>
  <c r="H965" i="3"/>
  <c r="E971" i="3"/>
  <c r="C971" i="3"/>
  <c r="B971" i="3"/>
  <c r="A971" i="3"/>
  <c r="E970" i="3"/>
  <c r="C970" i="3"/>
  <c r="B970" i="3"/>
  <c r="A970" i="3"/>
  <c r="E969" i="3"/>
  <c r="C969" i="3"/>
  <c r="B969" i="3"/>
  <c r="A969" i="3"/>
  <c r="E968" i="3"/>
  <c r="C968" i="3"/>
  <c r="B968" i="3"/>
  <c r="A968" i="3"/>
  <c r="E967" i="3"/>
  <c r="C967" i="3"/>
  <c r="B967" i="3"/>
  <c r="A967" i="3"/>
  <c r="E966" i="3"/>
  <c r="C966" i="3"/>
  <c r="B966" i="3"/>
  <c r="A966" i="3"/>
  <c r="E965" i="3"/>
  <c r="C965" i="3"/>
  <c r="B965" i="3"/>
  <c r="A965" i="3"/>
  <c r="AI966" i="1"/>
  <c r="AC966" i="1" s="1"/>
  <c r="AI965" i="1"/>
  <c r="AC965" i="1" s="1"/>
  <c r="AI964" i="1"/>
  <c r="AC964" i="1" s="1"/>
  <c r="AI963" i="1"/>
  <c r="AC963" i="1" s="1"/>
  <c r="AI962" i="1"/>
  <c r="AC962" i="1" s="1"/>
  <c r="AI961" i="1"/>
  <c r="AC961" i="1" s="1"/>
  <c r="AI960" i="1"/>
  <c r="AC960" i="1" s="1"/>
  <c r="BE963" i="1"/>
  <c r="BA963" i="1"/>
  <c r="AZ963" i="1"/>
  <c r="AY963" i="1"/>
  <c r="BE966" i="1"/>
  <c r="BA966" i="1"/>
  <c r="AZ966" i="1"/>
  <c r="AY966" i="1"/>
  <c r="BE965" i="1"/>
  <c r="BA965" i="1"/>
  <c r="AZ965" i="1"/>
  <c r="AY965" i="1"/>
  <c r="BE964" i="1"/>
  <c r="BA964" i="1"/>
  <c r="AZ964" i="1"/>
  <c r="AY964" i="1"/>
  <c r="BE962" i="1"/>
  <c r="BA962" i="1"/>
  <c r="AZ962" i="1"/>
  <c r="AY962" i="1"/>
  <c r="BE961" i="1"/>
  <c r="BA961" i="1"/>
  <c r="AZ961" i="1"/>
  <c r="AY961" i="1"/>
  <c r="BE960" i="1"/>
  <c r="BA960" i="1"/>
  <c r="AZ960" i="1"/>
  <c r="AY960" i="1"/>
  <c r="P966" i="1"/>
  <c r="Q966" i="1" s="1"/>
  <c r="P965" i="1"/>
  <c r="Q965" i="1" s="1"/>
  <c r="P964" i="1"/>
  <c r="Q964" i="1" s="1"/>
  <c r="P963" i="1"/>
  <c r="Q963" i="1" s="1"/>
  <c r="P962" i="1"/>
  <c r="Q962" i="1" s="1"/>
  <c r="P961" i="1"/>
  <c r="Q961" i="1" s="1"/>
  <c r="P960" i="1"/>
  <c r="Q960" i="1" s="1"/>
  <c r="J966" i="1"/>
  <c r="J965" i="1"/>
  <c r="J964" i="1"/>
  <c r="J963" i="1"/>
  <c r="J962" i="1"/>
  <c r="J961" i="1"/>
  <c r="J960" i="1"/>
  <c r="F1025" i="3" l="1"/>
  <c r="F1022" i="3"/>
  <c r="M995" i="1"/>
  <c r="B837" i="15" s="1"/>
  <c r="D999" i="3"/>
  <c r="C994" i="1" s="1"/>
  <c r="F1050" i="3"/>
  <c r="F1018" i="3"/>
  <c r="F1020" i="3"/>
  <c r="F1034" i="3"/>
  <c r="F1045" i="3"/>
  <c r="F1026" i="3"/>
  <c r="F1046" i="3"/>
  <c r="F1038" i="3"/>
  <c r="C1024" i="1"/>
  <c r="F1030" i="3"/>
  <c r="F1042" i="3"/>
  <c r="M1011" i="1"/>
  <c r="B853" i="15" s="1"/>
  <c r="D994" i="3"/>
  <c r="C989" i="1" s="1"/>
  <c r="F1024" i="3"/>
  <c r="F1019" i="3"/>
  <c r="F1036" i="3"/>
  <c r="F1040" i="3"/>
  <c r="F1041" i="3"/>
  <c r="F1027" i="3"/>
  <c r="F1023" i="3"/>
  <c r="F1028" i="3"/>
  <c r="F1044" i="3"/>
  <c r="F1048" i="3"/>
  <c r="F1032" i="3"/>
  <c r="F1049" i="3"/>
  <c r="F1033" i="3"/>
  <c r="D966" i="3"/>
  <c r="C961" i="1" s="1"/>
  <c r="C1001" i="15"/>
  <c r="D970" i="3"/>
  <c r="C965" i="1" s="1"/>
  <c r="C1005" i="15"/>
  <c r="D972" i="3"/>
  <c r="C967" i="1" s="1"/>
  <c r="C1007" i="15"/>
  <c r="D974" i="3"/>
  <c r="C969" i="1" s="1"/>
  <c r="C1009" i="15"/>
  <c r="D976" i="3"/>
  <c r="C971" i="1" s="1"/>
  <c r="C1011" i="15"/>
  <c r="D978" i="3"/>
  <c r="C973" i="1" s="1"/>
  <c r="C1013" i="15"/>
  <c r="D980" i="3"/>
  <c r="C975" i="1" s="1"/>
  <c r="C1015" i="15"/>
  <c r="D982" i="3"/>
  <c r="C977" i="1" s="1"/>
  <c r="C1017" i="15"/>
  <c r="D984" i="3"/>
  <c r="C979" i="1" s="1"/>
  <c r="C1019" i="15"/>
  <c r="D990" i="3"/>
  <c r="C985" i="1" s="1"/>
  <c r="C1025" i="15"/>
  <c r="D992" i="3"/>
  <c r="C987" i="1" s="1"/>
  <c r="C1027" i="15"/>
  <c r="D986" i="3"/>
  <c r="C981" i="1" s="1"/>
  <c r="C1021" i="15"/>
  <c r="D988" i="3"/>
  <c r="C983" i="1" s="1"/>
  <c r="C1023" i="15"/>
  <c r="D995" i="3"/>
  <c r="C990" i="1" s="1"/>
  <c r="C832" i="15"/>
  <c r="D997" i="3"/>
  <c r="C992" i="1" s="1"/>
  <c r="C834" i="15"/>
  <c r="D1003" i="3"/>
  <c r="C998" i="1" s="1"/>
  <c r="C840" i="15"/>
  <c r="D1005" i="3"/>
  <c r="C1000" i="1" s="1"/>
  <c r="C842" i="15"/>
  <c r="D1007" i="3"/>
  <c r="C1002" i="1" s="1"/>
  <c r="C844" i="15"/>
  <c r="D1009" i="3"/>
  <c r="C1004" i="1" s="1"/>
  <c r="C846" i="15"/>
  <c r="D1011" i="3"/>
  <c r="C1006" i="1" s="1"/>
  <c r="C848" i="15"/>
  <c r="C850" i="15"/>
  <c r="D1013" i="3"/>
  <c r="C852" i="15"/>
  <c r="D1015" i="3"/>
  <c r="D965" i="3"/>
  <c r="C960" i="1" s="1"/>
  <c r="C1000" i="15"/>
  <c r="D973" i="3"/>
  <c r="C968" i="1" s="1"/>
  <c r="C1008" i="15"/>
  <c r="D975" i="3"/>
  <c r="C970" i="1" s="1"/>
  <c r="C1010" i="15"/>
  <c r="D977" i="3"/>
  <c r="C972" i="1" s="1"/>
  <c r="C1012" i="15"/>
  <c r="D981" i="3"/>
  <c r="C976" i="1" s="1"/>
  <c r="C1016" i="15"/>
  <c r="D983" i="3"/>
  <c r="C978" i="1" s="1"/>
  <c r="C1018" i="15"/>
  <c r="D985" i="3"/>
  <c r="C980" i="1" s="1"/>
  <c r="C1020" i="15"/>
  <c r="D991" i="3"/>
  <c r="C986" i="1" s="1"/>
  <c r="C1026" i="15"/>
  <c r="D993" i="3"/>
  <c r="C988" i="1" s="1"/>
  <c r="C1028" i="15"/>
  <c r="D987" i="3"/>
  <c r="C982" i="1" s="1"/>
  <c r="C1022" i="15"/>
  <c r="D989" i="3"/>
  <c r="C984" i="1" s="1"/>
  <c r="C1024" i="15"/>
  <c r="M996" i="1"/>
  <c r="B838" i="15" s="1"/>
  <c r="D996" i="3"/>
  <c r="C991" i="1" s="1"/>
  <c r="C833" i="15"/>
  <c r="D998" i="3"/>
  <c r="C993" i="1" s="1"/>
  <c r="C835" i="15"/>
  <c r="D1000" i="3"/>
  <c r="C995" i="1" s="1"/>
  <c r="C837" i="15"/>
  <c r="D1002" i="3"/>
  <c r="C997" i="1" s="1"/>
  <c r="C839" i="15"/>
  <c r="D1004" i="3"/>
  <c r="C999" i="1" s="1"/>
  <c r="C841" i="15"/>
  <c r="D1006" i="3"/>
  <c r="C1001" i="1" s="1"/>
  <c r="C843" i="15"/>
  <c r="D1008" i="3"/>
  <c r="C1003" i="1" s="1"/>
  <c r="C845" i="15"/>
  <c r="D1010" i="3"/>
  <c r="C1005" i="1" s="1"/>
  <c r="C847" i="15"/>
  <c r="C849" i="15"/>
  <c r="D1012" i="3"/>
  <c r="C851" i="15"/>
  <c r="D1014" i="3"/>
  <c r="C853" i="15"/>
  <c r="D1016" i="3"/>
  <c r="M987" i="1"/>
  <c r="B1027" i="15" s="1"/>
  <c r="M994" i="1"/>
  <c r="B836" i="15" s="1"/>
  <c r="M1002" i="1"/>
  <c r="B844" i="15" s="1"/>
  <c r="M1010" i="1"/>
  <c r="B852" i="15" s="1"/>
  <c r="M1000" i="1"/>
  <c r="B842" i="15" s="1"/>
  <c r="M1007" i="1"/>
  <c r="B849" i="15" s="1"/>
  <c r="M991" i="1"/>
  <c r="B833" i="15" s="1"/>
  <c r="D1001" i="3"/>
  <c r="C996" i="1" s="1"/>
  <c r="M992" i="1"/>
  <c r="B834" i="15" s="1"/>
  <c r="M1008" i="1"/>
  <c r="B850" i="15" s="1"/>
  <c r="M962" i="1"/>
  <c r="B1002" i="15" s="1"/>
  <c r="M988" i="1"/>
  <c r="B1028" i="15" s="1"/>
  <c r="M985" i="1"/>
  <c r="B1025" i="15" s="1"/>
  <c r="M1009" i="1"/>
  <c r="B851" i="15" s="1"/>
  <c r="M1005" i="1"/>
  <c r="B847" i="15" s="1"/>
  <c r="M1004" i="1"/>
  <c r="B846" i="15" s="1"/>
  <c r="M963" i="1"/>
  <c r="B1003" i="15" s="1"/>
  <c r="M972" i="1"/>
  <c r="B1012" i="15" s="1"/>
  <c r="M984" i="1"/>
  <c r="B1024" i="15" s="1"/>
  <c r="M989" i="1"/>
  <c r="B831" i="15" s="1"/>
  <c r="M990" i="1"/>
  <c r="B832" i="15" s="1"/>
  <c r="M1001" i="1"/>
  <c r="B843" i="15" s="1"/>
  <c r="M983" i="1"/>
  <c r="B1023" i="15" s="1"/>
  <c r="M997" i="1"/>
  <c r="B839" i="15" s="1"/>
  <c r="M999" i="1"/>
  <c r="B841" i="15" s="1"/>
  <c r="M1006" i="1"/>
  <c r="B848" i="15" s="1"/>
  <c r="M998" i="1"/>
  <c r="B840" i="15" s="1"/>
  <c r="M981" i="1"/>
  <c r="B1021" i="15" s="1"/>
  <c r="M982" i="1"/>
  <c r="B1022" i="15" s="1"/>
  <c r="M966" i="1"/>
  <c r="B1006" i="15" s="1"/>
  <c r="M986" i="1"/>
  <c r="B1026" i="15" s="1"/>
  <c r="M964" i="1"/>
  <c r="B1004" i="15" s="1"/>
  <c r="M973" i="1"/>
  <c r="B1013" i="15" s="1"/>
  <c r="M960" i="1"/>
  <c r="B1000" i="15" s="1"/>
  <c r="M961" i="1"/>
  <c r="B1001" i="15" s="1"/>
  <c r="D969" i="3"/>
  <c r="C964" i="1" s="1"/>
  <c r="M975" i="1"/>
  <c r="B1015" i="15" s="1"/>
  <c r="M974" i="1"/>
  <c r="B1014" i="15" s="1"/>
  <c r="M978" i="1"/>
  <c r="B1018" i="15" s="1"/>
  <c r="M980" i="1"/>
  <c r="B1020" i="15" s="1"/>
  <c r="M968" i="1"/>
  <c r="B1008" i="15" s="1"/>
  <c r="M970" i="1"/>
  <c r="B1010" i="15" s="1"/>
  <c r="M969" i="1"/>
  <c r="B1009" i="15" s="1"/>
  <c r="D967" i="3"/>
  <c r="C962" i="1" s="1"/>
  <c r="M965" i="1"/>
  <c r="B1005" i="15" s="1"/>
  <c r="M979" i="1"/>
  <c r="B1019" i="15" s="1"/>
  <c r="D979" i="3"/>
  <c r="C974" i="1" s="1"/>
  <c r="D968" i="3"/>
  <c r="M971" i="1"/>
  <c r="B1011" i="15" s="1"/>
  <c r="M977" i="1"/>
  <c r="B1017" i="15" s="1"/>
  <c r="M967" i="1"/>
  <c r="B1007" i="15" s="1"/>
  <c r="D971" i="3"/>
  <c r="C966" i="1" s="1"/>
  <c r="BE948" i="1"/>
  <c r="BA948" i="1"/>
  <c r="AZ948" i="1"/>
  <c r="AY948" i="1"/>
  <c r="BE947" i="1"/>
  <c r="BA947" i="1"/>
  <c r="AZ947" i="1"/>
  <c r="AY947" i="1"/>
  <c r="BE946" i="1"/>
  <c r="BA946" i="1"/>
  <c r="AZ946" i="1"/>
  <c r="AY946" i="1"/>
  <c r="BE945" i="1"/>
  <c r="BA945" i="1"/>
  <c r="AZ945" i="1"/>
  <c r="AY945" i="1"/>
  <c r="AI948" i="1"/>
  <c r="AC948" i="1" s="1"/>
  <c r="AI947" i="1"/>
  <c r="AC947" i="1" s="1"/>
  <c r="AI946" i="1"/>
  <c r="AC946" i="1" s="1"/>
  <c r="AI945" i="1"/>
  <c r="AC945" i="1" s="1"/>
  <c r="N948" i="1"/>
  <c r="N947" i="1"/>
  <c r="N946" i="1"/>
  <c r="N945" i="1"/>
  <c r="C827" i="15" s="1"/>
  <c r="G951" i="3"/>
  <c r="G950" i="3"/>
  <c r="E953" i="3"/>
  <c r="C953" i="3"/>
  <c r="B953" i="3"/>
  <c r="A953" i="3"/>
  <c r="E952" i="3"/>
  <c r="C952" i="3"/>
  <c r="B952" i="3"/>
  <c r="A952" i="3"/>
  <c r="E951" i="3"/>
  <c r="C951" i="3"/>
  <c r="B951" i="3"/>
  <c r="A951" i="3"/>
  <c r="E950" i="3"/>
  <c r="C950" i="3"/>
  <c r="B950" i="3"/>
  <c r="A950" i="3"/>
  <c r="J948" i="1"/>
  <c r="P948" i="1"/>
  <c r="Q948" i="1" s="1"/>
  <c r="P947" i="1"/>
  <c r="Q947" i="1" s="1"/>
  <c r="J947" i="1"/>
  <c r="Q946" i="1"/>
  <c r="Q945" i="1"/>
  <c r="J946" i="1"/>
  <c r="J945" i="1"/>
  <c r="E949" i="3"/>
  <c r="D949" i="3"/>
  <c r="C944" i="1" s="1"/>
  <c r="C949" i="3"/>
  <c r="B949" i="3"/>
  <c r="A949" i="3"/>
  <c r="E948" i="3"/>
  <c r="D948" i="3"/>
  <c r="C943" i="1" s="1"/>
  <c r="C948" i="3"/>
  <c r="B948" i="3"/>
  <c r="A948" i="3"/>
  <c r="BA944" i="1"/>
  <c r="AZ944" i="1"/>
  <c r="AY944" i="1"/>
  <c r="BA943" i="1"/>
  <c r="AZ943" i="1"/>
  <c r="AY943" i="1"/>
  <c r="Q944" i="1"/>
  <c r="Q943" i="1"/>
  <c r="J944" i="1"/>
  <c r="J943" i="1"/>
  <c r="BE944" i="1"/>
  <c r="BE943" i="1"/>
  <c r="BE942" i="1"/>
  <c r="BE941" i="1"/>
  <c r="AI944" i="1"/>
  <c r="AC944" i="1" s="1"/>
  <c r="M944" i="1" s="1"/>
  <c r="B826" i="15" s="1"/>
  <c r="AI943" i="1"/>
  <c r="AC943" i="1" s="1"/>
  <c r="M943" i="1" s="1"/>
  <c r="B825" i="15" s="1"/>
  <c r="Q942" i="1"/>
  <c r="Q941" i="1"/>
  <c r="BA942" i="1"/>
  <c r="AZ942" i="1"/>
  <c r="AY942" i="1"/>
  <c r="BA941" i="1"/>
  <c r="AZ941" i="1"/>
  <c r="AY941" i="1"/>
  <c r="AI942" i="1"/>
  <c r="AC942" i="1" s="1"/>
  <c r="M942" i="1" s="1"/>
  <c r="B788" i="15" s="1"/>
  <c r="J942" i="1"/>
  <c r="J941" i="1"/>
  <c r="AI941" i="1"/>
  <c r="AC941" i="1" s="1"/>
  <c r="M941" i="1" s="1"/>
  <c r="B787" i="15" s="1"/>
  <c r="G947" i="3"/>
  <c r="E947" i="3"/>
  <c r="D947" i="3"/>
  <c r="C942" i="1" s="1"/>
  <c r="C947" i="3"/>
  <c r="B947" i="3"/>
  <c r="A947" i="3"/>
  <c r="E946" i="3"/>
  <c r="D946" i="3"/>
  <c r="C941" i="1" s="1"/>
  <c r="C946" i="3"/>
  <c r="B946" i="3"/>
  <c r="A946" i="3"/>
  <c r="F999" i="3" l="1"/>
  <c r="F966" i="3"/>
  <c r="F976" i="3"/>
  <c r="F1005" i="3"/>
  <c r="F996" i="3"/>
  <c r="F998" i="3"/>
  <c r="F1004" i="3"/>
  <c r="F994" i="3"/>
  <c r="F988" i="3"/>
  <c r="F995" i="3"/>
  <c r="F974" i="3"/>
  <c r="F980" i="3"/>
  <c r="F983" i="3"/>
  <c r="F1007" i="3"/>
  <c r="F984" i="3"/>
  <c r="F973" i="3"/>
  <c r="F981" i="3"/>
  <c r="F977" i="3"/>
  <c r="F1009" i="3"/>
  <c r="F1011" i="3"/>
  <c r="F1000" i="3"/>
  <c r="F1008" i="3"/>
  <c r="F1006" i="3"/>
  <c r="F1010" i="3"/>
  <c r="F1002" i="3"/>
  <c r="F993" i="3"/>
  <c r="F991" i="3"/>
  <c r="F970" i="3"/>
  <c r="F978" i="3"/>
  <c r="F982" i="3"/>
  <c r="F975" i="3"/>
  <c r="F989" i="3"/>
  <c r="F965" i="3"/>
  <c r="F990" i="3"/>
  <c r="F986" i="3"/>
  <c r="F992" i="3"/>
  <c r="F985" i="3"/>
  <c r="F972" i="3"/>
  <c r="F987" i="3"/>
  <c r="F997" i="3"/>
  <c r="F1003" i="3"/>
  <c r="D952" i="3"/>
  <c r="C947" i="1" s="1"/>
  <c r="C829" i="15"/>
  <c r="C1010" i="1"/>
  <c r="F1015" i="3"/>
  <c r="C1008" i="1"/>
  <c r="F1013" i="3"/>
  <c r="D951" i="3"/>
  <c r="C946" i="1" s="1"/>
  <c r="C828" i="15"/>
  <c r="D953" i="3"/>
  <c r="C948" i="1" s="1"/>
  <c r="C830" i="15"/>
  <c r="C1011" i="1"/>
  <c r="F1016" i="3"/>
  <c r="C1009" i="1"/>
  <c r="F1014" i="3"/>
  <c r="C1007" i="1"/>
  <c r="F1012" i="3"/>
  <c r="F968" i="3"/>
  <c r="C963" i="1"/>
  <c r="F1001" i="3"/>
  <c r="F969" i="3"/>
  <c r="M946" i="1"/>
  <c r="B828" i="15" s="1"/>
  <c r="F979" i="3"/>
  <c r="F967" i="3"/>
  <c r="M947" i="1"/>
  <c r="B829" i="15" s="1"/>
  <c r="F971" i="3"/>
  <c r="M945" i="1"/>
  <c r="B827" i="15" s="1"/>
  <c r="M948" i="1"/>
  <c r="B830" i="15" s="1"/>
  <c r="D950" i="3"/>
  <c r="C945" i="1" s="1"/>
  <c r="F948" i="3"/>
  <c r="F949" i="3"/>
  <c r="F947" i="3"/>
  <c r="F946" i="3"/>
  <c r="G946" i="3"/>
  <c r="E945" i="3"/>
  <c r="C945" i="3"/>
  <c r="B945" i="3"/>
  <c r="A945" i="3"/>
  <c r="E944" i="3"/>
  <c r="C944" i="3"/>
  <c r="B944" i="3"/>
  <c r="A944" i="3"/>
  <c r="E943" i="3"/>
  <c r="C943" i="3"/>
  <c r="B943" i="3"/>
  <c r="A943" i="3"/>
  <c r="E942" i="3"/>
  <c r="C942" i="3"/>
  <c r="B942" i="3"/>
  <c r="A942" i="3"/>
  <c r="E941" i="3"/>
  <c r="C941" i="3"/>
  <c r="B941" i="3"/>
  <c r="A941" i="3"/>
  <c r="E940" i="3"/>
  <c r="C940" i="3"/>
  <c r="B940" i="3"/>
  <c r="A940" i="3"/>
  <c r="E939" i="3"/>
  <c r="C939" i="3"/>
  <c r="B939" i="3"/>
  <c r="A939" i="3"/>
  <c r="E938" i="3"/>
  <c r="C938" i="3"/>
  <c r="B938" i="3"/>
  <c r="A938" i="3"/>
  <c r="E937" i="3"/>
  <c r="C937" i="3"/>
  <c r="B937" i="3"/>
  <c r="A937" i="3"/>
  <c r="E936" i="3"/>
  <c r="C936" i="3"/>
  <c r="B936" i="3"/>
  <c r="A936" i="3"/>
  <c r="E935" i="3"/>
  <c r="C935" i="3"/>
  <c r="B935" i="3"/>
  <c r="A935" i="3"/>
  <c r="E934" i="3"/>
  <c r="C934" i="3"/>
  <c r="B934" i="3"/>
  <c r="A934" i="3"/>
  <c r="N933" i="1"/>
  <c r="N932" i="1"/>
  <c r="C991" i="15" s="1"/>
  <c r="N931" i="1"/>
  <c r="N930" i="1"/>
  <c r="N940" i="1"/>
  <c r="C999" i="15" s="1"/>
  <c r="N939" i="1"/>
  <c r="N938" i="1"/>
  <c r="N937" i="1"/>
  <c r="N936" i="1"/>
  <c r="N935" i="1"/>
  <c r="C994" i="15" s="1"/>
  <c r="N934" i="1"/>
  <c r="C993" i="15" s="1"/>
  <c r="N929" i="1"/>
  <c r="AI940" i="1"/>
  <c r="AC940" i="1" s="1"/>
  <c r="AI939" i="1"/>
  <c r="AC939" i="1" s="1"/>
  <c r="AI938" i="1"/>
  <c r="AC938" i="1" s="1"/>
  <c r="AI937" i="1"/>
  <c r="AC937" i="1" s="1"/>
  <c r="AI936" i="1"/>
  <c r="AC936" i="1" s="1"/>
  <c r="AI935" i="1"/>
  <c r="AC935" i="1" s="1"/>
  <c r="AI934" i="1"/>
  <c r="AC934" i="1" s="1"/>
  <c r="AI933" i="1"/>
  <c r="AC933" i="1" s="1"/>
  <c r="AI932" i="1"/>
  <c r="AC932" i="1" s="1"/>
  <c r="AI931" i="1"/>
  <c r="AC931" i="1" s="1"/>
  <c r="AI930" i="1"/>
  <c r="AC930" i="1" s="1"/>
  <c r="BE940" i="1"/>
  <c r="BE939" i="1"/>
  <c r="BE938" i="1"/>
  <c r="BE937" i="1"/>
  <c r="BE936" i="1"/>
  <c r="BE935" i="1"/>
  <c r="BE934" i="1"/>
  <c r="BE933" i="1"/>
  <c r="BE932" i="1"/>
  <c r="BE931" i="1"/>
  <c r="BE930" i="1"/>
  <c r="BE929" i="1"/>
  <c r="BA940" i="1"/>
  <c r="AZ940" i="1"/>
  <c r="AY940" i="1"/>
  <c r="BA939" i="1"/>
  <c r="AZ939" i="1"/>
  <c r="AY939" i="1"/>
  <c r="BA938" i="1"/>
  <c r="AZ938" i="1"/>
  <c r="AY938" i="1"/>
  <c r="BA937" i="1"/>
  <c r="AZ937" i="1"/>
  <c r="AY937" i="1"/>
  <c r="BA936" i="1"/>
  <c r="AZ936" i="1"/>
  <c r="AY936" i="1"/>
  <c r="BA935" i="1"/>
  <c r="AZ935" i="1"/>
  <c r="AY935" i="1"/>
  <c r="BA934" i="1"/>
  <c r="AZ934" i="1"/>
  <c r="AY934" i="1"/>
  <c r="BA933" i="1"/>
  <c r="AZ933" i="1"/>
  <c r="AY933" i="1"/>
  <c r="BA932" i="1"/>
  <c r="AZ932" i="1"/>
  <c r="AY932" i="1"/>
  <c r="BA931" i="1"/>
  <c r="AZ931" i="1"/>
  <c r="AY931" i="1"/>
  <c r="BA930" i="1"/>
  <c r="AZ930" i="1"/>
  <c r="AY930" i="1"/>
  <c r="BA929" i="1"/>
  <c r="AZ929" i="1"/>
  <c r="AY929" i="1"/>
  <c r="J939" i="1"/>
  <c r="P940" i="1"/>
  <c r="Q940" i="1" s="1"/>
  <c r="P939" i="1"/>
  <c r="Q939" i="1" s="1"/>
  <c r="P938" i="1"/>
  <c r="Q938" i="1" s="1"/>
  <c r="P937" i="1"/>
  <c r="Q937" i="1" s="1"/>
  <c r="P936" i="1"/>
  <c r="Q936" i="1" s="1"/>
  <c r="P935" i="1"/>
  <c r="Q935" i="1" s="1"/>
  <c r="P934" i="1"/>
  <c r="Q934" i="1" s="1"/>
  <c r="P933" i="1"/>
  <c r="Q933" i="1" s="1"/>
  <c r="P932" i="1"/>
  <c r="Q932" i="1" s="1"/>
  <c r="P931" i="1"/>
  <c r="Q931" i="1" s="1"/>
  <c r="P930" i="1"/>
  <c r="Q930" i="1" s="1"/>
  <c r="P929" i="1"/>
  <c r="Q929" i="1" s="1"/>
  <c r="J940" i="1"/>
  <c r="J938" i="1"/>
  <c r="J937" i="1"/>
  <c r="J936" i="1"/>
  <c r="J935" i="1"/>
  <c r="J934" i="1"/>
  <c r="J933" i="1"/>
  <c r="J932" i="1"/>
  <c r="J931" i="1"/>
  <c r="J930" i="1"/>
  <c r="J929" i="1"/>
  <c r="AI929" i="1"/>
  <c r="AC929" i="1" s="1"/>
  <c r="F953" i="3" l="1"/>
  <c r="F951" i="3"/>
  <c r="F952" i="3"/>
  <c r="D934" i="3"/>
  <c r="C929" i="1" s="1"/>
  <c r="C988" i="15"/>
  <c r="D942" i="3"/>
  <c r="C937" i="1" s="1"/>
  <c r="C996" i="15"/>
  <c r="D944" i="3"/>
  <c r="C939" i="1" s="1"/>
  <c r="C998" i="15"/>
  <c r="D935" i="3"/>
  <c r="C930" i="1" s="1"/>
  <c r="C989" i="15"/>
  <c r="D941" i="3"/>
  <c r="C936" i="1" s="1"/>
  <c r="C995" i="15"/>
  <c r="D943" i="3"/>
  <c r="C938" i="1" s="1"/>
  <c r="C997" i="15"/>
  <c r="D936" i="3"/>
  <c r="C931" i="1" s="1"/>
  <c r="C990" i="15"/>
  <c r="D938" i="3"/>
  <c r="C933" i="1" s="1"/>
  <c r="C992" i="15"/>
  <c r="M930" i="1"/>
  <c r="B989" i="15" s="1"/>
  <c r="M931" i="1"/>
  <c r="B990" i="15" s="1"/>
  <c r="M934" i="1"/>
  <c r="B993" i="15" s="1"/>
  <c r="D939" i="3"/>
  <c r="C934" i="1" s="1"/>
  <c r="M940" i="1"/>
  <c r="B999" i="15" s="1"/>
  <c r="D945" i="3"/>
  <c r="M932" i="1"/>
  <c r="B991" i="15" s="1"/>
  <c r="M936" i="1"/>
  <c r="B995" i="15" s="1"/>
  <c r="M937" i="1"/>
  <c r="B996" i="15" s="1"/>
  <c r="M939" i="1"/>
  <c r="B998" i="15" s="1"/>
  <c r="M929" i="1"/>
  <c r="B988" i="15" s="1"/>
  <c r="M935" i="1"/>
  <c r="B994" i="15" s="1"/>
  <c r="M938" i="1"/>
  <c r="B997" i="15" s="1"/>
  <c r="M933" i="1"/>
  <c r="B992" i="15" s="1"/>
  <c r="D940" i="3"/>
  <c r="D937" i="3"/>
  <c r="C932" i="1" s="1"/>
  <c r="F950" i="3"/>
  <c r="H922" i="3"/>
  <c r="J923" i="3"/>
  <c r="H923" i="3"/>
  <c r="J922" i="3"/>
  <c r="J921" i="3"/>
  <c r="H921" i="3"/>
  <c r="J920" i="3"/>
  <c r="H920" i="3"/>
  <c r="E933" i="3"/>
  <c r="C933" i="3"/>
  <c r="B933" i="3"/>
  <c r="A933" i="3"/>
  <c r="E932" i="3"/>
  <c r="C932" i="3"/>
  <c r="B932" i="3"/>
  <c r="A932" i="3"/>
  <c r="E931" i="3"/>
  <c r="C931" i="3"/>
  <c r="B931" i="3"/>
  <c r="A931" i="3"/>
  <c r="E930" i="3"/>
  <c r="C930" i="3"/>
  <c r="B930" i="3"/>
  <c r="A930" i="3"/>
  <c r="E929" i="3"/>
  <c r="C929" i="3"/>
  <c r="B929" i="3"/>
  <c r="A929" i="3"/>
  <c r="E928" i="3"/>
  <c r="C928" i="3"/>
  <c r="B928" i="3"/>
  <c r="A928" i="3"/>
  <c r="E927" i="3"/>
  <c r="C927" i="3"/>
  <c r="B927" i="3"/>
  <c r="A927" i="3"/>
  <c r="E926" i="3"/>
  <c r="C926" i="3"/>
  <c r="B926" i="3"/>
  <c r="A926" i="3"/>
  <c r="E925" i="3"/>
  <c r="C925" i="3"/>
  <c r="B925" i="3"/>
  <c r="A925" i="3"/>
  <c r="E924" i="3"/>
  <c r="C924" i="3"/>
  <c r="B924" i="3"/>
  <c r="A924" i="3"/>
  <c r="E923" i="3"/>
  <c r="C923" i="3"/>
  <c r="B923" i="3"/>
  <c r="A923" i="3"/>
  <c r="E922" i="3"/>
  <c r="C922" i="3"/>
  <c r="B922" i="3"/>
  <c r="A922" i="3"/>
  <c r="E921" i="3"/>
  <c r="C921" i="3"/>
  <c r="B921" i="3"/>
  <c r="A921" i="3"/>
  <c r="E920" i="3"/>
  <c r="C920" i="3"/>
  <c r="B920" i="3"/>
  <c r="A920" i="3"/>
  <c r="BE928" i="1"/>
  <c r="BA928" i="1"/>
  <c r="AZ928" i="1"/>
  <c r="AY928" i="1"/>
  <c r="BE927" i="1"/>
  <c r="BA927" i="1"/>
  <c r="AZ927" i="1"/>
  <c r="AY927" i="1"/>
  <c r="BE926" i="1"/>
  <c r="BA926" i="1"/>
  <c r="AZ926" i="1"/>
  <c r="AY926" i="1"/>
  <c r="BE925" i="1"/>
  <c r="BA925" i="1"/>
  <c r="AZ925" i="1"/>
  <c r="AY925" i="1"/>
  <c r="BE924" i="1"/>
  <c r="BA924" i="1"/>
  <c r="AZ924" i="1"/>
  <c r="AY924" i="1"/>
  <c r="BE923" i="1"/>
  <c r="BA923" i="1"/>
  <c r="AZ923" i="1"/>
  <c r="AY923" i="1"/>
  <c r="BE922" i="1"/>
  <c r="BA922" i="1"/>
  <c r="AZ922" i="1"/>
  <c r="AY922" i="1"/>
  <c r="BE921" i="1"/>
  <c r="BA921" i="1"/>
  <c r="AZ921" i="1"/>
  <c r="AY921" i="1"/>
  <c r="BE920" i="1"/>
  <c r="BA920" i="1"/>
  <c r="AZ920" i="1"/>
  <c r="AY920" i="1"/>
  <c r="BE919" i="1"/>
  <c r="BA919" i="1"/>
  <c r="AZ919" i="1"/>
  <c r="AY919" i="1"/>
  <c r="BE918" i="1"/>
  <c r="BA918" i="1"/>
  <c r="AZ918" i="1"/>
  <c r="AY918" i="1"/>
  <c r="BE917" i="1"/>
  <c r="BA917" i="1"/>
  <c r="AZ917" i="1"/>
  <c r="AY917" i="1"/>
  <c r="BE916" i="1"/>
  <c r="BA916" i="1"/>
  <c r="AZ916" i="1"/>
  <c r="AY916" i="1"/>
  <c r="BE915" i="1"/>
  <c r="BA915" i="1"/>
  <c r="AZ915" i="1"/>
  <c r="AY915" i="1"/>
  <c r="AI928" i="1"/>
  <c r="AC928" i="1" s="1"/>
  <c r="AI927" i="1"/>
  <c r="AC927" i="1" s="1"/>
  <c r="AI926" i="1"/>
  <c r="AC926" i="1" s="1"/>
  <c r="AI925" i="1"/>
  <c r="AC925" i="1" s="1"/>
  <c r="AI924" i="1"/>
  <c r="AC924" i="1" s="1"/>
  <c r="AI923" i="1"/>
  <c r="AC923" i="1" s="1"/>
  <c r="AI922" i="1"/>
  <c r="AC922" i="1" s="1"/>
  <c r="AI921" i="1"/>
  <c r="AC921" i="1" s="1"/>
  <c r="AI920" i="1"/>
  <c r="AC920" i="1" s="1"/>
  <c r="AI919" i="1"/>
  <c r="AC919" i="1" s="1"/>
  <c r="AI918" i="1"/>
  <c r="AC918" i="1" s="1"/>
  <c r="AI917" i="1"/>
  <c r="AC917" i="1" s="1"/>
  <c r="AI916" i="1"/>
  <c r="AC916" i="1" s="1"/>
  <c r="AI915" i="1"/>
  <c r="AC915" i="1" s="1"/>
  <c r="N918" i="1"/>
  <c r="N917" i="1"/>
  <c r="N928" i="1"/>
  <c r="C1113" i="15" s="1"/>
  <c r="N927" i="1"/>
  <c r="C1112" i="15" s="1"/>
  <c r="N926" i="1"/>
  <c r="N925" i="1"/>
  <c r="N924" i="1"/>
  <c r="N923" i="1"/>
  <c r="C1108" i="15" s="1"/>
  <c r="N922" i="1"/>
  <c r="C1107" i="15" s="1"/>
  <c r="N921" i="1"/>
  <c r="N920" i="1"/>
  <c r="C1105" i="15" s="1"/>
  <c r="N919" i="1"/>
  <c r="C1104" i="15" s="1"/>
  <c r="N916" i="1"/>
  <c r="N915" i="1"/>
  <c r="C1100" i="15" s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F942" i="3" l="1"/>
  <c r="F943" i="3"/>
  <c r="F941" i="3"/>
  <c r="F944" i="3"/>
  <c r="F934" i="3"/>
  <c r="F938" i="3"/>
  <c r="F935" i="3"/>
  <c r="F936" i="3"/>
  <c r="D921" i="3"/>
  <c r="C916" i="1" s="1"/>
  <c r="C1101" i="15"/>
  <c r="D929" i="3"/>
  <c r="C924" i="1" s="1"/>
  <c r="C1109" i="15"/>
  <c r="D931" i="3"/>
  <c r="C926" i="1" s="1"/>
  <c r="C1111" i="15"/>
  <c r="D923" i="3"/>
  <c r="C918" i="1" s="1"/>
  <c r="C1103" i="15"/>
  <c r="D926" i="3"/>
  <c r="C921" i="1" s="1"/>
  <c r="C1106" i="15"/>
  <c r="D930" i="3"/>
  <c r="C925" i="1" s="1"/>
  <c r="C1110" i="15"/>
  <c r="D922" i="3"/>
  <c r="C917" i="1" s="1"/>
  <c r="C1102" i="15"/>
  <c r="F940" i="3"/>
  <c r="C935" i="1"/>
  <c r="F945" i="3"/>
  <c r="C940" i="1"/>
  <c r="M918" i="1"/>
  <c r="B1103" i="15" s="1"/>
  <c r="M920" i="1"/>
  <c r="B1105" i="15" s="1"/>
  <c r="M919" i="1"/>
  <c r="B1104" i="15" s="1"/>
  <c r="F939" i="3"/>
  <c r="M928" i="1"/>
  <c r="B1113" i="15" s="1"/>
  <c r="M922" i="1"/>
  <c r="B1107" i="15" s="1"/>
  <c r="M923" i="1"/>
  <c r="B1108" i="15" s="1"/>
  <c r="M917" i="1"/>
  <c r="B1102" i="15" s="1"/>
  <c r="M924" i="1"/>
  <c r="B1109" i="15" s="1"/>
  <c r="M927" i="1"/>
  <c r="B1112" i="15" s="1"/>
  <c r="D932" i="3"/>
  <c r="C927" i="1" s="1"/>
  <c r="M915" i="1"/>
  <c r="B1100" i="15" s="1"/>
  <c r="D924" i="3"/>
  <c r="C919" i="1" s="1"/>
  <c r="M916" i="1"/>
  <c r="B1101" i="15" s="1"/>
  <c r="D920" i="3"/>
  <c r="C915" i="1" s="1"/>
  <c r="D928" i="3"/>
  <c r="C923" i="1" s="1"/>
  <c r="F937" i="3"/>
  <c r="M925" i="1"/>
  <c r="B1110" i="15" s="1"/>
  <c r="D925" i="3"/>
  <c r="C920" i="1" s="1"/>
  <c r="D933" i="3"/>
  <c r="C928" i="1" s="1"/>
  <c r="M926" i="1"/>
  <c r="B1111" i="15" s="1"/>
  <c r="D927" i="3"/>
  <c r="C922" i="1" s="1"/>
  <c r="M921" i="1"/>
  <c r="B1106" i="15" s="1"/>
  <c r="G922" i="3"/>
  <c r="F159" i="15"/>
  <c r="C2" i="15"/>
  <c r="F921" i="3" l="1"/>
  <c r="F929" i="3"/>
  <c r="F926" i="3"/>
  <c r="F931" i="3"/>
  <c r="F923" i="3"/>
  <c r="F930" i="3"/>
  <c r="F922" i="3"/>
  <c r="F927" i="3"/>
  <c r="F920" i="3"/>
  <c r="F924" i="3"/>
  <c r="F925" i="3"/>
  <c r="F932" i="3"/>
  <c r="F933" i="3"/>
  <c r="F928" i="3"/>
  <c r="F125" i="15"/>
  <c r="F428" i="15"/>
  <c r="F298" i="15"/>
  <c r="F8" i="15"/>
  <c r="F24" i="15"/>
  <c r="F56" i="15"/>
  <c r="F88" i="15"/>
  <c r="F120" i="15"/>
  <c r="F152" i="15"/>
  <c r="F168" i="15"/>
  <c r="F176" i="15"/>
  <c r="F184" i="15"/>
  <c r="F192" i="15"/>
  <c r="F240" i="15"/>
  <c r="F216" i="15"/>
  <c r="F248" i="15"/>
  <c r="F256" i="15"/>
  <c r="F264" i="15"/>
  <c r="F272" i="15"/>
  <c r="F280" i="15"/>
  <c r="F288" i="15"/>
  <c r="F440" i="15"/>
  <c r="F472" i="15"/>
  <c r="F304" i="15"/>
  <c r="F312" i="15"/>
  <c r="F344" i="15"/>
  <c r="F403" i="15"/>
  <c r="F352" i="15"/>
  <c r="F360" i="15"/>
  <c r="F368" i="15"/>
  <c r="F376" i="15"/>
  <c r="F384" i="15"/>
  <c r="F392" i="15"/>
  <c r="F408" i="15"/>
  <c r="F533" i="15"/>
  <c r="F480" i="15"/>
  <c r="F488" i="15"/>
  <c r="F498" i="15"/>
  <c r="F514" i="15"/>
  <c r="F562" i="15"/>
  <c r="F578" i="15"/>
  <c r="F594" i="15"/>
  <c r="F610" i="15"/>
  <c r="F626" i="15"/>
  <c r="F642" i="15"/>
  <c r="F658" i="15"/>
  <c r="F674" i="15"/>
  <c r="F690" i="15"/>
  <c r="F706" i="15"/>
  <c r="F722" i="15"/>
  <c r="F738" i="15"/>
  <c r="F794" i="15"/>
  <c r="F855" i="15"/>
  <c r="F791" i="15"/>
  <c r="F16" i="15"/>
  <c r="F112" i="15"/>
  <c r="F160" i="15"/>
  <c r="F200" i="15"/>
  <c r="F432" i="15"/>
  <c r="F448" i="15"/>
  <c r="F456" i="15"/>
  <c r="F464" i="15"/>
  <c r="F320" i="15"/>
  <c r="F296" i="15"/>
  <c r="F328" i="15"/>
  <c r="F336" i="15"/>
  <c r="F40" i="15"/>
  <c r="F72" i="15"/>
  <c r="F104" i="15"/>
  <c r="F136" i="15"/>
  <c r="F232" i="15"/>
  <c r="F424" i="15"/>
  <c r="F546" i="15"/>
  <c r="F823" i="15"/>
  <c r="F32" i="15"/>
  <c r="F48" i="15"/>
  <c r="F64" i="15"/>
  <c r="F80" i="15"/>
  <c r="F96" i="15"/>
  <c r="F128" i="15"/>
  <c r="F144" i="15"/>
  <c r="F208" i="15"/>
  <c r="F224" i="15"/>
  <c r="F400" i="15"/>
  <c r="F416" i="15"/>
  <c r="F759" i="15"/>
  <c r="F530" i="15"/>
  <c r="F883" i="15"/>
  <c r="F887" i="15"/>
  <c r="F839" i="15"/>
  <c r="F871" i="15"/>
  <c r="F903" i="15"/>
  <c r="F4" i="15"/>
  <c r="F5" i="15"/>
  <c r="F6" i="15"/>
  <c r="F7" i="15"/>
  <c r="F9" i="15"/>
  <c r="F10" i="15"/>
  <c r="F11" i="15"/>
  <c r="F12" i="15"/>
  <c r="F13" i="15"/>
  <c r="F14" i="15"/>
  <c r="F15" i="15"/>
  <c r="F17" i="15"/>
  <c r="F18" i="15"/>
  <c r="F19" i="15"/>
  <c r="F20" i="15"/>
  <c r="F21" i="15"/>
  <c r="F22" i="15"/>
  <c r="F23" i="15"/>
  <c r="F25" i="15"/>
  <c r="F26" i="15"/>
  <c r="F27" i="15"/>
  <c r="F28" i="15"/>
  <c r="F29" i="15"/>
  <c r="F30" i="15"/>
  <c r="F31" i="15"/>
  <c r="F33" i="15"/>
  <c r="F34" i="15"/>
  <c r="F35" i="15"/>
  <c r="F36" i="15"/>
  <c r="F37" i="15"/>
  <c r="F38" i="15"/>
  <c r="F39" i="15"/>
  <c r="F41" i="15"/>
  <c r="F42" i="15"/>
  <c r="F43" i="15"/>
  <c r="F44" i="15"/>
  <c r="F45" i="15"/>
  <c r="F46" i="15"/>
  <c r="F47" i="15"/>
  <c r="F49" i="15"/>
  <c r="F50" i="15"/>
  <c r="F51" i="15"/>
  <c r="F52" i="15"/>
  <c r="F53" i="15"/>
  <c r="F54" i="15"/>
  <c r="F55" i="15"/>
  <c r="F57" i="15"/>
  <c r="F58" i="15"/>
  <c r="F59" i="15"/>
  <c r="F60" i="15"/>
  <c r="F61" i="15"/>
  <c r="F62" i="15"/>
  <c r="F63" i="15"/>
  <c r="F65" i="15"/>
  <c r="F66" i="15"/>
  <c r="F67" i="15"/>
  <c r="F68" i="15"/>
  <c r="F69" i="15"/>
  <c r="F70" i="15"/>
  <c r="F71" i="15"/>
  <c r="F73" i="15"/>
  <c r="F74" i="15"/>
  <c r="F75" i="15"/>
  <c r="F76" i="15"/>
  <c r="F77" i="15"/>
  <c r="F78" i="15"/>
  <c r="F79" i="15"/>
  <c r="F81" i="15"/>
  <c r="F82" i="15"/>
  <c r="F83" i="15"/>
  <c r="F84" i="15"/>
  <c r="F85" i="15"/>
  <c r="F86" i="15"/>
  <c r="F87" i="15"/>
  <c r="F89" i="15"/>
  <c r="F90" i="15"/>
  <c r="F91" i="15"/>
  <c r="F92" i="15"/>
  <c r="F93" i="15"/>
  <c r="F94" i="15"/>
  <c r="F95" i="15"/>
  <c r="F97" i="15"/>
  <c r="F98" i="15"/>
  <c r="F99" i="15"/>
  <c r="F100" i="15"/>
  <c r="F101" i="15"/>
  <c r="F102" i="15"/>
  <c r="F103" i="15"/>
  <c r="F105" i="15"/>
  <c r="F106" i="15"/>
  <c r="F107" i="15"/>
  <c r="F108" i="15"/>
  <c r="F109" i="15"/>
  <c r="F110" i="15"/>
  <c r="F111" i="15"/>
  <c r="F113" i="15"/>
  <c r="F114" i="15"/>
  <c r="F115" i="15"/>
  <c r="F116" i="15"/>
  <c r="F117" i="15"/>
  <c r="F118" i="15"/>
  <c r="F119" i="15"/>
  <c r="F121" i="15"/>
  <c r="F122" i="15"/>
  <c r="F126" i="15"/>
  <c r="F127" i="15"/>
  <c r="F129" i="15"/>
  <c r="F130" i="15"/>
  <c r="F131" i="15"/>
  <c r="F132" i="15"/>
  <c r="F123" i="15"/>
  <c r="F124" i="15"/>
  <c r="F133" i="15"/>
  <c r="F134" i="15"/>
  <c r="F135" i="15"/>
  <c r="F137" i="15"/>
  <c r="F138" i="15"/>
  <c r="F139" i="15"/>
  <c r="F140" i="15"/>
  <c r="F141" i="15"/>
  <c r="F142" i="15"/>
  <c r="F143" i="15"/>
  <c r="F145" i="15"/>
  <c r="F146" i="15"/>
  <c r="F147" i="15"/>
  <c r="F148" i="15"/>
  <c r="F149" i="15"/>
  <c r="F150" i="15"/>
  <c r="F151" i="15"/>
  <c r="F153" i="15"/>
  <c r="F154" i="15"/>
  <c r="F155" i="15"/>
  <c r="F156" i="15"/>
  <c r="F157" i="15"/>
  <c r="F158" i="15"/>
  <c r="F161" i="15"/>
  <c r="F162" i="15"/>
  <c r="F163" i="15"/>
  <c r="F164" i="15"/>
  <c r="F165" i="15"/>
  <c r="F166" i="15"/>
  <c r="F167" i="15"/>
  <c r="F169" i="15"/>
  <c r="F170" i="15"/>
  <c r="F171" i="15"/>
  <c r="F172" i="15"/>
  <c r="F173" i="15"/>
  <c r="F174" i="15"/>
  <c r="F175" i="15"/>
  <c r="F177" i="15"/>
  <c r="F178" i="15"/>
  <c r="F179" i="15"/>
  <c r="F180" i="15"/>
  <c r="F181" i="15"/>
  <c r="F182" i="15"/>
  <c r="F183" i="15"/>
  <c r="F185" i="15"/>
  <c r="F186" i="15"/>
  <c r="F187" i="15"/>
  <c r="F188" i="15"/>
  <c r="F189" i="15"/>
  <c r="F190" i="15"/>
  <c r="F191" i="15"/>
  <c r="F193" i="15"/>
  <c r="F194" i="15"/>
  <c r="F195" i="15"/>
  <c r="F196" i="15"/>
  <c r="F197" i="15"/>
  <c r="F198" i="15"/>
  <c r="F199" i="15"/>
  <c r="F201" i="15"/>
  <c r="F202" i="15"/>
  <c r="F241" i="15"/>
  <c r="F242" i="15"/>
  <c r="F243" i="15"/>
  <c r="F244" i="15"/>
  <c r="F245" i="15"/>
  <c r="F203" i="15"/>
  <c r="F204" i="15"/>
  <c r="F205" i="15"/>
  <c r="F206" i="15"/>
  <c r="F207" i="15"/>
  <c r="F209" i="15"/>
  <c r="F210" i="15"/>
  <c r="F211" i="15"/>
  <c r="F212" i="15"/>
  <c r="F213" i="15"/>
  <c r="F214" i="15"/>
  <c r="F215" i="15"/>
  <c r="F217" i="15"/>
  <c r="F218" i="15"/>
  <c r="F219" i="15"/>
  <c r="F220" i="15"/>
  <c r="F221" i="15"/>
  <c r="F222" i="15"/>
  <c r="F223" i="15"/>
  <c r="F225" i="15"/>
  <c r="F226" i="15"/>
  <c r="F227" i="15"/>
  <c r="F228" i="15"/>
  <c r="F229" i="15"/>
  <c r="F230" i="15"/>
  <c r="F231" i="15"/>
  <c r="F233" i="15"/>
  <c r="F234" i="15"/>
  <c r="F235" i="15"/>
  <c r="F236" i="15"/>
  <c r="F237" i="15"/>
  <c r="F238" i="15"/>
  <c r="F246" i="15"/>
  <c r="F247" i="15"/>
  <c r="F249" i="15"/>
  <c r="F250" i="15"/>
  <c r="F251" i="15"/>
  <c r="F252" i="15"/>
  <c r="F253" i="15"/>
  <c r="F254" i="15"/>
  <c r="F255" i="15"/>
  <c r="F257" i="15"/>
  <c r="F258" i="15"/>
  <c r="F259" i="15"/>
  <c r="F260" i="15"/>
  <c r="F261" i="15"/>
  <c r="F262" i="15"/>
  <c r="F263" i="15"/>
  <c r="F265" i="15"/>
  <c r="F266" i="15"/>
  <c r="F267" i="15"/>
  <c r="F268" i="15"/>
  <c r="F269" i="15"/>
  <c r="F270" i="15"/>
  <c r="F271" i="15"/>
  <c r="F273" i="15"/>
  <c r="F274" i="15"/>
  <c r="F275" i="15"/>
  <c r="F276" i="15"/>
  <c r="F277" i="15"/>
  <c r="F278" i="15"/>
  <c r="F279" i="15"/>
  <c r="F281" i="15"/>
  <c r="F282" i="15"/>
  <c r="F283" i="15"/>
  <c r="F284" i="15"/>
  <c r="F285" i="15"/>
  <c r="F286" i="15"/>
  <c r="F287" i="15"/>
  <c r="F289" i="15"/>
  <c r="F429" i="15"/>
  <c r="F430" i="15"/>
  <c r="F431" i="15"/>
  <c r="F433" i="15"/>
  <c r="F434" i="15"/>
  <c r="F435" i="15"/>
  <c r="F436" i="15"/>
  <c r="F437" i="15"/>
  <c r="F438" i="15"/>
  <c r="F439" i="15"/>
  <c r="F441" i="15"/>
  <c r="F442" i="15"/>
  <c r="F443" i="15"/>
  <c r="F444" i="15"/>
  <c r="F445" i="15"/>
  <c r="F446" i="15"/>
  <c r="F447" i="15"/>
  <c r="F449" i="15"/>
  <c r="F450" i="15"/>
  <c r="F451" i="15"/>
  <c r="F452" i="15"/>
  <c r="F453" i="15"/>
  <c r="F454" i="15"/>
  <c r="F455" i="15"/>
  <c r="F457" i="15"/>
  <c r="F458" i="15"/>
  <c r="F459" i="15"/>
  <c r="F460" i="15"/>
  <c r="F461" i="15"/>
  <c r="F462" i="15"/>
  <c r="F463" i="15"/>
  <c r="F465" i="15"/>
  <c r="F466" i="15"/>
  <c r="F467" i="15"/>
  <c r="F468" i="15"/>
  <c r="F469" i="15"/>
  <c r="F470" i="15"/>
  <c r="F471" i="15"/>
  <c r="F473" i="15"/>
  <c r="F474" i="15"/>
  <c r="F475" i="15"/>
  <c r="F299" i="15"/>
  <c r="F300" i="15"/>
  <c r="F301" i="15"/>
  <c r="F302" i="15"/>
  <c r="F303" i="15"/>
  <c r="F305" i="15"/>
  <c r="F306" i="15"/>
  <c r="F307" i="15"/>
  <c r="F308" i="15"/>
  <c r="F309" i="15"/>
  <c r="F310" i="15"/>
  <c r="F311" i="15"/>
  <c r="F313" i="15"/>
  <c r="F314" i="15"/>
  <c r="F315" i="15"/>
  <c r="F316" i="15"/>
  <c r="F317" i="15"/>
  <c r="F318" i="15"/>
  <c r="F319" i="15"/>
  <c r="F321" i="15"/>
  <c r="F322" i="15"/>
  <c r="F290" i="15"/>
  <c r="F291" i="15"/>
  <c r="F292" i="15"/>
  <c r="F293" i="15"/>
  <c r="F294" i="15"/>
  <c r="F295" i="15"/>
  <c r="F323" i="15"/>
  <c r="F297" i="15"/>
  <c r="F324" i="15"/>
  <c r="F325" i="15"/>
  <c r="F326" i="15"/>
  <c r="F327" i="15"/>
  <c r="F329" i="15"/>
  <c r="F330" i="15"/>
  <c r="F331" i="15"/>
  <c r="F332" i="15"/>
  <c r="F333" i="15"/>
  <c r="F334" i="15"/>
  <c r="F335" i="15"/>
  <c r="F337" i="15"/>
  <c r="F338" i="15"/>
  <c r="F339" i="15"/>
  <c r="F340" i="15"/>
  <c r="F341" i="15"/>
  <c r="F342" i="15"/>
  <c r="F343" i="15"/>
  <c r="F345" i="15"/>
  <c r="F404" i="15"/>
  <c r="F405" i="15"/>
  <c r="F406" i="15"/>
  <c r="F407" i="15"/>
  <c r="F346" i="15"/>
  <c r="F347" i="15"/>
  <c r="F348" i="15"/>
  <c r="F349" i="15"/>
  <c r="F350" i="15"/>
  <c r="F351" i="15"/>
  <c r="F353" i="15"/>
  <c r="F354" i="15"/>
  <c r="F355" i="15"/>
  <c r="F356" i="15"/>
  <c r="F357" i="15"/>
  <c r="F358" i="15"/>
  <c r="F359" i="15"/>
  <c r="F361" i="15"/>
  <c r="F362" i="15"/>
  <c r="F363" i="15"/>
  <c r="F364" i="15"/>
  <c r="F365" i="15"/>
  <c r="F366" i="15"/>
  <c r="F367" i="15"/>
  <c r="F369" i="15"/>
  <c r="F370" i="15"/>
  <c r="F371" i="15"/>
  <c r="F372" i="15"/>
  <c r="F373" i="15"/>
  <c r="F374" i="15"/>
  <c r="F375" i="15"/>
  <c r="F377" i="15"/>
  <c r="F378" i="15"/>
  <c r="F379" i="15"/>
  <c r="F380" i="15"/>
  <c r="F381" i="15"/>
  <c r="F382" i="15"/>
  <c r="F383" i="15"/>
  <c r="F385" i="15"/>
  <c r="F386" i="15"/>
  <c r="F387" i="15"/>
  <c r="F388" i="15"/>
  <c r="F389" i="15"/>
  <c r="F390" i="15"/>
  <c r="F391" i="15"/>
  <c r="F393" i="15"/>
  <c r="F394" i="15"/>
  <c r="F395" i="15"/>
  <c r="F396" i="15"/>
  <c r="F397" i="15"/>
  <c r="F409" i="15"/>
  <c r="F410" i="15"/>
  <c r="F398" i="15"/>
  <c r="F399" i="15"/>
  <c r="F401" i="15"/>
  <c r="F402" i="15"/>
  <c r="F411" i="15"/>
  <c r="F412" i="15"/>
  <c r="F413" i="15"/>
  <c r="F414" i="15"/>
  <c r="F415" i="15"/>
  <c r="F417" i="15"/>
  <c r="F418" i="15"/>
  <c r="F419" i="15"/>
  <c r="F420" i="15"/>
  <c r="F421" i="15"/>
  <c r="F422" i="15"/>
  <c r="F423" i="15"/>
  <c r="F425" i="15"/>
  <c r="F426" i="15"/>
  <c r="F427" i="15"/>
  <c r="F534" i="15"/>
  <c r="F476" i="15"/>
  <c r="F477" i="15"/>
  <c r="F535" i="15"/>
  <c r="F536" i="15"/>
  <c r="F537" i="15"/>
  <c r="F538" i="15"/>
  <c r="F539" i="15"/>
  <c r="F540" i="15"/>
  <c r="F541" i="15"/>
  <c r="F542" i="15"/>
  <c r="F543" i="15"/>
  <c r="F544" i="15"/>
  <c r="F545" i="15"/>
  <c r="F547" i="15"/>
  <c r="F548" i="15"/>
  <c r="F549" i="15"/>
  <c r="F550" i="15"/>
  <c r="F551" i="15"/>
  <c r="F552" i="15"/>
  <c r="F553" i="15"/>
  <c r="F478" i="15"/>
  <c r="F479" i="15"/>
  <c r="F481" i="15"/>
  <c r="F482" i="15"/>
  <c r="F483" i="15"/>
  <c r="F484" i="15"/>
  <c r="F485" i="15"/>
  <c r="F486" i="15"/>
  <c r="F487" i="15"/>
  <c r="F489" i="15"/>
  <c r="F490" i="15"/>
  <c r="F491" i="15"/>
  <c r="F492" i="15"/>
  <c r="F493" i="15"/>
  <c r="F494" i="15"/>
  <c r="F495" i="15"/>
  <c r="F496" i="15"/>
  <c r="F497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5" i="15"/>
  <c r="F516" i="15"/>
  <c r="F517" i="15"/>
  <c r="F518" i="15"/>
  <c r="F519" i="15"/>
  <c r="F520" i="15"/>
  <c r="F521" i="15"/>
  <c r="F554" i="15"/>
  <c r="F555" i="15"/>
  <c r="F556" i="15"/>
  <c r="F557" i="15"/>
  <c r="F558" i="15"/>
  <c r="F559" i="15"/>
  <c r="F560" i="15"/>
  <c r="F561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9" i="15"/>
  <c r="F740" i="15"/>
  <c r="F741" i="15"/>
  <c r="F742" i="15"/>
  <c r="F743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60" i="15"/>
  <c r="F522" i="15"/>
  <c r="F523" i="15"/>
  <c r="F524" i="15"/>
  <c r="F525" i="15"/>
  <c r="F526" i="15"/>
  <c r="F527" i="15"/>
  <c r="F528" i="15"/>
  <c r="F529" i="15"/>
  <c r="F531" i="15"/>
  <c r="F532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884" i="15"/>
  <c r="F885" i="15"/>
  <c r="F886" i="15"/>
  <c r="F888" i="15"/>
  <c r="F889" i="15"/>
  <c r="F890" i="15"/>
  <c r="F891" i="15"/>
  <c r="F892" i="15"/>
  <c r="F893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6" i="15"/>
  <c r="F857" i="15"/>
  <c r="F858" i="15"/>
  <c r="F859" i="15"/>
  <c r="F860" i="15"/>
  <c r="F861" i="15"/>
  <c r="F862" i="15"/>
  <c r="F863" i="15"/>
  <c r="F864" i="15"/>
  <c r="F865" i="15"/>
  <c r="F866" i="15"/>
  <c r="F867" i="15"/>
  <c r="F868" i="15"/>
  <c r="F869" i="15"/>
  <c r="F870" i="15"/>
  <c r="F872" i="15"/>
  <c r="F873" i="15"/>
  <c r="F874" i="15"/>
  <c r="F875" i="15"/>
  <c r="F876" i="15"/>
  <c r="F877" i="15"/>
  <c r="F878" i="15"/>
  <c r="F879" i="15"/>
  <c r="F880" i="15"/>
  <c r="F881" i="15"/>
  <c r="F882" i="15"/>
  <c r="F787" i="15"/>
  <c r="F788" i="15"/>
  <c r="F789" i="15"/>
  <c r="F790" i="15"/>
  <c r="F792" i="15"/>
  <c r="F793" i="15"/>
  <c r="F894" i="15"/>
  <c r="F895" i="15"/>
  <c r="F896" i="15"/>
  <c r="F897" i="15"/>
  <c r="F898" i="15"/>
  <c r="F899" i="15"/>
  <c r="F900" i="15"/>
  <c r="F901" i="15"/>
  <c r="F902" i="15"/>
  <c r="F904" i="15"/>
  <c r="F905" i="15"/>
  <c r="F906" i="15"/>
  <c r="F907" i="15"/>
  <c r="F908" i="15"/>
  <c r="F239" i="15"/>
  <c r="E808" i="3"/>
  <c r="E807" i="3"/>
  <c r="E806" i="3"/>
  <c r="E805" i="3"/>
  <c r="E804" i="3"/>
  <c r="E803" i="3"/>
  <c r="E802" i="3"/>
  <c r="E801" i="3"/>
  <c r="E797" i="3"/>
  <c r="E796" i="3"/>
  <c r="E795" i="3"/>
  <c r="E775" i="3"/>
  <c r="D775" i="3"/>
  <c r="C770" i="1" s="1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J919" i="3"/>
  <c r="H919" i="3"/>
  <c r="J918" i="3"/>
  <c r="H918" i="3"/>
  <c r="J917" i="3"/>
  <c r="H917" i="3"/>
  <c r="J916" i="3"/>
  <c r="H916" i="3"/>
  <c r="J915" i="3"/>
  <c r="H915" i="3"/>
  <c r="J914" i="3"/>
  <c r="H914" i="3"/>
  <c r="J913" i="3"/>
  <c r="H913" i="3"/>
  <c r="J912" i="3"/>
  <c r="H912" i="3"/>
  <c r="J911" i="3"/>
  <c r="H911" i="3"/>
  <c r="J910" i="3"/>
  <c r="H910" i="3"/>
  <c r="J909" i="3"/>
  <c r="H909" i="3"/>
  <c r="J908" i="3"/>
  <c r="H908" i="3"/>
  <c r="J907" i="3"/>
  <c r="H907" i="3"/>
  <c r="J906" i="3"/>
  <c r="H906" i="3"/>
  <c r="J905" i="3"/>
  <c r="H905" i="3"/>
  <c r="C919" i="3"/>
  <c r="B919" i="3"/>
  <c r="A919" i="3"/>
  <c r="C918" i="3"/>
  <c r="B918" i="3"/>
  <c r="A918" i="3"/>
  <c r="C917" i="3"/>
  <c r="B917" i="3"/>
  <c r="A917" i="3"/>
  <c r="C916" i="3"/>
  <c r="B916" i="3"/>
  <c r="A916" i="3"/>
  <c r="C915" i="3"/>
  <c r="B915" i="3"/>
  <c r="A915" i="3"/>
  <c r="C914" i="3"/>
  <c r="B914" i="3"/>
  <c r="A914" i="3"/>
  <c r="C913" i="3"/>
  <c r="B913" i="3"/>
  <c r="A913" i="3"/>
  <c r="C912" i="3"/>
  <c r="B912" i="3"/>
  <c r="A912" i="3"/>
  <c r="C911" i="3"/>
  <c r="B911" i="3"/>
  <c r="A911" i="3"/>
  <c r="C910" i="3"/>
  <c r="B910" i="3"/>
  <c r="A910" i="3"/>
  <c r="C909" i="3"/>
  <c r="B909" i="3"/>
  <c r="A909" i="3"/>
  <c r="C908" i="3"/>
  <c r="B908" i="3"/>
  <c r="A908" i="3"/>
  <c r="C907" i="3"/>
  <c r="B907" i="3"/>
  <c r="A907" i="3"/>
  <c r="C906" i="3"/>
  <c r="B906" i="3"/>
  <c r="A906" i="3"/>
  <c r="C905" i="3"/>
  <c r="B905" i="3"/>
  <c r="A905" i="3"/>
  <c r="BE914" i="1"/>
  <c r="BA914" i="1"/>
  <c r="AZ914" i="1"/>
  <c r="AY914" i="1"/>
  <c r="BE913" i="1"/>
  <c r="BA913" i="1"/>
  <c r="AZ913" i="1"/>
  <c r="AY913" i="1"/>
  <c r="BE912" i="1"/>
  <c r="BA912" i="1"/>
  <c r="AZ912" i="1"/>
  <c r="AY912" i="1"/>
  <c r="BE911" i="1"/>
  <c r="BA911" i="1"/>
  <c r="AZ911" i="1"/>
  <c r="AY911" i="1"/>
  <c r="BE910" i="1"/>
  <c r="BA910" i="1"/>
  <c r="AZ910" i="1"/>
  <c r="AY910" i="1"/>
  <c r="BE909" i="1"/>
  <c r="BA909" i="1"/>
  <c r="AZ909" i="1"/>
  <c r="AY909" i="1"/>
  <c r="BE908" i="1"/>
  <c r="BA908" i="1"/>
  <c r="AZ908" i="1"/>
  <c r="AY908" i="1"/>
  <c r="BE907" i="1"/>
  <c r="BA907" i="1"/>
  <c r="AZ907" i="1"/>
  <c r="AY907" i="1"/>
  <c r="BE906" i="1"/>
  <c r="BA906" i="1"/>
  <c r="AZ906" i="1"/>
  <c r="AY906" i="1"/>
  <c r="BE905" i="1"/>
  <c r="BA905" i="1"/>
  <c r="AZ905" i="1"/>
  <c r="AY905" i="1"/>
  <c r="BE904" i="1"/>
  <c r="BA904" i="1"/>
  <c r="AZ904" i="1"/>
  <c r="AY904" i="1"/>
  <c r="BE903" i="1"/>
  <c r="BA903" i="1"/>
  <c r="AZ903" i="1"/>
  <c r="AY903" i="1"/>
  <c r="BE902" i="1"/>
  <c r="BA902" i="1"/>
  <c r="AZ902" i="1"/>
  <c r="AY902" i="1"/>
  <c r="BE901" i="1"/>
  <c r="BA901" i="1"/>
  <c r="AZ901" i="1"/>
  <c r="AY901" i="1"/>
  <c r="BE900" i="1"/>
  <c r="BA900" i="1"/>
  <c r="AZ900" i="1"/>
  <c r="AY900" i="1"/>
  <c r="AI914" i="1"/>
  <c r="AC914" i="1" s="1"/>
  <c r="AI913" i="1"/>
  <c r="AC913" i="1" s="1"/>
  <c r="AI912" i="1"/>
  <c r="AC912" i="1" s="1"/>
  <c r="AI911" i="1"/>
  <c r="AC911" i="1" s="1"/>
  <c r="AI910" i="1"/>
  <c r="AC910" i="1" s="1"/>
  <c r="AI909" i="1"/>
  <c r="AC909" i="1" s="1"/>
  <c r="AI908" i="1"/>
  <c r="AC908" i="1" s="1"/>
  <c r="AI907" i="1"/>
  <c r="AC907" i="1" s="1"/>
  <c r="AI906" i="1"/>
  <c r="AC906" i="1" s="1"/>
  <c r="AI905" i="1"/>
  <c r="AC905" i="1" s="1"/>
  <c r="AI904" i="1"/>
  <c r="AC904" i="1" s="1"/>
  <c r="AI903" i="1"/>
  <c r="AC903" i="1" s="1"/>
  <c r="AI902" i="1"/>
  <c r="AC902" i="1" s="1"/>
  <c r="AI901" i="1"/>
  <c r="AC901" i="1" s="1"/>
  <c r="AI900" i="1"/>
  <c r="AC900" i="1" s="1"/>
  <c r="N914" i="1"/>
  <c r="C1099" i="15" s="1"/>
  <c r="N913" i="1"/>
  <c r="C1098" i="15" s="1"/>
  <c r="N912" i="1"/>
  <c r="C1097" i="15" s="1"/>
  <c r="N911" i="1"/>
  <c r="C1096" i="15" s="1"/>
  <c r="N910" i="1"/>
  <c r="C1095" i="15" s="1"/>
  <c r="N909" i="1"/>
  <c r="C1094" i="15" s="1"/>
  <c r="N908" i="1"/>
  <c r="C1093" i="15" s="1"/>
  <c r="N907" i="1"/>
  <c r="C1092" i="15" s="1"/>
  <c r="N906" i="1"/>
  <c r="C1091" i="15" s="1"/>
  <c r="N905" i="1"/>
  <c r="C1090" i="15" s="1"/>
  <c r="N904" i="1"/>
  <c r="C1089" i="15" s="1"/>
  <c r="N903" i="1"/>
  <c r="C1088" i="15" s="1"/>
  <c r="N902" i="1"/>
  <c r="C1087" i="15" s="1"/>
  <c r="N901" i="1"/>
  <c r="C1086" i="15" s="1"/>
  <c r="N900" i="1"/>
  <c r="C1085" i="15" s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O103" i="4"/>
  <c r="O102" i="4"/>
  <c r="O101" i="4"/>
  <c r="M902" i="1" l="1"/>
  <c r="B1087" i="15" s="1"/>
  <c r="M911" i="1"/>
  <c r="B1096" i="15" s="1"/>
  <c r="D918" i="3"/>
  <c r="C913" i="1" s="1"/>
  <c r="D916" i="3"/>
  <c r="M906" i="1"/>
  <c r="B1091" i="15" s="1"/>
  <c r="M908" i="1"/>
  <c r="B1093" i="15" s="1"/>
  <c r="M907" i="1"/>
  <c r="B1092" i="15" s="1"/>
  <c r="M903" i="1"/>
  <c r="B1088" i="15" s="1"/>
  <c r="D906" i="3"/>
  <c r="C901" i="1" s="1"/>
  <c r="F775" i="3"/>
  <c r="M910" i="1"/>
  <c r="B1095" i="15" s="1"/>
  <c r="M912" i="1"/>
  <c r="B1097" i="15" s="1"/>
  <c r="D905" i="3"/>
  <c r="D915" i="3"/>
  <c r="C910" i="1" s="1"/>
  <c r="D917" i="3"/>
  <c r="C912" i="1" s="1"/>
  <c r="D919" i="3"/>
  <c r="C914" i="1" s="1"/>
  <c r="M900" i="1"/>
  <c r="B1085" i="15" s="1"/>
  <c r="M904" i="1"/>
  <c r="B1089" i="15" s="1"/>
  <c r="M914" i="1"/>
  <c r="B1099" i="15" s="1"/>
  <c r="M909" i="1"/>
  <c r="B1094" i="15" s="1"/>
  <c r="D907" i="3"/>
  <c r="C902" i="1" s="1"/>
  <c r="D908" i="3"/>
  <c r="C903" i="1" s="1"/>
  <c r="D909" i="3"/>
  <c r="C904" i="1" s="1"/>
  <c r="D910" i="3"/>
  <c r="C905" i="1" s="1"/>
  <c r="D911" i="3"/>
  <c r="C906" i="1" s="1"/>
  <c r="D912" i="3"/>
  <c r="C907" i="1" s="1"/>
  <c r="D913" i="3"/>
  <c r="C908" i="1" s="1"/>
  <c r="D914" i="3"/>
  <c r="C909" i="1" s="1"/>
  <c r="M905" i="1"/>
  <c r="B1090" i="15" s="1"/>
  <c r="M901" i="1"/>
  <c r="B1086" i="15" s="1"/>
  <c r="M913" i="1"/>
  <c r="B1098" i="15" s="1"/>
  <c r="C904" i="3"/>
  <c r="B904" i="3"/>
  <c r="A904" i="3"/>
  <c r="C903" i="3"/>
  <c r="B903" i="3"/>
  <c r="A903" i="3"/>
  <c r="C902" i="3"/>
  <c r="B902" i="3"/>
  <c r="A902" i="3"/>
  <c r="C901" i="3"/>
  <c r="B901" i="3"/>
  <c r="A901" i="3"/>
  <c r="C900" i="3"/>
  <c r="B900" i="3"/>
  <c r="A900" i="3"/>
  <c r="C899" i="3"/>
  <c r="B899" i="3"/>
  <c r="A899" i="3"/>
  <c r="C898" i="3"/>
  <c r="B898" i="3"/>
  <c r="A898" i="3"/>
  <c r="BE899" i="1"/>
  <c r="BA899" i="1"/>
  <c r="AZ899" i="1"/>
  <c r="AY899" i="1"/>
  <c r="BE898" i="1"/>
  <c r="BA898" i="1"/>
  <c r="AZ898" i="1"/>
  <c r="AY898" i="1"/>
  <c r="BE897" i="1"/>
  <c r="BA897" i="1"/>
  <c r="AZ897" i="1"/>
  <c r="AY897" i="1"/>
  <c r="BE896" i="1"/>
  <c r="BA896" i="1"/>
  <c r="AZ896" i="1"/>
  <c r="AY896" i="1"/>
  <c r="BE895" i="1"/>
  <c r="BA895" i="1"/>
  <c r="AZ895" i="1"/>
  <c r="AY895" i="1"/>
  <c r="BE894" i="1"/>
  <c r="BA894" i="1"/>
  <c r="AZ894" i="1"/>
  <c r="AY894" i="1"/>
  <c r="BE893" i="1"/>
  <c r="BA893" i="1"/>
  <c r="AZ893" i="1"/>
  <c r="AY893" i="1"/>
  <c r="AI899" i="1"/>
  <c r="AC899" i="1" s="1"/>
  <c r="AI898" i="1"/>
  <c r="AC898" i="1" s="1"/>
  <c r="AI897" i="1"/>
  <c r="AC897" i="1" s="1"/>
  <c r="AI896" i="1"/>
  <c r="AC896" i="1" s="1"/>
  <c r="AI895" i="1"/>
  <c r="AC895" i="1" s="1"/>
  <c r="AI894" i="1"/>
  <c r="AC894" i="1" s="1"/>
  <c r="P899" i="1"/>
  <c r="Q899" i="1" s="1"/>
  <c r="P898" i="1"/>
  <c r="Q898" i="1" s="1"/>
  <c r="P897" i="1"/>
  <c r="Q897" i="1" s="1"/>
  <c r="P896" i="1"/>
  <c r="Q896" i="1" s="1"/>
  <c r="P895" i="1"/>
  <c r="Q895" i="1" s="1"/>
  <c r="P894" i="1"/>
  <c r="Q894" i="1" s="1"/>
  <c r="P893" i="1"/>
  <c r="Q893" i="1" s="1"/>
  <c r="N899" i="1"/>
  <c r="C824" i="15" s="1"/>
  <c r="N898" i="1"/>
  <c r="C823" i="15" s="1"/>
  <c r="N897" i="1"/>
  <c r="C822" i="15" s="1"/>
  <c r="N896" i="1"/>
  <c r="C821" i="15" s="1"/>
  <c r="N895" i="1"/>
  <c r="C820" i="15" s="1"/>
  <c r="N894" i="1"/>
  <c r="C819" i="15" s="1"/>
  <c r="N893" i="1"/>
  <c r="C818" i="15" s="1"/>
  <c r="AI893" i="1"/>
  <c r="AC893" i="1" s="1"/>
  <c r="C897" i="3"/>
  <c r="B897" i="3"/>
  <c r="A897" i="3"/>
  <c r="C896" i="3"/>
  <c r="B896" i="3"/>
  <c r="A896" i="3"/>
  <c r="C895" i="3"/>
  <c r="B895" i="3"/>
  <c r="A895" i="3"/>
  <c r="C894" i="3"/>
  <c r="B894" i="3"/>
  <c r="A894" i="3"/>
  <c r="C893" i="3"/>
  <c r="B893" i="3"/>
  <c r="A893" i="3"/>
  <c r="C892" i="3"/>
  <c r="B892" i="3"/>
  <c r="A892" i="3"/>
  <c r="C891" i="3"/>
  <c r="B891" i="3"/>
  <c r="A891" i="3"/>
  <c r="C890" i="3"/>
  <c r="B890" i="3"/>
  <c r="A890" i="3"/>
  <c r="C889" i="3"/>
  <c r="B889" i="3"/>
  <c r="A889" i="3"/>
  <c r="C888" i="3"/>
  <c r="B888" i="3"/>
  <c r="A888" i="3"/>
  <c r="C887" i="3"/>
  <c r="B887" i="3"/>
  <c r="A887" i="3"/>
  <c r="C886" i="3"/>
  <c r="B886" i="3"/>
  <c r="A886" i="3"/>
  <c r="C885" i="3"/>
  <c r="B885" i="3"/>
  <c r="A885" i="3"/>
  <c r="C884" i="3"/>
  <c r="B884" i="3"/>
  <c r="A884" i="3"/>
  <c r="BE892" i="1"/>
  <c r="BA892" i="1"/>
  <c r="AZ892" i="1"/>
  <c r="AY892" i="1"/>
  <c r="AI892" i="1"/>
  <c r="AC892" i="1" s="1"/>
  <c r="BE891" i="1"/>
  <c r="BA891" i="1"/>
  <c r="AZ891" i="1"/>
  <c r="AY891" i="1"/>
  <c r="AI891" i="1"/>
  <c r="AC891" i="1" s="1"/>
  <c r="BE890" i="1"/>
  <c r="BA890" i="1"/>
  <c r="AZ890" i="1"/>
  <c r="AY890" i="1"/>
  <c r="AI890" i="1"/>
  <c r="AC890" i="1" s="1"/>
  <c r="BE889" i="1"/>
  <c r="BA889" i="1"/>
  <c r="AZ889" i="1"/>
  <c r="AY889" i="1"/>
  <c r="AI889" i="1"/>
  <c r="AC889" i="1" s="1"/>
  <c r="BE888" i="1"/>
  <c r="BA888" i="1"/>
  <c r="AZ888" i="1"/>
  <c r="AY888" i="1"/>
  <c r="AI888" i="1"/>
  <c r="AC888" i="1" s="1"/>
  <c r="BE887" i="1"/>
  <c r="BA887" i="1"/>
  <c r="AZ887" i="1"/>
  <c r="AY887" i="1"/>
  <c r="AI887" i="1"/>
  <c r="AC887" i="1" s="1"/>
  <c r="BE886" i="1"/>
  <c r="BA886" i="1"/>
  <c r="AZ886" i="1"/>
  <c r="AY886" i="1"/>
  <c r="AI886" i="1"/>
  <c r="AC886" i="1" s="1"/>
  <c r="BE885" i="1"/>
  <c r="BA885" i="1"/>
  <c r="AZ885" i="1"/>
  <c r="AY885" i="1"/>
  <c r="AI885" i="1"/>
  <c r="AC885" i="1" s="1"/>
  <c r="BE884" i="1"/>
  <c r="BA884" i="1"/>
  <c r="AZ884" i="1"/>
  <c r="AY884" i="1"/>
  <c r="AI884" i="1"/>
  <c r="AC884" i="1" s="1"/>
  <c r="BE883" i="1"/>
  <c r="BA883" i="1"/>
  <c r="AZ883" i="1"/>
  <c r="AY883" i="1"/>
  <c r="AI883" i="1"/>
  <c r="AC883" i="1" s="1"/>
  <c r="BE882" i="1"/>
  <c r="BA882" i="1"/>
  <c r="AZ882" i="1"/>
  <c r="AY882" i="1"/>
  <c r="AI882" i="1"/>
  <c r="AC882" i="1" s="1"/>
  <c r="BE881" i="1"/>
  <c r="BA881" i="1"/>
  <c r="AZ881" i="1"/>
  <c r="AY881" i="1"/>
  <c r="AI881" i="1"/>
  <c r="AC881" i="1" s="1"/>
  <c r="BE880" i="1"/>
  <c r="BA880" i="1"/>
  <c r="AZ880" i="1"/>
  <c r="AY880" i="1"/>
  <c r="AI880" i="1"/>
  <c r="AC880" i="1" s="1"/>
  <c r="BE879" i="1"/>
  <c r="BA879" i="1"/>
  <c r="AZ879" i="1"/>
  <c r="AY879" i="1"/>
  <c r="AI879" i="1"/>
  <c r="AC879" i="1" s="1"/>
  <c r="N892" i="1"/>
  <c r="C987" i="15" s="1"/>
  <c r="N891" i="1"/>
  <c r="C986" i="15" s="1"/>
  <c r="N890" i="1"/>
  <c r="C985" i="15" s="1"/>
  <c r="N889" i="1"/>
  <c r="C984" i="15" s="1"/>
  <c r="N888" i="1"/>
  <c r="C983" i="15" s="1"/>
  <c r="N887" i="1"/>
  <c r="C982" i="15" s="1"/>
  <c r="N886" i="1"/>
  <c r="C981" i="15" s="1"/>
  <c r="N885" i="1"/>
  <c r="C980" i="15" s="1"/>
  <c r="N884" i="1"/>
  <c r="C979" i="15" s="1"/>
  <c r="N883" i="1"/>
  <c r="C978" i="15" s="1"/>
  <c r="N882" i="1"/>
  <c r="C977" i="15" s="1"/>
  <c r="N881" i="1"/>
  <c r="C976" i="15" s="1"/>
  <c r="N880" i="1"/>
  <c r="C975" i="15" s="1"/>
  <c r="N879" i="1"/>
  <c r="C974" i="15" s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C883" i="3"/>
  <c r="B883" i="3"/>
  <c r="A883" i="3"/>
  <c r="C882" i="3"/>
  <c r="B882" i="3"/>
  <c r="A882" i="3"/>
  <c r="C881" i="3"/>
  <c r="B881" i="3"/>
  <c r="A881" i="3"/>
  <c r="C880" i="3"/>
  <c r="B880" i="3"/>
  <c r="A880" i="3"/>
  <c r="C879" i="3"/>
  <c r="B879" i="3"/>
  <c r="A879" i="3"/>
  <c r="C878" i="3"/>
  <c r="B878" i="3"/>
  <c r="A878" i="3"/>
  <c r="C877" i="3"/>
  <c r="B877" i="3"/>
  <c r="A877" i="3"/>
  <c r="AI878" i="1"/>
  <c r="AC878" i="1" s="1"/>
  <c r="AI877" i="1"/>
  <c r="AC877" i="1" s="1"/>
  <c r="AI876" i="1"/>
  <c r="AC876" i="1" s="1"/>
  <c r="AI875" i="1"/>
  <c r="AC875" i="1" s="1"/>
  <c r="AI874" i="1"/>
  <c r="AC874" i="1" s="1"/>
  <c r="AI873" i="1"/>
  <c r="AC873" i="1" s="1"/>
  <c r="AI872" i="1"/>
  <c r="AC872" i="1" s="1"/>
  <c r="AI871" i="1"/>
  <c r="AC871" i="1" s="1"/>
  <c r="AI870" i="1"/>
  <c r="AC870" i="1" s="1"/>
  <c r="AI869" i="1"/>
  <c r="AC869" i="1" s="1"/>
  <c r="AI868" i="1"/>
  <c r="AC868" i="1" s="1"/>
  <c r="AI867" i="1"/>
  <c r="AC867" i="1" s="1"/>
  <c r="AI866" i="1"/>
  <c r="AC866" i="1" s="1"/>
  <c r="AI865" i="1"/>
  <c r="AC865" i="1" s="1"/>
  <c r="AI864" i="1"/>
  <c r="AC864" i="1" s="1"/>
  <c r="AI863" i="1"/>
  <c r="AC863" i="1" s="1"/>
  <c r="AI862" i="1"/>
  <c r="AC862" i="1" s="1"/>
  <c r="AI861" i="1"/>
  <c r="AC861" i="1" s="1"/>
  <c r="AI860" i="1"/>
  <c r="AC860" i="1" s="1"/>
  <c r="AI859" i="1"/>
  <c r="AC859" i="1" s="1"/>
  <c r="AI858" i="1"/>
  <c r="AC858" i="1" s="1"/>
  <c r="AI857" i="1"/>
  <c r="AC857" i="1" s="1"/>
  <c r="AI856" i="1"/>
  <c r="AC856" i="1" s="1"/>
  <c r="AI855" i="1"/>
  <c r="AC855" i="1" s="1"/>
  <c r="AI854" i="1"/>
  <c r="AC854" i="1" s="1"/>
  <c r="AI853" i="1"/>
  <c r="AC853" i="1" s="1"/>
  <c r="AI852" i="1"/>
  <c r="AC852" i="1" s="1"/>
  <c r="AI851" i="1"/>
  <c r="AC851" i="1" s="1"/>
  <c r="AI850" i="1"/>
  <c r="AC850" i="1" s="1"/>
  <c r="AI849" i="1"/>
  <c r="AC849" i="1" s="1"/>
  <c r="AI848" i="1"/>
  <c r="AC848" i="1" s="1"/>
  <c r="AI847" i="1"/>
  <c r="AC847" i="1" s="1"/>
  <c r="AI846" i="1"/>
  <c r="AC846" i="1" s="1"/>
  <c r="AI845" i="1"/>
  <c r="AC845" i="1" s="1"/>
  <c r="AI844" i="1"/>
  <c r="AC844" i="1" s="1"/>
  <c r="AI843" i="1"/>
  <c r="AC843" i="1" s="1"/>
  <c r="AI842" i="1"/>
  <c r="AC842" i="1" s="1"/>
  <c r="BE878" i="1"/>
  <c r="BA878" i="1"/>
  <c r="AZ878" i="1"/>
  <c r="AY878" i="1"/>
  <c r="BE877" i="1"/>
  <c r="BA877" i="1"/>
  <c r="AZ877" i="1"/>
  <c r="AY877" i="1"/>
  <c r="BE876" i="1"/>
  <c r="BA876" i="1"/>
  <c r="AZ876" i="1"/>
  <c r="AY876" i="1"/>
  <c r="BE875" i="1"/>
  <c r="BA875" i="1"/>
  <c r="AZ875" i="1"/>
  <c r="AY875" i="1"/>
  <c r="BE874" i="1"/>
  <c r="BA874" i="1"/>
  <c r="AZ874" i="1"/>
  <c r="AY874" i="1"/>
  <c r="BE873" i="1"/>
  <c r="BA873" i="1"/>
  <c r="AZ873" i="1"/>
  <c r="AY873" i="1"/>
  <c r="BE872" i="1"/>
  <c r="BA872" i="1"/>
  <c r="AZ872" i="1"/>
  <c r="AY872" i="1"/>
  <c r="N878" i="1"/>
  <c r="C973" i="15" s="1"/>
  <c r="N877" i="1"/>
  <c r="C972" i="15" s="1"/>
  <c r="N876" i="1"/>
  <c r="C971" i="15" s="1"/>
  <c r="N875" i="1"/>
  <c r="C970" i="15" s="1"/>
  <c r="N874" i="1"/>
  <c r="C969" i="15" s="1"/>
  <c r="N873" i="1"/>
  <c r="C968" i="15" s="1"/>
  <c r="N872" i="1"/>
  <c r="C967" i="15" s="1"/>
  <c r="Q878" i="1"/>
  <c r="Q877" i="1"/>
  <c r="Q876" i="1"/>
  <c r="Q875" i="1"/>
  <c r="Q874" i="1"/>
  <c r="Q873" i="1"/>
  <c r="Q872" i="1"/>
  <c r="C876" i="3"/>
  <c r="B876" i="3"/>
  <c r="A876" i="3"/>
  <c r="C875" i="3"/>
  <c r="B875" i="3"/>
  <c r="A875" i="3"/>
  <c r="C874" i="3"/>
  <c r="B874" i="3"/>
  <c r="A874" i="3"/>
  <c r="C873" i="3"/>
  <c r="B873" i="3"/>
  <c r="A873" i="3"/>
  <c r="C872" i="3"/>
  <c r="B872" i="3"/>
  <c r="A872" i="3"/>
  <c r="C871" i="3"/>
  <c r="B871" i="3"/>
  <c r="A871" i="3"/>
  <c r="C870" i="3"/>
  <c r="B870" i="3"/>
  <c r="A870" i="3"/>
  <c r="C869" i="3"/>
  <c r="B869" i="3"/>
  <c r="A869" i="3"/>
  <c r="C868" i="3"/>
  <c r="B868" i="3"/>
  <c r="A868" i="3"/>
  <c r="C867" i="3"/>
  <c r="B867" i="3"/>
  <c r="A867" i="3"/>
  <c r="C866" i="3"/>
  <c r="B866" i="3"/>
  <c r="A866" i="3"/>
  <c r="C865" i="3"/>
  <c r="B865" i="3"/>
  <c r="A865" i="3"/>
  <c r="C864" i="3"/>
  <c r="B864" i="3"/>
  <c r="A864" i="3"/>
  <c r="C863" i="3"/>
  <c r="B863" i="3"/>
  <c r="A863" i="3"/>
  <c r="C862" i="3"/>
  <c r="B862" i="3"/>
  <c r="A862" i="3"/>
  <c r="C861" i="3"/>
  <c r="B861" i="3"/>
  <c r="A861" i="3"/>
  <c r="C860" i="3"/>
  <c r="B860" i="3"/>
  <c r="A860" i="3"/>
  <c r="C859" i="3"/>
  <c r="B859" i="3"/>
  <c r="A859" i="3"/>
  <c r="C858" i="3"/>
  <c r="B858" i="3"/>
  <c r="A858" i="3"/>
  <c r="C857" i="3"/>
  <c r="B857" i="3"/>
  <c r="A857" i="3"/>
  <c r="C856" i="3"/>
  <c r="B856" i="3"/>
  <c r="A856" i="3"/>
  <c r="C855" i="3"/>
  <c r="B855" i="3"/>
  <c r="A855" i="3"/>
  <c r="C854" i="3"/>
  <c r="B854" i="3"/>
  <c r="A854" i="3"/>
  <c r="C853" i="3"/>
  <c r="B853" i="3"/>
  <c r="A853" i="3"/>
  <c r="C852" i="3"/>
  <c r="B852" i="3"/>
  <c r="A852" i="3"/>
  <c r="C851" i="3"/>
  <c r="B851" i="3"/>
  <c r="A851" i="3"/>
  <c r="C850" i="3"/>
  <c r="B850" i="3"/>
  <c r="A850" i="3"/>
  <c r="C849" i="3"/>
  <c r="B849" i="3"/>
  <c r="A849" i="3"/>
  <c r="C848" i="3"/>
  <c r="B848" i="3"/>
  <c r="A848" i="3"/>
  <c r="C847" i="3"/>
  <c r="B847" i="3"/>
  <c r="A847" i="3"/>
  <c r="BE871" i="1"/>
  <c r="BA871" i="1"/>
  <c r="AZ871" i="1"/>
  <c r="AY871" i="1"/>
  <c r="BE870" i="1"/>
  <c r="BA870" i="1"/>
  <c r="AZ870" i="1"/>
  <c r="AY870" i="1"/>
  <c r="BE869" i="1"/>
  <c r="BA869" i="1"/>
  <c r="AZ869" i="1"/>
  <c r="AY869" i="1"/>
  <c r="BE868" i="1"/>
  <c r="BA868" i="1"/>
  <c r="AZ868" i="1"/>
  <c r="AY868" i="1"/>
  <c r="BE867" i="1"/>
  <c r="BA867" i="1"/>
  <c r="AZ867" i="1"/>
  <c r="AY867" i="1"/>
  <c r="BE866" i="1"/>
  <c r="BA866" i="1"/>
  <c r="AZ866" i="1"/>
  <c r="AY866" i="1"/>
  <c r="BE865" i="1"/>
  <c r="BA865" i="1"/>
  <c r="AZ865" i="1"/>
  <c r="AY865" i="1"/>
  <c r="BE864" i="1"/>
  <c r="BA864" i="1"/>
  <c r="AZ864" i="1"/>
  <c r="AY864" i="1"/>
  <c r="BE863" i="1"/>
  <c r="BA863" i="1"/>
  <c r="AZ863" i="1"/>
  <c r="AY863" i="1"/>
  <c r="BE862" i="1"/>
  <c r="BA862" i="1"/>
  <c r="AZ862" i="1"/>
  <c r="AY862" i="1"/>
  <c r="BE861" i="1"/>
  <c r="BA861" i="1"/>
  <c r="AZ861" i="1"/>
  <c r="AY861" i="1"/>
  <c r="BE860" i="1"/>
  <c r="BA860" i="1"/>
  <c r="AZ860" i="1"/>
  <c r="AY860" i="1"/>
  <c r="BE859" i="1"/>
  <c r="BA859" i="1"/>
  <c r="AZ859" i="1"/>
  <c r="AY859" i="1"/>
  <c r="BE858" i="1"/>
  <c r="BA858" i="1"/>
  <c r="AZ858" i="1"/>
  <c r="AY858" i="1"/>
  <c r="BE857" i="1"/>
  <c r="BA857" i="1"/>
  <c r="AZ857" i="1"/>
  <c r="AY857" i="1"/>
  <c r="BE856" i="1"/>
  <c r="BA856" i="1"/>
  <c r="AZ856" i="1"/>
  <c r="AY856" i="1"/>
  <c r="BE855" i="1"/>
  <c r="BA855" i="1"/>
  <c r="AZ855" i="1"/>
  <c r="AY855" i="1"/>
  <c r="BE854" i="1"/>
  <c r="BA854" i="1"/>
  <c r="AZ854" i="1"/>
  <c r="AY854" i="1"/>
  <c r="BE853" i="1"/>
  <c r="BA853" i="1"/>
  <c r="AZ853" i="1"/>
  <c r="AY853" i="1"/>
  <c r="BE852" i="1"/>
  <c r="BA852" i="1"/>
  <c r="AZ852" i="1"/>
  <c r="AY852" i="1"/>
  <c r="BE851" i="1"/>
  <c r="BA851" i="1"/>
  <c r="AZ851" i="1"/>
  <c r="AY851" i="1"/>
  <c r="BE850" i="1"/>
  <c r="BA850" i="1"/>
  <c r="AZ850" i="1"/>
  <c r="AY850" i="1"/>
  <c r="BE849" i="1"/>
  <c r="BA849" i="1"/>
  <c r="AZ849" i="1"/>
  <c r="AY849" i="1"/>
  <c r="BE848" i="1"/>
  <c r="BA848" i="1"/>
  <c r="AZ848" i="1"/>
  <c r="AY848" i="1"/>
  <c r="BE847" i="1"/>
  <c r="BA847" i="1"/>
  <c r="AZ847" i="1"/>
  <c r="AY847" i="1"/>
  <c r="BE846" i="1"/>
  <c r="BA846" i="1"/>
  <c r="AZ846" i="1"/>
  <c r="AY846" i="1"/>
  <c r="BE845" i="1"/>
  <c r="BA845" i="1"/>
  <c r="AZ845" i="1"/>
  <c r="AY845" i="1"/>
  <c r="BE844" i="1"/>
  <c r="BA844" i="1"/>
  <c r="AZ844" i="1"/>
  <c r="AY844" i="1"/>
  <c r="BE843" i="1"/>
  <c r="BA843" i="1"/>
  <c r="AZ843" i="1"/>
  <c r="AY843" i="1"/>
  <c r="BE842" i="1"/>
  <c r="BA842" i="1"/>
  <c r="AZ842" i="1"/>
  <c r="AY842" i="1"/>
  <c r="N865" i="1"/>
  <c r="C960" i="15" s="1"/>
  <c r="N864" i="1"/>
  <c r="C959" i="15" s="1"/>
  <c r="N863" i="1"/>
  <c r="C958" i="15" s="1"/>
  <c r="N862" i="1"/>
  <c r="C957" i="15" s="1"/>
  <c r="N861" i="1"/>
  <c r="C956" i="15" s="1"/>
  <c r="N860" i="1"/>
  <c r="C955" i="15" s="1"/>
  <c r="N871" i="1"/>
  <c r="C966" i="15" s="1"/>
  <c r="N870" i="1"/>
  <c r="C965" i="15" s="1"/>
  <c r="N869" i="1"/>
  <c r="C964" i="15" s="1"/>
  <c r="N868" i="1"/>
  <c r="C963" i="15" s="1"/>
  <c r="N867" i="1"/>
  <c r="C962" i="15" s="1"/>
  <c r="N866" i="1"/>
  <c r="C961" i="15" s="1"/>
  <c r="N859" i="1"/>
  <c r="C954" i="15" s="1"/>
  <c r="N858" i="1"/>
  <c r="C953" i="15" s="1"/>
  <c r="N857" i="1"/>
  <c r="C952" i="15" s="1"/>
  <c r="N856" i="1"/>
  <c r="C951" i="15" s="1"/>
  <c r="N855" i="1"/>
  <c r="C950" i="15" s="1"/>
  <c r="N854" i="1"/>
  <c r="C949" i="15" s="1"/>
  <c r="N853" i="1"/>
  <c r="C948" i="15" s="1"/>
  <c r="N852" i="1"/>
  <c r="C947" i="15" s="1"/>
  <c r="N851" i="1"/>
  <c r="C946" i="15" s="1"/>
  <c r="N850" i="1"/>
  <c r="C945" i="15" s="1"/>
  <c r="N849" i="1"/>
  <c r="C944" i="15" s="1"/>
  <c r="N848" i="1"/>
  <c r="C943" i="15" s="1"/>
  <c r="N847" i="1"/>
  <c r="C942" i="15" s="1"/>
  <c r="N846" i="1"/>
  <c r="C941" i="15" s="1"/>
  <c r="N845" i="1"/>
  <c r="C940" i="15" s="1"/>
  <c r="N844" i="1"/>
  <c r="C939" i="15" s="1"/>
  <c r="N843" i="1"/>
  <c r="C938" i="15" s="1"/>
  <c r="N842" i="1"/>
  <c r="C937" i="15" s="1"/>
  <c r="P866" i="1"/>
  <c r="Q866" i="1" s="1"/>
  <c r="P868" i="1"/>
  <c r="Q868" i="1" s="1"/>
  <c r="P869" i="1"/>
  <c r="Q869" i="1" s="1"/>
  <c r="P870" i="1"/>
  <c r="Q870" i="1" s="1"/>
  <c r="P871" i="1"/>
  <c r="Q871" i="1" s="1"/>
  <c r="P865" i="1"/>
  <c r="Q865" i="1" s="1"/>
  <c r="P864" i="1"/>
  <c r="Q864" i="1" s="1"/>
  <c r="P863" i="1"/>
  <c r="Q863" i="1" s="1"/>
  <c r="P862" i="1"/>
  <c r="Q862" i="1" s="1"/>
  <c r="P861" i="1"/>
  <c r="Q861" i="1" s="1"/>
  <c r="P860" i="1"/>
  <c r="Q860" i="1" s="1"/>
  <c r="P859" i="1"/>
  <c r="Q859" i="1" s="1"/>
  <c r="P858" i="1"/>
  <c r="Q858" i="1" s="1"/>
  <c r="P857" i="1"/>
  <c r="Q857" i="1" s="1"/>
  <c r="P856" i="1"/>
  <c r="Q856" i="1" s="1"/>
  <c r="P855" i="1"/>
  <c r="Q855" i="1" s="1"/>
  <c r="P854" i="1"/>
  <c r="Q854" i="1" s="1"/>
  <c r="P853" i="1"/>
  <c r="Q853" i="1" s="1"/>
  <c r="P852" i="1"/>
  <c r="Q852" i="1" s="1"/>
  <c r="P851" i="1"/>
  <c r="Q851" i="1" s="1"/>
  <c r="P850" i="1"/>
  <c r="Q850" i="1" s="1"/>
  <c r="P848" i="1"/>
  <c r="Q848" i="1" s="1"/>
  <c r="P847" i="1"/>
  <c r="Q847" i="1" s="1"/>
  <c r="P846" i="1"/>
  <c r="Q846" i="1" s="1"/>
  <c r="P845" i="1"/>
  <c r="Q845" i="1" s="1"/>
  <c r="P844" i="1"/>
  <c r="Q844" i="1" s="1"/>
  <c r="P843" i="1"/>
  <c r="Q843" i="1" s="1"/>
  <c r="P867" i="1"/>
  <c r="Q867" i="1" s="1"/>
  <c r="P849" i="1"/>
  <c r="Q849" i="1" s="1"/>
  <c r="P842" i="1"/>
  <c r="Q842" i="1" s="1"/>
  <c r="N841" i="1"/>
  <c r="C936" i="15" s="1"/>
  <c r="N840" i="1"/>
  <c r="C935" i="15" s="1"/>
  <c r="N839" i="1"/>
  <c r="C934" i="15" s="1"/>
  <c r="N838" i="1"/>
  <c r="C933" i="15" s="1"/>
  <c r="N837" i="1"/>
  <c r="C932" i="15" s="1"/>
  <c r="C846" i="3"/>
  <c r="B846" i="3"/>
  <c r="A846" i="3"/>
  <c r="C845" i="3"/>
  <c r="B845" i="3"/>
  <c r="A845" i="3"/>
  <c r="C844" i="3"/>
  <c r="B844" i="3"/>
  <c r="A844" i="3"/>
  <c r="C843" i="3"/>
  <c r="B843" i="3"/>
  <c r="A843" i="3"/>
  <c r="C842" i="3"/>
  <c r="B842" i="3"/>
  <c r="A842" i="3"/>
  <c r="BE841" i="1"/>
  <c r="BA841" i="1"/>
  <c r="AZ841" i="1"/>
  <c r="AY841" i="1"/>
  <c r="BE840" i="1"/>
  <c r="BA840" i="1"/>
  <c r="AZ840" i="1"/>
  <c r="AY840" i="1"/>
  <c r="BE839" i="1"/>
  <c r="BA839" i="1"/>
  <c r="AZ839" i="1"/>
  <c r="AY839" i="1"/>
  <c r="BE838" i="1"/>
  <c r="BA838" i="1"/>
  <c r="AZ838" i="1"/>
  <c r="AY838" i="1"/>
  <c r="BE837" i="1"/>
  <c r="BA837" i="1"/>
  <c r="AZ837" i="1"/>
  <c r="AY837" i="1"/>
  <c r="AI841" i="1"/>
  <c r="AC841" i="1" s="1"/>
  <c r="AI840" i="1"/>
  <c r="AC840" i="1" s="1"/>
  <c r="AI839" i="1"/>
  <c r="AC839" i="1" s="1"/>
  <c r="AI838" i="1"/>
  <c r="AC838" i="1" s="1"/>
  <c r="M838" i="1" s="1"/>
  <c r="B933" i="15" s="1"/>
  <c r="AI837" i="1"/>
  <c r="AC837" i="1" s="1"/>
  <c r="AB841" i="1"/>
  <c r="AB840" i="1"/>
  <c r="AB839" i="1"/>
  <c r="AB837" i="1"/>
  <c r="AB838" i="1"/>
  <c r="AA841" i="1"/>
  <c r="AA840" i="1"/>
  <c r="AA839" i="1"/>
  <c r="AA838" i="1"/>
  <c r="AA837" i="1"/>
  <c r="X841" i="1"/>
  <c r="X840" i="1"/>
  <c r="X839" i="1"/>
  <c r="X838" i="1"/>
  <c r="X837" i="1"/>
  <c r="U841" i="1"/>
  <c r="U840" i="1"/>
  <c r="U839" i="1"/>
  <c r="U837" i="1"/>
  <c r="Q841" i="1"/>
  <c r="P841" i="1" s="1"/>
  <c r="Q840" i="1"/>
  <c r="P840" i="1" s="1"/>
  <c r="Q839" i="1"/>
  <c r="P839" i="1" s="1"/>
  <c r="Q838" i="1"/>
  <c r="P838" i="1" s="1"/>
  <c r="U838" i="1"/>
  <c r="Q837" i="1"/>
  <c r="P837" i="1" s="1"/>
  <c r="C841" i="3"/>
  <c r="B841" i="3"/>
  <c r="A841" i="3"/>
  <c r="C840" i="3"/>
  <c r="B840" i="3"/>
  <c r="A840" i="3"/>
  <c r="C839" i="3"/>
  <c r="B839" i="3"/>
  <c r="A839" i="3"/>
  <c r="C838" i="3"/>
  <c r="B838" i="3"/>
  <c r="A838" i="3"/>
  <c r="C837" i="3"/>
  <c r="B837" i="3"/>
  <c r="A837" i="3"/>
  <c r="BE836" i="1"/>
  <c r="BA836" i="1"/>
  <c r="AZ836" i="1"/>
  <c r="AY836" i="1"/>
  <c r="BE835" i="1"/>
  <c r="BA835" i="1"/>
  <c r="AZ835" i="1"/>
  <c r="AY835" i="1"/>
  <c r="BE834" i="1"/>
  <c r="BA834" i="1"/>
  <c r="AZ834" i="1"/>
  <c r="AY834" i="1"/>
  <c r="BE833" i="1"/>
  <c r="BA833" i="1"/>
  <c r="AZ833" i="1"/>
  <c r="AY833" i="1"/>
  <c r="BE832" i="1"/>
  <c r="BA832" i="1"/>
  <c r="AZ832" i="1"/>
  <c r="AY832" i="1"/>
  <c r="AI836" i="1"/>
  <c r="AC836" i="1" s="1"/>
  <c r="AI835" i="1"/>
  <c r="AC835" i="1" s="1"/>
  <c r="AI834" i="1"/>
  <c r="AC834" i="1" s="1"/>
  <c r="AI833" i="1"/>
  <c r="AC833" i="1" s="1"/>
  <c r="AI832" i="1"/>
  <c r="AC832" i="1" s="1"/>
  <c r="N836" i="1"/>
  <c r="C931" i="15" s="1"/>
  <c r="N835" i="1"/>
  <c r="C930" i="15" s="1"/>
  <c r="N834" i="1"/>
  <c r="C929" i="15" s="1"/>
  <c r="N833" i="1"/>
  <c r="C928" i="15" s="1"/>
  <c r="N832" i="1"/>
  <c r="C927" i="15" s="1"/>
  <c r="P836" i="1"/>
  <c r="Q836" i="1" s="1"/>
  <c r="P835" i="1"/>
  <c r="Q835" i="1" s="1"/>
  <c r="P834" i="1"/>
  <c r="Q834" i="1" s="1"/>
  <c r="P833" i="1"/>
  <c r="Q833" i="1" s="1"/>
  <c r="P832" i="1"/>
  <c r="Q832" i="1" s="1"/>
  <c r="C836" i="3"/>
  <c r="B836" i="3"/>
  <c r="A836" i="3"/>
  <c r="C835" i="3"/>
  <c r="B835" i="3"/>
  <c r="A835" i="3"/>
  <c r="C834" i="3"/>
  <c r="B834" i="3"/>
  <c r="A834" i="3"/>
  <c r="C833" i="3"/>
  <c r="B833" i="3"/>
  <c r="A833" i="3"/>
  <c r="C832" i="3"/>
  <c r="B832" i="3"/>
  <c r="A832" i="3"/>
  <c r="C831" i="3"/>
  <c r="B831" i="3"/>
  <c r="A831" i="3"/>
  <c r="C830" i="3"/>
  <c r="B830" i="3"/>
  <c r="A830" i="3"/>
  <c r="C829" i="3"/>
  <c r="B829" i="3"/>
  <c r="A829" i="3"/>
  <c r="C828" i="3"/>
  <c r="B828" i="3"/>
  <c r="A828" i="3"/>
  <c r="C827" i="3"/>
  <c r="B827" i="3"/>
  <c r="A827" i="3"/>
  <c r="C826" i="3"/>
  <c r="B826" i="3"/>
  <c r="A826" i="3"/>
  <c r="C825" i="3"/>
  <c r="B825" i="3"/>
  <c r="A825" i="3"/>
  <c r="C824" i="3"/>
  <c r="B824" i="3"/>
  <c r="A824" i="3"/>
  <c r="C823" i="3"/>
  <c r="B823" i="3"/>
  <c r="A823" i="3"/>
  <c r="C822" i="3"/>
  <c r="B822" i="3"/>
  <c r="A822" i="3"/>
  <c r="C821" i="3"/>
  <c r="B821" i="3"/>
  <c r="A821" i="3"/>
  <c r="C820" i="3"/>
  <c r="B820" i="3"/>
  <c r="A820" i="3"/>
  <c r="C819" i="3"/>
  <c r="B819" i="3"/>
  <c r="A819" i="3"/>
  <c r="C818" i="3"/>
  <c r="B818" i="3"/>
  <c r="A818" i="3"/>
  <c r="C817" i="3"/>
  <c r="B817" i="3"/>
  <c r="A817" i="3"/>
  <c r="C816" i="3"/>
  <c r="B816" i="3"/>
  <c r="A816" i="3"/>
  <c r="C815" i="3"/>
  <c r="B815" i="3"/>
  <c r="A815" i="3"/>
  <c r="C814" i="3"/>
  <c r="B814" i="3"/>
  <c r="A814" i="3"/>
  <c r="C813" i="3"/>
  <c r="B813" i="3"/>
  <c r="A813" i="3"/>
  <c r="C812" i="3"/>
  <c r="B812" i="3"/>
  <c r="A812" i="3"/>
  <c r="C811" i="3"/>
  <c r="B811" i="3"/>
  <c r="A811" i="3"/>
  <c r="C810" i="3"/>
  <c r="B810" i="3"/>
  <c r="A810" i="3"/>
  <c r="C809" i="3"/>
  <c r="B809" i="3"/>
  <c r="A809" i="3"/>
  <c r="BE831" i="1"/>
  <c r="BA831" i="1"/>
  <c r="AZ831" i="1"/>
  <c r="AY831" i="1"/>
  <c r="BE830" i="1"/>
  <c r="BA830" i="1"/>
  <c r="AZ830" i="1"/>
  <c r="AY830" i="1"/>
  <c r="BE829" i="1"/>
  <c r="BA829" i="1"/>
  <c r="AZ829" i="1"/>
  <c r="AY829" i="1"/>
  <c r="BE828" i="1"/>
  <c r="BA828" i="1"/>
  <c r="AZ828" i="1"/>
  <c r="AY828" i="1"/>
  <c r="BE827" i="1"/>
  <c r="BA827" i="1"/>
  <c r="AZ827" i="1"/>
  <c r="AY827" i="1"/>
  <c r="BE826" i="1"/>
  <c r="BA826" i="1"/>
  <c r="AZ826" i="1"/>
  <c r="AY826" i="1"/>
  <c r="BE825" i="1"/>
  <c r="BA825" i="1"/>
  <c r="AZ825" i="1"/>
  <c r="AY825" i="1"/>
  <c r="BE824" i="1"/>
  <c r="BA824" i="1"/>
  <c r="AZ824" i="1"/>
  <c r="AY824" i="1"/>
  <c r="BE823" i="1"/>
  <c r="BA823" i="1"/>
  <c r="AZ823" i="1"/>
  <c r="AY823" i="1"/>
  <c r="BE822" i="1"/>
  <c r="BA822" i="1"/>
  <c r="AZ822" i="1"/>
  <c r="AY822" i="1"/>
  <c r="BE821" i="1"/>
  <c r="BA821" i="1"/>
  <c r="AZ821" i="1"/>
  <c r="AY821" i="1"/>
  <c r="BE820" i="1"/>
  <c r="BA820" i="1"/>
  <c r="AZ820" i="1"/>
  <c r="AY820" i="1"/>
  <c r="BE819" i="1"/>
  <c r="BA819" i="1"/>
  <c r="AZ819" i="1"/>
  <c r="AY819" i="1"/>
  <c r="BE818" i="1"/>
  <c r="BA818" i="1"/>
  <c r="AZ818" i="1"/>
  <c r="AY818" i="1"/>
  <c r="BE817" i="1"/>
  <c r="BA817" i="1"/>
  <c r="AZ817" i="1"/>
  <c r="AY817" i="1"/>
  <c r="BE816" i="1"/>
  <c r="BA816" i="1"/>
  <c r="AZ816" i="1"/>
  <c r="AY816" i="1"/>
  <c r="BE815" i="1"/>
  <c r="BA815" i="1"/>
  <c r="AZ815" i="1"/>
  <c r="AY815" i="1"/>
  <c r="BE814" i="1"/>
  <c r="BA814" i="1"/>
  <c r="AZ814" i="1"/>
  <c r="AY814" i="1"/>
  <c r="BE813" i="1"/>
  <c r="BA813" i="1"/>
  <c r="AZ813" i="1"/>
  <c r="AY813" i="1"/>
  <c r="BE812" i="1"/>
  <c r="BA812" i="1"/>
  <c r="AZ812" i="1"/>
  <c r="AY812" i="1"/>
  <c r="BE811" i="1"/>
  <c r="BA811" i="1"/>
  <c r="AZ811" i="1"/>
  <c r="AY811" i="1"/>
  <c r="BE810" i="1"/>
  <c r="BA810" i="1"/>
  <c r="AZ810" i="1"/>
  <c r="AY810" i="1"/>
  <c r="BE809" i="1"/>
  <c r="BA809" i="1"/>
  <c r="AZ809" i="1"/>
  <c r="AY809" i="1"/>
  <c r="BE808" i="1"/>
  <c r="BA808" i="1"/>
  <c r="AZ808" i="1"/>
  <c r="AY808" i="1"/>
  <c r="BE807" i="1"/>
  <c r="BA807" i="1"/>
  <c r="AZ807" i="1"/>
  <c r="AY807" i="1"/>
  <c r="BE806" i="1"/>
  <c r="BA806" i="1"/>
  <c r="AZ806" i="1"/>
  <c r="AY806" i="1"/>
  <c r="BE805" i="1"/>
  <c r="BA805" i="1"/>
  <c r="AZ805" i="1"/>
  <c r="AY805" i="1"/>
  <c r="BE804" i="1"/>
  <c r="BA804" i="1"/>
  <c r="AZ804" i="1"/>
  <c r="AY804" i="1"/>
  <c r="C926" i="15"/>
  <c r="C925" i="15"/>
  <c r="C924" i="15"/>
  <c r="C923" i="15"/>
  <c r="C922" i="15"/>
  <c r="C921" i="15"/>
  <c r="C920" i="15"/>
  <c r="C919" i="15"/>
  <c r="C918" i="15"/>
  <c r="C917" i="15"/>
  <c r="C916" i="15"/>
  <c r="C915" i="15"/>
  <c r="C914" i="15"/>
  <c r="C913" i="15"/>
  <c r="C912" i="15"/>
  <c r="C911" i="15"/>
  <c r="C910" i="15"/>
  <c r="C909" i="15"/>
  <c r="C908" i="15"/>
  <c r="C907" i="15"/>
  <c r="C906" i="15"/>
  <c r="C905" i="15"/>
  <c r="C904" i="15"/>
  <c r="C903" i="15"/>
  <c r="C902" i="15"/>
  <c r="C901" i="15"/>
  <c r="C900" i="15"/>
  <c r="C899" i="15"/>
  <c r="AI831" i="1"/>
  <c r="AC831" i="1" s="1"/>
  <c r="AI830" i="1"/>
  <c r="AC830" i="1" s="1"/>
  <c r="AI829" i="1"/>
  <c r="AC829" i="1" s="1"/>
  <c r="AI828" i="1"/>
  <c r="AC828" i="1" s="1"/>
  <c r="AI827" i="1"/>
  <c r="AC827" i="1" s="1"/>
  <c r="AI826" i="1"/>
  <c r="AC826" i="1" s="1"/>
  <c r="AI825" i="1"/>
  <c r="AC825" i="1" s="1"/>
  <c r="AI824" i="1"/>
  <c r="AC824" i="1" s="1"/>
  <c r="AI823" i="1"/>
  <c r="AC823" i="1" s="1"/>
  <c r="AI822" i="1"/>
  <c r="AC822" i="1" s="1"/>
  <c r="AI821" i="1"/>
  <c r="AC821" i="1" s="1"/>
  <c r="AI820" i="1"/>
  <c r="AC820" i="1" s="1"/>
  <c r="AI819" i="1"/>
  <c r="AC819" i="1" s="1"/>
  <c r="AI818" i="1"/>
  <c r="AC818" i="1" s="1"/>
  <c r="AI817" i="1"/>
  <c r="AC817" i="1" s="1"/>
  <c r="AI816" i="1"/>
  <c r="AC816" i="1" s="1"/>
  <c r="AI815" i="1"/>
  <c r="AC815" i="1" s="1"/>
  <c r="AI814" i="1"/>
  <c r="AC814" i="1" s="1"/>
  <c r="AI813" i="1"/>
  <c r="AC813" i="1" s="1"/>
  <c r="AI812" i="1"/>
  <c r="AC812" i="1" s="1"/>
  <c r="AI811" i="1"/>
  <c r="AC811" i="1" s="1"/>
  <c r="AI810" i="1"/>
  <c r="AC810" i="1" s="1"/>
  <c r="AI809" i="1"/>
  <c r="AC809" i="1" s="1"/>
  <c r="AI808" i="1"/>
  <c r="AC808" i="1" s="1"/>
  <c r="AI807" i="1"/>
  <c r="AC807" i="1" s="1"/>
  <c r="AI806" i="1"/>
  <c r="AC806" i="1" s="1"/>
  <c r="AI805" i="1"/>
  <c r="AC805" i="1" s="1"/>
  <c r="AI804" i="1"/>
  <c r="AC804" i="1" s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M896" i="1" l="1"/>
  <c r="B821" i="15" s="1"/>
  <c r="F905" i="3"/>
  <c r="C900" i="1"/>
  <c r="F916" i="3"/>
  <c r="C911" i="1"/>
  <c r="F918" i="3"/>
  <c r="M859" i="1"/>
  <c r="B954" i="15" s="1"/>
  <c r="M813" i="1"/>
  <c r="B908" i="15" s="1"/>
  <c r="M843" i="1"/>
  <c r="B938" i="15" s="1"/>
  <c r="M805" i="1"/>
  <c r="B900" i="15" s="1"/>
  <c r="M821" i="1"/>
  <c r="B916" i="15" s="1"/>
  <c r="M829" i="1"/>
  <c r="B924" i="15" s="1"/>
  <c r="D888" i="3"/>
  <c r="C883" i="1" s="1"/>
  <c r="M863" i="1"/>
  <c r="B958" i="15" s="1"/>
  <c r="D896" i="3"/>
  <c r="C891" i="1" s="1"/>
  <c r="M817" i="1"/>
  <c r="B912" i="15" s="1"/>
  <c r="M879" i="1"/>
  <c r="B974" i="15" s="1"/>
  <c r="M887" i="1"/>
  <c r="B982" i="15" s="1"/>
  <c r="M847" i="1"/>
  <c r="B942" i="15" s="1"/>
  <c r="M809" i="1"/>
  <c r="B904" i="15" s="1"/>
  <c r="M872" i="1"/>
  <c r="B967" i="15" s="1"/>
  <c r="D843" i="3"/>
  <c r="C838" i="1" s="1"/>
  <c r="F906" i="3"/>
  <c r="M864" i="1"/>
  <c r="B959" i="15" s="1"/>
  <c r="M891" i="1"/>
  <c r="B986" i="15" s="1"/>
  <c r="M833" i="1"/>
  <c r="B928" i="15" s="1"/>
  <c r="M873" i="1"/>
  <c r="B968" i="15" s="1"/>
  <c r="M825" i="1"/>
  <c r="B920" i="15" s="1"/>
  <c r="M845" i="1"/>
  <c r="B940" i="15" s="1"/>
  <c r="F910" i="3"/>
  <c r="F917" i="3"/>
  <c r="F913" i="3"/>
  <c r="D809" i="3"/>
  <c r="C804" i="1" s="1"/>
  <c r="D815" i="3"/>
  <c r="C810" i="1" s="1"/>
  <c r="D817" i="3"/>
  <c r="C812" i="1" s="1"/>
  <c r="D823" i="3"/>
  <c r="C818" i="1" s="1"/>
  <c r="D825" i="3"/>
  <c r="C820" i="1" s="1"/>
  <c r="D831" i="3"/>
  <c r="C826" i="1" s="1"/>
  <c r="D833" i="3"/>
  <c r="C828" i="1" s="1"/>
  <c r="D838" i="3"/>
  <c r="C833" i="1" s="1"/>
  <c r="D840" i="3"/>
  <c r="C835" i="1" s="1"/>
  <c r="M835" i="1"/>
  <c r="B930" i="15" s="1"/>
  <c r="D846" i="3"/>
  <c r="C841" i="1" s="1"/>
  <c r="D849" i="3"/>
  <c r="C844" i="1" s="1"/>
  <c r="D853" i="3"/>
  <c r="C848" i="1" s="1"/>
  <c r="D857" i="3"/>
  <c r="C852" i="1" s="1"/>
  <c r="D861" i="3"/>
  <c r="C856" i="1" s="1"/>
  <c r="D871" i="3"/>
  <c r="C866" i="1" s="1"/>
  <c r="D875" i="3"/>
  <c r="C870" i="1" s="1"/>
  <c r="D867" i="3"/>
  <c r="C862" i="1" s="1"/>
  <c r="D878" i="3"/>
  <c r="C873" i="1" s="1"/>
  <c r="D880" i="3"/>
  <c r="C875" i="1" s="1"/>
  <c r="M860" i="1"/>
  <c r="B955" i="15" s="1"/>
  <c r="M875" i="1"/>
  <c r="B970" i="15" s="1"/>
  <c r="M884" i="1"/>
  <c r="B979" i="15" s="1"/>
  <c r="M888" i="1"/>
  <c r="B983" i="15" s="1"/>
  <c r="D887" i="3"/>
  <c r="C882" i="1" s="1"/>
  <c r="D889" i="3"/>
  <c r="C884" i="1" s="1"/>
  <c r="D895" i="3"/>
  <c r="C890" i="1" s="1"/>
  <c r="D897" i="3"/>
  <c r="C892" i="1" s="1"/>
  <c r="F914" i="3"/>
  <c r="F908" i="3"/>
  <c r="F919" i="3"/>
  <c r="F915" i="3"/>
  <c r="D810" i="3"/>
  <c r="C805" i="1" s="1"/>
  <c r="D814" i="3"/>
  <c r="C809" i="1" s="1"/>
  <c r="D816" i="3"/>
  <c r="C811" i="1" s="1"/>
  <c r="D818" i="3"/>
  <c r="C813" i="1" s="1"/>
  <c r="D822" i="3"/>
  <c r="C817" i="1" s="1"/>
  <c r="D824" i="3"/>
  <c r="C819" i="1" s="1"/>
  <c r="D826" i="3"/>
  <c r="C821" i="1" s="1"/>
  <c r="D830" i="3"/>
  <c r="C825" i="1" s="1"/>
  <c r="D832" i="3"/>
  <c r="C827" i="1" s="1"/>
  <c r="D834" i="3"/>
  <c r="C829" i="1" s="1"/>
  <c r="D837" i="3"/>
  <c r="C832" i="1" s="1"/>
  <c r="D839" i="3"/>
  <c r="C834" i="1" s="1"/>
  <c r="D841" i="3"/>
  <c r="C836" i="1" s="1"/>
  <c r="M834" i="1"/>
  <c r="B929" i="15" s="1"/>
  <c r="D850" i="3"/>
  <c r="C845" i="1" s="1"/>
  <c r="D854" i="3"/>
  <c r="C849" i="1" s="1"/>
  <c r="D858" i="3"/>
  <c r="C853" i="1" s="1"/>
  <c r="D862" i="3"/>
  <c r="C857" i="1" s="1"/>
  <c r="D874" i="3"/>
  <c r="C869" i="1" s="1"/>
  <c r="D870" i="3"/>
  <c r="C865" i="1" s="1"/>
  <c r="D847" i="3"/>
  <c r="C842" i="1" s="1"/>
  <c r="D848" i="3"/>
  <c r="C843" i="1" s="1"/>
  <c r="D851" i="3"/>
  <c r="C846" i="1" s="1"/>
  <c r="D852" i="3"/>
  <c r="C847" i="1" s="1"/>
  <c r="D855" i="3"/>
  <c r="C850" i="1" s="1"/>
  <c r="D856" i="3"/>
  <c r="C851" i="1" s="1"/>
  <c r="D859" i="3"/>
  <c r="C854" i="1" s="1"/>
  <c r="D860" i="3"/>
  <c r="C855" i="1" s="1"/>
  <c r="D863" i="3"/>
  <c r="C858" i="1" s="1"/>
  <c r="D864" i="3"/>
  <c r="C859" i="1" s="1"/>
  <c r="D865" i="3"/>
  <c r="C860" i="1" s="1"/>
  <c r="D868" i="3"/>
  <c r="C863" i="1" s="1"/>
  <c r="D869" i="3"/>
  <c r="C864" i="1" s="1"/>
  <c r="D872" i="3"/>
  <c r="C867" i="1" s="1"/>
  <c r="D873" i="3"/>
  <c r="C868" i="1" s="1"/>
  <c r="D876" i="3"/>
  <c r="C871" i="1" s="1"/>
  <c r="D877" i="3"/>
  <c r="C872" i="1" s="1"/>
  <c r="D879" i="3"/>
  <c r="C874" i="1" s="1"/>
  <c r="D881" i="3"/>
  <c r="C876" i="1" s="1"/>
  <c r="D883" i="3"/>
  <c r="C878" i="1" s="1"/>
  <c r="M844" i="1"/>
  <c r="B939" i="15" s="1"/>
  <c r="M849" i="1"/>
  <c r="B944" i="15" s="1"/>
  <c r="M853" i="1"/>
  <c r="B948" i="15" s="1"/>
  <c r="M865" i="1"/>
  <c r="B960" i="15" s="1"/>
  <c r="M870" i="1"/>
  <c r="B965" i="15" s="1"/>
  <c r="M876" i="1"/>
  <c r="B971" i="15" s="1"/>
  <c r="D886" i="3"/>
  <c r="C881" i="1" s="1"/>
  <c r="D890" i="3"/>
  <c r="C885" i="1" s="1"/>
  <c r="D894" i="3"/>
  <c r="C889" i="1" s="1"/>
  <c r="M880" i="1"/>
  <c r="B975" i="15" s="1"/>
  <c r="M886" i="1"/>
  <c r="B981" i="15" s="1"/>
  <c r="M892" i="1"/>
  <c r="B987" i="15" s="1"/>
  <c r="D884" i="3"/>
  <c r="C879" i="1" s="1"/>
  <c r="D885" i="3"/>
  <c r="C880" i="1" s="1"/>
  <c r="D891" i="3"/>
  <c r="C886" i="1" s="1"/>
  <c r="D892" i="3"/>
  <c r="C887" i="1" s="1"/>
  <c r="D893" i="3"/>
  <c r="C888" i="1" s="1"/>
  <c r="M893" i="1"/>
  <c r="B818" i="15" s="1"/>
  <c r="M895" i="1"/>
  <c r="B820" i="15" s="1"/>
  <c r="M897" i="1"/>
  <c r="B822" i="15" s="1"/>
  <c r="M899" i="1"/>
  <c r="B824" i="15" s="1"/>
  <c r="D898" i="3"/>
  <c r="C893" i="1" s="1"/>
  <c r="D899" i="3"/>
  <c r="C894" i="1" s="1"/>
  <c r="D900" i="3"/>
  <c r="C895" i="1" s="1"/>
  <c r="D901" i="3"/>
  <c r="C896" i="1" s="1"/>
  <c r="D902" i="3"/>
  <c r="C897" i="1" s="1"/>
  <c r="D903" i="3"/>
  <c r="C898" i="1" s="1"/>
  <c r="D904" i="3"/>
  <c r="C899" i="1" s="1"/>
  <c r="F912" i="3"/>
  <c r="F911" i="3"/>
  <c r="F907" i="3"/>
  <c r="F909" i="3"/>
  <c r="M883" i="1"/>
  <c r="B978" i="15" s="1"/>
  <c r="M822" i="1"/>
  <c r="B917" i="15" s="1"/>
  <c r="M807" i="1"/>
  <c r="B902" i="15" s="1"/>
  <c r="M815" i="1"/>
  <c r="B910" i="15" s="1"/>
  <c r="M823" i="1"/>
  <c r="B918" i="15" s="1"/>
  <c r="M831" i="1"/>
  <c r="B926" i="15" s="1"/>
  <c r="M861" i="1"/>
  <c r="B956" i="15" s="1"/>
  <c r="M882" i="1"/>
  <c r="B977" i="15" s="1"/>
  <c r="M808" i="1"/>
  <c r="B903" i="15" s="1"/>
  <c r="M824" i="1"/>
  <c r="B919" i="15" s="1"/>
  <c r="M806" i="1"/>
  <c r="B901" i="15" s="1"/>
  <c r="M877" i="1"/>
  <c r="B972" i="15" s="1"/>
  <c r="M898" i="1"/>
  <c r="B823" i="15" s="1"/>
  <c r="M894" i="1"/>
  <c r="B819" i="15" s="1"/>
  <c r="M814" i="1"/>
  <c r="B909" i="15" s="1"/>
  <c r="M830" i="1"/>
  <c r="B925" i="15" s="1"/>
  <c r="M816" i="1"/>
  <c r="B911" i="15" s="1"/>
  <c r="M837" i="1"/>
  <c r="B932" i="15" s="1"/>
  <c r="M890" i="1"/>
  <c r="B985" i="15" s="1"/>
  <c r="D811" i="3"/>
  <c r="C806" i="1" s="1"/>
  <c r="M840" i="1"/>
  <c r="B935" i="15" s="1"/>
  <c r="D812" i="3"/>
  <c r="C807" i="1" s="1"/>
  <c r="M818" i="1"/>
  <c r="B913" i="15" s="1"/>
  <c r="D813" i="3"/>
  <c r="C808" i="1" s="1"/>
  <c r="D821" i="3"/>
  <c r="C816" i="1" s="1"/>
  <c r="D829" i="3"/>
  <c r="C824" i="1" s="1"/>
  <c r="M811" i="1"/>
  <c r="B906" i="15" s="1"/>
  <c r="M819" i="1"/>
  <c r="B914" i="15" s="1"/>
  <c r="M827" i="1"/>
  <c r="B922" i="15" s="1"/>
  <c r="M846" i="1"/>
  <c r="B941" i="15" s="1"/>
  <c r="M878" i="1"/>
  <c r="B973" i="15" s="1"/>
  <c r="D882" i="3"/>
  <c r="C877" i="1" s="1"/>
  <c r="D819" i="3"/>
  <c r="C814" i="1" s="1"/>
  <c r="D827" i="3"/>
  <c r="C822" i="1" s="1"/>
  <c r="D835" i="3"/>
  <c r="C830" i="1" s="1"/>
  <c r="D820" i="3"/>
  <c r="C815" i="1" s="1"/>
  <c r="D828" i="3"/>
  <c r="C823" i="1" s="1"/>
  <c r="D836" i="3"/>
  <c r="C831" i="1" s="1"/>
  <c r="M810" i="1"/>
  <c r="B905" i="15" s="1"/>
  <c r="M826" i="1"/>
  <c r="B921" i="15" s="1"/>
  <c r="M841" i="1"/>
  <c r="B936" i="15" s="1"/>
  <c r="D866" i="3"/>
  <c r="C861" i="1" s="1"/>
  <c r="M804" i="1"/>
  <c r="B899" i="15" s="1"/>
  <c r="M812" i="1"/>
  <c r="B907" i="15" s="1"/>
  <c r="M820" i="1"/>
  <c r="B915" i="15" s="1"/>
  <c r="M828" i="1"/>
  <c r="B923" i="15" s="1"/>
  <c r="D842" i="3"/>
  <c r="C837" i="1" s="1"/>
  <c r="M852" i="1"/>
  <c r="B947" i="15" s="1"/>
  <c r="M842" i="1"/>
  <c r="B937" i="15" s="1"/>
  <c r="M874" i="1"/>
  <c r="B969" i="15" s="1"/>
  <c r="M836" i="1"/>
  <c r="B931" i="15" s="1"/>
  <c r="D845" i="3"/>
  <c r="C840" i="1" s="1"/>
  <c r="M862" i="1"/>
  <c r="B957" i="15" s="1"/>
  <c r="M869" i="1"/>
  <c r="B964" i="15" s="1"/>
  <c r="M881" i="1"/>
  <c r="B976" i="15" s="1"/>
  <c r="M885" i="1"/>
  <c r="B980" i="15" s="1"/>
  <c r="M889" i="1"/>
  <c r="B984" i="15" s="1"/>
  <c r="M832" i="1"/>
  <c r="B927" i="15" s="1"/>
  <c r="M839" i="1"/>
  <c r="B934" i="15" s="1"/>
  <c r="M858" i="1"/>
  <c r="B953" i="15" s="1"/>
  <c r="M851" i="1"/>
  <c r="B946" i="15" s="1"/>
  <c r="M855" i="1"/>
  <c r="B950" i="15" s="1"/>
  <c r="M866" i="1"/>
  <c r="B961" i="15" s="1"/>
  <c r="M850" i="1"/>
  <c r="B945" i="15" s="1"/>
  <c r="M848" i="1"/>
  <c r="B943" i="15" s="1"/>
  <c r="M856" i="1"/>
  <c r="B951" i="15" s="1"/>
  <c r="M867" i="1"/>
  <c r="B962" i="15" s="1"/>
  <c r="M871" i="1"/>
  <c r="B966" i="15" s="1"/>
  <c r="M854" i="1"/>
  <c r="B949" i="15" s="1"/>
  <c r="M857" i="1"/>
  <c r="B952" i="15" s="1"/>
  <c r="M868" i="1"/>
  <c r="B963" i="15" s="1"/>
  <c r="D844" i="3"/>
  <c r="C839" i="1" s="1"/>
  <c r="J808" i="3" l="1"/>
  <c r="H808" i="3"/>
  <c r="J807" i="3"/>
  <c r="H807" i="3"/>
  <c r="J806" i="3"/>
  <c r="H806" i="3"/>
  <c r="J805" i="3"/>
  <c r="H805" i="3"/>
  <c r="J804" i="3"/>
  <c r="H804" i="3"/>
  <c r="J803" i="3"/>
  <c r="H803" i="3"/>
  <c r="J802" i="3"/>
  <c r="H802" i="3"/>
  <c r="J801" i="3"/>
  <c r="H801" i="3"/>
  <c r="C808" i="3"/>
  <c r="B808" i="3"/>
  <c r="A808" i="3"/>
  <c r="C807" i="3"/>
  <c r="B807" i="3"/>
  <c r="A807" i="3"/>
  <c r="C806" i="3"/>
  <c r="B806" i="3"/>
  <c r="A806" i="3"/>
  <c r="C805" i="3"/>
  <c r="B805" i="3"/>
  <c r="A805" i="3"/>
  <c r="C804" i="3"/>
  <c r="B804" i="3"/>
  <c r="A804" i="3"/>
  <c r="C803" i="3"/>
  <c r="B803" i="3"/>
  <c r="A803" i="3"/>
  <c r="C802" i="3"/>
  <c r="B802" i="3"/>
  <c r="A802" i="3"/>
  <c r="C801" i="3"/>
  <c r="B801" i="3"/>
  <c r="A801" i="3"/>
  <c r="N803" i="1"/>
  <c r="C1084" i="15" s="1"/>
  <c r="N802" i="1"/>
  <c r="C1083" i="15" s="1"/>
  <c r="N801" i="1"/>
  <c r="C1082" i="15" s="1"/>
  <c r="N800" i="1"/>
  <c r="C1081" i="15" s="1"/>
  <c r="N799" i="1"/>
  <c r="C1080" i="15" s="1"/>
  <c r="N798" i="1"/>
  <c r="C1079" i="15" s="1"/>
  <c r="N797" i="1"/>
  <c r="C1078" i="15" s="1"/>
  <c r="N796" i="1"/>
  <c r="C1077" i="15" s="1"/>
  <c r="AI803" i="1"/>
  <c r="AC803" i="1" s="1"/>
  <c r="AI802" i="1"/>
  <c r="AC802" i="1" s="1"/>
  <c r="AI801" i="1"/>
  <c r="AC801" i="1" s="1"/>
  <c r="M801" i="1" s="1"/>
  <c r="B1082" i="15" s="1"/>
  <c r="AI800" i="1"/>
  <c r="AC800" i="1" s="1"/>
  <c r="AI799" i="1"/>
  <c r="AC799" i="1" s="1"/>
  <c r="AI798" i="1"/>
  <c r="AC798" i="1" s="1"/>
  <c r="AI797" i="1"/>
  <c r="AC797" i="1" s="1"/>
  <c r="AI796" i="1"/>
  <c r="AC796" i="1" s="1"/>
  <c r="BE803" i="1"/>
  <c r="BA803" i="1"/>
  <c r="AZ803" i="1"/>
  <c r="AY803" i="1"/>
  <c r="BE802" i="1"/>
  <c r="BA802" i="1"/>
  <c r="AZ802" i="1"/>
  <c r="AY802" i="1"/>
  <c r="BE801" i="1"/>
  <c r="BA801" i="1"/>
  <c r="AZ801" i="1"/>
  <c r="AY801" i="1"/>
  <c r="BE800" i="1"/>
  <c r="BA800" i="1"/>
  <c r="AZ800" i="1"/>
  <c r="AY800" i="1"/>
  <c r="BE799" i="1"/>
  <c r="BA799" i="1"/>
  <c r="AZ799" i="1"/>
  <c r="AY799" i="1"/>
  <c r="BE798" i="1"/>
  <c r="BA798" i="1"/>
  <c r="AZ798" i="1"/>
  <c r="AY798" i="1"/>
  <c r="BE797" i="1"/>
  <c r="BA797" i="1"/>
  <c r="AZ797" i="1"/>
  <c r="AY797" i="1"/>
  <c r="BE796" i="1"/>
  <c r="BA796" i="1"/>
  <c r="AZ796" i="1"/>
  <c r="AY796" i="1"/>
  <c r="Z803" i="1"/>
  <c r="Z802" i="1"/>
  <c r="Z801" i="1"/>
  <c r="Z799" i="1"/>
  <c r="Z800" i="1"/>
  <c r="Z798" i="1"/>
  <c r="Z797" i="1"/>
  <c r="Y803" i="1"/>
  <c r="Y802" i="1"/>
  <c r="Y801" i="1"/>
  <c r="Y800" i="1"/>
  <c r="Y799" i="1"/>
  <c r="Y798" i="1"/>
  <c r="Y797" i="1"/>
  <c r="Z796" i="1"/>
  <c r="Y796" i="1"/>
  <c r="W803" i="1"/>
  <c r="W802" i="1"/>
  <c r="W801" i="1"/>
  <c r="W798" i="1"/>
  <c r="W797" i="1"/>
  <c r="W800" i="1"/>
  <c r="W799" i="1"/>
  <c r="W796" i="1"/>
  <c r="V803" i="1"/>
  <c r="V802" i="1"/>
  <c r="V801" i="1"/>
  <c r="V800" i="1"/>
  <c r="V799" i="1"/>
  <c r="V798" i="1"/>
  <c r="V797" i="1"/>
  <c r="V796" i="1"/>
  <c r="X803" i="1"/>
  <c r="P803" i="1" s="1"/>
  <c r="Q803" i="1" s="1"/>
  <c r="X802" i="1"/>
  <c r="P802" i="1" s="1"/>
  <c r="Q802" i="1" s="1"/>
  <c r="X801" i="1"/>
  <c r="P801" i="1" s="1"/>
  <c r="Q801" i="1" s="1"/>
  <c r="X798" i="1"/>
  <c r="P798" i="1" s="1"/>
  <c r="Q798" i="1" s="1"/>
  <c r="X797" i="1"/>
  <c r="P797" i="1" s="1"/>
  <c r="Q797" i="1" s="1"/>
  <c r="X800" i="1"/>
  <c r="P800" i="1" s="1"/>
  <c r="Q800" i="1" s="1"/>
  <c r="X799" i="1"/>
  <c r="P799" i="1" s="1"/>
  <c r="Q799" i="1" s="1"/>
  <c r="X796" i="1"/>
  <c r="P796" i="1" s="1"/>
  <c r="Q796" i="1" s="1"/>
  <c r="P795" i="1"/>
  <c r="Q795" i="1" s="1"/>
  <c r="P794" i="1"/>
  <c r="Q794" i="1" s="1"/>
  <c r="P793" i="1"/>
  <c r="Q793" i="1" s="1"/>
  <c r="C800" i="3"/>
  <c r="B800" i="3"/>
  <c r="A800" i="3"/>
  <c r="C799" i="3"/>
  <c r="B799" i="3"/>
  <c r="A799" i="3"/>
  <c r="C798" i="3"/>
  <c r="B798" i="3"/>
  <c r="A798" i="3"/>
  <c r="N795" i="1"/>
  <c r="C1076" i="15" s="1"/>
  <c r="N794" i="1"/>
  <c r="C1075" i="15" s="1"/>
  <c r="N793" i="1"/>
  <c r="C1074" i="15" s="1"/>
  <c r="BA795" i="1"/>
  <c r="AZ795" i="1"/>
  <c r="BA794" i="1"/>
  <c r="AZ794" i="1"/>
  <c r="BA793" i="1"/>
  <c r="AZ793" i="1"/>
  <c r="BE795" i="1"/>
  <c r="BE794" i="1"/>
  <c r="BE793" i="1"/>
  <c r="AY795" i="1"/>
  <c r="AY794" i="1"/>
  <c r="AY793" i="1"/>
  <c r="AI795" i="1"/>
  <c r="AC795" i="1" s="1"/>
  <c r="AI794" i="1"/>
  <c r="AC794" i="1" s="1"/>
  <c r="AI793" i="1"/>
  <c r="AC793" i="1" s="1"/>
  <c r="M800" i="1" l="1"/>
  <c r="B1081" i="15" s="1"/>
  <c r="M796" i="1"/>
  <c r="B1077" i="15" s="1"/>
  <c r="D802" i="3"/>
  <c r="C797" i="1" s="1"/>
  <c r="D804" i="3"/>
  <c r="C799" i="1" s="1"/>
  <c r="D806" i="3"/>
  <c r="D808" i="3"/>
  <c r="M793" i="1"/>
  <c r="B1074" i="15" s="1"/>
  <c r="M794" i="1"/>
  <c r="B1075" i="15" s="1"/>
  <c r="M797" i="1"/>
  <c r="B1078" i="15" s="1"/>
  <c r="M799" i="1"/>
  <c r="B1080" i="15" s="1"/>
  <c r="M803" i="1"/>
  <c r="B1084" i="15" s="1"/>
  <c r="D801" i="3"/>
  <c r="C796" i="1" s="1"/>
  <c r="M798" i="1"/>
  <c r="B1079" i="15" s="1"/>
  <c r="D803" i="3"/>
  <c r="C798" i="1" s="1"/>
  <c r="D805" i="3"/>
  <c r="M802" i="1"/>
  <c r="B1083" i="15" s="1"/>
  <c r="D807" i="3"/>
  <c r="C802" i="1" s="1"/>
  <c r="M795" i="1"/>
  <c r="B1076" i="15" s="1"/>
  <c r="F806" i="3" l="1"/>
  <c r="C801" i="1"/>
  <c r="F805" i="3"/>
  <c r="C800" i="1"/>
  <c r="F808" i="3"/>
  <c r="C803" i="1"/>
  <c r="F801" i="3"/>
  <c r="F804" i="3"/>
  <c r="F802" i="3"/>
  <c r="F807" i="3"/>
  <c r="F803" i="3"/>
  <c r="C792" i="3"/>
  <c r="C793" i="3"/>
  <c r="C794" i="3"/>
  <c r="C795" i="3"/>
  <c r="C796" i="3"/>
  <c r="C797" i="3"/>
  <c r="J797" i="3"/>
  <c r="H797" i="3"/>
  <c r="J796" i="3"/>
  <c r="H796" i="3"/>
  <c r="J795" i="3"/>
  <c r="H795" i="3"/>
  <c r="B797" i="3"/>
  <c r="A797" i="3"/>
  <c r="B796" i="3"/>
  <c r="A796" i="3"/>
  <c r="B795" i="3"/>
  <c r="A795" i="3"/>
  <c r="B794" i="3"/>
  <c r="A794" i="3"/>
  <c r="B793" i="3"/>
  <c r="A793" i="3"/>
  <c r="B792" i="3"/>
  <c r="A792" i="3"/>
  <c r="B791" i="3"/>
  <c r="A791" i="3"/>
  <c r="B790" i="3"/>
  <c r="A790" i="3"/>
  <c r="B789" i="3"/>
  <c r="A789" i="3"/>
  <c r="B788" i="3"/>
  <c r="A788" i="3"/>
  <c r="B787" i="3"/>
  <c r="A787" i="3"/>
  <c r="B786" i="3"/>
  <c r="A786" i="3"/>
  <c r="B785" i="3"/>
  <c r="A785" i="3"/>
  <c r="B784" i="3"/>
  <c r="A784" i="3"/>
  <c r="BE792" i="1"/>
  <c r="BE791" i="1"/>
  <c r="BE790" i="1"/>
  <c r="BA792" i="1"/>
  <c r="AZ792" i="1"/>
  <c r="AY792" i="1"/>
  <c r="BA791" i="1"/>
  <c r="AZ791" i="1"/>
  <c r="AY791" i="1"/>
  <c r="BA790" i="1"/>
  <c r="AZ790" i="1"/>
  <c r="AY790" i="1"/>
  <c r="AI792" i="1"/>
  <c r="AC792" i="1" s="1"/>
  <c r="AI791" i="1"/>
  <c r="AC791" i="1" s="1"/>
  <c r="N792" i="1"/>
  <c r="C817" i="15" s="1"/>
  <c r="N791" i="1"/>
  <c r="C816" i="15" s="1"/>
  <c r="N790" i="1"/>
  <c r="C815" i="15" s="1"/>
  <c r="Q792" i="1"/>
  <c r="Q791" i="1"/>
  <c r="Q790" i="1"/>
  <c r="AI790" i="1"/>
  <c r="AC790" i="1" s="1"/>
  <c r="BE789" i="1"/>
  <c r="BE788" i="1"/>
  <c r="BE787" i="1"/>
  <c r="BE786" i="1"/>
  <c r="BE785" i="1"/>
  <c r="BE784" i="1"/>
  <c r="BE783" i="1"/>
  <c r="BE782" i="1"/>
  <c r="BE781" i="1"/>
  <c r="BE780" i="1"/>
  <c r="BE779" i="1"/>
  <c r="BA789" i="1"/>
  <c r="AZ789" i="1"/>
  <c r="AY789" i="1"/>
  <c r="BA788" i="1"/>
  <c r="AZ788" i="1"/>
  <c r="AY788" i="1"/>
  <c r="BA787" i="1"/>
  <c r="AZ787" i="1"/>
  <c r="AY787" i="1"/>
  <c r="BA786" i="1"/>
  <c r="AZ786" i="1"/>
  <c r="AY786" i="1"/>
  <c r="BA785" i="1"/>
  <c r="AZ785" i="1"/>
  <c r="AY785" i="1"/>
  <c r="BA784" i="1"/>
  <c r="AZ784" i="1"/>
  <c r="AY784" i="1"/>
  <c r="BA783" i="1"/>
  <c r="AZ783" i="1"/>
  <c r="AY783" i="1"/>
  <c r="BA782" i="1"/>
  <c r="AZ782" i="1"/>
  <c r="AY782" i="1"/>
  <c r="BA781" i="1"/>
  <c r="AZ781" i="1"/>
  <c r="AY781" i="1"/>
  <c r="BA780" i="1"/>
  <c r="AZ780" i="1"/>
  <c r="AY780" i="1"/>
  <c r="BA779" i="1"/>
  <c r="AZ779" i="1"/>
  <c r="AY779" i="1"/>
  <c r="AI789" i="1"/>
  <c r="AC789" i="1" s="1"/>
  <c r="AI788" i="1"/>
  <c r="AC788" i="1" s="1"/>
  <c r="AI787" i="1"/>
  <c r="AI786" i="1"/>
  <c r="AC786" i="1" s="1"/>
  <c r="AI785" i="1"/>
  <c r="AC785" i="1" s="1"/>
  <c r="AI784" i="1"/>
  <c r="AC784" i="1" s="1"/>
  <c r="AI783" i="1"/>
  <c r="AC783" i="1" s="1"/>
  <c r="AI782" i="1"/>
  <c r="AC782" i="1" s="1"/>
  <c r="AI781" i="1"/>
  <c r="AC781" i="1" s="1"/>
  <c r="AI780" i="1"/>
  <c r="AC780" i="1" s="1"/>
  <c r="AC787" i="1"/>
  <c r="N789" i="1"/>
  <c r="C814" i="15" s="1"/>
  <c r="N788" i="1"/>
  <c r="C813" i="15" s="1"/>
  <c r="N787" i="1"/>
  <c r="C812" i="15" s="1"/>
  <c r="N786" i="1"/>
  <c r="C811" i="15" s="1"/>
  <c r="N785" i="1"/>
  <c r="C810" i="15" s="1"/>
  <c r="N784" i="1"/>
  <c r="C809" i="15" s="1"/>
  <c r="N783" i="1"/>
  <c r="C808" i="15" s="1"/>
  <c r="N782" i="1"/>
  <c r="C807" i="15" s="1"/>
  <c r="N781" i="1"/>
  <c r="C806" i="15" s="1"/>
  <c r="N780" i="1"/>
  <c r="C805" i="15" s="1"/>
  <c r="N779" i="1"/>
  <c r="C804" i="15" s="1"/>
  <c r="P789" i="1"/>
  <c r="P788" i="1"/>
  <c r="P787" i="1"/>
  <c r="P786" i="1"/>
  <c r="P785" i="1"/>
  <c r="P784" i="1"/>
  <c r="P783" i="1"/>
  <c r="P782" i="1"/>
  <c r="P781" i="1"/>
  <c r="P780" i="1"/>
  <c r="P779" i="1"/>
  <c r="AI779" i="1"/>
  <c r="AC779" i="1" s="1"/>
  <c r="J775" i="3"/>
  <c r="H775" i="3"/>
  <c r="B783" i="3"/>
  <c r="A783" i="3"/>
  <c r="B782" i="3"/>
  <c r="A782" i="3"/>
  <c r="B781" i="3"/>
  <c r="A781" i="3"/>
  <c r="B780" i="3"/>
  <c r="A780" i="3"/>
  <c r="B779" i="3"/>
  <c r="A779" i="3"/>
  <c r="B778" i="3"/>
  <c r="A778" i="3"/>
  <c r="B777" i="3"/>
  <c r="A777" i="3"/>
  <c r="B776" i="3"/>
  <c r="A776" i="3"/>
  <c r="B775" i="3"/>
  <c r="A775" i="3"/>
  <c r="B774" i="3"/>
  <c r="A774" i="3"/>
  <c r="B773" i="3"/>
  <c r="A773" i="3"/>
  <c r="B772" i="3"/>
  <c r="A772" i="3"/>
  <c r="BE778" i="1"/>
  <c r="BE777" i="1"/>
  <c r="BE776" i="1"/>
  <c r="BE775" i="1"/>
  <c r="BE774" i="1"/>
  <c r="BE773" i="1"/>
  <c r="BE772" i="1"/>
  <c r="BE771" i="1"/>
  <c r="BE770" i="1"/>
  <c r="BE769" i="1"/>
  <c r="BE768" i="1"/>
  <c r="BE767" i="1"/>
  <c r="BA778" i="1"/>
  <c r="AZ778" i="1"/>
  <c r="AY778" i="1"/>
  <c r="BA777" i="1"/>
  <c r="AZ777" i="1"/>
  <c r="AY777" i="1"/>
  <c r="BA776" i="1"/>
  <c r="AZ776" i="1"/>
  <c r="AY776" i="1"/>
  <c r="BA775" i="1"/>
  <c r="AZ775" i="1"/>
  <c r="AY775" i="1"/>
  <c r="BA774" i="1"/>
  <c r="AZ774" i="1"/>
  <c r="AY774" i="1"/>
  <c r="BA773" i="1"/>
  <c r="AZ773" i="1"/>
  <c r="AY773" i="1"/>
  <c r="BA772" i="1"/>
  <c r="AZ772" i="1"/>
  <c r="AY772" i="1"/>
  <c r="BA771" i="1"/>
  <c r="AZ771" i="1"/>
  <c r="AY771" i="1"/>
  <c r="BA770" i="1"/>
  <c r="AZ770" i="1"/>
  <c r="AY770" i="1"/>
  <c r="BA769" i="1"/>
  <c r="AZ769" i="1"/>
  <c r="AY769" i="1"/>
  <c r="BA768" i="1"/>
  <c r="AZ768" i="1"/>
  <c r="AY768" i="1"/>
  <c r="BA767" i="1"/>
  <c r="AZ767" i="1"/>
  <c r="AY767" i="1"/>
  <c r="AI778" i="1"/>
  <c r="AC778" i="1" s="1"/>
  <c r="M778" i="1" s="1"/>
  <c r="B803" i="15" s="1"/>
  <c r="AI777" i="1"/>
  <c r="AC777" i="1" s="1"/>
  <c r="M777" i="1" s="1"/>
  <c r="B802" i="15" s="1"/>
  <c r="AI776" i="1"/>
  <c r="AC776" i="1" s="1"/>
  <c r="M776" i="1" s="1"/>
  <c r="B801" i="15" s="1"/>
  <c r="AI775" i="1"/>
  <c r="AC775" i="1" s="1"/>
  <c r="M775" i="1" s="1"/>
  <c r="B800" i="15" s="1"/>
  <c r="AI774" i="1"/>
  <c r="AC774" i="1" s="1"/>
  <c r="M774" i="1" s="1"/>
  <c r="B799" i="15" s="1"/>
  <c r="AI773" i="1"/>
  <c r="AC773" i="1" s="1"/>
  <c r="M773" i="1" s="1"/>
  <c r="B798" i="15" s="1"/>
  <c r="AI772" i="1"/>
  <c r="AC772" i="1" s="1"/>
  <c r="M772" i="1" s="1"/>
  <c r="B797" i="15" s="1"/>
  <c r="AI771" i="1"/>
  <c r="AC771" i="1" s="1"/>
  <c r="M771" i="1" s="1"/>
  <c r="B796" i="15" s="1"/>
  <c r="AI770" i="1"/>
  <c r="AC770" i="1" s="1"/>
  <c r="M770" i="1" s="1"/>
  <c r="B795" i="15" s="1"/>
  <c r="AI769" i="1"/>
  <c r="AC769" i="1" s="1"/>
  <c r="M769" i="1" s="1"/>
  <c r="B794" i="15" s="1"/>
  <c r="AI768" i="1"/>
  <c r="AC768" i="1" s="1"/>
  <c r="M768" i="1" s="1"/>
  <c r="B793" i="15" s="1"/>
  <c r="Q778" i="1"/>
  <c r="P778" i="1" s="1"/>
  <c r="Q777" i="1"/>
  <c r="P777" i="1" s="1"/>
  <c r="Q776" i="1"/>
  <c r="P776" i="1" s="1"/>
  <c r="Q775" i="1"/>
  <c r="P775" i="1" s="1"/>
  <c r="Q774" i="1"/>
  <c r="P774" i="1" s="1"/>
  <c r="Q773" i="1"/>
  <c r="P773" i="1" s="1"/>
  <c r="Q772" i="1"/>
  <c r="P772" i="1" s="1"/>
  <c r="Q771" i="1"/>
  <c r="P771" i="1" s="1"/>
  <c r="Q770" i="1"/>
  <c r="P770" i="1" s="1"/>
  <c r="AI767" i="1"/>
  <c r="AC767" i="1" s="1"/>
  <c r="M767" i="1" s="1"/>
  <c r="B792" i="15" s="1"/>
  <c r="Q769" i="1"/>
  <c r="P769" i="1" s="1"/>
  <c r="Q768" i="1"/>
  <c r="P768" i="1" s="1"/>
  <c r="Q767" i="1"/>
  <c r="P767" i="1" s="1"/>
  <c r="E616" i="3"/>
  <c r="D616" i="3"/>
  <c r="C611" i="1" s="1"/>
  <c r="E615" i="3"/>
  <c r="D615" i="3"/>
  <c r="C610" i="1" s="1"/>
  <c r="BE766" i="1"/>
  <c r="BA766" i="1"/>
  <c r="AZ766" i="1"/>
  <c r="AY766" i="1"/>
  <c r="BE765" i="1"/>
  <c r="BA765" i="1"/>
  <c r="AZ765" i="1"/>
  <c r="AY765" i="1"/>
  <c r="BE764" i="1"/>
  <c r="BA764" i="1"/>
  <c r="AZ764" i="1"/>
  <c r="AY764" i="1"/>
  <c r="BE763" i="1"/>
  <c r="BA763" i="1"/>
  <c r="AZ763" i="1"/>
  <c r="AY763" i="1"/>
  <c r="BE762" i="1"/>
  <c r="BA762" i="1"/>
  <c r="AZ762" i="1"/>
  <c r="AY762" i="1"/>
  <c r="BE761" i="1"/>
  <c r="BA761" i="1"/>
  <c r="AZ761" i="1"/>
  <c r="AY761" i="1"/>
  <c r="BE760" i="1"/>
  <c r="BA760" i="1"/>
  <c r="AZ760" i="1"/>
  <c r="AY760" i="1"/>
  <c r="BE759" i="1"/>
  <c r="BA759" i="1"/>
  <c r="AZ759" i="1"/>
  <c r="AY759" i="1"/>
  <c r="BE758" i="1"/>
  <c r="BA758" i="1"/>
  <c r="AZ758" i="1"/>
  <c r="AY758" i="1"/>
  <c r="BE757" i="1"/>
  <c r="BA757" i="1"/>
  <c r="AZ757" i="1"/>
  <c r="AY757" i="1"/>
  <c r="BE756" i="1"/>
  <c r="AY756" i="1"/>
  <c r="AZ756" i="1"/>
  <c r="BA756" i="1"/>
  <c r="AI766" i="1"/>
  <c r="AC766" i="1" s="1"/>
  <c r="M766" i="1" s="1"/>
  <c r="B532" i="15" s="1"/>
  <c r="AI765" i="1"/>
  <c r="AC765" i="1" s="1"/>
  <c r="M765" i="1" s="1"/>
  <c r="B531" i="15" s="1"/>
  <c r="AI764" i="1"/>
  <c r="AC764" i="1" s="1"/>
  <c r="M764" i="1" s="1"/>
  <c r="B530" i="15" s="1"/>
  <c r="AI763" i="1"/>
  <c r="AC763" i="1" s="1"/>
  <c r="M763" i="1" s="1"/>
  <c r="B529" i="15" s="1"/>
  <c r="AI762" i="1"/>
  <c r="AC762" i="1" s="1"/>
  <c r="M762" i="1" s="1"/>
  <c r="B528" i="15" s="1"/>
  <c r="AI761" i="1"/>
  <c r="AC761" i="1" s="1"/>
  <c r="M761" i="1" s="1"/>
  <c r="B527" i="15" s="1"/>
  <c r="AI760" i="1"/>
  <c r="AC760" i="1" s="1"/>
  <c r="M760" i="1" s="1"/>
  <c r="B526" i="15" s="1"/>
  <c r="AI759" i="1"/>
  <c r="AC759" i="1" s="1"/>
  <c r="M759" i="1" s="1"/>
  <c r="B525" i="15" s="1"/>
  <c r="AI758" i="1"/>
  <c r="AC758" i="1" s="1"/>
  <c r="M758" i="1" s="1"/>
  <c r="B524" i="15" s="1"/>
  <c r="AI757" i="1"/>
  <c r="AC757" i="1" s="1"/>
  <c r="M757" i="1" s="1"/>
  <c r="B523" i="15" s="1"/>
  <c r="AI756" i="1"/>
  <c r="AC756" i="1" s="1"/>
  <c r="M756" i="1" s="1"/>
  <c r="B522" i="15" s="1"/>
  <c r="AB766" i="1"/>
  <c r="AB765" i="1"/>
  <c r="AB764" i="1"/>
  <c r="AA766" i="1"/>
  <c r="AA765" i="1"/>
  <c r="AA764" i="1"/>
  <c r="X766" i="1"/>
  <c r="X765" i="1"/>
  <c r="X764" i="1"/>
  <c r="U766" i="1"/>
  <c r="U765" i="1"/>
  <c r="U764" i="1"/>
  <c r="Q766" i="1"/>
  <c r="P766" i="1" s="1"/>
  <c r="Q765" i="1"/>
  <c r="P765" i="1" s="1"/>
  <c r="Q764" i="1"/>
  <c r="P764" i="1" s="1"/>
  <c r="AB763" i="1"/>
  <c r="AB762" i="1"/>
  <c r="AB761" i="1"/>
  <c r="AB760" i="1"/>
  <c r="AA763" i="1"/>
  <c r="AA762" i="1"/>
  <c r="AA761" i="1"/>
  <c r="AA760" i="1"/>
  <c r="X763" i="1"/>
  <c r="X762" i="1"/>
  <c r="X761" i="1"/>
  <c r="X760" i="1"/>
  <c r="U763" i="1"/>
  <c r="U762" i="1"/>
  <c r="U761" i="1"/>
  <c r="U760" i="1"/>
  <c r="Q763" i="1"/>
  <c r="P763" i="1" s="1"/>
  <c r="Q762" i="1"/>
  <c r="P762" i="1" s="1"/>
  <c r="Q761" i="1"/>
  <c r="P761" i="1" s="1"/>
  <c r="Q760" i="1"/>
  <c r="P760" i="1" s="1"/>
  <c r="AB759" i="1"/>
  <c r="AB758" i="1"/>
  <c r="AB757" i="1"/>
  <c r="AB756" i="1"/>
  <c r="AA759" i="1"/>
  <c r="AA758" i="1"/>
  <c r="AA757" i="1"/>
  <c r="AA756" i="1"/>
  <c r="X759" i="1"/>
  <c r="X758" i="1"/>
  <c r="X757" i="1"/>
  <c r="X756" i="1"/>
  <c r="U759" i="1"/>
  <c r="U758" i="1"/>
  <c r="U757" i="1"/>
  <c r="U756" i="1"/>
  <c r="Q759" i="1"/>
  <c r="P759" i="1" s="1"/>
  <c r="Q758" i="1"/>
  <c r="P758" i="1" s="1"/>
  <c r="Q757" i="1"/>
  <c r="P757" i="1" s="1"/>
  <c r="Q756" i="1"/>
  <c r="P756" i="1" s="1"/>
  <c r="B771" i="3"/>
  <c r="A771" i="3"/>
  <c r="B770" i="3"/>
  <c r="A770" i="3"/>
  <c r="B769" i="3"/>
  <c r="A769" i="3"/>
  <c r="B768" i="3"/>
  <c r="A768" i="3"/>
  <c r="B767" i="3"/>
  <c r="A767" i="3"/>
  <c r="B766" i="3"/>
  <c r="A766" i="3"/>
  <c r="B765" i="3"/>
  <c r="A765" i="3"/>
  <c r="B764" i="3"/>
  <c r="A764" i="3"/>
  <c r="B763" i="3"/>
  <c r="A763" i="3"/>
  <c r="B762" i="3"/>
  <c r="A762" i="3"/>
  <c r="B761" i="3"/>
  <c r="A761" i="3"/>
  <c r="BE755" i="1"/>
  <c r="BA755" i="1"/>
  <c r="AZ755" i="1"/>
  <c r="AY755" i="1"/>
  <c r="BE754" i="1"/>
  <c r="BA754" i="1"/>
  <c r="AZ754" i="1"/>
  <c r="AY754" i="1"/>
  <c r="BE753" i="1"/>
  <c r="BA753" i="1"/>
  <c r="AZ753" i="1"/>
  <c r="AY753" i="1"/>
  <c r="BE752" i="1"/>
  <c r="BA752" i="1"/>
  <c r="AZ752" i="1"/>
  <c r="AY752" i="1"/>
  <c r="BE751" i="1"/>
  <c r="BA751" i="1"/>
  <c r="AZ751" i="1"/>
  <c r="AY751" i="1"/>
  <c r="BE750" i="1"/>
  <c r="BA750" i="1"/>
  <c r="AZ750" i="1"/>
  <c r="AY750" i="1"/>
  <c r="BE749" i="1"/>
  <c r="BA749" i="1"/>
  <c r="AZ749" i="1"/>
  <c r="AY749" i="1"/>
  <c r="BE748" i="1"/>
  <c r="BA748" i="1"/>
  <c r="AZ748" i="1"/>
  <c r="AY748" i="1"/>
  <c r="BE747" i="1"/>
  <c r="BA747" i="1"/>
  <c r="AZ747" i="1"/>
  <c r="AY747" i="1"/>
  <c r="BE746" i="1"/>
  <c r="BA746" i="1"/>
  <c r="AZ746" i="1"/>
  <c r="AY746" i="1"/>
  <c r="BE745" i="1"/>
  <c r="BA745" i="1"/>
  <c r="AZ745" i="1"/>
  <c r="AY745" i="1"/>
  <c r="BE744" i="1"/>
  <c r="BA744" i="1"/>
  <c r="AZ744" i="1"/>
  <c r="AY744" i="1"/>
  <c r="BE743" i="1"/>
  <c r="BA743" i="1"/>
  <c r="AZ743" i="1"/>
  <c r="AY743" i="1"/>
  <c r="BE742" i="1"/>
  <c r="BA742" i="1"/>
  <c r="AZ742" i="1"/>
  <c r="AY742" i="1"/>
  <c r="BE741" i="1"/>
  <c r="BA741" i="1"/>
  <c r="AZ741" i="1"/>
  <c r="AY741" i="1"/>
  <c r="BE740" i="1"/>
  <c r="BA740" i="1"/>
  <c r="AZ740" i="1"/>
  <c r="AY740" i="1"/>
  <c r="BE739" i="1"/>
  <c r="BA739" i="1"/>
  <c r="AZ739" i="1"/>
  <c r="AY739" i="1"/>
  <c r="BE738" i="1"/>
  <c r="BA738" i="1"/>
  <c r="AZ738" i="1"/>
  <c r="AY738" i="1"/>
  <c r="BE737" i="1"/>
  <c r="BA737" i="1"/>
  <c r="AZ737" i="1"/>
  <c r="AY737" i="1"/>
  <c r="BE736" i="1"/>
  <c r="BA736" i="1"/>
  <c r="AZ736" i="1"/>
  <c r="AY736" i="1"/>
  <c r="BE735" i="1"/>
  <c r="BA735" i="1"/>
  <c r="AZ735" i="1"/>
  <c r="AY735" i="1"/>
  <c r="BE734" i="1"/>
  <c r="BA734" i="1"/>
  <c r="AZ734" i="1"/>
  <c r="AY734" i="1"/>
  <c r="BE733" i="1"/>
  <c r="BA733" i="1"/>
  <c r="AZ733" i="1"/>
  <c r="AY733" i="1"/>
  <c r="BE732" i="1"/>
  <c r="BA732" i="1"/>
  <c r="AZ732" i="1"/>
  <c r="AY732" i="1"/>
  <c r="BE731" i="1"/>
  <c r="BA731" i="1"/>
  <c r="AZ731" i="1"/>
  <c r="AY731" i="1"/>
  <c r="BE730" i="1"/>
  <c r="BA730" i="1"/>
  <c r="AZ730" i="1"/>
  <c r="AY730" i="1"/>
  <c r="BE729" i="1"/>
  <c r="BA729" i="1"/>
  <c r="AZ729" i="1"/>
  <c r="AY729" i="1"/>
  <c r="BE728" i="1"/>
  <c r="BA728" i="1"/>
  <c r="AZ728" i="1"/>
  <c r="AY728" i="1"/>
  <c r="BE727" i="1"/>
  <c r="BA727" i="1"/>
  <c r="AZ727" i="1"/>
  <c r="AY727" i="1"/>
  <c r="BE726" i="1"/>
  <c r="BA726" i="1"/>
  <c r="AZ726" i="1"/>
  <c r="AY726" i="1"/>
  <c r="BE725" i="1"/>
  <c r="BA725" i="1"/>
  <c r="AZ725" i="1"/>
  <c r="AY725" i="1"/>
  <c r="BE724" i="1"/>
  <c r="BA724" i="1"/>
  <c r="AZ724" i="1"/>
  <c r="AY724" i="1"/>
  <c r="BE723" i="1"/>
  <c r="BA723" i="1"/>
  <c r="AZ723" i="1"/>
  <c r="AY723" i="1"/>
  <c r="BE722" i="1"/>
  <c r="BA722" i="1"/>
  <c r="AZ722" i="1"/>
  <c r="AY722" i="1"/>
  <c r="BE721" i="1"/>
  <c r="BA721" i="1"/>
  <c r="AZ721" i="1"/>
  <c r="AY721" i="1"/>
  <c r="BE720" i="1"/>
  <c r="BA720" i="1"/>
  <c r="AZ720" i="1"/>
  <c r="AY720" i="1"/>
  <c r="BE719" i="1"/>
  <c r="BA719" i="1"/>
  <c r="AZ719" i="1"/>
  <c r="AY719" i="1"/>
  <c r="BE718" i="1"/>
  <c r="BA718" i="1"/>
  <c r="AZ718" i="1"/>
  <c r="AY718" i="1"/>
  <c r="BE717" i="1"/>
  <c r="BA717" i="1"/>
  <c r="AZ717" i="1"/>
  <c r="AY717" i="1"/>
  <c r="BE716" i="1"/>
  <c r="BA716" i="1"/>
  <c r="AZ716" i="1"/>
  <c r="AY716" i="1"/>
  <c r="BE715" i="1"/>
  <c r="BA715" i="1"/>
  <c r="AZ715" i="1"/>
  <c r="AY715" i="1"/>
  <c r="BE714" i="1"/>
  <c r="BA714" i="1"/>
  <c r="AZ714" i="1"/>
  <c r="AY714" i="1"/>
  <c r="BE713" i="1"/>
  <c r="BA713" i="1"/>
  <c r="AZ713" i="1"/>
  <c r="AY713" i="1"/>
  <c r="BE712" i="1"/>
  <c r="BA712" i="1"/>
  <c r="AZ712" i="1"/>
  <c r="AY712" i="1"/>
  <c r="BE711" i="1"/>
  <c r="BA711" i="1"/>
  <c r="AZ711" i="1"/>
  <c r="AY711" i="1"/>
  <c r="BE710" i="1"/>
  <c r="BA710" i="1"/>
  <c r="AZ710" i="1"/>
  <c r="AY710" i="1"/>
  <c r="BE709" i="1"/>
  <c r="BA709" i="1"/>
  <c r="AZ709" i="1"/>
  <c r="AY709" i="1"/>
  <c r="BE708" i="1"/>
  <c r="BA708" i="1"/>
  <c r="AZ708" i="1"/>
  <c r="AY708" i="1"/>
  <c r="BE707" i="1"/>
  <c r="BA707" i="1"/>
  <c r="AZ707" i="1"/>
  <c r="AY707" i="1"/>
  <c r="BE706" i="1"/>
  <c r="BA706" i="1"/>
  <c r="AZ706" i="1"/>
  <c r="AY706" i="1"/>
  <c r="BE705" i="1"/>
  <c r="BA705" i="1"/>
  <c r="AZ705" i="1"/>
  <c r="AY705" i="1"/>
  <c r="BE704" i="1"/>
  <c r="BA704" i="1"/>
  <c r="AZ704" i="1"/>
  <c r="AY704" i="1"/>
  <c r="BE703" i="1"/>
  <c r="BA703" i="1"/>
  <c r="AZ703" i="1"/>
  <c r="AY703" i="1"/>
  <c r="BE702" i="1"/>
  <c r="BA702" i="1"/>
  <c r="AZ702" i="1"/>
  <c r="AY702" i="1"/>
  <c r="BE701" i="1"/>
  <c r="BA701" i="1"/>
  <c r="AZ701" i="1"/>
  <c r="AY701" i="1"/>
  <c r="BE700" i="1"/>
  <c r="BA700" i="1"/>
  <c r="AZ700" i="1"/>
  <c r="AY700" i="1"/>
  <c r="BE699" i="1"/>
  <c r="BA699" i="1"/>
  <c r="AZ699" i="1"/>
  <c r="AY699" i="1"/>
  <c r="BE698" i="1"/>
  <c r="BA698" i="1"/>
  <c r="AZ698" i="1"/>
  <c r="AY698" i="1"/>
  <c r="BE697" i="1"/>
  <c r="BA697" i="1"/>
  <c r="AZ697" i="1"/>
  <c r="AY697" i="1"/>
  <c r="BE696" i="1"/>
  <c r="BA696" i="1"/>
  <c r="AZ696" i="1"/>
  <c r="AY696" i="1"/>
  <c r="BE695" i="1"/>
  <c r="BA695" i="1"/>
  <c r="AZ695" i="1"/>
  <c r="AY695" i="1"/>
  <c r="BE694" i="1"/>
  <c r="BA694" i="1"/>
  <c r="AZ694" i="1"/>
  <c r="AY694" i="1"/>
  <c r="BE693" i="1"/>
  <c r="BA693" i="1"/>
  <c r="AZ693" i="1"/>
  <c r="AY693" i="1"/>
  <c r="BE692" i="1"/>
  <c r="BA692" i="1"/>
  <c r="AZ692" i="1"/>
  <c r="AY692" i="1"/>
  <c r="BE691" i="1"/>
  <c r="BA691" i="1"/>
  <c r="AZ691" i="1"/>
  <c r="AY691" i="1"/>
  <c r="BE690" i="1"/>
  <c r="BA690" i="1"/>
  <c r="AZ690" i="1"/>
  <c r="AY690" i="1"/>
  <c r="BE689" i="1"/>
  <c r="BA689" i="1"/>
  <c r="AZ689" i="1"/>
  <c r="AY689" i="1"/>
  <c r="BE688" i="1"/>
  <c r="BA688" i="1"/>
  <c r="AZ688" i="1"/>
  <c r="AY688" i="1"/>
  <c r="BE687" i="1"/>
  <c r="BA687" i="1"/>
  <c r="AZ687" i="1"/>
  <c r="AY687" i="1"/>
  <c r="BE686" i="1"/>
  <c r="BA686" i="1"/>
  <c r="AZ686" i="1"/>
  <c r="AY686" i="1"/>
  <c r="BE685" i="1"/>
  <c r="BA685" i="1"/>
  <c r="AZ685" i="1"/>
  <c r="AY685" i="1"/>
  <c r="BE684" i="1"/>
  <c r="BA684" i="1"/>
  <c r="AZ684" i="1"/>
  <c r="AY684" i="1"/>
  <c r="BE683" i="1"/>
  <c r="BA683" i="1"/>
  <c r="AZ683" i="1"/>
  <c r="AY683" i="1"/>
  <c r="BE682" i="1"/>
  <c r="BA682" i="1"/>
  <c r="AZ682" i="1"/>
  <c r="AY682" i="1"/>
  <c r="BE681" i="1"/>
  <c r="BA681" i="1"/>
  <c r="AZ681" i="1"/>
  <c r="AY681" i="1"/>
  <c r="BE680" i="1"/>
  <c r="BA680" i="1"/>
  <c r="AZ680" i="1"/>
  <c r="AY680" i="1"/>
  <c r="BE679" i="1"/>
  <c r="BA679" i="1"/>
  <c r="AZ679" i="1"/>
  <c r="AY679" i="1"/>
  <c r="BE678" i="1"/>
  <c r="BA678" i="1"/>
  <c r="AZ678" i="1"/>
  <c r="AY678" i="1"/>
  <c r="BE677" i="1"/>
  <c r="BA677" i="1"/>
  <c r="AZ677" i="1"/>
  <c r="AY677" i="1"/>
  <c r="BE676" i="1"/>
  <c r="BA676" i="1"/>
  <c r="AZ676" i="1"/>
  <c r="AY676" i="1"/>
  <c r="BE675" i="1"/>
  <c r="BA675" i="1"/>
  <c r="AZ675" i="1"/>
  <c r="AY675" i="1"/>
  <c r="BE674" i="1"/>
  <c r="BA674" i="1"/>
  <c r="AZ674" i="1"/>
  <c r="AY674" i="1"/>
  <c r="BE673" i="1"/>
  <c r="BA673" i="1"/>
  <c r="AZ673" i="1"/>
  <c r="AY673" i="1"/>
  <c r="BE672" i="1"/>
  <c r="BA672" i="1"/>
  <c r="AZ672" i="1"/>
  <c r="AY672" i="1"/>
  <c r="BE671" i="1"/>
  <c r="BA671" i="1"/>
  <c r="AZ671" i="1"/>
  <c r="AY671" i="1"/>
  <c r="BE670" i="1"/>
  <c r="BA670" i="1"/>
  <c r="AZ670" i="1"/>
  <c r="AY670" i="1"/>
  <c r="BE669" i="1"/>
  <c r="BA669" i="1"/>
  <c r="AZ669" i="1"/>
  <c r="AY669" i="1"/>
  <c r="BE668" i="1"/>
  <c r="BA668" i="1"/>
  <c r="AZ668" i="1"/>
  <c r="AY668" i="1"/>
  <c r="BE667" i="1"/>
  <c r="BA667" i="1"/>
  <c r="AZ667" i="1"/>
  <c r="AY667" i="1"/>
  <c r="BE666" i="1"/>
  <c r="BA666" i="1"/>
  <c r="AZ666" i="1"/>
  <c r="AY666" i="1"/>
  <c r="BE665" i="1"/>
  <c r="BA665" i="1"/>
  <c r="AZ665" i="1"/>
  <c r="AY665" i="1"/>
  <c r="BE664" i="1"/>
  <c r="BA664" i="1"/>
  <c r="AZ664" i="1"/>
  <c r="AY664" i="1"/>
  <c r="BE663" i="1"/>
  <c r="BA663" i="1"/>
  <c r="AZ663" i="1"/>
  <c r="AY663" i="1"/>
  <c r="BE662" i="1"/>
  <c r="BA662" i="1"/>
  <c r="AZ662" i="1"/>
  <c r="AY662" i="1"/>
  <c r="BE661" i="1"/>
  <c r="BA661" i="1"/>
  <c r="AZ661" i="1"/>
  <c r="AY661" i="1"/>
  <c r="BE660" i="1"/>
  <c r="BA660" i="1"/>
  <c r="AZ660" i="1"/>
  <c r="AY660" i="1"/>
  <c r="BE659" i="1"/>
  <c r="BA659" i="1"/>
  <c r="AZ659" i="1"/>
  <c r="AY659" i="1"/>
  <c r="BE658" i="1"/>
  <c r="BA658" i="1"/>
  <c r="AZ658" i="1"/>
  <c r="AY658" i="1"/>
  <c r="BE657" i="1"/>
  <c r="BA657" i="1"/>
  <c r="AZ657" i="1"/>
  <c r="AY657" i="1"/>
  <c r="BE656" i="1"/>
  <c r="BA656" i="1"/>
  <c r="AZ656" i="1"/>
  <c r="AY656" i="1"/>
  <c r="BE655" i="1"/>
  <c r="BA655" i="1"/>
  <c r="AZ655" i="1"/>
  <c r="AY655" i="1"/>
  <c r="BE654" i="1"/>
  <c r="BA654" i="1"/>
  <c r="AZ654" i="1"/>
  <c r="AY654" i="1"/>
  <c r="BE653" i="1"/>
  <c r="BA653" i="1"/>
  <c r="AZ653" i="1"/>
  <c r="AY653" i="1"/>
  <c r="BE652" i="1"/>
  <c r="BA652" i="1"/>
  <c r="AZ652" i="1"/>
  <c r="AY652" i="1"/>
  <c r="BE651" i="1"/>
  <c r="BA651" i="1"/>
  <c r="AZ651" i="1"/>
  <c r="AY651" i="1"/>
  <c r="BE650" i="1"/>
  <c r="BA650" i="1"/>
  <c r="AZ650" i="1"/>
  <c r="AY650" i="1"/>
  <c r="BE649" i="1"/>
  <c r="BA649" i="1"/>
  <c r="AZ649" i="1"/>
  <c r="AY649" i="1"/>
  <c r="BE648" i="1"/>
  <c r="BA648" i="1"/>
  <c r="AZ648" i="1"/>
  <c r="AY648" i="1"/>
  <c r="BE647" i="1"/>
  <c r="BA647" i="1"/>
  <c r="AZ647" i="1"/>
  <c r="AY647" i="1"/>
  <c r="BE646" i="1"/>
  <c r="BA646" i="1"/>
  <c r="AZ646" i="1"/>
  <c r="AY646" i="1"/>
  <c r="BE645" i="1"/>
  <c r="BA645" i="1"/>
  <c r="AZ645" i="1"/>
  <c r="AY645" i="1"/>
  <c r="BE644" i="1"/>
  <c r="BA644" i="1"/>
  <c r="AZ644" i="1"/>
  <c r="AY644" i="1"/>
  <c r="BE643" i="1"/>
  <c r="BA643" i="1"/>
  <c r="AZ643" i="1"/>
  <c r="AY643" i="1"/>
  <c r="BE642" i="1"/>
  <c r="BA642" i="1"/>
  <c r="AZ642" i="1"/>
  <c r="AY642" i="1"/>
  <c r="BE641" i="1"/>
  <c r="BA641" i="1"/>
  <c r="AZ641" i="1"/>
  <c r="AY641" i="1"/>
  <c r="BE640" i="1"/>
  <c r="BA640" i="1"/>
  <c r="AZ640" i="1"/>
  <c r="AY640" i="1"/>
  <c r="BE639" i="1"/>
  <c r="BA639" i="1"/>
  <c r="AZ639" i="1"/>
  <c r="AY639" i="1"/>
  <c r="BE638" i="1"/>
  <c r="BA638" i="1"/>
  <c r="AZ638" i="1"/>
  <c r="AY638" i="1"/>
  <c r="BE637" i="1"/>
  <c r="BA637" i="1"/>
  <c r="AZ637" i="1"/>
  <c r="AY637" i="1"/>
  <c r="BE636" i="1"/>
  <c r="BA636" i="1"/>
  <c r="AZ636" i="1"/>
  <c r="AY636" i="1"/>
  <c r="BE635" i="1"/>
  <c r="BA635" i="1"/>
  <c r="AZ635" i="1"/>
  <c r="AY635" i="1"/>
  <c r="BE634" i="1"/>
  <c r="BA634" i="1"/>
  <c r="AZ634" i="1"/>
  <c r="AY634" i="1"/>
  <c r="BE633" i="1"/>
  <c r="BA633" i="1"/>
  <c r="AZ633" i="1"/>
  <c r="AY633" i="1"/>
  <c r="BE632" i="1"/>
  <c r="BA632" i="1"/>
  <c r="AZ632" i="1"/>
  <c r="AY632" i="1"/>
  <c r="BE631" i="1"/>
  <c r="BA631" i="1"/>
  <c r="AZ631" i="1"/>
  <c r="AY631" i="1"/>
  <c r="BE630" i="1"/>
  <c r="BA630" i="1"/>
  <c r="AZ630" i="1"/>
  <c r="AY630" i="1"/>
  <c r="BE629" i="1"/>
  <c r="BA629" i="1"/>
  <c r="AZ629" i="1"/>
  <c r="AY629" i="1"/>
  <c r="BE628" i="1"/>
  <c r="BA628" i="1"/>
  <c r="AZ628" i="1"/>
  <c r="AY628" i="1"/>
  <c r="BE627" i="1"/>
  <c r="BA627" i="1"/>
  <c r="AZ627" i="1"/>
  <c r="AY627" i="1"/>
  <c r="BE626" i="1"/>
  <c r="BA626" i="1"/>
  <c r="AZ626" i="1"/>
  <c r="AY626" i="1"/>
  <c r="BE625" i="1"/>
  <c r="BA625" i="1"/>
  <c r="AZ625" i="1"/>
  <c r="AY625" i="1"/>
  <c r="BE624" i="1"/>
  <c r="BA624" i="1"/>
  <c r="AZ624" i="1"/>
  <c r="AY624" i="1"/>
  <c r="BE623" i="1"/>
  <c r="BA623" i="1"/>
  <c r="AZ623" i="1"/>
  <c r="AY623" i="1"/>
  <c r="BE622" i="1"/>
  <c r="BA622" i="1"/>
  <c r="AZ622" i="1"/>
  <c r="AY622" i="1"/>
  <c r="BE621" i="1"/>
  <c r="BA621" i="1"/>
  <c r="AZ621" i="1"/>
  <c r="AY621" i="1"/>
  <c r="BE620" i="1"/>
  <c r="BA620" i="1"/>
  <c r="AZ620" i="1"/>
  <c r="AY620" i="1"/>
  <c r="BE619" i="1"/>
  <c r="BA619" i="1"/>
  <c r="AZ619" i="1"/>
  <c r="AY619" i="1"/>
  <c r="BE618" i="1"/>
  <c r="BA618" i="1"/>
  <c r="AZ618" i="1"/>
  <c r="AY618" i="1"/>
  <c r="BE617" i="1"/>
  <c r="BA617" i="1"/>
  <c r="AZ617" i="1"/>
  <c r="AY617" i="1"/>
  <c r="BE616" i="1"/>
  <c r="BA616" i="1"/>
  <c r="AZ616" i="1"/>
  <c r="AY616" i="1"/>
  <c r="BE615" i="1"/>
  <c r="BA615" i="1"/>
  <c r="AZ615" i="1"/>
  <c r="AY615" i="1"/>
  <c r="BE614" i="1"/>
  <c r="BA614" i="1"/>
  <c r="AZ614" i="1"/>
  <c r="AY614" i="1"/>
  <c r="BE613" i="1"/>
  <c r="BA613" i="1"/>
  <c r="AZ613" i="1"/>
  <c r="AY613" i="1"/>
  <c r="BE612" i="1"/>
  <c r="BA612" i="1"/>
  <c r="AZ612" i="1"/>
  <c r="AY612" i="1"/>
  <c r="AI755" i="1"/>
  <c r="AC755" i="1" s="1"/>
  <c r="AI754" i="1"/>
  <c r="AC754" i="1" s="1"/>
  <c r="AI753" i="1"/>
  <c r="AC753" i="1" s="1"/>
  <c r="AI752" i="1"/>
  <c r="AC752" i="1" s="1"/>
  <c r="AI751" i="1"/>
  <c r="AC751" i="1" s="1"/>
  <c r="AI750" i="1"/>
  <c r="AC750" i="1" s="1"/>
  <c r="AI749" i="1"/>
  <c r="AC749" i="1" s="1"/>
  <c r="AI748" i="1"/>
  <c r="AC748" i="1" s="1"/>
  <c r="AI747" i="1"/>
  <c r="AC747" i="1" s="1"/>
  <c r="AI746" i="1"/>
  <c r="AC746" i="1" s="1"/>
  <c r="AI745" i="1"/>
  <c r="AC745" i="1" s="1"/>
  <c r="AI744" i="1"/>
  <c r="AC744" i="1" s="1"/>
  <c r="AI743" i="1"/>
  <c r="AC743" i="1" s="1"/>
  <c r="AI742" i="1"/>
  <c r="AC742" i="1" s="1"/>
  <c r="AI741" i="1"/>
  <c r="AC741" i="1" s="1"/>
  <c r="AI740" i="1"/>
  <c r="AC740" i="1" s="1"/>
  <c r="AI739" i="1"/>
  <c r="AC739" i="1" s="1"/>
  <c r="AI738" i="1"/>
  <c r="AC738" i="1" s="1"/>
  <c r="AI737" i="1"/>
  <c r="AC737" i="1" s="1"/>
  <c r="AI736" i="1"/>
  <c r="AC736" i="1" s="1"/>
  <c r="AI735" i="1"/>
  <c r="AC735" i="1" s="1"/>
  <c r="AI734" i="1"/>
  <c r="AC734" i="1" s="1"/>
  <c r="AI733" i="1"/>
  <c r="AC733" i="1" s="1"/>
  <c r="AI732" i="1"/>
  <c r="AC732" i="1" s="1"/>
  <c r="AI731" i="1"/>
  <c r="AC731" i="1" s="1"/>
  <c r="AI730" i="1"/>
  <c r="AC730" i="1" s="1"/>
  <c r="AI729" i="1"/>
  <c r="AC729" i="1" s="1"/>
  <c r="AI728" i="1"/>
  <c r="AC728" i="1" s="1"/>
  <c r="AI727" i="1"/>
  <c r="AC727" i="1" s="1"/>
  <c r="AI726" i="1"/>
  <c r="AC726" i="1" s="1"/>
  <c r="AI725" i="1"/>
  <c r="AC725" i="1" s="1"/>
  <c r="AI724" i="1"/>
  <c r="AC724" i="1" s="1"/>
  <c r="AI723" i="1"/>
  <c r="AC723" i="1" s="1"/>
  <c r="AI722" i="1"/>
  <c r="AC722" i="1" s="1"/>
  <c r="AI721" i="1"/>
  <c r="AC721" i="1" s="1"/>
  <c r="AI720" i="1"/>
  <c r="AC720" i="1" s="1"/>
  <c r="AI719" i="1"/>
  <c r="AC719" i="1" s="1"/>
  <c r="AI718" i="1"/>
  <c r="AC718" i="1" s="1"/>
  <c r="AI717" i="1"/>
  <c r="AC717" i="1" s="1"/>
  <c r="AI716" i="1"/>
  <c r="AC716" i="1" s="1"/>
  <c r="AI715" i="1"/>
  <c r="AC715" i="1" s="1"/>
  <c r="AI714" i="1"/>
  <c r="AC714" i="1" s="1"/>
  <c r="AI713" i="1"/>
  <c r="AC713" i="1" s="1"/>
  <c r="AI712" i="1"/>
  <c r="AC712" i="1" s="1"/>
  <c r="AI711" i="1"/>
  <c r="AC711" i="1" s="1"/>
  <c r="AI710" i="1"/>
  <c r="AC710" i="1" s="1"/>
  <c r="AI709" i="1"/>
  <c r="AC709" i="1" s="1"/>
  <c r="AI708" i="1"/>
  <c r="AC708" i="1" s="1"/>
  <c r="AI707" i="1"/>
  <c r="AC707" i="1" s="1"/>
  <c r="AI706" i="1"/>
  <c r="AC706" i="1" s="1"/>
  <c r="AI705" i="1"/>
  <c r="AC705" i="1" s="1"/>
  <c r="AI704" i="1"/>
  <c r="AC704" i="1" s="1"/>
  <c r="AI703" i="1"/>
  <c r="AC703" i="1" s="1"/>
  <c r="AI702" i="1"/>
  <c r="AC702" i="1" s="1"/>
  <c r="AI701" i="1"/>
  <c r="AC701" i="1" s="1"/>
  <c r="AI700" i="1"/>
  <c r="AC700" i="1" s="1"/>
  <c r="AI699" i="1"/>
  <c r="AC699" i="1" s="1"/>
  <c r="AI698" i="1"/>
  <c r="AC698" i="1" s="1"/>
  <c r="AI697" i="1"/>
  <c r="AC697" i="1" s="1"/>
  <c r="AI696" i="1"/>
  <c r="AC696" i="1" s="1"/>
  <c r="AI695" i="1"/>
  <c r="AC695" i="1" s="1"/>
  <c r="AI694" i="1"/>
  <c r="AC694" i="1" s="1"/>
  <c r="AI693" i="1"/>
  <c r="AC693" i="1" s="1"/>
  <c r="AI692" i="1"/>
  <c r="AC692" i="1" s="1"/>
  <c r="AI691" i="1"/>
  <c r="AC691" i="1" s="1"/>
  <c r="AI690" i="1"/>
  <c r="AC690" i="1" s="1"/>
  <c r="AI689" i="1"/>
  <c r="AC689" i="1" s="1"/>
  <c r="AI688" i="1"/>
  <c r="AC688" i="1" s="1"/>
  <c r="AI687" i="1"/>
  <c r="AC687" i="1" s="1"/>
  <c r="AI686" i="1"/>
  <c r="AC686" i="1" s="1"/>
  <c r="AI685" i="1"/>
  <c r="AC685" i="1" s="1"/>
  <c r="AI684" i="1"/>
  <c r="AC684" i="1" s="1"/>
  <c r="AI683" i="1"/>
  <c r="AC683" i="1" s="1"/>
  <c r="AI682" i="1"/>
  <c r="AC682" i="1" s="1"/>
  <c r="AI681" i="1"/>
  <c r="AC681" i="1" s="1"/>
  <c r="AI680" i="1"/>
  <c r="AC680" i="1" s="1"/>
  <c r="AI679" i="1"/>
  <c r="AC679" i="1" s="1"/>
  <c r="AI678" i="1"/>
  <c r="AC678" i="1" s="1"/>
  <c r="AI677" i="1"/>
  <c r="AC677" i="1" s="1"/>
  <c r="AI676" i="1"/>
  <c r="AC676" i="1" s="1"/>
  <c r="AI675" i="1"/>
  <c r="AC675" i="1" s="1"/>
  <c r="AI674" i="1"/>
  <c r="AC674" i="1" s="1"/>
  <c r="AI673" i="1"/>
  <c r="AC673" i="1" s="1"/>
  <c r="AI672" i="1"/>
  <c r="AC672" i="1" s="1"/>
  <c r="AI671" i="1"/>
  <c r="AC671" i="1" s="1"/>
  <c r="AI670" i="1"/>
  <c r="AC670" i="1" s="1"/>
  <c r="AI669" i="1"/>
  <c r="AC669" i="1" s="1"/>
  <c r="AI668" i="1"/>
  <c r="AC668" i="1" s="1"/>
  <c r="AI667" i="1"/>
  <c r="AC667" i="1" s="1"/>
  <c r="AI666" i="1"/>
  <c r="AC666" i="1" s="1"/>
  <c r="AI665" i="1"/>
  <c r="AC665" i="1" s="1"/>
  <c r="AI664" i="1"/>
  <c r="AC664" i="1" s="1"/>
  <c r="AI663" i="1"/>
  <c r="AC663" i="1" s="1"/>
  <c r="AI662" i="1"/>
  <c r="AC662" i="1" s="1"/>
  <c r="AI661" i="1"/>
  <c r="AC661" i="1" s="1"/>
  <c r="AI660" i="1"/>
  <c r="AC660" i="1" s="1"/>
  <c r="AI659" i="1"/>
  <c r="AC659" i="1" s="1"/>
  <c r="AI658" i="1"/>
  <c r="AC658" i="1" s="1"/>
  <c r="AI657" i="1"/>
  <c r="AC657" i="1" s="1"/>
  <c r="AI656" i="1"/>
  <c r="AC656" i="1" s="1"/>
  <c r="AI655" i="1"/>
  <c r="AC655" i="1" s="1"/>
  <c r="AI654" i="1"/>
  <c r="AC654" i="1" s="1"/>
  <c r="AI653" i="1"/>
  <c r="AC653" i="1" s="1"/>
  <c r="AI652" i="1"/>
  <c r="AC652" i="1" s="1"/>
  <c r="AI651" i="1"/>
  <c r="AC651" i="1" s="1"/>
  <c r="AI650" i="1"/>
  <c r="AC650" i="1" s="1"/>
  <c r="AI649" i="1"/>
  <c r="AC649" i="1" s="1"/>
  <c r="AI648" i="1"/>
  <c r="AC648" i="1" s="1"/>
  <c r="AI647" i="1"/>
  <c r="AC647" i="1" s="1"/>
  <c r="AI646" i="1"/>
  <c r="AC646" i="1" s="1"/>
  <c r="AI645" i="1"/>
  <c r="AC645" i="1" s="1"/>
  <c r="AI644" i="1"/>
  <c r="AC644" i="1" s="1"/>
  <c r="AI643" i="1"/>
  <c r="AC643" i="1" s="1"/>
  <c r="AI642" i="1"/>
  <c r="AC642" i="1" s="1"/>
  <c r="AI641" i="1"/>
  <c r="AC641" i="1" s="1"/>
  <c r="AI640" i="1"/>
  <c r="AC640" i="1" s="1"/>
  <c r="AI639" i="1"/>
  <c r="AC639" i="1" s="1"/>
  <c r="AI638" i="1"/>
  <c r="AC638" i="1" s="1"/>
  <c r="AI637" i="1"/>
  <c r="AC637" i="1" s="1"/>
  <c r="AI636" i="1"/>
  <c r="AC636" i="1" s="1"/>
  <c r="AI635" i="1"/>
  <c r="AC635" i="1" s="1"/>
  <c r="AI634" i="1"/>
  <c r="AC634" i="1" s="1"/>
  <c r="AI633" i="1"/>
  <c r="AC633" i="1" s="1"/>
  <c r="AI632" i="1"/>
  <c r="AC632" i="1" s="1"/>
  <c r="AI631" i="1"/>
  <c r="AC631" i="1" s="1"/>
  <c r="AI630" i="1"/>
  <c r="AC630" i="1" s="1"/>
  <c r="AI629" i="1"/>
  <c r="AC629" i="1" s="1"/>
  <c r="AI628" i="1"/>
  <c r="AC628" i="1" s="1"/>
  <c r="AI627" i="1"/>
  <c r="AC627" i="1" s="1"/>
  <c r="AI626" i="1"/>
  <c r="AC626" i="1" s="1"/>
  <c r="AI625" i="1"/>
  <c r="AC625" i="1" s="1"/>
  <c r="AI624" i="1"/>
  <c r="AC624" i="1" s="1"/>
  <c r="AI623" i="1"/>
  <c r="AC623" i="1" s="1"/>
  <c r="AI622" i="1"/>
  <c r="AC622" i="1" s="1"/>
  <c r="AI621" i="1"/>
  <c r="AC621" i="1" s="1"/>
  <c r="AI620" i="1"/>
  <c r="AC620" i="1" s="1"/>
  <c r="AI619" i="1"/>
  <c r="AC619" i="1" s="1"/>
  <c r="AI618" i="1"/>
  <c r="AC618" i="1" s="1"/>
  <c r="AI617" i="1"/>
  <c r="AC617" i="1" s="1"/>
  <c r="AI616" i="1"/>
  <c r="AC616" i="1" s="1"/>
  <c r="AI615" i="1"/>
  <c r="AC615" i="1" s="1"/>
  <c r="AI614" i="1"/>
  <c r="AC614" i="1" s="1"/>
  <c r="AI613" i="1"/>
  <c r="AC613" i="1" s="1"/>
  <c r="N755" i="1"/>
  <c r="C786" i="15" s="1"/>
  <c r="N754" i="1"/>
  <c r="C785" i="15" s="1"/>
  <c r="N753" i="1"/>
  <c r="C784" i="15" s="1"/>
  <c r="N752" i="1"/>
  <c r="C783" i="15" s="1"/>
  <c r="N751" i="1"/>
  <c r="C782" i="15" s="1"/>
  <c r="N750" i="1"/>
  <c r="C781" i="15" s="1"/>
  <c r="N749" i="1"/>
  <c r="C780" i="15" s="1"/>
  <c r="N748" i="1"/>
  <c r="C779" i="15" s="1"/>
  <c r="N747" i="1"/>
  <c r="C778" i="15" s="1"/>
  <c r="N746" i="1"/>
  <c r="C777" i="15" s="1"/>
  <c r="N745" i="1"/>
  <c r="C776" i="15" s="1"/>
  <c r="N744" i="1"/>
  <c r="C775" i="15" s="1"/>
  <c r="N743" i="1"/>
  <c r="C774" i="15" s="1"/>
  <c r="N742" i="1"/>
  <c r="C773" i="15" s="1"/>
  <c r="N741" i="1"/>
  <c r="C772" i="15" s="1"/>
  <c r="N740" i="1"/>
  <c r="C771" i="15" s="1"/>
  <c r="N739" i="1"/>
  <c r="C770" i="15" s="1"/>
  <c r="N738" i="1"/>
  <c r="C769" i="15" s="1"/>
  <c r="N737" i="1"/>
  <c r="C768" i="15" s="1"/>
  <c r="N736" i="1"/>
  <c r="C767" i="15" s="1"/>
  <c r="N735" i="1"/>
  <c r="C766" i="15" s="1"/>
  <c r="N734" i="1"/>
  <c r="C765" i="15" s="1"/>
  <c r="N733" i="1"/>
  <c r="C764" i="15" s="1"/>
  <c r="N732" i="1"/>
  <c r="C763" i="15" s="1"/>
  <c r="N731" i="1"/>
  <c r="C762" i="15" s="1"/>
  <c r="N730" i="1"/>
  <c r="C761" i="15" s="1"/>
  <c r="N729" i="1"/>
  <c r="C760" i="15" s="1"/>
  <c r="N728" i="1"/>
  <c r="C759" i="15" s="1"/>
  <c r="N727" i="1"/>
  <c r="C758" i="15" s="1"/>
  <c r="N726" i="1"/>
  <c r="C757" i="15" s="1"/>
  <c r="N725" i="1"/>
  <c r="C756" i="15" s="1"/>
  <c r="N724" i="1"/>
  <c r="C755" i="15" s="1"/>
  <c r="N723" i="1"/>
  <c r="C754" i="15" s="1"/>
  <c r="N722" i="1"/>
  <c r="C753" i="15" s="1"/>
  <c r="N721" i="1"/>
  <c r="C752" i="15" s="1"/>
  <c r="N720" i="1"/>
  <c r="C751" i="15" s="1"/>
  <c r="N719" i="1"/>
  <c r="C750" i="15" s="1"/>
  <c r="N718" i="1"/>
  <c r="C749" i="15" s="1"/>
  <c r="N717" i="1"/>
  <c r="C748" i="15" s="1"/>
  <c r="N716" i="1"/>
  <c r="C747" i="15" s="1"/>
  <c r="N715" i="1"/>
  <c r="C746" i="15" s="1"/>
  <c r="N714" i="1"/>
  <c r="C745" i="15" s="1"/>
  <c r="N713" i="1"/>
  <c r="C744" i="15" s="1"/>
  <c r="N712" i="1"/>
  <c r="C743" i="15" s="1"/>
  <c r="N711" i="1"/>
  <c r="C742" i="15" s="1"/>
  <c r="N710" i="1"/>
  <c r="C741" i="15" s="1"/>
  <c r="N709" i="1"/>
  <c r="C740" i="15" s="1"/>
  <c r="N708" i="1"/>
  <c r="C739" i="15" s="1"/>
  <c r="N707" i="1"/>
  <c r="C738" i="15" s="1"/>
  <c r="N706" i="1"/>
  <c r="C737" i="15" s="1"/>
  <c r="N705" i="1"/>
  <c r="C736" i="15" s="1"/>
  <c r="N704" i="1"/>
  <c r="C735" i="15" s="1"/>
  <c r="N703" i="1"/>
  <c r="C734" i="15" s="1"/>
  <c r="N702" i="1"/>
  <c r="C733" i="15" s="1"/>
  <c r="N701" i="1"/>
  <c r="C732" i="15" s="1"/>
  <c r="N700" i="1"/>
  <c r="C731" i="15" s="1"/>
  <c r="N699" i="1"/>
  <c r="C730" i="15" s="1"/>
  <c r="N698" i="1"/>
  <c r="C729" i="15" s="1"/>
  <c r="N697" i="1"/>
  <c r="C728" i="15" s="1"/>
  <c r="N696" i="1"/>
  <c r="C727" i="15" s="1"/>
  <c r="N695" i="1"/>
  <c r="C726" i="15" s="1"/>
  <c r="N694" i="1"/>
  <c r="C725" i="15" s="1"/>
  <c r="N693" i="1"/>
  <c r="C724" i="15" s="1"/>
  <c r="N692" i="1"/>
  <c r="C723" i="15" s="1"/>
  <c r="N691" i="1"/>
  <c r="C722" i="15" s="1"/>
  <c r="N690" i="1"/>
  <c r="C721" i="15" s="1"/>
  <c r="N689" i="1"/>
  <c r="C720" i="15" s="1"/>
  <c r="N688" i="1"/>
  <c r="C719" i="15" s="1"/>
  <c r="N687" i="1"/>
  <c r="C718" i="15" s="1"/>
  <c r="N686" i="1"/>
  <c r="C717" i="15" s="1"/>
  <c r="N685" i="1"/>
  <c r="C716" i="15" s="1"/>
  <c r="N684" i="1"/>
  <c r="C715" i="15" s="1"/>
  <c r="N683" i="1"/>
  <c r="C714" i="15" s="1"/>
  <c r="N682" i="1"/>
  <c r="C713" i="15" s="1"/>
  <c r="N681" i="1"/>
  <c r="C712" i="15" s="1"/>
  <c r="N680" i="1"/>
  <c r="C711" i="15" s="1"/>
  <c r="N679" i="1"/>
  <c r="C710" i="15" s="1"/>
  <c r="N678" i="1"/>
  <c r="C709" i="15" s="1"/>
  <c r="N677" i="1"/>
  <c r="C708" i="15" s="1"/>
  <c r="N676" i="1"/>
  <c r="C707" i="15" s="1"/>
  <c r="N675" i="1"/>
  <c r="C706" i="15" s="1"/>
  <c r="N674" i="1"/>
  <c r="C705" i="15" s="1"/>
  <c r="N673" i="1"/>
  <c r="C704" i="15" s="1"/>
  <c r="N672" i="1"/>
  <c r="C703" i="15" s="1"/>
  <c r="N671" i="1"/>
  <c r="C702" i="15" s="1"/>
  <c r="N670" i="1"/>
  <c r="C701" i="15" s="1"/>
  <c r="N669" i="1"/>
  <c r="C700" i="15" s="1"/>
  <c r="N668" i="1"/>
  <c r="C699" i="15" s="1"/>
  <c r="N667" i="1"/>
  <c r="C698" i="15" s="1"/>
  <c r="N666" i="1"/>
  <c r="C697" i="15" s="1"/>
  <c r="N665" i="1"/>
  <c r="C696" i="15" s="1"/>
  <c r="N664" i="1"/>
  <c r="C695" i="15" s="1"/>
  <c r="N663" i="1"/>
  <c r="C694" i="15" s="1"/>
  <c r="N662" i="1"/>
  <c r="C693" i="15" s="1"/>
  <c r="N661" i="1"/>
  <c r="C692" i="15" s="1"/>
  <c r="N660" i="1"/>
  <c r="C691" i="15" s="1"/>
  <c r="N659" i="1"/>
  <c r="C690" i="15" s="1"/>
  <c r="N658" i="1"/>
  <c r="C689" i="15" s="1"/>
  <c r="N657" i="1"/>
  <c r="C688" i="15" s="1"/>
  <c r="N656" i="1"/>
  <c r="C687" i="15" s="1"/>
  <c r="N655" i="1"/>
  <c r="C686" i="15" s="1"/>
  <c r="N654" i="1"/>
  <c r="C685" i="15" s="1"/>
  <c r="N653" i="1"/>
  <c r="C684" i="15" s="1"/>
  <c r="N652" i="1"/>
  <c r="C683" i="15" s="1"/>
  <c r="N651" i="1"/>
  <c r="C682" i="15" s="1"/>
  <c r="N650" i="1"/>
  <c r="C681" i="15" s="1"/>
  <c r="N649" i="1"/>
  <c r="C680" i="15" s="1"/>
  <c r="N648" i="1"/>
  <c r="C679" i="15" s="1"/>
  <c r="N647" i="1"/>
  <c r="C678" i="15" s="1"/>
  <c r="N646" i="1"/>
  <c r="C677" i="15" s="1"/>
  <c r="N645" i="1"/>
  <c r="C676" i="15" s="1"/>
  <c r="N644" i="1"/>
  <c r="C675" i="15" s="1"/>
  <c r="N643" i="1"/>
  <c r="C674" i="15" s="1"/>
  <c r="N642" i="1"/>
  <c r="C673" i="15" s="1"/>
  <c r="N641" i="1"/>
  <c r="C672" i="15" s="1"/>
  <c r="N640" i="1"/>
  <c r="C671" i="15" s="1"/>
  <c r="N639" i="1"/>
  <c r="C670" i="15" s="1"/>
  <c r="N638" i="1"/>
  <c r="C669" i="15" s="1"/>
  <c r="N637" i="1"/>
  <c r="C668" i="15" s="1"/>
  <c r="N636" i="1"/>
  <c r="C667" i="15" s="1"/>
  <c r="N635" i="1"/>
  <c r="C666" i="15" s="1"/>
  <c r="N634" i="1"/>
  <c r="C665" i="15" s="1"/>
  <c r="N633" i="1"/>
  <c r="C664" i="15" s="1"/>
  <c r="N632" i="1"/>
  <c r="C663" i="15" s="1"/>
  <c r="N631" i="1"/>
  <c r="C662" i="15" s="1"/>
  <c r="N630" i="1"/>
  <c r="C661" i="15" s="1"/>
  <c r="N629" i="1"/>
  <c r="C660" i="15" s="1"/>
  <c r="N628" i="1"/>
  <c r="C659" i="15" s="1"/>
  <c r="N627" i="1"/>
  <c r="C658" i="15" s="1"/>
  <c r="N626" i="1"/>
  <c r="C657" i="15" s="1"/>
  <c r="N625" i="1"/>
  <c r="C656" i="15" s="1"/>
  <c r="N624" i="1"/>
  <c r="C655" i="15" s="1"/>
  <c r="N623" i="1"/>
  <c r="C654" i="15" s="1"/>
  <c r="N622" i="1"/>
  <c r="C653" i="15" s="1"/>
  <c r="N621" i="1"/>
  <c r="C652" i="15" s="1"/>
  <c r="N620" i="1"/>
  <c r="C651" i="15" s="1"/>
  <c r="N619" i="1"/>
  <c r="C650" i="15" s="1"/>
  <c r="N618" i="1"/>
  <c r="C649" i="15" s="1"/>
  <c r="N617" i="1"/>
  <c r="C648" i="15" s="1"/>
  <c r="N616" i="1"/>
  <c r="C647" i="15" s="1"/>
  <c r="N615" i="1"/>
  <c r="C646" i="15" s="1"/>
  <c r="N614" i="1"/>
  <c r="C645" i="15" s="1"/>
  <c r="N613" i="1"/>
  <c r="C644" i="15" s="1"/>
  <c r="N612" i="1"/>
  <c r="C643" i="15" s="1"/>
  <c r="AI612" i="1"/>
  <c r="AC612" i="1" s="1"/>
  <c r="B760" i="3"/>
  <c r="A760" i="3"/>
  <c r="B759" i="3"/>
  <c r="A759" i="3"/>
  <c r="B758" i="3"/>
  <c r="A758" i="3"/>
  <c r="B757" i="3"/>
  <c r="A757" i="3"/>
  <c r="B756" i="3"/>
  <c r="A756" i="3"/>
  <c r="B755" i="3"/>
  <c r="A755" i="3"/>
  <c r="B754" i="3"/>
  <c r="A754" i="3"/>
  <c r="B753" i="3"/>
  <c r="A753" i="3"/>
  <c r="B752" i="3"/>
  <c r="A752" i="3"/>
  <c r="B751" i="3"/>
  <c r="A751" i="3"/>
  <c r="B750" i="3"/>
  <c r="A750" i="3"/>
  <c r="B749" i="3"/>
  <c r="A749" i="3"/>
  <c r="B748" i="3"/>
  <c r="A748" i="3"/>
  <c r="B747" i="3"/>
  <c r="A747" i="3"/>
  <c r="B746" i="3"/>
  <c r="A746" i="3"/>
  <c r="B745" i="3"/>
  <c r="A745" i="3"/>
  <c r="B744" i="3"/>
  <c r="A744" i="3"/>
  <c r="B743" i="3"/>
  <c r="A743" i="3"/>
  <c r="B742" i="3"/>
  <c r="A742" i="3"/>
  <c r="B741" i="3"/>
  <c r="A741" i="3"/>
  <c r="B740" i="3"/>
  <c r="A740" i="3"/>
  <c r="B739" i="3"/>
  <c r="A739" i="3"/>
  <c r="B738" i="3"/>
  <c r="A738" i="3"/>
  <c r="B737" i="3"/>
  <c r="A737" i="3"/>
  <c r="B736" i="3"/>
  <c r="A736" i="3"/>
  <c r="B735" i="3"/>
  <c r="A735" i="3"/>
  <c r="B734" i="3"/>
  <c r="A734" i="3"/>
  <c r="B733" i="3"/>
  <c r="A733" i="3"/>
  <c r="B732" i="3"/>
  <c r="A732" i="3"/>
  <c r="B731" i="3"/>
  <c r="A731" i="3"/>
  <c r="B730" i="3"/>
  <c r="A730" i="3"/>
  <c r="B729" i="3"/>
  <c r="A729" i="3"/>
  <c r="B728" i="3"/>
  <c r="A728" i="3"/>
  <c r="B727" i="3"/>
  <c r="A727" i="3"/>
  <c r="B726" i="3"/>
  <c r="A726" i="3"/>
  <c r="B725" i="3"/>
  <c r="A725" i="3"/>
  <c r="B724" i="3"/>
  <c r="A724" i="3"/>
  <c r="B723" i="3"/>
  <c r="A723" i="3"/>
  <c r="B722" i="3"/>
  <c r="A722" i="3"/>
  <c r="B721" i="3"/>
  <c r="A721" i="3"/>
  <c r="B720" i="3"/>
  <c r="A720" i="3"/>
  <c r="B719" i="3"/>
  <c r="A719" i="3"/>
  <c r="B718" i="3"/>
  <c r="A718" i="3"/>
  <c r="B717" i="3"/>
  <c r="A717" i="3"/>
  <c r="B716" i="3"/>
  <c r="A716" i="3"/>
  <c r="B715" i="3"/>
  <c r="A715" i="3"/>
  <c r="B714" i="3"/>
  <c r="A714" i="3"/>
  <c r="B713" i="3"/>
  <c r="A713" i="3"/>
  <c r="B712" i="3"/>
  <c r="A712" i="3"/>
  <c r="B711" i="3"/>
  <c r="A711" i="3"/>
  <c r="B710" i="3"/>
  <c r="A710" i="3"/>
  <c r="B709" i="3"/>
  <c r="A709" i="3"/>
  <c r="B708" i="3"/>
  <c r="A708" i="3"/>
  <c r="B707" i="3"/>
  <c r="A707" i="3"/>
  <c r="B706" i="3"/>
  <c r="A706" i="3"/>
  <c r="B705" i="3"/>
  <c r="A705" i="3"/>
  <c r="B704" i="3"/>
  <c r="A704" i="3"/>
  <c r="B703" i="3"/>
  <c r="A703" i="3"/>
  <c r="B702" i="3"/>
  <c r="A702" i="3"/>
  <c r="B701" i="3"/>
  <c r="A701" i="3"/>
  <c r="B700" i="3"/>
  <c r="A700" i="3"/>
  <c r="B699" i="3"/>
  <c r="A699" i="3"/>
  <c r="B698" i="3"/>
  <c r="A698" i="3"/>
  <c r="B697" i="3"/>
  <c r="A697" i="3"/>
  <c r="B696" i="3"/>
  <c r="A696" i="3"/>
  <c r="B695" i="3"/>
  <c r="A695" i="3"/>
  <c r="B694" i="3"/>
  <c r="A694" i="3"/>
  <c r="B693" i="3"/>
  <c r="A693" i="3"/>
  <c r="B692" i="3"/>
  <c r="A692" i="3"/>
  <c r="B691" i="3"/>
  <c r="A691" i="3"/>
  <c r="B690" i="3"/>
  <c r="A690" i="3"/>
  <c r="B689" i="3"/>
  <c r="A689" i="3"/>
  <c r="B688" i="3"/>
  <c r="A688" i="3"/>
  <c r="B687" i="3"/>
  <c r="A687" i="3"/>
  <c r="B686" i="3"/>
  <c r="A686" i="3"/>
  <c r="B685" i="3"/>
  <c r="A685" i="3"/>
  <c r="B684" i="3"/>
  <c r="A684" i="3"/>
  <c r="B683" i="3"/>
  <c r="A683" i="3"/>
  <c r="B682" i="3"/>
  <c r="A682" i="3"/>
  <c r="B681" i="3"/>
  <c r="A681" i="3"/>
  <c r="B680" i="3"/>
  <c r="A680" i="3"/>
  <c r="B679" i="3"/>
  <c r="A679" i="3"/>
  <c r="B678" i="3"/>
  <c r="A678" i="3"/>
  <c r="B677" i="3"/>
  <c r="A677" i="3"/>
  <c r="B676" i="3"/>
  <c r="A676" i="3"/>
  <c r="B675" i="3"/>
  <c r="A675" i="3"/>
  <c r="B674" i="3"/>
  <c r="A674" i="3"/>
  <c r="B673" i="3"/>
  <c r="A673" i="3"/>
  <c r="B672" i="3"/>
  <c r="A672" i="3"/>
  <c r="B671" i="3"/>
  <c r="A671" i="3"/>
  <c r="B670" i="3"/>
  <c r="A670" i="3"/>
  <c r="B669" i="3"/>
  <c r="A669" i="3"/>
  <c r="B668" i="3"/>
  <c r="A668" i="3"/>
  <c r="B667" i="3"/>
  <c r="A667" i="3"/>
  <c r="B666" i="3"/>
  <c r="A666" i="3"/>
  <c r="B665" i="3"/>
  <c r="A665" i="3"/>
  <c r="B664" i="3"/>
  <c r="A664" i="3"/>
  <c r="B663" i="3"/>
  <c r="A663" i="3"/>
  <c r="B662" i="3"/>
  <c r="A662" i="3"/>
  <c r="B661" i="3"/>
  <c r="A661" i="3"/>
  <c r="B660" i="3"/>
  <c r="A660" i="3"/>
  <c r="B659" i="3"/>
  <c r="A659" i="3"/>
  <c r="B658" i="3"/>
  <c r="A658" i="3"/>
  <c r="B657" i="3"/>
  <c r="A657" i="3"/>
  <c r="B656" i="3"/>
  <c r="A656" i="3"/>
  <c r="B655" i="3"/>
  <c r="A655" i="3"/>
  <c r="B654" i="3"/>
  <c r="A654" i="3"/>
  <c r="B653" i="3"/>
  <c r="A653" i="3"/>
  <c r="B652" i="3"/>
  <c r="A652" i="3"/>
  <c r="B651" i="3"/>
  <c r="A651" i="3"/>
  <c r="B650" i="3"/>
  <c r="A650" i="3"/>
  <c r="B649" i="3"/>
  <c r="A649" i="3"/>
  <c r="B648" i="3"/>
  <c r="A648" i="3"/>
  <c r="B647" i="3"/>
  <c r="A647" i="3"/>
  <c r="B646" i="3"/>
  <c r="A646" i="3"/>
  <c r="B645" i="3"/>
  <c r="A645" i="3"/>
  <c r="B644" i="3"/>
  <c r="A644" i="3"/>
  <c r="B643" i="3"/>
  <c r="A643" i="3"/>
  <c r="B642" i="3"/>
  <c r="A642" i="3"/>
  <c r="B641" i="3"/>
  <c r="A641" i="3"/>
  <c r="B640" i="3"/>
  <c r="A640" i="3"/>
  <c r="B639" i="3"/>
  <c r="A639" i="3"/>
  <c r="B638" i="3"/>
  <c r="A638" i="3"/>
  <c r="B637" i="3"/>
  <c r="A637" i="3"/>
  <c r="B636" i="3"/>
  <c r="A636" i="3"/>
  <c r="B635" i="3"/>
  <c r="A635" i="3"/>
  <c r="B634" i="3"/>
  <c r="A634" i="3"/>
  <c r="B633" i="3"/>
  <c r="A633" i="3"/>
  <c r="B632" i="3"/>
  <c r="A632" i="3"/>
  <c r="B631" i="3"/>
  <c r="A631" i="3"/>
  <c r="B630" i="3"/>
  <c r="A630" i="3"/>
  <c r="B629" i="3"/>
  <c r="A629" i="3"/>
  <c r="B628" i="3"/>
  <c r="A628" i="3"/>
  <c r="B627" i="3"/>
  <c r="A627" i="3"/>
  <c r="B626" i="3"/>
  <c r="A626" i="3"/>
  <c r="B625" i="3"/>
  <c r="A625" i="3"/>
  <c r="B624" i="3"/>
  <c r="A624" i="3"/>
  <c r="B623" i="3"/>
  <c r="A623" i="3"/>
  <c r="B622" i="3"/>
  <c r="A622" i="3"/>
  <c r="B621" i="3"/>
  <c r="A621" i="3"/>
  <c r="B620" i="3"/>
  <c r="A620" i="3"/>
  <c r="B619" i="3"/>
  <c r="A619" i="3"/>
  <c r="B618" i="3"/>
  <c r="A618" i="3"/>
  <c r="B617" i="3"/>
  <c r="A617" i="3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A616" i="3"/>
  <c r="J615" i="3"/>
  <c r="H615" i="3"/>
  <c r="J616" i="3"/>
  <c r="H616" i="3"/>
  <c r="B616" i="3"/>
  <c r="B615" i="3"/>
  <c r="A615" i="3"/>
  <c r="BE611" i="1"/>
  <c r="BA611" i="1"/>
  <c r="AZ611" i="1"/>
  <c r="AY611" i="1"/>
  <c r="BE610" i="1"/>
  <c r="BA610" i="1"/>
  <c r="AZ610" i="1"/>
  <c r="AY610" i="1"/>
  <c r="AI611" i="1"/>
  <c r="AC611" i="1" s="1"/>
  <c r="M611" i="1" s="1"/>
  <c r="B642" i="15" s="1"/>
  <c r="Q611" i="1"/>
  <c r="Q610" i="1"/>
  <c r="AI610" i="1"/>
  <c r="AC610" i="1" s="1"/>
  <c r="M610" i="1" s="1"/>
  <c r="B641" i="15" s="1"/>
  <c r="M700" i="1" l="1"/>
  <c r="B731" i="15" s="1"/>
  <c r="M789" i="1"/>
  <c r="B814" i="15" s="1"/>
  <c r="D795" i="3"/>
  <c r="D797" i="3"/>
  <c r="M792" i="1"/>
  <c r="B817" i="15" s="1"/>
  <c r="M668" i="1"/>
  <c r="B699" i="15" s="1"/>
  <c r="M618" i="1"/>
  <c r="B649" i="15" s="1"/>
  <c r="M620" i="1"/>
  <c r="B651" i="15" s="1"/>
  <c r="M716" i="1"/>
  <c r="B747" i="15" s="1"/>
  <c r="D796" i="3"/>
  <c r="M791" i="1"/>
  <c r="B816" i="15" s="1"/>
  <c r="M636" i="1"/>
  <c r="B667" i="15" s="1"/>
  <c r="M782" i="1"/>
  <c r="B807" i="15" s="1"/>
  <c r="M783" i="1"/>
  <c r="B808" i="15" s="1"/>
  <c r="M676" i="1"/>
  <c r="B707" i="15" s="1"/>
  <c r="M692" i="1"/>
  <c r="B723" i="15" s="1"/>
  <c r="M706" i="1"/>
  <c r="B737" i="15" s="1"/>
  <c r="M787" i="1"/>
  <c r="B812" i="15" s="1"/>
  <c r="M780" i="1"/>
  <c r="B805" i="15" s="1"/>
  <c r="M788" i="1"/>
  <c r="B813" i="15" s="1"/>
  <c r="M650" i="1"/>
  <c r="B681" i="15" s="1"/>
  <c r="M628" i="1"/>
  <c r="B659" i="15" s="1"/>
  <c r="M779" i="1"/>
  <c r="B804" i="15" s="1"/>
  <c r="M644" i="1"/>
  <c r="B675" i="15" s="1"/>
  <c r="M652" i="1"/>
  <c r="B683" i="15" s="1"/>
  <c r="M660" i="1"/>
  <c r="B691" i="15" s="1"/>
  <c r="M682" i="1"/>
  <c r="B713" i="15" s="1"/>
  <c r="M732" i="1"/>
  <c r="B763" i="15" s="1"/>
  <c r="M785" i="1"/>
  <c r="B810" i="15" s="1"/>
  <c r="M642" i="1"/>
  <c r="B673" i="15" s="1"/>
  <c r="M674" i="1"/>
  <c r="B705" i="15" s="1"/>
  <c r="M656" i="1"/>
  <c r="B687" i="15" s="1"/>
  <c r="M704" i="1"/>
  <c r="B735" i="15" s="1"/>
  <c r="M786" i="1"/>
  <c r="B811" i="15" s="1"/>
  <c r="M616" i="1"/>
  <c r="B647" i="15" s="1"/>
  <c r="M624" i="1"/>
  <c r="B655" i="15" s="1"/>
  <c r="M684" i="1"/>
  <c r="B715" i="15" s="1"/>
  <c r="M752" i="1"/>
  <c r="B783" i="15" s="1"/>
  <c r="M632" i="1"/>
  <c r="B663" i="15" s="1"/>
  <c r="M720" i="1"/>
  <c r="B751" i="15" s="1"/>
  <c r="M626" i="1"/>
  <c r="B657" i="15" s="1"/>
  <c r="M634" i="1"/>
  <c r="B665" i="15" s="1"/>
  <c r="M658" i="1"/>
  <c r="B689" i="15" s="1"/>
  <c r="M666" i="1"/>
  <c r="B697" i="15" s="1"/>
  <c r="M690" i="1"/>
  <c r="B721" i="15" s="1"/>
  <c r="M698" i="1"/>
  <c r="B729" i="15" s="1"/>
  <c r="M714" i="1"/>
  <c r="B745" i="15" s="1"/>
  <c r="M722" i="1"/>
  <c r="B753" i="15" s="1"/>
  <c r="M730" i="1"/>
  <c r="B761" i="15" s="1"/>
  <c r="M738" i="1"/>
  <c r="B769" i="15" s="1"/>
  <c r="M746" i="1"/>
  <c r="B777" i="15" s="1"/>
  <c r="M640" i="1"/>
  <c r="B671" i="15" s="1"/>
  <c r="M672" i="1"/>
  <c r="B703" i="15" s="1"/>
  <c r="M688" i="1"/>
  <c r="B719" i="15" s="1"/>
  <c r="M781" i="1"/>
  <c r="B806" i="15" s="1"/>
  <c r="M790" i="1"/>
  <c r="B815" i="15" s="1"/>
  <c r="M648" i="1"/>
  <c r="B679" i="15" s="1"/>
  <c r="M736" i="1"/>
  <c r="B767" i="15" s="1"/>
  <c r="M784" i="1"/>
  <c r="B809" i="15" s="1"/>
  <c r="F616" i="3"/>
  <c r="M625" i="1"/>
  <c r="B656" i="15" s="1"/>
  <c r="M664" i="1"/>
  <c r="B695" i="15" s="1"/>
  <c r="M680" i="1"/>
  <c r="B711" i="15" s="1"/>
  <c r="M696" i="1"/>
  <c r="B727" i="15" s="1"/>
  <c r="M712" i="1"/>
  <c r="B743" i="15" s="1"/>
  <c r="M728" i="1"/>
  <c r="B759" i="15" s="1"/>
  <c r="M744" i="1"/>
  <c r="B775" i="15" s="1"/>
  <c r="M748" i="1"/>
  <c r="B779" i="15" s="1"/>
  <c r="M617" i="1"/>
  <c r="B648" i="15" s="1"/>
  <c r="M633" i="1"/>
  <c r="B664" i="15" s="1"/>
  <c r="M649" i="1"/>
  <c r="B680" i="15" s="1"/>
  <c r="M665" i="1"/>
  <c r="B696" i="15" s="1"/>
  <c r="M681" i="1"/>
  <c r="B712" i="15" s="1"/>
  <c r="M697" i="1"/>
  <c r="B728" i="15" s="1"/>
  <c r="M713" i="1"/>
  <c r="B744" i="15" s="1"/>
  <c r="M729" i="1"/>
  <c r="B760" i="15" s="1"/>
  <c r="M745" i="1"/>
  <c r="B776" i="15" s="1"/>
  <c r="M641" i="1"/>
  <c r="B672" i="15" s="1"/>
  <c r="M657" i="1"/>
  <c r="B688" i="15" s="1"/>
  <c r="M673" i="1"/>
  <c r="B704" i="15" s="1"/>
  <c r="M689" i="1"/>
  <c r="B720" i="15" s="1"/>
  <c r="M705" i="1"/>
  <c r="B736" i="15" s="1"/>
  <c r="M708" i="1"/>
  <c r="B739" i="15" s="1"/>
  <c r="M721" i="1"/>
  <c r="B752" i="15" s="1"/>
  <c r="M724" i="1"/>
  <c r="B755" i="15" s="1"/>
  <c r="M737" i="1"/>
  <c r="B768" i="15" s="1"/>
  <c r="M740" i="1"/>
  <c r="B771" i="15" s="1"/>
  <c r="M753" i="1"/>
  <c r="B784" i="15" s="1"/>
  <c r="M614" i="1"/>
  <c r="B645" i="15" s="1"/>
  <c r="M630" i="1"/>
  <c r="B661" i="15" s="1"/>
  <c r="M654" i="1"/>
  <c r="B685" i="15" s="1"/>
  <c r="M662" i="1"/>
  <c r="B693" i="15" s="1"/>
  <c r="M686" i="1"/>
  <c r="B717" i="15" s="1"/>
  <c r="M710" i="1"/>
  <c r="B741" i="15" s="1"/>
  <c r="M750" i="1"/>
  <c r="B781" i="15" s="1"/>
  <c r="M627" i="1"/>
  <c r="B658" i="15" s="1"/>
  <c r="M643" i="1"/>
  <c r="B674" i="15" s="1"/>
  <c r="M667" i="1"/>
  <c r="B698" i="15" s="1"/>
  <c r="M675" i="1"/>
  <c r="B706" i="15" s="1"/>
  <c r="M683" i="1"/>
  <c r="B714" i="15" s="1"/>
  <c r="M715" i="1"/>
  <c r="B746" i="15" s="1"/>
  <c r="M723" i="1"/>
  <c r="B754" i="15" s="1"/>
  <c r="M613" i="1"/>
  <c r="B644" i="15" s="1"/>
  <c r="M621" i="1"/>
  <c r="B652" i="15" s="1"/>
  <c r="M629" i="1"/>
  <c r="B660" i="15" s="1"/>
  <c r="M637" i="1"/>
  <c r="B668" i="15" s="1"/>
  <c r="M645" i="1"/>
  <c r="B676" i="15" s="1"/>
  <c r="M653" i="1"/>
  <c r="B684" i="15" s="1"/>
  <c r="M661" i="1"/>
  <c r="B692" i="15" s="1"/>
  <c r="M669" i="1"/>
  <c r="B700" i="15" s="1"/>
  <c r="M677" i="1"/>
  <c r="B708" i="15" s="1"/>
  <c r="M685" i="1"/>
  <c r="B716" i="15" s="1"/>
  <c r="M693" i="1"/>
  <c r="B724" i="15" s="1"/>
  <c r="M701" i="1"/>
  <c r="B732" i="15" s="1"/>
  <c r="M709" i="1"/>
  <c r="B740" i="15" s="1"/>
  <c r="M717" i="1"/>
  <c r="B748" i="15" s="1"/>
  <c r="M725" i="1"/>
  <c r="B756" i="15" s="1"/>
  <c r="M733" i="1"/>
  <c r="B764" i="15" s="1"/>
  <c r="M741" i="1"/>
  <c r="B772" i="15" s="1"/>
  <c r="M749" i="1"/>
  <c r="B780" i="15" s="1"/>
  <c r="M755" i="1"/>
  <c r="B786" i="15" s="1"/>
  <c r="M622" i="1"/>
  <c r="B653" i="15" s="1"/>
  <c r="M638" i="1"/>
  <c r="B669" i="15" s="1"/>
  <c r="M646" i="1"/>
  <c r="B677" i="15" s="1"/>
  <c r="M670" i="1"/>
  <c r="B701" i="15" s="1"/>
  <c r="M678" i="1"/>
  <c r="B709" i="15" s="1"/>
  <c r="M694" i="1"/>
  <c r="B725" i="15" s="1"/>
  <c r="M702" i="1"/>
  <c r="B733" i="15" s="1"/>
  <c r="M718" i="1"/>
  <c r="B749" i="15" s="1"/>
  <c r="M726" i="1"/>
  <c r="B757" i="15" s="1"/>
  <c r="M734" i="1"/>
  <c r="B765" i="15" s="1"/>
  <c r="M742" i="1"/>
  <c r="B773" i="15" s="1"/>
  <c r="M619" i="1"/>
  <c r="B650" i="15" s="1"/>
  <c r="M635" i="1"/>
  <c r="B666" i="15" s="1"/>
  <c r="M651" i="1"/>
  <c r="B682" i="15" s="1"/>
  <c r="M659" i="1"/>
  <c r="B690" i="15" s="1"/>
  <c r="M691" i="1"/>
  <c r="B722" i="15" s="1"/>
  <c r="M699" i="1"/>
  <c r="B730" i="15" s="1"/>
  <c r="M707" i="1"/>
  <c r="B738" i="15" s="1"/>
  <c r="M731" i="1"/>
  <c r="B762" i="15" s="1"/>
  <c r="M739" i="1"/>
  <c r="B770" i="15" s="1"/>
  <c r="M747" i="1"/>
  <c r="B778" i="15" s="1"/>
  <c r="M754" i="1"/>
  <c r="B785" i="15" s="1"/>
  <c r="F615" i="3"/>
  <c r="M615" i="1"/>
  <c r="B646" i="15" s="1"/>
  <c r="M623" i="1"/>
  <c r="B654" i="15" s="1"/>
  <c r="M631" i="1"/>
  <c r="B662" i="15" s="1"/>
  <c r="M639" i="1"/>
  <c r="B670" i="15" s="1"/>
  <c r="M647" i="1"/>
  <c r="B678" i="15" s="1"/>
  <c r="M655" i="1"/>
  <c r="B686" i="15" s="1"/>
  <c r="M663" i="1"/>
  <c r="B694" i="15" s="1"/>
  <c r="M671" i="1"/>
  <c r="B702" i="15" s="1"/>
  <c r="M679" i="1"/>
  <c r="B710" i="15" s="1"/>
  <c r="M687" i="1"/>
  <c r="B718" i="15" s="1"/>
  <c r="M695" i="1"/>
  <c r="B726" i="15" s="1"/>
  <c r="M703" i="1"/>
  <c r="B734" i="15" s="1"/>
  <c r="M711" i="1"/>
  <c r="B742" i="15" s="1"/>
  <c r="M719" i="1"/>
  <c r="B750" i="15" s="1"/>
  <c r="M727" i="1"/>
  <c r="B758" i="15" s="1"/>
  <c r="M735" i="1"/>
  <c r="B766" i="15" s="1"/>
  <c r="M743" i="1"/>
  <c r="B774" i="15" s="1"/>
  <c r="M751" i="1"/>
  <c r="B782" i="15" s="1"/>
  <c r="M612" i="1"/>
  <c r="B643" i="15" s="1"/>
  <c r="N606" i="1"/>
  <c r="C637" i="15" s="1"/>
  <c r="N605" i="1"/>
  <c r="C636" i="15" s="1"/>
  <c r="N604" i="1"/>
  <c r="C635" i="15" s="1"/>
  <c r="N601" i="1"/>
  <c r="C632" i="15" s="1"/>
  <c r="N600" i="1"/>
  <c r="C631" i="15" s="1"/>
  <c r="N599" i="1"/>
  <c r="C630" i="15" s="1"/>
  <c r="N609" i="1"/>
  <c r="C640" i="15" s="1"/>
  <c r="N608" i="1"/>
  <c r="C639" i="15" s="1"/>
  <c r="N607" i="1"/>
  <c r="C638" i="15" s="1"/>
  <c r="N603" i="1"/>
  <c r="C634" i="15" s="1"/>
  <c r="N602" i="1"/>
  <c r="C633" i="15" s="1"/>
  <c r="N598" i="1"/>
  <c r="C629" i="15" s="1"/>
  <c r="N597" i="1"/>
  <c r="C628" i="15" s="1"/>
  <c r="N596" i="1"/>
  <c r="C627" i="15" s="1"/>
  <c r="B614" i="3"/>
  <c r="A614" i="3"/>
  <c r="B613" i="3"/>
  <c r="A613" i="3"/>
  <c r="B612" i="3"/>
  <c r="A612" i="3"/>
  <c r="B611" i="3"/>
  <c r="A611" i="3"/>
  <c r="B610" i="3"/>
  <c r="A610" i="3"/>
  <c r="B609" i="3"/>
  <c r="A609" i="3"/>
  <c r="BE609" i="1"/>
  <c r="BE608" i="1"/>
  <c r="BE607" i="1"/>
  <c r="BE606" i="1"/>
  <c r="BE605" i="1"/>
  <c r="BE604" i="1"/>
  <c r="BA609" i="1"/>
  <c r="AZ609" i="1"/>
  <c r="AY609" i="1"/>
  <c r="AI609" i="1"/>
  <c r="AC609" i="1" s="1"/>
  <c r="BA608" i="1"/>
  <c r="AZ608" i="1"/>
  <c r="AY608" i="1"/>
  <c r="AI608" i="1"/>
  <c r="AC608" i="1" s="1"/>
  <c r="BA607" i="1"/>
  <c r="AZ607" i="1"/>
  <c r="AY607" i="1"/>
  <c r="AI607" i="1"/>
  <c r="AC607" i="1" s="1"/>
  <c r="BA606" i="1"/>
  <c r="AZ606" i="1"/>
  <c r="AY606" i="1"/>
  <c r="AI606" i="1"/>
  <c r="AC606" i="1" s="1"/>
  <c r="BA605" i="1"/>
  <c r="AZ605" i="1"/>
  <c r="AY605" i="1"/>
  <c r="AI605" i="1"/>
  <c r="AC605" i="1" s="1"/>
  <c r="BA604" i="1"/>
  <c r="AZ604" i="1"/>
  <c r="AY604" i="1"/>
  <c r="AI604" i="1"/>
  <c r="AC604" i="1" s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BE603" i="1"/>
  <c r="BE602" i="1"/>
  <c r="BE601" i="1"/>
  <c r="BE600" i="1"/>
  <c r="BE599" i="1"/>
  <c r="BE598" i="1"/>
  <c r="BE597" i="1"/>
  <c r="BE596" i="1"/>
  <c r="BA603" i="1"/>
  <c r="AZ603" i="1"/>
  <c r="AY603" i="1"/>
  <c r="BA602" i="1"/>
  <c r="AZ602" i="1"/>
  <c r="AY602" i="1"/>
  <c r="BA601" i="1"/>
  <c r="AZ601" i="1"/>
  <c r="AY601" i="1"/>
  <c r="BA600" i="1"/>
  <c r="AZ600" i="1"/>
  <c r="AY600" i="1"/>
  <c r="BA599" i="1"/>
  <c r="AZ599" i="1"/>
  <c r="AY599" i="1"/>
  <c r="BA598" i="1"/>
  <c r="AZ598" i="1"/>
  <c r="AY598" i="1"/>
  <c r="BA597" i="1"/>
  <c r="AZ597" i="1"/>
  <c r="AY597" i="1"/>
  <c r="BA596" i="1"/>
  <c r="AZ596" i="1"/>
  <c r="AY596" i="1"/>
  <c r="AI603" i="1"/>
  <c r="AC603" i="1" s="1"/>
  <c r="AI602" i="1"/>
  <c r="AC602" i="1" s="1"/>
  <c r="AI601" i="1"/>
  <c r="AC601" i="1" s="1"/>
  <c r="AI600" i="1"/>
  <c r="AC600" i="1" s="1"/>
  <c r="AI599" i="1"/>
  <c r="AC599" i="1" s="1"/>
  <c r="AI598" i="1"/>
  <c r="AC598" i="1" s="1"/>
  <c r="AI597" i="1"/>
  <c r="AC597" i="1" s="1"/>
  <c r="AI596" i="1"/>
  <c r="AC596" i="1" s="1"/>
  <c r="B608" i="3"/>
  <c r="A608" i="3"/>
  <c r="B607" i="3"/>
  <c r="A607" i="3"/>
  <c r="B606" i="3"/>
  <c r="A606" i="3"/>
  <c r="B605" i="3"/>
  <c r="A605" i="3"/>
  <c r="B604" i="3"/>
  <c r="A604" i="3"/>
  <c r="B603" i="3"/>
  <c r="A603" i="3"/>
  <c r="B602" i="3"/>
  <c r="A602" i="3"/>
  <c r="B601" i="3"/>
  <c r="A601" i="3"/>
  <c r="C4" i="1"/>
  <c r="B122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F797" i="3" l="1"/>
  <c r="C792" i="1"/>
  <c r="F795" i="3"/>
  <c r="C790" i="1"/>
  <c r="F796" i="3"/>
  <c r="C791" i="1"/>
  <c r="M598" i="1"/>
  <c r="B629" i="15" s="1"/>
  <c r="M597" i="1"/>
  <c r="B628" i="15" s="1"/>
  <c r="M605" i="1"/>
  <c r="B636" i="15" s="1"/>
  <c r="M602" i="1"/>
  <c r="B633" i="15" s="1"/>
  <c r="M606" i="1"/>
  <c r="B637" i="15" s="1"/>
  <c r="M608" i="1"/>
  <c r="B639" i="15" s="1"/>
  <c r="M603" i="1"/>
  <c r="B634" i="15" s="1"/>
  <c r="M599" i="1"/>
  <c r="B630" i="15" s="1"/>
  <c r="M607" i="1"/>
  <c r="B638" i="15" s="1"/>
  <c r="M600" i="1"/>
  <c r="B631" i="15" s="1"/>
  <c r="M609" i="1"/>
  <c r="B640" i="15" s="1"/>
  <c r="M604" i="1"/>
  <c r="B635" i="15" s="1"/>
  <c r="M601" i="1"/>
  <c r="B632" i="15" s="1"/>
  <c r="M596" i="1"/>
  <c r="B627" i="15" s="1"/>
  <c r="E1221" i="3"/>
  <c r="F1221" i="3" s="1"/>
  <c r="E555" i="3"/>
  <c r="F555" i="3" s="1"/>
  <c r="E554" i="3"/>
  <c r="F554" i="3" s="1"/>
  <c r="E531" i="3"/>
  <c r="E530" i="3"/>
  <c r="E529" i="3"/>
  <c r="E527" i="3"/>
  <c r="E526" i="3"/>
  <c r="E525" i="3"/>
  <c r="E522" i="3"/>
  <c r="E521" i="3"/>
  <c r="E516" i="3"/>
  <c r="E515" i="3"/>
  <c r="E512" i="3"/>
  <c r="E511" i="3"/>
  <c r="E510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83" i="3"/>
  <c r="E482" i="3"/>
  <c r="E481" i="3"/>
  <c r="F481" i="3" s="1"/>
  <c r="E464" i="3"/>
  <c r="E463" i="3"/>
  <c r="E462" i="3"/>
  <c r="E461" i="3"/>
  <c r="E460" i="3"/>
  <c r="E403" i="3"/>
  <c r="F403" i="3" s="1"/>
  <c r="E389" i="3"/>
  <c r="F389" i="3" s="1"/>
  <c r="E382" i="3"/>
  <c r="F382" i="3" s="1"/>
  <c r="E361" i="3"/>
  <c r="E360" i="3"/>
  <c r="E243" i="3"/>
  <c r="E242" i="3"/>
  <c r="E241" i="3"/>
  <c r="E204" i="3"/>
  <c r="F204" i="3" s="1"/>
  <c r="E203" i="3"/>
  <c r="F203" i="3" s="1"/>
  <c r="E173" i="3"/>
  <c r="F173" i="3" s="1"/>
  <c r="E168" i="3"/>
  <c r="F168" i="3" s="1"/>
  <c r="E166" i="3"/>
  <c r="F166" i="3" s="1"/>
  <c r="E130" i="3"/>
  <c r="F130" i="3" s="1"/>
  <c r="E126" i="3"/>
  <c r="F126" i="3" s="1"/>
  <c r="E125" i="3"/>
  <c r="F125" i="3" s="1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F89" i="3" s="1"/>
  <c r="E27" i="3"/>
  <c r="E26" i="3"/>
  <c r="E25" i="3"/>
  <c r="E23" i="3"/>
  <c r="F23" i="3" s="1"/>
  <c r="E22" i="3"/>
  <c r="F22" i="3" s="1"/>
  <c r="E21" i="3"/>
  <c r="F21" i="3" s="1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BE595" i="1"/>
  <c r="BA595" i="1"/>
  <c r="AZ595" i="1"/>
  <c r="AY595" i="1"/>
  <c r="AI595" i="1"/>
  <c r="AC595" i="1" s="1"/>
  <c r="BE594" i="1"/>
  <c r="BA594" i="1"/>
  <c r="AZ594" i="1"/>
  <c r="AY594" i="1"/>
  <c r="AI594" i="1"/>
  <c r="AC594" i="1" s="1"/>
  <c r="BE593" i="1"/>
  <c r="BA593" i="1"/>
  <c r="AZ593" i="1"/>
  <c r="AY593" i="1"/>
  <c r="AI593" i="1"/>
  <c r="AC593" i="1" s="1"/>
  <c r="BE592" i="1"/>
  <c r="BA592" i="1"/>
  <c r="AZ592" i="1"/>
  <c r="AY592" i="1"/>
  <c r="AI592" i="1"/>
  <c r="AC592" i="1" s="1"/>
  <c r="BE591" i="1"/>
  <c r="BA591" i="1"/>
  <c r="AZ591" i="1"/>
  <c r="AY591" i="1"/>
  <c r="AI591" i="1"/>
  <c r="AC591" i="1" s="1"/>
  <c r="BE590" i="1"/>
  <c r="BA590" i="1"/>
  <c r="AZ590" i="1"/>
  <c r="AY590" i="1"/>
  <c r="AI590" i="1"/>
  <c r="AC590" i="1" s="1"/>
  <c r="BE589" i="1"/>
  <c r="BA589" i="1"/>
  <c r="AZ589" i="1"/>
  <c r="AY589" i="1"/>
  <c r="AI589" i="1"/>
  <c r="AC589" i="1" s="1"/>
  <c r="BE588" i="1"/>
  <c r="BA588" i="1"/>
  <c r="AZ588" i="1"/>
  <c r="AY588" i="1"/>
  <c r="AI588" i="1"/>
  <c r="AC588" i="1" s="1"/>
  <c r="BE587" i="1"/>
  <c r="BA587" i="1"/>
  <c r="AZ587" i="1"/>
  <c r="AY587" i="1"/>
  <c r="AI587" i="1"/>
  <c r="AC587" i="1" s="1"/>
  <c r="BE586" i="1"/>
  <c r="BA586" i="1"/>
  <c r="AZ586" i="1"/>
  <c r="AY586" i="1"/>
  <c r="AI586" i="1"/>
  <c r="AC586" i="1" s="1"/>
  <c r="BE585" i="1"/>
  <c r="BA585" i="1"/>
  <c r="AZ585" i="1"/>
  <c r="AY585" i="1"/>
  <c r="AI585" i="1"/>
  <c r="AC585" i="1" s="1"/>
  <c r="BE584" i="1"/>
  <c r="BA584" i="1"/>
  <c r="AZ584" i="1"/>
  <c r="AY584" i="1"/>
  <c r="AI584" i="1"/>
  <c r="AC584" i="1" s="1"/>
  <c r="BE583" i="1"/>
  <c r="BA583" i="1"/>
  <c r="AZ583" i="1"/>
  <c r="AY583" i="1"/>
  <c r="AI583" i="1"/>
  <c r="AC583" i="1" s="1"/>
  <c r="BE582" i="1"/>
  <c r="BA582" i="1"/>
  <c r="AZ582" i="1"/>
  <c r="AY582" i="1"/>
  <c r="AI582" i="1"/>
  <c r="AC582" i="1" s="1"/>
  <c r="BE581" i="1"/>
  <c r="BA581" i="1"/>
  <c r="AZ581" i="1"/>
  <c r="AY581" i="1"/>
  <c r="AI581" i="1"/>
  <c r="AC581" i="1" s="1"/>
  <c r="BE580" i="1"/>
  <c r="BA580" i="1"/>
  <c r="AZ580" i="1"/>
  <c r="AY580" i="1"/>
  <c r="AI580" i="1"/>
  <c r="AC580" i="1" s="1"/>
  <c r="BE579" i="1"/>
  <c r="BA579" i="1"/>
  <c r="AZ579" i="1"/>
  <c r="AY579" i="1"/>
  <c r="AI579" i="1"/>
  <c r="AC579" i="1" s="1"/>
  <c r="BE578" i="1"/>
  <c r="BA578" i="1"/>
  <c r="AZ578" i="1"/>
  <c r="AY578" i="1"/>
  <c r="AI578" i="1"/>
  <c r="AC578" i="1" s="1"/>
  <c r="BE577" i="1"/>
  <c r="BA577" i="1"/>
  <c r="AZ577" i="1"/>
  <c r="AY577" i="1"/>
  <c r="AI577" i="1"/>
  <c r="AC577" i="1" s="1"/>
  <c r="BE576" i="1"/>
  <c r="BA576" i="1"/>
  <c r="AZ576" i="1"/>
  <c r="AY576" i="1"/>
  <c r="AI576" i="1"/>
  <c r="AC576" i="1" s="1"/>
  <c r="BE575" i="1"/>
  <c r="BA575" i="1"/>
  <c r="AZ575" i="1"/>
  <c r="AY575" i="1"/>
  <c r="AI575" i="1"/>
  <c r="AC575" i="1" s="1"/>
  <c r="BE574" i="1"/>
  <c r="BA574" i="1"/>
  <c r="AZ574" i="1"/>
  <c r="AY574" i="1"/>
  <c r="AI574" i="1"/>
  <c r="AC574" i="1" s="1"/>
  <c r="BE573" i="1"/>
  <c r="BA573" i="1"/>
  <c r="AZ573" i="1"/>
  <c r="AY573" i="1"/>
  <c r="AI573" i="1"/>
  <c r="AC573" i="1" s="1"/>
  <c r="BE572" i="1"/>
  <c r="BA572" i="1"/>
  <c r="AZ572" i="1"/>
  <c r="AY572" i="1"/>
  <c r="AI572" i="1"/>
  <c r="AC572" i="1" s="1"/>
  <c r="BE571" i="1"/>
  <c r="BA571" i="1"/>
  <c r="AZ571" i="1"/>
  <c r="AY571" i="1"/>
  <c r="AI571" i="1"/>
  <c r="AC571" i="1" s="1"/>
  <c r="BE570" i="1"/>
  <c r="BA570" i="1"/>
  <c r="AZ570" i="1"/>
  <c r="AY570" i="1"/>
  <c r="AI570" i="1"/>
  <c r="AC570" i="1" s="1"/>
  <c r="BE569" i="1"/>
  <c r="BA569" i="1"/>
  <c r="AZ569" i="1"/>
  <c r="AY569" i="1"/>
  <c r="AI569" i="1"/>
  <c r="AC569" i="1" s="1"/>
  <c r="BE568" i="1"/>
  <c r="BA568" i="1"/>
  <c r="AZ568" i="1"/>
  <c r="AY568" i="1"/>
  <c r="AI568" i="1"/>
  <c r="AC568" i="1" s="1"/>
  <c r="BE567" i="1"/>
  <c r="BA567" i="1"/>
  <c r="AZ567" i="1"/>
  <c r="AY567" i="1"/>
  <c r="AI567" i="1"/>
  <c r="AC567" i="1" s="1"/>
  <c r="BE566" i="1"/>
  <c r="BA566" i="1"/>
  <c r="AZ566" i="1"/>
  <c r="AY566" i="1"/>
  <c r="AI566" i="1"/>
  <c r="AC566" i="1" s="1"/>
  <c r="BE565" i="1"/>
  <c r="BA565" i="1"/>
  <c r="AZ565" i="1"/>
  <c r="AY565" i="1"/>
  <c r="AI565" i="1"/>
  <c r="AC565" i="1" s="1"/>
  <c r="BE564" i="1"/>
  <c r="BA564" i="1"/>
  <c r="AZ564" i="1"/>
  <c r="AY564" i="1"/>
  <c r="AI564" i="1"/>
  <c r="AC564" i="1" s="1"/>
  <c r="BE563" i="1"/>
  <c r="BA563" i="1"/>
  <c r="AZ563" i="1"/>
  <c r="AY563" i="1"/>
  <c r="AI563" i="1"/>
  <c r="AC563" i="1" s="1"/>
  <c r="BE562" i="1"/>
  <c r="BA562" i="1"/>
  <c r="AZ562" i="1"/>
  <c r="AY562" i="1"/>
  <c r="AI562" i="1"/>
  <c r="AC562" i="1" s="1"/>
  <c r="BE561" i="1"/>
  <c r="BA561" i="1"/>
  <c r="AZ561" i="1"/>
  <c r="AY561" i="1"/>
  <c r="AI561" i="1"/>
  <c r="AC561" i="1" s="1"/>
  <c r="BE560" i="1"/>
  <c r="BA560" i="1"/>
  <c r="AZ560" i="1"/>
  <c r="AY560" i="1"/>
  <c r="AI560" i="1"/>
  <c r="AC560" i="1" s="1"/>
  <c r="BE559" i="1"/>
  <c r="BA559" i="1"/>
  <c r="AZ559" i="1"/>
  <c r="AY559" i="1"/>
  <c r="AI559" i="1"/>
  <c r="AC559" i="1" s="1"/>
  <c r="BE558" i="1"/>
  <c r="BA558" i="1"/>
  <c r="AZ558" i="1"/>
  <c r="AY558" i="1"/>
  <c r="AI558" i="1"/>
  <c r="AC558" i="1" s="1"/>
  <c r="BE557" i="1"/>
  <c r="BA557" i="1"/>
  <c r="AZ557" i="1"/>
  <c r="AY557" i="1"/>
  <c r="AI557" i="1"/>
  <c r="AC557" i="1" s="1"/>
  <c r="BE556" i="1"/>
  <c r="BA556" i="1"/>
  <c r="AZ556" i="1"/>
  <c r="AY556" i="1"/>
  <c r="AI556" i="1"/>
  <c r="AC556" i="1" s="1"/>
  <c r="BE555" i="1"/>
  <c r="BA555" i="1"/>
  <c r="AZ555" i="1"/>
  <c r="AY555" i="1"/>
  <c r="AI555" i="1"/>
  <c r="AC555" i="1" s="1"/>
  <c r="BE554" i="1"/>
  <c r="BA554" i="1"/>
  <c r="AZ554" i="1"/>
  <c r="AY554" i="1"/>
  <c r="AI554" i="1"/>
  <c r="AC554" i="1" s="1"/>
  <c r="BE553" i="1"/>
  <c r="BA553" i="1"/>
  <c r="AZ553" i="1"/>
  <c r="AY553" i="1"/>
  <c r="AI553" i="1"/>
  <c r="AC553" i="1" s="1"/>
  <c r="BE552" i="1"/>
  <c r="BA552" i="1"/>
  <c r="AZ552" i="1"/>
  <c r="AY552" i="1"/>
  <c r="AI552" i="1"/>
  <c r="AC552" i="1" s="1"/>
  <c r="BE551" i="1"/>
  <c r="BA551" i="1"/>
  <c r="AZ551" i="1"/>
  <c r="AY551" i="1"/>
  <c r="AI551" i="1"/>
  <c r="AC551" i="1" s="1"/>
  <c r="N594" i="1"/>
  <c r="C625" i="15" s="1"/>
  <c r="N593" i="1"/>
  <c r="C624" i="15" s="1"/>
  <c r="N592" i="1"/>
  <c r="C623" i="15" s="1"/>
  <c r="N591" i="1"/>
  <c r="C622" i="15" s="1"/>
  <c r="N590" i="1"/>
  <c r="C621" i="15" s="1"/>
  <c r="N589" i="1"/>
  <c r="C620" i="15" s="1"/>
  <c r="N588" i="1"/>
  <c r="C619" i="15" s="1"/>
  <c r="N587" i="1"/>
  <c r="C618" i="15" s="1"/>
  <c r="N586" i="1"/>
  <c r="C617" i="15" s="1"/>
  <c r="N585" i="1"/>
  <c r="C616" i="15" s="1"/>
  <c r="N584" i="1"/>
  <c r="C615" i="15" s="1"/>
  <c r="N583" i="1"/>
  <c r="C614" i="15" s="1"/>
  <c r="N582" i="1"/>
  <c r="C613" i="15" s="1"/>
  <c r="N581" i="1"/>
  <c r="C612" i="15" s="1"/>
  <c r="N580" i="1"/>
  <c r="C611" i="15" s="1"/>
  <c r="N579" i="1"/>
  <c r="C610" i="15" s="1"/>
  <c r="N578" i="1"/>
  <c r="C609" i="15" s="1"/>
  <c r="N577" i="1"/>
  <c r="C608" i="15" s="1"/>
  <c r="N576" i="1"/>
  <c r="C607" i="15" s="1"/>
  <c r="N575" i="1"/>
  <c r="C606" i="15" s="1"/>
  <c r="N574" i="1"/>
  <c r="C605" i="15" s="1"/>
  <c r="N573" i="1"/>
  <c r="C604" i="15" s="1"/>
  <c r="N572" i="1"/>
  <c r="C603" i="15" s="1"/>
  <c r="N571" i="1"/>
  <c r="C602" i="15" s="1"/>
  <c r="N570" i="1"/>
  <c r="C601" i="15" s="1"/>
  <c r="N569" i="1"/>
  <c r="C600" i="15" s="1"/>
  <c r="N568" i="1"/>
  <c r="C599" i="15" s="1"/>
  <c r="N567" i="1"/>
  <c r="C598" i="15" s="1"/>
  <c r="N566" i="1"/>
  <c r="C597" i="15" s="1"/>
  <c r="N565" i="1"/>
  <c r="C596" i="15" s="1"/>
  <c r="N564" i="1"/>
  <c r="C595" i="15" s="1"/>
  <c r="N563" i="1"/>
  <c r="C594" i="15" s="1"/>
  <c r="N562" i="1"/>
  <c r="C593" i="15" s="1"/>
  <c r="N561" i="1"/>
  <c r="C592" i="15" s="1"/>
  <c r="N560" i="1"/>
  <c r="C591" i="15" s="1"/>
  <c r="N559" i="1"/>
  <c r="C590" i="15" s="1"/>
  <c r="N558" i="1"/>
  <c r="C589" i="15" s="1"/>
  <c r="N557" i="1"/>
  <c r="C588" i="15" s="1"/>
  <c r="N556" i="1"/>
  <c r="C587" i="15" s="1"/>
  <c r="N555" i="1"/>
  <c r="C586" i="15" s="1"/>
  <c r="N554" i="1"/>
  <c r="C585" i="15" s="1"/>
  <c r="N553" i="1"/>
  <c r="C584" i="15" s="1"/>
  <c r="N552" i="1"/>
  <c r="C583" i="15" s="1"/>
  <c r="N551" i="1"/>
  <c r="C582" i="15" s="1"/>
  <c r="N595" i="1"/>
  <c r="C626" i="15" s="1"/>
  <c r="P595" i="1"/>
  <c r="X595" i="1" s="1"/>
  <c r="P594" i="1"/>
  <c r="X594" i="1" s="1"/>
  <c r="P593" i="1"/>
  <c r="X593" i="1" s="1"/>
  <c r="P592" i="1"/>
  <c r="X592" i="1" s="1"/>
  <c r="P591" i="1"/>
  <c r="X591" i="1" s="1"/>
  <c r="P590" i="1"/>
  <c r="X590" i="1" s="1"/>
  <c r="P589" i="1"/>
  <c r="X589" i="1" s="1"/>
  <c r="P588" i="1"/>
  <c r="X588" i="1" s="1"/>
  <c r="P587" i="1"/>
  <c r="X587" i="1" s="1"/>
  <c r="P586" i="1"/>
  <c r="X586" i="1" s="1"/>
  <c r="P585" i="1"/>
  <c r="X585" i="1" s="1"/>
  <c r="P584" i="1"/>
  <c r="X584" i="1" s="1"/>
  <c r="P583" i="1"/>
  <c r="X583" i="1" s="1"/>
  <c r="P582" i="1"/>
  <c r="X582" i="1" s="1"/>
  <c r="P581" i="1"/>
  <c r="X581" i="1" s="1"/>
  <c r="Q1216" i="1"/>
  <c r="P580" i="1"/>
  <c r="X580" i="1" s="1"/>
  <c r="P579" i="1"/>
  <c r="X579" i="1" s="1"/>
  <c r="P578" i="1"/>
  <c r="X578" i="1" s="1"/>
  <c r="P577" i="1"/>
  <c r="X577" i="1" s="1"/>
  <c r="P576" i="1"/>
  <c r="X576" i="1" s="1"/>
  <c r="P575" i="1"/>
  <c r="X575" i="1" s="1"/>
  <c r="P574" i="1"/>
  <c r="X574" i="1" s="1"/>
  <c r="P573" i="1"/>
  <c r="X573" i="1" s="1"/>
  <c r="P572" i="1"/>
  <c r="X572" i="1" s="1"/>
  <c r="P571" i="1"/>
  <c r="X571" i="1" s="1"/>
  <c r="P570" i="1"/>
  <c r="X570" i="1" s="1"/>
  <c r="P569" i="1"/>
  <c r="X569" i="1" s="1"/>
  <c r="P568" i="1"/>
  <c r="X568" i="1" s="1"/>
  <c r="P567" i="1"/>
  <c r="X567" i="1" s="1"/>
  <c r="P566" i="1"/>
  <c r="X566" i="1" s="1"/>
  <c r="P565" i="1"/>
  <c r="X565" i="1" s="1"/>
  <c r="P564" i="1"/>
  <c r="X564" i="1" s="1"/>
  <c r="P563" i="1"/>
  <c r="X563" i="1" s="1"/>
  <c r="P562" i="1"/>
  <c r="X562" i="1" s="1"/>
  <c r="P561" i="1"/>
  <c r="X561" i="1" s="1"/>
  <c r="P560" i="1"/>
  <c r="X560" i="1" s="1"/>
  <c r="P559" i="1"/>
  <c r="X559" i="1" s="1"/>
  <c r="P558" i="1"/>
  <c r="X558" i="1" s="1"/>
  <c r="P557" i="1"/>
  <c r="X557" i="1" s="1"/>
  <c r="P556" i="1"/>
  <c r="X556" i="1" s="1"/>
  <c r="P555" i="1"/>
  <c r="X555" i="1" s="1"/>
  <c r="P554" i="1"/>
  <c r="X554" i="1" s="1"/>
  <c r="P553" i="1"/>
  <c r="X553" i="1" s="1"/>
  <c r="P552" i="1"/>
  <c r="X552" i="1" s="1"/>
  <c r="P551" i="1"/>
  <c r="X551" i="1" s="1"/>
  <c r="C28" i="3"/>
  <c r="A28" i="3"/>
  <c r="BE23" i="1"/>
  <c r="AX23" i="1"/>
  <c r="AW23" i="1"/>
  <c r="AV23" i="1"/>
  <c r="AI23" i="1"/>
  <c r="AC23" i="1" s="1"/>
  <c r="M23" i="1" s="1"/>
  <c r="B20" i="15" s="1"/>
  <c r="X23" i="1"/>
  <c r="Q23" i="1"/>
  <c r="A555" i="3"/>
  <c r="X555" i="3"/>
  <c r="T555" i="3"/>
  <c r="BE550" i="1"/>
  <c r="BA550" i="1"/>
  <c r="AZ550" i="1"/>
  <c r="AY550" i="1"/>
  <c r="AI550" i="1"/>
  <c r="AC550" i="1" s="1"/>
  <c r="Q550" i="1"/>
  <c r="P550" i="1" s="1"/>
  <c r="X550" i="1" s="1"/>
  <c r="C581" i="15"/>
  <c r="J554" i="3"/>
  <c r="H554" i="3"/>
  <c r="C554" i="3"/>
  <c r="A554" i="3"/>
  <c r="BE549" i="1"/>
  <c r="BA549" i="1"/>
  <c r="AZ549" i="1"/>
  <c r="AY549" i="1"/>
  <c r="AI549" i="1"/>
  <c r="AC549" i="1" s="1"/>
  <c r="P549" i="1"/>
  <c r="X549" i="1" s="1"/>
  <c r="C580" i="15"/>
  <c r="I549" i="1"/>
  <c r="J549" i="1" s="1"/>
  <c r="M591" i="1" l="1"/>
  <c r="B622" i="15" s="1"/>
  <c r="M559" i="1"/>
  <c r="B590" i="15" s="1"/>
  <c r="M588" i="1"/>
  <c r="B619" i="15" s="1"/>
  <c r="AZ23" i="1"/>
  <c r="M554" i="1"/>
  <c r="B585" i="15" s="1"/>
  <c r="AY23" i="1"/>
  <c r="M555" i="1"/>
  <c r="B586" i="15" s="1"/>
  <c r="M563" i="1"/>
  <c r="B594" i="15" s="1"/>
  <c r="M571" i="1"/>
  <c r="B602" i="15" s="1"/>
  <c r="M579" i="1"/>
  <c r="B610" i="15" s="1"/>
  <c r="H555" i="3"/>
  <c r="M580" i="1"/>
  <c r="B611" i="15" s="1"/>
  <c r="M584" i="1"/>
  <c r="B615" i="15" s="1"/>
  <c r="M592" i="1"/>
  <c r="B623" i="15" s="1"/>
  <c r="M551" i="1"/>
  <c r="B582" i="15" s="1"/>
  <c r="M567" i="1"/>
  <c r="B598" i="15" s="1"/>
  <c r="M575" i="1"/>
  <c r="B606" i="15" s="1"/>
  <c r="M593" i="1"/>
  <c r="B624" i="15" s="1"/>
  <c r="M558" i="1"/>
  <c r="B589" i="15" s="1"/>
  <c r="M562" i="1"/>
  <c r="B593" i="15" s="1"/>
  <c r="M566" i="1"/>
  <c r="B597" i="15" s="1"/>
  <c r="M570" i="1"/>
  <c r="B601" i="15" s="1"/>
  <c r="M574" i="1"/>
  <c r="B605" i="15" s="1"/>
  <c r="M578" i="1"/>
  <c r="B609" i="15" s="1"/>
  <c r="BA23" i="1"/>
  <c r="M583" i="1"/>
  <c r="B614" i="15" s="1"/>
  <c r="M587" i="1"/>
  <c r="B618" i="15" s="1"/>
  <c r="M553" i="1"/>
  <c r="B584" i="15" s="1"/>
  <c r="M557" i="1"/>
  <c r="B588" i="15" s="1"/>
  <c r="M561" i="1"/>
  <c r="B592" i="15" s="1"/>
  <c r="M565" i="1"/>
  <c r="B596" i="15" s="1"/>
  <c r="M569" i="1"/>
  <c r="B600" i="15" s="1"/>
  <c r="M573" i="1"/>
  <c r="B604" i="15" s="1"/>
  <c r="M577" i="1"/>
  <c r="B608" i="15" s="1"/>
  <c r="M582" i="1"/>
  <c r="B613" i="15" s="1"/>
  <c r="M586" i="1"/>
  <c r="B617" i="15" s="1"/>
  <c r="M590" i="1"/>
  <c r="B621" i="15" s="1"/>
  <c r="M594" i="1"/>
  <c r="B625" i="15" s="1"/>
  <c r="J555" i="3"/>
  <c r="M552" i="1"/>
  <c r="B583" i="15" s="1"/>
  <c r="M560" i="1"/>
  <c r="B591" i="15" s="1"/>
  <c r="M564" i="1"/>
  <c r="B595" i="15" s="1"/>
  <c r="M572" i="1"/>
  <c r="B603" i="15" s="1"/>
  <c r="M595" i="1"/>
  <c r="B626" i="15" s="1"/>
  <c r="M556" i="1"/>
  <c r="B587" i="15" s="1"/>
  <c r="M568" i="1"/>
  <c r="B599" i="15" s="1"/>
  <c r="M576" i="1"/>
  <c r="B607" i="15" s="1"/>
  <c r="M581" i="1"/>
  <c r="B612" i="15" s="1"/>
  <c r="M585" i="1"/>
  <c r="B616" i="15" s="1"/>
  <c r="M589" i="1"/>
  <c r="B620" i="15" s="1"/>
  <c r="M550" i="1"/>
  <c r="B581" i="15" s="1"/>
  <c r="M549" i="1"/>
  <c r="B580" i="15" s="1"/>
  <c r="D483" i="3"/>
  <c r="C478" i="1" s="1"/>
  <c r="D482" i="3"/>
  <c r="C477" i="1" s="1"/>
  <c r="D361" i="3"/>
  <c r="C356" i="1" s="1"/>
  <c r="D360" i="3"/>
  <c r="C355" i="1" s="1"/>
  <c r="D90" i="3"/>
  <c r="C85" i="1" s="1"/>
  <c r="D27" i="3"/>
  <c r="C22" i="1" s="1"/>
  <c r="D26" i="3"/>
  <c r="C21" i="1" s="1"/>
  <c r="D25" i="3"/>
  <c r="C20" i="1" s="1"/>
  <c r="J173" i="3"/>
  <c r="H173" i="3"/>
  <c r="J168" i="3"/>
  <c r="H168" i="3"/>
  <c r="J166" i="3"/>
  <c r="H166" i="3"/>
  <c r="J126" i="3"/>
  <c r="H126" i="3"/>
  <c r="J89" i="3"/>
  <c r="H89" i="3"/>
  <c r="J23" i="3"/>
  <c r="H23" i="3"/>
  <c r="J22" i="3"/>
  <c r="H22" i="3"/>
  <c r="A3" i="8"/>
  <c r="A4" i="8" s="1"/>
  <c r="J203" i="3"/>
  <c r="H203" i="3"/>
  <c r="AA220" i="1"/>
  <c r="U220" i="1"/>
  <c r="F25" i="3" l="1"/>
  <c r="F90" i="3"/>
  <c r="F483" i="3"/>
  <c r="F360" i="3"/>
  <c r="F26" i="3"/>
  <c r="F361" i="3"/>
  <c r="F27" i="3"/>
  <c r="F482" i="3"/>
  <c r="A5" i="8"/>
  <c r="A6" i="8" s="1"/>
  <c r="A7" i="8" s="1"/>
  <c r="J204" i="3"/>
  <c r="H204" i="3"/>
  <c r="J243" i="3"/>
  <c r="H243" i="3"/>
  <c r="J242" i="3"/>
  <c r="H242" i="3"/>
  <c r="J241" i="3"/>
  <c r="H241" i="3"/>
  <c r="I244" i="1"/>
  <c r="J244" i="1" s="1"/>
  <c r="I243" i="1"/>
  <c r="J243" i="1" s="1"/>
  <c r="I242" i="1"/>
  <c r="J242" i="1" s="1"/>
  <c r="I241" i="1"/>
  <c r="J241" i="1" s="1"/>
  <c r="I240" i="1"/>
  <c r="J240" i="1" s="1"/>
  <c r="I239" i="1"/>
  <c r="J239" i="1" s="1"/>
  <c r="I238" i="1"/>
  <c r="J238" i="1" s="1"/>
  <c r="I237" i="1"/>
  <c r="J237" i="1" s="1"/>
  <c r="I236" i="1"/>
  <c r="J236" i="1" s="1"/>
  <c r="C249" i="3"/>
  <c r="A249" i="3"/>
  <c r="C248" i="3"/>
  <c r="A248" i="3"/>
  <c r="C247" i="3"/>
  <c r="A247" i="3"/>
  <c r="C246" i="3"/>
  <c r="A246" i="3"/>
  <c r="C245" i="3"/>
  <c r="A245" i="3"/>
  <c r="C244" i="3"/>
  <c r="A244" i="3"/>
  <c r="BE244" i="1"/>
  <c r="AX244" i="1"/>
  <c r="AW244" i="1"/>
  <c r="AV244" i="1"/>
  <c r="AI244" i="1"/>
  <c r="AC244" i="1" s="1"/>
  <c r="BE243" i="1"/>
  <c r="AX243" i="1"/>
  <c r="AW243" i="1"/>
  <c r="AV243" i="1"/>
  <c r="AI243" i="1"/>
  <c r="AC243" i="1" s="1"/>
  <c r="BE242" i="1"/>
  <c r="AX242" i="1"/>
  <c r="AW242" i="1"/>
  <c r="AV242" i="1"/>
  <c r="AI242" i="1"/>
  <c r="AC242" i="1" s="1"/>
  <c r="BE241" i="1"/>
  <c r="AX241" i="1"/>
  <c r="AW241" i="1"/>
  <c r="AV241" i="1"/>
  <c r="AI241" i="1"/>
  <c r="AC241" i="1" s="1"/>
  <c r="BE240" i="1"/>
  <c r="AX240" i="1"/>
  <c r="AW240" i="1"/>
  <c r="AV240" i="1"/>
  <c r="AI240" i="1"/>
  <c r="AC240" i="1" s="1"/>
  <c r="BE239" i="1"/>
  <c r="AX239" i="1"/>
  <c r="AW239" i="1"/>
  <c r="AV239" i="1"/>
  <c r="AI239" i="1"/>
  <c r="AC239" i="1" s="1"/>
  <c r="N244" i="1"/>
  <c r="C236" i="15" s="1"/>
  <c r="N243" i="1"/>
  <c r="C235" i="15" s="1"/>
  <c r="N242" i="1"/>
  <c r="C234" i="15" s="1"/>
  <c r="N238" i="1"/>
  <c r="C230" i="15" s="1"/>
  <c r="N237" i="1"/>
  <c r="C229" i="15" s="1"/>
  <c r="N241" i="1"/>
  <c r="C233" i="15" s="1"/>
  <c r="N240" i="1"/>
  <c r="C232" i="15" s="1"/>
  <c r="N239" i="1"/>
  <c r="C231" i="15" s="1"/>
  <c r="N236" i="1"/>
  <c r="C228" i="15" s="1"/>
  <c r="Q244" i="1"/>
  <c r="X244" i="1"/>
  <c r="Q243" i="1"/>
  <c r="X243" i="1"/>
  <c r="Q242" i="1"/>
  <c r="X242" i="1"/>
  <c r="Q241" i="1"/>
  <c r="X241" i="1"/>
  <c r="Q240" i="1"/>
  <c r="X240" i="1"/>
  <c r="Q239" i="1"/>
  <c r="X239" i="1"/>
  <c r="K1216" i="1"/>
  <c r="I1216" i="1"/>
  <c r="J1216" i="1" s="1"/>
  <c r="BE338" i="1"/>
  <c r="AX338" i="1"/>
  <c r="AW338" i="1"/>
  <c r="AV338" i="1"/>
  <c r="BE337" i="1"/>
  <c r="AX337" i="1"/>
  <c r="AW337" i="1"/>
  <c r="AV337" i="1"/>
  <c r="BE336" i="1"/>
  <c r="AX336" i="1"/>
  <c r="AW336" i="1"/>
  <c r="AV336" i="1"/>
  <c r="BE335" i="1"/>
  <c r="AX335" i="1"/>
  <c r="AW335" i="1"/>
  <c r="AV335" i="1"/>
  <c r="BE334" i="1"/>
  <c r="AX334" i="1"/>
  <c r="AW334" i="1"/>
  <c r="AV334" i="1"/>
  <c r="BE333" i="1"/>
  <c r="AX333" i="1"/>
  <c r="AW333" i="1"/>
  <c r="AV333" i="1"/>
  <c r="BE332" i="1"/>
  <c r="AX332" i="1"/>
  <c r="AW332" i="1"/>
  <c r="AV332" i="1"/>
  <c r="BE331" i="1"/>
  <c r="AX331" i="1"/>
  <c r="AW331" i="1"/>
  <c r="AV331" i="1"/>
  <c r="BE330" i="1"/>
  <c r="AX330" i="1"/>
  <c r="AW330" i="1"/>
  <c r="AV330" i="1"/>
  <c r="BE329" i="1"/>
  <c r="AX329" i="1"/>
  <c r="AW329" i="1"/>
  <c r="AV329" i="1"/>
  <c r="BE328" i="1"/>
  <c r="AX328" i="1"/>
  <c r="AW328" i="1"/>
  <c r="AV328" i="1"/>
  <c r="BE327" i="1"/>
  <c r="AX327" i="1"/>
  <c r="AW327" i="1"/>
  <c r="AV327" i="1"/>
  <c r="BE326" i="1"/>
  <c r="AX326" i="1"/>
  <c r="AW326" i="1"/>
  <c r="AV326" i="1"/>
  <c r="BE325" i="1"/>
  <c r="AX325" i="1"/>
  <c r="AW325" i="1"/>
  <c r="AV325" i="1"/>
  <c r="BE324" i="1"/>
  <c r="AX324" i="1"/>
  <c r="AW324" i="1"/>
  <c r="AV324" i="1"/>
  <c r="BE323" i="1"/>
  <c r="AX323" i="1"/>
  <c r="AW323" i="1"/>
  <c r="AV323" i="1"/>
  <c r="BE322" i="1"/>
  <c r="AX322" i="1"/>
  <c r="AW322" i="1"/>
  <c r="AV322" i="1"/>
  <c r="BE321" i="1"/>
  <c r="AX321" i="1"/>
  <c r="AW321" i="1"/>
  <c r="AV321" i="1"/>
  <c r="BE320" i="1"/>
  <c r="AX320" i="1"/>
  <c r="AW320" i="1"/>
  <c r="AV320" i="1"/>
  <c r="BE319" i="1"/>
  <c r="AX319" i="1"/>
  <c r="AW319" i="1"/>
  <c r="AV319" i="1"/>
  <c r="BE318" i="1"/>
  <c r="AX318" i="1"/>
  <c r="AW318" i="1"/>
  <c r="AV318" i="1"/>
  <c r="BE317" i="1"/>
  <c r="AX317" i="1"/>
  <c r="AW317" i="1"/>
  <c r="AV317" i="1"/>
  <c r="BE316" i="1"/>
  <c r="AX316" i="1"/>
  <c r="AW316" i="1"/>
  <c r="AV316" i="1"/>
  <c r="BE315" i="1"/>
  <c r="AX315" i="1"/>
  <c r="AW315" i="1"/>
  <c r="AV315" i="1"/>
  <c r="BE314" i="1"/>
  <c r="AX314" i="1"/>
  <c r="AW314" i="1"/>
  <c r="AV314" i="1"/>
  <c r="BE313" i="1"/>
  <c r="AX313" i="1"/>
  <c r="AW313" i="1"/>
  <c r="AV313" i="1"/>
  <c r="BE312" i="1"/>
  <c r="AX312" i="1"/>
  <c r="AW312" i="1"/>
  <c r="AV312" i="1"/>
  <c r="BE311" i="1"/>
  <c r="AX311" i="1"/>
  <c r="AW311" i="1"/>
  <c r="AV311" i="1"/>
  <c r="BE310" i="1"/>
  <c r="AX310" i="1"/>
  <c r="AW310" i="1"/>
  <c r="AV310" i="1"/>
  <c r="BE309" i="1"/>
  <c r="AX309" i="1"/>
  <c r="AW309" i="1"/>
  <c r="AV309" i="1"/>
  <c r="BE308" i="1"/>
  <c r="AX308" i="1"/>
  <c r="AW308" i="1"/>
  <c r="AV308" i="1"/>
  <c r="BE307" i="1"/>
  <c r="AX307" i="1"/>
  <c r="AW307" i="1"/>
  <c r="AV307" i="1"/>
  <c r="BE306" i="1"/>
  <c r="AX306" i="1"/>
  <c r="AW306" i="1"/>
  <c r="AV306" i="1"/>
  <c r="BE305" i="1"/>
  <c r="AX305" i="1"/>
  <c r="AW305" i="1"/>
  <c r="AV305" i="1"/>
  <c r="BE304" i="1"/>
  <c r="AX304" i="1"/>
  <c r="AW304" i="1"/>
  <c r="AV304" i="1"/>
  <c r="BE303" i="1"/>
  <c r="AX303" i="1"/>
  <c r="AW303" i="1"/>
  <c r="AV303" i="1"/>
  <c r="BE302" i="1"/>
  <c r="AX302" i="1"/>
  <c r="AW302" i="1"/>
  <c r="AV302" i="1"/>
  <c r="BE301" i="1"/>
  <c r="AX301" i="1"/>
  <c r="AW301" i="1"/>
  <c r="AV301" i="1"/>
  <c r="BE300" i="1"/>
  <c r="AX300" i="1"/>
  <c r="AW300" i="1"/>
  <c r="AV300" i="1"/>
  <c r="BE299" i="1"/>
  <c r="AX299" i="1"/>
  <c r="AW299" i="1"/>
  <c r="AV299" i="1"/>
  <c r="BE298" i="1"/>
  <c r="AX298" i="1"/>
  <c r="AW298" i="1"/>
  <c r="AV298" i="1"/>
  <c r="BE297" i="1"/>
  <c r="AX297" i="1"/>
  <c r="AW297" i="1"/>
  <c r="AV297" i="1"/>
  <c r="BE296" i="1"/>
  <c r="AX296" i="1"/>
  <c r="AW296" i="1"/>
  <c r="AV296" i="1"/>
  <c r="BE295" i="1"/>
  <c r="AX295" i="1"/>
  <c r="AW295" i="1"/>
  <c r="AV295" i="1"/>
  <c r="BE294" i="1"/>
  <c r="AX294" i="1"/>
  <c r="AW294" i="1"/>
  <c r="AV294" i="1"/>
  <c r="BE293" i="1"/>
  <c r="AX293" i="1"/>
  <c r="AW293" i="1"/>
  <c r="AV293" i="1"/>
  <c r="BE292" i="1"/>
  <c r="AX292" i="1"/>
  <c r="AW292" i="1"/>
  <c r="AV292" i="1"/>
  <c r="BE291" i="1"/>
  <c r="AI338" i="1"/>
  <c r="AC338" i="1" s="1"/>
  <c r="AI337" i="1"/>
  <c r="AC337" i="1" s="1"/>
  <c r="AI336" i="1"/>
  <c r="AC336" i="1" s="1"/>
  <c r="AI335" i="1"/>
  <c r="AC335" i="1" s="1"/>
  <c r="AI334" i="1"/>
  <c r="AC334" i="1" s="1"/>
  <c r="AI333" i="1"/>
  <c r="AC333" i="1" s="1"/>
  <c r="AI332" i="1"/>
  <c r="AC332" i="1" s="1"/>
  <c r="AI331" i="1"/>
  <c r="AC331" i="1" s="1"/>
  <c r="AI330" i="1"/>
  <c r="AC330" i="1" s="1"/>
  <c r="AI329" i="1"/>
  <c r="AC329" i="1" s="1"/>
  <c r="AI328" i="1"/>
  <c r="AC328" i="1" s="1"/>
  <c r="AI327" i="1"/>
  <c r="AC327" i="1" s="1"/>
  <c r="AI326" i="1"/>
  <c r="AC326" i="1" s="1"/>
  <c r="AI325" i="1"/>
  <c r="AC325" i="1" s="1"/>
  <c r="AI324" i="1"/>
  <c r="AC324" i="1" s="1"/>
  <c r="AI323" i="1"/>
  <c r="AC323" i="1" s="1"/>
  <c r="AI322" i="1"/>
  <c r="AC322" i="1" s="1"/>
  <c r="AI321" i="1"/>
  <c r="AC321" i="1" s="1"/>
  <c r="AI320" i="1"/>
  <c r="AC320" i="1" s="1"/>
  <c r="AI319" i="1"/>
  <c r="AC319" i="1" s="1"/>
  <c r="AI318" i="1"/>
  <c r="AC318" i="1" s="1"/>
  <c r="AI317" i="1"/>
  <c r="AC317" i="1" s="1"/>
  <c r="AI316" i="1"/>
  <c r="AC316" i="1" s="1"/>
  <c r="AI315" i="1"/>
  <c r="AC315" i="1" s="1"/>
  <c r="AI314" i="1"/>
  <c r="AC314" i="1" s="1"/>
  <c r="AI313" i="1"/>
  <c r="AC313" i="1" s="1"/>
  <c r="AI312" i="1"/>
  <c r="AC312" i="1" s="1"/>
  <c r="AI311" i="1"/>
  <c r="AC311" i="1" s="1"/>
  <c r="AI310" i="1"/>
  <c r="AC310" i="1" s="1"/>
  <c r="AI309" i="1"/>
  <c r="AC309" i="1" s="1"/>
  <c r="AI308" i="1"/>
  <c r="AC308" i="1" s="1"/>
  <c r="AI307" i="1"/>
  <c r="AC307" i="1" s="1"/>
  <c r="AI306" i="1"/>
  <c r="AC306" i="1" s="1"/>
  <c r="AI305" i="1"/>
  <c r="AC305" i="1" s="1"/>
  <c r="AI304" i="1"/>
  <c r="AC304" i="1" s="1"/>
  <c r="AI303" i="1"/>
  <c r="AC303" i="1" s="1"/>
  <c r="AI302" i="1"/>
  <c r="AC302" i="1" s="1"/>
  <c r="AI301" i="1"/>
  <c r="AC301" i="1" s="1"/>
  <c r="AI300" i="1"/>
  <c r="AC300" i="1" s="1"/>
  <c r="AI299" i="1"/>
  <c r="AC299" i="1" s="1"/>
  <c r="AI298" i="1"/>
  <c r="AC298" i="1" s="1"/>
  <c r="AI297" i="1"/>
  <c r="AC297" i="1" s="1"/>
  <c r="AI296" i="1"/>
  <c r="AC296" i="1" s="1"/>
  <c r="AI295" i="1"/>
  <c r="AC295" i="1" s="1"/>
  <c r="AI294" i="1"/>
  <c r="AC294" i="1" s="1"/>
  <c r="AI293" i="1"/>
  <c r="AC293" i="1" s="1"/>
  <c r="AI292" i="1"/>
  <c r="AC292" i="1" s="1"/>
  <c r="AI291" i="1"/>
  <c r="AC291" i="1" s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Q338" i="1"/>
  <c r="X338" i="1"/>
  <c r="Q337" i="1"/>
  <c r="X337" i="1"/>
  <c r="Q336" i="1"/>
  <c r="X336" i="1"/>
  <c r="Q335" i="1"/>
  <c r="X335" i="1"/>
  <c r="Q334" i="1"/>
  <c r="X334" i="1"/>
  <c r="Q333" i="1"/>
  <c r="X333" i="1"/>
  <c r="Q332" i="1"/>
  <c r="X332" i="1"/>
  <c r="Q331" i="1"/>
  <c r="X331" i="1"/>
  <c r="Q330" i="1"/>
  <c r="X330" i="1"/>
  <c r="Q329" i="1"/>
  <c r="X329" i="1"/>
  <c r="Q328" i="1"/>
  <c r="X328" i="1"/>
  <c r="Q327" i="1"/>
  <c r="X327" i="1"/>
  <c r="Q326" i="1"/>
  <c r="X326" i="1"/>
  <c r="Q325" i="1"/>
  <c r="X325" i="1"/>
  <c r="Q324" i="1"/>
  <c r="X324" i="1"/>
  <c r="Q323" i="1"/>
  <c r="X323" i="1"/>
  <c r="Q322" i="1"/>
  <c r="X322" i="1"/>
  <c r="Q321" i="1"/>
  <c r="X321" i="1"/>
  <c r="Q320" i="1"/>
  <c r="X320" i="1"/>
  <c r="Q319" i="1"/>
  <c r="X319" i="1"/>
  <c r="Q318" i="1"/>
  <c r="X318" i="1"/>
  <c r="Q317" i="1"/>
  <c r="X317" i="1"/>
  <c r="Q316" i="1"/>
  <c r="X316" i="1"/>
  <c r="Q315" i="1"/>
  <c r="X315" i="1"/>
  <c r="Q314" i="1"/>
  <c r="X314" i="1"/>
  <c r="Q313" i="1"/>
  <c r="X313" i="1"/>
  <c r="Q312" i="1"/>
  <c r="X312" i="1"/>
  <c r="Q311" i="1"/>
  <c r="X311" i="1"/>
  <c r="Q310" i="1"/>
  <c r="X310" i="1"/>
  <c r="Q309" i="1"/>
  <c r="X309" i="1"/>
  <c r="Q308" i="1"/>
  <c r="X308" i="1"/>
  <c r="Q307" i="1"/>
  <c r="X307" i="1"/>
  <c r="Q306" i="1"/>
  <c r="X306" i="1"/>
  <c r="Q305" i="1"/>
  <c r="X305" i="1"/>
  <c r="Q304" i="1"/>
  <c r="X304" i="1"/>
  <c r="Q303" i="1"/>
  <c r="X303" i="1"/>
  <c r="Q302" i="1"/>
  <c r="X302" i="1"/>
  <c r="Q301" i="1"/>
  <c r="X301" i="1"/>
  <c r="Q300" i="1"/>
  <c r="X300" i="1"/>
  <c r="Q299" i="1"/>
  <c r="X299" i="1"/>
  <c r="Q298" i="1"/>
  <c r="X298" i="1"/>
  <c r="Q297" i="1"/>
  <c r="X297" i="1"/>
  <c r="Q296" i="1"/>
  <c r="X296" i="1"/>
  <c r="Q295" i="1"/>
  <c r="X295" i="1"/>
  <c r="Q294" i="1"/>
  <c r="X294" i="1"/>
  <c r="Q293" i="1"/>
  <c r="X293" i="1"/>
  <c r="Q292" i="1"/>
  <c r="X292" i="1"/>
  <c r="Q291" i="1"/>
  <c r="X291" i="1"/>
  <c r="C343" i="3"/>
  <c r="A343" i="3"/>
  <c r="C342" i="3"/>
  <c r="A342" i="3"/>
  <c r="C341" i="3"/>
  <c r="A341" i="3"/>
  <c r="C340" i="3"/>
  <c r="A340" i="3"/>
  <c r="C339" i="3"/>
  <c r="A339" i="3"/>
  <c r="C338" i="3"/>
  <c r="A338" i="3"/>
  <c r="C337" i="3"/>
  <c r="A337" i="3"/>
  <c r="C336" i="3"/>
  <c r="A336" i="3"/>
  <c r="C335" i="3"/>
  <c r="A335" i="3"/>
  <c r="C334" i="3"/>
  <c r="A334" i="3"/>
  <c r="C333" i="3"/>
  <c r="A333" i="3"/>
  <c r="C332" i="3"/>
  <c r="A332" i="3"/>
  <c r="C331" i="3"/>
  <c r="A331" i="3"/>
  <c r="C330" i="3"/>
  <c r="A330" i="3"/>
  <c r="C329" i="3"/>
  <c r="A329" i="3"/>
  <c r="C328" i="3"/>
  <c r="A328" i="3"/>
  <c r="C327" i="3"/>
  <c r="A327" i="3"/>
  <c r="C326" i="3"/>
  <c r="A326" i="3"/>
  <c r="C325" i="3"/>
  <c r="A325" i="3"/>
  <c r="C324" i="3"/>
  <c r="A324" i="3"/>
  <c r="C323" i="3"/>
  <c r="A323" i="3"/>
  <c r="C322" i="3"/>
  <c r="A322" i="3"/>
  <c r="C321" i="3"/>
  <c r="A321" i="3"/>
  <c r="C320" i="3"/>
  <c r="A320" i="3"/>
  <c r="C319" i="3"/>
  <c r="A319" i="3"/>
  <c r="C318" i="3"/>
  <c r="A318" i="3"/>
  <c r="C317" i="3"/>
  <c r="A317" i="3"/>
  <c r="C316" i="3"/>
  <c r="A316" i="3"/>
  <c r="C315" i="3"/>
  <c r="A315" i="3"/>
  <c r="C314" i="3"/>
  <c r="A314" i="3"/>
  <c r="C313" i="3"/>
  <c r="A313" i="3"/>
  <c r="C312" i="3"/>
  <c r="A312" i="3"/>
  <c r="C311" i="3"/>
  <c r="A311" i="3"/>
  <c r="C310" i="3"/>
  <c r="A310" i="3"/>
  <c r="C309" i="3"/>
  <c r="A309" i="3"/>
  <c r="C308" i="3"/>
  <c r="A308" i="3"/>
  <c r="C307" i="3"/>
  <c r="A307" i="3"/>
  <c r="C306" i="3"/>
  <c r="A306" i="3"/>
  <c r="C305" i="3"/>
  <c r="A305" i="3"/>
  <c r="C304" i="3"/>
  <c r="A304" i="3"/>
  <c r="C303" i="3"/>
  <c r="A303" i="3"/>
  <c r="C302" i="3"/>
  <c r="A302" i="3"/>
  <c r="C301" i="3"/>
  <c r="A301" i="3"/>
  <c r="C300" i="3"/>
  <c r="A300" i="3"/>
  <c r="C299" i="3"/>
  <c r="A299" i="3"/>
  <c r="C298" i="3"/>
  <c r="A298" i="3"/>
  <c r="C297" i="3"/>
  <c r="A297" i="3"/>
  <c r="C296" i="3"/>
  <c r="A296" i="3"/>
  <c r="AV291" i="1"/>
  <c r="AW291" i="1"/>
  <c r="AX291" i="1"/>
  <c r="K372" i="1"/>
  <c r="I372" i="1"/>
  <c r="J372" i="1" s="1"/>
  <c r="P375" i="1"/>
  <c r="P374" i="1"/>
  <c r="C433" i="15" l="1"/>
  <c r="M296" i="1"/>
  <c r="B433" i="15" s="1"/>
  <c r="C441" i="15"/>
  <c r="M304" i="1"/>
  <c r="B441" i="15" s="1"/>
  <c r="C449" i="15"/>
  <c r="M312" i="1"/>
  <c r="B449" i="15" s="1"/>
  <c r="C457" i="15"/>
  <c r="M320" i="1"/>
  <c r="B457" i="15" s="1"/>
  <c r="C465" i="15"/>
  <c r="M328" i="1"/>
  <c r="B465" i="15" s="1"/>
  <c r="C473" i="15"/>
  <c r="M336" i="1"/>
  <c r="B473" i="15" s="1"/>
  <c r="C444" i="15"/>
  <c r="M307" i="1"/>
  <c r="B444" i="15" s="1"/>
  <c r="C468" i="15"/>
  <c r="M331" i="1"/>
  <c r="B468" i="15" s="1"/>
  <c r="C432" i="15"/>
  <c r="M295" i="1"/>
  <c r="B432" i="15" s="1"/>
  <c r="C440" i="15"/>
  <c r="M303" i="1"/>
  <c r="B440" i="15" s="1"/>
  <c r="C448" i="15"/>
  <c r="M311" i="1"/>
  <c r="B448" i="15" s="1"/>
  <c r="C456" i="15"/>
  <c r="M319" i="1"/>
  <c r="B456" i="15" s="1"/>
  <c r="C464" i="15"/>
  <c r="M327" i="1"/>
  <c r="B464" i="15" s="1"/>
  <c r="C472" i="15"/>
  <c r="M335" i="1"/>
  <c r="B472" i="15" s="1"/>
  <c r="C435" i="15"/>
  <c r="M298" i="1"/>
  <c r="B435" i="15" s="1"/>
  <c r="C443" i="15"/>
  <c r="M306" i="1"/>
  <c r="B443" i="15" s="1"/>
  <c r="C451" i="15"/>
  <c r="M314" i="1"/>
  <c r="B451" i="15" s="1"/>
  <c r="C459" i="15"/>
  <c r="M322" i="1"/>
  <c r="B459" i="15" s="1"/>
  <c r="C467" i="15"/>
  <c r="M330" i="1"/>
  <c r="B467" i="15" s="1"/>
  <c r="C475" i="15"/>
  <c r="M338" i="1"/>
  <c r="B475" i="15" s="1"/>
  <c r="C436" i="15"/>
  <c r="M299" i="1"/>
  <c r="B436" i="15" s="1"/>
  <c r="C460" i="15"/>
  <c r="M323" i="1"/>
  <c r="B460" i="15" s="1"/>
  <c r="C431" i="15"/>
  <c r="M294" i="1"/>
  <c r="B431" i="15" s="1"/>
  <c r="C439" i="15"/>
  <c r="M302" i="1"/>
  <c r="B439" i="15" s="1"/>
  <c r="C447" i="15"/>
  <c r="M310" i="1"/>
  <c r="B447" i="15" s="1"/>
  <c r="C455" i="15"/>
  <c r="M318" i="1"/>
  <c r="B455" i="15" s="1"/>
  <c r="C463" i="15"/>
  <c r="M326" i="1"/>
  <c r="B463" i="15" s="1"/>
  <c r="C471" i="15"/>
  <c r="M334" i="1"/>
  <c r="B471" i="15" s="1"/>
  <c r="C434" i="15"/>
  <c r="M297" i="1"/>
  <c r="B434" i="15" s="1"/>
  <c r="C442" i="15"/>
  <c r="M305" i="1"/>
  <c r="B442" i="15" s="1"/>
  <c r="C450" i="15"/>
  <c r="M313" i="1"/>
  <c r="B450" i="15" s="1"/>
  <c r="C458" i="15"/>
  <c r="M321" i="1"/>
  <c r="B458" i="15" s="1"/>
  <c r="C466" i="15"/>
  <c r="M329" i="1"/>
  <c r="B466" i="15" s="1"/>
  <c r="C474" i="15"/>
  <c r="M337" i="1"/>
  <c r="B474" i="15" s="1"/>
  <c r="C428" i="15"/>
  <c r="M291" i="1"/>
  <c r="B428" i="15" s="1"/>
  <c r="C452" i="15"/>
  <c r="M315" i="1"/>
  <c r="B452" i="15" s="1"/>
  <c r="C429" i="15"/>
  <c r="M292" i="1"/>
  <c r="B429" i="15" s="1"/>
  <c r="C437" i="15"/>
  <c r="M300" i="1"/>
  <c r="B437" i="15" s="1"/>
  <c r="C445" i="15"/>
  <c r="M308" i="1"/>
  <c r="B445" i="15" s="1"/>
  <c r="C453" i="15"/>
  <c r="M316" i="1"/>
  <c r="B453" i="15" s="1"/>
  <c r="C461" i="15"/>
  <c r="M324" i="1"/>
  <c r="B461" i="15" s="1"/>
  <c r="C469" i="15"/>
  <c r="M332" i="1"/>
  <c r="B469" i="15" s="1"/>
  <c r="C430" i="15"/>
  <c r="M293" i="1"/>
  <c r="B430" i="15" s="1"/>
  <c r="C438" i="15"/>
  <c r="M301" i="1"/>
  <c r="B438" i="15" s="1"/>
  <c r="C446" i="15"/>
  <c r="M309" i="1"/>
  <c r="B446" i="15" s="1"/>
  <c r="C454" i="15"/>
  <c r="M317" i="1"/>
  <c r="B454" i="15" s="1"/>
  <c r="C462" i="15"/>
  <c r="M325" i="1"/>
  <c r="B462" i="15" s="1"/>
  <c r="C470" i="15"/>
  <c r="M333" i="1"/>
  <c r="B470" i="15" s="1"/>
  <c r="D243" i="3"/>
  <c r="D241" i="3"/>
  <c r="D242" i="3"/>
  <c r="AY293" i="1"/>
  <c r="BA295" i="1"/>
  <c r="AY297" i="1"/>
  <c r="BA299" i="1"/>
  <c r="AY301" i="1"/>
  <c r="BA303" i="1"/>
  <c r="AY305" i="1"/>
  <c r="BA307" i="1"/>
  <c r="AY309" i="1"/>
  <c r="BA311" i="1"/>
  <c r="AY313" i="1"/>
  <c r="BA315" i="1"/>
  <c r="AY317" i="1"/>
  <c r="BA319" i="1"/>
  <c r="AY321" i="1"/>
  <c r="BA323" i="1"/>
  <c r="AY325" i="1"/>
  <c r="BA327" i="1"/>
  <c r="AY329" i="1"/>
  <c r="BA331" i="1"/>
  <c r="AY333" i="1"/>
  <c r="BA335" i="1"/>
  <c r="AY337" i="1"/>
  <c r="M241" i="1"/>
  <c r="B233" i="15" s="1"/>
  <c r="M243" i="1"/>
  <c r="B235" i="15" s="1"/>
  <c r="M244" i="1"/>
  <c r="B236" i="15" s="1"/>
  <c r="BA293" i="1"/>
  <c r="AY295" i="1"/>
  <c r="BA297" i="1"/>
  <c r="AY299" i="1"/>
  <c r="BA301" i="1"/>
  <c r="AY303" i="1"/>
  <c r="BA305" i="1"/>
  <c r="AY307" i="1"/>
  <c r="BA309" i="1"/>
  <c r="AY311" i="1"/>
  <c r="BA313" i="1"/>
  <c r="AY315" i="1"/>
  <c r="BA317" i="1"/>
  <c r="AY319" i="1"/>
  <c r="BA321" i="1"/>
  <c r="AY323" i="1"/>
  <c r="BA325" i="1"/>
  <c r="AY327" i="1"/>
  <c r="BA329" i="1"/>
  <c r="AY331" i="1"/>
  <c r="BA333" i="1"/>
  <c r="AY335" i="1"/>
  <c r="BA337" i="1"/>
  <c r="M240" i="1"/>
  <c r="B232" i="15" s="1"/>
  <c r="M242" i="1"/>
  <c r="B234" i="15" s="1"/>
  <c r="A8" i="8"/>
  <c r="BA239" i="1"/>
  <c r="M239" i="1"/>
  <c r="B231" i="15" s="1"/>
  <c r="AY239" i="1"/>
  <c r="AY240" i="1"/>
  <c r="AY241" i="1"/>
  <c r="AY242" i="1"/>
  <c r="AY243" i="1"/>
  <c r="AY244" i="1"/>
  <c r="AZ239" i="1"/>
  <c r="AZ242" i="1"/>
  <c r="AZ243" i="1"/>
  <c r="AZ244" i="1"/>
  <c r="BA244" i="1"/>
  <c r="BA243" i="1"/>
  <c r="BA242" i="1"/>
  <c r="BA241" i="1"/>
  <c r="BA240" i="1"/>
  <c r="AZ241" i="1"/>
  <c r="AZ240" i="1"/>
  <c r="AZ291" i="1"/>
  <c r="BA291" i="1"/>
  <c r="AY291" i="1"/>
  <c r="BA294" i="1"/>
  <c r="AZ295" i="1"/>
  <c r="BA298" i="1"/>
  <c r="AZ299" i="1"/>
  <c r="BA302" i="1"/>
  <c r="AZ303" i="1"/>
  <c r="BA306" i="1"/>
  <c r="AZ307" i="1"/>
  <c r="BA310" i="1"/>
  <c r="AZ311" i="1"/>
  <c r="BA314" i="1"/>
  <c r="AZ315" i="1"/>
  <c r="BA318" i="1"/>
  <c r="AZ319" i="1"/>
  <c r="BA322" i="1"/>
  <c r="AZ323" i="1"/>
  <c r="BA326" i="1"/>
  <c r="AZ327" i="1"/>
  <c r="BA330" i="1"/>
  <c r="AZ331" i="1"/>
  <c r="BA334" i="1"/>
  <c r="AZ335" i="1"/>
  <c r="BA338" i="1"/>
  <c r="AY292" i="1"/>
  <c r="AZ293" i="1"/>
  <c r="AY296" i="1"/>
  <c r="AZ297" i="1"/>
  <c r="AY300" i="1"/>
  <c r="AZ301" i="1"/>
  <c r="AZ304" i="1"/>
  <c r="AZ305" i="1"/>
  <c r="AZ308" i="1"/>
  <c r="AZ309" i="1"/>
  <c r="AZ312" i="1"/>
  <c r="AZ313" i="1"/>
  <c r="AZ316" i="1"/>
  <c r="AZ317" i="1"/>
  <c r="AZ320" i="1"/>
  <c r="AZ321" i="1"/>
  <c r="AZ324" i="1"/>
  <c r="AZ325" i="1"/>
  <c r="AZ328" i="1"/>
  <c r="AZ329" i="1"/>
  <c r="AZ332" i="1"/>
  <c r="AZ333" i="1"/>
  <c r="AZ336" i="1"/>
  <c r="AZ337" i="1"/>
  <c r="AZ292" i="1"/>
  <c r="AZ296" i="1"/>
  <c r="AZ300" i="1"/>
  <c r="BA292" i="1"/>
  <c r="AY294" i="1"/>
  <c r="BA296" i="1"/>
  <c r="AY298" i="1"/>
  <c r="BA300" i="1"/>
  <c r="AY302" i="1"/>
  <c r="BA304" i="1"/>
  <c r="AY306" i="1"/>
  <c r="BA308" i="1"/>
  <c r="AY310" i="1"/>
  <c r="BA312" i="1"/>
  <c r="AY314" i="1"/>
  <c r="BA316" i="1"/>
  <c r="AY318" i="1"/>
  <c r="BA320" i="1"/>
  <c r="AY322" i="1"/>
  <c r="BA324" i="1"/>
  <c r="AY326" i="1"/>
  <c r="BA328" i="1"/>
  <c r="AY330" i="1"/>
  <c r="BA332" i="1"/>
  <c r="AY334" i="1"/>
  <c r="BA336" i="1"/>
  <c r="AY338" i="1"/>
  <c r="AZ302" i="1"/>
  <c r="AZ318" i="1"/>
  <c r="AZ322" i="1"/>
  <c r="AZ326" i="1"/>
  <c r="AZ330" i="1"/>
  <c r="AZ334" i="1"/>
  <c r="AZ338" i="1"/>
  <c r="AZ294" i="1"/>
  <c r="AZ298" i="1"/>
  <c r="AZ306" i="1"/>
  <c r="AZ310" i="1"/>
  <c r="AZ314" i="1"/>
  <c r="AY304" i="1"/>
  <c r="AY308" i="1"/>
  <c r="AY312" i="1"/>
  <c r="AY316" i="1"/>
  <c r="AY320" i="1"/>
  <c r="AY324" i="1"/>
  <c r="AY328" i="1"/>
  <c r="AY332" i="1"/>
  <c r="AY336" i="1"/>
  <c r="P397" i="1"/>
  <c r="P396" i="1"/>
  <c r="Q396" i="1" s="1"/>
  <c r="P395" i="1"/>
  <c r="T403" i="3"/>
  <c r="V403" i="3"/>
  <c r="X403" i="3"/>
  <c r="Z403" i="3"/>
  <c r="AB403" i="3"/>
  <c r="AD403" i="3"/>
  <c r="AF403" i="3"/>
  <c r="AH403" i="3"/>
  <c r="AJ403" i="3"/>
  <c r="R403" i="3"/>
  <c r="P398" i="1"/>
  <c r="J464" i="3"/>
  <c r="H464" i="3"/>
  <c r="J463" i="3"/>
  <c r="H463" i="3"/>
  <c r="J462" i="3"/>
  <c r="H462" i="3"/>
  <c r="J461" i="3"/>
  <c r="H461" i="3"/>
  <c r="J460" i="3"/>
  <c r="H460" i="3"/>
  <c r="BE457" i="1"/>
  <c r="BA457" i="1"/>
  <c r="AZ457" i="1"/>
  <c r="AY457" i="1"/>
  <c r="AI457" i="1"/>
  <c r="AC457" i="1" s="1"/>
  <c r="BE456" i="1"/>
  <c r="BA456" i="1"/>
  <c r="AZ456" i="1"/>
  <c r="AY456" i="1"/>
  <c r="AI456" i="1"/>
  <c r="AC456" i="1" s="1"/>
  <c r="N459" i="1"/>
  <c r="C402" i="15" s="1"/>
  <c r="N458" i="1"/>
  <c r="C401" i="15" s="1"/>
  <c r="N457" i="1"/>
  <c r="C400" i="15" s="1"/>
  <c r="N456" i="1"/>
  <c r="C399" i="15" s="1"/>
  <c r="N455" i="1"/>
  <c r="C398" i="15" s="1"/>
  <c r="P459" i="1"/>
  <c r="P458" i="1"/>
  <c r="P457" i="1"/>
  <c r="Q457" i="1" s="1"/>
  <c r="P456" i="1"/>
  <c r="Q456" i="1" s="1"/>
  <c r="P455" i="1"/>
  <c r="C462" i="3"/>
  <c r="A462" i="3"/>
  <c r="C461" i="3"/>
  <c r="A461" i="3"/>
  <c r="F242" i="3" l="1"/>
  <c r="C237" i="1"/>
  <c r="F241" i="3"/>
  <c r="C236" i="1"/>
  <c r="F243" i="3"/>
  <c r="C238" i="1"/>
  <c r="D460" i="3"/>
  <c r="D462" i="3"/>
  <c r="D464" i="3"/>
  <c r="C459" i="1" s="1"/>
  <c r="D461" i="3"/>
  <c r="C456" i="1" s="1"/>
  <c r="D463" i="3"/>
  <c r="C458" i="1" s="1"/>
  <c r="J403" i="3"/>
  <c r="A9" i="8"/>
  <c r="H403" i="3"/>
  <c r="M457" i="1"/>
  <c r="B400" i="15" s="1"/>
  <c r="X457" i="1"/>
  <c r="M456" i="1"/>
  <c r="B399" i="15" s="1"/>
  <c r="X456" i="1"/>
  <c r="N83" i="1"/>
  <c r="C80" i="15" s="1"/>
  <c r="N82" i="1"/>
  <c r="C79" i="15" s="1"/>
  <c r="N81" i="1"/>
  <c r="C78" i="15" s="1"/>
  <c r="N80" i="1"/>
  <c r="C77" i="15" s="1"/>
  <c r="N79" i="1"/>
  <c r="C76" i="15" s="1"/>
  <c r="N78" i="1"/>
  <c r="C75" i="15" s="1"/>
  <c r="N77" i="1"/>
  <c r="C74" i="15" s="1"/>
  <c r="N76" i="1"/>
  <c r="C73" i="15" s="1"/>
  <c r="N75" i="1"/>
  <c r="C72" i="15" s="1"/>
  <c r="N74" i="1"/>
  <c r="C71" i="15" s="1"/>
  <c r="N73" i="1"/>
  <c r="C70" i="15" s="1"/>
  <c r="N72" i="1"/>
  <c r="C69" i="15" s="1"/>
  <c r="N71" i="1"/>
  <c r="C68" i="15" s="1"/>
  <c r="N70" i="1"/>
  <c r="C67" i="15" s="1"/>
  <c r="N69" i="1"/>
  <c r="C66" i="15" s="1"/>
  <c r="N68" i="1"/>
  <c r="C65" i="15" s="1"/>
  <c r="N67" i="1"/>
  <c r="C64" i="15" s="1"/>
  <c r="N66" i="1"/>
  <c r="C63" i="15" s="1"/>
  <c r="N65" i="1"/>
  <c r="C62" i="15" s="1"/>
  <c r="N64" i="1"/>
  <c r="C61" i="15" s="1"/>
  <c r="N63" i="1"/>
  <c r="C60" i="15" s="1"/>
  <c r="N62" i="1"/>
  <c r="C59" i="15" s="1"/>
  <c r="N61" i="1"/>
  <c r="C58" i="15" s="1"/>
  <c r="N60" i="1"/>
  <c r="C57" i="15" s="1"/>
  <c r="N59" i="1"/>
  <c r="C56" i="15" s="1"/>
  <c r="N58" i="1"/>
  <c r="C55" i="15" s="1"/>
  <c r="N57" i="1"/>
  <c r="C54" i="15" s="1"/>
  <c r="N56" i="1"/>
  <c r="C53" i="15" s="1"/>
  <c r="N55" i="1"/>
  <c r="C52" i="15" s="1"/>
  <c r="N54" i="1"/>
  <c r="C51" i="15" s="1"/>
  <c r="N53" i="1"/>
  <c r="C50" i="15" s="1"/>
  <c r="N52" i="1"/>
  <c r="C49" i="15" s="1"/>
  <c r="N51" i="1"/>
  <c r="C48" i="15" s="1"/>
  <c r="N50" i="1"/>
  <c r="C47" i="15" s="1"/>
  <c r="N49" i="1"/>
  <c r="C46" i="15" s="1"/>
  <c r="N48" i="1"/>
  <c r="C45" i="15" s="1"/>
  <c r="N47" i="1"/>
  <c r="C44" i="15" s="1"/>
  <c r="N46" i="1"/>
  <c r="C43" i="15" s="1"/>
  <c r="N45" i="1"/>
  <c r="C42" i="15" s="1"/>
  <c r="N44" i="1"/>
  <c r="C41" i="15" s="1"/>
  <c r="N43" i="1"/>
  <c r="C40" i="15" s="1"/>
  <c r="N42" i="1"/>
  <c r="C39" i="15" s="1"/>
  <c r="N41" i="1"/>
  <c r="C38" i="15" s="1"/>
  <c r="N40" i="1"/>
  <c r="C37" i="15" s="1"/>
  <c r="N39" i="1"/>
  <c r="C36" i="15" s="1"/>
  <c r="N38" i="1"/>
  <c r="C35" i="15" s="1"/>
  <c r="N37" i="1"/>
  <c r="C34" i="15" s="1"/>
  <c r="N36" i="1"/>
  <c r="C33" i="15" s="1"/>
  <c r="N35" i="1"/>
  <c r="C32" i="15" s="1"/>
  <c r="N34" i="1"/>
  <c r="C31" i="15" s="1"/>
  <c r="N33" i="1"/>
  <c r="C30" i="15" s="1"/>
  <c r="N32" i="1"/>
  <c r="C29" i="15" s="1"/>
  <c r="N31" i="1"/>
  <c r="C28" i="15" s="1"/>
  <c r="N30" i="1"/>
  <c r="C27" i="15" s="1"/>
  <c r="N29" i="1"/>
  <c r="C26" i="15" s="1"/>
  <c r="N28" i="1"/>
  <c r="C25" i="15" s="1"/>
  <c r="N27" i="1"/>
  <c r="C24" i="15" s="1"/>
  <c r="N26" i="1"/>
  <c r="C23" i="15" s="1"/>
  <c r="N25" i="1"/>
  <c r="C22" i="15" s="1"/>
  <c r="N24" i="1"/>
  <c r="C21" i="15" s="1"/>
  <c r="BE83" i="1"/>
  <c r="AX83" i="1"/>
  <c r="AW83" i="1"/>
  <c r="AV83" i="1"/>
  <c r="AI83" i="1"/>
  <c r="AC83" i="1" s="1"/>
  <c r="BE82" i="1"/>
  <c r="AX82" i="1"/>
  <c r="AW82" i="1"/>
  <c r="AV82" i="1"/>
  <c r="AI82" i="1"/>
  <c r="AC82" i="1" s="1"/>
  <c r="BE81" i="1"/>
  <c r="AX81" i="1"/>
  <c r="AW81" i="1"/>
  <c r="AV81" i="1"/>
  <c r="AI81" i="1"/>
  <c r="AC81" i="1" s="1"/>
  <c r="BE80" i="1"/>
  <c r="AX80" i="1"/>
  <c r="AW80" i="1"/>
  <c r="AV80" i="1"/>
  <c r="AI80" i="1"/>
  <c r="AC80" i="1" s="1"/>
  <c r="BE79" i="1"/>
  <c r="AX79" i="1"/>
  <c r="AW79" i="1"/>
  <c r="AV79" i="1"/>
  <c r="AI79" i="1"/>
  <c r="AC79" i="1" s="1"/>
  <c r="BE78" i="1"/>
  <c r="AX78" i="1"/>
  <c r="AW78" i="1"/>
  <c r="AV78" i="1"/>
  <c r="AI78" i="1"/>
  <c r="AC78" i="1" s="1"/>
  <c r="BE77" i="1"/>
  <c r="AX77" i="1"/>
  <c r="AW77" i="1"/>
  <c r="AV77" i="1"/>
  <c r="AI77" i="1"/>
  <c r="AC77" i="1" s="1"/>
  <c r="BE76" i="1"/>
  <c r="AX76" i="1"/>
  <c r="AW76" i="1"/>
  <c r="AV76" i="1"/>
  <c r="AI76" i="1"/>
  <c r="AC76" i="1" s="1"/>
  <c r="BE75" i="1"/>
  <c r="AX75" i="1"/>
  <c r="AW75" i="1"/>
  <c r="AV75" i="1"/>
  <c r="AI75" i="1"/>
  <c r="AC75" i="1" s="1"/>
  <c r="BE74" i="1"/>
  <c r="AX74" i="1"/>
  <c r="AW74" i="1"/>
  <c r="AV74" i="1"/>
  <c r="AI74" i="1"/>
  <c r="AC74" i="1" s="1"/>
  <c r="BE73" i="1"/>
  <c r="AX73" i="1"/>
  <c r="AW73" i="1"/>
  <c r="AV73" i="1"/>
  <c r="AI73" i="1"/>
  <c r="AC73" i="1" s="1"/>
  <c r="BE72" i="1"/>
  <c r="AX72" i="1"/>
  <c r="AW72" i="1"/>
  <c r="AV72" i="1"/>
  <c r="AI72" i="1"/>
  <c r="AC72" i="1" s="1"/>
  <c r="BE71" i="1"/>
  <c r="AX71" i="1"/>
  <c r="AW71" i="1"/>
  <c r="AV71" i="1"/>
  <c r="AI71" i="1"/>
  <c r="AC71" i="1" s="1"/>
  <c r="BE70" i="1"/>
  <c r="AX70" i="1"/>
  <c r="AW70" i="1"/>
  <c r="AV70" i="1"/>
  <c r="AI70" i="1"/>
  <c r="AC70" i="1" s="1"/>
  <c r="BE69" i="1"/>
  <c r="AX69" i="1"/>
  <c r="AW69" i="1"/>
  <c r="AV69" i="1"/>
  <c r="AI69" i="1"/>
  <c r="AC69" i="1" s="1"/>
  <c r="BE68" i="1"/>
  <c r="AX68" i="1"/>
  <c r="AW68" i="1"/>
  <c r="AV68" i="1"/>
  <c r="AI68" i="1"/>
  <c r="AC68" i="1" s="1"/>
  <c r="BE67" i="1"/>
  <c r="AX67" i="1"/>
  <c r="AW67" i="1"/>
  <c r="AV67" i="1"/>
  <c r="AI67" i="1"/>
  <c r="AC67" i="1" s="1"/>
  <c r="BE66" i="1"/>
  <c r="AX66" i="1"/>
  <c r="AW66" i="1"/>
  <c r="AV66" i="1"/>
  <c r="AI66" i="1"/>
  <c r="AC66" i="1" s="1"/>
  <c r="BE65" i="1"/>
  <c r="AX65" i="1"/>
  <c r="AW65" i="1"/>
  <c r="AV65" i="1"/>
  <c r="AI65" i="1"/>
  <c r="AC65" i="1" s="1"/>
  <c r="BE64" i="1"/>
  <c r="AX64" i="1"/>
  <c r="AW64" i="1"/>
  <c r="AV64" i="1"/>
  <c r="AI64" i="1"/>
  <c r="AC64" i="1" s="1"/>
  <c r="BE63" i="1"/>
  <c r="AX63" i="1"/>
  <c r="AW63" i="1"/>
  <c r="AV63" i="1"/>
  <c r="AI63" i="1"/>
  <c r="AC63" i="1" s="1"/>
  <c r="BE62" i="1"/>
  <c r="AX62" i="1"/>
  <c r="AW62" i="1"/>
  <c r="AV62" i="1"/>
  <c r="AI62" i="1"/>
  <c r="AC62" i="1" s="1"/>
  <c r="BE61" i="1"/>
  <c r="AX61" i="1"/>
  <c r="AW61" i="1"/>
  <c r="AV61" i="1"/>
  <c r="AI61" i="1"/>
  <c r="AC61" i="1" s="1"/>
  <c r="BE60" i="1"/>
  <c r="AX60" i="1"/>
  <c r="AW60" i="1"/>
  <c r="AV60" i="1"/>
  <c r="AI60" i="1"/>
  <c r="AC60" i="1" s="1"/>
  <c r="BE59" i="1"/>
  <c r="AX59" i="1"/>
  <c r="AW59" i="1"/>
  <c r="AV59" i="1"/>
  <c r="AI59" i="1"/>
  <c r="AC59" i="1" s="1"/>
  <c r="BE58" i="1"/>
  <c r="AX58" i="1"/>
  <c r="AW58" i="1"/>
  <c r="AV58" i="1"/>
  <c r="AI58" i="1"/>
  <c r="AC58" i="1" s="1"/>
  <c r="BE57" i="1"/>
  <c r="AX57" i="1"/>
  <c r="AW57" i="1"/>
  <c r="AV57" i="1"/>
  <c r="AI57" i="1"/>
  <c r="AC57" i="1" s="1"/>
  <c r="BE56" i="1"/>
  <c r="AX56" i="1"/>
  <c r="AW56" i="1"/>
  <c r="AV56" i="1"/>
  <c r="AI56" i="1"/>
  <c r="AC56" i="1" s="1"/>
  <c r="BE55" i="1"/>
  <c r="AX55" i="1"/>
  <c r="AW55" i="1"/>
  <c r="AV55" i="1"/>
  <c r="AI55" i="1"/>
  <c r="AC55" i="1" s="1"/>
  <c r="BE54" i="1"/>
  <c r="AX54" i="1"/>
  <c r="AW54" i="1"/>
  <c r="AV54" i="1"/>
  <c r="AI54" i="1"/>
  <c r="AC54" i="1" s="1"/>
  <c r="BE53" i="1"/>
  <c r="AX53" i="1"/>
  <c r="AW53" i="1"/>
  <c r="AV53" i="1"/>
  <c r="AI53" i="1"/>
  <c r="AC53" i="1" s="1"/>
  <c r="BE52" i="1"/>
  <c r="AX52" i="1"/>
  <c r="AW52" i="1"/>
  <c r="AV52" i="1"/>
  <c r="AI52" i="1"/>
  <c r="AC52" i="1" s="1"/>
  <c r="BE51" i="1"/>
  <c r="AX51" i="1"/>
  <c r="AW51" i="1"/>
  <c r="AV51" i="1"/>
  <c r="AI51" i="1"/>
  <c r="AC51" i="1" s="1"/>
  <c r="BE50" i="1"/>
  <c r="AX50" i="1"/>
  <c r="AW50" i="1"/>
  <c r="AV50" i="1"/>
  <c r="AI50" i="1"/>
  <c r="AC50" i="1" s="1"/>
  <c r="BE49" i="1"/>
  <c r="AX49" i="1"/>
  <c r="AW49" i="1"/>
  <c r="AV49" i="1"/>
  <c r="AI49" i="1"/>
  <c r="AC49" i="1" s="1"/>
  <c r="BE48" i="1"/>
  <c r="AX48" i="1"/>
  <c r="AW48" i="1"/>
  <c r="AV48" i="1"/>
  <c r="AI48" i="1"/>
  <c r="AC48" i="1" s="1"/>
  <c r="BE47" i="1"/>
  <c r="AX47" i="1"/>
  <c r="AW47" i="1"/>
  <c r="AV47" i="1"/>
  <c r="AI47" i="1"/>
  <c r="AC47" i="1" s="1"/>
  <c r="BE46" i="1"/>
  <c r="AX46" i="1"/>
  <c r="AW46" i="1"/>
  <c r="AV46" i="1"/>
  <c r="AI46" i="1"/>
  <c r="AC46" i="1" s="1"/>
  <c r="BE45" i="1"/>
  <c r="AX45" i="1"/>
  <c r="AW45" i="1"/>
  <c r="AV45" i="1"/>
  <c r="AI45" i="1"/>
  <c r="AC45" i="1" s="1"/>
  <c r="BE44" i="1"/>
  <c r="AX44" i="1"/>
  <c r="AW44" i="1"/>
  <c r="AV44" i="1"/>
  <c r="AI44" i="1"/>
  <c r="AC44" i="1" s="1"/>
  <c r="BE43" i="1"/>
  <c r="AX43" i="1"/>
  <c r="AW43" i="1"/>
  <c r="AV43" i="1"/>
  <c r="AI43" i="1"/>
  <c r="AC43" i="1" s="1"/>
  <c r="BE42" i="1"/>
  <c r="AX42" i="1"/>
  <c r="AW42" i="1"/>
  <c r="AV42" i="1"/>
  <c r="AI42" i="1"/>
  <c r="AC42" i="1" s="1"/>
  <c r="BE41" i="1"/>
  <c r="AX41" i="1"/>
  <c r="AW41" i="1"/>
  <c r="AV41" i="1"/>
  <c r="AI41" i="1"/>
  <c r="AC41" i="1" s="1"/>
  <c r="BE40" i="1"/>
  <c r="AX40" i="1"/>
  <c r="AW40" i="1"/>
  <c r="AV40" i="1"/>
  <c r="AI40" i="1"/>
  <c r="AC40" i="1" s="1"/>
  <c r="BE39" i="1"/>
  <c r="AX39" i="1"/>
  <c r="AW39" i="1"/>
  <c r="AV39" i="1"/>
  <c r="AI39" i="1"/>
  <c r="AC39" i="1" s="1"/>
  <c r="BE38" i="1"/>
  <c r="AX38" i="1"/>
  <c r="AW38" i="1"/>
  <c r="AV38" i="1"/>
  <c r="AI38" i="1"/>
  <c r="AC38" i="1" s="1"/>
  <c r="BE37" i="1"/>
  <c r="AX37" i="1"/>
  <c r="AW37" i="1"/>
  <c r="AV37" i="1"/>
  <c r="AI37" i="1"/>
  <c r="AC37" i="1" s="1"/>
  <c r="BE36" i="1"/>
  <c r="AX36" i="1"/>
  <c r="AW36" i="1"/>
  <c r="AV36" i="1"/>
  <c r="AI36" i="1"/>
  <c r="AC36" i="1" s="1"/>
  <c r="BE35" i="1"/>
  <c r="AX35" i="1"/>
  <c r="AW35" i="1"/>
  <c r="AV35" i="1"/>
  <c r="AI35" i="1"/>
  <c r="AC35" i="1" s="1"/>
  <c r="BE34" i="1"/>
  <c r="AX34" i="1"/>
  <c r="AW34" i="1"/>
  <c r="AV34" i="1"/>
  <c r="AI34" i="1"/>
  <c r="AC34" i="1" s="1"/>
  <c r="BE33" i="1"/>
  <c r="AX33" i="1"/>
  <c r="AW33" i="1"/>
  <c r="AV33" i="1"/>
  <c r="AI33" i="1"/>
  <c r="AC33" i="1" s="1"/>
  <c r="BE32" i="1"/>
  <c r="AX32" i="1"/>
  <c r="AW32" i="1"/>
  <c r="AV32" i="1"/>
  <c r="AI32" i="1"/>
  <c r="AC32" i="1" s="1"/>
  <c r="BE31" i="1"/>
  <c r="AX31" i="1"/>
  <c r="AW31" i="1"/>
  <c r="AV31" i="1"/>
  <c r="AI31" i="1"/>
  <c r="AC31" i="1" s="1"/>
  <c r="BE30" i="1"/>
  <c r="AX30" i="1"/>
  <c r="AW30" i="1"/>
  <c r="AV30" i="1"/>
  <c r="AI30" i="1"/>
  <c r="AC30" i="1" s="1"/>
  <c r="BE29" i="1"/>
  <c r="AX29" i="1"/>
  <c r="AW29" i="1"/>
  <c r="AV29" i="1"/>
  <c r="AI29" i="1"/>
  <c r="AC29" i="1" s="1"/>
  <c r="BE28" i="1"/>
  <c r="AX28" i="1"/>
  <c r="AW28" i="1"/>
  <c r="AV28" i="1"/>
  <c r="AI28" i="1"/>
  <c r="AC28" i="1" s="1"/>
  <c r="BE27" i="1"/>
  <c r="AX27" i="1"/>
  <c r="AW27" i="1"/>
  <c r="AV27" i="1"/>
  <c r="AI27" i="1"/>
  <c r="AC27" i="1" s="1"/>
  <c r="BE26" i="1"/>
  <c r="AX26" i="1"/>
  <c r="AW26" i="1"/>
  <c r="AV26" i="1"/>
  <c r="AI26" i="1"/>
  <c r="AC26" i="1" s="1"/>
  <c r="BE25" i="1"/>
  <c r="AX25" i="1"/>
  <c r="AW25" i="1"/>
  <c r="AV25" i="1"/>
  <c r="AI25" i="1"/>
  <c r="AC25" i="1" s="1"/>
  <c r="BE24" i="1"/>
  <c r="AX24" i="1"/>
  <c r="AW24" i="1"/>
  <c r="AV24" i="1"/>
  <c r="AI24" i="1"/>
  <c r="AC24" i="1" s="1"/>
  <c r="M24" i="1" s="1"/>
  <c r="B21" i="15" s="1"/>
  <c r="P83" i="1"/>
  <c r="P82" i="1"/>
  <c r="P81" i="1"/>
  <c r="P80" i="1"/>
  <c r="Q80" i="1" s="1"/>
  <c r="P79" i="1"/>
  <c r="P78" i="1"/>
  <c r="X78" i="1" s="1"/>
  <c r="P77" i="1"/>
  <c r="X77" i="1" s="1"/>
  <c r="P76" i="1"/>
  <c r="P75" i="1"/>
  <c r="P74" i="1"/>
  <c r="X74" i="1" s="1"/>
  <c r="P73" i="1"/>
  <c r="X73" i="1" s="1"/>
  <c r="P72" i="1"/>
  <c r="X72" i="1" s="1"/>
  <c r="P71" i="1"/>
  <c r="X71" i="1" s="1"/>
  <c r="P70" i="1"/>
  <c r="Q70" i="1" s="1"/>
  <c r="P69" i="1"/>
  <c r="Q69" i="1" s="1"/>
  <c r="P68" i="1"/>
  <c r="X68" i="1" s="1"/>
  <c r="P67" i="1"/>
  <c r="P66" i="1"/>
  <c r="P65" i="1"/>
  <c r="P64" i="1"/>
  <c r="Q64" i="1" s="1"/>
  <c r="P63" i="1"/>
  <c r="Q63" i="1" s="1"/>
  <c r="P62" i="1"/>
  <c r="X62" i="1" s="1"/>
  <c r="P61" i="1"/>
  <c r="X61" i="1" s="1"/>
  <c r="P60" i="1"/>
  <c r="P59" i="1"/>
  <c r="P58" i="1"/>
  <c r="X58" i="1" s="1"/>
  <c r="P57" i="1"/>
  <c r="X57" i="1" s="1"/>
  <c r="P56" i="1"/>
  <c r="X56" i="1" s="1"/>
  <c r="P55" i="1"/>
  <c r="P54" i="1"/>
  <c r="Q54" i="1" s="1"/>
  <c r="P53" i="1"/>
  <c r="Q53" i="1" s="1"/>
  <c r="P52" i="1"/>
  <c r="X52" i="1" s="1"/>
  <c r="P51" i="1"/>
  <c r="P50" i="1"/>
  <c r="P49" i="1"/>
  <c r="P48" i="1"/>
  <c r="Q48" i="1" s="1"/>
  <c r="P47" i="1"/>
  <c r="P46" i="1"/>
  <c r="X46" i="1" s="1"/>
  <c r="P45" i="1"/>
  <c r="X45" i="1" s="1"/>
  <c r="P44" i="1"/>
  <c r="P43" i="1"/>
  <c r="P42" i="1"/>
  <c r="X42" i="1" s="1"/>
  <c r="P41" i="1"/>
  <c r="X41" i="1" s="1"/>
  <c r="P40" i="1"/>
  <c r="X40" i="1" s="1"/>
  <c r="P39" i="1"/>
  <c r="X39" i="1" s="1"/>
  <c r="P38" i="1"/>
  <c r="Q38" i="1" s="1"/>
  <c r="P37" i="1"/>
  <c r="Q37" i="1" s="1"/>
  <c r="P36" i="1"/>
  <c r="X36" i="1" s="1"/>
  <c r="P35" i="1"/>
  <c r="P34" i="1"/>
  <c r="P33" i="1"/>
  <c r="P32" i="1"/>
  <c r="Q32" i="1" s="1"/>
  <c r="P31" i="1"/>
  <c r="Q31" i="1" s="1"/>
  <c r="P30" i="1"/>
  <c r="X30" i="1" s="1"/>
  <c r="P29" i="1"/>
  <c r="X29" i="1" s="1"/>
  <c r="P28" i="1"/>
  <c r="P27" i="1"/>
  <c r="P26" i="1"/>
  <c r="X26" i="1" s="1"/>
  <c r="P25" i="1"/>
  <c r="X25" i="1" s="1"/>
  <c r="P24" i="1"/>
  <c r="X24" i="1" s="1"/>
  <c r="C88" i="3"/>
  <c r="A88" i="3"/>
  <c r="C87" i="3"/>
  <c r="A87" i="3"/>
  <c r="C86" i="3"/>
  <c r="A86" i="3"/>
  <c r="C85" i="3"/>
  <c r="A85" i="3"/>
  <c r="C84" i="3"/>
  <c r="A84" i="3"/>
  <c r="C83" i="3"/>
  <c r="A83" i="3"/>
  <c r="C82" i="3"/>
  <c r="A82" i="3"/>
  <c r="C81" i="3"/>
  <c r="A81" i="3"/>
  <c r="C80" i="3"/>
  <c r="A80" i="3"/>
  <c r="C79" i="3"/>
  <c r="A79" i="3"/>
  <c r="C78" i="3"/>
  <c r="A78" i="3"/>
  <c r="C77" i="3"/>
  <c r="A77" i="3"/>
  <c r="C76" i="3"/>
  <c r="A76" i="3"/>
  <c r="C75" i="3"/>
  <c r="A75" i="3"/>
  <c r="C74" i="3"/>
  <c r="A74" i="3"/>
  <c r="C73" i="3"/>
  <c r="A73" i="3"/>
  <c r="C72" i="3"/>
  <c r="A72" i="3"/>
  <c r="C71" i="3"/>
  <c r="A71" i="3"/>
  <c r="C70" i="3"/>
  <c r="A70" i="3"/>
  <c r="C69" i="3"/>
  <c r="A69" i="3"/>
  <c r="C68" i="3"/>
  <c r="A68" i="3"/>
  <c r="C67" i="3"/>
  <c r="A67" i="3"/>
  <c r="C66" i="3"/>
  <c r="A66" i="3"/>
  <c r="C65" i="3"/>
  <c r="A65" i="3"/>
  <c r="C64" i="3"/>
  <c r="A64" i="3"/>
  <c r="C63" i="3"/>
  <c r="A63" i="3"/>
  <c r="C62" i="3"/>
  <c r="A62" i="3"/>
  <c r="C61" i="3"/>
  <c r="A61" i="3"/>
  <c r="C60" i="3"/>
  <c r="A60" i="3"/>
  <c r="C59" i="3"/>
  <c r="A59" i="3"/>
  <c r="C58" i="3"/>
  <c r="A58" i="3"/>
  <c r="C57" i="3"/>
  <c r="A57" i="3"/>
  <c r="C56" i="3"/>
  <c r="A56" i="3"/>
  <c r="C55" i="3"/>
  <c r="A55" i="3"/>
  <c r="C54" i="3"/>
  <c r="A54" i="3"/>
  <c r="C53" i="3"/>
  <c r="A53" i="3"/>
  <c r="C52" i="3"/>
  <c r="A52" i="3"/>
  <c r="C51" i="3"/>
  <c r="A51" i="3"/>
  <c r="C50" i="3"/>
  <c r="A50" i="3"/>
  <c r="C49" i="3"/>
  <c r="A49" i="3"/>
  <c r="C48" i="3"/>
  <c r="A48" i="3"/>
  <c r="C47" i="3"/>
  <c r="A47" i="3"/>
  <c r="C46" i="3"/>
  <c r="A46" i="3"/>
  <c r="C45" i="3"/>
  <c r="A45" i="3"/>
  <c r="C44" i="3"/>
  <c r="A44" i="3"/>
  <c r="C43" i="3"/>
  <c r="A43" i="3"/>
  <c r="C42" i="3"/>
  <c r="A42" i="3"/>
  <c r="C41" i="3"/>
  <c r="A41" i="3"/>
  <c r="C40" i="3"/>
  <c r="A40" i="3"/>
  <c r="C39" i="3"/>
  <c r="A39" i="3"/>
  <c r="C38" i="3"/>
  <c r="A38" i="3"/>
  <c r="C37" i="3"/>
  <c r="A37" i="3"/>
  <c r="C36" i="3"/>
  <c r="A36" i="3"/>
  <c r="C35" i="3"/>
  <c r="A35" i="3"/>
  <c r="C34" i="3"/>
  <c r="A34" i="3"/>
  <c r="C33" i="3"/>
  <c r="A33" i="3"/>
  <c r="C32" i="3"/>
  <c r="A32" i="3"/>
  <c r="C31" i="3"/>
  <c r="A31" i="3"/>
  <c r="C30" i="3"/>
  <c r="A30" i="3"/>
  <c r="C29" i="3"/>
  <c r="A29" i="3"/>
  <c r="S531" i="3"/>
  <c r="S530" i="3"/>
  <c r="AJ530" i="3" s="1"/>
  <c r="S529" i="3"/>
  <c r="S528" i="3"/>
  <c r="S527" i="3"/>
  <c r="S526" i="3"/>
  <c r="S525" i="3"/>
  <c r="AJ525" i="3" s="1"/>
  <c r="H525" i="3" s="1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AJ512" i="3" s="1"/>
  <c r="J512" i="3" s="1"/>
  <c r="S511" i="3"/>
  <c r="S510" i="3"/>
  <c r="AJ510" i="3" s="1"/>
  <c r="J510" i="3" s="1"/>
  <c r="C531" i="3"/>
  <c r="A531" i="3"/>
  <c r="C530" i="3"/>
  <c r="A530" i="3"/>
  <c r="C529" i="3"/>
  <c r="A529" i="3"/>
  <c r="C528" i="3"/>
  <c r="A528" i="3"/>
  <c r="C527" i="3"/>
  <c r="A527" i="3"/>
  <c r="C526" i="3"/>
  <c r="A526" i="3"/>
  <c r="C525" i="3"/>
  <c r="A525" i="3"/>
  <c r="N526" i="1"/>
  <c r="C499" i="15" s="1"/>
  <c r="N525" i="1"/>
  <c r="C498" i="15" s="1"/>
  <c r="N524" i="1"/>
  <c r="C497" i="15" s="1"/>
  <c r="N523" i="1"/>
  <c r="C496" i="15" s="1"/>
  <c r="N519" i="1"/>
  <c r="C492" i="15" s="1"/>
  <c r="N518" i="1"/>
  <c r="C491" i="15" s="1"/>
  <c r="N517" i="1"/>
  <c r="C490" i="15" s="1"/>
  <c r="N516" i="1"/>
  <c r="C489" i="15" s="1"/>
  <c r="N515" i="1"/>
  <c r="C488" i="15" s="1"/>
  <c r="N514" i="1"/>
  <c r="C487" i="15" s="1"/>
  <c r="N522" i="1"/>
  <c r="C495" i="15" s="1"/>
  <c r="N521" i="1"/>
  <c r="C494" i="15" s="1"/>
  <c r="N520" i="1"/>
  <c r="C493" i="15" s="1"/>
  <c r="N513" i="1"/>
  <c r="C486" i="15" s="1"/>
  <c r="N512" i="1"/>
  <c r="C485" i="15" s="1"/>
  <c r="N511" i="1"/>
  <c r="C484" i="15" s="1"/>
  <c r="N510" i="1"/>
  <c r="C483" i="15" s="1"/>
  <c r="N509" i="1"/>
  <c r="C482" i="15" s="1"/>
  <c r="N508" i="1"/>
  <c r="C481" i="15" s="1"/>
  <c r="N507" i="1"/>
  <c r="C480" i="15" s="1"/>
  <c r="N506" i="1"/>
  <c r="C479" i="15" s="1"/>
  <c r="N505" i="1"/>
  <c r="C478" i="15" s="1"/>
  <c r="BE525" i="1"/>
  <c r="BA525" i="1"/>
  <c r="AZ525" i="1"/>
  <c r="AY525" i="1"/>
  <c r="AI525" i="1"/>
  <c r="AC525" i="1" s="1"/>
  <c r="X525" i="1"/>
  <c r="Q525" i="1"/>
  <c r="BE524" i="1"/>
  <c r="BA524" i="1"/>
  <c r="AZ524" i="1"/>
  <c r="AY524" i="1"/>
  <c r="AI524" i="1"/>
  <c r="AC524" i="1" s="1"/>
  <c r="X524" i="1"/>
  <c r="Q524" i="1"/>
  <c r="BE526" i="1"/>
  <c r="BA526" i="1"/>
  <c r="AZ526" i="1"/>
  <c r="AY526" i="1"/>
  <c r="AI526" i="1"/>
  <c r="AC526" i="1" s="1"/>
  <c r="X526" i="1"/>
  <c r="Q526" i="1"/>
  <c r="BE523" i="1"/>
  <c r="BA523" i="1"/>
  <c r="AZ523" i="1"/>
  <c r="AY523" i="1"/>
  <c r="AI523" i="1"/>
  <c r="AC523" i="1" s="1"/>
  <c r="X523" i="1"/>
  <c r="Q523" i="1"/>
  <c r="BE522" i="1"/>
  <c r="BA522" i="1"/>
  <c r="AZ522" i="1"/>
  <c r="AY522" i="1"/>
  <c r="AI522" i="1"/>
  <c r="AC522" i="1" s="1"/>
  <c r="X522" i="1"/>
  <c r="Q522" i="1"/>
  <c r="BE521" i="1"/>
  <c r="BA521" i="1"/>
  <c r="AZ521" i="1"/>
  <c r="AY521" i="1"/>
  <c r="AI521" i="1"/>
  <c r="AC521" i="1" s="1"/>
  <c r="X521" i="1"/>
  <c r="Q521" i="1"/>
  <c r="BE520" i="1"/>
  <c r="BA520" i="1"/>
  <c r="AZ520" i="1"/>
  <c r="AY520" i="1"/>
  <c r="AI520" i="1"/>
  <c r="AC520" i="1" s="1"/>
  <c r="M520" i="1" s="1"/>
  <c r="B493" i="15" s="1"/>
  <c r="X520" i="1"/>
  <c r="Q520" i="1"/>
  <c r="BE519" i="1"/>
  <c r="BA519" i="1"/>
  <c r="AZ519" i="1"/>
  <c r="AY519" i="1"/>
  <c r="AI519" i="1"/>
  <c r="AC519" i="1" s="1"/>
  <c r="X519" i="1"/>
  <c r="Q519" i="1"/>
  <c r="BE518" i="1"/>
  <c r="BA518" i="1"/>
  <c r="AZ518" i="1"/>
  <c r="AY518" i="1"/>
  <c r="AI518" i="1"/>
  <c r="AC518" i="1" s="1"/>
  <c r="X518" i="1"/>
  <c r="Q518" i="1"/>
  <c r="BE517" i="1"/>
  <c r="BA517" i="1"/>
  <c r="AZ517" i="1"/>
  <c r="AY517" i="1"/>
  <c r="AI517" i="1"/>
  <c r="AC517" i="1" s="1"/>
  <c r="X517" i="1"/>
  <c r="Q517" i="1"/>
  <c r="BE516" i="1"/>
  <c r="BA516" i="1"/>
  <c r="AZ516" i="1"/>
  <c r="AY516" i="1"/>
  <c r="AI516" i="1"/>
  <c r="AC516" i="1" s="1"/>
  <c r="X516" i="1"/>
  <c r="Q516" i="1"/>
  <c r="BE515" i="1"/>
  <c r="BA515" i="1"/>
  <c r="AZ515" i="1"/>
  <c r="AY515" i="1"/>
  <c r="AI515" i="1"/>
  <c r="AC515" i="1" s="1"/>
  <c r="X515" i="1"/>
  <c r="Q515" i="1"/>
  <c r="BE514" i="1"/>
  <c r="BA514" i="1"/>
  <c r="AZ514" i="1"/>
  <c r="AY514" i="1"/>
  <c r="AI514" i="1"/>
  <c r="AC514" i="1" s="1"/>
  <c r="X514" i="1"/>
  <c r="Q514" i="1"/>
  <c r="BE513" i="1"/>
  <c r="BA513" i="1"/>
  <c r="AZ513" i="1"/>
  <c r="AY513" i="1"/>
  <c r="AI513" i="1"/>
  <c r="AC513" i="1" s="1"/>
  <c r="X513" i="1"/>
  <c r="Q513" i="1"/>
  <c r="BE512" i="1"/>
  <c r="BA512" i="1"/>
  <c r="AZ512" i="1"/>
  <c r="AY512" i="1"/>
  <c r="AI512" i="1"/>
  <c r="AC512" i="1" s="1"/>
  <c r="X512" i="1"/>
  <c r="Q512" i="1"/>
  <c r="BE511" i="1"/>
  <c r="BA511" i="1"/>
  <c r="AZ511" i="1"/>
  <c r="AY511" i="1"/>
  <c r="AI511" i="1"/>
  <c r="AC511" i="1" s="1"/>
  <c r="X511" i="1"/>
  <c r="Q511" i="1"/>
  <c r="BE510" i="1"/>
  <c r="BA510" i="1"/>
  <c r="AZ510" i="1"/>
  <c r="AY510" i="1"/>
  <c r="AI510" i="1"/>
  <c r="AC510" i="1" s="1"/>
  <c r="X510" i="1"/>
  <c r="Q510" i="1"/>
  <c r="BE509" i="1"/>
  <c r="BA509" i="1"/>
  <c r="AZ509" i="1"/>
  <c r="AY509" i="1"/>
  <c r="AI509" i="1"/>
  <c r="AC509" i="1" s="1"/>
  <c r="M509" i="1" s="1"/>
  <c r="B482" i="15" s="1"/>
  <c r="X509" i="1"/>
  <c r="Q509" i="1"/>
  <c r="BE508" i="1"/>
  <c r="BA508" i="1"/>
  <c r="AZ508" i="1"/>
  <c r="AY508" i="1"/>
  <c r="AI508" i="1"/>
  <c r="AC508" i="1" s="1"/>
  <c r="X508" i="1"/>
  <c r="Q508" i="1"/>
  <c r="BE507" i="1"/>
  <c r="BA507" i="1"/>
  <c r="AZ507" i="1"/>
  <c r="AY507" i="1"/>
  <c r="AI507" i="1"/>
  <c r="AC507" i="1" s="1"/>
  <c r="X507" i="1"/>
  <c r="Q507" i="1"/>
  <c r="BE506" i="1"/>
  <c r="BA506" i="1"/>
  <c r="AZ506" i="1"/>
  <c r="AY506" i="1"/>
  <c r="AI506" i="1"/>
  <c r="AC506" i="1" s="1"/>
  <c r="X506" i="1"/>
  <c r="Q506" i="1"/>
  <c r="BE505" i="1"/>
  <c r="BA505" i="1"/>
  <c r="AZ505" i="1"/>
  <c r="AY505" i="1"/>
  <c r="AI505" i="1"/>
  <c r="AC505" i="1" s="1"/>
  <c r="X505" i="1"/>
  <c r="Q505" i="1"/>
  <c r="C524" i="3"/>
  <c r="A524" i="3"/>
  <c r="C523" i="3"/>
  <c r="A523" i="3"/>
  <c r="C522" i="3"/>
  <c r="A522" i="3"/>
  <c r="C521" i="3"/>
  <c r="A521" i="3"/>
  <c r="C520" i="3"/>
  <c r="A520" i="3"/>
  <c r="C519" i="3"/>
  <c r="A519" i="3"/>
  <c r="C518" i="3"/>
  <c r="A518" i="3"/>
  <c r="C517" i="3"/>
  <c r="A517" i="3"/>
  <c r="C516" i="3"/>
  <c r="A516" i="3"/>
  <c r="C515" i="3"/>
  <c r="A515" i="3"/>
  <c r="C514" i="3"/>
  <c r="A514" i="3"/>
  <c r="C513" i="3"/>
  <c r="A513" i="3"/>
  <c r="C512" i="3"/>
  <c r="A512" i="3"/>
  <c r="C511" i="3"/>
  <c r="A511" i="3"/>
  <c r="C510" i="3"/>
  <c r="A510" i="3"/>
  <c r="C504" i="15"/>
  <c r="C503" i="15"/>
  <c r="C502" i="15"/>
  <c r="C501" i="15"/>
  <c r="C512" i="15"/>
  <c r="C511" i="15"/>
  <c r="C510" i="15"/>
  <c r="C509" i="15"/>
  <c r="C508" i="15"/>
  <c r="C507" i="15"/>
  <c r="C506" i="15"/>
  <c r="C505" i="15"/>
  <c r="C500" i="15"/>
  <c r="P538" i="1"/>
  <c r="X538" i="1" s="1"/>
  <c r="P537" i="1"/>
  <c r="Q537" i="1" s="1"/>
  <c r="P536" i="1"/>
  <c r="Q536" i="1" s="1"/>
  <c r="P535" i="1"/>
  <c r="Q535" i="1" s="1"/>
  <c r="P534" i="1"/>
  <c r="X534" i="1" s="1"/>
  <c r="P533" i="1"/>
  <c r="Q533" i="1" s="1"/>
  <c r="P532" i="1"/>
  <c r="X532" i="1" s="1"/>
  <c r="P531" i="1"/>
  <c r="Q531" i="1" s="1"/>
  <c r="P530" i="1"/>
  <c r="Q530" i="1" s="1"/>
  <c r="P529" i="1"/>
  <c r="Q529" i="1" s="1"/>
  <c r="P528" i="1"/>
  <c r="Q528" i="1" s="1"/>
  <c r="P539" i="1"/>
  <c r="Q539" i="1" s="1"/>
  <c r="P527" i="1"/>
  <c r="X527" i="1" s="1"/>
  <c r="Q540" i="1"/>
  <c r="C544" i="3"/>
  <c r="A544" i="3"/>
  <c r="C543" i="3"/>
  <c r="A543" i="3"/>
  <c r="C542" i="3"/>
  <c r="A542" i="3"/>
  <c r="C541" i="3"/>
  <c r="A541" i="3"/>
  <c r="C540" i="3"/>
  <c r="A540" i="3"/>
  <c r="C539" i="3"/>
  <c r="A539" i="3"/>
  <c r="C538" i="3"/>
  <c r="A538" i="3"/>
  <c r="C537" i="3"/>
  <c r="A537" i="3"/>
  <c r="C536" i="3"/>
  <c r="A536" i="3"/>
  <c r="C535" i="3"/>
  <c r="A535" i="3"/>
  <c r="C534" i="3"/>
  <c r="A534" i="3"/>
  <c r="C533" i="3"/>
  <c r="A533" i="3"/>
  <c r="C532" i="3"/>
  <c r="A532" i="3"/>
  <c r="BE539" i="1"/>
  <c r="BA539" i="1"/>
  <c r="AZ539" i="1"/>
  <c r="AY539" i="1"/>
  <c r="AI539" i="1"/>
  <c r="AC539" i="1" s="1"/>
  <c r="BE538" i="1"/>
  <c r="BA538" i="1"/>
  <c r="AZ538" i="1"/>
  <c r="AY538" i="1"/>
  <c r="AI538" i="1"/>
  <c r="AC538" i="1" s="1"/>
  <c r="BE537" i="1"/>
  <c r="BA537" i="1"/>
  <c r="AZ537" i="1"/>
  <c r="AY537" i="1"/>
  <c r="AI537" i="1"/>
  <c r="AC537" i="1" s="1"/>
  <c r="BE536" i="1"/>
  <c r="BA536" i="1"/>
  <c r="AZ536" i="1"/>
  <c r="AY536" i="1"/>
  <c r="AI536" i="1"/>
  <c r="AC536" i="1" s="1"/>
  <c r="BE535" i="1"/>
  <c r="BA535" i="1"/>
  <c r="AZ535" i="1"/>
  <c r="AY535" i="1"/>
  <c r="AI535" i="1"/>
  <c r="AC535" i="1" s="1"/>
  <c r="BE534" i="1"/>
  <c r="BA534" i="1"/>
  <c r="AZ534" i="1"/>
  <c r="AY534" i="1"/>
  <c r="AI534" i="1"/>
  <c r="AC534" i="1" s="1"/>
  <c r="BE533" i="1"/>
  <c r="BA533" i="1"/>
  <c r="AZ533" i="1"/>
  <c r="AY533" i="1"/>
  <c r="AI533" i="1"/>
  <c r="AC533" i="1" s="1"/>
  <c r="BE532" i="1"/>
  <c r="BA532" i="1"/>
  <c r="AZ532" i="1"/>
  <c r="AY532" i="1"/>
  <c r="AI532" i="1"/>
  <c r="AC532" i="1" s="1"/>
  <c r="BE531" i="1"/>
  <c r="BA531" i="1"/>
  <c r="AZ531" i="1"/>
  <c r="AY531" i="1"/>
  <c r="AI531" i="1"/>
  <c r="AC531" i="1" s="1"/>
  <c r="BE530" i="1"/>
  <c r="BA530" i="1"/>
  <c r="AZ530" i="1"/>
  <c r="AY530" i="1"/>
  <c r="AI530" i="1"/>
  <c r="AC530" i="1" s="1"/>
  <c r="BE529" i="1"/>
  <c r="BA529" i="1"/>
  <c r="AZ529" i="1"/>
  <c r="AY529" i="1"/>
  <c r="AI529" i="1"/>
  <c r="AC529" i="1" s="1"/>
  <c r="BE528" i="1"/>
  <c r="BA528" i="1"/>
  <c r="AZ528" i="1"/>
  <c r="AY528" i="1"/>
  <c r="AI528" i="1"/>
  <c r="AC528" i="1" s="1"/>
  <c r="BE527" i="1"/>
  <c r="BA527" i="1"/>
  <c r="AZ527" i="1"/>
  <c r="AY527" i="1"/>
  <c r="AI527" i="1"/>
  <c r="AC527" i="1" s="1"/>
  <c r="BE548" i="1"/>
  <c r="BA548" i="1"/>
  <c r="AZ548" i="1"/>
  <c r="AY548" i="1"/>
  <c r="AI548" i="1"/>
  <c r="AC548" i="1" s="1"/>
  <c r="BE547" i="1"/>
  <c r="BA547" i="1"/>
  <c r="AZ547" i="1"/>
  <c r="AY547" i="1"/>
  <c r="AI547" i="1"/>
  <c r="AC547" i="1" s="1"/>
  <c r="BE546" i="1"/>
  <c r="BA546" i="1"/>
  <c r="AZ546" i="1"/>
  <c r="AY546" i="1"/>
  <c r="AI546" i="1"/>
  <c r="AC546" i="1" s="1"/>
  <c r="BE545" i="1"/>
  <c r="BA545" i="1"/>
  <c r="AZ545" i="1"/>
  <c r="AY545" i="1"/>
  <c r="AI545" i="1"/>
  <c r="AC545" i="1" s="1"/>
  <c r="BE544" i="1"/>
  <c r="BA544" i="1"/>
  <c r="AZ544" i="1"/>
  <c r="AY544" i="1"/>
  <c r="AI544" i="1"/>
  <c r="AC544" i="1" s="1"/>
  <c r="BE543" i="1"/>
  <c r="BA543" i="1"/>
  <c r="AZ543" i="1"/>
  <c r="AY543" i="1"/>
  <c r="AI543" i="1"/>
  <c r="AC543" i="1" s="1"/>
  <c r="BE542" i="1"/>
  <c r="BA542" i="1"/>
  <c r="AZ542" i="1"/>
  <c r="AY542" i="1"/>
  <c r="AI542" i="1"/>
  <c r="AC542" i="1" s="1"/>
  <c r="BE541" i="1"/>
  <c r="BA541" i="1"/>
  <c r="AZ541" i="1"/>
  <c r="AY541" i="1"/>
  <c r="AI541" i="1"/>
  <c r="AC541" i="1" s="1"/>
  <c r="BE540" i="1"/>
  <c r="BA540" i="1"/>
  <c r="AZ540" i="1"/>
  <c r="AY540" i="1"/>
  <c r="AI540" i="1"/>
  <c r="AC540" i="1" s="1"/>
  <c r="N548" i="1"/>
  <c r="C521" i="15" s="1"/>
  <c r="N547" i="1"/>
  <c r="C520" i="15" s="1"/>
  <c r="N546" i="1"/>
  <c r="C519" i="15" s="1"/>
  <c r="N545" i="1"/>
  <c r="C518" i="15" s="1"/>
  <c r="N544" i="1"/>
  <c r="C517" i="15" s="1"/>
  <c r="N543" i="1"/>
  <c r="C516" i="15" s="1"/>
  <c r="N542" i="1"/>
  <c r="C515" i="15" s="1"/>
  <c r="N541" i="1"/>
  <c r="C514" i="15" s="1"/>
  <c r="N540" i="1"/>
  <c r="C513" i="15" s="1"/>
  <c r="P548" i="1"/>
  <c r="X548" i="1" s="1"/>
  <c r="P547" i="1"/>
  <c r="X547" i="1" s="1"/>
  <c r="P546" i="1"/>
  <c r="X546" i="1" s="1"/>
  <c r="P545" i="1"/>
  <c r="X545" i="1" s="1"/>
  <c r="P544" i="1"/>
  <c r="X544" i="1" s="1"/>
  <c r="P543" i="1"/>
  <c r="X543" i="1" s="1"/>
  <c r="P542" i="1"/>
  <c r="X542" i="1" s="1"/>
  <c r="P541" i="1"/>
  <c r="X541" i="1" s="1"/>
  <c r="X540" i="1"/>
  <c r="C551" i="3"/>
  <c r="A551" i="3"/>
  <c r="C550" i="3"/>
  <c r="A550" i="3"/>
  <c r="C549" i="3"/>
  <c r="A549" i="3"/>
  <c r="C552" i="3"/>
  <c r="A552" i="3"/>
  <c r="C553" i="3"/>
  <c r="A553" i="3"/>
  <c r="C1221" i="3"/>
  <c r="A1221" i="3"/>
  <c r="C548" i="3"/>
  <c r="A548" i="3"/>
  <c r="C547" i="3"/>
  <c r="A547" i="3"/>
  <c r="C546" i="3"/>
  <c r="A546" i="3"/>
  <c r="C545" i="3"/>
  <c r="A545" i="3"/>
  <c r="F460" i="3" l="1"/>
  <c r="C455" i="1"/>
  <c r="F462" i="3"/>
  <c r="C457" i="1"/>
  <c r="F464" i="3"/>
  <c r="F463" i="3"/>
  <c r="F461" i="3"/>
  <c r="D511" i="3"/>
  <c r="D525" i="3"/>
  <c r="C520" i="1" s="1"/>
  <c r="D527" i="3"/>
  <c r="D522" i="3"/>
  <c r="D529" i="3"/>
  <c r="D515" i="3"/>
  <c r="C510" i="1" s="1"/>
  <c r="D531" i="3"/>
  <c r="C526" i="1" s="1"/>
  <c r="X537" i="1"/>
  <c r="D510" i="3"/>
  <c r="D512" i="3"/>
  <c r="C507" i="1" s="1"/>
  <c r="D516" i="3"/>
  <c r="D526" i="3"/>
  <c r="C521" i="1" s="1"/>
  <c r="D521" i="3"/>
  <c r="D530" i="3"/>
  <c r="C525" i="1" s="1"/>
  <c r="M31" i="1"/>
  <c r="B28" i="15" s="1"/>
  <c r="M35" i="1"/>
  <c r="B32" i="15" s="1"/>
  <c r="M39" i="1"/>
  <c r="B36" i="15" s="1"/>
  <c r="M43" i="1"/>
  <c r="B40" i="15" s="1"/>
  <c r="M47" i="1"/>
  <c r="B44" i="15" s="1"/>
  <c r="M55" i="1"/>
  <c r="B52" i="15" s="1"/>
  <c r="M59" i="1"/>
  <c r="B56" i="15" s="1"/>
  <c r="M63" i="1"/>
  <c r="B60" i="15" s="1"/>
  <c r="M67" i="1"/>
  <c r="B64" i="15" s="1"/>
  <c r="M71" i="1"/>
  <c r="B68" i="15" s="1"/>
  <c r="M75" i="1"/>
  <c r="B72" i="15" s="1"/>
  <c r="M79" i="1"/>
  <c r="B76" i="15" s="1"/>
  <c r="M83" i="1"/>
  <c r="B80" i="15" s="1"/>
  <c r="M65" i="1"/>
  <c r="B62" i="15" s="1"/>
  <c r="M516" i="1"/>
  <c r="B489" i="15" s="1"/>
  <c r="A10" i="8"/>
  <c r="Q26" i="1"/>
  <c r="M529" i="1"/>
  <c r="B502" i="15" s="1"/>
  <c r="AY65" i="1"/>
  <c r="AY79" i="1"/>
  <c r="AY81" i="1"/>
  <c r="M57" i="1"/>
  <c r="B54" i="15" s="1"/>
  <c r="M531" i="1"/>
  <c r="B504" i="15" s="1"/>
  <c r="X535" i="1"/>
  <c r="Q532" i="1"/>
  <c r="M507" i="1"/>
  <c r="B480" i="15" s="1"/>
  <c r="AZ60" i="1"/>
  <c r="AZ65" i="1"/>
  <c r="AZ76" i="1"/>
  <c r="BA59" i="1"/>
  <c r="X536" i="1"/>
  <c r="M543" i="1"/>
  <c r="B516" i="15" s="1"/>
  <c r="M54" i="1"/>
  <c r="B51" i="15" s="1"/>
  <c r="BA65" i="1"/>
  <c r="BA70" i="1"/>
  <c r="BA71" i="1"/>
  <c r="BA75" i="1"/>
  <c r="BA76" i="1"/>
  <c r="M525" i="1"/>
  <c r="B498" i="15" s="1"/>
  <c r="M528" i="1"/>
  <c r="B501" i="15" s="1"/>
  <c r="M542" i="1"/>
  <c r="B515" i="15" s="1"/>
  <c r="M539" i="1"/>
  <c r="B512" i="15" s="1"/>
  <c r="M505" i="1"/>
  <c r="B478" i="15" s="1"/>
  <c r="AY33" i="1"/>
  <c r="AY37" i="1"/>
  <c r="AY43" i="1"/>
  <c r="AY49" i="1"/>
  <c r="AY53" i="1"/>
  <c r="AY63" i="1"/>
  <c r="BA81" i="1"/>
  <c r="AZ32" i="1"/>
  <c r="AZ36" i="1"/>
  <c r="AZ37" i="1"/>
  <c r="AZ48" i="1"/>
  <c r="AZ52" i="1"/>
  <c r="AZ53" i="1"/>
  <c r="BA27" i="1"/>
  <c r="BA28" i="1"/>
  <c r="BA32" i="1"/>
  <c r="BA43" i="1"/>
  <c r="BA48" i="1"/>
  <c r="BA60" i="1"/>
  <c r="M526" i="1"/>
  <c r="B499" i="15" s="1"/>
  <c r="AZ81" i="1"/>
  <c r="M540" i="1"/>
  <c r="B513" i="15" s="1"/>
  <c r="M544" i="1"/>
  <c r="B517" i="15" s="1"/>
  <c r="X529" i="1"/>
  <c r="M518" i="1"/>
  <c r="B491" i="15" s="1"/>
  <c r="AY27" i="1"/>
  <c r="BA29" i="1"/>
  <c r="AY32" i="1"/>
  <c r="BA33" i="1"/>
  <c r="AY36" i="1"/>
  <c r="BA38" i="1"/>
  <c r="BA39" i="1"/>
  <c r="X44" i="1"/>
  <c r="BA44" i="1"/>
  <c r="AY48" i="1"/>
  <c r="BA49" i="1"/>
  <c r="AY52" i="1"/>
  <c r="BA54" i="1"/>
  <c r="BA55" i="1"/>
  <c r="AY59" i="1"/>
  <c r="BA61" i="1"/>
  <c r="AZ64" i="1"/>
  <c r="X66" i="1"/>
  <c r="BA66" i="1"/>
  <c r="AY69" i="1"/>
  <c r="Q73" i="1"/>
  <c r="AY75" i="1"/>
  <c r="BA77" i="1"/>
  <c r="AZ80" i="1"/>
  <c r="X82" i="1"/>
  <c r="BA82" i="1"/>
  <c r="Q25" i="1"/>
  <c r="X34" i="1"/>
  <c r="BA34" i="1"/>
  <c r="Q41" i="1"/>
  <c r="BA45" i="1"/>
  <c r="X50" i="1"/>
  <c r="BA50" i="1"/>
  <c r="Q57" i="1"/>
  <c r="BA64" i="1"/>
  <c r="Q68" i="1"/>
  <c r="Q74" i="1"/>
  <c r="BA80" i="1"/>
  <c r="M547" i="1"/>
  <c r="B520" i="15" s="1"/>
  <c r="M538" i="1"/>
  <c r="B511" i="15" s="1"/>
  <c r="Q36" i="1"/>
  <c r="Q42" i="1"/>
  <c r="Q52" i="1"/>
  <c r="Q58" i="1"/>
  <c r="X65" i="1"/>
  <c r="X81" i="1"/>
  <c r="M522" i="1"/>
  <c r="B495" i="15" s="1"/>
  <c r="X28" i="1"/>
  <c r="AY31" i="1"/>
  <c r="X33" i="1"/>
  <c r="AZ33" i="1"/>
  <c r="AZ44" i="1"/>
  <c r="AY47" i="1"/>
  <c r="X49" i="1"/>
  <c r="AZ49" i="1"/>
  <c r="X60" i="1"/>
  <c r="AZ61" i="1"/>
  <c r="AY64" i="1"/>
  <c r="AY68" i="1"/>
  <c r="X76" i="1"/>
  <c r="AZ77" i="1"/>
  <c r="AY80" i="1"/>
  <c r="M546" i="1"/>
  <c r="B519" i="15" s="1"/>
  <c r="M541" i="1"/>
  <c r="B514" i="15" s="1"/>
  <c r="M548" i="1"/>
  <c r="B521" i="15" s="1"/>
  <c r="M527" i="1"/>
  <c r="B500" i="15" s="1"/>
  <c r="M513" i="1"/>
  <c r="B486" i="15" s="1"/>
  <c r="M545" i="1"/>
  <c r="B518" i="15" s="1"/>
  <c r="Q27" i="1"/>
  <c r="X27" i="1"/>
  <c r="X31" i="1"/>
  <c r="X35" i="1"/>
  <c r="Q35" i="1"/>
  <c r="Q39" i="1"/>
  <c r="Q43" i="1"/>
  <c r="X43" i="1"/>
  <c r="X47" i="1"/>
  <c r="X51" i="1"/>
  <c r="Q51" i="1"/>
  <c r="Q55" i="1"/>
  <c r="Q59" i="1"/>
  <c r="X59" i="1"/>
  <c r="X63" i="1"/>
  <c r="X67" i="1"/>
  <c r="Q67" i="1"/>
  <c r="Q71" i="1"/>
  <c r="Q75" i="1"/>
  <c r="X75" i="1"/>
  <c r="X79" i="1"/>
  <c r="X83" i="1"/>
  <c r="Q83" i="1"/>
  <c r="Q47" i="1"/>
  <c r="X55" i="1"/>
  <c r="Q79" i="1"/>
  <c r="Q24" i="1"/>
  <c r="AY24" i="1"/>
  <c r="AY25" i="1"/>
  <c r="Q29" i="1"/>
  <c r="Q30" i="1"/>
  <c r="X32" i="1"/>
  <c r="AY35" i="1"/>
  <c r="X37" i="1"/>
  <c r="X38" i="1"/>
  <c r="Q40" i="1"/>
  <c r="AY40" i="1"/>
  <c r="AY41" i="1"/>
  <c r="Q45" i="1"/>
  <c r="Q46" i="1"/>
  <c r="X48" i="1"/>
  <c r="AY51" i="1"/>
  <c r="X53" i="1"/>
  <c r="X54" i="1"/>
  <c r="Q56" i="1"/>
  <c r="AY56" i="1"/>
  <c r="AY57" i="1"/>
  <c r="Q61" i="1"/>
  <c r="Q62" i="1"/>
  <c r="X64" i="1"/>
  <c r="AY67" i="1"/>
  <c r="AZ68" i="1"/>
  <c r="X69" i="1"/>
  <c r="AZ69" i="1"/>
  <c r="X70" i="1"/>
  <c r="Q72" i="1"/>
  <c r="AY72" i="1"/>
  <c r="AY73" i="1"/>
  <c r="Q77" i="1"/>
  <c r="Q78" i="1"/>
  <c r="X80" i="1"/>
  <c r="AY83" i="1"/>
  <c r="M33" i="1"/>
  <c r="B30" i="15" s="1"/>
  <c r="M49" i="1"/>
  <c r="B46" i="15" s="1"/>
  <c r="AZ24" i="1"/>
  <c r="AZ25" i="1"/>
  <c r="BA26" i="1"/>
  <c r="Q28" i="1"/>
  <c r="AY28" i="1"/>
  <c r="AY29" i="1"/>
  <c r="BA31" i="1"/>
  <c r="Q33" i="1"/>
  <c r="Q34" i="1"/>
  <c r="BA36" i="1"/>
  <c r="BA37" i="1"/>
  <c r="AY39" i="1"/>
  <c r="AZ40" i="1"/>
  <c r="AZ41" i="1"/>
  <c r="BA42" i="1"/>
  <c r="Q44" i="1"/>
  <c r="AY44" i="1"/>
  <c r="AY45" i="1"/>
  <c r="BA47" i="1"/>
  <c r="Q49" i="1"/>
  <c r="Q50" i="1"/>
  <c r="BA52" i="1"/>
  <c r="BA53" i="1"/>
  <c r="AY55" i="1"/>
  <c r="AZ56" i="1"/>
  <c r="AZ57" i="1"/>
  <c r="BA58" i="1"/>
  <c r="Q60" i="1"/>
  <c r="AY60" i="1"/>
  <c r="AY61" i="1"/>
  <c r="BA63" i="1"/>
  <c r="Q65" i="1"/>
  <c r="Q66" i="1"/>
  <c r="BA68" i="1"/>
  <c r="BA69" i="1"/>
  <c r="AY71" i="1"/>
  <c r="AZ72" i="1"/>
  <c r="AZ73" i="1"/>
  <c r="BA74" i="1"/>
  <c r="Q76" i="1"/>
  <c r="AY76" i="1"/>
  <c r="AY77" i="1"/>
  <c r="BA79" i="1"/>
  <c r="Q81" i="1"/>
  <c r="Q82" i="1"/>
  <c r="BA24" i="1"/>
  <c r="BA25" i="1"/>
  <c r="AZ28" i="1"/>
  <c r="AZ29" i="1"/>
  <c r="BA30" i="1"/>
  <c r="BA35" i="1"/>
  <c r="BA40" i="1"/>
  <c r="BA41" i="1"/>
  <c r="AZ45" i="1"/>
  <c r="BA46" i="1"/>
  <c r="BA51" i="1"/>
  <c r="BA56" i="1"/>
  <c r="BA57" i="1"/>
  <c r="BA62" i="1"/>
  <c r="BA67" i="1"/>
  <c r="BA72" i="1"/>
  <c r="BA73" i="1"/>
  <c r="BA78" i="1"/>
  <c r="BA83" i="1"/>
  <c r="M66" i="1"/>
  <c r="B63" i="15" s="1"/>
  <c r="M82" i="1"/>
  <c r="B79" i="15" s="1"/>
  <c r="M74" i="1"/>
  <c r="B71" i="15" s="1"/>
  <c r="M78" i="1"/>
  <c r="B75" i="15" s="1"/>
  <c r="M62" i="1"/>
  <c r="B59" i="15" s="1"/>
  <c r="M51" i="1"/>
  <c r="B48" i="15" s="1"/>
  <c r="M50" i="1"/>
  <c r="B47" i="15" s="1"/>
  <c r="M58" i="1"/>
  <c r="B55" i="15" s="1"/>
  <c r="M27" i="1"/>
  <c r="B24" i="15" s="1"/>
  <c r="AZ27" i="1"/>
  <c r="AZ31" i="1"/>
  <c r="AZ35" i="1"/>
  <c r="AZ39" i="1"/>
  <c r="AZ43" i="1"/>
  <c r="AZ47" i="1"/>
  <c r="AZ51" i="1"/>
  <c r="AZ55" i="1"/>
  <c r="AZ59" i="1"/>
  <c r="AZ63" i="1"/>
  <c r="AZ67" i="1"/>
  <c r="AZ71" i="1"/>
  <c r="AZ75" i="1"/>
  <c r="AZ79" i="1"/>
  <c r="AZ83" i="1"/>
  <c r="AY26" i="1"/>
  <c r="AY30" i="1"/>
  <c r="AY34" i="1"/>
  <c r="AZ38" i="1"/>
  <c r="AY42" i="1"/>
  <c r="AY46" i="1"/>
  <c r="AZ50" i="1"/>
  <c r="AY54" i="1"/>
  <c r="AY58" i="1"/>
  <c r="AY62" i="1"/>
  <c r="AZ66" i="1"/>
  <c r="AZ70" i="1"/>
  <c r="AY74" i="1"/>
  <c r="AY78" i="1"/>
  <c r="AY82" i="1"/>
  <c r="M42" i="1"/>
  <c r="B39" i="15" s="1"/>
  <c r="M52" i="1"/>
  <c r="B49" i="15" s="1"/>
  <c r="M68" i="1"/>
  <c r="B65" i="15" s="1"/>
  <c r="M70" i="1"/>
  <c r="B67" i="15" s="1"/>
  <c r="AZ26" i="1"/>
  <c r="AZ34" i="1"/>
  <c r="AZ42" i="1"/>
  <c r="AZ46" i="1"/>
  <c r="AZ58" i="1"/>
  <c r="AZ62" i="1"/>
  <c r="AZ74" i="1"/>
  <c r="AZ78" i="1"/>
  <c r="AZ82" i="1"/>
  <c r="M29" i="1"/>
  <c r="B26" i="15" s="1"/>
  <c r="M36" i="1"/>
  <c r="B33" i="15" s="1"/>
  <c r="AY38" i="1"/>
  <c r="AY50" i="1"/>
  <c r="AY66" i="1"/>
  <c r="AY70" i="1"/>
  <c r="M28" i="1"/>
  <c r="B25" i="15" s="1"/>
  <c r="M30" i="1"/>
  <c r="B27" i="15" s="1"/>
  <c r="M37" i="1"/>
  <c r="B34" i="15" s="1"/>
  <c r="M44" i="1"/>
  <c r="B41" i="15" s="1"/>
  <c r="M46" i="1"/>
  <c r="B43" i="15" s="1"/>
  <c r="M72" i="1"/>
  <c r="B69" i="15" s="1"/>
  <c r="M77" i="1"/>
  <c r="B74" i="15" s="1"/>
  <c r="M80" i="1"/>
  <c r="B77" i="15" s="1"/>
  <c r="M26" i="1"/>
  <c r="B23" i="15" s="1"/>
  <c r="M40" i="1"/>
  <c r="B37" i="15" s="1"/>
  <c r="M60" i="1"/>
  <c r="B57" i="15" s="1"/>
  <c r="AZ30" i="1"/>
  <c r="AZ54" i="1"/>
  <c r="M38" i="1"/>
  <c r="B35" i="15" s="1"/>
  <c r="M45" i="1"/>
  <c r="B42" i="15" s="1"/>
  <c r="M73" i="1"/>
  <c r="B70" i="15" s="1"/>
  <c r="M76" i="1"/>
  <c r="B73" i="15" s="1"/>
  <c r="M81" i="1"/>
  <c r="B78" i="15" s="1"/>
  <c r="M25" i="1"/>
  <c r="B22" i="15" s="1"/>
  <c r="M32" i="1"/>
  <c r="B29" i="15" s="1"/>
  <c r="M34" i="1"/>
  <c r="B31" i="15" s="1"/>
  <c r="M41" i="1"/>
  <c r="B38" i="15" s="1"/>
  <c r="M48" i="1"/>
  <c r="B45" i="15" s="1"/>
  <c r="M53" i="1"/>
  <c r="B50" i="15" s="1"/>
  <c r="M56" i="1"/>
  <c r="B53" i="15" s="1"/>
  <c r="M61" i="1"/>
  <c r="B58" i="15" s="1"/>
  <c r="M64" i="1"/>
  <c r="B61" i="15" s="1"/>
  <c r="M69" i="1"/>
  <c r="B66" i="15" s="1"/>
  <c r="H530" i="3"/>
  <c r="AJ521" i="3"/>
  <c r="H521" i="3" s="1"/>
  <c r="H512" i="3"/>
  <c r="AJ529" i="3"/>
  <c r="J529" i="3" s="1"/>
  <c r="AJ522" i="3"/>
  <c r="J522" i="3" s="1"/>
  <c r="J525" i="3"/>
  <c r="AJ511" i="3"/>
  <c r="J511" i="3" s="1"/>
  <c r="AJ516" i="3"/>
  <c r="H516" i="3" s="1"/>
  <c r="AJ527" i="3"/>
  <c r="H527" i="3" s="1"/>
  <c r="H510" i="3"/>
  <c r="J530" i="3"/>
  <c r="AJ515" i="3"/>
  <c r="H515" i="3" s="1"/>
  <c r="AJ526" i="3"/>
  <c r="J526" i="3" s="1"/>
  <c r="AJ531" i="3"/>
  <c r="J531" i="3" s="1"/>
  <c r="M523" i="1"/>
  <c r="B496" i="15" s="1"/>
  <c r="M524" i="1"/>
  <c r="B497" i="15" s="1"/>
  <c r="M521" i="1"/>
  <c r="B494" i="15" s="1"/>
  <c r="M530" i="1"/>
  <c r="B503" i="15" s="1"/>
  <c r="M533" i="1"/>
  <c r="B506" i="15" s="1"/>
  <c r="M536" i="1"/>
  <c r="B509" i="15" s="1"/>
  <c r="M515" i="1"/>
  <c r="B488" i="15" s="1"/>
  <c r="M535" i="1"/>
  <c r="B508" i="15" s="1"/>
  <c r="M508" i="1"/>
  <c r="B481" i="15" s="1"/>
  <c r="M510" i="1"/>
  <c r="B483" i="15" s="1"/>
  <c r="M512" i="1"/>
  <c r="B485" i="15" s="1"/>
  <c r="M514" i="1"/>
  <c r="B487" i="15" s="1"/>
  <c r="M517" i="1"/>
  <c r="B490" i="15" s="1"/>
  <c r="M519" i="1"/>
  <c r="B492" i="15" s="1"/>
  <c r="M532" i="1"/>
  <c r="B505" i="15" s="1"/>
  <c r="M534" i="1"/>
  <c r="B507" i="15" s="1"/>
  <c r="M537" i="1"/>
  <c r="B510" i="15" s="1"/>
  <c r="M506" i="1"/>
  <c r="B479" i="15" s="1"/>
  <c r="M511" i="1"/>
  <c r="B484" i="15" s="1"/>
  <c r="X539" i="1"/>
  <c r="X533" i="1"/>
  <c r="X531" i="1"/>
  <c r="X528" i="1"/>
  <c r="X530" i="1"/>
  <c r="Q534" i="1"/>
  <c r="Q538" i="1"/>
  <c r="Q527" i="1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O31" i="4"/>
  <c r="O30" i="4"/>
  <c r="O29" i="4"/>
  <c r="O28" i="4"/>
  <c r="O27" i="4"/>
  <c r="O26" i="4"/>
  <c r="O25" i="4"/>
  <c r="O24" i="4"/>
  <c r="O23" i="4"/>
  <c r="O22" i="4"/>
  <c r="O21" i="4"/>
  <c r="O20" i="4"/>
  <c r="O19" i="4"/>
  <c r="O18" i="4"/>
  <c r="O17" i="4"/>
  <c r="O16" i="4"/>
  <c r="O15" i="4"/>
  <c r="O14" i="4"/>
  <c r="O13" i="4"/>
  <c r="O12" i="4"/>
  <c r="O11" i="4"/>
  <c r="O10" i="4"/>
  <c r="O9" i="4"/>
  <c r="O8" i="4"/>
  <c r="O7" i="4"/>
  <c r="O6" i="4"/>
  <c r="O5" i="4"/>
  <c r="O4" i="4"/>
  <c r="O3" i="4"/>
  <c r="O2" i="4"/>
  <c r="O100" i="4"/>
  <c r="O99" i="4"/>
  <c r="C509" i="3"/>
  <c r="A509" i="3"/>
  <c r="C508" i="3"/>
  <c r="A508" i="3"/>
  <c r="C507" i="3"/>
  <c r="A507" i="3"/>
  <c r="BE504" i="1"/>
  <c r="BA504" i="1"/>
  <c r="AZ504" i="1"/>
  <c r="AY504" i="1"/>
  <c r="AI504" i="1"/>
  <c r="AC504" i="1" s="1"/>
  <c r="M504" i="1" s="1"/>
  <c r="B579" i="15" s="1"/>
  <c r="BE503" i="1"/>
  <c r="BA503" i="1"/>
  <c r="AZ503" i="1"/>
  <c r="AY503" i="1"/>
  <c r="AI503" i="1"/>
  <c r="AC503" i="1" s="1"/>
  <c r="M503" i="1" s="1"/>
  <c r="B578" i="15" s="1"/>
  <c r="BE502" i="1"/>
  <c r="BA502" i="1"/>
  <c r="AZ502" i="1"/>
  <c r="AY502" i="1"/>
  <c r="AI502" i="1"/>
  <c r="AC502" i="1" s="1"/>
  <c r="M502" i="1" s="1"/>
  <c r="B577" i="15" s="1"/>
  <c r="Q504" i="1"/>
  <c r="X504" i="1"/>
  <c r="Q503" i="1"/>
  <c r="X503" i="1"/>
  <c r="Q502" i="1"/>
  <c r="X502" i="1"/>
  <c r="J506" i="3"/>
  <c r="H506" i="3"/>
  <c r="J505" i="3"/>
  <c r="H505" i="3"/>
  <c r="J504" i="3"/>
  <c r="H504" i="3"/>
  <c r="J503" i="3"/>
  <c r="H503" i="3"/>
  <c r="J502" i="3"/>
  <c r="H502" i="3"/>
  <c r="J501" i="3"/>
  <c r="H501" i="3"/>
  <c r="J500" i="3"/>
  <c r="H500" i="3"/>
  <c r="J499" i="3"/>
  <c r="H499" i="3"/>
  <c r="J498" i="3"/>
  <c r="H498" i="3"/>
  <c r="J497" i="3"/>
  <c r="H497" i="3"/>
  <c r="J496" i="3"/>
  <c r="H496" i="3"/>
  <c r="J495" i="3"/>
  <c r="H495" i="3"/>
  <c r="J494" i="3"/>
  <c r="H494" i="3"/>
  <c r="J493" i="3"/>
  <c r="H493" i="3"/>
  <c r="J492" i="3"/>
  <c r="H492" i="3"/>
  <c r="J491" i="3"/>
  <c r="H491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3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3" i="3"/>
  <c r="BE501" i="1"/>
  <c r="BA501" i="1"/>
  <c r="AZ501" i="1"/>
  <c r="AY501" i="1"/>
  <c r="AI501" i="1"/>
  <c r="AC501" i="1" s="1"/>
  <c r="BE500" i="1"/>
  <c r="BA500" i="1"/>
  <c r="AZ500" i="1"/>
  <c r="AY500" i="1"/>
  <c r="AI500" i="1"/>
  <c r="AC500" i="1" s="1"/>
  <c r="BE499" i="1"/>
  <c r="BA499" i="1"/>
  <c r="AZ499" i="1"/>
  <c r="AY499" i="1"/>
  <c r="AI499" i="1"/>
  <c r="AC499" i="1" s="1"/>
  <c r="BE498" i="1"/>
  <c r="BA498" i="1"/>
  <c r="AZ498" i="1"/>
  <c r="AY498" i="1"/>
  <c r="AI498" i="1"/>
  <c r="AC498" i="1" s="1"/>
  <c r="BE497" i="1"/>
  <c r="BA497" i="1"/>
  <c r="AZ497" i="1"/>
  <c r="AY497" i="1"/>
  <c r="AI497" i="1"/>
  <c r="AC497" i="1" s="1"/>
  <c r="BE496" i="1"/>
  <c r="BA496" i="1"/>
  <c r="AZ496" i="1"/>
  <c r="AY496" i="1"/>
  <c r="AI496" i="1"/>
  <c r="AC496" i="1" s="1"/>
  <c r="BE495" i="1"/>
  <c r="BA495" i="1"/>
  <c r="AZ495" i="1"/>
  <c r="AY495" i="1"/>
  <c r="AI495" i="1"/>
  <c r="AC495" i="1" s="1"/>
  <c r="BE494" i="1"/>
  <c r="BA494" i="1"/>
  <c r="AZ494" i="1"/>
  <c r="AY494" i="1"/>
  <c r="AI494" i="1"/>
  <c r="AC494" i="1" s="1"/>
  <c r="BE493" i="1"/>
  <c r="BA493" i="1"/>
  <c r="AZ493" i="1"/>
  <c r="AY493" i="1"/>
  <c r="AI493" i="1"/>
  <c r="AC493" i="1" s="1"/>
  <c r="BE492" i="1"/>
  <c r="BA492" i="1"/>
  <c r="AZ492" i="1"/>
  <c r="AY492" i="1"/>
  <c r="AI492" i="1"/>
  <c r="AC492" i="1" s="1"/>
  <c r="BE491" i="1"/>
  <c r="BA491" i="1"/>
  <c r="AZ491" i="1"/>
  <c r="AY491" i="1"/>
  <c r="AI491" i="1"/>
  <c r="AC491" i="1" s="1"/>
  <c r="BE490" i="1"/>
  <c r="BA490" i="1"/>
  <c r="AZ490" i="1"/>
  <c r="AY490" i="1"/>
  <c r="AI490" i="1"/>
  <c r="AC490" i="1" s="1"/>
  <c r="BE489" i="1"/>
  <c r="BA489" i="1"/>
  <c r="AZ489" i="1"/>
  <c r="AY489" i="1"/>
  <c r="AI489" i="1"/>
  <c r="AC489" i="1" s="1"/>
  <c r="BE488" i="1"/>
  <c r="BA488" i="1"/>
  <c r="AZ488" i="1"/>
  <c r="AY488" i="1"/>
  <c r="AI488" i="1"/>
  <c r="AC488" i="1" s="1"/>
  <c r="BE487" i="1"/>
  <c r="BA487" i="1"/>
  <c r="AZ487" i="1"/>
  <c r="AY487" i="1"/>
  <c r="AI487" i="1"/>
  <c r="AC487" i="1" s="1"/>
  <c r="BE486" i="1"/>
  <c r="BA486" i="1"/>
  <c r="AZ486" i="1"/>
  <c r="AY486" i="1"/>
  <c r="AI486" i="1"/>
  <c r="AC486" i="1" s="1"/>
  <c r="N501" i="1"/>
  <c r="C576" i="15" s="1"/>
  <c r="N500" i="1"/>
  <c r="C575" i="15" s="1"/>
  <c r="N499" i="1"/>
  <c r="C574" i="15" s="1"/>
  <c r="N498" i="1"/>
  <c r="C573" i="15" s="1"/>
  <c r="N497" i="1"/>
  <c r="C572" i="15" s="1"/>
  <c r="N496" i="1"/>
  <c r="C571" i="15" s="1"/>
  <c r="N495" i="1"/>
  <c r="C570" i="15" s="1"/>
  <c r="N494" i="1"/>
  <c r="C569" i="15" s="1"/>
  <c r="N493" i="1"/>
  <c r="C568" i="15" s="1"/>
  <c r="N492" i="1"/>
  <c r="C567" i="15" s="1"/>
  <c r="N491" i="1"/>
  <c r="C566" i="15" s="1"/>
  <c r="N490" i="1"/>
  <c r="C565" i="15" s="1"/>
  <c r="N489" i="1"/>
  <c r="C564" i="15" s="1"/>
  <c r="N488" i="1"/>
  <c r="C563" i="15" s="1"/>
  <c r="N487" i="1"/>
  <c r="C562" i="15" s="1"/>
  <c r="N486" i="1"/>
  <c r="C561" i="15" s="1"/>
  <c r="X501" i="1"/>
  <c r="Q501" i="1"/>
  <c r="X500" i="1"/>
  <c r="Q500" i="1"/>
  <c r="X499" i="1"/>
  <c r="Q499" i="1"/>
  <c r="X498" i="1"/>
  <c r="Q498" i="1"/>
  <c r="X497" i="1"/>
  <c r="Q497" i="1"/>
  <c r="X496" i="1"/>
  <c r="Q496" i="1"/>
  <c r="X495" i="1"/>
  <c r="Q495" i="1"/>
  <c r="X494" i="1"/>
  <c r="Q494" i="1"/>
  <c r="X493" i="1"/>
  <c r="Q493" i="1"/>
  <c r="X492" i="1"/>
  <c r="Q492" i="1"/>
  <c r="X491" i="1"/>
  <c r="Q491" i="1"/>
  <c r="X490" i="1"/>
  <c r="Q490" i="1"/>
  <c r="X489" i="1"/>
  <c r="Q489" i="1"/>
  <c r="X488" i="1"/>
  <c r="Q488" i="1"/>
  <c r="X487" i="1"/>
  <c r="Q487" i="1"/>
  <c r="X486" i="1"/>
  <c r="Q486" i="1"/>
  <c r="BE485" i="1"/>
  <c r="BA485" i="1"/>
  <c r="AZ485" i="1"/>
  <c r="AY485" i="1"/>
  <c r="AI485" i="1"/>
  <c r="AC485" i="1" s="1"/>
  <c r="M485" i="1" s="1"/>
  <c r="B477" i="15" s="1"/>
  <c r="P485" i="1"/>
  <c r="BE484" i="1"/>
  <c r="BA484" i="1"/>
  <c r="AZ484" i="1"/>
  <c r="AY484" i="1"/>
  <c r="AI484" i="1"/>
  <c r="AC484" i="1" s="1"/>
  <c r="M484" i="1" s="1"/>
  <c r="B476" i="15" s="1"/>
  <c r="P484" i="1"/>
  <c r="AB389" i="3"/>
  <c r="H389" i="3" s="1"/>
  <c r="J361" i="3"/>
  <c r="H361" i="3"/>
  <c r="J360" i="3"/>
  <c r="H360" i="3"/>
  <c r="C165" i="3"/>
  <c r="A165" i="3"/>
  <c r="C164" i="3"/>
  <c r="A164" i="3"/>
  <c r="C163" i="3"/>
  <c r="A163" i="3"/>
  <c r="C162" i="3"/>
  <c r="A162" i="3"/>
  <c r="C161" i="3"/>
  <c r="A161" i="3"/>
  <c r="C140" i="3"/>
  <c r="A140" i="3"/>
  <c r="C139" i="3"/>
  <c r="A139" i="3"/>
  <c r="C138" i="3"/>
  <c r="A138" i="3"/>
  <c r="C137" i="3"/>
  <c r="A137" i="3"/>
  <c r="C136" i="3"/>
  <c r="A136" i="3"/>
  <c r="C135" i="3"/>
  <c r="A135" i="3"/>
  <c r="C134" i="3"/>
  <c r="A134" i="3"/>
  <c r="C133" i="3"/>
  <c r="A133" i="3"/>
  <c r="C132" i="3"/>
  <c r="A132" i="3"/>
  <c r="C124" i="3"/>
  <c r="A124" i="3"/>
  <c r="BE158" i="1"/>
  <c r="AX158" i="1"/>
  <c r="AW158" i="1"/>
  <c r="AV158" i="1"/>
  <c r="AI158" i="1"/>
  <c r="AC158" i="1" s="1"/>
  <c r="M158" i="1" s="1"/>
  <c r="B155" i="15" s="1"/>
  <c r="P158" i="1"/>
  <c r="X158" i="1" s="1"/>
  <c r="BE157" i="1"/>
  <c r="AX157" i="1"/>
  <c r="AW157" i="1"/>
  <c r="AV157" i="1"/>
  <c r="AI157" i="1"/>
  <c r="AC157" i="1" s="1"/>
  <c r="M157" i="1" s="1"/>
  <c r="B154" i="15" s="1"/>
  <c r="P157" i="1"/>
  <c r="X157" i="1" s="1"/>
  <c r="N133" i="1"/>
  <c r="C132" i="15" s="1"/>
  <c r="N130" i="1"/>
  <c r="C129" i="15" s="1"/>
  <c r="N132" i="1"/>
  <c r="C131" i="15" s="1"/>
  <c r="N131" i="1"/>
  <c r="C130" i="15" s="1"/>
  <c r="N129" i="1"/>
  <c r="C128" i="15" s="1"/>
  <c r="N128" i="1"/>
  <c r="C127" i="15" s="1"/>
  <c r="N127" i="1"/>
  <c r="C126" i="15" s="1"/>
  <c r="N126" i="1"/>
  <c r="C125" i="15" s="1"/>
  <c r="BE133" i="1"/>
  <c r="AX133" i="1"/>
  <c r="AW133" i="1"/>
  <c r="AV133" i="1"/>
  <c r="AI133" i="1"/>
  <c r="AC133" i="1" s="1"/>
  <c r="P133" i="1"/>
  <c r="X133" i="1" s="1"/>
  <c r="BE127" i="1"/>
  <c r="AX127" i="1"/>
  <c r="AW127" i="1"/>
  <c r="AV127" i="1"/>
  <c r="AI127" i="1"/>
  <c r="AC127" i="1" s="1"/>
  <c r="P127" i="1"/>
  <c r="X127" i="1" s="1"/>
  <c r="F529" i="3" l="1"/>
  <c r="C524" i="1"/>
  <c r="F511" i="3"/>
  <c r="C506" i="1"/>
  <c r="F521" i="3"/>
  <c r="C516" i="1"/>
  <c r="F510" i="3"/>
  <c r="C505" i="1"/>
  <c r="F522" i="3"/>
  <c r="C517" i="1"/>
  <c r="F527" i="3"/>
  <c r="C522" i="1"/>
  <c r="F516" i="3"/>
  <c r="C511" i="1"/>
  <c r="F512" i="3"/>
  <c r="F525" i="3"/>
  <c r="F530" i="3"/>
  <c r="F531" i="3"/>
  <c r="F515" i="3"/>
  <c r="F526" i="3"/>
  <c r="D492" i="3"/>
  <c r="D494" i="3"/>
  <c r="D496" i="3"/>
  <c r="D498" i="3"/>
  <c r="D500" i="3"/>
  <c r="C495" i="1" s="1"/>
  <c r="D502" i="3"/>
  <c r="C497" i="1" s="1"/>
  <c r="D504" i="3"/>
  <c r="D506" i="3"/>
  <c r="D491" i="3"/>
  <c r="C486" i="1" s="1"/>
  <c r="D493" i="3"/>
  <c r="D495" i="3"/>
  <c r="D497" i="3"/>
  <c r="C492" i="1" s="1"/>
  <c r="D499" i="3"/>
  <c r="D501" i="3"/>
  <c r="C496" i="1" s="1"/>
  <c r="D503" i="3"/>
  <c r="D505" i="3"/>
  <c r="J389" i="3"/>
  <c r="A11" i="8"/>
  <c r="M494" i="1"/>
  <c r="B569" i="15" s="1"/>
  <c r="H511" i="3"/>
  <c r="AY127" i="1"/>
  <c r="BA133" i="1"/>
  <c r="M499" i="1"/>
  <c r="B574" i="15" s="1"/>
  <c r="H522" i="3"/>
  <c r="J521" i="3"/>
  <c r="M486" i="1"/>
  <c r="B561" i="15" s="1"/>
  <c r="AY157" i="1"/>
  <c r="M487" i="1"/>
  <c r="B562" i="15" s="1"/>
  <c r="M491" i="1"/>
  <c r="B566" i="15" s="1"/>
  <c r="H529" i="3"/>
  <c r="BA158" i="1"/>
  <c r="X484" i="1"/>
  <c r="J527" i="3"/>
  <c r="H526" i="3"/>
  <c r="H531" i="3"/>
  <c r="J515" i="3"/>
  <c r="J516" i="3"/>
  <c r="M496" i="1"/>
  <c r="B571" i="15" s="1"/>
  <c r="M488" i="1"/>
  <c r="B563" i="15" s="1"/>
  <c r="X485" i="1"/>
  <c r="M489" i="1"/>
  <c r="B564" i="15" s="1"/>
  <c r="M493" i="1"/>
  <c r="B568" i="15" s="1"/>
  <c r="M498" i="1"/>
  <c r="B573" i="15" s="1"/>
  <c r="M492" i="1"/>
  <c r="B567" i="15" s="1"/>
  <c r="M495" i="1"/>
  <c r="B570" i="15" s="1"/>
  <c r="M500" i="1"/>
  <c r="B575" i="15" s="1"/>
  <c r="AY133" i="1"/>
  <c r="M490" i="1"/>
  <c r="B565" i="15" s="1"/>
  <c r="M497" i="1"/>
  <c r="B572" i="15" s="1"/>
  <c r="M501" i="1"/>
  <c r="B576" i="15" s="1"/>
  <c r="BA127" i="1"/>
  <c r="AY158" i="1"/>
  <c r="BA157" i="1"/>
  <c r="AZ158" i="1"/>
  <c r="AZ157" i="1"/>
  <c r="M133" i="1"/>
  <c r="B132" i="15" s="1"/>
  <c r="M127" i="1"/>
  <c r="B126" i="15" s="1"/>
  <c r="AZ133" i="1"/>
  <c r="AZ127" i="1"/>
  <c r="F493" i="3" l="1"/>
  <c r="C488" i="1"/>
  <c r="F494" i="3"/>
  <c r="C489" i="1"/>
  <c r="F499" i="3"/>
  <c r="C494" i="1"/>
  <c r="F505" i="3"/>
  <c r="C500" i="1"/>
  <c r="F506" i="3"/>
  <c r="C501" i="1"/>
  <c r="F492" i="3"/>
  <c r="C487" i="1"/>
  <c r="F498" i="3"/>
  <c r="C493" i="1"/>
  <c r="F503" i="3"/>
  <c r="C498" i="1"/>
  <c r="F495" i="3"/>
  <c r="C490" i="1"/>
  <c r="F504" i="3"/>
  <c r="C499" i="1"/>
  <c r="F496" i="3"/>
  <c r="C491" i="1"/>
  <c r="F502" i="3"/>
  <c r="F497" i="3"/>
  <c r="F501" i="3"/>
  <c r="F500" i="3"/>
  <c r="F491" i="3"/>
  <c r="A12" i="8"/>
  <c r="J130" i="3"/>
  <c r="H130" i="3"/>
  <c r="J125" i="3"/>
  <c r="H125" i="3"/>
  <c r="N111" i="1"/>
  <c r="C108" i="15" s="1"/>
  <c r="N110" i="1"/>
  <c r="C107" i="15" s="1"/>
  <c r="N109" i="1"/>
  <c r="C106" i="15" s="1"/>
  <c r="N108" i="1"/>
  <c r="C105" i="15" s="1"/>
  <c r="N107" i="1"/>
  <c r="C104" i="15" s="1"/>
  <c r="N106" i="1"/>
  <c r="C103" i="15" s="1"/>
  <c r="N105" i="1"/>
  <c r="C102" i="15" s="1"/>
  <c r="N104" i="1"/>
  <c r="C101" i="15" s="1"/>
  <c r="N103" i="1"/>
  <c r="C100" i="15" s="1"/>
  <c r="N102" i="1"/>
  <c r="C99" i="15" s="1"/>
  <c r="N101" i="1"/>
  <c r="C98" i="15" s="1"/>
  <c r="N100" i="1"/>
  <c r="C97" i="15" s="1"/>
  <c r="N99" i="1"/>
  <c r="C96" i="15" s="1"/>
  <c r="N98" i="1"/>
  <c r="C95" i="15" s="1"/>
  <c r="N97" i="1"/>
  <c r="C94" i="15" s="1"/>
  <c r="N96" i="1"/>
  <c r="C93" i="15" s="1"/>
  <c r="N95" i="1"/>
  <c r="C92" i="15" s="1"/>
  <c r="N94" i="1"/>
  <c r="C91" i="15" s="1"/>
  <c r="N93" i="1"/>
  <c r="C90" i="15" s="1"/>
  <c r="N92" i="1"/>
  <c r="C89" i="15" s="1"/>
  <c r="N91" i="1"/>
  <c r="C88" i="15" s="1"/>
  <c r="N90" i="1"/>
  <c r="C87" i="15" s="1"/>
  <c r="N89" i="1"/>
  <c r="C86" i="15" s="1"/>
  <c r="N88" i="1"/>
  <c r="C85" i="15" s="1"/>
  <c r="N87" i="1"/>
  <c r="C84" i="15" s="1"/>
  <c r="N86" i="1"/>
  <c r="C83" i="15" s="1"/>
  <c r="C123" i="3"/>
  <c r="A123" i="3"/>
  <c r="C122" i="3"/>
  <c r="A122" i="3"/>
  <c r="C121" i="3"/>
  <c r="A121" i="3"/>
  <c r="C120" i="3"/>
  <c r="A120" i="3"/>
  <c r="C119" i="3"/>
  <c r="A119" i="3"/>
  <c r="J116" i="3"/>
  <c r="H116" i="3"/>
  <c r="C116" i="3"/>
  <c r="A116" i="3"/>
  <c r="J115" i="3"/>
  <c r="H115" i="3"/>
  <c r="C115" i="3"/>
  <c r="A115" i="3"/>
  <c r="J114" i="3"/>
  <c r="H114" i="3"/>
  <c r="C114" i="3"/>
  <c r="A114" i="3"/>
  <c r="J113" i="3"/>
  <c r="H113" i="3"/>
  <c r="C113" i="3"/>
  <c r="A113" i="3"/>
  <c r="J112" i="3"/>
  <c r="H112" i="3"/>
  <c r="C112" i="3"/>
  <c r="A112" i="3"/>
  <c r="J111" i="3"/>
  <c r="H111" i="3"/>
  <c r="C111" i="3"/>
  <c r="A111" i="3"/>
  <c r="J110" i="3"/>
  <c r="H110" i="3"/>
  <c r="C110" i="3"/>
  <c r="A110" i="3"/>
  <c r="J109" i="3"/>
  <c r="H109" i="3"/>
  <c r="C109" i="3"/>
  <c r="A109" i="3"/>
  <c r="J108" i="3"/>
  <c r="H108" i="3"/>
  <c r="C108" i="3"/>
  <c r="A108" i="3"/>
  <c r="J107" i="3"/>
  <c r="H107" i="3"/>
  <c r="C107" i="3"/>
  <c r="A107" i="3"/>
  <c r="J106" i="3"/>
  <c r="H106" i="3"/>
  <c r="C106" i="3"/>
  <c r="A106" i="3"/>
  <c r="J105" i="3"/>
  <c r="H105" i="3"/>
  <c r="C105" i="3"/>
  <c r="A105" i="3"/>
  <c r="J104" i="3"/>
  <c r="H104" i="3"/>
  <c r="C104" i="3"/>
  <c r="A104" i="3"/>
  <c r="J103" i="3"/>
  <c r="H103" i="3"/>
  <c r="C103" i="3"/>
  <c r="A103" i="3"/>
  <c r="J102" i="3"/>
  <c r="H102" i="3"/>
  <c r="C102" i="3"/>
  <c r="A102" i="3"/>
  <c r="J101" i="3"/>
  <c r="H101" i="3"/>
  <c r="C101" i="3"/>
  <c r="A101" i="3"/>
  <c r="J100" i="3"/>
  <c r="H100" i="3"/>
  <c r="C100" i="3"/>
  <c r="A100" i="3"/>
  <c r="J99" i="3"/>
  <c r="H99" i="3"/>
  <c r="C99" i="3"/>
  <c r="A99" i="3"/>
  <c r="J98" i="3"/>
  <c r="H98" i="3"/>
  <c r="C98" i="3"/>
  <c r="A98" i="3"/>
  <c r="J97" i="3"/>
  <c r="H97" i="3"/>
  <c r="C97" i="3"/>
  <c r="A97" i="3"/>
  <c r="J96" i="3"/>
  <c r="H96" i="3"/>
  <c r="C96" i="3"/>
  <c r="A96" i="3"/>
  <c r="J95" i="3"/>
  <c r="H95" i="3"/>
  <c r="C95" i="3"/>
  <c r="A95" i="3"/>
  <c r="J94" i="3"/>
  <c r="H94" i="3"/>
  <c r="C94" i="3"/>
  <c r="A94" i="3"/>
  <c r="J93" i="3"/>
  <c r="H93" i="3"/>
  <c r="C93" i="3"/>
  <c r="A93" i="3"/>
  <c r="J92" i="3"/>
  <c r="H92" i="3"/>
  <c r="C92" i="3"/>
  <c r="A92" i="3"/>
  <c r="J91" i="3"/>
  <c r="H91" i="3"/>
  <c r="C91" i="3"/>
  <c r="A91" i="3"/>
  <c r="BE111" i="1"/>
  <c r="AX111" i="1"/>
  <c r="AW111" i="1"/>
  <c r="AV111" i="1"/>
  <c r="AI111" i="1"/>
  <c r="AC111" i="1" s="1"/>
  <c r="X111" i="1"/>
  <c r="Q111" i="1"/>
  <c r="BE110" i="1"/>
  <c r="AX110" i="1"/>
  <c r="AW110" i="1"/>
  <c r="AV110" i="1"/>
  <c r="AI110" i="1"/>
  <c r="AC110" i="1" s="1"/>
  <c r="X110" i="1"/>
  <c r="Q110" i="1"/>
  <c r="BE109" i="1"/>
  <c r="AX109" i="1"/>
  <c r="AW109" i="1"/>
  <c r="AV109" i="1"/>
  <c r="AI109" i="1"/>
  <c r="AC109" i="1" s="1"/>
  <c r="X109" i="1"/>
  <c r="Q109" i="1"/>
  <c r="BE108" i="1"/>
  <c r="AX108" i="1"/>
  <c r="AW108" i="1"/>
  <c r="AV108" i="1"/>
  <c r="AI108" i="1"/>
  <c r="AC108" i="1" s="1"/>
  <c r="X108" i="1"/>
  <c r="Q108" i="1"/>
  <c r="BE107" i="1"/>
  <c r="AX107" i="1"/>
  <c r="AW107" i="1"/>
  <c r="AV107" i="1"/>
  <c r="AI107" i="1"/>
  <c r="AC107" i="1" s="1"/>
  <c r="X107" i="1"/>
  <c r="Q107" i="1"/>
  <c r="BE106" i="1"/>
  <c r="AX106" i="1"/>
  <c r="AW106" i="1"/>
  <c r="AV106" i="1"/>
  <c r="AI106" i="1"/>
  <c r="AC106" i="1" s="1"/>
  <c r="M106" i="1" s="1"/>
  <c r="B103" i="15" s="1"/>
  <c r="X106" i="1"/>
  <c r="Q106" i="1"/>
  <c r="BE105" i="1"/>
  <c r="AX105" i="1"/>
  <c r="AW105" i="1"/>
  <c r="AV105" i="1"/>
  <c r="AI105" i="1"/>
  <c r="AC105" i="1" s="1"/>
  <c r="X105" i="1"/>
  <c r="Q105" i="1"/>
  <c r="BE104" i="1"/>
  <c r="AX104" i="1"/>
  <c r="AW104" i="1"/>
  <c r="AV104" i="1"/>
  <c r="AI104" i="1"/>
  <c r="AC104" i="1" s="1"/>
  <c r="X104" i="1"/>
  <c r="Q104" i="1"/>
  <c r="BE103" i="1"/>
  <c r="AX103" i="1"/>
  <c r="AW103" i="1"/>
  <c r="AV103" i="1"/>
  <c r="AI103" i="1"/>
  <c r="AC103" i="1" s="1"/>
  <c r="X103" i="1"/>
  <c r="Q103" i="1"/>
  <c r="BE102" i="1"/>
  <c r="AX102" i="1"/>
  <c r="AW102" i="1"/>
  <c r="AV102" i="1"/>
  <c r="AI102" i="1"/>
  <c r="AC102" i="1" s="1"/>
  <c r="X102" i="1"/>
  <c r="Q102" i="1"/>
  <c r="BE101" i="1"/>
  <c r="AX101" i="1"/>
  <c r="AW101" i="1"/>
  <c r="AV101" i="1"/>
  <c r="AI101" i="1"/>
  <c r="AC101" i="1" s="1"/>
  <c r="X101" i="1"/>
  <c r="Q101" i="1"/>
  <c r="BE100" i="1"/>
  <c r="AX100" i="1"/>
  <c r="AW100" i="1"/>
  <c r="AV100" i="1"/>
  <c r="AI100" i="1"/>
  <c r="AC100" i="1" s="1"/>
  <c r="X100" i="1"/>
  <c r="Q100" i="1"/>
  <c r="BE99" i="1"/>
  <c r="AX99" i="1"/>
  <c r="AW99" i="1"/>
  <c r="AV99" i="1"/>
  <c r="AI99" i="1"/>
  <c r="AC99" i="1" s="1"/>
  <c r="X99" i="1"/>
  <c r="Q99" i="1"/>
  <c r="BE98" i="1"/>
  <c r="AX98" i="1"/>
  <c r="AW98" i="1"/>
  <c r="AV98" i="1"/>
  <c r="AI98" i="1"/>
  <c r="AC98" i="1" s="1"/>
  <c r="M98" i="1" s="1"/>
  <c r="B95" i="15" s="1"/>
  <c r="X98" i="1"/>
  <c r="Q98" i="1"/>
  <c r="BE97" i="1"/>
  <c r="AX97" i="1"/>
  <c r="AW97" i="1"/>
  <c r="AV97" i="1"/>
  <c r="AI97" i="1"/>
  <c r="AC97" i="1" s="1"/>
  <c r="X97" i="1"/>
  <c r="Q97" i="1"/>
  <c r="BE96" i="1"/>
  <c r="AX96" i="1"/>
  <c r="AW96" i="1"/>
  <c r="AV96" i="1"/>
  <c r="AI96" i="1"/>
  <c r="AC96" i="1" s="1"/>
  <c r="X96" i="1"/>
  <c r="Q96" i="1"/>
  <c r="BE95" i="1"/>
  <c r="AX95" i="1"/>
  <c r="AW95" i="1"/>
  <c r="AV95" i="1"/>
  <c r="AI95" i="1"/>
  <c r="AC95" i="1" s="1"/>
  <c r="X95" i="1"/>
  <c r="Q95" i="1"/>
  <c r="BE94" i="1"/>
  <c r="AX94" i="1"/>
  <c r="AW94" i="1"/>
  <c r="AV94" i="1"/>
  <c r="AI94" i="1"/>
  <c r="AC94" i="1" s="1"/>
  <c r="X94" i="1"/>
  <c r="Q94" i="1"/>
  <c r="BE93" i="1"/>
  <c r="AX93" i="1"/>
  <c r="AW93" i="1"/>
  <c r="AV93" i="1"/>
  <c r="AI93" i="1"/>
  <c r="AC93" i="1" s="1"/>
  <c r="X93" i="1"/>
  <c r="Q93" i="1"/>
  <c r="BE92" i="1"/>
  <c r="AX92" i="1"/>
  <c r="AW92" i="1"/>
  <c r="AV92" i="1"/>
  <c r="AI92" i="1"/>
  <c r="AC92" i="1" s="1"/>
  <c r="X92" i="1"/>
  <c r="Q92" i="1"/>
  <c r="BE91" i="1"/>
  <c r="AX91" i="1"/>
  <c r="AW91" i="1"/>
  <c r="AV91" i="1"/>
  <c r="AI91" i="1"/>
  <c r="AC91" i="1" s="1"/>
  <c r="X91" i="1"/>
  <c r="Q91" i="1"/>
  <c r="BE90" i="1"/>
  <c r="AX90" i="1"/>
  <c r="AW90" i="1"/>
  <c r="AV90" i="1"/>
  <c r="AI90" i="1"/>
  <c r="AC90" i="1" s="1"/>
  <c r="M90" i="1" s="1"/>
  <c r="B87" i="15" s="1"/>
  <c r="X90" i="1"/>
  <c r="Q90" i="1"/>
  <c r="BE89" i="1"/>
  <c r="AX89" i="1"/>
  <c r="AW89" i="1"/>
  <c r="AV89" i="1"/>
  <c r="AI89" i="1"/>
  <c r="AC89" i="1" s="1"/>
  <c r="X89" i="1"/>
  <c r="Q89" i="1"/>
  <c r="BE88" i="1"/>
  <c r="AX88" i="1"/>
  <c r="AW88" i="1"/>
  <c r="AV88" i="1"/>
  <c r="AI88" i="1"/>
  <c r="AC88" i="1" s="1"/>
  <c r="X88" i="1"/>
  <c r="Q88" i="1"/>
  <c r="BE87" i="1"/>
  <c r="AX87" i="1"/>
  <c r="AW87" i="1"/>
  <c r="AV87" i="1"/>
  <c r="AI87" i="1"/>
  <c r="AC87" i="1" s="1"/>
  <c r="X87" i="1"/>
  <c r="Q87" i="1"/>
  <c r="BE86" i="1"/>
  <c r="AX86" i="1"/>
  <c r="AW86" i="1"/>
  <c r="AV86" i="1"/>
  <c r="AI86" i="1"/>
  <c r="AC86" i="1" s="1"/>
  <c r="X86" i="1"/>
  <c r="Q86" i="1"/>
  <c r="AO4" i="1"/>
  <c r="AM4" i="1"/>
  <c r="AJ4" i="1"/>
  <c r="P119" i="1"/>
  <c r="P118" i="1"/>
  <c r="P117" i="1"/>
  <c r="X117" i="1" s="1"/>
  <c r="P116" i="1"/>
  <c r="Q116" i="1" s="1"/>
  <c r="P112" i="1"/>
  <c r="P113" i="1"/>
  <c r="P114" i="1"/>
  <c r="Q114" i="1" s="1"/>
  <c r="P115" i="1"/>
  <c r="X115" i="1" s="1"/>
  <c r="BE119" i="1"/>
  <c r="AX119" i="1"/>
  <c r="AW119" i="1"/>
  <c r="AV119" i="1"/>
  <c r="AI119" i="1"/>
  <c r="AC119" i="1" s="1"/>
  <c r="M119" i="1" s="1"/>
  <c r="B116" i="15" s="1"/>
  <c r="BE118" i="1"/>
  <c r="AX118" i="1"/>
  <c r="AW118" i="1"/>
  <c r="AV118" i="1"/>
  <c r="AI118" i="1"/>
  <c r="AC118" i="1" s="1"/>
  <c r="M118" i="1" s="1"/>
  <c r="B115" i="15" s="1"/>
  <c r="BE117" i="1"/>
  <c r="AX117" i="1"/>
  <c r="AW117" i="1"/>
  <c r="AV117" i="1"/>
  <c r="AI117" i="1"/>
  <c r="AC117" i="1" s="1"/>
  <c r="M117" i="1" s="1"/>
  <c r="B114" i="15" s="1"/>
  <c r="BE116" i="1"/>
  <c r="AX116" i="1"/>
  <c r="AW116" i="1"/>
  <c r="AV116" i="1"/>
  <c r="AI116" i="1"/>
  <c r="AC116" i="1" s="1"/>
  <c r="M116" i="1" s="1"/>
  <c r="B113" i="15" s="1"/>
  <c r="BE115" i="1"/>
  <c r="AX115" i="1"/>
  <c r="AW115" i="1"/>
  <c r="AV115" i="1"/>
  <c r="AI115" i="1"/>
  <c r="AC115" i="1" s="1"/>
  <c r="M115" i="1" s="1"/>
  <c r="B112" i="15" s="1"/>
  <c r="BE114" i="1"/>
  <c r="AX114" i="1"/>
  <c r="AW114" i="1"/>
  <c r="AV114" i="1"/>
  <c r="AI114" i="1"/>
  <c r="AC114" i="1" s="1"/>
  <c r="M114" i="1" s="1"/>
  <c r="B111" i="15" s="1"/>
  <c r="J90" i="3"/>
  <c r="H90" i="3"/>
  <c r="D92" i="3" l="1"/>
  <c r="D94" i="3"/>
  <c r="D96" i="3"/>
  <c r="D98" i="3"/>
  <c r="D100" i="3"/>
  <c r="D102" i="3"/>
  <c r="D104" i="3"/>
  <c r="D106" i="3"/>
  <c r="D108" i="3"/>
  <c r="C103" i="1" s="1"/>
  <c r="D110" i="3"/>
  <c r="D112" i="3"/>
  <c r="D114" i="3"/>
  <c r="C109" i="1" s="1"/>
  <c r="D116" i="3"/>
  <c r="C111" i="1" s="1"/>
  <c r="D91" i="3"/>
  <c r="D93" i="3"/>
  <c r="D95" i="3"/>
  <c r="D97" i="3"/>
  <c r="C92" i="1" s="1"/>
  <c r="D99" i="3"/>
  <c r="C94" i="1" s="1"/>
  <c r="D101" i="3"/>
  <c r="D103" i="3"/>
  <c r="C98" i="1" s="1"/>
  <c r="D105" i="3"/>
  <c r="D107" i="3"/>
  <c r="D109" i="3"/>
  <c r="D111" i="3"/>
  <c r="D113" i="3"/>
  <c r="D115" i="3"/>
  <c r="M86" i="1"/>
  <c r="B83" i="15" s="1"/>
  <c r="M94" i="1"/>
  <c r="B91" i="15" s="1"/>
  <c r="M102" i="1"/>
  <c r="B99" i="15" s="1"/>
  <c r="M88" i="1"/>
  <c r="B85" i="15" s="1"/>
  <c r="M92" i="1"/>
  <c r="B89" i="15" s="1"/>
  <c r="M96" i="1"/>
  <c r="B93" i="15" s="1"/>
  <c r="M100" i="1"/>
  <c r="B97" i="15" s="1"/>
  <c r="M104" i="1"/>
  <c r="B101" i="15" s="1"/>
  <c r="M108" i="1"/>
  <c r="B105" i="15" s="1"/>
  <c r="A13" i="8"/>
  <c r="BA116" i="1"/>
  <c r="M87" i="1"/>
  <c r="B84" i="15" s="1"/>
  <c r="M91" i="1"/>
  <c r="B88" i="15" s="1"/>
  <c r="M110" i="1"/>
  <c r="B107" i="15" s="1"/>
  <c r="AY119" i="1"/>
  <c r="Q119" i="1"/>
  <c r="Q118" i="1"/>
  <c r="M95" i="1"/>
  <c r="B92" i="15" s="1"/>
  <c r="M99" i="1"/>
  <c r="B96" i="15" s="1"/>
  <c r="M103" i="1"/>
  <c r="B100" i="15" s="1"/>
  <c r="M107" i="1"/>
  <c r="B104" i="15" s="1"/>
  <c r="AY108" i="1"/>
  <c r="M111" i="1"/>
  <c r="B108" i="15" s="1"/>
  <c r="BA88" i="1"/>
  <c r="BA92" i="1"/>
  <c r="BA96" i="1"/>
  <c r="BA100" i="1"/>
  <c r="BA104" i="1"/>
  <c r="BA108" i="1"/>
  <c r="BA89" i="1"/>
  <c r="BA93" i="1"/>
  <c r="BA97" i="1"/>
  <c r="BA101" i="1"/>
  <c r="BA105" i="1"/>
  <c r="AY107" i="1"/>
  <c r="BA109" i="1"/>
  <c r="AY111" i="1"/>
  <c r="BA118" i="1"/>
  <c r="X119" i="1"/>
  <c r="X118" i="1"/>
  <c r="X114" i="1"/>
  <c r="BA86" i="1"/>
  <c r="BA94" i="1"/>
  <c r="BA102" i="1"/>
  <c r="BA106" i="1"/>
  <c r="BA114" i="1"/>
  <c r="M89" i="1"/>
  <c r="B86" i="15" s="1"/>
  <c r="M93" i="1"/>
  <c r="B90" i="15" s="1"/>
  <c r="M97" i="1"/>
  <c r="B94" i="15" s="1"/>
  <c r="M101" i="1"/>
  <c r="B98" i="15" s="1"/>
  <c r="M105" i="1"/>
  <c r="B102" i="15" s="1"/>
  <c r="M109" i="1"/>
  <c r="B106" i="15" s="1"/>
  <c r="AY110" i="1"/>
  <c r="AZ111" i="1"/>
  <c r="AY118" i="1"/>
  <c r="BA90" i="1"/>
  <c r="BA98" i="1"/>
  <c r="AY114" i="1"/>
  <c r="BA87" i="1"/>
  <c r="BA91" i="1"/>
  <c r="BA95" i="1"/>
  <c r="BA99" i="1"/>
  <c r="BA103" i="1"/>
  <c r="BA107" i="1"/>
  <c r="AY109" i="1"/>
  <c r="AY117" i="1"/>
  <c r="X116" i="1"/>
  <c r="AY116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Q115" i="1"/>
  <c r="AY11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A110" i="1"/>
  <c r="BA111" i="1"/>
  <c r="BA119" i="1"/>
  <c r="BA117" i="1"/>
  <c r="BA115" i="1"/>
  <c r="Q117" i="1"/>
  <c r="AZ119" i="1"/>
  <c r="AZ118" i="1"/>
  <c r="AZ117" i="1"/>
  <c r="AZ116" i="1"/>
  <c r="AZ115" i="1"/>
  <c r="AZ114" i="1"/>
  <c r="J21" i="3"/>
  <c r="H21" i="3"/>
  <c r="J27" i="3"/>
  <c r="H27" i="3"/>
  <c r="J26" i="3"/>
  <c r="H26" i="3"/>
  <c r="J25" i="3"/>
  <c r="H25" i="3"/>
  <c r="C20" i="3"/>
  <c r="A20" i="3"/>
  <c r="C19" i="3"/>
  <c r="A19" i="3"/>
  <c r="C18" i="3"/>
  <c r="A18" i="3"/>
  <c r="C17" i="3"/>
  <c r="A17" i="3"/>
  <c r="C16" i="3"/>
  <c r="A16" i="3"/>
  <c r="C15" i="3"/>
  <c r="A15" i="3"/>
  <c r="C14" i="3"/>
  <c r="A14" i="3"/>
  <c r="C13" i="3"/>
  <c r="A13" i="3"/>
  <c r="C10" i="3"/>
  <c r="A10" i="3"/>
  <c r="P16" i="1"/>
  <c r="F115" i="3" l="1"/>
  <c r="C110" i="1"/>
  <c r="F107" i="3"/>
  <c r="C102" i="1"/>
  <c r="F91" i="3"/>
  <c r="C86" i="1"/>
  <c r="F110" i="3"/>
  <c r="C105" i="1"/>
  <c r="F102" i="3"/>
  <c r="C97" i="1"/>
  <c r="F94" i="3"/>
  <c r="C89" i="1"/>
  <c r="F111" i="3"/>
  <c r="C106" i="1"/>
  <c r="F95" i="3"/>
  <c r="C90" i="1"/>
  <c r="F106" i="3"/>
  <c r="C101" i="1"/>
  <c r="F98" i="3"/>
  <c r="C93" i="1"/>
  <c r="F109" i="3"/>
  <c r="C104" i="1"/>
  <c r="F101" i="3"/>
  <c r="C96" i="1"/>
  <c r="F93" i="3"/>
  <c r="C88" i="1"/>
  <c r="F112" i="3"/>
  <c r="C107" i="1"/>
  <c r="F104" i="3"/>
  <c r="C99" i="1"/>
  <c r="F96" i="3"/>
  <c r="C91" i="1"/>
  <c r="F113" i="3"/>
  <c r="C108" i="1"/>
  <c r="F105" i="3"/>
  <c r="C100" i="1"/>
  <c r="F100" i="3"/>
  <c r="C95" i="1"/>
  <c r="F92" i="3"/>
  <c r="C87" i="1"/>
  <c r="F116" i="3"/>
  <c r="F108" i="3"/>
  <c r="F99" i="3"/>
  <c r="F97" i="3"/>
  <c r="F103" i="3"/>
  <c r="F114" i="3"/>
  <c r="A14" i="8"/>
  <c r="P5" i="1"/>
  <c r="P4" i="1"/>
  <c r="BE5" i="1"/>
  <c r="AX5" i="1"/>
  <c r="AW5" i="1"/>
  <c r="AV5" i="1"/>
  <c r="AY5" i="1" s="1"/>
  <c r="AI5" i="1"/>
  <c r="AC5" i="1" s="1"/>
  <c r="M5" i="1" s="1"/>
  <c r="B3" i="15" s="1"/>
  <c r="BE15" i="1"/>
  <c r="AX15" i="1"/>
  <c r="AW15" i="1"/>
  <c r="AV15" i="1"/>
  <c r="AI15" i="1"/>
  <c r="AC15" i="1" s="1"/>
  <c r="BE14" i="1"/>
  <c r="AX14" i="1"/>
  <c r="AW14" i="1"/>
  <c r="AV14" i="1"/>
  <c r="AZ14" i="1" s="1"/>
  <c r="AI14" i="1"/>
  <c r="AC14" i="1" s="1"/>
  <c r="BE13" i="1"/>
  <c r="AX13" i="1"/>
  <c r="AW13" i="1"/>
  <c r="AV13" i="1"/>
  <c r="AY13" i="1" s="1"/>
  <c r="AI13" i="1"/>
  <c r="AC13" i="1" s="1"/>
  <c r="BE12" i="1"/>
  <c r="AX12" i="1"/>
  <c r="AW12" i="1"/>
  <c r="AV12" i="1"/>
  <c r="AY12" i="1" s="1"/>
  <c r="AI12" i="1"/>
  <c r="AC12" i="1" s="1"/>
  <c r="BE11" i="1"/>
  <c r="AX11" i="1"/>
  <c r="AW11" i="1"/>
  <c r="AV11" i="1"/>
  <c r="AZ11" i="1" s="1"/>
  <c r="AI11" i="1"/>
  <c r="AC11" i="1" s="1"/>
  <c r="BE10" i="1"/>
  <c r="AX10" i="1"/>
  <c r="AW10" i="1"/>
  <c r="AV10" i="1"/>
  <c r="AY10" i="1" s="1"/>
  <c r="AI10" i="1"/>
  <c r="AC10" i="1" s="1"/>
  <c r="BE9" i="1"/>
  <c r="AX9" i="1"/>
  <c r="AW9" i="1"/>
  <c r="AV9" i="1"/>
  <c r="AZ9" i="1" s="1"/>
  <c r="AI9" i="1"/>
  <c r="AC9" i="1" s="1"/>
  <c r="BE8" i="1"/>
  <c r="AX8" i="1"/>
  <c r="AW8" i="1"/>
  <c r="AV8" i="1"/>
  <c r="AZ8" i="1" s="1"/>
  <c r="AI8" i="1"/>
  <c r="AC8" i="1" s="1"/>
  <c r="N12" i="1"/>
  <c r="C10" i="15" s="1"/>
  <c r="N11" i="1"/>
  <c r="C9" i="15" s="1"/>
  <c r="N10" i="1"/>
  <c r="C8" i="15" s="1"/>
  <c r="N15" i="1"/>
  <c r="C13" i="15" s="1"/>
  <c r="N14" i="1"/>
  <c r="C12" i="15" s="1"/>
  <c r="N13" i="1"/>
  <c r="C11" i="15" s="1"/>
  <c r="N9" i="1"/>
  <c r="C7" i="15" s="1"/>
  <c r="N8" i="1"/>
  <c r="C6" i="15" s="1"/>
  <c r="N7" i="1"/>
  <c r="C5" i="15" s="1"/>
  <c r="P15" i="1"/>
  <c r="Q15" i="1" s="1"/>
  <c r="P14" i="1"/>
  <c r="P13" i="1"/>
  <c r="X13" i="1" s="1"/>
  <c r="P12" i="1"/>
  <c r="P11" i="1"/>
  <c r="P10" i="1"/>
  <c r="X10" i="1" s="1"/>
  <c r="P9" i="1"/>
  <c r="Q9" i="1" s="1"/>
  <c r="P8" i="1"/>
  <c r="P7" i="1"/>
  <c r="P6" i="1"/>
  <c r="J483" i="3"/>
  <c r="H483" i="3"/>
  <c r="BE478" i="1"/>
  <c r="BA478" i="1"/>
  <c r="AZ478" i="1"/>
  <c r="AY478" i="1"/>
  <c r="AI478" i="1"/>
  <c r="AC478" i="1" s="1"/>
  <c r="M478" i="1" s="1"/>
  <c r="B560" i="15" s="1"/>
  <c r="Q478" i="1"/>
  <c r="X478" i="1"/>
  <c r="J382" i="3"/>
  <c r="H382" i="3"/>
  <c r="J482" i="3"/>
  <c r="H482" i="3"/>
  <c r="J481" i="3"/>
  <c r="H481" i="3"/>
  <c r="C482" i="3"/>
  <c r="A482" i="3"/>
  <c r="M8" i="3"/>
  <c r="I21" i="3" s="1"/>
  <c r="BE477" i="1"/>
  <c r="AY477" i="1"/>
  <c r="AZ477" i="1"/>
  <c r="BA477" i="1"/>
  <c r="Q477" i="1"/>
  <c r="X477" i="1"/>
  <c r="AI477" i="1"/>
  <c r="AC477" i="1" s="1"/>
  <c r="M477" i="1" s="1"/>
  <c r="B559" i="15" s="1"/>
  <c r="C481" i="3"/>
  <c r="A481" i="3"/>
  <c r="C480" i="3"/>
  <c r="A480" i="3"/>
  <c r="C479" i="3"/>
  <c r="A479" i="3"/>
  <c r="C478" i="3"/>
  <c r="A478" i="3"/>
  <c r="C477" i="3"/>
  <c r="A477" i="3"/>
  <c r="C476" i="3"/>
  <c r="A476" i="3"/>
  <c r="C475" i="3"/>
  <c r="A475" i="3"/>
  <c r="C474" i="3"/>
  <c r="A474" i="3"/>
  <c r="C473" i="3"/>
  <c r="A473" i="3"/>
  <c r="C472" i="3"/>
  <c r="A472" i="3"/>
  <c r="C471" i="3"/>
  <c r="A471" i="3"/>
  <c r="C470" i="3"/>
  <c r="A470" i="3"/>
  <c r="C469" i="3"/>
  <c r="A469" i="3"/>
  <c r="C468" i="3"/>
  <c r="A468" i="3"/>
  <c r="C467" i="3"/>
  <c r="A467" i="3"/>
  <c r="C466" i="3"/>
  <c r="A466" i="3"/>
  <c r="C465" i="3"/>
  <c r="A465" i="3"/>
  <c r="C464" i="3"/>
  <c r="A464" i="3"/>
  <c r="C463" i="3"/>
  <c r="A463" i="3"/>
  <c r="C460" i="3"/>
  <c r="A460" i="3"/>
  <c r="C459" i="3"/>
  <c r="A459" i="3"/>
  <c r="C458" i="3"/>
  <c r="A458" i="3"/>
  <c r="C457" i="3"/>
  <c r="A457" i="3"/>
  <c r="C456" i="3"/>
  <c r="A456" i="3"/>
  <c r="C455" i="3"/>
  <c r="A455" i="3"/>
  <c r="C454" i="3"/>
  <c r="A454" i="3"/>
  <c r="C453" i="3"/>
  <c r="A453" i="3"/>
  <c r="C452" i="3"/>
  <c r="A452" i="3"/>
  <c r="C451" i="3"/>
  <c r="A451" i="3"/>
  <c r="C450" i="3"/>
  <c r="A450" i="3"/>
  <c r="C449" i="3"/>
  <c r="A449" i="3"/>
  <c r="C448" i="3"/>
  <c r="A448" i="3"/>
  <c r="C447" i="3"/>
  <c r="A447" i="3"/>
  <c r="C446" i="3"/>
  <c r="A446" i="3"/>
  <c r="C445" i="3"/>
  <c r="A445" i="3"/>
  <c r="C444" i="3"/>
  <c r="A444" i="3"/>
  <c r="C443" i="3"/>
  <c r="A443" i="3"/>
  <c r="C442" i="3"/>
  <c r="A442" i="3"/>
  <c r="C441" i="3"/>
  <c r="A441" i="3"/>
  <c r="C440" i="3"/>
  <c r="A440" i="3"/>
  <c r="C439" i="3"/>
  <c r="A439" i="3"/>
  <c r="C438" i="3"/>
  <c r="A438" i="3"/>
  <c r="C437" i="3"/>
  <c r="A437" i="3"/>
  <c r="C436" i="3"/>
  <c r="A436" i="3"/>
  <c r="C435" i="3"/>
  <c r="A435" i="3"/>
  <c r="C434" i="3"/>
  <c r="A434" i="3"/>
  <c r="C433" i="3"/>
  <c r="A433" i="3"/>
  <c r="C432" i="3"/>
  <c r="A432" i="3"/>
  <c r="C431" i="3"/>
  <c r="A431" i="3"/>
  <c r="C430" i="3"/>
  <c r="A430" i="3"/>
  <c r="C429" i="3"/>
  <c r="A429" i="3"/>
  <c r="C428" i="3"/>
  <c r="A428" i="3"/>
  <c r="C427" i="3"/>
  <c r="A427" i="3"/>
  <c r="C426" i="3"/>
  <c r="A426" i="3"/>
  <c r="C425" i="3"/>
  <c r="A425" i="3"/>
  <c r="C424" i="3"/>
  <c r="A424" i="3"/>
  <c r="C423" i="3"/>
  <c r="A423" i="3"/>
  <c r="C422" i="3"/>
  <c r="A422" i="3"/>
  <c r="C421" i="3"/>
  <c r="A421" i="3"/>
  <c r="C420" i="3"/>
  <c r="A420" i="3"/>
  <c r="C419" i="3"/>
  <c r="A419" i="3"/>
  <c r="C418" i="3"/>
  <c r="A418" i="3"/>
  <c r="C417" i="3"/>
  <c r="A417" i="3"/>
  <c r="C416" i="3"/>
  <c r="A416" i="3"/>
  <c r="C415" i="3"/>
  <c r="A415" i="3"/>
  <c r="C414" i="3"/>
  <c r="A414" i="3"/>
  <c r="C413" i="3"/>
  <c r="A413" i="3"/>
  <c r="C412" i="3"/>
  <c r="A412" i="3"/>
  <c r="C411" i="3"/>
  <c r="A411" i="3"/>
  <c r="C410" i="3"/>
  <c r="A410" i="3"/>
  <c r="C409" i="3"/>
  <c r="A409" i="3"/>
  <c r="C408" i="3"/>
  <c r="A408" i="3"/>
  <c r="C407" i="3"/>
  <c r="A407" i="3"/>
  <c r="C406" i="3"/>
  <c r="A406" i="3"/>
  <c r="C405" i="3"/>
  <c r="A405" i="3"/>
  <c r="C404" i="3"/>
  <c r="A404" i="3"/>
  <c r="C403" i="3"/>
  <c r="A403" i="3"/>
  <c r="C402" i="3"/>
  <c r="A402" i="3"/>
  <c r="C401" i="3"/>
  <c r="A401" i="3"/>
  <c r="C400" i="3"/>
  <c r="A400" i="3"/>
  <c r="C399" i="3"/>
  <c r="A399" i="3"/>
  <c r="C398" i="3"/>
  <c r="A398" i="3"/>
  <c r="C397" i="3"/>
  <c r="A397" i="3"/>
  <c r="C396" i="3"/>
  <c r="A396" i="3"/>
  <c r="C395" i="3"/>
  <c r="A395" i="3"/>
  <c r="C394" i="3"/>
  <c r="A394" i="3"/>
  <c r="C393" i="3"/>
  <c r="A393" i="3"/>
  <c r="C392" i="3"/>
  <c r="A392" i="3"/>
  <c r="C391" i="3"/>
  <c r="A391" i="3"/>
  <c r="C390" i="3"/>
  <c r="A390" i="3"/>
  <c r="C389" i="3"/>
  <c r="A389" i="3"/>
  <c r="C388" i="3"/>
  <c r="A388" i="3"/>
  <c r="C387" i="3"/>
  <c r="A387" i="3"/>
  <c r="C386" i="3"/>
  <c r="A386" i="3"/>
  <c r="C385" i="3"/>
  <c r="A385" i="3"/>
  <c r="C384" i="3"/>
  <c r="A384" i="3"/>
  <c r="C383" i="3"/>
  <c r="A383" i="3"/>
  <c r="C382" i="3"/>
  <c r="A382" i="3"/>
  <c r="C381" i="3"/>
  <c r="A381" i="3"/>
  <c r="C380" i="3"/>
  <c r="A380" i="3"/>
  <c r="C379" i="3"/>
  <c r="A379" i="3"/>
  <c r="C378" i="3"/>
  <c r="A378" i="3"/>
  <c r="C377" i="3"/>
  <c r="A377" i="3"/>
  <c r="C376" i="3"/>
  <c r="A376" i="3"/>
  <c r="C375" i="3"/>
  <c r="A375" i="3"/>
  <c r="C374" i="3"/>
  <c r="A374" i="3"/>
  <c r="C373" i="3"/>
  <c r="A373" i="3"/>
  <c r="C372" i="3"/>
  <c r="A372" i="3"/>
  <c r="C371" i="3"/>
  <c r="A371" i="3"/>
  <c r="C370" i="3"/>
  <c r="A370" i="3"/>
  <c r="C369" i="3"/>
  <c r="A369" i="3"/>
  <c r="C368" i="3"/>
  <c r="A368" i="3"/>
  <c r="C367" i="3"/>
  <c r="A367" i="3"/>
  <c r="C366" i="3"/>
  <c r="A366" i="3"/>
  <c r="C365" i="3"/>
  <c r="A365" i="3"/>
  <c r="C364" i="3"/>
  <c r="A364" i="3"/>
  <c r="C363" i="3"/>
  <c r="A363" i="3"/>
  <c r="C362" i="3"/>
  <c r="A362" i="3"/>
  <c r="C361" i="3"/>
  <c r="A361" i="3"/>
  <c r="C360" i="3"/>
  <c r="A360" i="3"/>
  <c r="C359" i="3"/>
  <c r="A359" i="3"/>
  <c r="C358" i="3"/>
  <c r="A358" i="3"/>
  <c r="C357" i="3"/>
  <c r="A357" i="3"/>
  <c r="C356" i="3"/>
  <c r="A356" i="3"/>
  <c r="C355" i="3"/>
  <c r="A355" i="3"/>
  <c r="C354" i="3"/>
  <c r="A354" i="3"/>
  <c r="C353" i="3"/>
  <c r="A353" i="3"/>
  <c r="C352" i="3"/>
  <c r="A352" i="3"/>
  <c r="C351" i="3"/>
  <c r="A351" i="3"/>
  <c r="C350" i="3"/>
  <c r="A350" i="3"/>
  <c r="C349" i="3"/>
  <c r="A349" i="3"/>
  <c r="C348" i="3"/>
  <c r="A348" i="3"/>
  <c r="C347" i="3"/>
  <c r="A347" i="3"/>
  <c r="C346" i="3"/>
  <c r="A346" i="3"/>
  <c r="C345" i="3"/>
  <c r="A345" i="3"/>
  <c r="C344" i="3"/>
  <c r="A344" i="3"/>
  <c r="C295" i="3"/>
  <c r="A295" i="3"/>
  <c r="C294" i="3"/>
  <c r="A294" i="3"/>
  <c r="C293" i="3"/>
  <c r="A293" i="3"/>
  <c r="C292" i="3"/>
  <c r="A292" i="3"/>
  <c r="C291" i="3"/>
  <c r="A291" i="3"/>
  <c r="C290" i="3"/>
  <c r="A290" i="3"/>
  <c r="C289" i="3"/>
  <c r="A289" i="3"/>
  <c r="C288" i="3"/>
  <c r="A288" i="3"/>
  <c r="C287" i="3"/>
  <c r="A287" i="3"/>
  <c r="C286" i="3"/>
  <c r="A286" i="3"/>
  <c r="C285" i="3"/>
  <c r="A285" i="3"/>
  <c r="C284" i="3"/>
  <c r="A284" i="3"/>
  <c r="C283" i="3"/>
  <c r="A283" i="3"/>
  <c r="C282" i="3"/>
  <c r="A282" i="3"/>
  <c r="C281" i="3"/>
  <c r="A281" i="3"/>
  <c r="C280" i="3"/>
  <c r="A280" i="3"/>
  <c r="C279" i="3"/>
  <c r="A279" i="3"/>
  <c r="C278" i="3"/>
  <c r="A278" i="3"/>
  <c r="C277" i="3"/>
  <c r="A277" i="3"/>
  <c r="C276" i="3"/>
  <c r="A276" i="3"/>
  <c r="C275" i="3"/>
  <c r="A275" i="3"/>
  <c r="C274" i="3"/>
  <c r="A274" i="3"/>
  <c r="C273" i="3"/>
  <c r="A273" i="3"/>
  <c r="C272" i="3"/>
  <c r="A272" i="3"/>
  <c r="C271" i="3"/>
  <c r="A271" i="3"/>
  <c r="C270" i="3"/>
  <c r="A270" i="3"/>
  <c r="C269" i="3"/>
  <c r="A269" i="3"/>
  <c r="C268" i="3"/>
  <c r="A268" i="3"/>
  <c r="C267" i="3"/>
  <c r="A267" i="3"/>
  <c r="C266" i="3"/>
  <c r="A266" i="3"/>
  <c r="C265" i="3"/>
  <c r="A265" i="3"/>
  <c r="C264" i="3"/>
  <c r="A264" i="3"/>
  <c r="C263" i="3"/>
  <c r="A263" i="3"/>
  <c r="C262" i="3"/>
  <c r="A262" i="3"/>
  <c r="C261" i="3"/>
  <c r="A261" i="3"/>
  <c r="C260" i="3"/>
  <c r="A260" i="3"/>
  <c r="C259" i="3"/>
  <c r="A259" i="3"/>
  <c r="C258" i="3"/>
  <c r="A258" i="3"/>
  <c r="C257" i="3"/>
  <c r="A257" i="3"/>
  <c r="C256" i="3"/>
  <c r="A256" i="3"/>
  <c r="C255" i="3"/>
  <c r="A255" i="3"/>
  <c r="C254" i="3"/>
  <c r="A254" i="3"/>
  <c r="C253" i="3"/>
  <c r="A253" i="3"/>
  <c r="C252" i="3"/>
  <c r="A252" i="3"/>
  <c r="C251" i="3"/>
  <c r="A251" i="3"/>
  <c r="C250" i="3"/>
  <c r="A250" i="3"/>
  <c r="C243" i="3"/>
  <c r="A243" i="3"/>
  <c r="C242" i="3"/>
  <c r="A242" i="3"/>
  <c r="C241" i="3"/>
  <c r="A241" i="3"/>
  <c r="C240" i="3"/>
  <c r="A240" i="3"/>
  <c r="C239" i="3"/>
  <c r="A239" i="3"/>
  <c r="C238" i="3"/>
  <c r="A238" i="3"/>
  <c r="C237" i="3"/>
  <c r="A237" i="3"/>
  <c r="C236" i="3"/>
  <c r="A236" i="3"/>
  <c r="C235" i="3"/>
  <c r="A235" i="3"/>
  <c r="C234" i="3"/>
  <c r="A234" i="3"/>
  <c r="C233" i="3"/>
  <c r="A233" i="3"/>
  <c r="C232" i="3"/>
  <c r="A232" i="3"/>
  <c r="C231" i="3"/>
  <c r="A231" i="3"/>
  <c r="C230" i="3"/>
  <c r="A230" i="3"/>
  <c r="C229" i="3"/>
  <c r="A229" i="3"/>
  <c r="C228" i="3"/>
  <c r="A228" i="3"/>
  <c r="C227" i="3"/>
  <c r="A227" i="3"/>
  <c r="C226" i="3"/>
  <c r="A226" i="3"/>
  <c r="C225" i="3"/>
  <c r="A225" i="3"/>
  <c r="C224" i="3"/>
  <c r="A224" i="3"/>
  <c r="C223" i="3"/>
  <c r="A223" i="3"/>
  <c r="C222" i="3"/>
  <c r="A222" i="3"/>
  <c r="C221" i="3"/>
  <c r="A221" i="3"/>
  <c r="C220" i="3"/>
  <c r="A220" i="3"/>
  <c r="C219" i="3"/>
  <c r="A219" i="3"/>
  <c r="C218" i="3"/>
  <c r="A218" i="3"/>
  <c r="C217" i="3"/>
  <c r="A217" i="3"/>
  <c r="C216" i="3"/>
  <c r="A216" i="3"/>
  <c r="C215" i="3"/>
  <c r="A215" i="3"/>
  <c r="C214" i="3"/>
  <c r="A214" i="3"/>
  <c r="C213" i="3"/>
  <c r="A213" i="3"/>
  <c r="C212" i="3"/>
  <c r="A212" i="3"/>
  <c r="C211" i="3"/>
  <c r="A211" i="3"/>
  <c r="C210" i="3"/>
  <c r="A210" i="3"/>
  <c r="C209" i="3"/>
  <c r="A209" i="3"/>
  <c r="C208" i="3"/>
  <c r="A208" i="3"/>
  <c r="C207" i="3"/>
  <c r="A207" i="3"/>
  <c r="C206" i="3"/>
  <c r="A206" i="3"/>
  <c r="C205" i="3"/>
  <c r="A205" i="3"/>
  <c r="C204" i="3"/>
  <c r="A204" i="3"/>
  <c r="C203" i="3"/>
  <c r="A203" i="3"/>
  <c r="C202" i="3"/>
  <c r="A202" i="3"/>
  <c r="C201" i="3"/>
  <c r="A201" i="3"/>
  <c r="C200" i="3"/>
  <c r="A200" i="3"/>
  <c r="C199" i="3"/>
  <c r="A199" i="3"/>
  <c r="C198" i="3"/>
  <c r="A198" i="3"/>
  <c r="C197" i="3"/>
  <c r="A197" i="3"/>
  <c r="C196" i="3"/>
  <c r="A196" i="3"/>
  <c r="C195" i="3"/>
  <c r="A195" i="3"/>
  <c r="C194" i="3"/>
  <c r="A194" i="3"/>
  <c r="C193" i="3"/>
  <c r="A193" i="3"/>
  <c r="C192" i="3"/>
  <c r="A192" i="3"/>
  <c r="C191" i="3"/>
  <c r="A191" i="3"/>
  <c r="C190" i="3"/>
  <c r="A190" i="3"/>
  <c r="C189" i="3"/>
  <c r="A189" i="3"/>
  <c r="C188" i="3"/>
  <c r="A188" i="3"/>
  <c r="C187" i="3"/>
  <c r="A187" i="3"/>
  <c r="C186" i="3"/>
  <c r="A186" i="3"/>
  <c r="C185" i="3"/>
  <c r="A185" i="3"/>
  <c r="C184" i="3"/>
  <c r="A184" i="3"/>
  <c r="C183" i="3"/>
  <c r="A183" i="3"/>
  <c r="C182" i="3"/>
  <c r="A182" i="3"/>
  <c r="C181" i="3"/>
  <c r="A181" i="3"/>
  <c r="C180" i="3"/>
  <c r="A180" i="3"/>
  <c r="C179" i="3"/>
  <c r="A179" i="3"/>
  <c r="C178" i="3"/>
  <c r="A178" i="3"/>
  <c r="C177" i="3"/>
  <c r="A177" i="3"/>
  <c r="C176" i="3"/>
  <c r="A176" i="3"/>
  <c r="C175" i="3"/>
  <c r="A175" i="3"/>
  <c r="C174" i="3"/>
  <c r="A174" i="3"/>
  <c r="C173" i="3"/>
  <c r="A173" i="3"/>
  <c r="C172" i="3"/>
  <c r="A172" i="3"/>
  <c r="C171" i="3"/>
  <c r="A171" i="3"/>
  <c r="C170" i="3"/>
  <c r="A170" i="3"/>
  <c r="C169" i="3"/>
  <c r="A169" i="3"/>
  <c r="C168" i="3"/>
  <c r="A168" i="3"/>
  <c r="C167" i="3"/>
  <c r="A167" i="3"/>
  <c r="C166" i="3"/>
  <c r="A166" i="3"/>
  <c r="C160" i="3"/>
  <c r="A160" i="3"/>
  <c r="C159" i="3"/>
  <c r="A159" i="3"/>
  <c r="C158" i="3"/>
  <c r="A158" i="3"/>
  <c r="C157" i="3"/>
  <c r="A157" i="3"/>
  <c r="C156" i="3"/>
  <c r="A156" i="3"/>
  <c r="C155" i="3"/>
  <c r="A155" i="3"/>
  <c r="C154" i="3"/>
  <c r="A154" i="3"/>
  <c r="C153" i="3"/>
  <c r="A153" i="3"/>
  <c r="C152" i="3"/>
  <c r="A152" i="3"/>
  <c r="C151" i="3"/>
  <c r="A151" i="3"/>
  <c r="C150" i="3"/>
  <c r="A150" i="3"/>
  <c r="C149" i="3"/>
  <c r="A149" i="3"/>
  <c r="C148" i="3"/>
  <c r="A148" i="3"/>
  <c r="C147" i="3"/>
  <c r="A147" i="3"/>
  <c r="C146" i="3"/>
  <c r="A146" i="3"/>
  <c r="C145" i="3"/>
  <c r="A145" i="3"/>
  <c r="C144" i="3"/>
  <c r="A144" i="3"/>
  <c r="C143" i="3"/>
  <c r="A143" i="3"/>
  <c r="C142" i="3"/>
  <c r="A142" i="3"/>
  <c r="C141" i="3"/>
  <c r="A141" i="3"/>
  <c r="C131" i="3"/>
  <c r="A131" i="3"/>
  <c r="C130" i="3"/>
  <c r="A130" i="3"/>
  <c r="C129" i="3"/>
  <c r="A129" i="3"/>
  <c r="C128" i="3"/>
  <c r="A128" i="3"/>
  <c r="C127" i="3"/>
  <c r="A127" i="3"/>
  <c r="C126" i="3"/>
  <c r="A126" i="3"/>
  <c r="C125" i="3"/>
  <c r="A125" i="3"/>
  <c r="C118" i="3"/>
  <c r="A118" i="3"/>
  <c r="C117" i="3"/>
  <c r="A117" i="3"/>
  <c r="C90" i="3"/>
  <c r="A90" i="3"/>
  <c r="C89" i="3"/>
  <c r="A89" i="3"/>
  <c r="C27" i="3"/>
  <c r="A27" i="3"/>
  <c r="C26" i="3"/>
  <c r="A26" i="3"/>
  <c r="C25" i="3"/>
  <c r="A25" i="3"/>
  <c r="C24" i="3"/>
  <c r="A24" i="3"/>
  <c r="C23" i="3"/>
  <c r="A23" i="3"/>
  <c r="C22" i="3"/>
  <c r="A22" i="3"/>
  <c r="C21" i="3"/>
  <c r="A21" i="3"/>
  <c r="C12" i="3"/>
  <c r="A12" i="3"/>
  <c r="C11" i="3"/>
  <c r="A11" i="3"/>
  <c r="A9" i="3"/>
  <c r="M9" i="1" l="1"/>
  <c r="B7" i="15" s="1"/>
  <c r="A15" i="8"/>
  <c r="M14" i="1"/>
  <c r="B12" i="15" s="1"/>
  <c r="X5" i="1"/>
  <c r="AZ15" i="1"/>
  <c r="AY15" i="1"/>
  <c r="Q5" i="1"/>
  <c r="M13" i="1"/>
  <c r="B11" i="15" s="1"/>
  <c r="N8" i="3"/>
  <c r="I22" i="3" s="1"/>
  <c r="M12" i="1"/>
  <c r="B10" i="15" s="1"/>
  <c r="X8" i="1"/>
  <c r="M8" i="1"/>
  <c r="B6" i="15" s="1"/>
  <c r="M15" i="1"/>
  <c r="B13" i="15" s="1"/>
  <c r="Q8" i="1"/>
  <c r="AY11" i="1"/>
  <c r="AY14" i="1"/>
  <c r="M11" i="1"/>
  <c r="B9" i="15" s="1"/>
  <c r="X12" i="1"/>
  <c r="AZ13" i="1"/>
  <c r="M10" i="1"/>
  <c r="B8" i="15" s="1"/>
  <c r="AY9" i="1"/>
  <c r="X11" i="1"/>
  <c r="Q12" i="1"/>
  <c r="BA12" i="1"/>
  <c r="AZ12" i="1"/>
  <c r="Q13" i="1"/>
  <c r="AY8" i="1"/>
  <c r="X9" i="1"/>
  <c r="Q10" i="1"/>
  <c r="X15" i="1"/>
  <c r="BA10" i="1"/>
  <c r="AZ10" i="1"/>
  <c r="Q11" i="1"/>
  <c r="Q14" i="1"/>
  <c r="X14" i="1"/>
  <c r="AZ5" i="1"/>
  <c r="BA5" i="1"/>
  <c r="BA11" i="1"/>
  <c r="BA13" i="1"/>
  <c r="BA9" i="1"/>
  <c r="BA14" i="1"/>
  <c r="BA15" i="1"/>
  <c r="BA8" i="1"/>
  <c r="A16" i="8" l="1"/>
  <c r="O8" i="3"/>
  <c r="I90" i="3"/>
  <c r="I26" i="3"/>
  <c r="I27" i="3"/>
  <c r="I25" i="3"/>
  <c r="I23" i="3" l="1"/>
  <c r="I89" i="3"/>
  <c r="I203" i="3"/>
  <c r="A17" i="8"/>
  <c r="I241" i="3"/>
  <c r="I204" i="3"/>
  <c r="P8" i="3"/>
  <c r="I125" i="3"/>
  <c r="I775" i="3" l="1"/>
  <c r="I1221" i="3"/>
  <c r="I168" i="3"/>
  <c r="I173" i="3"/>
  <c r="I166" i="3"/>
  <c r="A18" i="8"/>
  <c r="Q8" i="3"/>
  <c r="I389" i="3"/>
  <c r="I130" i="3"/>
  <c r="BE476" i="1"/>
  <c r="AY476" i="1"/>
  <c r="AZ476" i="1"/>
  <c r="BA476" i="1"/>
  <c r="Q476" i="1"/>
  <c r="X476" i="1"/>
  <c r="AI476" i="1"/>
  <c r="AC476" i="1" s="1"/>
  <c r="M476" i="1" s="1"/>
  <c r="B427" i="15" s="1"/>
  <c r="AT1" i="1"/>
  <c r="AR1" i="1"/>
  <c r="A1" i="1"/>
  <c r="BE459" i="1"/>
  <c r="BE458" i="1"/>
  <c r="BE455" i="1"/>
  <c r="BA459" i="1"/>
  <c r="AZ459" i="1"/>
  <c r="AY459" i="1"/>
  <c r="BA458" i="1"/>
  <c r="AZ458" i="1"/>
  <c r="AY458" i="1"/>
  <c r="BA455" i="1"/>
  <c r="AZ455" i="1"/>
  <c r="AY455" i="1"/>
  <c r="AI459" i="1"/>
  <c r="AC459" i="1" s="1"/>
  <c r="M459" i="1" s="1"/>
  <c r="B402" i="15" s="1"/>
  <c r="AI458" i="1"/>
  <c r="AC458" i="1" s="1"/>
  <c r="M458" i="1" s="1"/>
  <c r="B401" i="15" s="1"/>
  <c r="AI455" i="1"/>
  <c r="AC455" i="1" s="1"/>
  <c r="M455" i="1" s="1"/>
  <c r="B398" i="15" s="1"/>
  <c r="Q459" i="1"/>
  <c r="X458" i="1"/>
  <c r="X455" i="1"/>
  <c r="X459" i="1"/>
  <c r="BE475" i="1"/>
  <c r="BA475" i="1"/>
  <c r="AZ475" i="1"/>
  <c r="AY475" i="1"/>
  <c r="BE474" i="1"/>
  <c r="BA474" i="1"/>
  <c r="AZ474" i="1"/>
  <c r="AY474" i="1"/>
  <c r="BE473" i="1"/>
  <c r="BA473" i="1"/>
  <c r="AZ473" i="1"/>
  <c r="AY473" i="1"/>
  <c r="BE472" i="1"/>
  <c r="BA472" i="1"/>
  <c r="AZ472" i="1"/>
  <c r="AY472" i="1"/>
  <c r="BE471" i="1"/>
  <c r="BA471" i="1"/>
  <c r="AZ471" i="1"/>
  <c r="AY471" i="1"/>
  <c r="BE470" i="1"/>
  <c r="BA470" i="1"/>
  <c r="AZ470" i="1"/>
  <c r="AY470" i="1"/>
  <c r="BE469" i="1"/>
  <c r="BA469" i="1"/>
  <c r="AZ469" i="1"/>
  <c r="AY469" i="1"/>
  <c r="BE468" i="1"/>
  <c r="BA468" i="1"/>
  <c r="AZ468" i="1"/>
  <c r="AY468" i="1"/>
  <c r="BE467" i="1"/>
  <c r="BA467" i="1"/>
  <c r="AZ467" i="1"/>
  <c r="AY467" i="1"/>
  <c r="BE466" i="1"/>
  <c r="BA466" i="1"/>
  <c r="AZ466" i="1"/>
  <c r="AY466" i="1"/>
  <c r="BE465" i="1"/>
  <c r="BA465" i="1"/>
  <c r="AZ465" i="1"/>
  <c r="AY465" i="1"/>
  <c r="BE464" i="1"/>
  <c r="BA464" i="1"/>
  <c r="AZ464" i="1"/>
  <c r="AY464" i="1"/>
  <c r="BE463" i="1"/>
  <c r="BA463" i="1"/>
  <c r="AZ463" i="1"/>
  <c r="AY463" i="1"/>
  <c r="BE462" i="1"/>
  <c r="BA462" i="1"/>
  <c r="AZ462" i="1"/>
  <c r="AY462" i="1"/>
  <c r="BE461" i="1"/>
  <c r="BA461" i="1"/>
  <c r="AZ461" i="1"/>
  <c r="AY461" i="1"/>
  <c r="BE460" i="1"/>
  <c r="BA460" i="1"/>
  <c r="AZ460" i="1"/>
  <c r="AY460" i="1"/>
  <c r="AI475" i="1"/>
  <c r="AC475" i="1" s="1"/>
  <c r="AI474" i="1"/>
  <c r="AC474" i="1" s="1"/>
  <c r="AI473" i="1"/>
  <c r="AC473" i="1" s="1"/>
  <c r="AI472" i="1"/>
  <c r="AC472" i="1" s="1"/>
  <c r="AI471" i="1"/>
  <c r="AC471" i="1" s="1"/>
  <c r="AI470" i="1"/>
  <c r="AC470" i="1" s="1"/>
  <c r="AI469" i="1"/>
  <c r="AC469" i="1" s="1"/>
  <c r="AI468" i="1"/>
  <c r="AC468" i="1" s="1"/>
  <c r="AI467" i="1"/>
  <c r="AC467" i="1" s="1"/>
  <c r="AI466" i="1"/>
  <c r="AC466" i="1" s="1"/>
  <c r="AI465" i="1"/>
  <c r="AC465" i="1" s="1"/>
  <c r="AI464" i="1"/>
  <c r="AC464" i="1" s="1"/>
  <c r="AI463" i="1"/>
  <c r="AC463" i="1" s="1"/>
  <c r="AI462" i="1"/>
  <c r="AC462" i="1" s="1"/>
  <c r="AI461" i="1"/>
  <c r="AC461" i="1" s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N475" i="1"/>
  <c r="C426" i="15" s="1"/>
  <c r="N474" i="1"/>
  <c r="C425" i="15" s="1"/>
  <c r="N473" i="1"/>
  <c r="C424" i="15" s="1"/>
  <c r="N472" i="1"/>
  <c r="C423" i="15" s="1"/>
  <c r="N471" i="1"/>
  <c r="C422" i="15" s="1"/>
  <c r="N470" i="1"/>
  <c r="C421" i="15" s="1"/>
  <c r="N469" i="1"/>
  <c r="C420" i="15" s="1"/>
  <c r="N468" i="1"/>
  <c r="C419" i="15" s="1"/>
  <c r="N467" i="1"/>
  <c r="C418" i="15" s="1"/>
  <c r="N466" i="1"/>
  <c r="C417" i="15" s="1"/>
  <c r="N465" i="1"/>
  <c r="C416" i="15" s="1"/>
  <c r="N464" i="1"/>
  <c r="C415" i="15" s="1"/>
  <c r="N463" i="1"/>
  <c r="C414" i="15" s="1"/>
  <c r="N462" i="1"/>
  <c r="C413" i="15" s="1"/>
  <c r="N461" i="1"/>
  <c r="C412" i="15" s="1"/>
  <c r="N460" i="1"/>
  <c r="C411" i="15" s="1"/>
  <c r="Q475" i="1"/>
  <c r="Q474" i="1"/>
  <c r="Q472" i="1"/>
  <c r="Q473" i="1"/>
  <c r="Q471" i="1"/>
  <c r="Q470" i="1"/>
  <c r="Q469" i="1"/>
  <c r="Q468" i="1"/>
  <c r="Q467" i="1"/>
  <c r="Q466" i="1"/>
  <c r="Q465" i="1"/>
  <c r="Q464" i="1"/>
  <c r="Q463" i="1"/>
  <c r="Q462" i="1"/>
  <c r="X462" i="1"/>
  <c r="Q461" i="1"/>
  <c r="X461" i="1"/>
  <c r="Q460" i="1"/>
  <c r="X460" i="1"/>
  <c r="AI460" i="1"/>
  <c r="AC460" i="1" s="1"/>
  <c r="BA454" i="1"/>
  <c r="BA453" i="1"/>
  <c r="AZ453" i="1"/>
  <c r="AZ452" i="1"/>
  <c r="AY452" i="1"/>
  <c r="BA451" i="1"/>
  <c r="AZ451" i="1"/>
  <c r="AY451" i="1"/>
  <c r="AY450" i="1"/>
  <c r="AZ449" i="1"/>
  <c r="BA448" i="1"/>
  <c r="AZ448" i="1"/>
  <c r="BA447" i="1"/>
  <c r="AZ447" i="1"/>
  <c r="AY447" i="1"/>
  <c r="AY446" i="1"/>
  <c r="BA445" i="1"/>
  <c r="AZ445" i="1"/>
  <c r="BA444" i="1"/>
  <c r="AZ444" i="1"/>
  <c r="BA443" i="1"/>
  <c r="AZ442" i="1"/>
  <c r="BA441" i="1"/>
  <c r="AZ441" i="1"/>
  <c r="AY441" i="1"/>
  <c r="BA440" i="1"/>
  <c r="AY440" i="1"/>
  <c r="BA439" i="1"/>
  <c r="BA437" i="1"/>
  <c r="AZ437" i="1"/>
  <c r="AZ436" i="1"/>
  <c r="AY436" i="1"/>
  <c r="BA435" i="1"/>
  <c r="AZ435" i="1"/>
  <c r="AZ434" i="1"/>
  <c r="AY434" i="1"/>
  <c r="AY433" i="1"/>
  <c r="BA432" i="1"/>
  <c r="AY432" i="1"/>
  <c r="BA431" i="1"/>
  <c r="BA430" i="1"/>
  <c r="AZ430" i="1"/>
  <c r="AZ429" i="1"/>
  <c r="AY429" i="1"/>
  <c r="BA428" i="1"/>
  <c r="AY428" i="1"/>
  <c r="BA427" i="1"/>
  <c r="BA426" i="1"/>
  <c r="AZ426" i="1"/>
  <c r="AZ425" i="1"/>
  <c r="AY425" i="1"/>
  <c r="BA424" i="1"/>
  <c r="AZ424" i="1"/>
  <c r="AY424" i="1"/>
  <c r="BA423" i="1"/>
  <c r="AY423" i="1"/>
  <c r="BA422" i="1"/>
  <c r="AZ422" i="1"/>
  <c r="AY422" i="1"/>
  <c r="BA421" i="1"/>
  <c r="AZ421" i="1"/>
  <c r="BA420" i="1"/>
  <c r="AZ420" i="1"/>
  <c r="AY420" i="1"/>
  <c r="BA419" i="1"/>
  <c r="AZ419" i="1"/>
  <c r="BA418" i="1"/>
  <c r="AY418" i="1"/>
  <c r="BA417" i="1"/>
  <c r="AZ417" i="1"/>
  <c r="AY417" i="1"/>
  <c r="BA416" i="1"/>
  <c r="AZ416" i="1"/>
  <c r="AY416" i="1"/>
  <c r="BA415" i="1"/>
  <c r="AZ415" i="1"/>
  <c r="BA414" i="1"/>
  <c r="AY413" i="1"/>
  <c r="BA412" i="1"/>
  <c r="AY412" i="1"/>
  <c r="BA410" i="1"/>
  <c r="AZ410" i="1"/>
  <c r="AY410" i="1"/>
  <c r="AY409" i="1"/>
  <c r="BA407" i="1"/>
  <c r="AY407" i="1"/>
  <c r="BA406" i="1"/>
  <c r="AZ406" i="1"/>
  <c r="AY406" i="1"/>
  <c r="AZ405" i="1"/>
  <c r="AY405" i="1"/>
  <c r="AZ404" i="1"/>
  <c r="BA403" i="1"/>
  <c r="AZ403" i="1"/>
  <c r="BA402" i="1"/>
  <c r="AZ402" i="1"/>
  <c r="AY402" i="1"/>
  <c r="AZ401" i="1"/>
  <c r="AY401" i="1"/>
  <c r="AY400" i="1"/>
  <c r="AZ399" i="1"/>
  <c r="AY399" i="1"/>
  <c r="BA398" i="1"/>
  <c r="AZ398" i="1"/>
  <c r="AY398" i="1"/>
  <c r="AY397" i="1"/>
  <c r="BA396" i="1"/>
  <c r="AZ396" i="1"/>
  <c r="BA395" i="1"/>
  <c r="AZ395" i="1"/>
  <c r="AY395" i="1"/>
  <c r="BA394" i="1"/>
  <c r="AZ394" i="1"/>
  <c r="AY394" i="1"/>
  <c r="AY393" i="1"/>
  <c r="BA392" i="1"/>
  <c r="BA391" i="1"/>
  <c r="AZ391" i="1"/>
  <c r="BA390" i="1"/>
  <c r="AZ390" i="1"/>
  <c r="AZ389" i="1"/>
  <c r="AY389" i="1"/>
  <c r="AY388" i="1"/>
  <c r="BA387" i="1"/>
  <c r="BA386" i="1"/>
  <c r="AY383" i="1"/>
  <c r="BA381" i="1"/>
  <c r="BE454" i="1"/>
  <c r="AY454" i="1"/>
  <c r="AI454" i="1"/>
  <c r="AC454" i="1" s="1"/>
  <c r="X454" i="1"/>
  <c r="Q454" i="1"/>
  <c r="N454" i="1"/>
  <c r="C410" i="15" s="1"/>
  <c r="BE453" i="1"/>
  <c r="AY453" i="1"/>
  <c r="AI453" i="1"/>
  <c r="AC453" i="1" s="1"/>
  <c r="X453" i="1"/>
  <c r="Q453" i="1"/>
  <c r="N453" i="1"/>
  <c r="C409" i="15" s="1"/>
  <c r="BE452" i="1"/>
  <c r="BA452" i="1"/>
  <c r="AI452" i="1"/>
  <c r="AC452" i="1" s="1"/>
  <c r="X452" i="1"/>
  <c r="Q452" i="1"/>
  <c r="N452" i="1"/>
  <c r="C408" i="15" s="1"/>
  <c r="BE451" i="1"/>
  <c r="BE450" i="1"/>
  <c r="BE449" i="1"/>
  <c r="AI451" i="1"/>
  <c r="AC451" i="1" s="1"/>
  <c r="AI450" i="1"/>
  <c r="AC450" i="1" s="1"/>
  <c r="AI449" i="1"/>
  <c r="AC449" i="1" s="1"/>
  <c r="Q451" i="1"/>
  <c r="X451" i="1"/>
  <c r="Q450" i="1"/>
  <c r="X450" i="1"/>
  <c r="Q449" i="1"/>
  <c r="X449" i="1"/>
  <c r="N451" i="1"/>
  <c r="C397" i="15" s="1"/>
  <c r="N450" i="1"/>
  <c r="C396" i="15" s="1"/>
  <c r="N449" i="1"/>
  <c r="C395" i="15" s="1"/>
  <c r="BE448" i="1"/>
  <c r="AI448" i="1"/>
  <c r="AC448" i="1" s="1"/>
  <c r="BE447" i="1"/>
  <c r="AI447" i="1"/>
  <c r="AC447" i="1" s="1"/>
  <c r="BE446" i="1"/>
  <c r="AI446" i="1"/>
  <c r="AC446" i="1" s="1"/>
  <c r="BE445" i="1"/>
  <c r="AY445" i="1"/>
  <c r="AI445" i="1"/>
  <c r="AC445" i="1" s="1"/>
  <c r="BE444" i="1"/>
  <c r="AI444" i="1"/>
  <c r="AC444" i="1" s="1"/>
  <c r="BE443" i="1"/>
  <c r="AZ443" i="1"/>
  <c r="AI443" i="1"/>
  <c r="AC443" i="1" s="1"/>
  <c r="BE442" i="1"/>
  <c r="AY442" i="1"/>
  <c r="AI442" i="1"/>
  <c r="AC442" i="1" s="1"/>
  <c r="BE441" i="1"/>
  <c r="AI441" i="1"/>
  <c r="AC441" i="1" s="1"/>
  <c r="BE440" i="1"/>
  <c r="AI440" i="1"/>
  <c r="AC440" i="1" s="1"/>
  <c r="BE439" i="1"/>
  <c r="AZ439" i="1"/>
  <c r="AI439" i="1"/>
  <c r="AC439" i="1" s="1"/>
  <c r="BE438" i="1"/>
  <c r="AY438" i="1"/>
  <c r="AI438" i="1"/>
  <c r="AC438" i="1" s="1"/>
  <c r="BE437" i="1"/>
  <c r="AI437" i="1"/>
  <c r="AC437" i="1" s="1"/>
  <c r="N448" i="1"/>
  <c r="C394" i="15" s="1"/>
  <c r="N447" i="1"/>
  <c r="C393" i="15" s="1"/>
  <c r="N446" i="1"/>
  <c r="C392" i="15" s="1"/>
  <c r="N445" i="1"/>
  <c r="C391" i="15" s="1"/>
  <c r="N444" i="1"/>
  <c r="C390" i="15" s="1"/>
  <c r="N443" i="1"/>
  <c r="C389" i="15" s="1"/>
  <c r="N442" i="1"/>
  <c r="C388" i="15" s="1"/>
  <c r="N441" i="1"/>
  <c r="C387" i="15" s="1"/>
  <c r="N440" i="1"/>
  <c r="C386" i="15" s="1"/>
  <c r="N439" i="1"/>
  <c r="C385" i="15" s="1"/>
  <c r="N438" i="1"/>
  <c r="C384" i="15" s="1"/>
  <c r="N437" i="1"/>
  <c r="C383" i="15" s="1"/>
  <c r="Q448" i="1"/>
  <c r="X448" i="1"/>
  <c r="Q447" i="1"/>
  <c r="X447" i="1"/>
  <c r="Q446" i="1"/>
  <c r="X446" i="1"/>
  <c r="Q445" i="1"/>
  <c r="X445" i="1"/>
  <c r="Q444" i="1"/>
  <c r="X444" i="1"/>
  <c r="Q443" i="1"/>
  <c r="X443" i="1"/>
  <c r="Q442" i="1"/>
  <c r="X442" i="1"/>
  <c r="Q441" i="1"/>
  <c r="X441" i="1"/>
  <c r="Q440" i="1"/>
  <c r="X440" i="1"/>
  <c r="Q439" i="1"/>
  <c r="X439" i="1"/>
  <c r="Q438" i="1"/>
  <c r="X438" i="1"/>
  <c r="Q437" i="1"/>
  <c r="X437" i="1"/>
  <c r="BE436" i="1"/>
  <c r="BA436" i="1"/>
  <c r="BE435" i="1"/>
  <c r="BE434" i="1"/>
  <c r="BE433" i="1"/>
  <c r="AI436" i="1"/>
  <c r="AC436" i="1" s="1"/>
  <c r="M436" i="1" s="1"/>
  <c r="B382" i="15" s="1"/>
  <c r="AI435" i="1"/>
  <c r="AC435" i="1" s="1"/>
  <c r="M435" i="1" s="1"/>
  <c r="B381" i="15" s="1"/>
  <c r="AI434" i="1"/>
  <c r="AC434" i="1" s="1"/>
  <c r="M434" i="1" s="1"/>
  <c r="B380" i="15" s="1"/>
  <c r="AI433" i="1"/>
  <c r="AC433" i="1" s="1"/>
  <c r="M433" i="1" s="1"/>
  <c r="B379" i="15" s="1"/>
  <c r="Q436" i="1"/>
  <c r="X436" i="1"/>
  <c r="Q435" i="1"/>
  <c r="X435" i="1"/>
  <c r="Q434" i="1"/>
  <c r="X434" i="1"/>
  <c r="Q433" i="1"/>
  <c r="X433" i="1"/>
  <c r="AZ431" i="1"/>
  <c r="AY430" i="1"/>
  <c r="AZ427" i="1"/>
  <c r="AY426" i="1"/>
  <c r="AZ423" i="1"/>
  <c r="AZ418" i="1"/>
  <c r="AZ414" i="1"/>
  <c r="AY414" i="1"/>
  <c r="BA411" i="1"/>
  <c r="AZ411" i="1"/>
  <c r="AZ409" i="1"/>
  <c r="BA408" i="1"/>
  <c r="AZ407" i="1"/>
  <c r="BA404" i="1"/>
  <c r="BA400" i="1"/>
  <c r="BE432" i="1"/>
  <c r="BE431" i="1"/>
  <c r="BE430" i="1"/>
  <c r="BE429" i="1"/>
  <c r="BE428" i="1"/>
  <c r="BE427" i="1"/>
  <c r="BE426" i="1"/>
  <c r="BE425" i="1"/>
  <c r="BE424" i="1"/>
  <c r="BE423" i="1"/>
  <c r="BE422" i="1"/>
  <c r="BE421" i="1"/>
  <c r="BE420" i="1"/>
  <c r="BE419" i="1"/>
  <c r="BE418" i="1"/>
  <c r="BE417" i="1"/>
  <c r="BE416" i="1"/>
  <c r="BE415" i="1"/>
  <c r="BE414" i="1"/>
  <c r="BE413" i="1"/>
  <c r="BE412" i="1"/>
  <c r="BE411" i="1"/>
  <c r="BE410" i="1"/>
  <c r="BE409" i="1"/>
  <c r="BE408" i="1"/>
  <c r="BE407" i="1"/>
  <c r="BE406" i="1"/>
  <c r="BE405" i="1"/>
  <c r="BE404" i="1"/>
  <c r="BE403" i="1"/>
  <c r="BE402" i="1"/>
  <c r="BE401" i="1"/>
  <c r="BE400" i="1"/>
  <c r="N432" i="1"/>
  <c r="C378" i="15" s="1"/>
  <c r="N431" i="1"/>
  <c r="C377" i="15" s="1"/>
  <c r="N430" i="1"/>
  <c r="C376" i="15" s="1"/>
  <c r="N429" i="1"/>
  <c r="C375" i="15" s="1"/>
  <c r="N428" i="1"/>
  <c r="C374" i="15" s="1"/>
  <c r="N427" i="1"/>
  <c r="C373" i="15" s="1"/>
  <c r="N426" i="1"/>
  <c r="C372" i="15" s="1"/>
  <c r="N425" i="1"/>
  <c r="C371" i="15" s="1"/>
  <c r="N424" i="1"/>
  <c r="C370" i="15" s="1"/>
  <c r="N423" i="1"/>
  <c r="C369" i="15" s="1"/>
  <c r="N422" i="1"/>
  <c r="C368" i="15" s="1"/>
  <c r="N421" i="1"/>
  <c r="C367" i="15" s="1"/>
  <c r="N420" i="1"/>
  <c r="C366" i="15" s="1"/>
  <c r="N419" i="1"/>
  <c r="C365" i="15" s="1"/>
  <c r="N418" i="1"/>
  <c r="C364" i="15" s="1"/>
  <c r="N417" i="1"/>
  <c r="C363" i="15" s="1"/>
  <c r="N416" i="1"/>
  <c r="C362" i="15" s="1"/>
  <c r="N415" i="1"/>
  <c r="C361" i="15" s="1"/>
  <c r="N414" i="1"/>
  <c r="C360" i="15" s="1"/>
  <c r="N413" i="1"/>
  <c r="C359" i="15" s="1"/>
  <c r="N412" i="1"/>
  <c r="C358" i="15" s="1"/>
  <c r="N411" i="1"/>
  <c r="C357" i="15" s="1"/>
  <c r="N410" i="1"/>
  <c r="C356" i="15" s="1"/>
  <c r="N409" i="1"/>
  <c r="C355" i="15" s="1"/>
  <c r="N408" i="1"/>
  <c r="C354" i="15" s="1"/>
  <c r="N407" i="1"/>
  <c r="C353" i="15" s="1"/>
  <c r="N406" i="1"/>
  <c r="C352" i="15" s="1"/>
  <c r="N405" i="1"/>
  <c r="C351" i="15" s="1"/>
  <c r="N404" i="1"/>
  <c r="C350" i="15" s="1"/>
  <c r="N403" i="1"/>
  <c r="C349" i="15" s="1"/>
  <c r="N402" i="1"/>
  <c r="C348" i="15" s="1"/>
  <c r="N401" i="1"/>
  <c r="C347" i="15" s="1"/>
  <c r="N400" i="1"/>
  <c r="C346" i="15" s="1"/>
  <c r="AI432" i="1"/>
  <c r="AC432" i="1" s="1"/>
  <c r="AI431" i="1"/>
  <c r="AC431" i="1" s="1"/>
  <c r="AI430" i="1"/>
  <c r="AC430" i="1" s="1"/>
  <c r="AI429" i="1"/>
  <c r="AC429" i="1" s="1"/>
  <c r="AI428" i="1"/>
  <c r="AC428" i="1" s="1"/>
  <c r="AI427" i="1"/>
  <c r="AC427" i="1" s="1"/>
  <c r="AI426" i="1"/>
  <c r="AC426" i="1" s="1"/>
  <c r="AI425" i="1"/>
  <c r="AC425" i="1" s="1"/>
  <c r="AI424" i="1"/>
  <c r="AC424" i="1" s="1"/>
  <c r="AI423" i="1"/>
  <c r="AC423" i="1" s="1"/>
  <c r="AI422" i="1"/>
  <c r="AC422" i="1" s="1"/>
  <c r="AI421" i="1"/>
  <c r="AC421" i="1" s="1"/>
  <c r="AI420" i="1"/>
  <c r="AC420" i="1" s="1"/>
  <c r="AI419" i="1"/>
  <c r="AC419" i="1" s="1"/>
  <c r="AI418" i="1"/>
  <c r="AC418" i="1" s="1"/>
  <c r="AI417" i="1"/>
  <c r="AC417" i="1" s="1"/>
  <c r="AI416" i="1"/>
  <c r="AC416" i="1" s="1"/>
  <c r="AI415" i="1"/>
  <c r="AC415" i="1" s="1"/>
  <c r="AI414" i="1"/>
  <c r="AC414" i="1" s="1"/>
  <c r="AI413" i="1"/>
  <c r="AC413" i="1" s="1"/>
  <c r="AI412" i="1"/>
  <c r="AC412" i="1" s="1"/>
  <c r="AI411" i="1"/>
  <c r="AC411" i="1" s="1"/>
  <c r="AI410" i="1"/>
  <c r="AC410" i="1" s="1"/>
  <c r="AI409" i="1"/>
  <c r="AC409" i="1" s="1"/>
  <c r="AI408" i="1"/>
  <c r="AC408" i="1" s="1"/>
  <c r="AI407" i="1"/>
  <c r="AC407" i="1" s="1"/>
  <c r="AI406" i="1"/>
  <c r="AC406" i="1" s="1"/>
  <c r="AI405" i="1"/>
  <c r="AC405" i="1" s="1"/>
  <c r="AI404" i="1"/>
  <c r="AC404" i="1" s="1"/>
  <c r="AI403" i="1"/>
  <c r="AC403" i="1" s="1"/>
  <c r="AI402" i="1"/>
  <c r="AC402" i="1" s="1"/>
  <c r="AI401" i="1"/>
  <c r="AC401" i="1" s="1"/>
  <c r="AI400" i="1"/>
  <c r="AC400" i="1" s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BE397" i="1"/>
  <c r="BE396" i="1"/>
  <c r="BE395" i="1"/>
  <c r="AI397" i="1"/>
  <c r="AC397" i="1" s="1"/>
  <c r="M397" i="1" s="1"/>
  <c r="B405" i="15" s="1"/>
  <c r="AI396" i="1"/>
  <c r="AC396" i="1" s="1"/>
  <c r="M396" i="1" s="1"/>
  <c r="B404" i="15" s="1"/>
  <c r="AI395" i="1"/>
  <c r="AC395" i="1" s="1"/>
  <c r="M395" i="1" s="1"/>
  <c r="B403" i="15" s="1"/>
  <c r="X397" i="1"/>
  <c r="X396" i="1"/>
  <c r="X395" i="1"/>
  <c r="Q395" i="1"/>
  <c r="Q397" i="1"/>
  <c r="BE398" i="1"/>
  <c r="AI398" i="1"/>
  <c r="AC398" i="1" s="1"/>
  <c r="M398" i="1" s="1"/>
  <c r="B406" i="15" s="1"/>
  <c r="X398" i="1"/>
  <c r="Q398" i="1"/>
  <c r="BE399" i="1"/>
  <c r="BA399" i="1"/>
  <c r="AI399" i="1"/>
  <c r="AC399" i="1" s="1"/>
  <c r="M399" i="1" s="1"/>
  <c r="B407" i="15" s="1"/>
  <c r="X399" i="1"/>
  <c r="Q399" i="1"/>
  <c r="AI1216" i="1"/>
  <c r="AC1216" i="1" s="1"/>
  <c r="M1216" i="1" s="1"/>
  <c r="B239" i="15" s="1"/>
  <c r="AI394" i="1"/>
  <c r="AC394" i="1" s="1"/>
  <c r="M394" i="1" s="1"/>
  <c r="B345" i="15" s="1"/>
  <c r="AI393" i="1"/>
  <c r="AC393" i="1" s="1"/>
  <c r="M393" i="1" s="1"/>
  <c r="B344" i="15" s="1"/>
  <c r="AI392" i="1"/>
  <c r="AC392" i="1" s="1"/>
  <c r="M392" i="1" s="1"/>
  <c r="B343" i="15" s="1"/>
  <c r="AI391" i="1"/>
  <c r="AC391" i="1" s="1"/>
  <c r="M391" i="1" s="1"/>
  <c r="B342" i="15" s="1"/>
  <c r="AI390" i="1"/>
  <c r="AC390" i="1" s="1"/>
  <c r="M390" i="1" s="1"/>
  <c r="B341" i="15" s="1"/>
  <c r="AI389" i="1"/>
  <c r="AC389" i="1" s="1"/>
  <c r="M389" i="1" s="1"/>
  <c r="B340" i="15" s="1"/>
  <c r="AI388" i="1"/>
  <c r="AC388" i="1" s="1"/>
  <c r="M388" i="1" s="1"/>
  <c r="B339" i="15" s="1"/>
  <c r="AI387" i="1"/>
  <c r="AC387" i="1" s="1"/>
  <c r="M387" i="1" s="1"/>
  <c r="B338" i="15" s="1"/>
  <c r="AI386" i="1"/>
  <c r="AC386" i="1" s="1"/>
  <c r="M386" i="1" s="1"/>
  <c r="B337" i="15" s="1"/>
  <c r="AI385" i="1"/>
  <c r="AC385" i="1" s="1"/>
  <c r="M385" i="1" s="1"/>
  <c r="B336" i="15" s="1"/>
  <c r="AI384" i="1"/>
  <c r="AC384" i="1" s="1"/>
  <c r="M384" i="1" s="1"/>
  <c r="B335" i="15" s="1"/>
  <c r="AI383" i="1"/>
  <c r="AC383" i="1" s="1"/>
  <c r="M383" i="1" s="1"/>
  <c r="B334" i="15" s="1"/>
  <c r="AI382" i="1"/>
  <c r="AC382" i="1" s="1"/>
  <c r="M382" i="1" s="1"/>
  <c r="B333" i="15" s="1"/>
  <c r="AI381" i="1"/>
  <c r="AC381" i="1" s="1"/>
  <c r="M381" i="1" s="1"/>
  <c r="B332" i="15" s="1"/>
  <c r="AI380" i="1"/>
  <c r="AC380" i="1" s="1"/>
  <c r="M380" i="1" s="1"/>
  <c r="B331" i="15" s="1"/>
  <c r="AI379" i="1"/>
  <c r="AC379" i="1" s="1"/>
  <c r="M379" i="1" s="1"/>
  <c r="B330" i="15" s="1"/>
  <c r="AI378" i="1"/>
  <c r="AC378" i="1" s="1"/>
  <c r="M378" i="1" s="1"/>
  <c r="B329" i="15" s="1"/>
  <c r="AI377" i="1"/>
  <c r="AC377" i="1" s="1"/>
  <c r="M377" i="1" s="1"/>
  <c r="B328" i="15" s="1"/>
  <c r="AI376" i="1"/>
  <c r="AC376" i="1" s="1"/>
  <c r="M376" i="1" s="1"/>
  <c r="B327" i="15" s="1"/>
  <c r="AI375" i="1"/>
  <c r="AC375" i="1" s="1"/>
  <c r="M375" i="1" s="1"/>
  <c r="B326" i="15" s="1"/>
  <c r="AI374" i="1"/>
  <c r="AC374" i="1" s="1"/>
  <c r="M374" i="1" s="1"/>
  <c r="B325" i="15" s="1"/>
  <c r="AI373" i="1"/>
  <c r="AC373" i="1" s="1"/>
  <c r="M373" i="1" s="1"/>
  <c r="B324" i="15" s="1"/>
  <c r="AI372" i="1"/>
  <c r="AC372" i="1" s="1"/>
  <c r="M372" i="1" s="1"/>
  <c r="B297" i="15" s="1"/>
  <c r="AI371" i="1"/>
  <c r="AC371" i="1" s="1"/>
  <c r="M371" i="1" s="1"/>
  <c r="B296" i="15" s="1"/>
  <c r="AI370" i="1"/>
  <c r="AC370" i="1" s="1"/>
  <c r="M370" i="1" s="1"/>
  <c r="B323" i="15" s="1"/>
  <c r="AI369" i="1"/>
  <c r="AC369" i="1" s="1"/>
  <c r="M369" i="1" s="1"/>
  <c r="B295" i="15" s="1"/>
  <c r="AI368" i="1"/>
  <c r="AC368" i="1" s="1"/>
  <c r="M368" i="1" s="1"/>
  <c r="B294" i="15" s="1"/>
  <c r="AI367" i="1"/>
  <c r="AC367" i="1" s="1"/>
  <c r="M367" i="1" s="1"/>
  <c r="B293" i="15" s="1"/>
  <c r="AI366" i="1"/>
  <c r="AC366" i="1" s="1"/>
  <c r="M366" i="1" s="1"/>
  <c r="B292" i="15" s="1"/>
  <c r="AI365" i="1"/>
  <c r="AC365" i="1" s="1"/>
  <c r="M365" i="1" s="1"/>
  <c r="B291" i="15" s="1"/>
  <c r="AI364" i="1"/>
  <c r="AC364" i="1" s="1"/>
  <c r="M364" i="1" s="1"/>
  <c r="B290" i="15" s="1"/>
  <c r="AI363" i="1"/>
  <c r="AC363" i="1" s="1"/>
  <c r="M363" i="1" s="1"/>
  <c r="B322" i="15" s="1"/>
  <c r="AI362" i="1"/>
  <c r="AC362" i="1" s="1"/>
  <c r="M362" i="1" s="1"/>
  <c r="B321" i="15" s="1"/>
  <c r="AI361" i="1"/>
  <c r="AC361" i="1" s="1"/>
  <c r="M361" i="1" s="1"/>
  <c r="B320" i="15" s="1"/>
  <c r="AI360" i="1"/>
  <c r="AC360" i="1" s="1"/>
  <c r="M360" i="1" s="1"/>
  <c r="B319" i="15" s="1"/>
  <c r="AI359" i="1"/>
  <c r="AC359" i="1" s="1"/>
  <c r="M359" i="1" s="1"/>
  <c r="B318" i="15" s="1"/>
  <c r="AI358" i="1"/>
  <c r="AC358" i="1" s="1"/>
  <c r="M358" i="1" s="1"/>
  <c r="B317" i="15" s="1"/>
  <c r="AI357" i="1"/>
  <c r="AC357" i="1" s="1"/>
  <c r="M357" i="1" s="1"/>
  <c r="B316" i="15" s="1"/>
  <c r="AI356" i="1"/>
  <c r="AC356" i="1" s="1"/>
  <c r="M356" i="1" s="1"/>
  <c r="B315" i="15" s="1"/>
  <c r="AI355" i="1"/>
  <c r="AC355" i="1" s="1"/>
  <c r="M355" i="1" s="1"/>
  <c r="B314" i="15" s="1"/>
  <c r="N354" i="1"/>
  <c r="C313" i="15" s="1"/>
  <c r="AI354" i="1"/>
  <c r="AC354" i="1" s="1"/>
  <c r="N353" i="1"/>
  <c r="C312" i="15" s="1"/>
  <c r="AI353" i="1"/>
  <c r="AC353" i="1" s="1"/>
  <c r="N352" i="1"/>
  <c r="C311" i="15" s="1"/>
  <c r="AI352" i="1"/>
  <c r="AC352" i="1" s="1"/>
  <c r="N351" i="1"/>
  <c r="C310" i="15" s="1"/>
  <c r="AI351" i="1"/>
  <c r="AC351" i="1" s="1"/>
  <c r="N350" i="1"/>
  <c r="C309" i="15" s="1"/>
  <c r="AI350" i="1"/>
  <c r="AC350" i="1" s="1"/>
  <c r="N349" i="1"/>
  <c r="C308" i="15" s="1"/>
  <c r="AI349" i="1"/>
  <c r="AC349" i="1" s="1"/>
  <c r="N348" i="1"/>
  <c r="C307" i="15" s="1"/>
  <c r="AI348" i="1"/>
  <c r="AC348" i="1" s="1"/>
  <c r="N347" i="1"/>
  <c r="C306" i="15" s="1"/>
  <c r="AI347" i="1"/>
  <c r="AC347" i="1" s="1"/>
  <c r="N346" i="1"/>
  <c r="C305" i="15" s="1"/>
  <c r="AI346" i="1"/>
  <c r="AC346" i="1" s="1"/>
  <c r="N345" i="1"/>
  <c r="C304" i="15" s="1"/>
  <c r="AI345" i="1"/>
  <c r="AC345" i="1" s="1"/>
  <c r="N344" i="1"/>
  <c r="C303" i="15" s="1"/>
  <c r="AI344" i="1"/>
  <c r="AC344" i="1" s="1"/>
  <c r="N343" i="1"/>
  <c r="C302" i="15" s="1"/>
  <c r="AI343" i="1"/>
  <c r="AC343" i="1" s="1"/>
  <c r="N342" i="1"/>
  <c r="C301" i="15" s="1"/>
  <c r="AI342" i="1"/>
  <c r="AC342" i="1" s="1"/>
  <c r="N341" i="1"/>
  <c r="C300" i="15" s="1"/>
  <c r="AI341" i="1"/>
  <c r="AC341" i="1" s="1"/>
  <c r="N340" i="1"/>
  <c r="C299" i="15" s="1"/>
  <c r="AI340" i="1"/>
  <c r="AC340" i="1" s="1"/>
  <c r="N339" i="1"/>
  <c r="C298" i="15" s="1"/>
  <c r="AI339" i="1"/>
  <c r="AC339" i="1" s="1"/>
  <c r="N290" i="1"/>
  <c r="C289" i="15" s="1"/>
  <c r="AI290" i="1"/>
  <c r="AC290" i="1" s="1"/>
  <c r="N289" i="1"/>
  <c r="C288" i="15" s="1"/>
  <c r="AI289" i="1"/>
  <c r="AC289" i="1" s="1"/>
  <c r="N288" i="1"/>
  <c r="C287" i="15" s="1"/>
  <c r="AI288" i="1"/>
  <c r="AC288" i="1" s="1"/>
  <c r="N287" i="1"/>
  <c r="C286" i="15" s="1"/>
  <c r="AI287" i="1"/>
  <c r="AC287" i="1" s="1"/>
  <c r="N286" i="1"/>
  <c r="C285" i="15" s="1"/>
  <c r="AI286" i="1"/>
  <c r="AC286" i="1" s="1"/>
  <c r="N285" i="1"/>
  <c r="C284" i="15" s="1"/>
  <c r="AI285" i="1"/>
  <c r="AC285" i="1" s="1"/>
  <c r="N284" i="1"/>
  <c r="C283" i="15" s="1"/>
  <c r="AI284" i="1"/>
  <c r="AC284" i="1" s="1"/>
  <c r="N283" i="1"/>
  <c r="C282" i="15" s="1"/>
  <c r="AI283" i="1"/>
  <c r="AC283" i="1" s="1"/>
  <c r="N282" i="1"/>
  <c r="C281" i="15" s="1"/>
  <c r="AI282" i="1"/>
  <c r="AC282" i="1" s="1"/>
  <c r="N281" i="1"/>
  <c r="C280" i="15" s="1"/>
  <c r="AI281" i="1"/>
  <c r="AC281" i="1" s="1"/>
  <c r="N280" i="1"/>
  <c r="C279" i="15" s="1"/>
  <c r="AI280" i="1"/>
  <c r="AC280" i="1" s="1"/>
  <c r="N279" i="1"/>
  <c r="C278" i="15" s="1"/>
  <c r="AI279" i="1"/>
  <c r="AC279" i="1" s="1"/>
  <c r="N278" i="1"/>
  <c r="C277" i="15" s="1"/>
  <c r="AI278" i="1"/>
  <c r="AC278" i="1" s="1"/>
  <c r="N277" i="1"/>
  <c r="C276" i="15" s="1"/>
  <c r="AI277" i="1"/>
  <c r="AC277" i="1" s="1"/>
  <c r="N276" i="1"/>
  <c r="C275" i="15" s="1"/>
  <c r="AI276" i="1"/>
  <c r="AC276" i="1" s="1"/>
  <c r="N275" i="1"/>
  <c r="C274" i="15" s="1"/>
  <c r="AI275" i="1"/>
  <c r="AC275" i="1" s="1"/>
  <c r="N274" i="1"/>
  <c r="C273" i="15" s="1"/>
  <c r="AI274" i="1"/>
  <c r="AC274" i="1" s="1"/>
  <c r="N273" i="1"/>
  <c r="C272" i="15" s="1"/>
  <c r="AI273" i="1"/>
  <c r="AC273" i="1" s="1"/>
  <c r="N272" i="1"/>
  <c r="C271" i="15" s="1"/>
  <c r="AI272" i="1"/>
  <c r="AC272" i="1" s="1"/>
  <c r="N271" i="1"/>
  <c r="C270" i="15" s="1"/>
  <c r="AI271" i="1"/>
  <c r="AC271" i="1" s="1"/>
  <c r="N270" i="1"/>
  <c r="C269" i="15" s="1"/>
  <c r="AI270" i="1"/>
  <c r="AC270" i="1" s="1"/>
  <c r="N269" i="1"/>
  <c r="C268" i="15" s="1"/>
  <c r="AI269" i="1"/>
  <c r="AC269" i="1" s="1"/>
  <c r="N268" i="1"/>
  <c r="C267" i="15" s="1"/>
  <c r="AI268" i="1"/>
  <c r="AC268" i="1" s="1"/>
  <c r="N267" i="1"/>
  <c r="C266" i="15" s="1"/>
  <c r="AI267" i="1"/>
  <c r="AC267" i="1" s="1"/>
  <c r="N266" i="1"/>
  <c r="C265" i="15" s="1"/>
  <c r="AI266" i="1"/>
  <c r="AC266" i="1" s="1"/>
  <c r="N265" i="1"/>
  <c r="C264" i="15" s="1"/>
  <c r="AI265" i="1"/>
  <c r="AC265" i="1" s="1"/>
  <c r="N264" i="1"/>
  <c r="C263" i="15" s="1"/>
  <c r="AI264" i="1"/>
  <c r="AC264" i="1" s="1"/>
  <c r="N263" i="1"/>
  <c r="C262" i="15" s="1"/>
  <c r="AI263" i="1"/>
  <c r="AC263" i="1" s="1"/>
  <c r="N262" i="1"/>
  <c r="C261" i="15" s="1"/>
  <c r="AI262" i="1"/>
  <c r="AC262" i="1" s="1"/>
  <c r="N261" i="1"/>
  <c r="C260" i="15" s="1"/>
  <c r="AI261" i="1"/>
  <c r="AC261" i="1" s="1"/>
  <c r="N260" i="1"/>
  <c r="C259" i="15" s="1"/>
  <c r="AI260" i="1"/>
  <c r="AC260" i="1" s="1"/>
  <c r="N259" i="1"/>
  <c r="C258" i="15" s="1"/>
  <c r="AI259" i="1"/>
  <c r="AC259" i="1" s="1"/>
  <c r="N258" i="1"/>
  <c r="C257" i="15" s="1"/>
  <c r="AI258" i="1"/>
  <c r="AC258" i="1" s="1"/>
  <c r="N257" i="1"/>
  <c r="C256" i="15" s="1"/>
  <c r="AI257" i="1"/>
  <c r="AC257" i="1" s="1"/>
  <c r="N256" i="1"/>
  <c r="C255" i="15" s="1"/>
  <c r="AI256" i="1"/>
  <c r="AC256" i="1" s="1"/>
  <c r="N255" i="1"/>
  <c r="C254" i="15" s="1"/>
  <c r="AI255" i="1"/>
  <c r="AC255" i="1" s="1"/>
  <c r="N254" i="1"/>
  <c r="C253" i="15" s="1"/>
  <c r="AI254" i="1"/>
  <c r="AC254" i="1" s="1"/>
  <c r="N253" i="1"/>
  <c r="C252" i="15" s="1"/>
  <c r="AI253" i="1"/>
  <c r="AC253" i="1" s="1"/>
  <c r="N252" i="1"/>
  <c r="C251" i="15" s="1"/>
  <c r="AI252" i="1"/>
  <c r="AC252" i="1" s="1"/>
  <c r="N251" i="1"/>
  <c r="C250" i="15" s="1"/>
  <c r="AI251" i="1"/>
  <c r="AC251" i="1" s="1"/>
  <c r="N250" i="1"/>
  <c r="C249" i="15" s="1"/>
  <c r="AI250" i="1"/>
  <c r="AC250" i="1" s="1"/>
  <c r="N249" i="1"/>
  <c r="C248" i="15" s="1"/>
  <c r="AI249" i="1"/>
  <c r="AC249" i="1" s="1"/>
  <c r="N248" i="1"/>
  <c r="C247" i="15" s="1"/>
  <c r="AI248" i="1"/>
  <c r="AC248" i="1" s="1"/>
  <c r="N247" i="1"/>
  <c r="C246" i="15" s="1"/>
  <c r="AI247" i="1"/>
  <c r="AC247" i="1" s="1"/>
  <c r="AI246" i="1"/>
  <c r="AC246" i="1" s="1"/>
  <c r="M246" i="1" s="1"/>
  <c r="B238" i="15" s="1"/>
  <c r="AI245" i="1"/>
  <c r="AC245" i="1" s="1"/>
  <c r="M245" i="1" s="1"/>
  <c r="B237" i="15" s="1"/>
  <c r="AI238" i="1"/>
  <c r="AC238" i="1" s="1"/>
  <c r="M238" i="1" s="1"/>
  <c r="B230" i="15" s="1"/>
  <c r="AI237" i="1"/>
  <c r="AC237" i="1" s="1"/>
  <c r="M237" i="1" s="1"/>
  <c r="B229" i="15" s="1"/>
  <c r="AI236" i="1"/>
  <c r="AC236" i="1" s="1"/>
  <c r="M236" i="1" s="1"/>
  <c r="B228" i="15" s="1"/>
  <c r="AI235" i="1"/>
  <c r="AC235" i="1" s="1"/>
  <c r="M235" i="1" s="1"/>
  <c r="B227" i="15" s="1"/>
  <c r="AI234" i="1"/>
  <c r="AC234" i="1" s="1"/>
  <c r="M234" i="1" s="1"/>
  <c r="B226" i="15" s="1"/>
  <c r="N233" i="1"/>
  <c r="C225" i="15" s="1"/>
  <c r="AI233" i="1"/>
  <c r="AC233" i="1" s="1"/>
  <c r="N232" i="1"/>
  <c r="C224" i="15" s="1"/>
  <c r="AI232" i="1"/>
  <c r="AC232" i="1" s="1"/>
  <c r="N231" i="1"/>
  <c r="C223" i="15" s="1"/>
  <c r="AI231" i="1"/>
  <c r="AC231" i="1" s="1"/>
  <c r="N230" i="1"/>
  <c r="C222" i="15" s="1"/>
  <c r="AI230" i="1"/>
  <c r="AC230" i="1" s="1"/>
  <c r="N229" i="1"/>
  <c r="C221" i="15" s="1"/>
  <c r="AI229" i="1"/>
  <c r="AC229" i="1" s="1"/>
  <c r="N228" i="1"/>
  <c r="C220" i="15" s="1"/>
  <c r="AI228" i="1"/>
  <c r="AC228" i="1" s="1"/>
  <c r="N227" i="1"/>
  <c r="C219" i="15" s="1"/>
  <c r="AI227" i="1"/>
  <c r="AC227" i="1" s="1"/>
  <c r="N226" i="1"/>
  <c r="C218" i="15" s="1"/>
  <c r="AI226" i="1"/>
  <c r="AC226" i="1" s="1"/>
  <c r="N225" i="1"/>
  <c r="C217" i="15" s="1"/>
  <c r="AI225" i="1"/>
  <c r="AC225" i="1" s="1"/>
  <c r="N224" i="1"/>
  <c r="C216" i="15" s="1"/>
  <c r="AI224" i="1"/>
  <c r="AC224" i="1" s="1"/>
  <c r="N223" i="1"/>
  <c r="C215" i="15" s="1"/>
  <c r="AI223" i="1"/>
  <c r="AC223" i="1" s="1"/>
  <c r="N222" i="1"/>
  <c r="C214" i="15" s="1"/>
  <c r="AI222" i="1"/>
  <c r="AC222" i="1" s="1"/>
  <c r="AI221" i="1"/>
  <c r="AC221" i="1" s="1"/>
  <c r="M221" i="1" s="1"/>
  <c r="B213" i="15" s="1"/>
  <c r="AI220" i="1"/>
  <c r="AC220" i="1" s="1"/>
  <c r="M220" i="1" s="1"/>
  <c r="B212" i="15" s="1"/>
  <c r="N219" i="1"/>
  <c r="C211" i="15" s="1"/>
  <c r="AI219" i="1"/>
  <c r="AC219" i="1" s="1"/>
  <c r="N218" i="1"/>
  <c r="C210" i="15" s="1"/>
  <c r="AI218" i="1"/>
  <c r="AC218" i="1" s="1"/>
  <c r="N217" i="1"/>
  <c r="C209" i="15" s="1"/>
  <c r="AI217" i="1"/>
  <c r="AC217" i="1" s="1"/>
  <c r="N216" i="1"/>
  <c r="C208" i="15" s="1"/>
  <c r="AI216" i="1"/>
  <c r="AC216" i="1" s="1"/>
  <c r="N215" i="1"/>
  <c r="C207" i="15" s="1"/>
  <c r="AI215" i="1"/>
  <c r="AC215" i="1" s="1"/>
  <c r="N214" i="1"/>
  <c r="C206" i="15" s="1"/>
  <c r="AI214" i="1"/>
  <c r="AC214" i="1" s="1"/>
  <c r="N213" i="1"/>
  <c r="C205" i="15" s="1"/>
  <c r="AI213" i="1"/>
  <c r="AC213" i="1" s="1"/>
  <c r="N212" i="1"/>
  <c r="C204" i="15" s="1"/>
  <c r="AI212" i="1"/>
  <c r="AC212" i="1" s="1"/>
  <c r="N211" i="1"/>
  <c r="C203" i="15" s="1"/>
  <c r="AI211" i="1"/>
  <c r="AC211" i="1" s="1"/>
  <c r="N210" i="1"/>
  <c r="C245" i="15" s="1"/>
  <c r="AI210" i="1"/>
  <c r="AC210" i="1" s="1"/>
  <c r="N209" i="1"/>
  <c r="C244" i="15" s="1"/>
  <c r="AI209" i="1"/>
  <c r="AC209" i="1" s="1"/>
  <c r="N208" i="1"/>
  <c r="C243" i="15" s="1"/>
  <c r="AI208" i="1"/>
  <c r="AC208" i="1" s="1"/>
  <c r="N207" i="1"/>
  <c r="C242" i="15" s="1"/>
  <c r="AI207" i="1"/>
  <c r="AC207" i="1" s="1"/>
  <c r="N206" i="1"/>
  <c r="C241" i="15" s="1"/>
  <c r="AI206" i="1"/>
  <c r="AC206" i="1" s="1"/>
  <c r="N205" i="1"/>
  <c r="C240" i="15" s="1"/>
  <c r="AI205" i="1"/>
  <c r="AC205" i="1" s="1"/>
  <c r="AI204" i="1"/>
  <c r="AC204" i="1" s="1"/>
  <c r="M204" i="1" s="1"/>
  <c r="B202" i="15" s="1"/>
  <c r="AI203" i="1"/>
  <c r="AC203" i="1" s="1"/>
  <c r="M203" i="1" s="1"/>
  <c r="B201" i="15" s="1"/>
  <c r="AI202" i="1"/>
  <c r="AC202" i="1" s="1"/>
  <c r="M202" i="1" s="1"/>
  <c r="B200" i="15" s="1"/>
  <c r="AI201" i="1"/>
  <c r="AC201" i="1" s="1"/>
  <c r="M201" i="1" s="1"/>
  <c r="B199" i="15" s="1"/>
  <c r="AI200" i="1"/>
  <c r="AC200" i="1" s="1"/>
  <c r="M200" i="1" s="1"/>
  <c r="B198" i="15" s="1"/>
  <c r="AI199" i="1"/>
  <c r="AC199" i="1" s="1"/>
  <c r="M199" i="1" s="1"/>
  <c r="B197" i="15" s="1"/>
  <c r="AI198" i="1"/>
  <c r="AC198" i="1" s="1"/>
  <c r="M198" i="1" s="1"/>
  <c r="B196" i="15" s="1"/>
  <c r="N197" i="1"/>
  <c r="C195" i="15" s="1"/>
  <c r="AI197" i="1"/>
  <c r="AC197" i="1" s="1"/>
  <c r="N196" i="1"/>
  <c r="C194" i="15" s="1"/>
  <c r="AI196" i="1"/>
  <c r="AC196" i="1" s="1"/>
  <c r="N195" i="1"/>
  <c r="C193" i="15" s="1"/>
  <c r="AI195" i="1"/>
  <c r="AC195" i="1" s="1"/>
  <c r="N194" i="1"/>
  <c r="C192" i="15" s="1"/>
  <c r="AI194" i="1"/>
  <c r="AC194" i="1" s="1"/>
  <c r="N193" i="1"/>
  <c r="C191" i="15" s="1"/>
  <c r="AI193" i="1"/>
  <c r="AC193" i="1" s="1"/>
  <c r="N192" i="1"/>
  <c r="C190" i="15" s="1"/>
  <c r="AI192" i="1"/>
  <c r="AC192" i="1" s="1"/>
  <c r="N191" i="1"/>
  <c r="C189" i="15" s="1"/>
  <c r="AI191" i="1"/>
  <c r="AC191" i="1" s="1"/>
  <c r="N190" i="1"/>
  <c r="C188" i="15" s="1"/>
  <c r="AI190" i="1"/>
  <c r="AC190" i="1" s="1"/>
  <c r="N189" i="1"/>
  <c r="C187" i="15" s="1"/>
  <c r="AI189" i="1"/>
  <c r="AC189" i="1" s="1"/>
  <c r="N188" i="1"/>
  <c r="C186" i="15" s="1"/>
  <c r="AI188" i="1"/>
  <c r="AC188" i="1" s="1"/>
  <c r="N187" i="1"/>
  <c r="C185" i="15" s="1"/>
  <c r="AI187" i="1"/>
  <c r="AC187" i="1" s="1"/>
  <c r="N186" i="1"/>
  <c r="C184" i="15" s="1"/>
  <c r="AI186" i="1"/>
  <c r="AC186" i="1" s="1"/>
  <c r="N185" i="1"/>
  <c r="C183" i="15" s="1"/>
  <c r="AI185" i="1"/>
  <c r="AC185" i="1" s="1"/>
  <c r="N184" i="1"/>
  <c r="C182" i="15" s="1"/>
  <c r="AI184" i="1"/>
  <c r="AC184" i="1" s="1"/>
  <c r="N183" i="1"/>
  <c r="C181" i="15" s="1"/>
  <c r="AI183" i="1"/>
  <c r="AC183" i="1" s="1"/>
  <c r="N182" i="1"/>
  <c r="C180" i="15" s="1"/>
  <c r="AI182" i="1"/>
  <c r="AC182" i="1" s="1"/>
  <c r="N181" i="1"/>
  <c r="C179" i="15" s="1"/>
  <c r="AI181" i="1"/>
  <c r="AC181" i="1" s="1"/>
  <c r="N180" i="1"/>
  <c r="C178" i="15" s="1"/>
  <c r="AI180" i="1"/>
  <c r="AC180" i="1" s="1"/>
  <c r="N179" i="1"/>
  <c r="C177" i="15" s="1"/>
  <c r="AI179" i="1"/>
  <c r="AC179" i="1" s="1"/>
  <c r="N178" i="1"/>
  <c r="C176" i="15" s="1"/>
  <c r="AI178" i="1"/>
  <c r="AC178" i="1" s="1"/>
  <c r="N177" i="1"/>
  <c r="C175" i="15" s="1"/>
  <c r="AI177" i="1"/>
  <c r="AC177" i="1" s="1"/>
  <c r="N176" i="1"/>
  <c r="C174" i="15" s="1"/>
  <c r="AI176" i="1"/>
  <c r="AC176" i="1" s="1"/>
  <c r="N175" i="1"/>
  <c r="C173" i="15" s="1"/>
  <c r="AI175" i="1"/>
  <c r="AC175" i="1" s="1"/>
  <c r="N174" i="1"/>
  <c r="C172" i="15" s="1"/>
  <c r="AI174" i="1"/>
  <c r="AC174" i="1" s="1"/>
  <c r="N173" i="1"/>
  <c r="C171" i="15" s="1"/>
  <c r="AI173" i="1"/>
  <c r="AC173" i="1" s="1"/>
  <c r="N172" i="1"/>
  <c r="C170" i="15" s="1"/>
  <c r="AI172" i="1"/>
  <c r="AC172" i="1" s="1"/>
  <c r="N171" i="1"/>
  <c r="C169" i="15" s="1"/>
  <c r="AI171" i="1"/>
  <c r="AC171" i="1" s="1"/>
  <c r="N170" i="1"/>
  <c r="C168" i="15" s="1"/>
  <c r="AI170" i="1"/>
  <c r="AC170" i="1" s="1"/>
  <c r="N169" i="1"/>
  <c r="C167" i="15" s="1"/>
  <c r="AI169" i="1"/>
  <c r="AC169" i="1" s="1"/>
  <c r="N168" i="1"/>
  <c r="C166" i="15" s="1"/>
  <c r="AI168" i="1"/>
  <c r="AC168" i="1" s="1"/>
  <c r="AI167" i="1"/>
  <c r="AC167" i="1" s="1"/>
  <c r="M167" i="1" s="1"/>
  <c r="B165" i="15" s="1"/>
  <c r="AI166" i="1"/>
  <c r="AC166" i="1" s="1"/>
  <c r="M166" i="1" s="1"/>
  <c r="B164" i="15" s="1"/>
  <c r="AI165" i="1"/>
  <c r="AC165" i="1" s="1"/>
  <c r="M165" i="1" s="1"/>
  <c r="B163" i="15" s="1"/>
  <c r="AI164" i="1"/>
  <c r="AC164" i="1" s="1"/>
  <c r="M164" i="1" s="1"/>
  <c r="B162" i="15" s="1"/>
  <c r="AI163" i="1"/>
  <c r="AC163" i="1" s="1"/>
  <c r="M163" i="1" s="1"/>
  <c r="B161" i="15" s="1"/>
  <c r="AI162" i="1"/>
  <c r="AC162" i="1" s="1"/>
  <c r="M162" i="1" s="1"/>
  <c r="B160" i="15" s="1"/>
  <c r="AI161" i="1"/>
  <c r="AC161" i="1" s="1"/>
  <c r="M161" i="1" s="1"/>
  <c r="B158" i="15" s="1"/>
  <c r="AI160" i="1"/>
  <c r="AC160" i="1" s="1"/>
  <c r="M160" i="1" s="1"/>
  <c r="B157" i="15" s="1"/>
  <c r="AI159" i="1"/>
  <c r="AC159" i="1" s="1"/>
  <c r="M159" i="1" s="1"/>
  <c r="B156" i="15" s="1"/>
  <c r="AI156" i="1"/>
  <c r="AC156" i="1" s="1"/>
  <c r="M156" i="1" s="1"/>
  <c r="B153" i="15" s="1"/>
  <c r="AI155" i="1"/>
  <c r="AC155" i="1" s="1"/>
  <c r="M155" i="1" s="1"/>
  <c r="B152" i="15" s="1"/>
  <c r="AI154" i="1"/>
  <c r="AC154" i="1" s="1"/>
  <c r="M154" i="1" s="1"/>
  <c r="B151" i="15" s="1"/>
  <c r="AI153" i="1"/>
  <c r="AC153" i="1" s="1"/>
  <c r="M153" i="1" s="1"/>
  <c r="B150" i="15" s="1"/>
  <c r="AI152" i="1"/>
  <c r="AC152" i="1" s="1"/>
  <c r="M152" i="1" s="1"/>
  <c r="B149" i="15" s="1"/>
  <c r="N151" i="1"/>
  <c r="C148" i="15" s="1"/>
  <c r="AI151" i="1"/>
  <c r="AC151" i="1" s="1"/>
  <c r="N150" i="1"/>
  <c r="C147" i="15" s="1"/>
  <c r="AI150" i="1"/>
  <c r="AC150" i="1" s="1"/>
  <c r="N149" i="1"/>
  <c r="C146" i="15" s="1"/>
  <c r="AI149" i="1"/>
  <c r="AC149" i="1" s="1"/>
  <c r="N148" i="1"/>
  <c r="C145" i="15" s="1"/>
  <c r="AI148" i="1"/>
  <c r="AC148" i="1" s="1"/>
  <c r="N147" i="1"/>
  <c r="C144" i="15" s="1"/>
  <c r="AI147" i="1"/>
  <c r="AC147" i="1" s="1"/>
  <c r="N146" i="1"/>
  <c r="C143" i="15" s="1"/>
  <c r="AI146" i="1"/>
  <c r="AC146" i="1" s="1"/>
  <c r="N145" i="1"/>
  <c r="C142" i="15" s="1"/>
  <c r="AI145" i="1"/>
  <c r="AC145" i="1" s="1"/>
  <c r="N144" i="1"/>
  <c r="C141" i="15" s="1"/>
  <c r="AI144" i="1"/>
  <c r="AC144" i="1" s="1"/>
  <c r="N143" i="1"/>
  <c r="C140" i="15" s="1"/>
  <c r="AI143" i="1"/>
  <c r="AC143" i="1" s="1"/>
  <c r="N142" i="1"/>
  <c r="C139" i="15" s="1"/>
  <c r="AI142" i="1"/>
  <c r="AC142" i="1" s="1"/>
  <c r="N141" i="1"/>
  <c r="C138" i="15" s="1"/>
  <c r="AI141" i="1"/>
  <c r="AC141" i="1" s="1"/>
  <c r="N140" i="1"/>
  <c r="C137" i="15" s="1"/>
  <c r="AI140" i="1"/>
  <c r="AC140" i="1" s="1"/>
  <c r="N139" i="1"/>
  <c r="C136" i="15" s="1"/>
  <c r="AI139" i="1"/>
  <c r="AC139" i="1" s="1"/>
  <c r="N138" i="1"/>
  <c r="C135" i="15" s="1"/>
  <c r="AI138" i="1"/>
  <c r="AC138" i="1" s="1"/>
  <c r="N137" i="1"/>
  <c r="C134" i="15" s="1"/>
  <c r="AI137" i="1"/>
  <c r="AC137" i="1" s="1"/>
  <c r="N136" i="1"/>
  <c r="C133" i="15" s="1"/>
  <c r="AI136" i="1"/>
  <c r="AC136" i="1" s="1"/>
  <c r="AI135" i="1"/>
  <c r="AC135" i="1" s="1"/>
  <c r="M135" i="1" s="1"/>
  <c r="B124" i="15" s="1"/>
  <c r="AQ135" i="1"/>
  <c r="E124" i="15" s="1"/>
  <c r="AI134" i="1"/>
  <c r="AC134" i="1" s="1"/>
  <c r="M134" i="1" s="1"/>
  <c r="B123" i="15" s="1"/>
  <c r="AQ134" i="1"/>
  <c r="AI132" i="1"/>
  <c r="AC132" i="1" s="1"/>
  <c r="M132" i="1" s="1"/>
  <c r="B131" i="15" s="1"/>
  <c r="AI131" i="1"/>
  <c r="AC131" i="1" s="1"/>
  <c r="M131" i="1" s="1"/>
  <c r="B130" i="15" s="1"/>
  <c r="AI130" i="1"/>
  <c r="AC130" i="1" s="1"/>
  <c r="M130" i="1" s="1"/>
  <c r="B129" i="15" s="1"/>
  <c r="AI129" i="1"/>
  <c r="AC129" i="1" s="1"/>
  <c r="M129" i="1" s="1"/>
  <c r="B128" i="15" s="1"/>
  <c r="AI128" i="1"/>
  <c r="AC128" i="1" s="1"/>
  <c r="M128" i="1" s="1"/>
  <c r="B127" i="15" s="1"/>
  <c r="AI126" i="1"/>
  <c r="AC126" i="1" s="1"/>
  <c r="M126" i="1" s="1"/>
  <c r="B125" i="15" s="1"/>
  <c r="AI125" i="1"/>
  <c r="AC125" i="1" s="1"/>
  <c r="M125" i="1" s="1"/>
  <c r="B122" i="15" s="1"/>
  <c r="AI124" i="1"/>
  <c r="AC124" i="1" s="1"/>
  <c r="M124" i="1" s="1"/>
  <c r="B121" i="15" s="1"/>
  <c r="AI123" i="1"/>
  <c r="AC123" i="1" s="1"/>
  <c r="M123" i="1" s="1"/>
  <c r="B120" i="15" s="1"/>
  <c r="AI122" i="1"/>
  <c r="AC122" i="1" s="1"/>
  <c r="M122" i="1" s="1"/>
  <c r="B119" i="15" s="1"/>
  <c r="AI121" i="1"/>
  <c r="AC121" i="1" s="1"/>
  <c r="M121" i="1" s="1"/>
  <c r="B118" i="15" s="1"/>
  <c r="AI120" i="1"/>
  <c r="AC120" i="1" s="1"/>
  <c r="M120" i="1" s="1"/>
  <c r="B117" i="15" s="1"/>
  <c r="AI113" i="1"/>
  <c r="AC113" i="1" s="1"/>
  <c r="M113" i="1" s="1"/>
  <c r="B110" i="15" s="1"/>
  <c r="AI112" i="1"/>
  <c r="AC112" i="1" s="1"/>
  <c r="M112" i="1" s="1"/>
  <c r="B109" i="15" s="1"/>
  <c r="AI85" i="1"/>
  <c r="AC85" i="1" s="1"/>
  <c r="M85" i="1" s="1"/>
  <c r="B82" i="15" s="1"/>
  <c r="AI84" i="1"/>
  <c r="AC84" i="1" s="1"/>
  <c r="M84" i="1" s="1"/>
  <c r="B81" i="15" s="1"/>
  <c r="AI22" i="1"/>
  <c r="AC22" i="1" s="1"/>
  <c r="M22" i="1" s="1"/>
  <c r="B19" i="15" s="1"/>
  <c r="AI21" i="1"/>
  <c r="AC21" i="1" s="1"/>
  <c r="M21" i="1" s="1"/>
  <c r="B18" i="15" s="1"/>
  <c r="AI20" i="1"/>
  <c r="AC20" i="1" s="1"/>
  <c r="M20" i="1" s="1"/>
  <c r="B17" i="15" s="1"/>
  <c r="AI19" i="1"/>
  <c r="AC19" i="1" s="1"/>
  <c r="M19" i="1" s="1"/>
  <c r="B16" i="15" s="1"/>
  <c r="AI18" i="1"/>
  <c r="AC18" i="1" s="1"/>
  <c r="M18" i="1" s="1"/>
  <c r="B159" i="15" s="1"/>
  <c r="AI17" i="1"/>
  <c r="AC17" i="1" s="1"/>
  <c r="M17" i="1" s="1"/>
  <c r="B15" i="15" s="1"/>
  <c r="AI16" i="1"/>
  <c r="AC16" i="1" s="1"/>
  <c r="M16" i="1" s="1"/>
  <c r="B14" i="15" s="1"/>
  <c r="AI7" i="1"/>
  <c r="AC7" i="1" s="1"/>
  <c r="M7" i="1" s="1"/>
  <c r="B5" i="15" s="1"/>
  <c r="AI6" i="1"/>
  <c r="AC6" i="1" s="1"/>
  <c r="M6" i="1" s="1"/>
  <c r="B4" i="15" s="1"/>
  <c r="P357" i="1"/>
  <c r="X357" i="1" s="1"/>
  <c r="P358" i="1"/>
  <c r="X358" i="1" s="1"/>
  <c r="P359" i="1"/>
  <c r="P360" i="1"/>
  <c r="P361" i="1"/>
  <c r="X361" i="1" s="1"/>
  <c r="P362" i="1"/>
  <c r="P363" i="1"/>
  <c r="X363" i="1" s="1"/>
  <c r="P364" i="1"/>
  <c r="P365" i="1"/>
  <c r="P366" i="1"/>
  <c r="X366" i="1" s="1"/>
  <c r="P367" i="1"/>
  <c r="X367" i="1" s="1"/>
  <c r="P368" i="1"/>
  <c r="X368" i="1" s="1"/>
  <c r="P369" i="1"/>
  <c r="X369" i="1" s="1"/>
  <c r="P370" i="1"/>
  <c r="X370" i="1" s="1"/>
  <c r="P371" i="1"/>
  <c r="P372" i="1"/>
  <c r="Q372" i="1" s="1"/>
  <c r="P378" i="1"/>
  <c r="Q378" i="1" s="1"/>
  <c r="P379" i="1"/>
  <c r="P380" i="1"/>
  <c r="X380" i="1" s="1"/>
  <c r="P381" i="1"/>
  <c r="X381" i="1" s="1"/>
  <c r="P382" i="1"/>
  <c r="X382" i="1" s="1"/>
  <c r="P383" i="1"/>
  <c r="P384" i="1"/>
  <c r="X384" i="1" s="1"/>
  <c r="P385" i="1"/>
  <c r="X385" i="1" s="1"/>
  <c r="P386" i="1"/>
  <c r="X386" i="1" s="1"/>
  <c r="P387" i="1"/>
  <c r="X387" i="1" s="1"/>
  <c r="P388" i="1"/>
  <c r="X388" i="1" s="1"/>
  <c r="P389" i="1"/>
  <c r="X389" i="1" s="1"/>
  <c r="P390" i="1"/>
  <c r="X390" i="1" s="1"/>
  <c r="P391" i="1"/>
  <c r="X391" i="1" s="1"/>
  <c r="P392" i="1"/>
  <c r="X392" i="1" s="1"/>
  <c r="P393" i="1"/>
  <c r="X393" i="1" s="1"/>
  <c r="P394" i="1"/>
  <c r="X394" i="1" s="1"/>
  <c r="P17" i="1"/>
  <c r="Q17" i="1" s="1"/>
  <c r="P18" i="1"/>
  <c r="P19" i="1"/>
  <c r="Q19" i="1" s="1"/>
  <c r="P120" i="1"/>
  <c r="P126" i="1"/>
  <c r="X126" i="1" s="1"/>
  <c r="P128" i="1"/>
  <c r="P129" i="1"/>
  <c r="P130" i="1"/>
  <c r="X130" i="1" s="1"/>
  <c r="P131" i="1"/>
  <c r="X131" i="1" s="1"/>
  <c r="P132" i="1"/>
  <c r="X132" i="1" s="1"/>
  <c r="Q134" i="1"/>
  <c r="P134" i="1" s="1"/>
  <c r="Q135" i="1"/>
  <c r="P135" i="1" s="1"/>
  <c r="P155" i="1"/>
  <c r="X155" i="1" s="1"/>
  <c r="P156" i="1"/>
  <c r="P159" i="1"/>
  <c r="P160" i="1"/>
  <c r="P162" i="1"/>
  <c r="X162" i="1" s="1"/>
  <c r="P163" i="1"/>
  <c r="P198" i="1"/>
  <c r="P355" i="1"/>
  <c r="P356" i="1"/>
  <c r="X356" i="1" s="1"/>
  <c r="AD1" i="1"/>
  <c r="AV205" i="1"/>
  <c r="AZ205" i="1" s="1"/>
  <c r="AV206" i="1"/>
  <c r="AZ206" i="1" s="1"/>
  <c r="AV207" i="1"/>
  <c r="AZ207" i="1" s="1"/>
  <c r="AV208" i="1"/>
  <c r="BA208" i="1" s="1"/>
  <c r="AV209" i="1"/>
  <c r="AZ209" i="1" s="1"/>
  <c r="AV210" i="1"/>
  <c r="BA210" i="1" s="1"/>
  <c r="AV357" i="1"/>
  <c r="BA357" i="1" s="1"/>
  <c r="AV358" i="1"/>
  <c r="AZ358" i="1" s="1"/>
  <c r="AV359" i="1"/>
  <c r="AY359" i="1" s="1"/>
  <c r="AV360" i="1"/>
  <c r="BA360" i="1" s="1"/>
  <c r="AV361" i="1"/>
  <c r="BA361" i="1" s="1"/>
  <c r="AV362" i="1"/>
  <c r="BA362" i="1" s="1"/>
  <c r="AV363" i="1"/>
  <c r="BA363" i="1" s="1"/>
  <c r="AV364" i="1"/>
  <c r="AZ364" i="1" s="1"/>
  <c r="AV365" i="1"/>
  <c r="BA365" i="1" s="1"/>
  <c r="AV366" i="1"/>
  <c r="AY366" i="1" s="1"/>
  <c r="AV367" i="1"/>
  <c r="AY367" i="1" s="1"/>
  <c r="AV368" i="1"/>
  <c r="BA368" i="1" s="1"/>
  <c r="AV369" i="1"/>
  <c r="BA369" i="1" s="1"/>
  <c r="AV370" i="1"/>
  <c r="BA370" i="1" s="1"/>
  <c r="AV371" i="1"/>
  <c r="BA371" i="1" s="1"/>
  <c r="AV372" i="1"/>
  <c r="AY372" i="1" s="1"/>
  <c r="AV373" i="1"/>
  <c r="AZ373" i="1" s="1"/>
  <c r="AV374" i="1"/>
  <c r="BA374" i="1" s="1"/>
  <c r="AV380" i="1"/>
  <c r="BA380" i="1" s="1"/>
  <c r="AV1216" i="1"/>
  <c r="AY1216" i="1" s="1"/>
  <c r="AV6" i="1"/>
  <c r="AZ6" i="1" s="1"/>
  <c r="AV7" i="1"/>
  <c r="AY7" i="1" s="1"/>
  <c r="AV16" i="1"/>
  <c r="AZ16" i="1" s="1"/>
  <c r="AV17" i="1"/>
  <c r="AZ17" i="1" s="1"/>
  <c r="AV18" i="1"/>
  <c r="AZ18" i="1" s="1"/>
  <c r="AV19" i="1"/>
  <c r="AZ19" i="1" s="1"/>
  <c r="AV20" i="1"/>
  <c r="AY20" i="1" s="1"/>
  <c r="AV21" i="1"/>
  <c r="AY21" i="1" s="1"/>
  <c r="AV22" i="1"/>
  <c r="BA22" i="1" s="1"/>
  <c r="AV84" i="1"/>
  <c r="AY84" i="1" s="1"/>
  <c r="AV85" i="1"/>
  <c r="AZ85" i="1" s="1"/>
  <c r="AV112" i="1"/>
  <c r="AV113" i="1"/>
  <c r="AV120" i="1"/>
  <c r="AZ120" i="1" s="1"/>
  <c r="AV121" i="1"/>
  <c r="BA121" i="1" s="1"/>
  <c r="AV122" i="1"/>
  <c r="AY122" i="1" s="1"/>
  <c r="AV123" i="1"/>
  <c r="BA123" i="1" s="1"/>
  <c r="AV124" i="1"/>
  <c r="BA124" i="1" s="1"/>
  <c r="AV125" i="1"/>
  <c r="AZ125" i="1" s="1"/>
  <c r="AV126" i="1"/>
  <c r="AZ126" i="1" s="1"/>
  <c r="AV128" i="1"/>
  <c r="AY128" i="1" s="1"/>
  <c r="AV129" i="1"/>
  <c r="BA129" i="1" s="1"/>
  <c r="AV130" i="1"/>
  <c r="AZ130" i="1" s="1"/>
  <c r="AV131" i="1"/>
  <c r="AZ131" i="1" s="1"/>
  <c r="AV132" i="1"/>
  <c r="AY132" i="1" s="1"/>
  <c r="AV134" i="1"/>
  <c r="AV135" i="1"/>
  <c r="AV136" i="1"/>
  <c r="BA136" i="1" s="1"/>
  <c r="AV137" i="1"/>
  <c r="AZ137" i="1" s="1"/>
  <c r="AV138" i="1"/>
  <c r="BA138" i="1" s="1"/>
  <c r="AV139" i="1"/>
  <c r="BA139" i="1" s="1"/>
  <c r="AV140" i="1"/>
  <c r="AZ140" i="1" s="1"/>
  <c r="AV141" i="1"/>
  <c r="AY141" i="1" s="1"/>
  <c r="AV142" i="1"/>
  <c r="AY142" i="1" s="1"/>
  <c r="AV143" i="1"/>
  <c r="AY143" i="1" s="1"/>
  <c r="AV144" i="1"/>
  <c r="AY144" i="1" s="1"/>
  <c r="AV145" i="1"/>
  <c r="BA145" i="1" s="1"/>
  <c r="AV146" i="1"/>
  <c r="AY146" i="1" s="1"/>
  <c r="AV147" i="1"/>
  <c r="AY147" i="1" s="1"/>
  <c r="AV148" i="1"/>
  <c r="AZ148" i="1" s="1"/>
  <c r="AV149" i="1"/>
  <c r="BA149" i="1" s="1"/>
  <c r="AV150" i="1"/>
  <c r="AY150" i="1" s="1"/>
  <c r="AV151" i="1"/>
  <c r="BA151" i="1" s="1"/>
  <c r="AV152" i="1"/>
  <c r="AY152" i="1" s="1"/>
  <c r="AV153" i="1"/>
  <c r="BA153" i="1" s="1"/>
  <c r="AV154" i="1"/>
  <c r="BA154" i="1" s="1"/>
  <c r="AV155" i="1"/>
  <c r="AZ155" i="1" s="1"/>
  <c r="AV156" i="1"/>
  <c r="BA156" i="1" s="1"/>
  <c r="AV159" i="1"/>
  <c r="BA159" i="1" s="1"/>
  <c r="AV160" i="1"/>
  <c r="AY160" i="1" s="1"/>
  <c r="AV161" i="1"/>
  <c r="BA161" i="1" s="1"/>
  <c r="AV162" i="1"/>
  <c r="AY162" i="1" s="1"/>
  <c r="AV163" i="1"/>
  <c r="BA163" i="1" s="1"/>
  <c r="AV164" i="1"/>
  <c r="AY164" i="1" s="1"/>
  <c r="AV165" i="1"/>
  <c r="AY165" i="1" s="1"/>
  <c r="AV166" i="1"/>
  <c r="AZ166" i="1" s="1"/>
  <c r="AV167" i="1"/>
  <c r="AY167" i="1" s="1"/>
  <c r="AV168" i="1"/>
  <c r="AZ168" i="1" s="1"/>
  <c r="AV169" i="1"/>
  <c r="BA169" i="1" s="1"/>
  <c r="AV170" i="1"/>
  <c r="BA170" i="1" s="1"/>
  <c r="AV171" i="1"/>
  <c r="AY171" i="1" s="1"/>
  <c r="AV172" i="1"/>
  <c r="AY172" i="1" s="1"/>
  <c r="AV173" i="1"/>
  <c r="BA173" i="1" s="1"/>
  <c r="AV174" i="1"/>
  <c r="BA174" i="1" s="1"/>
  <c r="AV175" i="1"/>
  <c r="AY175" i="1" s="1"/>
  <c r="AV176" i="1"/>
  <c r="AZ176" i="1" s="1"/>
  <c r="AV177" i="1"/>
  <c r="AY177" i="1" s="1"/>
  <c r="AV178" i="1"/>
  <c r="BA178" i="1" s="1"/>
  <c r="AV179" i="1"/>
  <c r="AZ179" i="1" s="1"/>
  <c r="AV180" i="1"/>
  <c r="AY180" i="1" s="1"/>
  <c r="AV181" i="1"/>
  <c r="AY181" i="1" s="1"/>
  <c r="AV182" i="1"/>
  <c r="BA182" i="1" s="1"/>
  <c r="AV183" i="1"/>
  <c r="AY183" i="1" s="1"/>
  <c r="AV184" i="1"/>
  <c r="AY184" i="1" s="1"/>
  <c r="AV185" i="1"/>
  <c r="AY185" i="1" s="1"/>
  <c r="AV186" i="1"/>
  <c r="AZ186" i="1" s="1"/>
  <c r="AV187" i="1"/>
  <c r="AY187" i="1" s="1"/>
  <c r="AV188" i="1"/>
  <c r="BA188" i="1" s="1"/>
  <c r="AV189" i="1"/>
  <c r="BA189" i="1" s="1"/>
  <c r="AV190" i="1"/>
  <c r="BA190" i="1" s="1"/>
  <c r="AV191" i="1"/>
  <c r="AZ191" i="1" s="1"/>
  <c r="AV192" i="1"/>
  <c r="BA192" i="1" s="1"/>
  <c r="AV193" i="1"/>
  <c r="AY193" i="1" s="1"/>
  <c r="AV194" i="1"/>
  <c r="BA194" i="1" s="1"/>
  <c r="AV195" i="1"/>
  <c r="AY195" i="1" s="1"/>
  <c r="AV196" i="1"/>
  <c r="AY196" i="1" s="1"/>
  <c r="AV197" i="1"/>
  <c r="AZ197" i="1" s="1"/>
  <c r="AV198" i="1"/>
  <c r="BA198" i="1" s="1"/>
  <c r="AV199" i="1"/>
  <c r="AY199" i="1" s="1"/>
  <c r="AV200" i="1"/>
  <c r="AY200" i="1" s="1"/>
  <c r="AV201" i="1"/>
  <c r="AZ201" i="1" s="1"/>
  <c r="AV202" i="1"/>
  <c r="BA202" i="1" s="1"/>
  <c r="AV203" i="1"/>
  <c r="BA203" i="1" s="1"/>
  <c r="AV204" i="1"/>
  <c r="AY204" i="1" s="1"/>
  <c r="AV211" i="1"/>
  <c r="BA211" i="1" s="1"/>
  <c r="AV212" i="1"/>
  <c r="AZ212" i="1" s="1"/>
  <c r="AV213" i="1"/>
  <c r="AZ213" i="1" s="1"/>
  <c r="AV214" i="1"/>
  <c r="BA214" i="1" s="1"/>
  <c r="AV215" i="1"/>
  <c r="AY215" i="1" s="1"/>
  <c r="AV216" i="1"/>
  <c r="AZ216" i="1" s="1"/>
  <c r="AV217" i="1"/>
  <c r="AZ217" i="1" s="1"/>
  <c r="AV218" i="1"/>
  <c r="BA218" i="1" s="1"/>
  <c r="AV219" i="1"/>
  <c r="AZ219" i="1" s="1"/>
  <c r="AV220" i="1"/>
  <c r="AY220" i="1" s="1"/>
  <c r="AV221" i="1"/>
  <c r="AY221" i="1" s="1"/>
  <c r="AV222" i="1"/>
  <c r="BA222" i="1" s="1"/>
  <c r="AV223" i="1"/>
  <c r="AY223" i="1" s="1"/>
  <c r="AV224" i="1"/>
  <c r="AY224" i="1" s="1"/>
  <c r="AV225" i="1"/>
  <c r="AZ225" i="1" s="1"/>
  <c r="AV226" i="1"/>
  <c r="AY226" i="1" s="1"/>
  <c r="AV227" i="1"/>
  <c r="BA227" i="1" s="1"/>
  <c r="AV228" i="1"/>
  <c r="BA228" i="1" s="1"/>
  <c r="AV229" i="1"/>
  <c r="BA229" i="1" s="1"/>
  <c r="AV230" i="1"/>
  <c r="BA230" i="1" s="1"/>
  <c r="AV231" i="1"/>
  <c r="AZ231" i="1" s="1"/>
  <c r="AV232" i="1"/>
  <c r="BA232" i="1" s="1"/>
  <c r="AV233" i="1"/>
  <c r="BA233" i="1" s="1"/>
  <c r="AV234" i="1"/>
  <c r="AY234" i="1" s="1"/>
  <c r="AV235" i="1"/>
  <c r="BA235" i="1" s="1"/>
  <c r="AV236" i="1"/>
  <c r="AY236" i="1" s="1"/>
  <c r="AV237" i="1"/>
  <c r="AY237" i="1" s="1"/>
  <c r="AV238" i="1"/>
  <c r="BA238" i="1" s="1"/>
  <c r="AV245" i="1"/>
  <c r="AZ245" i="1" s="1"/>
  <c r="AV246" i="1"/>
  <c r="AY246" i="1" s="1"/>
  <c r="AV247" i="1"/>
  <c r="AZ247" i="1" s="1"/>
  <c r="AV248" i="1"/>
  <c r="BA248" i="1" s="1"/>
  <c r="AV249" i="1"/>
  <c r="BA249" i="1" s="1"/>
  <c r="AV250" i="1"/>
  <c r="BA250" i="1" s="1"/>
  <c r="AV251" i="1"/>
  <c r="AZ251" i="1" s="1"/>
  <c r="AV252" i="1"/>
  <c r="BA252" i="1" s="1"/>
  <c r="AV253" i="1"/>
  <c r="BA253" i="1" s="1"/>
  <c r="AV254" i="1"/>
  <c r="AZ254" i="1" s="1"/>
  <c r="AV255" i="1"/>
  <c r="AY255" i="1" s="1"/>
  <c r="AV256" i="1"/>
  <c r="BA256" i="1" s="1"/>
  <c r="AV257" i="1"/>
  <c r="AZ257" i="1" s="1"/>
  <c r="AV258" i="1"/>
  <c r="BA258" i="1" s="1"/>
  <c r="AV259" i="1"/>
  <c r="AZ259" i="1" s="1"/>
  <c r="AV260" i="1"/>
  <c r="AY260" i="1" s="1"/>
  <c r="AV261" i="1"/>
  <c r="AY261" i="1" s="1"/>
  <c r="AV262" i="1"/>
  <c r="AZ262" i="1" s="1"/>
  <c r="AV263" i="1"/>
  <c r="AY263" i="1" s="1"/>
  <c r="AV264" i="1"/>
  <c r="AY264" i="1" s="1"/>
  <c r="AV265" i="1"/>
  <c r="AY265" i="1" s="1"/>
  <c r="AV266" i="1"/>
  <c r="BA266" i="1" s="1"/>
  <c r="AV267" i="1"/>
  <c r="AY267" i="1" s="1"/>
  <c r="AV268" i="1"/>
  <c r="BA268" i="1" s="1"/>
  <c r="AV269" i="1"/>
  <c r="AZ269" i="1" s="1"/>
  <c r="AV270" i="1"/>
  <c r="BA270" i="1" s="1"/>
  <c r="AV271" i="1"/>
  <c r="BA271" i="1" s="1"/>
  <c r="AV272" i="1"/>
  <c r="BA272" i="1" s="1"/>
  <c r="AV273" i="1"/>
  <c r="AY273" i="1" s="1"/>
  <c r="AV274" i="1"/>
  <c r="AY274" i="1" s="1"/>
  <c r="AV275" i="1"/>
  <c r="AY275" i="1" s="1"/>
  <c r="AV276" i="1"/>
  <c r="AZ276" i="1" s="1"/>
  <c r="AV277" i="1"/>
  <c r="AZ277" i="1" s="1"/>
  <c r="AV278" i="1"/>
  <c r="BA278" i="1" s="1"/>
  <c r="AV279" i="1"/>
  <c r="AY279" i="1" s="1"/>
  <c r="AV280" i="1"/>
  <c r="BA280" i="1" s="1"/>
  <c r="AV281" i="1"/>
  <c r="AZ281" i="1" s="1"/>
  <c r="AV282" i="1"/>
  <c r="BA282" i="1" s="1"/>
  <c r="AV283" i="1"/>
  <c r="AY283" i="1" s="1"/>
  <c r="AV284" i="1"/>
  <c r="AZ284" i="1" s="1"/>
  <c r="AV285" i="1"/>
  <c r="BA285" i="1" s="1"/>
  <c r="AV286" i="1"/>
  <c r="AZ286" i="1" s="1"/>
  <c r="AV287" i="1"/>
  <c r="AZ287" i="1" s="1"/>
  <c r="AV288" i="1"/>
  <c r="AY288" i="1" s="1"/>
  <c r="AV289" i="1"/>
  <c r="AZ289" i="1" s="1"/>
  <c r="AV290" i="1"/>
  <c r="AZ290" i="1" s="1"/>
  <c r="AV339" i="1"/>
  <c r="AZ339" i="1" s="1"/>
  <c r="AV340" i="1"/>
  <c r="BA340" i="1" s="1"/>
  <c r="AV341" i="1"/>
  <c r="AY341" i="1" s="1"/>
  <c r="AV342" i="1"/>
  <c r="BA342" i="1" s="1"/>
  <c r="AV343" i="1"/>
  <c r="AZ343" i="1" s="1"/>
  <c r="AV344" i="1"/>
  <c r="AY344" i="1" s="1"/>
  <c r="AV345" i="1"/>
  <c r="AY345" i="1" s="1"/>
  <c r="AV346" i="1"/>
  <c r="AZ346" i="1" s="1"/>
  <c r="AV347" i="1"/>
  <c r="AY347" i="1" s="1"/>
  <c r="AV348" i="1"/>
  <c r="BA348" i="1" s="1"/>
  <c r="AV349" i="1"/>
  <c r="AY349" i="1" s="1"/>
  <c r="AV350" i="1"/>
  <c r="AZ350" i="1" s="1"/>
  <c r="AV351" i="1"/>
  <c r="AZ351" i="1" s="1"/>
  <c r="AV352" i="1"/>
  <c r="BA352" i="1" s="1"/>
  <c r="AV353" i="1"/>
  <c r="AY353" i="1" s="1"/>
  <c r="AV354" i="1"/>
  <c r="BA354" i="1" s="1"/>
  <c r="AV355" i="1"/>
  <c r="AY355" i="1" s="1"/>
  <c r="AV356" i="1"/>
  <c r="BA356" i="1" s="1"/>
  <c r="AV375" i="1"/>
  <c r="AZ375" i="1" s="1"/>
  <c r="AV376" i="1"/>
  <c r="AZ376" i="1" s="1"/>
  <c r="AV377" i="1"/>
  <c r="AY377" i="1" s="1"/>
  <c r="AV378" i="1"/>
  <c r="AY378" i="1" s="1"/>
  <c r="AV379" i="1"/>
  <c r="BA379" i="1" s="1"/>
  <c r="AW205" i="1"/>
  <c r="AW206" i="1"/>
  <c r="AW207" i="1"/>
  <c r="AW208" i="1"/>
  <c r="AW209" i="1"/>
  <c r="AW210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80" i="1"/>
  <c r="AW1216" i="1"/>
  <c r="AW6" i="1"/>
  <c r="AW7" i="1"/>
  <c r="AW16" i="1"/>
  <c r="AW17" i="1"/>
  <c r="AW18" i="1"/>
  <c r="AW19" i="1"/>
  <c r="AW20" i="1"/>
  <c r="AW21" i="1"/>
  <c r="AW22" i="1"/>
  <c r="AW84" i="1"/>
  <c r="AW85" i="1"/>
  <c r="AW112" i="1"/>
  <c r="AW113" i="1"/>
  <c r="AW120" i="1"/>
  <c r="AW121" i="1"/>
  <c r="AW122" i="1"/>
  <c r="AW123" i="1"/>
  <c r="AW124" i="1"/>
  <c r="AW125" i="1"/>
  <c r="AW126" i="1"/>
  <c r="AW128" i="1"/>
  <c r="AW129" i="1"/>
  <c r="AW130" i="1"/>
  <c r="AW131" i="1"/>
  <c r="AW132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75" i="1"/>
  <c r="AW376" i="1"/>
  <c r="AW377" i="1"/>
  <c r="AW378" i="1"/>
  <c r="AW379" i="1"/>
  <c r="AX205" i="1"/>
  <c r="AX206" i="1"/>
  <c r="AX207" i="1"/>
  <c r="AX208" i="1"/>
  <c r="AX209" i="1"/>
  <c r="AX210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80" i="1"/>
  <c r="AX1216" i="1"/>
  <c r="AX6" i="1"/>
  <c r="AX7" i="1"/>
  <c r="AX16" i="1"/>
  <c r="AX17" i="1"/>
  <c r="AX18" i="1"/>
  <c r="AX19" i="1"/>
  <c r="AX20" i="1"/>
  <c r="AX21" i="1"/>
  <c r="AX22" i="1"/>
  <c r="AX84" i="1"/>
  <c r="AX85" i="1"/>
  <c r="AX112" i="1"/>
  <c r="AX113" i="1"/>
  <c r="AX120" i="1"/>
  <c r="AX121" i="1"/>
  <c r="AX122" i="1"/>
  <c r="AX123" i="1"/>
  <c r="AX124" i="1"/>
  <c r="AX125" i="1"/>
  <c r="AX126" i="1"/>
  <c r="AX128" i="1"/>
  <c r="AX129" i="1"/>
  <c r="AX130" i="1"/>
  <c r="AX131" i="1"/>
  <c r="AX132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75" i="1"/>
  <c r="AX376" i="1"/>
  <c r="AX377" i="1"/>
  <c r="AX378" i="1"/>
  <c r="AX379" i="1"/>
  <c r="AY385" i="1"/>
  <c r="AY381" i="1"/>
  <c r="AY382" i="1"/>
  <c r="AY130" i="1"/>
  <c r="AY346" i="1"/>
  <c r="AY386" i="1"/>
  <c r="AY387" i="1"/>
  <c r="AY390" i="1"/>
  <c r="AZ381" i="1"/>
  <c r="AZ383" i="1"/>
  <c r="AZ387" i="1"/>
  <c r="BA384" i="1"/>
  <c r="BA385" i="1"/>
  <c r="BA388" i="1"/>
  <c r="BA393" i="1"/>
  <c r="BC1" i="1"/>
  <c r="BD1" i="1"/>
  <c r="BE4" i="1"/>
  <c r="BE6" i="1"/>
  <c r="BE7" i="1"/>
  <c r="BE16" i="1"/>
  <c r="BE17" i="1"/>
  <c r="BE18" i="1"/>
  <c r="BE19" i="1"/>
  <c r="BE20" i="1"/>
  <c r="BE21" i="1"/>
  <c r="BE22" i="1"/>
  <c r="BE84" i="1"/>
  <c r="BE85" i="1"/>
  <c r="BE112" i="1"/>
  <c r="BE113" i="1"/>
  <c r="BE120" i="1"/>
  <c r="BE121" i="1"/>
  <c r="BE122" i="1"/>
  <c r="BE123" i="1"/>
  <c r="BE124" i="1"/>
  <c r="BE125" i="1"/>
  <c r="BE126" i="1"/>
  <c r="BE128" i="1"/>
  <c r="BE129" i="1"/>
  <c r="BE130" i="1"/>
  <c r="BE131" i="1"/>
  <c r="BE132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1216" i="1"/>
  <c r="Q4" i="1"/>
  <c r="Q20" i="1"/>
  <c r="X20" i="1"/>
  <c r="Q21" i="1"/>
  <c r="X21" i="1"/>
  <c r="Q22" i="1"/>
  <c r="X22" i="1"/>
  <c r="Q84" i="1"/>
  <c r="X84" i="1"/>
  <c r="Q85" i="1"/>
  <c r="X85" i="1"/>
  <c r="X112" i="1"/>
  <c r="Q121" i="1"/>
  <c r="X121" i="1"/>
  <c r="Q122" i="1"/>
  <c r="X122" i="1"/>
  <c r="Q123" i="1"/>
  <c r="X123" i="1"/>
  <c r="Q124" i="1"/>
  <c r="X124" i="1"/>
  <c r="Q125" i="1"/>
  <c r="X125" i="1"/>
  <c r="Q136" i="1"/>
  <c r="X136" i="1"/>
  <c r="Q137" i="1"/>
  <c r="X137" i="1"/>
  <c r="Q138" i="1"/>
  <c r="X138" i="1"/>
  <c r="Q139" i="1"/>
  <c r="X139" i="1"/>
  <c r="Q140" i="1"/>
  <c r="X140" i="1"/>
  <c r="Q141" i="1"/>
  <c r="X141" i="1"/>
  <c r="Q142" i="1"/>
  <c r="X142" i="1"/>
  <c r="Q143" i="1"/>
  <c r="X143" i="1"/>
  <c r="Q144" i="1"/>
  <c r="X144" i="1"/>
  <c r="Q145" i="1"/>
  <c r="X145" i="1"/>
  <c r="Q146" i="1"/>
  <c r="X146" i="1"/>
  <c r="Q147" i="1"/>
  <c r="X147" i="1"/>
  <c r="Q148" i="1"/>
  <c r="X148" i="1"/>
  <c r="Q149" i="1"/>
  <c r="X149" i="1"/>
  <c r="Q150" i="1"/>
  <c r="X150" i="1"/>
  <c r="Q151" i="1"/>
  <c r="X151" i="1"/>
  <c r="Q152" i="1"/>
  <c r="X152" i="1"/>
  <c r="Q153" i="1"/>
  <c r="X153" i="1"/>
  <c r="Q154" i="1"/>
  <c r="X154" i="1"/>
  <c r="Q161" i="1"/>
  <c r="X161" i="1"/>
  <c r="Q164" i="1"/>
  <c r="X164" i="1"/>
  <c r="Q165" i="1"/>
  <c r="X165" i="1"/>
  <c r="Q166" i="1"/>
  <c r="X166" i="1"/>
  <c r="Q167" i="1"/>
  <c r="X167" i="1"/>
  <c r="Q169" i="1"/>
  <c r="X169" i="1"/>
  <c r="Q170" i="1"/>
  <c r="X170" i="1"/>
  <c r="Q171" i="1"/>
  <c r="X171" i="1"/>
  <c r="Q172" i="1"/>
  <c r="X172" i="1"/>
  <c r="Q173" i="1"/>
  <c r="X173" i="1"/>
  <c r="Q175" i="1"/>
  <c r="X175" i="1"/>
  <c r="Q176" i="1"/>
  <c r="X176" i="1"/>
  <c r="Q177" i="1"/>
  <c r="X177" i="1"/>
  <c r="Q178" i="1"/>
  <c r="X178" i="1"/>
  <c r="Q179" i="1"/>
  <c r="X179" i="1"/>
  <c r="Q181" i="1"/>
  <c r="X181" i="1"/>
  <c r="Q182" i="1"/>
  <c r="X182" i="1"/>
  <c r="Q183" i="1"/>
  <c r="X183" i="1"/>
  <c r="Q184" i="1"/>
  <c r="X184" i="1"/>
  <c r="Q185" i="1"/>
  <c r="X185" i="1"/>
  <c r="Q187" i="1"/>
  <c r="X187" i="1"/>
  <c r="Q188" i="1"/>
  <c r="X188" i="1"/>
  <c r="Q189" i="1"/>
  <c r="X189" i="1"/>
  <c r="Q190" i="1"/>
  <c r="X190" i="1"/>
  <c r="Q191" i="1"/>
  <c r="X191" i="1"/>
  <c r="Q193" i="1"/>
  <c r="X193" i="1"/>
  <c r="Q194" i="1"/>
  <c r="X194" i="1"/>
  <c r="Q195" i="1"/>
  <c r="X195" i="1"/>
  <c r="Q196" i="1"/>
  <c r="X196" i="1"/>
  <c r="Q197" i="1"/>
  <c r="X197" i="1"/>
  <c r="Q199" i="1"/>
  <c r="X199" i="1"/>
  <c r="Q200" i="1"/>
  <c r="X200" i="1"/>
  <c r="Q201" i="1"/>
  <c r="X201" i="1"/>
  <c r="Q202" i="1"/>
  <c r="X202" i="1"/>
  <c r="Q204" i="1"/>
  <c r="X204" i="1"/>
  <c r="Q205" i="1"/>
  <c r="X205" i="1"/>
  <c r="Q206" i="1"/>
  <c r="X206" i="1"/>
  <c r="Q207" i="1"/>
  <c r="X207" i="1"/>
  <c r="Q208" i="1"/>
  <c r="X208" i="1"/>
  <c r="Q209" i="1"/>
  <c r="X209" i="1"/>
  <c r="Q210" i="1"/>
  <c r="X210" i="1"/>
  <c r="Q211" i="1"/>
  <c r="X211" i="1"/>
  <c r="Q212" i="1"/>
  <c r="X212" i="1"/>
  <c r="Q213" i="1"/>
  <c r="X213" i="1"/>
  <c r="Q214" i="1"/>
  <c r="X214" i="1"/>
  <c r="Q215" i="1"/>
  <c r="X215" i="1"/>
  <c r="Q216" i="1"/>
  <c r="X216" i="1"/>
  <c r="Q217" i="1"/>
  <c r="X217" i="1"/>
  <c r="Q218" i="1"/>
  <c r="X218" i="1"/>
  <c r="Q219" i="1"/>
  <c r="X219" i="1"/>
  <c r="Q221" i="1"/>
  <c r="X221" i="1"/>
  <c r="Q222" i="1"/>
  <c r="X222" i="1"/>
  <c r="Q223" i="1"/>
  <c r="X223" i="1"/>
  <c r="Q224" i="1"/>
  <c r="X224" i="1"/>
  <c r="Q225" i="1"/>
  <c r="X225" i="1"/>
  <c r="Q226" i="1"/>
  <c r="X226" i="1"/>
  <c r="Q227" i="1"/>
  <c r="X227" i="1"/>
  <c r="Q228" i="1"/>
  <c r="X228" i="1"/>
  <c r="Q229" i="1"/>
  <c r="X229" i="1"/>
  <c r="Q230" i="1"/>
  <c r="X230" i="1"/>
  <c r="Q231" i="1"/>
  <c r="X231" i="1"/>
  <c r="Q232" i="1"/>
  <c r="X232" i="1"/>
  <c r="Q233" i="1"/>
  <c r="X233" i="1"/>
  <c r="Q234" i="1"/>
  <c r="X234" i="1"/>
  <c r="Q235" i="1"/>
  <c r="X235" i="1"/>
  <c r="Q236" i="1"/>
  <c r="X236" i="1"/>
  <c r="Q237" i="1"/>
  <c r="X237" i="1"/>
  <c r="Q238" i="1"/>
  <c r="X238" i="1"/>
  <c r="Q245" i="1"/>
  <c r="X245" i="1"/>
  <c r="Q246" i="1"/>
  <c r="X246" i="1"/>
  <c r="Q247" i="1"/>
  <c r="X247" i="1"/>
  <c r="Q248" i="1"/>
  <c r="X248" i="1"/>
  <c r="Q249" i="1"/>
  <c r="X249" i="1"/>
  <c r="Q250" i="1"/>
  <c r="X250" i="1"/>
  <c r="Q251" i="1"/>
  <c r="X251" i="1"/>
  <c r="Q252" i="1"/>
  <c r="X252" i="1"/>
  <c r="Q253" i="1"/>
  <c r="X253" i="1"/>
  <c r="Q254" i="1"/>
  <c r="X254" i="1"/>
  <c r="Q255" i="1"/>
  <c r="X255" i="1"/>
  <c r="Q256" i="1"/>
  <c r="X256" i="1"/>
  <c r="Q257" i="1"/>
  <c r="X257" i="1"/>
  <c r="Q258" i="1"/>
  <c r="X258" i="1"/>
  <c r="Q259" i="1"/>
  <c r="X259" i="1"/>
  <c r="Q260" i="1"/>
  <c r="X260" i="1"/>
  <c r="Q261" i="1"/>
  <c r="X261" i="1"/>
  <c r="Q262" i="1"/>
  <c r="X262" i="1"/>
  <c r="Q263" i="1"/>
  <c r="X263" i="1"/>
  <c r="Q264" i="1"/>
  <c r="X264" i="1"/>
  <c r="Q265" i="1"/>
  <c r="X265" i="1"/>
  <c r="Q266" i="1"/>
  <c r="X266" i="1"/>
  <c r="Q267" i="1"/>
  <c r="X267" i="1"/>
  <c r="Q268" i="1"/>
  <c r="X268" i="1"/>
  <c r="Q269" i="1"/>
  <c r="X269" i="1"/>
  <c r="Q270" i="1"/>
  <c r="X270" i="1"/>
  <c r="Q271" i="1"/>
  <c r="X271" i="1"/>
  <c r="Q272" i="1"/>
  <c r="X272" i="1"/>
  <c r="Q273" i="1"/>
  <c r="X273" i="1"/>
  <c r="Q274" i="1"/>
  <c r="X274" i="1"/>
  <c r="Q275" i="1"/>
  <c r="X275" i="1"/>
  <c r="Q276" i="1"/>
  <c r="X276" i="1"/>
  <c r="Q277" i="1"/>
  <c r="X277" i="1"/>
  <c r="Q278" i="1"/>
  <c r="X278" i="1"/>
  <c r="Q279" i="1"/>
  <c r="X279" i="1"/>
  <c r="Q280" i="1"/>
  <c r="X280" i="1"/>
  <c r="Q281" i="1"/>
  <c r="X281" i="1"/>
  <c r="Q282" i="1"/>
  <c r="X282" i="1"/>
  <c r="Q283" i="1"/>
  <c r="X283" i="1"/>
  <c r="Q284" i="1"/>
  <c r="X284" i="1"/>
  <c r="Q285" i="1"/>
  <c r="X285" i="1"/>
  <c r="Q286" i="1"/>
  <c r="X286" i="1"/>
  <c r="Q287" i="1"/>
  <c r="X287" i="1"/>
  <c r="Q288" i="1"/>
  <c r="X288" i="1"/>
  <c r="Q289" i="1"/>
  <c r="X289" i="1"/>
  <c r="Q290" i="1"/>
  <c r="X290" i="1"/>
  <c r="Q339" i="1"/>
  <c r="X339" i="1"/>
  <c r="Q340" i="1"/>
  <c r="X340" i="1"/>
  <c r="Q341" i="1"/>
  <c r="X341" i="1"/>
  <c r="Q342" i="1"/>
  <c r="X342" i="1"/>
  <c r="Q343" i="1"/>
  <c r="X343" i="1"/>
  <c r="Q344" i="1"/>
  <c r="X344" i="1"/>
  <c r="Q345" i="1"/>
  <c r="X345" i="1"/>
  <c r="Q346" i="1"/>
  <c r="X346" i="1"/>
  <c r="Q347" i="1"/>
  <c r="X347" i="1"/>
  <c r="Q348" i="1"/>
  <c r="X348" i="1"/>
  <c r="Q349" i="1"/>
  <c r="X349" i="1"/>
  <c r="Q350" i="1"/>
  <c r="X350" i="1"/>
  <c r="Q351" i="1"/>
  <c r="X351" i="1"/>
  <c r="Q352" i="1"/>
  <c r="X352" i="1"/>
  <c r="Q353" i="1"/>
  <c r="X353" i="1"/>
  <c r="Q354" i="1"/>
  <c r="X354" i="1"/>
  <c r="Q373" i="1"/>
  <c r="X373" i="1"/>
  <c r="Q376" i="1"/>
  <c r="X376" i="1"/>
  <c r="Q377" i="1"/>
  <c r="X377" i="1"/>
  <c r="X113" i="1"/>
  <c r="Q113" i="1"/>
  <c r="X375" i="1"/>
  <c r="BA383" i="1"/>
  <c r="AY421" i="1"/>
  <c r="AZ438" i="1"/>
  <c r="AZ446" i="1"/>
  <c r="AZ450" i="1"/>
  <c r="AZ454" i="1"/>
  <c r="X4" i="1"/>
  <c r="AZ388" i="1"/>
  <c r="AZ382" i="1"/>
  <c r="AY437" i="1"/>
  <c r="AY443" i="1"/>
  <c r="AY391" i="1"/>
  <c r="AZ392" i="1"/>
  <c r="AY435" i="1"/>
  <c r="AY439" i="1"/>
  <c r="AZ440" i="1"/>
  <c r="BA389" i="1"/>
  <c r="AZ386" i="1"/>
  <c r="AZ384" i="1"/>
  <c r="AY449" i="1"/>
  <c r="BA382" i="1"/>
  <c r="AZ385" i="1"/>
  <c r="AY392" i="1"/>
  <c r="AZ393" i="1"/>
  <c r="AZ397" i="1"/>
  <c r="AY408" i="1"/>
  <c r="AZ413" i="1"/>
  <c r="BA434" i="1"/>
  <c r="BA438" i="1"/>
  <c r="BA442" i="1"/>
  <c r="AY444" i="1"/>
  <c r="BA446" i="1"/>
  <c r="AY384" i="1"/>
  <c r="AY396" i="1"/>
  <c r="Q6" i="1"/>
  <c r="AY404" i="1"/>
  <c r="AY448" i="1"/>
  <c r="BA450" i="1"/>
  <c r="AZ433" i="1"/>
  <c r="BA397" i="1"/>
  <c r="AZ400" i="1"/>
  <c r="BA401" i="1"/>
  <c r="AY403" i="1"/>
  <c r="BA405" i="1"/>
  <c r="AZ408" i="1"/>
  <c r="BA409" i="1"/>
  <c r="AY411" i="1"/>
  <c r="AZ412" i="1"/>
  <c r="BA413" i="1"/>
  <c r="AY415" i="1"/>
  <c r="AY419" i="1"/>
  <c r="BA425" i="1"/>
  <c r="AY427" i="1"/>
  <c r="AZ428" i="1"/>
  <c r="BA429" i="1"/>
  <c r="AY431" i="1"/>
  <c r="AZ432" i="1"/>
  <c r="BA433" i="1"/>
  <c r="BA449" i="1"/>
  <c r="X374" i="1"/>
  <c r="AZ190" i="1"/>
  <c r="X16" i="1"/>
  <c r="X6" i="1"/>
  <c r="Q374" i="1"/>
  <c r="Q16" i="1"/>
  <c r="X7" i="1"/>
  <c r="Q7" i="1"/>
  <c r="Q112" i="1"/>
  <c r="Q458" i="1"/>
  <c r="AY212" i="1" l="1"/>
  <c r="BA341" i="1"/>
  <c r="BA176" i="1"/>
  <c r="E123" i="15"/>
  <c r="M556" i="15" s="1"/>
  <c r="I126" i="3"/>
  <c r="I1053" i="3"/>
  <c r="I1055" i="3"/>
  <c r="I1052" i="3"/>
  <c r="I1054" i="3"/>
  <c r="I1056" i="3"/>
  <c r="M774" i="15"/>
  <c r="N678" i="15"/>
  <c r="O711" i="15"/>
  <c r="O794" i="15"/>
  <c r="N640" i="15"/>
  <c r="N536" i="15"/>
  <c r="R281" i="15"/>
  <c r="O260" i="15"/>
  <c r="N125" i="15"/>
  <c r="R376" i="15"/>
  <c r="Q229" i="15"/>
  <c r="O211" i="15"/>
  <c r="M323" i="15"/>
  <c r="M483" i="15"/>
  <c r="M959" i="15"/>
  <c r="M1015" i="15"/>
  <c r="P643" i="15"/>
  <c r="O622" i="15"/>
  <c r="Q548" i="15"/>
  <c r="R539" i="15"/>
  <c r="P477" i="15"/>
  <c r="P457" i="15"/>
  <c r="R658" i="15"/>
  <c r="Q647" i="15"/>
  <c r="Q587" i="15"/>
  <c r="O565" i="15"/>
  <c r="N494" i="15"/>
  <c r="O485" i="15"/>
  <c r="O410" i="15"/>
  <c r="O390" i="15"/>
  <c r="N319" i="15"/>
  <c r="R307" i="15"/>
  <c r="P245" i="15"/>
  <c r="P225" i="15"/>
  <c r="R155" i="15"/>
  <c r="N155" i="15"/>
  <c r="N135" i="15"/>
  <c r="O417" i="15"/>
  <c r="Q395" i="15"/>
  <c r="R390" i="15"/>
  <c r="O365" i="15"/>
  <c r="P352" i="15"/>
  <c r="P328" i="15"/>
  <c r="Q319" i="15"/>
  <c r="R302" i="15"/>
  <c r="N294" i="15"/>
  <c r="N270" i="15"/>
  <c r="O257" i="15"/>
  <c r="N250" i="15"/>
  <c r="N226" i="15"/>
  <c r="N210" i="15"/>
  <c r="P200" i="15"/>
  <c r="R178" i="15"/>
  <c r="N166" i="15"/>
  <c r="M137" i="15"/>
  <c r="M181" i="15"/>
  <c r="M209" i="15"/>
  <c r="M241" i="15"/>
  <c r="M373" i="15"/>
  <c r="M381" i="15"/>
  <c r="M509" i="15"/>
  <c r="M573" i="15"/>
  <c r="M765" i="15"/>
  <c r="M797" i="15"/>
  <c r="M893" i="15"/>
  <c r="M997" i="15"/>
  <c r="M1133" i="15"/>
  <c r="N142" i="15"/>
  <c r="P148" i="15"/>
  <c r="M902" i="15"/>
  <c r="M966" i="15"/>
  <c r="M974" i="15"/>
  <c r="M1022" i="15"/>
  <c r="M1086" i="15"/>
  <c r="M1122" i="15"/>
  <c r="R132" i="15"/>
  <c r="M313" i="15"/>
  <c r="M433" i="15"/>
  <c r="M513" i="15"/>
  <c r="M633" i="15"/>
  <c r="M705" i="15"/>
  <c r="M721" i="15"/>
  <c r="M913" i="15"/>
  <c r="M945" i="15"/>
  <c r="M1073" i="15"/>
  <c r="M1137" i="15"/>
  <c r="M856" i="15"/>
  <c r="M864" i="15"/>
  <c r="M912" i="15"/>
  <c r="M944" i="15"/>
  <c r="M1000" i="15"/>
  <c r="M1016" i="15"/>
  <c r="M1024" i="15"/>
  <c r="M1084" i="15"/>
  <c r="M1124" i="15"/>
  <c r="M1132" i="15"/>
  <c r="O127" i="15"/>
  <c r="R144" i="15"/>
  <c r="AZ177" i="1"/>
  <c r="BA84" i="1"/>
  <c r="AY227" i="1"/>
  <c r="AZ139" i="1"/>
  <c r="BA353" i="1"/>
  <c r="AZ121" i="1"/>
  <c r="AZ372" i="1"/>
  <c r="AZ222" i="1"/>
  <c r="AZ7" i="1"/>
  <c r="BA17" i="1"/>
  <c r="AZ200" i="1"/>
  <c r="BA168" i="1"/>
  <c r="AZ192" i="1"/>
  <c r="AZ252" i="1"/>
  <c r="BA209" i="1"/>
  <c r="AZ238" i="1"/>
  <c r="M437" i="1"/>
  <c r="B383" i="15" s="1"/>
  <c r="M465" i="1"/>
  <c r="B416" i="15" s="1"/>
  <c r="AY376" i="1"/>
  <c r="AZ123" i="1"/>
  <c r="BA201" i="1"/>
  <c r="AY277" i="1"/>
  <c r="AZ112" i="1"/>
  <c r="AY203" i="1"/>
  <c r="BA231" i="1"/>
  <c r="BA349" i="1"/>
  <c r="AY231" i="1"/>
  <c r="BA277" i="1"/>
  <c r="AZ223" i="1"/>
  <c r="AY125" i="1"/>
  <c r="BA179" i="1"/>
  <c r="AZ341" i="1"/>
  <c r="BA375" i="1"/>
  <c r="BA193" i="1"/>
  <c r="AZ374" i="1"/>
  <c r="AY18" i="1"/>
  <c r="BA358" i="1"/>
  <c r="AZ154" i="1"/>
  <c r="AZ146" i="1"/>
  <c r="BA18" i="1"/>
  <c r="AZ164" i="1"/>
  <c r="AY375" i="1"/>
  <c r="BA16" i="1"/>
  <c r="AY169" i="1"/>
  <c r="BA234" i="1"/>
  <c r="M462" i="1"/>
  <c r="B413" i="15" s="1"/>
  <c r="M470" i="1"/>
  <c r="B421" i="15" s="1"/>
  <c r="BA128" i="1"/>
  <c r="AY151" i="1"/>
  <c r="AZ185" i="1"/>
  <c r="AZ248" i="1"/>
  <c r="M463" i="1"/>
  <c r="B414" i="15" s="1"/>
  <c r="AY248" i="1"/>
  <c r="AZ172" i="1"/>
  <c r="AY161" i="1"/>
  <c r="AY270" i="1"/>
  <c r="BA261" i="1"/>
  <c r="BA146" i="1"/>
  <c r="M464" i="1"/>
  <c r="B415" i="15" s="1"/>
  <c r="M472" i="1"/>
  <c r="B423" i="15" s="1"/>
  <c r="AY123" i="1"/>
  <c r="AY362" i="1"/>
  <c r="AZ282" i="1"/>
  <c r="M461" i="1"/>
  <c r="B412" i="15" s="1"/>
  <c r="M469" i="1"/>
  <c r="B420" i="15" s="1"/>
  <c r="AY339" i="1"/>
  <c r="BA289" i="1"/>
  <c r="AZ147" i="1"/>
  <c r="BA155" i="1"/>
  <c r="AZ141" i="1"/>
  <c r="BA113" i="1"/>
  <c r="M466" i="1"/>
  <c r="B417" i="15" s="1"/>
  <c r="BA166" i="1"/>
  <c r="AZ173" i="1"/>
  <c r="AY235" i="1"/>
  <c r="AY219" i="1"/>
  <c r="AY173" i="1"/>
  <c r="BA131" i="1"/>
  <c r="BA147" i="1"/>
  <c r="AZ370" i="1"/>
  <c r="AZ1216" i="1"/>
  <c r="AZ353" i="1"/>
  <c r="M468" i="1"/>
  <c r="B419" i="15" s="1"/>
  <c r="BA286" i="1"/>
  <c r="AZ198" i="1"/>
  <c r="AY207" i="1"/>
  <c r="BA350" i="1"/>
  <c r="BA259" i="1"/>
  <c r="AY286" i="1"/>
  <c r="AY186" i="1"/>
  <c r="BA207" i="1"/>
  <c r="AZ22" i="1"/>
  <c r="AY369" i="1"/>
  <c r="BA262" i="1"/>
  <c r="AZ361" i="1"/>
  <c r="AY216" i="1"/>
  <c r="AY191" i="1"/>
  <c r="AY373" i="1"/>
  <c r="BA225" i="1"/>
  <c r="AZ354" i="1"/>
  <c r="AZ362" i="1"/>
  <c r="AZ128" i="1"/>
  <c r="AY354" i="1"/>
  <c r="BA191" i="1"/>
  <c r="AY194" i="1"/>
  <c r="AY22" i="1"/>
  <c r="AZ258" i="1"/>
  <c r="AY358" i="1"/>
  <c r="AY374" i="1"/>
  <c r="AZ278" i="1"/>
  <c r="X17" i="1"/>
  <c r="S17" i="1" s="1"/>
  <c r="BA21" i="1"/>
  <c r="BA346" i="1"/>
  <c r="AY208" i="1"/>
  <c r="BA376" i="1"/>
  <c r="BA148" i="1"/>
  <c r="AZ365" i="1"/>
  <c r="AZ194" i="1"/>
  <c r="AY357" i="1"/>
  <c r="AZ270" i="1"/>
  <c r="AY278" i="1"/>
  <c r="BA290" i="1"/>
  <c r="AY266" i="1"/>
  <c r="AY282" i="1"/>
  <c r="AZ274" i="1"/>
  <c r="AZ263" i="1"/>
  <c r="AZ175" i="1"/>
  <c r="BA274" i="1"/>
  <c r="BA254" i="1"/>
  <c r="AZ279" i="1"/>
  <c r="AY262" i="1"/>
  <c r="AY365" i="1"/>
  <c r="AY290" i="1"/>
  <c r="BA263" i="1"/>
  <c r="AZ145" i="1"/>
  <c r="AY259" i="1"/>
  <c r="AZ163" i="1"/>
  <c r="BA373" i="1"/>
  <c r="AY361" i="1"/>
  <c r="AZ266" i="1"/>
  <c r="AY190" i="1"/>
  <c r="AZ357" i="1"/>
  <c r="BA216" i="1"/>
  <c r="AZ369" i="1"/>
  <c r="AZ228" i="1"/>
  <c r="X378" i="1"/>
  <c r="AY131" i="1"/>
  <c r="AZ208" i="1"/>
  <c r="X364" i="1"/>
  <c r="BA112" i="1"/>
  <c r="BA120" i="1"/>
  <c r="BA164" i="1"/>
  <c r="AZ138" i="1"/>
  <c r="BA160" i="1"/>
  <c r="AZ264" i="1"/>
  <c r="AZ256" i="1"/>
  <c r="X120" i="1"/>
  <c r="AZ20" i="1"/>
  <c r="BA215" i="1"/>
  <c r="BA142" i="1"/>
  <c r="AY154" i="1"/>
  <c r="AY269" i="1"/>
  <c r="AY253" i="1"/>
  <c r="BA172" i="1"/>
  <c r="X359" i="1"/>
  <c r="AY139" i="1"/>
  <c r="BA219" i="1"/>
  <c r="AZ160" i="1"/>
  <c r="AZ150" i="1"/>
  <c r="AZ356" i="1"/>
  <c r="AY245" i="1"/>
  <c r="AY138" i="1"/>
  <c r="X379" i="1"/>
  <c r="X159" i="1"/>
  <c r="AY285" i="1"/>
  <c r="BA180" i="1"/>
  <c r="AZ169" i="1"/>
  <c r="AY256" i="1"/>
  <c r="BA223" i="1"/>
  <c r="AZ261" i="1"/>
  <c r="BA165" i="1"/>
  <c r="X362" i="1"/>
  <c r="X129" i="1"/>
  <c r="AZ193" i="1"/>
  <c r="AZ379" i="1"/>
  <c r="M440" i="1"/>
  <c r="B386" i="15" s="1"/>
  <c r="AZ272" i="1"/>
  <c r="AY176" i="1"/>
  <c r="AY222" i="1"/>
  <c r="AZ214" i="1"/>
  <c r="AY168" i="1"/>
  <c r="AY252" i="1"/>
  <c r="BA205" i="1"/>
  <c r="AZ363" i="1"/>
  <c r="AZ218" i="1"/>
  <c r="AZ142" i="1"/>
  <c r="AZ151" i="1"/>
  <c r="AZ161" i="1"/>
  <c r="BA269" i="1"/>
  <c r="AY281" i="1"/>
  <c r="AY189" i="1"/>
  <c r="AZ371" i="1"/>
  <c r="AY289" i="1"/>
  <c r="AZ180" i="1"/>
  <c r="AY249" i="1"/>
  <c r="AZ215" i="1"/>
  <c r="AY129" i="1"/>
  <c r="X128" i="1"/>
  <c r="BA185" i="1"/>
  <c r="AY210" i="1"/>
  <c r="AY121" i="1"/>
  <c r="AZ285" i="1"/>
  <c r="AZ260" i="1"/>
  <c r="AY360" i="1"/>
  <c r="AZ230" i="1"/>
  <c r="AY155" i="1"/>
  <c r="BA265" i="1"/>
  <c r="X160" i="1"/>
  <c r="X163" i="1"/>
  <c r="BA150" i="1"/>
  <c r="AZ143" i="1"/>
  <c r="A19" i="8"/>
  <c r="M410" i="1"/>
  <c r="B356" i="15" s="1"/>
  <c r="M414" i="1"/>
  <c r="B360" i="15" s="1"/>
  <c r="M444" i="1"/>
  <c r="B390" i="15" s="1"/>
  <c r="I463" i="3"/>
  <c r="I461" i="3"/>
  <c r="I243" i="3"/>
  <c r="I242" i="3"/>
  <c r="I460" i="3"/>
  <c r="I462" i="3"/>
  <c r="I464" i="3"/>
  <c r="AZ237" i="1"/>
  <c r="AZ378" i="1"/>
  <c r="AY179" i="1"/>
  <c r="AY284" i="1"/>
  <c r="AY287" i="1"/>
  <c r="BA344" i="1"/>
  <c r="AY352" i="1"/>
  <c r="AY280" i="1"/>
  <c r="AY213" i="1"/>
  <c r="BA288" i="1"/>
  <c r="BA255" i="1"/>
  <c r="AZ355" i="1"/>
  <c r="BA351" i="1"/>
  <c r="AY370" i="1"/>
  <c r="AZ199" i="1"/>
  <c r="AZ159" i="1"/>
  <c r="AY159" i="1"/>
  <c r="AY233" i="1"/>
  <c r="BA279" i="1"/>
  <c r="AY149" i="1"/>
  <c r="BA343" i="1"/>
  <c r="AZ195" i="1"/>
  <c r="AZ283" i="1"/>
  <c r="BA339" i="1"/>
  <c r="BA287" i="1"/>
  <c r="AZ347" i="1"/>
  <c r="BA347" i="1"/>
  <c r="AY163" i="1"/>
  <c r="AY251" i="1"/>
  <c r="AY247" i="1"/>
  <c r="AY343" i="1"/>
  <c r="BA251" i="1"/>
  <c r="AZ255" i="1"/>
  <c r="BA366" i="1"/>
  <c r="AY271" i="1"/>
  <c r="AY6" i="1"/>
  <c r="AZ229" i="1"/>
  <c r="M197" i="1"/>
  <c r="B195" i="15" s="1"/>
  <c r="AY350" i="1"/>
  <c r="M416" i="1"/>
  <c r="B362" i="15" s="1"/>
  <c r="M442" i="1"/>
  <c r="B388" i="15" s="1"/>
  <c r="M148" i="1"/>
  <c r="B145" i="15" s="1"/>
  <c r="M270" i="1"/>
  <c r="B269" i="15" s="1"/>
  <c r="M272" i="1"/>
  <c r="B271" i="15" s="1"/>
  <c r="M139" i="1"/>
  <c r="B136" i="15" s="1"/>
  <c r="M141" i="1"/>
  <c r="B138" i="15" s="1"/>
  <c r="M350" i="1"/>
  <c r="B309" i="15" s="1"/>
  <c r="M352" i="1"/>
  <c r="B311" i="15" s="1"/>
  <c r="M206" i="1"/>
  <c r="B241" i="15" s="1"/>
  <c r="M277" i="1"/>
  <c r="B276" i="15" s="1"/>
  <c r="M279" i="1"/>
  <c r="B278" i="15" s="1"/>
  <c r="M281" i="1"/>
  <c r="B280" i="15" s="1"/>
  <c r="M283" i="1"/>
  <c r="B282" i="15" s="1"/>
  <c r="M285" i="1"/>
  <c r="B284" i="15" s="1"/>
  <c r="M287" i="1"/>
  <c r="B286" i="15" s="1"/>
  <c r="M289" i="1"/>
  <c r="B288" i="15" s="1"/>
  <c r="M339" i="1"/>
  <c r="B298" i="15" s="1"/>
  <c r="M409" i="1"/>
  <c r="B355" i="15" s="1"/>
  <c r="M413" i="1"/>
  <c r="B359" i="15" s="1"/>
  <c r="M417" i="1"/>
  <c r="B363" i="15" s="1"/>
  <c r="M439" i="1"/>
  <c r="B385" i="15" s="1"/>
  <c r="M443" i="1"/>
  <c r="B389" i="15" s="1"/>
  <c r="M447" i="1"/>
  <c r="B393" i="15" s="1"/>
  <c r="M450" i="1"/>
  <c r="B396" i="15" s="1"/>
  <c r="M211" i="1"/>
  <c r="B203" i="15" s="1"/>
  <c r="M226" i="1"/>
  <c r="B218" i="15" s="1"/>
  <c r="M228" i="1"/>
  <c r="B220" i="15" s="1"/>
  <c r="M230" i="1"/>
  <c r="B222" i="15" s="1"/>
  <c r="M232" i="1"/>
  <c r="B224" i="15" s="1"/>
  <c r="M261" i="1"/>
  <c r="B260" i="15" s="1"/>
  <c r="M248" i="1"/>
  <c r="B247" i="15" s="1"/>
  <c r="M428" i="1"/>
  <c r="B374" i="15" s="1"/>
  <c r="M432" i="1"/>
  <c r="B378" i="15" s="1"/>
  <c r="R8" i="3"/>
  <c r="I361" i="3"/>
  <c r="I360" i="3"/>
  <c r="I382" i="3"/>
  <c r="M224" i="1"/>
  <c r="B216" i="15" s="1"/>
  <c r="AY272" i="1"/>
  <c r="BA260" i="1"/>
  <c r="AY371" i="1"/>
  <c r="AY166" i="1"/>
  <c r="AZ344" i="1"/>
  <c r="AY217" i="1"/>
  <c r="AZ196" i="1"/>
  <c r="BA7" i="1"/>
  <c r="AY351" i="1"/>
  <c r="AY225" i="1"/>
  <c r="AZ280" i="1"/>
  <c r="X371" i="1"/>
  <c r="BA257" i="1"/>
  <c r="AY229" i="1"/>
  <c r="M259" i="1"/>
  <c r="B258" i="15" s="1"/>
  <c r="M268" i="1"/>
  <c r="B267" i="15" s="1"/>
  <c r="BA132" i="1"/>
  <c r="AY16" i="1"/>
  <c r="BA221" i="1"/>
  <c r="AY276" i="1"/>
  <c r="BA197" i="1"/>
  <c r="X383" i="1"/>
  <c r="BA140" i="1"/>
  <c r="BA345" i="1"/>
  <c r="AY148" i="1"/>
  <c r="AZ273" i="1"/>
  <c r="AZ189" i="1"/>
  <c r="Q18" i="1"/>
  <c r="X355" i="1"/>
  <c r="AY136" i="1"/>
  <c r="BA378" i="1"/>
  <c r="AZ368" i="1"/>
  <c r="AY145" i="1"/>
  <c r="AY348" i="1"/>
  <c r="AZ226" i="1"/>
  <c r="AZ253" i="1"/>
  <c r="AY182" i="1"/>
  <c r="AY340" i="1"/>
  <c r="BA355" i="1"/>
  <c r="AY85" i="1"/>
  <c r="BA359" i="1"/>
  <c r="AY192" i="1"/>
  <c r="AZ377" i="1"/>
  <c r="AY19" i="1"/>
  <c r="AZ153" i="1"/>
  <c r="AY368" i="1"/>
  <c r="AY356" i="1"/>
  <c r="AY268" i="1"/>
  <c r="AY214" i="1"/>
  <c r="BA126" i="1"/>
  <c r="AZ349" i="1"/>
  <c r="BA247" i="1"/>
  <c r="Q455" i="1"/>
  <c r="AZ233" i="1"/>
  <c r="X156" i="1"/>
  <c r="AY140" i="1"/>
  <c r="AY250" i="1"/>
  <c r="X19" i="1"/>
  <c r="BA273" i="1"/>
  <c r="AZ188" i="1"/>
  <c r="AZ360" i="1"/>
  <c r="AY257" i="1"/>
  <c r="M146" i="1"/>
  <c r="B143" i="15" s="1"/>
  <c r="M149" i="1"/>
  <c r="B146" i="15" s="1"/>
  <c r="M151" i="1"/>
  <c r="B148" i="15" s="1"/>
  <c r="M176" i="1"/>
  <c r="B174" i="15" s="1"/>
  <c r="M178" i="1"/>
  <c r="B176" i="15" s="1"/>
  <c r="M181" i="1"/>
  <c r="B179" i="15" s="1"/>
  <c r="M183" i="1"/>
  <c r="B181" i="15" s="1"/>
  <c r="M185" i="1"/>
  <c r="B183" i="15" s="1"/>
  <c r="M190" i="1"/>
  <c r="B188" i="15" s="1"/>
  <c r="M218" i="1"/>
  <c r="B210" i="15" s="1"/>
  <c r="AZ170" i="1"/>
  <c r="X18" i="1"/>
  <c r="S18" i="1" s="1"/>
  <c r="AZ136" i="1"/>
  <c r="AZ348" i="1"/>
  <c r="BA377" i="1"/>
  <c r="AZ236" i="1"/>
  <c r="Q379" i="1"/>
  <c r="AY232" i="1"/>
  <c r="AZ232" i="1"/>
  <c r="Q375" i="1"/>
  <c r="BA184" i="1"/>
  <c r="AZ367" i="1"/>
  <c r="M275" i="1"/>
  <c r="B274" i="15" s="1"/>
  <c r="M342" i="1"/>
  <c r="B301" i="15" s="1"/>
  <c r="M345" i="1"/>
  <c r="B304" i="15" s="1"/>
  <c r="M348" i="1"/>
  <c r="B307" i="15" s="1"/>
  <c r="M425" i="1"/>
  <c r="B371" i="15" s="1"/>
  <c r="BA367" i="1"/>
  <c r="AY206" i="1"/>
  <c r="AZ221" i="1"/>
  <c r="AZ210" i="1"/>
  <c r="AY170" i="1"/>
  <c r="AZ345" i="1"/>
  <c r="BA281" i="1"/>
  <c r="AY205" i="1"/>
  <c r="BA162" i="1"/>
  <c r="AY153" i="1"/>
  <c r="BA284" i="1"/>
  <c r="AZ352" i="1"/>
  <c r="AZ359" i="1"/>
  <c r="AZ132" i="1"/>
  <c r="BA364" i="1"/>
  <c r="AZ340" i="1"/>
  <c r="AY364" i="1"/>
  <c r="BA141" i="1"/>
  <c r="BA206" i="1"/>
  <c r="X365" i="1"/>
  <c r="AY137" i="1"/>
  <c r="BA1216" i="1"/>
  <c r="BB1" i="1" s="1"/>
  <c r="BA19" i="1"/>
  <c r="AY209" i="1"/>
  <c r="AZ184" i="1"/>
  <c r="AZ149" i="1"/>
  <c r="AY178" i="1"/>
  <c r="BA236" i="1"/>
  <c r="AZ265" i="1"/>
  <c r="AZ250" i="1"/>
  <c r="AZ122" i="1"/>
  <c r="AY363" i="1"/>
  <c r="BA181" i="1"/>
  <c r="AZ288" i="1"/>
  <c r="AZ162" i="1"/>
  <c r="X372" i="1"/>
  <c r="X360" i="1"/>
  <c r="BA264" i="1"/>
  <c r="BA226" i="1"/>
  <c r="AZ181" i="1"/>
  <c r="AY120" i="1"/>
  <c r="M137" i="1"/>
  <c r="B134" i="15" s="1"/>
  <c r="M171" i="1"/>
  <c r="B169" i="15" s="1"/>
  <c r="M400" i="1"/>
  <c r="B346" i="15" s="1"/>
  <c r="M420" i="1"/>
  <c r="B366" i="15" s="1"/>
  <c r="M438" i="1"/>
  <c r="B384" i="15" s="1"/>
  <c r="M446" i="1"/>
  <c r="B392" i="15" s="1"/>
  <c r="M449" i="1"/>
  <c r="B395" i="15" s="1"/>
  <c r="M473" i="1"/>
  <c r="B424" i="15" s="1"/>
  <c r="M454" i="1"/>
  <c r="B410" i="15" s="1"/>
  <c r="M452" i="1"/>
  <c r="B408" i="15" s="1"/>
  <c r="M142" i="1"/>
  <c r="B139" i="15" s="1"/>
  <c r="M144" i="1"/>
  <c r="B141" i="15" s="1"/>
  <c r="M147" i="1"/>
  <c r="B144" i="15" s="1"/>
  <c r="M169" i="1"/>
  <c r="B167" i="15" s="1"/>
  <c r="M174" i="1"/>
  <c r="B172" i="15" s="1"/>
  <c r="M179" i="1"/>
  <c r="B177" i="15" s="1"/>
  <c r="M186" i="1"/>
  <c r="B184" i="15" s="1"/>
  <c r="M188" i="1"/>
  <c r="B186" i="15" s="1"/>
  <c r="M193" i="1"/>
  <c r="B191" i="15" s="1"/>
  <c r="M195" i="1"/>
  <c r="B193" i="15" s="1"/>
  <c r="M209" i="1"/>
  <c r="B244" i="15" s="1"/>
  <c r="M214" i="1"/>
  <c r="B206" i="15" s="1"/>
  <c r="M216" i="1"/>
  <c r="B208" i="15" s="1"/>
  <c r="M222" i="1"/>
  <c r="B214" i="15" s="1"/>
  <c r="M249" i="1"/>
  <c r="B248" i="15" s="1"/>
  <c r="M251" i="1"/>
  <c r="B250" i="15" s="1"/>
  <c r="M253" i="1"/>
  <c r="B252" i="15" s="1"/>
  <c r="M255" i="1"/>
  <c r="B254" i="15" s="1"/>
  <c r="M257" i="1"/>
  <c r="B256" i="15" s="1"/>
  <c r="M262" i="1"/>
  <c r="B261" i="15" s="1"/>
  <c r="M264" i="1"/>
  <c r="B263" i="15" s="1"/>
  <c r="M266" i="1"/>
  <c r="B265" i="15" s="1"/>
  <c r="M273" i="1"/>
  <c r="B272" i="15" s="1"/>
  <c r="M340" i="1"/>
  <c r="B299" i="15" s="1"/>
  <c r="M343" i="1"/>
  <c r="B302" i="15" s="1"/>
  <c r="M346" i="1"/>
  <c r="B305" i="15" s="1"/>
  <c r="M353" i="1"/>
  <c r="B312" i="15" s="1"/>
  <c r="M403" i="1"/>
  <c r="B349" i="15" s="1"/>
  <c r="M407" i="1"/>
  <c r="B353" i="15" s="1"/>
  <c r="M411" i="1"/>
  <c r="B357" i="15" s="1"/>
  <c r="M415" i="1"/>
  <c r="B361" i="15" s="1"/>
  <c r="M419" i="1"/>
  <c r="B365" i="15" s="1"/>
  <c r="M423" i="1"/>
  <c r="B369" i="15" s="1"/>
  <c r="M427" i="1"/>
  <c r="B373" i="15" s="1"/>
  <c r="M431" i="1"/>
  <c r="B377" i="15" s="1"/>
  <c r="M441" i="1"/>
  <c r="B387" i="15" s="1"/>
  <c r="M445" i="1"/>
  <c r="B391" i="15" s="1"/>
  <c r="AZ144" i="1"/>
  <c r="M467" i="1"/>
  <c r="B418" i="15" s="1"/>
  <c r="M471" i="1"/>
  <c r="B422" i="15" s="1"/>
  <c r="M475" i="1"/>
  <c r="B426" i="15" s="1"/>
  <c r="AZ134" i="1"/>
  <c r="AY134" i="1"/>
  <c r="M404" i="1"/>
  <c r="B350" i="15" s="1"/>
  <c r="M408" i="1"/>
  <c r="B354" i="15" s="1"/>
  <c r="M412" i="1"/>
  <c r="B358" i="15" s="1"/>
  <c r="M424" i="1"/>
  <c r="B370" i="15" s="1"/>
  <c r="AZ84" i="1"/>
  <c r="M460" i="1"/>
  <c r="B411" i="15" s="1"/>
  <c r="M136" i="1"/>
  <c r="B133" i="15" s="1"/>
  <c r="M143" i="1"/>
  <c r="B140" i="15" s="1"/>
  <c r="M168" i="1"/>
  <c r="B166" i="15" s="1"/>
  <c r="M170" i="1"/>
  <c r="B168" i="15" s="1"/>
  <c r="M173" i="1"/>
  <c r="B171" i="15" s="1"/>
  <c r="M175" i="1"/>
  <c r="B173" i="15" s="1"/>
  <c r="M180" i="1"/>
  <c r="B178" i="15" s="1"/>
  <c r="M187" i="1"/>
  <c r="B185" i="15" s="1"/>
  <c r="M192" i="1"/>
  <c r="B190" i="15" s="1"/>
  <c r="M194" i="1"/>
  <c r="B192" i="15" s="1"/>
  <c r="M208" i="1"/>
  <c r="B243" i="15" s="1"/>
  <c r="M213" i="1"/>
  <c r="B205" i="15" s="1"/>
  <c r="M215" i="1"/>
  <c r="B207" i="15" s="1"/>
  <c r="M223" i="1"/>
  <c r="B215" i="15" s="1"/>
  <c r="M250" i="1"/>
  <c r="B249" i="15" s="1"/>
  <c r="M252" i="1"/>
  <c r="B251" i="15" s="1"/>
  <c r="M254" i="1"/>
  <c r="B253" i="15" s="1"/>
  <c r="M256" i="1"/>
  <c r="B255" i="15" s="1"/>
  <c r="M258" i="1"/>
  <c r="B257" i="15" s="1"/>
  <c r="M263" i="1"/>
  <c r="B262" i="15" s="1"/>
  <c r="M265" i="1"/>
  <c r="B264" i="15" s="1"/>
  <c r="M267" i="1"/>
  <c r="B266" i="15" s="1"/>
  <c r="M274" i="1"/>
  <c r="B273" i="15" s="1"/>
  <c r="M341" i="1"/>
  <c r="B300" i="15" s="1"/>
  <c r="M344" i="1"/>
  <c r="B303" i="15" s="1"/>
  <c r="M347" i="1"/>
  <c r="B306" i="15" s="1"/>
  <c r="M354" i="1"/>
  <c r="B313" i="15" s="1"/>
  <c r="M401" i="1"/>
  <c r="B347" i="15" s="1"/>
  <c r="M405" i="1"/>
  <c r="B351" i="15" s="1"/>
  <c r="M421" i="1"/>
  <c r="B367" i="15" s="1"/>
  <c r="M429" i="1"/>
  <c r="B375" i="15" s="1"/>
  <c r="BA137" i="1"/>
  <c r="BA135" i="1"/>
  <c r="AZ135" i="1"/>
  <c r="AY135" i="1"/>
  <c r="M138" i="1"/>
  <c r="B135" i="15" s="1"/>
  <c r="M140" i="1"/>
  <c r="B137" i="15" s="1"/>
  <c r="M145" i="1"/>
  <c r="B142" i="15" s="1"/>
  <c r="M150" i="1"/>
  <c r="B147" i="15" s="1"/>
  <c r="M172" i="1"/>
  <c r="B170" i="15" s="1"/>
  <c r="M177" i="1"/>
  <c r="B175" i="15" s="1"/>
  <c r="M182" i="1"/>
  <c r="B180" i="15" s="1"/>
  <c r="M184" i="1"/>
  <c r="B182" i="15" s="1"/>
  <c r="M189" i="1"/>
  <c r="B187" i="15" s="1"/>
  <c r="M191" i="1"/>
  <c r="B189" i="15" s="1"/>
  <c r="M196" i="1"/>
  <c r="B194" i="15" s="1"/>
  <c r="M205" i="1"/>
  <c r="B240" i="15" s="1"/>
  <c r="M207" i="1"/>
  <c r="B242" i="15" s="1"/>
  <c r="M210" i="1"/>
  <c r="B245" i="15" s="1"/>
  <c r="M212" i="1"/>
  <c r="B204" i="15" s="1"/>
  <c r="M217" i="1"/>
  <c r="B209" i="15" s="1"/>
  <c r="M219" i="1"/>
  <c r="B211" i="15" s="1"/>
  <c r="M225" i="1"/>
  <c r="B217" i="15" s="1"/>
  <c r="M227" i="1"/>
  <c r="B219" i="15" s="1"/>
  <c r="M229" i="1"/>
  <c r="B221" i="15" s="1"/>
  <c r="M231" i="1"/>
  <c r="B223" i="15" s="1"/>
  <c r="M233" i="1"/>
  <c r="B225" i="15" s="1"/>
  <c r="M247" i="1"/>
  <c r="B246" i="15" s="1"/>
  <c r="M260" i="1"/>
  <c r="B259" i="15" s="1"/>
  <c r="M269" i="1"/>
  <c r="B268" i="15" s="1"/>
  <c r="M271" i="1"/>
  <c r="B270" i="15" s="1"/>
  <c r="M276" i="1"/>
  <c r="B275" i="15" s="1"/>
  <c r="M278" i="1"/>
  <c r="B277" i="15" s="1"/>
  <c r="M280" i="1"/>
  <c r="B279" i="15" s="1"/>
  <c r="M282" i="1"/>
  <c r="B281" i="15" s="1"/>
  <c r="M284" i="1"/>
  <c r="B283" i="15" s="1"/>
  <c r="M286" i="1"/>
  <c r="B285" i="15" s="1"/>
  <c r="M288" i="1"/>
  <c r="B287" i="15" s="1"/>
  <c r="M290" i="1"/>
  <c r="B289" i="15" s="1"/>
  <c r="M349" i="1"/>
  <c r="B308" i="15" s="1"/>
  <c r="M351" i="1"/>
  <c r="B310" i="15" s="1"/>
  <c r="M402" i="1"/>
  <c r="B348" i="15" s="1"/>
  <c r="M406" i="1"/>
  <c r="B352" i="15" s="1"/>
  <c r="M418" i="1"/>
  <c r="B364" i="15" s="1"/>
  <c r="M422" i="1"/>
  <c r="B368" i="15" s="1"/>
  <c r="M426" i="1"/>
  <c r="B372" i="15" s="1"/>
  <c r="M430" i="1"/>
  <c r="B376" i="15" s="1"/>
  <c r="M448" i="1"/>
  <c r="B394" i="15" s="1"/>
  <c r="M451" i="1"/>
  <c r="B397" i="15" s="1"/>
  <c r="M453" i="1"/>
  <c r="B409" i="15" s="1"/>
  <c r="M474" i="1"/>
  <c r="B425" i="15" s="1"/>
  <c r="AZ129" i="1"/>
  <c r="AZ156" i="1"/>
  <c r="AZ124" i="1"/>
  <c r="BA20" i="1"/>
  <c r="BA6" i="1"/>
  <c r="BE1" i="1"/>
  <c r="AZ165" i="1"/>
  <c r="AZ234" i="1"/>
  <c r="Q220" i="1"/>
  <c r="P220" i="1" s="1"/>
  <c r="BA245" i="1"/>
  <c r="BA177" i="1"/>
  <c r="BA143" i="1"/>
  <c r="AZ268" i="1"/>
  <c r="AY188" i="1"/>
  <c r="AY228" i="1"/>
  <c r="AZ203" i="1"/>
  <c r="BA186" i="1"/>
  <c r="AZ171" i="1"/>
  <c r="BA171" i="1"/>
  <c r="BA144" i="1"/>
  <c r="BA122" i="1"/>
  <c r="AY258" i="1"/>
  <c r="AY254" i="1"/>
  <c r="AZ246" i="1"/>
  <c r="BA246" i="1"/>
  <c r="AZ174" i="1"/>
  <c r="AY174" i="1"/>
  <c r="BA167" i="1"/>
  <c r="AZ167" i="1"/>
  <c r="AY156" i="1"/>
  <c r="AY124" i="1"/>
  <c r="AY211" i="1"/>
  <c r="AZ211" i="1"/>
  <c r="AZ267" i="1"/>
  <c r="BA267" i="1"/>
  <c r="AZ220" i="1"/>
  <c r="BA220" i="1"/>
  <c r="AZ187" i="1"/>
  <c r="BA187" i="1"/>
  <c r="AY17" i="1"/>
  <c r="AY112" i="1"/>
  <c r="AZ113" i="1"/>
  <c r="AY126" i="1"/>
  <c r="BA152" i="1"/>
  <c r="AZ271" i="1"/>
  <c r="AZ275" i="1"/>
  <c r="BA276" i="1"/>
  <c r="AY342" i="1"/>
  <c r="BA372" i="1"/>
  <c r="AZ21" i="1"/>
  <c r="AZ204" i="1"/>
  <c r="BA213" i="1"/>
  <c r="BA217" i="1"/>
  <c r="AZ224" i="1"/>
  <c r="BA237" i="1"/>
  <c r="BA275" i="1"/>
  <c r="BA283" i="1"/>
  <c r="AZ342" i="1"/>
  <c r="AZ366" i="1"/>
  <c r="AZ183" i="1"/>
  <c r="BA196" i="1"/>
  <c r="AY198" i="1"/>
  <c r="BA200" i="1"/>
  <c r="AY202" i="1"/>
  <c r="BA204" i="1"/>
  <c r="BA212" i="1"/>
  <c r="AY218" i="1"/>
  <c r="BA224" i="1"/>
  <c r="AZ227" i="1"/>
  <c r="AY230" i="1"/>
  <c r="AZ235" i="1"/>
  <c r="AY238" i="1"/>
  <c r="AZ249" i="1"/>
  <c r="AY380" i="1"/>
  <c r="BA85" i="1"/>
  <c r="AY113" i="1"/>
  <c r="BA125" i="1"/>
  <c r="BA130" i="1"/>
  <c r="AZ152" i="1"/>
  <c r="BA175" i="1"/>
  <c r="AZ178" i="1"/>
  <c r="AZ182" i="1"/>
  <c r="BA183" i="1"/>
  <c r="BA195" i="1"/>
  <c r="AY197" i="1"/>
  <c r="BA199" i="1"/>
  <c r="AY201" i="1"/>
  <c r="AZ202" i="1"/>
  <c r="AY379" i="1"/>
  <c r="AZ380" i="1"/>
  <c r="Q141" i="15" l="1"/>
  <c r="M1060" i="15"/>
  <c r="M920" i="15"/>
  <c r="M1105" i="15"/>
  <c r="M713" i="15"/>
  <c r="M321" i="15"/>
  <c r="M1066" i="15"/>
  <c r="M874" i="15"/>
  <c r="M933" i="15"/>
  <c r="M565" i="15"/>
  <c r="M237" i="15"/>
  <c r="R174" i="15"/>
  <c r="Q231" i="15"/>
  <c r="O301" i="15"/>
  <c r="Q363" i="15"/>
  <c r="Q431" i="15"/>
  <c r="Q236" i="15"/>
  <c r="N399" i="15"/>
  <c r="P576" i="15"/>
  <c r="Q468" i="15"/>
  <c r="N631" i="15"/>
  <c r="M403" i="15"/>
  <c r="N396" i="15"/>
  <c r="N600" i="15"/>
  <c r="O934" i="15"/>
  <c r="Q125" i="15"/>
  <c r="M1020" i="15"/>
  <c r="M872" i="15"/>
  <c r="M1033" i="15"/>
  <c r="M649" i="15"/>
  <c r="N152" i="15"/>
  <c r="M1002" i="15"/>
  <c r="O145" i="15"/>
  <c r="M805" i="15"/>
  <c r="M493" i="15"/>
  <c r="M201" i="15"/>
  <c r="Q187" i="15"/>
  <c r="Q251" i="15"/>
  <c r="N314" i="15"/>
  <c r="O373" i="15"/>
  <c r="N143" i="15"/>
  <c r="R287" i="15"/>
  <c r="R462" i="15"/>
  <c r="Q627" i="15"/>
  <c r="R519" i="15"/>
  <c r="M1115" i="15"/>
  <c r="O179" i="15"/>
  <c r="O208" i="15"/>
  <c r="P591" i="15"/>
  <c r="M1092" i="15"/>
  <c r="M988" i="15"/>
  <c r="M826" i="15"/>
  <c r="M849" i="15"/>
  <c r="M505" i="15"/>
  <c r="M1118" i="15"/>
  <c r="M910" i="15"/>
  <c r="M1117" i="15"/>
  <c r="M733" i="15"/>
  <c r="M365" i="15"/>
  <c r="R158" i="15"/>
  <c r="R210" i="15"/>
  <c r="R270" i="15"/>
  <c r="O341" i="15"/>
  <c r="P396" i="15"/>
  <c r="Q172" i="15"/>
  <c r="R327" i="15"/>
  <c r="O505" i="15"/>
  <c r="Q667" i="15"/>
  <c r="R559" i="15"/>
  <c r="M903" i="15"/>
  <c r="N244" i="15"/>
  <c r="P307" i="15"/>
  <c r="P826" i="15"/>
  <c r="O151" i="15"/>
  <c r="M1088" i="15"/>
  <c r="M952" i="15"/>
  <c r="P124" i="15"/>
  <c r="M833" i="15"/>
  <c r="M449" i="15"/>
  <c r="M1102" i="15"/>
  <c r="M906" i="15"/>
  <c r="M1005" i="15"/>
  <c r="M693" i="15"/>
  <c r="M301" i="15"/>
  <c r="P160" i="15"/>
  <c r="R222" i="15"/>
  <c r="O281" i="15"/>
  <c r="R350" i="15"/>
  <c r="R410" i="15"/>
  <c r="P205" i="15"/>
  <c r="O370" i="15"/>
  <c r="O545" i="15"/>
  <c r="P437" i="15"/>
  <c r="R599" i="15"/>
  <c r="M643" i="15"/>
  <c r="N332" i="15"/>
  <c r="Q453" i="15"/>
  <c r="N1105" i="15"/>
  <c r="N186" i="15"/>
  <c r="R230" i="15"/>
  <c r="O277" i="15"/>
  <c r="O325" i="15"/>
  <c r="P372" i="15"/>
  <c r="P420" i="15"/>
  <c r="N167" i="15"/>
  <c r="O238" i="15"/>
  <c r="Q320" i="15"/>
  <c r="N403" i="15"/>
  <c r="N498" i="15"/>
  <c r="N578" i="15"/>
  <c r="P660" i="15"/>
  <c r="O470" i="15"/>
  <c r="Q552" i="15"/>
  <c r="N635" i="15"/>
  <c r="M951" i="15"/>
  <c r="M383" i="15"/>
  <c r="O231" i="15"/>
  <c r="R408" i="15"/>
  <c r="P303" i="15"/>
  <c r="Q601" i="15"/>
  <c r="N772" i="15"/>
  <c r="M278" i="15"/>
  <c r="R128" i="15"/>
  <c r="M1068" i="15"/>
  <c r="M948" i="15"/>
  <c r="M794" i="15"/>
  <c r="M905" i="15"/>
  <c r="M521" i="15"/>
  <c r="R140" i="15"/>
  <c r="M1006" i="15"/>
  <c r="M866" i="15"/>
  <c r="M989" i="15"/>
  <c r="M605" i="15"/>
  <c r="M309" i="15"/>
  <c r="R154" i="15"/>
  <c r="R198" i="15"/>
  <c r="P248" i="15"/>
  <c r="O293" i="15"/>
  <c r="Q339" i="15"/>
  <c r="O385" i="15"/>
  <c r="O134" i="15"/>
  <c r="P185" i="15"/>
  <c r="R267" i="15"/>
  <c r="R347" i="15"/>
  <c r="R442" i="15"/>
  <c r="O525" i="15"/>
  <c r="Q607" i="15"/>
  <c r="P417" i="15"/>
  <c r="P497" i="15"/>
  <c r="R579" i="15"/>
  <c r="M776" i="15"/>
  <c r="M799" i="15"/>
  <c r="M151" i="15"/>
  <c r="Q293" i="15"/>
  <c r="Q158" i="15"/>
  <c r="Q370" i="15"/>
  <c r="N481" i="15"/>
  <c r="P943" i="15"/>
  <c r="O194" i="15"/>
  <c r="Q276" i="15"/>
  <c r="N359" i="15"/>
  <c r="N454" i="15"/>
  <c r="P536" i="15"/>
  <c r="P616" i="15"/>
  <c r="O426" i="15"/>
  <c r="Q508" i="15"/>
  <c r="N591" i="15"/>
  <c r="N130" i="15"/>
  <c r="M735" i="15"/>
  <c r="R160" i="15"/>
  <c r="R312" i="15"/>
  <c r="N189" i="15"/>
  <c r="O396" i="15"/>
  <c r="N529" i="15"/>
  <c r="O1050" i="15"/>
  <c r="P141" i="15"/>
  <c r="O198" i="15"/>
  <c r="Q280" i="15"/>
  <c r="Q360" i="15"/>
  <c r="Q455" i="15"/>
  <c r="N538" i="15"/>
  <c r="P620" i="15"/>
  <c r="O430" i="15"/>
  <c r="O510" i="15"/>
  <c r="Q592" i="15"/>
  <c r="R126" i="15"/>
  <c r="M703" i="15"/>
  <c r="O167" i="15"/>
  <c r="Q325" i="15"/>
  <c r="P195" i="15"/>
  <c r="R416" i="15"/>
  <c r="Q562" i="15"/>
  <c r="O1086" i="15"/>
  <c r="P180" i="15"/>
  <c r="N206" i="15"/>
  <c r="N230" i="15"/>
  <c r="R250" i="15"/>
  <c r="N274" i="15"/>
  <c r="Q299" i="15"/>
  <c r="O321" i="15"/>
  <c r="O345" i="15"/>
  <c r="R370" i="15"/>
  <c r="P392" i="15"/>
  <c r="R418" i="15"/>
  <c r="R135" i="15"/>
  <c r="P165" i="15"/>
  <c r="P197" i="15"/>
  <c r="P237" i="15"/>
  <c r="P277" i="15"/>
  <c r="R319" i="15"/>
  <c r="R359" i="15"/>
  <c r="O402" i="15"/>
  <c r="R454" i="15"/>
  <c r="R494" i="15"/>
  <c r="O537" i="15"/>
  <c r="O577" i="15"/>
  <c r="Q619" i="15"/>
  <c r="Q659" i="15"/>
  <c r="N427" i="15"/>
  <c r="P469" i="15"/>
  <c r="P509" i="15"/>
  <c r="R551" i="15"/>
  <c r="R591" i="15"/>
  <c r="R631" i="15"/>
  <c r="P128" i="15"/>
  <c r="M955" i="15"/>
  <c r="M707" i="15"/>
  <c r="M387" i="15"/>
  <c r="N164" i="15"/>
  <c r="P230" i="15"/>
  <c r="Q313" i="15"/>
  <c r="N408" i="15"/>
  <c r="R189" i="15"/>
  <c r="Q286" i="15"/>
  <c r="O415" i="15"/>
  <c r="R600" i="15"/>
  <c r="O532" i="15"/>
  <c r="R760" i="15"/>
  <c r="R1083" i="15"/>
  <c r="R943" i="15"/>
  <c r="N140" i="15"/>
  <c r="M1120" i="15"/>
  <c r="M1056" i="15"/>
  <c r="M984" i="15"/>
  <c r="M908" i="15"/>
  <c r="M786" i="15"/>
  <c r="M1025" i="15"/>
  <c r="M825" i="15"/>
  <c r="M625" i="15"/>
  <c r="M401" i="15"/>
  <c r="O131" i="15"/>
  <c r="M1062" i="15"/>
  <c r="M962" i="15"/>
  <c r="M862" i="15"/>
  <c r="M1085" i="15"/>
  <c r="M885" i="15"/>
  <c r="M685" i="15"/>
  <c r="M485" i="15"/>
  <c r="M281" i="15"/>
  <c r="M153" i="15"/>
  <c r="Q167" i="15"/>
  <c r="R190" i="15"/>
  <c r="Q211" i="15"/>
  <c r="O237" i="15"/>
  <c r="O261" i="15"/>
  <c r="R282" i="15"/>
  <c r="P308" i="15"/>
  <c r="P332" i="15"/>
  <c r="O353" i="15"/>
  <c r="P376" i="15"/>
  <c r="N402" i="15"/>
  <c r="R434" i="15"/>
  <c r="N147" i="15"/>
  <c r="O174" i="15"/>
  <c r="Q216" i="15"/>
  <c r="Q256" i="15"/>
  <c r="Q296" i="15"/>
  <c r="N339" i="15"/>
  <c r="N379" i="15"/>
  <c r="P430" i="15"/>
  <c r="N474" i="15"/>
  <c r="N514" i="15"/>
  <c r="P556" i="15"/>
  <c r="P596" i="15"/>
  <c r="R638" i="15"/>
  <c r="R685" i="15"/>
  <c r="O446" i="15"/>
  <c r="Q488" i="15"/>
  <c r="Q528" i="15"/>
  <c r="N571" i="15"/>
  <c r="N611" i="15"/>
  <c r="M832" i="15"/>
  <c r="M1059" i="15"/>
  <c r="M859" i="15"/>
  <c r="M563" i="15"/>
  <c r="M243" i="15"/>
  <c r="R192" i="15"/>
  <c r="O263" i="15"/>
  <c r="Q357" i="15"/>
  <c r="O144" i="15"/>
  <c r="P227" i="15"/>
  <c r="N345" i="15"/>
  <c r="Q493" i="15"/>
  <c r="P675" i="15"/>
  <c r="Q724" i="15"/>
  <c r="Q951" i="15"/>
  <c r="Q1013" i="15"/>
  <c r="R916" i="15"/>
  <c r="M600" i="15"/>
  <c r="Q979" i="15"/>
  <c r="N950" i="15"/>
  <c r="O703" i="15"/>
  <c r="P647" i="15"/>
  <c r="O528" i="15"/>
  <c r="R673" i="15"/>
  <c r="O571" i="15"/>
  <c r="O491" i="15"/>
  <c r="N389" i="15"/>
  <c r="R329" i="15"/>
  <c r="Q278" i="15"/>
  <c r="O224" i="15"/>
  <c r="N177" i="15"/>
  <c r="Q138" i="15"/>
  <c r="O395" i="15"/>
  <c r="Q345" i="15"/>
  <c r="N312" i="15"/>
  <c r="P262" i="15"/>
  <c r="O223" i="15"/>
  <c r="O191" i="15"/>
  <c r="O159" i="15"/>
  <c r="M251" i="15"/>
  <c r="M435" i="15"/>
  <c r="M595" i="15"/>
  <c r="M755" i="15"/>
  <c r="M867" i="15"/>
  <c r="M967" i="15"/>
  <c r="M1079" i="15"/>
  <c r="N138" i="15"/>
  <c r="M840" i="15"/>
  <c r="P629" i="15"/>
  <c r="P609" i="15"/>
  <c r="N587" i="15"/>
  <c r="N567" i="15"/>
  <c r="N547" i="15"/>
  <c r="N527" i="15"/>
  <c r="N507" i="15"/>
  <c r="Q484" i="15"/>
  <c r="Q464" i="15"/>
  <c r="Q444" i="15"/>
  <c r="Q424" i="15"/>
  <c r="Q682" i="15"/>
  <c r="R654" i="15"/>
  <c r="R634" i="15"/>
  <c r="R614" i="15"/>
  <c r="R594" i="15"/>
  <c r="R574" i="15"/>
  <c r="P552" i="15"/>
  <c r="P532" i="15"/>
  <c r="P512" i="15"/>
  <c r="P492" i="15"/>
  <c r="P472" i="15"/>
  <c r="N450" i="15"/>
  <c r="P422" i="15"/>
  <c r="P397" i="15"/>
  <c r="P377" i="15"/>
  <c r="P357" i="15"/>
  <c r="N335" i="15"/>
  <c r="N315" i="15"/>
  <c r="N295" i="15"/>
  <c r="N275" i="15"/>
  <c r="N255" i="15"/>
  <c r="Q232" i="15"/>
  <c r="Q212" i="15"/>
  <c r="Q192" i="15"/>
  <c r="N706" i="15"/>
  <c r="M620" i="15"/>
  <c r="O1030" i="15"/>
  <c r="O861" i="15"/>
  <c r="Q693" i="15"/>
  <c r="O644" i="15"/>
  <c r="N497" i="15"/>
  <c r="O671" i="15"/>
  <c r="Q561" i="15"/>
  <c r="P466" i="15"/>
  <c r="O388" i="15"/>
  <c r="N329" i="15"/>
  <c r="R265" i="15"/>
  <c r="N221" i="15"/>
  <c r="O176" i="15"/>
  <c r="Q126" i="15"/>
  <c r="P394" i="15"/>
  <c r="R344" i="15"/>
  <c r="O295" i="15"/>
  <c r="Q261" i="15"/>
  <c r="O215" i="15"/>
  <c r="O183" i="15"/>
  <c r="M131" i="15"/>
  <c r="M291" i="15"/>
  <c r="M451" i="15"/>
  <c r="M635" i="15"/>
  <c r="M791" i="15"/>
  <c r="M895" i="15"/>
  <c r="M995" i="15"/>
  <c r="M1095" i="15"/>
  <c r="O149" i="15"/>
  <c r="Q646" i="15"/>
  <c r="R623" i="15"/>
  <c r="R603" i="15"/>
  <c r="R583" i="15"/>
  <c r="P561" i="15"/>
  <c r="P541" i="15"/>
  <c r="P521" i="15"/>
  <c r="P501" i="15"/>
  <c r="P481" i="15"/>
  <c r="N459" i="15"/>
  <c r="N439" i="15"/>
  <c r="N419" i="15"/>
  <c r="Q671" i="15"/>
  <c r="Q651" i="15"/>
  <c r="O629" i="15"/>
  <c r="O609" i="15"/>
  <c r="O589" i="15"/>
  <c r="O569" i="15"/>
  <c r="O549" i="15"/>
  <c r="R526" i="15"/>
  <c r="R506" i="15"/>
  <c r="R486" i="15"/>
  <c r="R466" i="15"/>
  <c r="R446" i="15"/>
  <c r="R411" i="15"/>
  <c r="R391" i="15"/>
  <c r="R371" i="15"/>
  <c r="R351" i="15"/>
  <c r="R331" i="15"/>
  <c r="P309" i="15"/>
  <c r="P289" i="15"/>
  <c r="P269" i="15"/>
  <c r="P249" i="15"/>
  <c r="P229" i="15"/>
  <c r="N207" i="15"/>
  <c r="N187" i="15"/>
  <c r="N682" i="15"/>
  <c r="P1125" i="15"/>
  <c r="Q1028" i="15"/>
  <c r="O849" i="15"/>
  <c r="N815" i="15"/>
  <c r="Q642" i="15"/>
  <c r="Q482" i="15"/>
  <c r="R640" i="15"/>
  <c r="P558" i="15"/>
  <c r="Q465" i="15"/>
  <c r="P371" i="15"/>
  <c r="O320" i="15"/>
  <c r="N261" i="15"/>
  <c r="N209" i="15"/>
  <c r="N173" i="15"/>
  <c r="R125" i="15"/>
  <c r="Q377" i="15"/>
  <c r="N344" i="15"/>
  <c r="P294" i="15"/>
  <c r="Q249" i="15"/>
  <c r="N212" i="15"/>
  <c r="N180" i="15"/>
  <c r="M147" i="15"/>
  <c r="M307" i="15"/>
  <c r="M479" i="15"/>
  <c r="M639" i="15"/>
  <c r="M795" i="15"/>
  <c r="M899" i="15"/>
  <c r="M999" i="15"/>
  <c r="M1111" i="15"/>
  <c r="R150" i="15"/>
  <c r="N645" i="15"/>
  <c r="N623" i="15"/>
  <c r="N603" i="15"/>
  <c r="Q580" i="15"/>
  <c r="Q560" i="15"/>
  <c r="Q540" i="15"/>
  <c r="Q520" i="15"/>
  <c r="Q500" i="15"/>
  <c r="O478" i="15"/>
  <c r="O458" i="15"/>
  <c r="O438" i="15"/>
  <c r="O418" i="15"/>
  <c r="R670" i="15"/>
  <c r="P648" i="15"/>
  <c r="P628" i="15"/>
  <c r="P608" i="15"/>
  <c r="P588" i="15"/>
  <c r="P568" i="15"/>
  <c r="N546" i="15"/>
  <c r="N526" i="15"/>
  <c r="N506" i="15"/>
  <c r="N486" i="15"/>
  <c r="N466" i="15"/>
  <c r="Q443" i="15"/>
  <c r="N411" i="15"/>
  <c r="N391" i="15"/>
  <c r="N371" i="15"/>
  <c r="N351" i="15"/>
  <c r="Q328" i="15"/>
  <c r="Q308" i="15"/>
  <c r="Q288" i="15"/>
  <c r="Q268" i="15"/>
  <c r="Q248" i="15"/>
  <c r="O226" i="15"/>
  <c r="O206" i="15"/>
  <c r="O186" i="15"/>
  <c r="O166" i="15"/>
  <c r="O146" i="15"/>
  <c r="P436" i="15"/>
  <c r="P404" i="15"/>
  <c r="P384" i="15"/>
  <c r="P364" i="15"/>
  <c r="P344" i="15"/>
  <c r="N322" i="15"/>
  <c r="N302" i="15"/>
  <c r="N282" i="15"/>
  <c r="N262" i="15"/>
  <c r="N242" i="15"/>
  <c r="Q219" i="15"/>
  <c r="Q199" i="15"/>
  <c r="Q179" i="15"/>
  <c r="Q159" i="15"/>
  <c r="M185" i="15"/>
  <c r="M297" i="15"/>
  <c r="M126" i="15"/>
  <c r="R713" i="15"/>
  <c r="P1103" i="15"/>
  <c r="P923" i="15"/>
  <c r="R784" i="15"/>
  <c r="Q792" i="15"/>
  <c r="O588" i="15"/>
  <c r="R449" i="15"/>
  <c r="N628" i="15"/>
  <c r="O531" i="15"/>
  <c r="P418" i="15"/>
  <c r="R369" i="15"/>
  <c r="O304" i="15"/>
  <c r="N241" i="15"/>
  <c r="N205" i="15"/>
  <c r="R157" i="15"/>
  <c r="P416" i="15"/>
  <c r="N376" i="15"/>
  <c r="P326" i="15"/>
  <c r="Q281" i="15"/>
  <c r="O243" i="15"/>
  <c r="Q209" i="15"/>
  <c r="R172" i="15"/>
  <c r="M183" i="15"/>
  <c r="M343" i="15"/>
  <c r="M503" i="15"/>
  <c r="M663" i="15"/>
  <c r="M823" i="15"/>
  <c r="M923" i="15"/>
  <c r="M1023" i="15"/>
  <c r="M1123" i="15"/>
  <c r="M784" i="15"/>
  <c r="O638" i="15"/>
  <c r="O618" i="15"/>
  <c r="O598" i="15"/>
  <c r="O578" i="15"/>
  <c r="O558" i="15"/>
  <c r="R535" i="15"/>
  <c r="R515" i="15"/>
  <c r="R495" i="15"/>
  <c r="R475" i="15"/>
  <c r="R455" i="15"/>
  <c r="P433" i="15"/>
  <c r="P413" i="15"/>
  <c r="N666" i="15"/>
  <c r="N646" i="15"/>
  <c r="N626" i="15"/>
  <c r="Q603" i="15"/>
  <c r="Q583" i="15"/>
  <c r="Q563" i="15"/>
  <c r="Q543" i="15"/>
  <c r="Q523" i="15"/>
  <c r="O501" i="15"/>
  <c r="O481" i="15"/>
  <c r="O461" i="15"/>
  <c r="O441" i="15"/>
  <c r="Q408" i="15"/>
  <c r="O386" i="15"/>
  <c r="O366" i="15"/>
  <c r="O346" i="15"/>
  <c r="O326" i="15"/>
  <c r="O306" i="15"/>
  <c r="R283" i="15"/>
  <c r="R263" i="15"/>
  <c r="R243" i="15"/>
  <c r="R223" i="15"/>
  <c r="R203" i="15"/>
  <c r="P181" i="15"/>
  <c r="P161" i="15"/>
  <c r="P138" i="15"/>
  <c r="M1116" i="15"/>
  <c r="M1052" i="15"/>
  <c r="M980" i="15"/>
  <c r="M904" i="15"/>
  <c r="M778" i="15"/>
  <c r="M1017" i="15"/>
  <c r="M817" i="15"/>
  <c r="M593" i="15"/>
  <c r="M393" i="15"/>
  <c r="Q129" i="15"/>
  <c r="M1058" i="15"/>
  <c r="M958" i="15"/>
  <c r="M838" i="15"/>
  <c r="M1077" i="15"/>
  <c r="M877" i="15"/>
  <c r="M677" i="15"/>
  <c r="M477" i="15"/>
  <c r="M265" i="15"/>
  <c r="M145" i="15"/>
  <c r="P168" i="15"/>
  <c r="Q191" i="15"/>
  <c r="O217" i="15"/>
  <c r="R238" i="15"/>
  <c r="R262" i="15"/>
  <c r="P288" i="15"/>
  <c r="P312" i="15"/>
  <c r="O333" i="15"/>
  <c r="N354" i="15"/>
  <c r="Q379" i="15"/>
  <c r="Q403" i="15"/>
  <c r="N127" i="15"/>
  <c r="Q152" i="15"/>
  <c r="N175" i="15"/>
  <c r="P217" i="15"/>
  <c r="P257" i="15"/>
  <c r="R299" i="15"/>
  <c r="R339" i="15"/>
  <c r="R379" i="15"/>
  <c r="N432" i="15"/>
  <c r="R474" i="15"/>
  <c r="O517" i="15"/>
  <c r="O557" i="15"/>
  <c r="O597" i="15"/>
  <c r="Q639" i="15"/>
  <c r="P687" i="15"/>
  <c r="P449" i="15"/>
  <c r="P489" i="15"/>
  <c r="P529" i="15"/>
  <c r="R571" i="15"/>
  <c r="R611" i="15"/>
  <c r="M816" i="15"/>
  <c r="M1055" i="15"/>
  <c r="M855" i="15"/>
  <c r="M547" i="15"/>
  <c r="M227" i="15"/>
  <c r="P198" i="15"/>
  <c r="O275" i="15"/>
  <c r="O363" i="15"/>
  <c r="N145" i="15"/>
  <c r="N237" i="15"/>
  <c r="R345" i="15"/>
  <c r="P494" i="15"/>
  <c r="R445" i="15"/>
  <c r="N735" i="15"/>
  <c r="N841" i="15"/>
  <c r="M128" i="15"/>
  <c r="N132" i="15"/>
  <c r="M1100" i="15"/>
  <c r="M1036" i="15"/>
  <c r="M960" i="15"/>
  <c r="M880" i="15"/>
  <c r="R130" i="15"/>
  <c r="M961" i="15"/>
  <c r="M761" i="15"/>
  <c r="M561" i="15"/>
  <c r="M337" i="15"/>
  <c r="M1130" i="15"/>
  <c r="M1030" i="15"/>
  <c r="M930" i="15"/>
  <c r="M806" i="15"/>
  <c r="M1021" i="15"/>
  <c r="M821" i="15"/>
  <c r="M621" i="15"/>
  <c r="M421" i="15"/>
  <c r="M245" i="15"/>
  <c r="M141" i="15"/>
  <c r="Q171" i="15"/>
  <c r="O197" i="15"/>
  <c r="R218" i="15"/>
  <c r="R242" i="15"/>
  <c r="P268" i="15"/>
  <c r="N290" i="15"/>
  <c r="O313" i="15"/>
  <c r="N334" i="15"/>
  <c r="Q359" i="15"/>
  <c r="Q383" i="15"/>
  <c r="O405" i="15"/>
  <c r="O130" i="15"/>
  <c r="O154" i="15"/>
  <c r="O178" i="15"/>
  <c r="O218" i="15"/>
  <c r="O258" i="15"/>
  <c r="Q300" i="15"/>
  <c r="Q340" i="15"/>
  <c r="N383" i="15"/>
  <c r="Q433" i="15"/>
  <c r="Q475" i="15"/>
  <c r="N518" i="15"/>
  <c r="N558" i="15"/>
  <c r="P600" i="15"/>
  <c r="P640" i="15"/>
  <c r="N689" i="15"/>
  <c r="O450" i="15"/>
  <c r="O490" i="15"/>
  <c r="Q532" i="15"/>
  <c r="Q572" i="15"/>
  <c r="Q612" i="15"/>
  <c r="M812" i="15"/>
  <c r="M1051" i="15"/>
  <c r="M839" i="15"/>
  <c r="M543" i="15"/>
  <c r="M223" i="15"/>
  <c r="O199" i="15"/>
  <c r="R280" i="15"/>
  <c r="N364" i="15"/>
  <c r="N157" i="15"/>
  <c r="O240" i="15"/>
  <c r="Q350" i="15"/>
  <c r="P530" i="15"/>
  <c r="N449" i="15"/>
  <c r="N743" i="15"/>
  <c r="N909" i="15"/>
  <c r="O642" i="15"/>
  <c r="Q241" i="15"/>
  <c r="O255" i="15"/>
  <c r="Q273" i="15"/>
  <c r="N292" i="15"/>
  <c r="Q305" i="15"/>
  <c r="N324" i="15"/>
  <c r="Q337" i="15"/>
  <c r="N356" i="15"/>
  <c r="N372" i="15"/>
  <c r="N388" i="15"/>
  <c r="N404" i="15"/>
  <c r="Q427" i="15"/>
  <c r="Q134" i="15"/>
  <c r="N153" i="15"/>
  <c r="Q166" i="15"/>
  <c r="N185" i="15"/>
  <c r="Q198" i="15"/>
  <c r="N217" i="15"/>
  <c r="P235" i="15"/>
  <c r="O252" i="15"/>
  <c r="P275" i="15"/>
  <c r="R293" i="15"/>
  <c r="Q318" i="15"/>
  <c r="P343" i="15"/>
  <c r="R361" i="15"/>
  <c r="Q386" i="15"/>
  <c r="P403" i="15"/>
  <c r="N448" i="15"/>
  <c r="O487" i="15"/>
  <c r="Q517" i="15"/>
  <c r="R556" i="15"/>
  <c r="O587" i="15"/>
  <c r="P622" i="15"/>
  <c r="N660" i="15"/>
  <c r="R429" i="15"/>
  <c r="R469" i="15"/>
  <c r="R509" i="15"/>
  <c r="O552" i="15"/>
  <c r="P623" i="15"/>
  <c r="N699" i="15"/>
  <c r="N775" i="15"/>
  <c r="N827" i="15"/>
  <c r="O743" i="15"/>
  <c r="R816" i="15"/>
  <c r="P912" i="15"/>
  <c r="O892" i="15"/>
  <c r="R991" i="15"/>
  <c r="R1030" i="15"/>
  <c r="O1087" i="15"/>
  <c r="Q1139" i="15"/>
  <c r="M216" i="15"/>
  <c r="R769" i="15"/>
  <c r="P898" i="15"/>
  <c r="M766" i="15"/>
  <c r="O143" i="15"/>
  <c r="P130" i="15"/>
  <c r="M1128" i="15"/>
  <c r="M1096" i="15"/>
  <c r="M1064" i="15"/>
  <c r="M1032" i="15"/>
  <c r="M992" i="15"/>
  <c r="M956" i="15"/>
  <c r="M916" i="15"/>
  <c r="M876" i="15"/>
  <c r="M810" i="15"/>
  <c r="Q127" i="15"/>
  <c r="M1041" i="15"/>
  <c r="M953" i="15"/>
  <c r="M841" i="15"/>
  <c r="M753" i="15"/>
  <c r="M641" i="15"/>
  <c r="M529" i="15"/>
  <c r="M441" i="15"/>
  <c r="M329" i="15"/>
  <c r="O139" i="15"/>
  <c r="M1126" i="15"/>
  <c r="M1070" i="15"/>
  <c r="M1026" i="15"/>
  <c r="M970" i="15"/>
  <c r="M926" i="15"/>
  <c r="M870" i="15"/>
  <c r="Q151" i="15"/>
  <c r="M1125" i="15"/>
  <c r="M1013" i="15"/>
  <c r="M925" i="15"/>
  <c r="M813" i="15"/>
  <c r="M701" i="15"/>
  <c r="M613" i="15"/>
  <c r="M501" i="15"/>
  <c r="M413" i="15"/>
  <c r="M305" i="15"/>
  <c r="M249" i="15"/>
  <c r="M205" i="15"/>
  <c r="M149" i="15"/>
  <c r="Q155" i="15"/>
  <c r="R166" i="15"/>
  <c r="N178" i="15"/>
  <c r="R186" i="15"/>
  <c r="N198" i="15"/>
  <c r="R206" i="15"/>
  <c r="N218" i="15"/>
  <c r="O229" i="15"/>
  <c r="N238" i="15"/>
  <c r="O249" i="15"/>
  <c r="N258" i="15"/>
  <c r="O269" i="15"/>
  <c r="P280" i="15"/>
  <c r="O289" i="15"/>
  <c r="P300" i="15"/>
  <c r="O309" i="15"/>
  <c r="P320" i="15"/>
  <c r="Q331" i="15"/>
  <c r="P340" i="15"/>
  <c r="Q351" i="15"/>
  <c r="P360" i="15"/>
  <c r="Q371" i="15"/>
  <c r="R382" i="15"/>
  <c r="Q391" i="15"/>
  <c r="R402" i="15"/>
  <c r="Q411" i="15"/>
  <c r="O433" i="15"/>
  <c r="P133" i="15"/>
  <c r="O142" i="15"/>
  <c r="P153" i="15"/>
  <c r="O162" i="15"/>
  <c r="P173" i="15"/>
  <c r="Q184" i="15"/>
  <c r="P193" i="15"/>
  <c r="Q204" i="15"/>
  <c r="P213" i="15"/>
  <c r="Q224" i="15"/>
  <c r="R235" i="15"/>
  <c r="Q244" i="15"/>
  <c r="R255" i="15"/>
  <c r="Q264" i="15"/>
  <c r="R275" i="15"/>
  <c r="N287" i="15"/>
  <c r="R295" i="15"/>
  <c r="N307" i="15"/>
  <c r="R315" i="15"/>
  <c r="N327" i="15"/>
  <c r="O338" i="15"/>
  <c r="N347" i="15"/>
  <c r="O358" i="15"/>
  <c r="N367" i="15"/>
  <c r="O378" i="15"/>
  <c r="P389" i="15"/>
  <c r="O398" i="15"/>
  <c r="P409" i="15"/>
  <c r="N424" i="15"/>
  <c r="N442" i="15"/>
  <c r="O453" i="15"/>
  <c r="N462" i="15"/>
  <c r="O473" i="15"/>
  <c r="N482" i="15"/>
  <c r="O493" i="15"/>
  <c r="P504" i="15"/>
  <c r="O513" i="15"/>
  <c r="P524" i="15"/>
  <c r="O533" i="15"/>
  <c r="P544" i="15"/>
  <c r="Q555" i="15"/>
  <c r="P564" i="15"/>
  <c r="Q575" i="15"/>
  <c r="P584" i="15"/>
  <c r="Q595" i="15"/>
  <c r="R606" i="15"/>
  <c r="Q615" i="15"/>
  <c r="R626" i="15"/>
  <c r="Q635" i="15"/>
  <c r="R646" i="15"/>
  <c r="N658" i="15"/>
  <c r="R666" i="15"/>
  <c r="O684" i="15"/>
  <c r="O414" i="15"/>
  <c r="P425" i="15"/>
  <c r="Q436" i="15"/>
  <c r="P445" i="15"/>
  <c r="Q456" i="15"/>
  <c r="P465" i="15"/>
  <c r="Q476" i="15"/>
  <c r="R487" i="15"/>
  <c r="Q496" i="15"/>
  <c r="R507" i="15"/>
  <c r="Q516" i="15"/>
  <c r="R527" i="15"/>
  <c r="N539" i="15"/>
  <c r="R547" i="15"/>
  <c r="N559" i="15"/>
  <c r="R567" i="15"/>
  <c r="N579" i="15"/>
  <c r="O590" i="15"/>
  <c r="N599" i="15"/>
  <c r="O610" i="15"/>
  <c r="N619" i="15"/>
  <c r="O630" i="15"/>
  <c r="R641" i="15"/>
  <c r="M836" i="15"/>
  <c r="M780" i="15"/>
  <c r="P136" i="15"/>
  <c r="M1119" i="15"/>
  <c r="M1063" i="15"/>
  <c r="M1019" i="15"/>
  <c r="M963" i="15"/>
  <c r="M919" i="15"/>
  <c r="M863" i="15"/>
  <c r="M803" i="15"/>
  <c r="M739" i="15"/>
  <c r="M659" i="15"/>
  <c r="M579" i="15"/>
  <c r="M499" i="15"/>
  <c r="M407" i="15"/>
  <c r="M339" i="15"/>
  <c r="M247" i="15"/>
  <c r="M179" i="15"/>
  <c r="N160" i="15"/>
  <c r="P178" i="15"/>
  <c r="N192" i="15"/>
  <c r="P210" i="15"/>
  <c r="N224" i="15"/>
  <c r="P242" i="15"/>
  <c r="R260" i="15"/>
  <c r="P274" i="15"/>
  <c r="R292" i="15"/>
  <c r="P306" i="15"/>
  <c r="R324" i="15"/>
  <c r="O343" i="15"/>
  <c r="R356" i="15"/>
  <c r="O375" i="15"/>
  <c r="R388" i="15"/>
  <c r="O407" i="15"/>
  <c r="N434" i="15"/>
  <c r="R137" i="15"/>
  <c r="R153" i="15"/>
  <c r="R169" i="15"/>
  <c r="R185" i="15"/>
  <c r="O204" i="15"/>
  <c r="R217" i="15"/>
  <c r="O236" i="15"/>
  <c r="N253" i="15"/>
  <c r="R277" i="15"/>
  <c r="N301" i="15"/>
  <c r="P319" i="15"/>
  <c r="O344" i="15"/>
  <c r="Q362" i="15"/>
  <c r="P387" i="15"/>
  <c r="Q413" i="15"/>
  <c r="R448" i="15"/>
  <c r="N488" i="15"/>
  <c r="P518" i="15"/>
  <c r="Q557" i="15"/>
  <c r="R596" i="15"/>
  <c r="O627" i="15"/>
  <c r="P670" i="15"/>
  <c r="P431" i="15"/>
  <c r="R477" i="15"/>
  <c r="O520" i="15"/>
  <c r="N561" i="15"/>
  <c r="N629" i="15"/>
  <c r="R711" i="15"/>
  <c r="R775" i="15"/>
  <c r="Q689" i="15"/>
  <c r="R744" i="15"/>
  <c r="Q817" i="15"/>
  <c r="O913" i="15"/>
  <c r="O896" i="15"/>
  <c r="Q1024" i="15"/>
  <c r="O1033" i="15"/>
  <c r="R1088" i="15"/>
  <c r="Q1143" i="15"/>
  <c r="M208" i="15"/>
  <c r="O677" i="15"/>
  <c r="O899" i="15"/>
  <c r="M318" i="15"/>
  <c r="R136" i="15"/>
  <c r="M1112" i="15"/>
  <c r="M1048" i="15"/>
  <c r="M976" i="15"/>
  <c r="N150" i="15"/>
  <c r="M1009" i="15"/>
  <c r="M785" i="15"/>
  <c r="M585" i="15"/>
  <c r="M385" i="15"/>
  <c r="N128" i="15"/>
  <c r="M1054" i="15"/>
  <c r="M942" i="15"/>
  <c r="R138" i="15"/>
  <c r="M957" i="15"/>
  <c r="M757" i="15"/>
  <c r="M557" i="15"/>
  <c r="M357" i="15"/>
  <c r="M233" i="15"/>
  <c r="P152" i="15"/>
  <c r="P172" i="15"/>
  <c r="P192" i="15"/>
  <c r="P212" i="15"/>
  <c r="P232" i="15"/>
  <c r="R254" i="15"/>
  <c r="R274" i="15"/>
  <c r="R294" i="15"/>
  <c r="R314" i="15"/>
  <c r="R334" i="15"/>
  <c r="O357" i="15"/>
  <c r="O377" i="15"/>
  <c r="O397" i="15"/>
  <c r="N422" i="15"/>
  <c r="Q136" i="15"/>
  <c r="N159" i="15"/>
  <c r="N179" i="15"/>
  <c r="N199" i="15"/>
  <c r="N219" i="15"/>
  <c r="N239" i="15"/>
  <c r="P261" i="15"/>
  <c r="P281" i="15"/>
  <c r="P301" i="15"/>
  <c r="P321" i="15"/>
  <c r="P341" i="15"/>
  <c r="R363" i="15"/>
  <c r="R383" i="15"/>
  <c r="R403" i="15"/>
  <c r="O435" i="15"/>
  <c r="Q467" i="15"/>
  <c r="Q487" i="15"/>
  <c r="Q507" i="15"/>
  <c r="N530" i="15"/>
  <c r="R538" i="15"/>
  <c r="R558" i="15"/>
  <c r="O581" i="15"/>
  <c r="N610" i="15"/>
  <c r="P632" i="15"/>
  <c r="P652" i="15"/>
  <c r="N673" i="15"/>
  <c r="R419" i="15"/>
  <c r="R439" i="15"/>
  <c r="O462" i="15"/>
  <c r="O482" i="15"/>
  <c r="O502" i="15"/>
  <c r="O522" i="15"/>
  <c r="O542" i="15"/>
  <c r="Q564" i="15"/>
  <c r="Q584" i="15"/>
  <c r="Q604" i="15"/>
  <c r="Q624" i="15"/>
  <c r="O648" i="15"/>
  <c r="R142" i="15"/>
  <c r="M1091" i="15"/>
  <c r="M991" i="15"/>
  <c r="M891" i="15"/>
  <c r="M787" i="15"/>
  <c r="M607" i="15"/>
  <c r="M447" i="15"/>
  <c r="M287" i="15"/>
  <c r="M127" i="15"/>
  <c r="N184" i="15"/>
  <c r="P218" i="15"/>
  <c r="P250" i="15"/>
  <c r="P282" i="15"/>
  <c r="P314" i="15"/>
  <c r="P346" i="15"/>
  <c r="O383" i="15"/>
  <c r="N418" i="15"/>
  <c r="R145" i="15"/>
  <c r="R177" i="15"/>
  <c r="R209" i="15"/>
  <c r="O248" i="15"/>
  <c r="P291" i="15"/>
  <c r="N333" i="15"/>
  <c r="O376" i="15"/>
  <c r="O431" i="15"/>
  <c r="P506" i="15"/>
  <c r="N576" i="15"/>
  <c r="Q641" i="15"/>
  <c r="P451" i="15"/>
  <c r="R533" i="15"/>
  <c r="N679" i="15"/>
  <c r="Q816" i="15"/>
  <c r="Q785" i="15"/>
  <c r="N845" i="15"/>
  <c r="N982" i="15"/>
  <c r="R1106" i="15"/>
  <c r="M464" i="15"/>
  <c r="P949" i="15"/>
  <c r="N148" i="15"/>
  <c r="O135" i="15"/>
  <c r="M1140" i="15"/>
  <c r="M1108" i="15"/>
  <c r="M1076" i="15"/>
  <c r="M1044" i="15"/>
  <c r="M1008" i="15"/>
  <c r="M972" i="15"/>
  <c r="M936" i="15"/>
  <c r="M888" i="15"/>
  <c r="M842" i="15"/>
  <c r="R146" i="15"/>
  <c r="M1089" i="15"/>
  <c r="M977" i="15"/>
  <c r="M889" i="15"/>
  <c r="M777" i="15"/>
  <c r="M689" i="15"/>
  <c r="M577" i="15"/>
  <c r="M465" i="15"/>
  <c r="M377" i="15"/>
  <c r="N144" i="15"/>
  <c r="P126" i="15"/>
  <c r="M1094" i="15"/>
  <c r="M1038" i="15"/>
  <c r="M994" i="15"/>
  <c r="M938" i="15"/>
  <c r="M894" i="15"/>
  <c r="M822" i="15"/>
  <c r="N126" i="15"/>
  <c r="M1061" i="15"/>
  <c r="M949" i="15"/>
  <c r="M861" i="15"/>
  <c r="M749" i="15"/>
  <c r="M637" i="15"/>
  <c r="M549" i="15"/>
  <c r="M437" i="15"/>
  <c r="M349" i="15"/>
  <c r="M273" i="15"/>
  <c r="M217" i="15"/>
  <c r="M173" i="15"/>
  <c r="O153" i="15"/>
  <c r="N162" i="15"/>
  <c r="O173" i="15"/>
  <c r="P184" i="15"/>
  <c r="O193" i="15"/>
  <c r="P204" i="15"/>
  <c r="O213" i="15"/>
  <c r="P224" i="15"/>
  <c r="Q235" i="15"/>
  <c r="P244" i="15"/>
  <c r="Q255" i="15"/>
  <c r="P264" i="15"/>
  <c r="Q275" i="15"/>
  <c r="R286" i="15"/>
  <c r="Q295" i="15"/>
  <c r="R306" i="15"/>
  <c r="Q315" i="15"/>
  <c r="R326" i="15"/>
  <c r="N338" i="15"/>
  <c r="R346" i="15"/>
  <c r="N358" i="15"/>
  <c r="R366" i="15"/>
  <c r="N378" i="15"/>
  <c r="O389" i="15"/>
  <c r="N398" i="15"/>
  <c r="O409" i="15"/>
  <c r="Q423" i="15"/>
  <c r="Q128" i="15"/>
  <c r="R139" i="15"/>
  <c r="Q148" i="15"/>
  <c r="R159" i="15"/>
  <c r="Q168" i="15"/>
  <c r="R179" i="15"/>
  <c r="N191" i="15"/>
  <c r="R199" i="15"/>
  <c r="N211" i="15"/>
  <c r="R219" i="15"/>
  <c r="N231" i="15"/>
  <c r="O242" i="15"/>
  <c r="N251" i="15"/>
  <c r="O262" i="15"/>
  <c r="N271" i="15"/>
  <c r="O282" i="15"/>
  <c r="P293" i="15"/>
  <c r="O302" i="15"/>
  <c r="P313" i="15"/>
  <c r="O322" i="15"/>
  <c r="P333" i="15"/>
  <c r="Q344" i="15"/>
  <c r="P353" i="15"/>
  <c r="Q364" i="15"/>
  <c r="P373" i="15"/>
  <c r="Q384" i="15"/>
  <c r="R395" i="15"/>
  <c r="Q404" i="15"/>
  <c r="O419" i="15"/>
  <c r="R436" i="15"/>
  <c r="P448" i="15"/>
  <c r="Q459" i="15"/>
  <c r="P468" i="15"/>
  <c r="Q479" i="15"/>
  <c r="P488" i="15"/>
  <c r="Q499" i="15"/>
  <c r="R510" i="15"/>
  <c r="Q519" i="15"/>
  <c r="R530" i="15"/>
  <c r="Q539" i="15"/>
  <c r="R550" i="15"/>
  <c r="N562" i="15"/>
  <c r="R570" i="15"/>
  <c r="N582" i="15"/>
  <c r="R590" i="15"/>
  <c r="N602" i="15"/>
  <c r="O613" i="15"/>
  <c r="N622" i="15"/>
  <c r="O633" i="15"/>
  <c r="N642" i="15"/>
  <c r="O653" i="15"/>
  <c r="P664" i="15"/>
  <c r="Q674" i="15"/>
  <c r="N697" i="15"/>
  <c r="Q420" i="15"/>
  <c r="R431" i="15"/>
  <c r="N443" i="15"/>
  <c r="R451" i="15"/>
  <c r="N463" i="15"/>
  <c r="R471" i="15"/>
  <c r="N483" i="15"/>
  <c r="O494" i="15"/>
  <c r="N503" i="15"/>
  <c r="O514" i="15"/>
  <c r="N523" i="15"/>
  <c r="O534" i="15"/>
  <c r="P545" i="15"/>
  <c r="O554" i="15"/>
  <c r="P565" i="15"/>
  <c r="O574" i="15"/>
  <c r="P585" i="15"/>
  <c r="Q596" i="15"/>
  <c r="P605" i="15"/>
  <c r="Q616" i="15"/>
  <c r="P625" i="15"/>
  <c r="Q636" i="15"/>
  <c r="M848" i="15"/>
  <c r="M804" i="15"/>
  <c r="O141" i="15"/>
  <c r="M1143" i="15"/>
  <c r="M1087" i="15"/>
  <c r="M1031" i="15"/>
  <c r="M987" i="15"/>
  <c r="M931" i="15"/>
  <c r="M887" i="15"/>
  <c r="M831" i="15"/>
  <c r="M763" i="15"/>
  <c r="M695" i="15"/>
  <c r="M603" i="15"/>
  <c r="M535" i="15"/>
  <c r="M443" i="15"/>
  <c r="M351" i="15"/>
  <c r="M283" i="15"/>
  <c r="M191" i="15"/>
  <c r="R152" i="15"/>
  <c r="O171" i="15"/>
  <c r="Q189" i="15"/>
  <c r="O203" i="15"/>
  <c r="Q221" i="15"/>
  <c r="O235" i="15"/>
  <c r="Q253" i="15"/>
  <c r="Q269" i="15"/>
  <c r="Q285" i="15"/>
  <c r="Q301" i="15"/>
  <c r="Q317" i="15"/>
  <c r="Q333" i="15"/>
  <c r="N352" i="15"/>
  <c r="Q365" i="15"/>
  <c r="N384" i="15"/>
  <c r="Q397" i="15"/>
  <c r="Q419" i="15"/>
  <c r="N133" i="15"/>
  <c r="Q146" i="15"/>
  <c r="N165" i="15"/>
  <c r="Q178" i="15"/>
  <c r="N197" i="15"/>
  <c r="P215" i="15"/>
  <c r="N229" i="15"/>
  <c r="N249" i="15"/>
  <c r="P267" i="15"/>
  <c r="O292" i="15"/>
  <c r="N317" i="15"/>
  <c r="P335" i="15"/>
  <c r="Q358" i="15"/>
  <c r="N377" i="15"/>
  <c r="R401" i="15"/>
  <c r="N440" i="15"/>
  <c r="P474" i="15"/>
  <c r="O507" i="15"/>
  <c r="P542" i="15"/>
  <c r="R576" i="15"/>
  <c r="N616" i="15"/>
  <c r="R644" i="15"/>
  <c r="Q418" i="15"/>
  <c r="O452" i="15"/>
  <c r="N501" i="15"/>
  <c r="O548" i="15"/>
  <c r="R597" i="15"/>
  <c r="N687" i="15"/>
  <c r="Q744" i="15"/>
  <c r="Q824" i="15"/>
  <c r="P734" i="15"/>
  <c r="R792" i="15"/>
  <c r="R898" i="15"/>
  <c r="R857" i="15"/>
  <c r="P977" i="15"/>
  <c r="P1020" i="15"/>
  <c r="R1048" i="15"/>
  <c r="R1126" i="15"/>
  <c r="M436" i="15"/>
  <c r="Q758" i="15"/>
  <c r="N806" i="15"/>
  <c r="M138" i="15"/>
  <c r="M170" i="15"/>
  <c r="M202" i="15"/>
  <c r="M234" i="15"/>
  <c r="M266" i="15"/>
  <c r="M298" i="15"/>
  <c r="M330" i="15"/>
  <c r="M362" i="15"/>
  <c r="M394" i="15"/>
  <c r="M426" i="15"/>
  <c r="M458" i="15"/>
  <c r="M490" i="15"/>
  <c r="M522" i="15"/>
  <c r="M554" i="15"/>
  <c r="M586" i="15"/>
  <c r="M618" i="15"/>
  <c r="M650" i="15"/>
  <c r="M682" i="15"/>
  <c r="M714" i="15"/>
  <c r="M746" i="15"/>
  <c r="Q1142" i="15"/>
  <c r="N1140" i="15"/>
  <c r="Q1133" i="15"/>
  <c r="O1127" i="15"/>
  <c r="R1120" i="15"/>
  <c r="P1114" i="15"/>
  <c r="N1108" i="15"/>
  <c r="Q1101" i="15"/>
  <c r="Q1138" i="15"/>
  <c r="O1132" i="15"/>
  <c r="R1125" i="15"/>
  <c r="P1119" i="15"/>
  <c r="N1113" i="15"/>
  <c r="Q1106" i="15"/>
  <c r="Q1095" i="15"/>
  <c r="O1089" i="15"/>
  <c r="R1082" i="15"/>
  <c r="P1076" i="15"/>
  <c r="N1070" i="15"/>
  <c r="Q1063" i="15"/>
  <c r="O1057" i="15"/>
  <c r="R1050" i="15"/>
  <c r="P1044" i="15"/>
  <c r="N1038" i="15"/>
  <c r="O1102" i="15"/>
  <c r="N1093" i="15"/>
  <c r="Q1086" i="15"/>
  <c r="O1080" i="15"/>
  <c r="R1073" i="15"/>
  <c r="P1067" i="15"/>
  <c r="N1061" i="15"/>
  <c r="Q1054" i="15"/>
  <c r="O1048" i="15"/>
  <c r="R1041" i="15"/>
  <c r="O1031" i="15"/>
  <c r="R1024" i="15"/>
  <c r="P1018" i="15"/>
  <c r="N1012" i="15"/>
  <c r="Q1005" i="15"/>
  <c r="O999" i="15"/>
  <c r="R992" i="15"/>
  <c r="P986" i="15"/>
  <c r="N980" i="15"/>
  <c r="Q973" i="15"/>
  <c r="M142" i="15"/>
  <c r="M174" i="15"/>
  <c r="M206" i="15"/>
  <c r="M238" i="15"/>
  <c r="M270" i="15"/>
  <c r="M302" i="15"/>
  <c r="M334" i="15"/>
  <c r="M366" i="15"/>
  <c r="M398" i="15"/>
  <c r="M430" i="15"/>
  <c r="M462" i="15"/>
  <c r="M494" i="15"/>
  <c r="M526" i="15"/>
  <c r="M558" i="15"/>
  <c r="M590" i="15"/>
  <c r="M622" i="15"/>
  <c r="M654" i="15"/>
  <c r="M686" i="15"/>
  <c r="M718" i="15"/>
  <c r="M750" i="15"/>
  <c r="R1141" i="15"/>
  <c r="O1139" i="15"/>
  <c r="R1132" i="15"/>
  <c r="P1126" i="15"/>
  <c r="N1120" i="15"/>
  <c r="Q1113" i="15"/>
  <c r="O1107" i="15"/>
  <c r="R1100" i="15"/>
  <c r="R1137" i="15"/>
  <c r="P1131" i="15"/>
  <c r="N1125" i="15"/>
  <c r="Q1118" i="15"/>
  <c r="O1112" i="15"/>
  <c r="R1105" i="15"/>
  <c r="R1094" i="15"/>
  <c r="P1088" i="15"/>
  <c r="N1082" i="15"/>
  <c r="Q1075" i="15"/>
  <c r="O1069" i="15"/>
  <c r="R1062" i="15"/>
  <c r="P1056" i="15"/>
  <c r="N1050" i="15"/>
  <c r="Q1043" i="15"/>
  <c r="O1037" i="15"/>
  <c r="Q1100" i="15"/>
  <c r="O1092" i="15"/>
  <c r="R1085" i="15"/>
  <c r="P1079" i="15"/>
  <c r="N1073" i="15"/>
  <c r="Q1066" i="15"/>
  <c r="O1060" i="15"/>
  <c r="R1053" i="15"/>
  <c r="P1047" i="15"/>
  <c r="O1040" i="15"/>
  <c r="P1030" i="15"/>
  <c r="N1024" i="15"/>
  <c r="Q1017" i="15"/>
  <c r="O1011" i="15"/>
  <c r="R1004" i="15"/>
  <c r="P998" i="15"/>
  <c r="N992" i="15"/>
  <c r="Q985" i="15"/>
  <c r="O979" i="15"/>
  <c r="R972" i="15"/>
  <c r="P966" i="15"/>
  <c r="Q1040" i="15"/>
  <c r="M146" i="15"/>
  <c r="M178" i="15"/>
  <c r="M210" i="15"/>
  <c r="M242" i="15"/>
  <c r="M274" i="15"/>
  <c r="M306" i="15"/>
  <c r="M338" i="15"/>
  <c r="M370" i="15"/>
  <c r="M402" i="15"/>
  <c r="M434" i="15"/>
  <c r="M466" i="15"/>
  <c r="M498" i="15"/>
  <c r="M530" i="15"/>
  <c r="M562" i="15"/>
  <c r="M594" i="15"/>
  <c r="M626" i="15"/>
  <c r="M658" i="15"/>
  <c r="M690" i="15"/>
  <c r="M722" i="15"/>
  <c r="M754" i="15"/>
  <c r="N1141" i="15"/>
  <c r="P1138" i="15"/>
  <c r="N1132" i="15"/>
  <c r="Q1125" i="15"/>
  <c r="O1119" i="15"/>
  <c r="R1112" i="15"/>
  <c r="P1106" i="15"/>
  <c r="N1100" i="15"/>
  <c r="N1137" i="15"/>
  <c r="Q1130" i="15"/>
  <c r="O1124" i="15"/>
  <c r="R1117" i="15"/>
  <c r="P1111" i="15"/>
  <c r="O1104" i="15"/>
  <c r="N1094" i="15"/>
  <c r="Q1087" i="15"/>
  <c r="O1081" i="15"/>
  <c r="R1074" i="15"/>
  <c r="P1068" i="15"/>
  <c r="N1062" i="15"/>
  <c r="Q1055" i="15"/>
  <c r="O1049" i="15"/>
  <c r="R1042" i="15"/>
  <c r="P1036" i="15"/>
  <c r="N1099" i="15"/>
  <c r="P1091" i="15"/>
  <c r="N1085" i="15"/>
  <c r="Q1078" i="15"/>
  <c r="O1072" i="15"/>
  <c r="R1065" i="15"/>
  <c r="P1059" i="15"/>
  <c r="N1053" i="15"/>
  <c r="Q1046" i="15"/>
  <c r="Q1038" i="15"/>
  <c r="Q1029" i="15"/>
  <c r="O1023" i="15"/>
  <c r="R1016" i="15"/>
  <c r="P1010" i="15"/>
  <c r="N1004" i="15"/>
  <c r="Q997" i="15"/>
  <c r="O991" i="15"/>
  <c r="R984" i="15"/>
  <c r="P978" i="15"/>
  <c r="N972" i="15"/>
  <c r="Q965" i="15"/>
  <c r="N1039" i="15"/>
  <c r="R1029" i="15"/>
  <c r="P1023" i="15"/>
  <c r="N1017" i="15"/>
  <c r="Q1010" i="15"/>
  <c r="O1004" i="15"/>
  <c r="R997" i="15"/>
  <c r="P991" i="15"/>
  <c r="N985" i="15"/>
  <c r="Q978" i="15"/>
  <c r="O972" i="15"/>
  <c r="O962" i="15"/>
  <c r="N955" i="15"/>
  <c r="Q948" i="15"/>
  <c r="O942" i="15"/>
  <c r="R935" i="15"/>
  <c r="P929" i="15"/>
  <c r="N923" i="15"/>
  <c r="Q916" i="15"/>
  <c r="O910" i="15"/>
  <c r="M150" i="15"/>
  <c r="M194" i="15"/>
  <c r="M250" i="15"/>
  <c r="M294" i="15"/>
  <c r="M350" i="15"/>
  <c r="M406" i="15"/>
  <c r="M450" i="15"/>
  <c r="M506" i="15"/>
  <c r="M550" i="15"/>
  <c r="M606" i="15"/>
  <c r="M662" i="15"/>
  <c r="M706" i="15"/>
  <c r="M762" i="15"/>
  <c r="R1140" i="15"/>
  <c r="Q1129" i="15"/>
  <c r="P1118" i="15"/>
  <c r="Q1109" i="15"/>
  <c r="P1098" i="15"/>
  <c r="N1133" i="15"/>
  <c r="R1121" i="15"/>
  <c r="Q1110" i="15"/>
  <c r="R1097" i="15"/>
  <c r="N1086" i="15"/>
  <c r="O1077" i="15"/>
  <c r="N1066" i="15"/>
  <c r="R1054" i="15"/>
  <c r="N1046" i="15"/>
  <c r="R1034" i="15"/>
  <c r="R1093" i="15"/>
  <c r="Q1082" i="15"/>
  <c r="P1071" i="15"/>
  <c r="Q1062" i="15"/>
  <c r="P1051" i="15"/>
  <c r="Q1042" i="15"/>
  <c r="O1027" i="15"/>
  <c r="N1016" i="15"/>
  <c r="O1007" i="15"/>
  <c r="N996" i="15"/>
  <c r="O987" i="15"/>
  <c r="N976" i="15"/>
  <c r="O967" i="15"/>
  <c r="R1035" i="15"/>
  <c r="P1027" i="15"/>
  <c r="O1020" i="15"/>
  <c r="N1013" i="15"/>
  <c r="R1005" i="15"/>
  <c r="Q998" i="15"/>
  <c r="Q990" i="15"/>
  <c r="P983" i="15"/>
  <c r="O976" i="15"/>
  <c r="Q968" i="15"/>
  <c r="P957" i="15"/>
  <c r="O950" i="15"/>
  <c r="N943" i="15"/>
  <c r="N935" i="15"/>
  <c r="R927" i="15"/>
  <c r="Q920" i="15"/>
  <c r="P913" i="15"/>
  <c r="O906" i="15"/>
  <c r="R899" i="15"/>
  <c r="P893" i="15"/>
  <c r="N887" i="15"/>
  <c r="Q880" i="15"/>
  <c r="O874" i="15"/>
  <c r="R867" i="15"/>
  <c r="P861" i="15"/>
  <c r="N855" i="15"/>
  <c r="Q848" i="15"/>
  <c r="O842" i="15"/>
  <c r="R835" i="15"/>
  <c r="P829" i="15"/>
  <c r="O959" i="15"/>
  <c r="R952" i="15"/>
  <c r="P946" i="15"/>
  <c r="N940" i="15"/>
  <c r="Q933" i="15"/>
  <c r="O927" i="15"/>
  <c r="R920" i="15"/>
  <c r="P914" i="15"/>
  <c r="N908" i="15"/>
  <c r="Q901" i="15"/>
  <c r="O895" i="15"/>
  <c r="R888" i="15"/>
  <c r="P882" i="15"/>
  <c r="N876" i="15"/>
  <c r="M158" i="15"/>
  <c r="M214" i="15"/>
  <c r="M258" i="15"/>
  <c r="M314" i="15"/>
  <c r="M358" i="15"/>
  <c r="M414" i="15"/>
  <c r="M470" i="15"/>
  <c r="M514" i="15"/>
  <c r="M570" i="15"/>
  <c r="M614" i="15"/>
  <c r="M670" i="15"/>
  <c r="M726" i="15"/>
  <c r="M770" i="15"/>
  <c r="R1136" i="15"/>
  <c r="N1128" i="15"/>
  <c r="R1116" i="15"/>
  <c r="Q1105" i="15"/>
  <c r="R1096" i="15"/>
  <c r="N1129" i="15"/>
  <c r="O1120" i="15"/>
  <c r="N1109" i="15"/>
  <c r="O1093" i="15"/>
  <c r="P1084" i="15"/>
  <c r="O1073" i="15"/>
  <c r="P1064" i="15"/>
  <c r="O1053" i="15"/>
  <c r="N1042" i="15"/>
  <c r="P1105" i="15"/>
  <c r="R1089" i="15"/>
  <c r="N1081" i="15"/>
  <c r="R1069" i="15"/>
  <c r="Q1058" i="15"/>
  <c r="R1049" i="15"/>
  <c r="P1035" i="15"/>
  <c r="Q1025" i="15"/>
  <c r="P1014" i="15"/>
  <c r="O1003" i="15"/>
  <c r="P994" i="15"/>
  <c r="O983" i="15"/>
  <c r="P974" i="15"/>
  <c r="N964" i="15"/>
  <c r="N1033" i="15"/>
  <c r="R1025" i="15"/>
  <c r="Q1018" i="15"/>
  <c r="P1011" i="15"/>
  <c r="P1003" i="15"/>
  <c r="O996" i="15"/>
  <c r="N989" i="15"/>
  <c r="R981" i="15"/>
  <c r="Q974" i="15"/>
  <c r="P965" i="15"/>
  <c r="R955" i="15"/>
  <c r="R947" i="15"/>
  <c r="Q940" i="15"/>
  <c r="P933" i="15"/>
  <c r="O926" i="15"/>
  <c r="N919" i="15"/>
  <c r="R911" i="15"/>
  <c r="Q904" i="15"/>
  <c r="O898" i="15"/>
  <c r="R891" i="15"/>
  <c r="P885" i="15"/>
  <c r="N879" i="15"/>
  <c r="Q872" i="15"/>
  <c r="O866" i="15"/>
  <c r="R859" i="15"/>
  <c r="P853" i="15"/>
  <c r="N847" i="15"/>
  <c r="Q840" i="15"/>
  <c r="O834" i="15"/>
  <c r="P967" i="15"/>
  <c r="Q957" i="15"/>
  <c r="O951" i="15"/>
  <c r="R944" i="15"/>
  <c r="P938" i="15"/>
  <c r="N932" i="15"/>
  <c r="Q925" i="15"/>
  <c r="O919" i="15"/>
  <c r="R912" i="15"/>
  <c r="P906" i="15"/>
  <c r="N900" i="15"/>
  <c r="Q893" i="15"/>
  <c r="O887" i="15"/>
  <c r="R880" i="15"/>
  <c r="P874" i="15"/>
  <c r="N868" i="15"/>
  <c r="M130" i="15"/>
  <c r="M186" i="15"/>
  <c r="M230" i="15"/>
  <c r="M286" i="15"/>
  <c r="M342" i="15"/>
  <c r="M386" i="15"/>
  <c r="M442" i="15"/>
  <c r="M486" i="15"/>
  <c r="M542" i="15"/>
  <c r="M598" i="15"/>
  <c r="M642" i="15"/>
  <c r="M698" i="15"/>
  <c r="M742" i="15"/>
  <c r="P1142" i="15"/>
  <c r="O1131" i="15"/>
  <c r="P1122" i="15"/>
  <c r="O1111" i="15"/>
  <c r="P1102" i="15"/>
  <c r="Q1134" i="15"/>
  <c r="P1123" i="15"/>
  <c r="Q1114" i="15"/>
  <c r="N1101" i="15"/>
  <c r="N1090" i="15"/>
  <c r="R1078" i="15"/>
  <c r="Q1067" i="15"/>
  <c r="R1058" i="15"/>
  <c r="Q1047" i="15"/>
  <c r="R1038" i="15"/>
  <c r="P1095" i="15"/>
  <c r="O1084" i="15"/>
  <c r="P1075" i="15"/>
  <c r="O1064" i="15"/>
  <c r="P1055" i="15"/>
  <c r="O1044" i="15"/>
  <c r="R1028" i="15"/>
  <c r="N1020" i="15"/>
  <c r="R1008" i="15"/>
  <c r="N1000" i="15"/>
  <c r="R988" i="15"/>
  <c r="Q977" i="15"/>
  <c r="R968" i="15"/>
  <c r="R960" i="15"/>
  <c r="N1029" i="15"/>
  <c r="R1021" i="15"/>
  <c r="Q1014" i="15"/>
  <c r="P1007" i="15"/>
  <c r="O1000" i="15"/>
  <c r="N993" i="15"/>
  <c r="R985" i="15"/>
  <c r="R977" i="15"/>
  <c r="Q970" i="15"/>
  <c r="N959" i="15"/>
  <c r="R951" i="15"/>
  <c r="Q944" i="15"/>
  <c r="P937" i="15"/>
  <c r="O930" i="15"/>
  <c r="O922" i="15"/>
  <c r="N915" i="15"/>
  <c r="M166" i="15"/>
  <c r="M254" i="15"/>
  <c r="M326" i="15"/>
  <c r="M418" i="15"/>
  <c r="M502" i="15"/>
  <c r="M578" i="15"/>
  <c r="M666" i="15"/>
  <c r="M738" i="15"/>
  <c r="N1136" i="15"/>
  <c r="Q1121" i="15"/>
  <c r="N1104" i="15"/>
  <c r="R1129" i="15"/>
  <c r="P1115" i="15"/>
  <c r="P1092" i="15"/>
  <c r="N1078" i="15"/>
  <c r="P1060" i="15"/>
  <c r="O1045" i="15"/>
  <c r="O1096" i="15"/>
  <c r="R1077" i="15"/>
  <c r="P1063" i="15"/>
  <c r="R1045" i="15"/>
  <c r="P1026" i="15"/>
  <c r="Q1009" i="15"/>
  <c r="Q993" i="15"/>
  <c r="R976" i="15"/>
  <c r="P962" i="15"/>
  <c r="Q1026" i="15"/>
  <c r="P1015" i="15"/>
  <c r="Q1002" i="15"/>
  <c r="O992" i="15"/>
  <c r="O980" i="15"/>
  <c r="N967" i="15"/>
  <c r="Q952" i="15"/>
  <c r="R939" i="15"/>
  <c r="Q928" i="15"/>
  <c r="P917" i="15"/>
  <c r="N907" i="15"/>
  <c r="P897" i="15"/>
  <c r="P889" i="15"/>
  <c r="P881" i="15"/>
  <c r="R871" i="15"/>
  <c r="R863" i="15"/>
  <c r="R855" i="15"/>
  <c r="O846" i="15"/>
  <c r="O838" i="15"/>
  <c r="O830" i="15"/>
  <c r="R956" i="15"/>
  <c r="R948" i="15"/>
  <c r="R940" i="15"/>
  <c r="O931" i="15"/>
  <c r="O923" i="15"/>
  <c r="O915" i="15"/>
  <c r="Q905" i="15"/>
  <c r="Q897" i="15"/>
  <c r="Q889" i="15"/>
  <c r="N880" i="15"/>
  <c r="N872" i="15"/>
  <c r="R864" i="15"/>
  <c r="P858" i="15"/>
  <c r="N852" i="15"/>
  <c r="Q845" i="15"/>
  <c r="Q837" i="15"/>
  <c r="R826" i="15"/>
  <c r="P820" i="15"/>
  <c r="N814" i="15"/>
  <c r="Q807" i="15"/>
  <c r="O801" i="15"/>
  <c r="R794" i="15"/>
  <c r="P788" i="15"/>
  <c r="N782" i="15"/>
  <c r="Q775" i="15"/>
  <c r="O769" i="15"/>
  <c r="R762" i="15"/>
  <c r="P756" i="15"/>
  <c r="N750" i="15"/>
  <c r="Q743" i="15"/>
  <c r="O737" i="15"/>
  <c r="R730" i="15"/>
  <c r="P724" i="15"/>
  <c r="N718" i="15"/>
  <c r="Q711" i="15"/>
  <c r="O705" i="15"/>
  <c r="R698" i="15"/>
  <c r="P692" i="15"/>
  <c r="N686" i="15"/>
  <c r="M182" i="15"/>
  <c r="M262" i="15"/>
  <c r="M346" i="15"/>
  <c r="M422" i="15"/>
  <c r="M510" i="15"/>
  <c r="M582" i="15"/>
  <c r="M674" i="15"/>
  <c r="M758" i="15"/>
  <c r="O1135" i="15"/>
  <c r="Q1117" i="15"/>
  <c r="O1103" i="15"/>
  <c r="O1128" i="15"/>
  <c r="R1113" i="15"/>
  <c r="Q1091" i="15"/>
  <c r="N1074" i="15"/>
  <c r="Q1059" i="15"/>
  <c r="O1041" i="15"/>
  <c r="Q1094" i="15"/>
  <c r="N1077" i="15"/>
  <c r="R1061" i="15"/>
  <c r="N1045" i="15"/>
  <c r="P1022" i="15"/>
  <c r="N1008" i="15"/>
  <c r="P990" i="15"/>
  <c r="O975" i="15"/>
  <c r="Q961" i="15"/>
  <c r="N1025" i="15"/>
  <c r="R1013" i="15"/>
  <c r="R1001" i="15"/>
  <c r="R989" i="15"/>
  <c r="P979" i="15"/>
  <c r="R963" i="15"/>
  <c r="N951" i="15"/>
  <c r="N939" i="15"/>
  <c r="N927" i="15"/>
  <c r="R915" i="15"/>
  <c r="P905" i="15"/>
  <c r="Q896" i="15"/>
  <c r="Q888" i="15"/>
  <c r="R879" i="15"/>
  <c r="N871" i="15"/>
  <c r="N863" i="15"/>
  <c r="O854" i="15"/>
  <c r="P845" i="15"/>
  <c r="P837" i="15"/>
  <c r="N969" i="15"/>
  <c r="N956" i="15"/>
  <c r="N948" i="15"/>
  <c r="O939" i="15"/>
  <c r="P930" i="15"/>
  <c r="P922" i="15"/>
  <c r="Q913" i="15"/>
  <c r="R904" i="15"/>
  <c r="R896" i="15"/>
  <c r="N888" i="15"/>
  <c r="O879" i="15"/>
  <c r="O871" i="15"/>
  <c r="N864" i="15"/>
  <c r="Q857" i="15"/>
  <c r="O851" i="15"/>
  <c r="R844" i="15"/>
  <c r="N836" i="15"/>
  <c r="N826" i="15"/>
  <c r="Q819" i="15"/>
  <c r="O813" i="15"/>
  <c r="R806" i="15"/>
  <c r="P800" i="15"/>
  <c r="N794" i="15"/>
  <c r="Q787" i="15"/>
  <c r="O781" i="15"/>
  <c r="R774" i="15"/>
  <c r="P768" i="15"/>
  <c r="N762" i="15"/>
  <c r="Q755" i="15"/>
  <c r="O749" i="15"/>
  <c r="R742" i="15"/>
  <c r="P736" i="15"/>
  <c r="N730" i="15"/>
  <c r="Q723" i="15"/>
  <c r="O717" i="15"/>
  <c r="R710" i="15"/>
  <c r="P704" i="15"/>
  <c r="N698" i="15"/>
  <c r="Q691" i="15"/>
  <c r="O685" i="15"/>
  <c r="M134" i="15"/>
  <c r="M222" i="15"/>
  <c r="M310" i="15"/>
  <c r="M382" i="15"/>
  <c r="M474" i="15"/>
  <c r="M546" i="15"/>
  <c r="M634" i="15"/>
  <c r="M710" i="15"/>
  <c r="O1143" i="15"/>
  <c r="R1124" i="15"/>
  <c r="P1110" i="15"/>
  <c r="O1136" i="15"/>
  <c r="N1121" i="15"/>
  <c r="Q1102" i="15"/>
  <c r="Q1083" i="15"/>
  <c r="R1066" i="15"/>
  <c r="Q1051" i="15"/>
  <c r="N1034" i="15"/>
  <c r="P1087" i="15"/>
  <c r="N1069" i="15"/>
  <c r="O1052" i="15"/>
  <c r="R1032" i="15"/>
  <c r="O1015" i="15"/>
  <c r="R1000" i="15"/>
  <c r="P982" i="15"/>
  <c r="N968" i="15"/>
  <c r="P1031" i="15"/>
  <c r="P1019" i="15"/>
  <c r="O1008" i="15"/>
  <c r="P995" i="15"/>
  <c r="O984" i="15"/>
  <c r="N973" i="15"/>
  <c r="Q956" i="15"/>
  <c r="P945" i="15"/>
  <c r="Q932" i="15"/>
  <c r="P921" i="15"/>
  <c r="P909" i="15"/>
  <c r="P901" i="15"/>
  <c r="Q892" i="15"/>
  <c r="R883" i="15"/>
  <c r="R875" i="15"/>
  <c r="N867" i="15"/>
  <c r="O858" i="15"/>
  <c r="O850" i="15"/>
  <c r="P841" i="15"/>
  <c r="Q832" i="15"/>
  <c r="N961" i="15"/>
  <c r="N952" i="15"/>
  <c r="O943" i="15"/>
  <c r="O935" i="15"/>
  <c r="P926" i="15"/>
  <c r="Q917" i="15"/>
  <c r="Q909" i="15"/>
  <c r="R900" i="15"/>
  <c r="N892" i="15"/>
  <c r="N884" i="15"/>
  <c r="O875" i="15"/>
  <c r="O867" i="15"/>
  <c r="R860" i="15"/>
  <c r="P854" i="15"/>
  <c r="N848" i="15"/>
  <c r="Q841" i="15"/>
  <c r="Q829" i="15"/>
  <c r="R822" i="15"/>
  <c r="P816" i="15"/>
  <c r="N810" i="15"/>
  <c r="Q803" i="15"/>
  <c r="O797" i="15"/>
  <c r="R790" i="15"/>
  <c r="P784" i="15"/>
  <c r="N778" i="15"/>
  <c r="Q771" i="15"/>
  <c r="O765" i="15"/>
  <c r="R758" i="15"/>
  <c r="P752" i="15"/>
  <c r="N746" i="15"/>
  <c r="Q739" i="15"/>
  <c r="O733" i="15"/>
  <c r="R726" i="15"/>
  <c r="P720" i="15"/>
  <c r="N714" i="15"/>
  <c r="Q707" i="15"/>
  <c r="O701" i="15"/>
  <c r="R694" i="15"/>
  <c r="P688" i="15"/>
  <c r="M198" i="15"/>
  <c r="M322" i="15"/>
  <c r="M454" i="15"/>
  <c r="M602" i="15"/>
  <c r="M730" i="15"/>
  <c r="P1130" i="15"/>
  <c r="R1104" i="15"/>
  <c r="Q1122" i="15"/>
  <c r="R1090" i="15"/>
  <c r="O1065" i="15"/>
  <c r="Q1039" i="15"/>
  <c r="R1081" i="15"/>
  <c r="O1056" i="15"/>
  <c r="Q1021" i="15"/>
  <c r="R996" i="15"/>
  <c r="P970" i="15"/>
  <c r="O1028" i="15"/>
  <c r="N1009" i="15"/>
  <c r="O988" i="15"/>
  <c r="P971" i="15"/>
  <c r="N947" i="15"/>
  <c r="N931" i="15"/>
  <c r="N911" i="15"/>
  <c r="R895" i="15"/>
  <c r="N883" i="15"/>
  <c r="P869" i="15"/>
  <c r="Q856" i="15"/>
  <c r="N843" i="15"/>
  <c r="R965" i="15"/>
  <c r="P950" i="15"/>
  <c r="R936" i="15"/>
  <c r="N924" i="15"/>
  <c r="P910" i="15"/>
  <c r="N896" i="15"/>
  <c r="O883" i="15"/>
  <c r="Q869" i="15"/>
  <c r="O859" i="15"/>
  <c r="R848" i="15"/>
  <c r="P834" i="15"/>
  <c r="N822" i="15"/>
  <c r="Q811" i="15"/>
  <c r="N802" i="15"/>
  <c r="Q791" i="15"/>
  <c r="P780" i="15"/>
  <c r="R770" i="15"/>
  <c r="P760" i="15"/>
  <c r="R750" i="15"/>
  <c r="P740" i="15"/>
  <c r="O729" i="15"/>
  <c r="Q719" i="15"/>
  <c r="O709" i="15"/>
  <c r="Q699" i="15"/>
  <c r="O689" i="15"/>
  <c r="P680" i="15"/>
  <c r="N674" i="15"/>
  <c r="P832" i="15"/>
  <c r="O824" i="15"/>
  <c r="R817" i="15"/>
  <c r="P811" i="15"/>
  <c r="N805" i="15"/>
  <c r="Q798" i="15"/>
  <c r="O792" i="15"/>
  <c r="R785" i="15"/>
  <c r="P779" i="15"/>
  <c r="N773" i="15"/>
  <c r="Q766" i="15"/>
  <c r="O760" i="15"/>
  <c r="R753" i="15"/>
  <c r="P747" i="15"/>
  <c r="N741" i="15"/>
  <c r="Q734" i="15"/>
  <c r="O728" i="15"/>
  <c r="R721" i="15"/>
  <c r="P715" i="15"/>
  <c r="N709" i="15"/>
  <c r="Q702" i="15"/>
  <c r="O694" i="15"/>
  <c r="P681" i="15"/>
  <c r="O670" i="15"/>
  <c r="R663" i="15"/>
  <c r="P657" i="15"/>
  <c r="N651" i="15"/>
  <c r="Q644" i="15"/>
  <c r="M136" i="15"/>
  <c r="M168" i="15"/>
  <c r="M218" i="15"/>
  <c r="M354" i="15"/>
  <c r="M478" i="15"/>
  <c r="M610" i="15"/>
  <c r="M734" i="15"/>
  <c r="R1128" i="15"/>
  <c r="O1099" i="15"/>
  <c r="N1117" i="15"/>
  <c r="R1086" i="15"/>
  <c r="O1061" i="15"/>
  <c r="Q1035" i="15"/>
  <c r="O1076" i="15"/>
  <c r="Q1050" i="15"/>
  <c r="R1020" i="15"/>
  <c r="O995" i="15"/>
  <c r="Q969" i="15"/>
  <c r="O1024" i="15"/>
  <c r="Q1006" i="15"/>
  <c r="P987" i="15"/>
  <c r="R969" i="15"/>
  <c r="O946" i="15"/>
  <c r="P925" i="15"/>
  <c r="Q908" i="15"/>
  <c r="N895" i="15"/>
  <c r="O882" i="15"/>
  <c r="Q868" i="15"/>
  <c r="Q852" i="15"/>
  <c r="R839" i="15"/>
  <c r="O964" i="15"/>
  <c r="Q949" i="15"/>
  <c r="N936" i="15"/>
  <c r="Q921" i="15"/>
  <c r="R908" i="15"/>
  <c r="P894" i="15"/>
  <c r="Q881" i="15"/>
  <c r="R868" i="15"/>
  <c r="R856" i="15"/>
  <c r="O847" i="15"/>
  <c r="R832" i="15"/>
  <c r="O821" i="15"/>
  <c r="R810" i="15"/>
  <c r="Q799" i="15"/>
  <c r="N790" i="15"/>
  <c r="Q779" i="15"/>
  <c r="N770" i="15"/>
  <c r="Q759" i="15"/>
  <c r="P748" i="15"/>
  <c r="R738" i="15"/>
  <c r="P728" i="15"/>
  <c r="R718" i="15"/>
  <c r="P708" i="15"/>
  <c r="O697" i="15"/>
  <c r="Q687" i="15"/>
  <c r="Q679" i="15"/>
  <c r="O673" i="15"/>
  <c r="R830" i="15"/>
  <c r="P823" i="15"/>
  <c r="N817" i="15"/>
  <c r="Q810" i="15"/>
  <c r="O804" i="15"/>
  <c r="R797" i="15"/>
  <c r="P791" i="15"/>
  <c r="N785" i="15"/>
  <c r="Q778" i="15"/>
  <c r="O772" i="15"/>
  <c r="R765" i="15"/>
  <c r="P759" i="15"/>
  <c r="N753" i="15"/>
  <c r="Q746" i="15"/>
  <c r="O740" i="15"/>
  <c r="R733" i="15"/>
  <c r="P727" i="15"/>
  <c r="N721" i="15"/>
  <c r="Q714" i="15"/>
  <c r="O708" i="15"/>
  <c r="R701" i="15"/>
  <c r="Q692" i="15"/>
  <c r="R679" i="15"/>
  <c r="P669" i="15"/>
  <c r="N663" i="15"/>
  <c r="Q656" i="15"/>
  <c r="O650" i="15"/>
  <c r="R643" i="15"/>
  <c r="M140" i="15"/>
  <c r="M172" i="15"/>
  <c r="M154" i="15"/>
  <c r="M282" i="15"/>
  <c r="M410" i="15"/>
  <c r="M538" i="15"/>
  <c r="M678" i="15"/>
  <c r="Q1141" i="15"/>
  <c r="O1115" i="15"/>
  <c r="R1133" i="15"/>
  <c r="P1107" i="15"/>
  <c r="P1072" i="15"/>
  <c r="P1048" i="15"/>
  <c r="N1089" i="15"/>
  <c r="N1065" i="15"/>
  <c r="R1033" i="15"/>
  <c r="P1006" i="15"/>
  <c r="Q981" i="15"/>
  <c r="O1034" i="15"/>
  <c r="O1016" i="15"/>
  <c r="N997" i="15"/>
  <c r="N977" i="15"/>
  <c r="O954" i="15"/>
  <c r="Q936" i="15"/>
  <c r="O918" i="15"/>
  <c r="O902" i="15"/>
  <c r="R887" i="15"/>
  <c r="N875" i="15"/>
  <c r="Q860" i="15"/>
  <c r="R847" i="15"/>
  <c r="P833" i="15"/>
  <c r="O955" i="15"/>
  <c r="P942" i="15"/>
  <c r="R928" i="15"/>
  <c r="N916" i="15"/>
  <c r="P902" i="15"/>
  <c r="P886" i="15"/>
  <c r="Q873" i="15"/>
  <c r="P862" i="15"/>
  <c r="R852" i="15"/>
  <c r="P842" i="15"/>
  <c r="O825" i="15"/>
  <c r="Q815" i="15"/>
  <c r="O805" i="15"/>
  <c r="Q795" i="15"/>
  <c r="O785" i="15"/>
  <c r="N774" i="15"/>
  <c r="P764" i="15"/>
  <c r="N754" i="15"/>
  <c r="P744" i="15"/>
  <c r="N734" i="15"/>
  <c r="R722" i="15"/>
  <c r="O713" i="15"/>
  <c r="R702" i="15"/>
  <c r="O693" i="15"/>
  <c r="R682" i="15"/>
  <c r="P676" i="15"/>
  <c r="O837" i="15"/>
  <c r="Q826" i="15"/>
  <c r="O820" i="15"/>
  <c r="R813" i="15"/>
  <c r="P807" i="15"/>
  <c r="N801" i="15"/>
  <c r="Q794" i="15"/>
  <c r="O788" i="15"/>
  <c r="R781" i="15"/>
  <c r="P775" i="15"/>
  <c r="N769" i="15"/>
  <c r="Q762" i="15"/>
  <c r="O756" i="15"/>
  <c r="R749" i="15"/>
  <c r="P743" i="15"/>
  <c r="N737" i="15"/>
  <c r="Q730" i="15"/>
  <c r="O724" i="15"/>
  <c r="R717" i="15"/>
  <c r="P711" i="15"/>
  <c r="N705" i="15"/>
  <c r="Q698" i="15"/>
  <c r="O686" i="15"/>
  <c r="P673" i="15"/>
  <c r="O666" i="15"/>
  <c r="R659" i="15"/>
  <c r="P653" i="15"/>
  <c r="N647" i="15"/>
  <c r="M124" i="15"/>
  <c r="M156" i="15"/>
  <c r="M188" i="15"/>
  <c r="M226" i="15"/>
  <c r="M438" i="15"/>
  <c r="M638" i="15"/>
  <c r="P1134" i="15"/>
  <c r="P1135" i="15"/>
  <c r="O1085" i="15"/>
  <c r="R1046" i="15"/>
  <c r="Q1070" i="15"/>
  <c r="N1028" i="15"/>
  <c r="N984" i="15"/>
  <c r="Q1022" i="15"/>
  <c r="Q994" i="15"/>
  <c r="R959" i="15"/>
  <c r="R931" i="15"/>
  <c r="N903" i="15"/>
  <c r="O878" i="15"/>
  <c r="N859" i="15"/>
  <c r="Q836" i="15"/>
  <c r="Q953" i="15"/>
  <c r="Q929" i="15"/>
  <c r="O907" i="15"/>
  <c r="Q885" i="15"/>
  <c r="Q865" i="15"/>
  <c r="Q849" i="15"/>
  <c r="Q827" i="15"/>
  <c r="O809" i="15"/>
  <c r="O793" i="15"/>
  <c r="O777" i="15"/>
  <c r="O761" i="15"/>
  <c r="O745" i="15"/>
  <c r="Q727" i="15"/>
  <c r="P712" i="15"/>
  <c r="Q695" i="15"/>
  <c r="O681" i="15"/>
  <c r="R838" i="15"/>
  <c r="Q822" i="15"/>
  <c r="N813" i="15"/>
  <c r="Q802" i="15"/>
  <c r="N793" i="15"/>
  <c r="Q782" i="15"/>
  <c r="P771" i="15"/>
  <c r="R761" i="15"/>
  <c r="P751" i="15"/>
  <c r="R741" i="15"/>
  <c r="P731" i="15"/>
  <c r="O720" i="15"/>
  <c r="Q710" i="15"/>
  <c r="O700" i="15"/>
  <c r="N683" i="15"/>
  <c r="N667" i="15"/>
  <c r="R655" i="15"/>
  <c r="O646" i="15"/>
  <c r="M148" i="15"/>
  <c r="M196" i="15"/>
  <c r="M228" i="15"/>
  <c r="M260" i="15"/>
  <c r="M292" i="15"/>
  <c r="M324" i="15"/>
  <c r="M356" i="15"/>
  <c r="M388" i="15"/>
  <c r="M420" i="15"/>
  <c r="M452" i="15"/>
  <c r="M484" i="15"/>
  <c r="M516" i="15"/>
  <c r="M548" i="15"/>
  <c r="M580" i="15"/>
  <c r="M612" i="15"/>
  <c r="M644" i="15"/>
  <c r="M676" i="15"/>
  <c r="M708" i="15"/>
  <c r="M740" i="15"/>
  <c r="R1143" i="15"/>
  <c r="O1141" i="15"/>
  <c r="R1134" i="15"/>
  <c r="P1128" i="15"/>
  <c r="N1122" i="15"/>
  <c r="Q1115" i="15"/>
  <c r="O1109" i="15"/>
  <c r="R1102" i="15"/>
  <c r="R1139" i="15"/>
  <c r="P1133" i="15"/>
  <c r="N1127" i="15"/>
  <c r="Q1120" i="15"/>
  <c r="O1114" i="15"/>
  <c r="R1107" i="15"/>
  <c r="N1097" i="15"/>
  <c r="P1090" i="15"/>
  <c r="N1084" i="15"/>
  <c r="Q1077" i="15"/>
  <c r="O1071" i="15"/>
  <c r="R1064" i="15"/>
  <c r="P1058" i="15"/>
  <c r="N1052" i="15"/>
  <c r="Q1045" i="15"/>
  <c r="O1039" i="15"/>
  <c r="Q1104" i="15"/>
  <c r="O1094" i="15"/>
  <c r="R1087" i="15"/>
  <c r="P1081" i="15"/>
  <c r="N1075" i="15"/>
  <c r="Q1068" i="15"/>
  <c r="O1062" i="15"/>
  <c r="R1055" i="15"/>
  <c r="P1049" i="15"/>
  <c r="N1043" i="15"/>
  <c r="P1032" i="15"/>
  <c r="N1026" i="15"/>
  <c r="Q1019" i="15"/>
  <c r="O1013" i="15"/>
  <c r="R1006" i="15"/>
  <c r="P1000" i="15"/>
  <c r="N994" i="15"/>
  <c r="Q987" i="15"/>
  <c r="O981" i="15"/>
  <c r="R974" i="15"/>
  <c r="P968" i="15"/>
  <c r="N962" i="15"/>
  <c r="Q1032" i="15"/>
  <c r="O1026" i="15"/>
  <c r="R1019" i="15"/>
  <c r="P1013" i="15"/>
  <c r="N1007" i="15"/>
  <c r="Q1000" i="15"/>
  <c r="O994" i="15"/>
  <c r="R987" i="15"/>
  <c r="P981" i="15"/>
  <c r="N975" i="15"/>
  <c r="R967" i="15"/>
  <c r="R957" i="15"/>
  <c r="P951" i="15"/>
  <c r="N945" i="15"/>
  <c r="Q938" i="15"/>
  <c r="O932" i="15"/>
  <c r="R925" i="15"/>
  <c r="P919" i="15"/>
  <c r="N913" i="15"/>
  <c r="Q906" i="15"/>
  <c r="O900" i="15"/>
  <c r="R893" i="15"/>
  <c r="P887" i="15"/>
  <c r="N881" i="15"/>
  <c r="Q874" i="15"/>
  <c r="O868" i="15"/>
  <c r="R861" i="15"/>
  <c r="P855" i="15"/>
  <c r="N849" i="15"/>
  <c r="Q842" i="15"/>
  <c r="O836" i="15"/>
  <c r="R829" i="15"/>
  <c r="Q959" i="15"/>
  <c r="O953" i="15"/>
  <c r="R946" i="15"/>
  <c r="P940" i="15"/>
  <c r="N934" i="15"/>
  <c r="Q927" i="15"/>
  <c r="O921" i="15"/>
  <c r="R914" i="15"/>
  <c r="P908" i="15"/>
  <c r="N902" i="15"/>
  <c r="Q895" i="15"/>
  <c r="O889" i="15"/>
  <c r="R882" i="15"/>
  <c r="P876" i="15"/>
  <c r="N870" i="15"/>
  <c r="Q863" i="15"/>
  <c r="O857" i="15"/>
  <c r="R850" i="15"/>
  <c r="P844" i="15"/>
  <c r="O835" i="15"/>
  <c r="Q825" i="15"/>
  <c r="M246" i="15"/>
  <c r="M446" i="15"/>
  <c r="M646" i="15"/>
  <c r="N1124" i="15"/>
  <c r="P1127" i="15"/>
  <c r="P1080" i="15"/>
  <c r="P1040" i="15"/>
  <c r="O1068" i="15"/>
  <c r="O1019" i="15"/>
  <c r="R980" i="15"/>
  <c r="N1021" i="15"/>
  <c r="R993" i="15"/>
  <c r="O958" i="15"/>
  <c r="Q924" i="15"/>
  <c r="Q900" i="15"/>
  <c r="P877" i="15"/>
  <c r="P857" i="15"/>
  <c r="N835" i="15"/>
  <c r="O947" i="15"/>
  <c r="N928" i="15"/>
  <c r="N904" i="15"/>
  <c r="R884" i="15"/>
  <c r="O863" i="15"/>
  <c r="P846" i="15"/>
  <c r="P824" i="15"/>
  <c r="P808" i="15"/>
  <c r="P792" i="15"/>
  <c r="P776" i="15"/>
  <c r="N758" i="15"/>
  <c r="N742" i="15"/>
  <c r="N726" i="15"/>
  <c r="N710" i="15"/>
  <c r="N694" i="15"/>
  <c r="R678" i="15"/>
  <c r="Q835" i="15"/>
  <c r="R821" i="15"/>
  <c r="O812" i="15"/>
  <c r="R801" i="15"/>
  <c r="Q790" i="15"/>
  <c r="N781" i="15"/>
  <c r="Q770" i="15"/>
  <c r="N761" i="15"/>
  <c r="Q750" i="15"/>
  <c r="P739" i="15"/>
  <c r="R729" i="15"/>
  <c r="P719" i="15"/>
  <c r="R709" i="15"/>
  <c r="P699" i="15"/>
  <c r="O678" i="15"/>
  <c r="P665" i="15"/>
  <c r="N655" i="15"/>
  <c r="P645" i="15"/>
  <c r="M152" i="15"/>
  <c r="M200" i="15"/>
  <c r="M232" i="15"/>
  <c r="M264" i="15"/>
  <c r="M296" i="15"/>
  <c r="M328" i="15"/>
  <c r="M360" i="15"/>
  <c r="M392" i="15"/>
  <c r="M424" i="15"/>
  <c r="M456" i="15"/>
  <c r="M488" i="15"/>
  <c r="M520" i="15"/>
  <c r="M552" i="15"/>
  <c r="M584" i="15"/>
  <c r="M616" i="15"/>
  <c r="M648" i="15"/>
  <c r="M680" i="15"/>
  <c r="M712" i="15"/>
  <c r="M744" i="15"/>
  <c r="N1143" i="15"/>
  <c r="P1140" i="15"/>
  <c r="N1134" i="15"/>
  <c r="Q1127" i="15"/>
  <c r="O1121" i="15"/>
  <c r="R1114" i="15"/>
  <c r="P1108" i="15"/>
  <c r="N1102" i="15"/>
  <c r="N1139" i="15"/>
  <c r="Q1132" i="15"/>
  <c r="O1126" i="15"/>
  <c r="R1119" i="15"/>
  <c r="P1113" i="15"/>
  <c r="N1107" i="15"/>
  <c r="N1096" i="15"/>
  <c r="Q1089" i="15"/>
  <c r="O1083" i="15"/>
  <c r="R1076" i="15"/>
  <c r="P1070" i="15"/>
  <c r="N1064" i="15"/>
  <c r="Q1057" i="15"/>
  <c r="O1051" i="15"/>
  <c r="R1044" i="15"/>
  <c r="P1038" i="15"/>
  <c r="N1103" i="15"/>
  <c r="P1093" i="15"/>
  <c r="N1087" i="15"/>
  <c r="Q1080" i="15"/>
  <c r="O1074" i="15"/>
  <c r="R1067" i="15"/>
  <c r="P1061" i="15"/>
  <c r="N1055" i="15"/>
  <c r="Q1048" i="15"/>
  <c r="O1042" i="15"/>
  <c r="Q1031" i="15"/>
  <c r="O1025" i="15"/>
  <c r="R1018" i="15"/>
  <c r="P1012" i="15"/>
  <c r="N1006" i="15"/>
  <c r="Q999" i="15"/>
  <c r="O993" i="15"/>
  <c r="R986" i="15"/>
  <c r="P980" i="15"/>
  <c r="N974" i="15"/>
  <c r="Q967" i="15"/>
  <c r="O961" i="15"/>
  <c r="R1031" i="15"/>
  <c r="P1025" i="15"/>
  <c r="N1019" i="15"/>
  <c r="Q1012" i="15"/>
  <c r="O1006" i="15"/>
  <c r="R999" i="15"/>
  <c r="P993" i="15"/>
  <c r="N987" i="15"/>
  <c r="Q980" i="15"/>
  <c r="O974" i="15"/>
  <c r="O966" i="15"/>
  <c r="N957" i="15"/>
  <c r="Q950" i="15"/>
  <c r="O944" i="15"/>
  <c r="R937" i="15"/>
  <c r="P931" i="15"/>
  <c r="N925" i="15"/>
  <c r="Q918" i="15"/>
  <c r="O912" i="15"/>
  <c r="R905" i="15"/>
  <c r="P899" i="15"/>
  <c r="N893" i="15"/>
  <c r="Q886" i="15"/>
  <c r="O880" i="15"/>
  <c r="R873" i="15"/>
  <c r="P867" i="15"/>
  <c r="N861" i="15"/>
  <c r="Q854" i="15"/>
  <c r="O848" i="15"/>
  <c r="R841" i="15"/>
  <c r="P835" i="15"/>
  <c r="N829" i="15"/>
  <c r="R958" i="15"/>
  <c r="P952" i="15"/>
  <c r="N946" i="15"/>
  <c r="Q939" i="15"/>
  <c r="O933" i="15"/>
  <c r="R926" i="15"/>
  <c r="P920" i="15"/>
  <c r="N914" i="15"/>
  <c r="Q907" i="15"/>
  <c r="O901" i="15"/>
  <c r="R894" i="15"/>
  <c r="P888" i="15"/>
  <c r="N882" i="15"/>
  <c r="Q875" i="15"/>
  <c r="O869" i="15"/>
  <c r="R862" i="15"/>
  <c r="P856" i="15"/>
  <c r="N850" i="15"/>
  <c r="Q843" i="15"/>
  <c r="Q833" i="15"/>
  <c r="R824" i="15"/>
  <c r="M162" i="15"/>
  <c r="M378" i="15"/>
  <c r="M574" i="15"/>
  <c r="O1140" i="15"/>
  <c r="Q1097" i="15"/>
  <c r="P1099" i="15"/>
  <c r="N1054" i="15"/>
  <c r="P1083" i="15"/>
  <c r="N1037" i="15"/>
  <c r="Q989" i="15"/>
  <c r="O1032" i="15"/>
  <c r="N1001" i="15"/>
  <c r="R973" i="15"/>
  <c r="O938" i="15"/>
  <c r="R907" i="15"/>
  <c r="O886" i="15"/>
  <c r="Q864" i="15"/>
  <c r="R843" i="15"/>
  <c r="P958" i="15"/>
  <c r="P934" i="15"/>
  <c r="N912" i="15"/>
  <c r="O891" i="15"/>
  <c r="P870" i="15"/>
  <c r="Q853" i="15"/>
  <c r="O831" i="15"/>
  <c r="R814" i="15"/>
  <c r="N798" i="15"/>
  <c r="R782" i="15"/>
  <c r="N766" i="15"/>
  <c r="Q747" i="15"/>
  <c r="P732" i="15"/>
  <c r="Q715" i="15"/>
  <c r="P700" i="15"/>
  <c r="Q683" i="15"/>
  <c r="P672" i="15"/>
  <c r="R825" i="15"/>
  <c r="P815" i="15"/>
  <c r="R805" i="15"/>
  <c r="P795" i="15"/>
  <c r="O784" i="15"/>
  <c r="Q774" i="15"/>
  <c r="O764" i="15"/>
  <c r="Q754" i="15"/>
  <c r="O744" i="15"/>
  <c r="N733" i="15"/>
  <c r="P723" i="15"/>
  <c r="N713" i="15"/>
  <c r="P703" i="15"/>
  <c r="R687" i="15"/>
  <c r="Q668" i="15"/>
  <c r="N659" i="15"/>
  <c r="Q648" i="15"/>
  <c r="M132" i="15"/>
  <c r="M184" i="15"/>
  <c r="M220" i="15"/>
  <c r="M252" i="15"/>
  <c r="M284" i="15"/>
  <c r="M316" i="15"/>
  <c r="M348" i="15"/>
  <c r="M380" i="15"/>
  <c r="M412" i="15"/>
  <c r="M444" i="15"/>
  <c r="M476" i="15"/>
  <c r="M508" i="15"/>
  <c r="M540" i="15"/>
  <c r="M572" i="15"/>
  <c r="M604" i="15"/>
  <c r="M636" i="15"/>
  <c r="M668" i="15"/>
  <c r="M700" i="15"/>
  <c r="M732" i="15"/>
  <c r="M764" i="15"/>
  <c r="R1142" i="15"/>
  <c r="P1136" i="15"/>
  <c r="N1130" i="15"/>
  <c r="Q1123" i="15"/>
  <c r="O1117" i="15"/>
  <c r="R1110" i="15"/>
  <c r="P1104" i="15"/>
  <c r="N1098" i="15"/>
  <c r="N1135" i="15"/>
  <c r="Q1128" i="15"/>
  <c r="O1122" i="15"/>
  <c r="R1115" i="15"/>
  <c r="P1109" i="15"/>
  <c r="O1100" i="15"/>
  <c r="N1092" i="15"/>
  <c r="Q1085" i="15"/>
  <c r="O1079" i="15"/>
  <c r="R1072" i="15"/>
  <c r="P1066" i="15"/>
  <c r="N1060" i="15"/>
  <c r="Q1053" i="15"/>
  <c r="O1047" i="15"/>
  <c r="R1040" i="15"/>
  <c r="P1034" i="15"/>
  <c r="R1095" i="15"/>
  <c r="P1089" i="15"/>
  <c r="N1083" i="15"/>
  <c r="Q1076" i="15"/>
  <c r="O1070" i="15"/>
  <c r="R1063" i="15"/>
  <c r="P1057" i="15"/>
  <c r="N1051" i="15"/>
  <c r="Q1044" i="15"/>
  <c r="Q1034" i="15"/>
  <c r="Q1027" i="15"/>
  <c r="O1021" i="15"/>
  <c r="R1014" i="15"/>
  <c r="P1008" i="15"/>
  <c r="N1002" i="15"/>
  <c r="Q995" i="15"/>
  <c r="O989" i="15"/>
  <c r="R982" i="15"/>
  <c r="P976" i="15"/>
  <c r="N970" i="15"/>
  <c r="Q963" i="15"/>
  <c r="N1035" i="15"/>
  <c r="R1027" i="15"/>
  <c r="P1021" i="15"/>
  <c r="N1015" i="15"/>
  <c r="Q1008" i="15"/>
  <c r="O1002" i="15"/>
  <c r="R995" i="15"/>
  <c r="P989" i="15"/>
  <c r="N983" i="15"/>
  <c r="Q976" i="15"/>
  <c r="O970" i="15"/>
  <c r="P959" i="15"/>
  <c r="N953" i="15"/>
  <c r="Q946" i="15"/>
  <c r="O940" i="15"/>
  <c r="R933" i="15"/>
  <c r="P927" i="15"/>
  <c r="N921" i="15"/>
  <c r="Q914" i="15"/>
  <c r="O908" i="15"/>
  <c r="R901" i="15"/>
  <c r="P895" i="15"/>
  <c r="N889" i="15"/>
  <c r="Q882" i="15"/>
  <c r="O876" i="15"/>
  <c r="R869" i="15"/>
  <c r="P863" i="15"/>
  <c r="N857" i="15"/>
  <c r="Q850" i="15"/>
  <c r="O844" i="15"/>
  <c r="R837" i="15"/>
  <c r="P831" i="15"/>
  <c r="R961" i="15"/>
  <c r="R954" i="15"/>
  <c r="P948" i="15"/>
  <c r="N942" i="15"/>
  <c r="Q935" i="15"/>
  <c r="O929" i="15"/>
  <c r="R922" i="15"/>
  <c r="P916" i="15"/>
  <c r="N910" i="15"/>
  <c r="Q903" i="15"/>
  <c r="O897" i="15"/>
  <c r="R890" i="15"/>
  <c r="P884" i="15"/>
  <c r="N878" i="15"/>
  <c r="Q871" i="15"/>
  <c r="O865" i="15"/>
  <c r="R858" i="15"/>
  <c r="P852" i="15"/>
  <c r="N846" i="15"/>
  <c r="P838" i="15"/>
  <c r="O827" i="15"/>
  <c r="M290" i="15"/>
  <c r="M630" i="15"/>
  <c r="N1112" i="15"/>
  <c r="Q1079" i="15"/>
  <c r="O1088" i="15"/>
  <c r="R1012" i="15"/>
  <c r="Q1030" i="15"/>
  <c r="N981" i="15"/>
  <c r="R923" i="15"/>
  <c r="O890" i="15"/>
  <c r="N851" i="15"/>
  <c r="P954" i="15"/>
  <c r="P918" i="15"/>
  <c r="P878" i="15"/>
  <c r="O855" i="15"/>
  <c r="R818" i="15"/>
  <c r="P796" i="15"/>
  <c r="Q767" i="15"/>
  <c r="O741" i="15"/>
  <c r="P716" i="15"/>
  <c r="N690" i="15"/>
  <c r="P840" i="15"/>
  <c r="Q818" i="15"/>
  <c r="O800" i="15"/>
  <c r="Q786" i="15"/>
  <c r="O768" i="15"/>
  <c r="O752" i="15"/>
  <c r="O736" i="15"/>
  <c r="Q718" i="15"/>
  <c r="O704" i="15"/>
  <c r="N675" i="15"/>
  <c r="O658" i="15"/>
  <c r="P641" i="15"/>
  <c r="M204" i="15"/>
  <c r="M248" i="15"/>
  <c r="M304" i="15"/>
  <c r="M352" i="15"/>
  <c r="M404" i="15"/>
  <c r="M460" i="15"/>
  <c r="M504" i="15"/>
  <c r="M560" i="15"/>
  <c r="M608" i="15"/>
  <c r="M660" i="15"/>
  <c r="M716" i="15"/>
  <c r="M760" i="15"/>
  <c r="R1138" i="15"/>
  <c r="O1129" i="15"/>
  <c r="R1118" i="15"/>
  <c r="Q1107" i="15"/>
  <c r="R1098" i="15"/>
  <c r="N1131" i="15"/>
  <c r="P1121" i="15"/>
  <c r="N1111" i="15"/>
  <c r="O1095" i="15"/>
  <c r="P1086" i="15"/>
  <c r="O1075" i="15"/>
  <c r="Q1065" i="15"/>
  <c r="O1055" i="15"/>
  <c r="N1044" i="15"/>
  <c r="O1035" i="15"/>
  <c r="R1091" i="15"/>
  <c r="O1082" i="15"/>
  <c r="R1071" i="15"/>
  <c r="Q1060" i="15"/>
  <c r="R1051" i="15"/>
  <c r="P1039" i="15"/>
  <c r="R1026" i="15"/>
  <c r="P1016" i="15"/>
  <c r="O1005" i="15"/>
  <c r="P996" i="15"/>
  <c r="O985" i="15"/>
  <c r="Q975" i="15"/>
  <c r="O965" i="15"/>
  <c r="N1031" i="15"/>
  <c r="O1022" i="15"/>
  <c r="N1011" i="15"/>
  <c r="P1001" i="15"/>
  <c r="N991" i="15"/>
  <c r="R979" i="15"/>
  <c r="N971" i="15"/>
  <c r="P955" i="15"/>
  <c r="R945" i="15"/>
  <c r="P935" i="15"/>
  <c r="O924" i="15"/>
  <c r="P915" i="15"/>
  <c r="O904" i="15"/>
  <c r="Q894" i="15"/>
  <c r="O884" i="15"/>
  <c r="N873" i="15"/>
  <c r="O864" i="15"/>
  <c r="N853" i="15"/>
  <c r="P843" i="15"/>
  <c r="N833" i="15"/>
  <c r="N958" i="15"/>
  <c r="O949" i="15"/>
  <c r="N938" i="15"/>
  <c r="P928" i="15"/>
  <c r="N918" i="15"/>
  <c r="R906" i="15"/>
  <c r="N898" i="15"/>
  <c r="R886" i="15"/>
  <c r="O877" i="15"/>
  <c r="R866" i="15"/>
  <c r="Q855" i="15"/>
  <c r="R846" i="15"/>
  <c r="P830" i="15"/>
  <c r="R820" i="15"/>
  <c r="P814" i="15"/>
  <c r="N808" i="15"/>
  <c r="Q801" i="15"/>
  <c r="O795" i="15"/>
  <c r="R788" i="15"/>
  <c r="P782" i="15"/>
  <c r="N776" i="15"/>
  <c r="Q769" i="15"/>
  <c r="O763" i="15"/>
  <c r="R756" i="15"/>
  <c r="P750" i="15"/>
  <c r="N744" i="15"/>
  <c r="Q737" i="15"/>
  <c r="O731" i="15"/>
  <c r="R724" i="15"/>
  <c r="P718" i="15"/>
  <c r="N712" i="15"/>
  <c r="Q705" i="15"/>
  <c r="O699" i="15"/>
  <c r="R692" i="15"/>
  <c r="P686" i="15"/>
  <c r="N680" i="15"/>
  <c r="Q673" i="15"/>
  <c r="Q831" i="15"/>
  <c r="R823" i="15"/>
  <c r="P817" i="15"/>
  <c r="N811" i="15"/>
  <c r="Q804" i="15"/>
  <c r="O798" i="15"/>
  <c r="R791" i="15"/>
  <c r="P785" i="15"/>
  <c r="N779" i="15"/>
  <c r="Q772" i="15"/>
  <c r="O766" i="15"/>
  <c r="R759" i="15"/>
  <c r="P753" i="15"/>
  <c r="N747" i="15"/>
  <c r="Q740" i="15"/>
  <c r="O734" i="15"/>
  <c r="R727" i="15"/>
  <c r="P721" i="15"/>
  <c r="N715" i="15"/>
  <c r="Q708" i="15"/>
  <c r="O702" i="15"/>
  <c r="P693" i="15"/>
  <c r="Q680" i="15"/>
  <c r="R669" i="15"/>
  <c r="P663" i="15"/>
  <c r="N657" i="15"/>
  <c r="N649" i="15"/>
  <c r="Q638" i="15"/>
  <c r="O632" i="15"/>
  <c r="R625" i="15"/>
  <c r="P619" i="15"/>
  <c r="N613" i="15"/>
  <c r="Q606" i="15"/>
  <c r="O600" i="15"/>
  <c r="R593" i="15"/>
  <c r="P587" i="15"/>
  <c r="N581" i="15"/>
  <c r="Q574" i="15"/>
  <c r="O568" i="15"/>
  <c r="R561" i="15"/>
  <c r="M374" i="15"/>
  <c r="M702" i="15"/>
  <c r="P1139" i="15"/>
  <c r="R1070" i="15"/>
  <c r="R1057" i="15"/>
  <c r="Q1001" i="15"/>
  <c r="O1012" i="15"/>
  <c r="Q960" i="15"/>
  <c r="O914" i="15"/>
  <c r="Q876" i="15"/>
  <c r="Q844" i="15"/>
  <c r="N944" i="15"/>
  <c r="O911" i="15"/>
  <c r="R876" i="15"/>
  <c r="N844" i="15"/>
  <c r="O817" i="15"/>
  <c r="R786" i="15"/>
  <c r="Q763" i="15"/>
  <c r="Q735" i="15"/>
  <c r="R706" i="15"/>
  <c r="P684" i="15"/>
  <c r="O829" i="15"/>
  <c r="Q814" i="15"/>
  <c r="N797" i="15"/>
  <c r="O780" i="15"/>
  <c r="N765" i="15"/>
  <c r="O748" i="15"/>
  <c r="O732" i="15"/>
  <c r="O716" i="15"/>
  <c r="P697" i="15"/>
  <c r="N671" i="15"/>
  <c r="Q652" i="15"/>
  <c r="M144" i="15"/>
  <c r="M212" i="15"/>
  <c r="M268" i="15"/>
  <c r="M312" i="15"/>
  <c r="M368" i="15"/>
  <c r="M416" i="15"/>
  <c r="M468" i="15"/>
  <c r="M524" i="15"/>
  <c r="M568" i="15"/>
  <c r="M624" i="15"/>
  <c r="M672" i="15"/>
  <c r="M724" i="15"/>
  <c r="O1142" i="15"/>
  <c r="O1137" i="15"/>
  <c r="N1126" i="15"/>
  <c r="P1116" i="15"/>
  <c r="N1106" i="15"/>
  <c r="O1138" i="15"/>
  <c r="P1129" i="15"/>
  <c r="O1118" i="15"/>
  <c r="Q1108" i="15"/>
  <c r="Q1093" i="15"/>
  <c r="P1082" i="15"/>
  <c r="Q1073" i="15"/>
  <c r="P1062" i="15"/>
  <c r="R1052" i="15"/>
  <c r="P1042" i="15"/>
  <c r="P1101" i="15"/>
  <c r="O1090" i="15"/>
  <c r="N1079" i="15"/>
  <c r="P1069" i="15"/>
  <c r="N1059" i="15"/>
  <c r="R1047" i="15"/>
  <c r="O1036" i="15"/>
  <c r="Q1023" i="15"/>
  <c r="N1014" i="15"/>
  <c r="Q1003" i="15"/>
  <c r="P992" i="15"/>
  <c r="Q983" i="15"/>
  <c r="P972" i="15"/>
  <c r="R962" i="15"/>
  <c r="P1029" i="15"/>
  <c r="O1018" i="15"/>
  <c r="P1009" i="15"/>
  <c r="O998" i="15"/>
  <c r="Q988" i="15"/>
  <c r="O978" i="15"/>
  <c r="Q964" i="15"/>
  <c r="R953" i="15"/>
  <c r="Q942" i="15"/>
  <c r="N933" i="15"/>
  <c r="Q922" i="15"/>
  <c r="P911" i="15"/>
  <c r="Q902" i="15"/>
  <c r="P891" i="15"/>
  <c r="R881" i="15"/>
  <c r="P871" i="15"/>
  <c r="O860" i="15"/>
  <c r="P851" i="15"/>
  <c r="O840" i="15"/>
  <c r="Q830" i="15"/>
  <c r="P956" i="15"/>
  <c r="O945" i="15"/>
  <c r="P936" i="15"/>
  <c r="O925" i="15"/>
  <c r="Q915" i="15"/>
  <c r="O905" i="15"/>
  <c r="N894" i="15"/>
  <c r="O885" i="15"/>
  <c r="N874" i="15"/>
  <c r="P864" i="15"/>
  <c r="N854" i="15"/>
  <c r="R842" i="15"/>
  <c r="N828" i="15"/>
  <c r="O819" i="15"/>
  <c r="R812" i="15"/>
  <c r="P806" i="15"/>
  <c r="N800" i="15"/>
  <c r="Q793" i="15"/>
  <c r="O787" i="15"/>
  <c r="R780" i="15"/>
  <c r="P774" i="15"/>
  <c r="N768" i="15"/>
  <c r="Q761" i="15"/>
  <c r="O755" i="15"/>
  <c r="R748" i="15"/>
  <c r="P742" i="15"/>
  <c r="N736" i="15"/>
  <c r="Q729" i="15"/>
  <c r="O723" i="15"/>
  <c r="R716" i="15"/>
  <c r="P710" i="15"/>
  <c r="N704" i="15"/>
  <c r="Q697" i="15"/>
  <c r="O691" i="15"/>
  <c r="R684" i="15"/>
  <c r="P678" i="15"/>
  <c r="N672" i="15"/>
  <c r="Q828" i="15"/>
  <c r="O822" i="15"/>
  <c r="R815" i="15"/>
  <c r="P809" i="15"/>
  <c r="N803" i="15"/>
  <c r="Q796" i="15"/>
  <c r="O790" i="15"/>
  <c r="R783" i="15"/>
  <c r="P777" i="15"/>
  <c r="N771" i="15"/>
  <c r="Q764" i="15"/>
  <c r="O758" i="15"/>
  <c r="R751" i="15"/>
  <c r="P745" i="15"/>
  <c r="N739" i="15"/>
  <c r="Q732" i="15"/>
  <c r="O726" i="15"/>
  <c r="R719" i="15"/>
  <c r="P713" i="15"/>
  <c r="N707" i="15"/>
  <c r="Q700" i="15"/>
  <c r="O690" i="15"/>
  <c r="P677" i="15"/>
  <c r="O668" i="15"/>
  <c r="R661" i="15"/>
  <c r="P655" i="15"/>
  <c r="R645" i="15"/>
  <c r="N637" i="15"/>
  <c r="Q630" i="15"/>
  <c r="O624" i="15"/>
  <c r="R617" i="15"/>
  <c r="P611" i="15"/>
  <c r="N605" i="15"/>
  <c r="Q598" i="15"/>
  <c r="O592" i="15"/>
  <c r="R585" i="15"/>
  <c r="P579" i="15"/>
  <c r="N573" i="15"/>
  <c r="Q566" i="15"/>
  <c r="O560" i="15"/>
  <c r="M190" i="15"/>
  <c r="M534" i="15"/>
  <c r="O1123" i="15"/>
  <c r="O1108" i="15"/>
  <c r="P1097" i="15"/>
  <c r="N1032" i="15"/>
  <c r="O963" i="15"/>
  <c r="Q986" i="15"/>
  <c r="P941" i="15"/>
  <c r="O894" i="15"/>
  <c r="O862" i="15"/>
  <c r="Q962" i="15"/>
  <c r="R924" i="15"/>
  <c r="R892" i="15"/>
  <c r="N860" i="15"/>
  <c r="P828" i="15"/>
  <c r="R802" i="15"/>
  <c r="O773" i="15"/>
  <c r="Q751" i="15"/>
  <c r="N722" i="15"/>
  <c r="P696" i="15"/>
  <c r="Q675" i="15"/>
  <c r="N821" i="15"/>
  <c r="Q806" i="15"/>
  <c r="N789" i="15"/>
  <c r="R773" i="15"/>
  <c r="N757" i="15"/>
  <c r="Q738" i="15"/>
  <c r="N725" i="15"/>
  <c r="Q706" i="15"/>
  <c r="Q684" i="15"/>
  <c r="P661" i="15"/>
  <c r="N643" i="15"/>
  <c r="M180" i="15"/>
  <c r="M240" i="15"/>
  <c r="M288" i="15"/>
  <c r="M340" i="15"/>
  <c r="M396" i="15"/>
  <c r="M440" i="15"/>
  <c r="M496" i="15"/>
  <c r="M544" i="15"/>
  <c r="M596" i="15"/>
  <c r="M652" i="15"/>
  <c r="M696" i="15"/>
  <c r="M752" i="15"/>
  <c r="N1142" i="15"/>
  <c r="Q1131" i="15"/>
  <c r="P1120" i="15"/>
  <c r="Q1111" i="15"/>
  <c r="P1100" i="15"/>
  <c r="O1134" i="15"/>
  <c r="R1123" i="15"/>
  <c r="Q1112" i="15"/>
  <c r="R1101" i="15"/>
  <c r="N1088" i="15"/>
  <c r="P1078" i="15"/>
  <c r="N1068" i="15"/>
  <c r="R1056" i="15"/>
  <c r="N1048" i="15"/>
  <c r="R1036" i="15"/>
  <c r="N1095" i="15"/>
  <c r="Q1084" i="15"/>
  <c r="P1073" i="15"/>
  <c r="Q1064" i="15"/>
  <c r="P1053" i="15"/>
  <c r="R1043" i="15"/>
  <c r="O1029" i="15"/>
  <c r="N1018" i="15"/>
  <c r="O1009" i="15"/>
  <c r="N998" i="15"/>
  <c r="P988" i="15"/>
  <c r="N978" i="15"/>
  <c r="R966" i="15"/>
  <c r="Q1036" i="15"/>
  <c r="R1023" i="15"/>
  <c r="O1014" i="15"/>
  <c r="R1003" i="15"/>
  <c r="Q992" i="15"/>
  <c r="R983" i="15"/>
  <c r="Q972" i="15"/>
  <c r="Q958" i="15"/>
  <c r="O948" i="15"/>
  <c r="N937" i="15"/>
  <c r="O928" i="15"/>
  <c r="N917" i="15"/>
  <c r="P907" i="15"/>
  <c r="N897" i="15"/>
  <c r="R885" i="15"/>
  <c r="N877" i="15"/>
  <c r="R865" i="15"/>
  <c r="O856" i="15"/>
  <c r="R845" i="15"/>
  <c r="Q834" i="15"/>
  <c r="P963" i="15"/>
  <c r="R950" i="15"/>
  <c r="O941" i="15"/>
  <c r="R930" i="15"/>
  <c r="Q919" i="15"/>
  <c r="R910" i="15"/>
  <c r="Q899" i="15"/>
  <c r="N890" i="15"/>
  <c r="Q879" i="15"/>
  <c r="P868" i="15"/>
  <c r="Q859" i="15"/>
  <c r="P848" i="15"/>
  <c r="R836" i="15"/>
  <c r="P822" i="15"/>
  <c r="N816" i="15"/>
  <c r="Q809" i="15"/>
  <c r="O803" i="15"/>
  <c r="R796" i="15"/>
  <c r="P790" i="15"/>
  <c r="N784" i="15"/>
  <c r="Q777" i="15"/>
  <c r="O771" i="15"/>
  <c r="R764" i="15"/>
  <c r="P758" i="15"/>
  <c r="N752" i="15"/>
  <c r="Q745" i="15"/>
  <c r="O739" i="15"/>
  <c r="R732" i="15"/>
  <c r="P726" i="15"/>
  <c r="N720" i="15"/>
  <c r="Q713" i="15"/>
  <c r="O707" i="15"/>
  <c r="R700" i="15"/>
  <c r="P694" i="15"/>
  <c r="N688" i="15"/>
  <c r="Q681" i="15"/>
  <c r="O675" i="15"/>
  <c r="R834" i="15"/>
  <c r="P825" i="15"/>
  <c r="N819" i="15"/>
  <c r="Q812" i="15"/>
  <c r="O806" i="15"/>
  <c r="R799" i="15"/>
  <c r="P793" i="15"/>
  <c r="N787" i="15"/>
  <c r="Q780" i="15"/>
  <c r="O774" i="15"/>
  <c r="R767" i="15"/>
  <c r="P761" i="15"/>
  <c r="N755" i="15"/>
  <c r="Q748" i="15"/>
  <c r="O742" i="15"/>
  <c r="R735" i="15"/>
  <c r="P729" i="15"/>
  <c r="N723" i="15"/>
  <c r="Q716" i="15"/>
  <c r="O710" i="15"/>
  <c r="R703" i="15"/>
  <c r="Q696" i="15"/>
  <c r="R683" i="15"/>
  <c r="P671" i="15"/>
  <c r="N665" i="15"/>
  <c r="Q658" i="15"/>
  <c r="O652" i="15"/>
  <c r="O640" i="15"/>
  <c r="R633" i="15"/>
  <c r="P627" i="15"/>
  <c r="N621" i="15"/>
  <c r="Q614" i="15"/>
  <c r="O608" i="15"/>
  <c r="R601" i="15"/>
  <c r="P595" i="15"/>
  <c r="N589" i="15"/>
  <c r="Q582" i="15"/>
  <c r="O576" i="15"/>
  <c r="R569" i="15"/>
  <c r="P563" i="15"/>
  <c r="M390" i="15"/>
  <c r="N1116" i="15"/>
  <c r="P1052" i="15"/>
  <c r="P1002" i="15"/>
  <c r="P999" i="15"/>
  <c r="Q912" i="15"/>
  <c r="R851" i="15"/>
  <c r="Q937" i="15"/>
  <c r="Q877" i="15"/>
  <c r="O839" i="15"/>
  <c r="N786" i="15"/>
  <c r="R746" i="15"/>
  <c r="Q703" i="15"/>
  <c r="N834" i="15"/>
  <c r="O808" i="15"/>
  <c r="R777" i="15"/>
  <c r="P755" i="15"/>
  <c r="Q726" i="15"/>
  <c r="N701" i="15"/>
  <c r="O662" i="15"/>
  <c r="M160" i="15"/>
  <c r="M244" i="15"/>
  <c r="M332" i="15"/>
  <c r="M408" i="15"/>
  <c r="M492" i="15"/>
  <c r="M576" i="15"/>
  <c r="M656" i="15"/>
  <c r="M736" i="15"/>
  <c r="N1138" i="15"/>
  <c r="R1122" i="15"/>
  <c r="O1105" i="15"/>
  <c r="R1131" i="15"/>
  <c r="Q1116" i="15"/>
  <c r="P1094" i="15"/>
  <c r="N1080" i="15"/>
  <c r="Q1061" i="15"/>
  <c r="P1046" i="15"/>
  <c r="O1098" i="15"/>
  <c r="R1079" i="15"/>
  <c r="P1065" i="15"/>
  <c r="N1047" i="15"/>
  <c r="P1028" i="15"/>
  <c r="R1010" i="15"/>
  <c r="R994" i="15"/>
  <c r="R978" i="15"/>
  <c r="P1041" i="15"/>
  <c r="N1023" i="15"/>
  <c r="P1005" i="15"/>
  <c r="O990" i="15"/>
  <c r="P973" i="15"/>
  <c r="O952" i="15"/>
  <c r="O936" i="15"/>
  <c r="O920" i="15"/>
  <c r="P903" i="15"/>
  <c r="O888" i="15"/>
  <c r="Q870" i="15"/>
  <c r="R853" i="15"/>
  <c r="Q838" i="15"/>
  <c r="O957" i="15"/>
  <c r="R942" i="15"/>
  <c r="P924" i="15"/>
  <c r="O909" i="15"/>
  <c r="P892" i="15"/>
  <c r="R874" i="15"/>
  <c r="P860" i="15"/>
  <c r="N842" i="15"/>
  <c r="Q821" i="15"/>
  <c r="O811" i="15"/>
  <c r="R800" i="15"/>
  <c r="O791" i="15"/>
  <c r="N780" i="15"/>
  <c r="P770" i="15"/>
  <c r="N760" i="15"/>
  <c r="Q749" i="15"/>
  <c r="N740" i="15"/>
  <c r="R728" i="15"/>
  <c r="O719" i="15"/>
  <c r="R708" i="15"/>
  <c r="P698" i="15"/>
  <c r="R688" i="15"/>
  <c r="Q677" i="15"/>
  <c r="O833" i="15"/>
  <c r="Q820" i="15"/>
  <c r="O810" i="15"/>
  <c r="Q800" i="15"/>
  <c r="P789" i="15"/>
  <c r="R779" i="15"/>
  <c r="P769" i="15"/>
  <c r="N759" i="15"/>
  <c r="P749" i="15"/>
  <c r="O738" i="15"/>
  <c r="Q728" i="15"/>
  <c r="O718" i="15"/>
  <c r="R707" i="15"/>
  <c r="O698" i="15"/>
  <c r="R675" i="15"/>
  <c r="O664" i="15"/>
  <c r="R653" i="15"/>
  <c r="R637" i="15"/>
  <c r="O628" i="15"/>
  <c r="N617" i="15"/>
  <c r="P607" i="15"/>
  <c r="N597" i="15"/>
  <c r="Q586" i="15"/>
  <c r="N577" i="15"/>
  <c r="R565" i="15"/>
  <c r="N557" i="15"/>
  <c r="Q550" i="15"/>
  <c r="O544" i="15"/>
  <c r="R537" i="15"/>
  <c r="P531" i="15"/>
  <c r="N525" i="15"/>
  <c r="Q518" i="15"/>
  <c r="O512" i="15"/>
  <c r="R505" i="15"/>
  <c r="P499" i="15"/>
  <c r="N493" i="15"/>
  <c r="Q486" i="15"/>
  <c r="O480" i="15"/>
  <c r="R473" i="15"/>
  <c r="P467" i="15"/>
  <c r="N461" i="15"/>
  <c r="Q454" i="15"/>
  <c r="O448" i="15"/>
  <c r="R441" i="15"/>
  <c r="P435" i="15"/>
  <c r="N429" i="15"/>
  <c r="Q422" i="15"/>
  <c r="O416" i="15"/>
  <c r="N693" i="15"/>
  <c r="O680" i="15"/>
  <c r="Q669" i="15"/>
  <c r="O663" i="15"/>
  <c r="R656" i="15"/>
  <c r="P650" i="15"/>
  <c r="N644" i="15"/>
  <c r="Q637" i="15"/>
  <c r="O631" i="15"/>
  <c r="R624" i="15"/>
  <c r="P618" i="15"/>
  <c r="N612" i="15"/>
  <c r="Q605" i="15"/>
  <c r="O599" i="15"/>
  <c r="R592" i="15"/>
  <c r="P586" i="15"/>
  <c r="N580" i="15"/>
  <c r="Q573" i="15"/>
  <c r="O567" i="15"/>
  <c r="R560" i="15"/>
  <c r="P554" i="15"/>
  <c r="N548" i="15"/>
  <c r="Q541" i="15"/>
  <c r="O535" i="15"/>
  <c r="R528" i="15"/>
  <c r="P522" i="15"/>
  <c r="N516" i="15"/>
  <c r="Q509" i="15"/>
  <c r="O503" i="15"/>
  <c r="R496" i="15"/>
  <c r="P490" i="15"/>
  <c r="N484" i="15"/>
  <c r="Q477" i="15"/>
  <c r="O471" i="15"/>
  <c r="R464" i="15"/>
  <c r="P458" i="15"/>
  <c r="N452" i="15"/>
  <c r="Q445" i="15"/>
  <c r="O439" i="15"/>
  <c r="N428" i="15"/>
  <c r="M482" i="15"/>
  <c r="R1108" i="15"/>
  <c r="R1103" i="15"/>
  <c r="N988" i="15"/>
  <c r="Q982" i="15"/>
  <c r="R903" i="15"/>
  <c r="P849" i="15"/>
  <c r="R932" i="15"/>
  <c r="R872" i="15"/>
  <c r="Q823" i="15"/>
  <c r="Q783" i="15"/>
  <c r="N738" i="15"/>
  <c r="N702" i="15"/>
  <c r="O828" i="15"/>
  <c r="P803" i="15"/>
  <c r="N777" i="15"/>
  <c r="N749" i="15"/>
  <c r="R725" i="15"/>
  <c r="R695" i="15"/>
  <c r="Q660" i="15"/>
  <c r="M164" i="15"/>
  <c r="M256" i="15"/>
  <c r="M336" i="15"/>
  <c r="M428" i="15"/>
  <c r="M500" i="15"/>
  <c r="M588" i="15"/>
  <c r="M664" i="15"/>
  <c r="M748" i="15"/>
  <c r="Q1135" i="15"/>
  <c r="Q1119" i="15"/>
  <c r="Q1103" i="15"/>
  <c r="O1130" i="15"/>
  <c r="N1115" i="15"/>
  <c r="R1092" i="15"/>
  <c r="N1076" i="15"/>
  <c r="R1060" i="15"/>
  <c r="O1043" i="15"/>
  <c r="Q1096" i="15"/>
  <c r="O1078" i="15"/>
  <c r="N1063" i="15"/>
  <c r="O1046" i="15"/>
  <c r="P1024" i="15"/>
  <c r="N1010" i="15"/>
  <c r="Q991" i="15"/>
  <c r="O977" i="15"/>
  <c r="R1039" i="15"/>
  <c r="Q1020" i="15"/>
  <c r="Q1004" i="15"/>
  <c r="O986" i="15"/>
  <c r="R971" i="15"/>
  <c r="R949" i="15"/>
  <c r="Q934" i="15"/>
  <c r="R917" i="15"/>
  <c r="N901" i="15"/>
  <c r="N885" i="15"/>
  <c r="N869" i="15"/>
  <c r="O852" i="15"/>
  <c r="N837" i="15"/>
  <c r="Q955" i="15"/>
  <c r="R938" i="15"/>
  <c r="Q923" i="15"/>
  <c r="N906" i="15"/>
  <c r="Q891" i="15"/>
  <c r="O873" i="15"/>
  <c r="N858" i="15"/>
  <c r="O841" i="15"/>
  <c r="N820" i="15"/>
  <c r="P810" i="15"/>
  <c r="O799" i="15"/>
  <c r="Q789" i="15"/>
  <c r="O779" i="15"/>
  <c r="R768" i="15"/>
  <c r="O759" i="15"/>
  <c r="N748" i="15"/>
  <c r="P738" i="15"/>
  <c r="N728" i="15"/>
  <c r="Q717" i="15"/>
  <c r="N708" i="15"/>
  <c r="R696" i="15"/>
  <c r="O687" i="15"/>
  <c r="R676" i="15"/>
  <c r="N830" i="15"/>
  <c r="R819" i="15"/>
  <c r="Q808" i="15"/>
  <c r="N799" i="15"/>
  <c r="Q788" i="15"/>
  <c r="O778" i="15"/>
  <c r="Q768" i="15"/>
  <c r="P757" i="15"/>
  <c r="R747" i="15"/>
  <c r="P737" i="15"/>
  <c r="N727" i="15"/>
  <c r="P717" i="15"/>
  <c r="O706" i="15"/>
  <c r="N695" i="15"/>
  <c r="O674" i="15"/>
  <c r="Q662" i="15"/>
  <c r="N653" i="15"/>
  <c r="O636" i="15"/>
  <c r="Q626" i="15"/>
  <c r="O616" i="15"/>
  <c r="R605" i="15"/>
  <c r="O596" i="15"/>
  <c r="N585" i="15"/>
  <c r="P575" i="15"/>
  <c r="N565" i="15"/>
  <c r="O556" i="15"/>
  <c r="R549" i="15"/>
  <c r="P543" i="15"/>
  <c r="N537" i="15"/>
  <c r="Q530" i="15"/>
  <c r="O524" i="15"/>
  <c r="R517" i="15"/>
  <c r="P511" i="15"/>
  <c r="N505" i="15"/>
  <c r="Q498" i="15"/>
  <c r="O492" i="15"/>
  <c r="R485" i="15"/>
  <c r="P479" i="15"/>
  <c r="N473" i="15"/>
  <c r="Q466" i="15"/>
  <c r="O460" i="15"/>
  <c r="R453" i="15"/>
  <c r="P447" i="15"/>
  <c r="N441" i="15"/>
  <c r="Q434" i="15"/>
  <c r="O428" i="15"/>
  <c r="R421" i="15"/>
  <c r="P415" i="15"/>
  <c r="P691" i="15"/>
  <c r="Q678" i="15"/>
  <c r="R668" i="15"/>
  <c r="P662" i="15"/>
  <c r="N656" i="15"/>
  <c r="Q649" i="15"/>
  <c r="O643" i="15"/>
  <c r="R636" i="15"/>
  <c r="P630" i="15"/>
  <c r="N624" i="15"/>
  <c r="Q617" i="15"/>
  <c r="O611" i="15"/>
  <c r="R604" i="15"/>
  <c r="P598" i="15"/>
  <c r="N592" i="15"/>
  <c r="Q585" i="15"/>
  <c r="O579" i="15"/>
  <c r="R572" i="15"/>
  <c r="P566" i="15"/>
  <c r="N560" i="15"/>
  <c r="Q553" i="15"/>
  <c r="O547" i="15"/>
  <c r="R540" i="15"/>
  <c r="P534" i="15"/>
  <c r="N528" i="15"/>
  <c r="Q521" i="15"/>
  <c r="O515" i="15"/>
  <c r="R508" i="15"/>
  <c r="P502" i="15"/>
  <c r="N496" i="15"/>
  <c r="Q489" i="15"/>
  <c r="O483" i="15"/>
  <c r="R476" i="15"/>
  <c r="P470" i="15"/>
  <c r="N464" i="15"/>
  <c r="Q457" i="15"/>
  <c r="O451" i="15"/>
  <c r="R444" i="15"/>
  <c r="P438" i="15"/>
  <c r="M518" i="15"/>
  <c r="Q1126" i="15"/>
  <c r="Q1090" i="15"/>
  <c r="O971" i="15"/>
  <c r="P975" i="15"/>
  <c r="N899" i="15"/>
  <c r="N839" i="15"/>
  <c r="N920" i="15"/>
  <c r="P866" i="15"/>
  <c r="N818" i="15"/>
  <c r="R778" i="15"/>
  <c r="R734" i="15"/>
  <c r="R690" i="15"/>
  <c r="P827" i="15"/>
  <c r="P799" i="15"/>
  <c r="O776" i="15"/>
  <c r="R745" i="15"/>
  <c r="Q722" i="15"/>
  <c r="N691" i="15"/>
  <c r="O654" i="15"/>
  <c r="M176" i="15"/>
  <c r="M272" i="15"/>
  <c r="M344" i="15"/>
  <c r="M432" i="15"/>
  <c r="M512" i="15"/>
  <c r="M592" i="15"/>
  <c r="M684" i="15"/>
  <c r="M756" i="15"/>
  <c r="O1133" i="15"/>
  <c r="N1118" i="15"/>
  <c r="O1101" i="15"/>
  <c r="R1127" i="15"/>
  <c r="R1111" i="15"/>
  <c r="O1091" i="15"/>
  <c r="P1074" i="15"/>
  <c r="O1059" i="15"/>
  <c r="Q1041" i="15"/>
  <c r="Q1092" i="15"/>
  <c r="P1077" i="15"/>
  <c r="R1059" i="15"/>
  <c r="P1045" i="15"/>
  <c r="R1022" i="15"/>
  <c r="Q1007" i="15"/>
  <c r="R990" i="15"/>
  <c r="O973" i="15"/>
  <c r="O1038" i="15"/>
  <c r="P1017" i="15"/>
  <c r="N1003" i="15"/>
  <c r="P985" i="15"/>
  <c r="P969" i="15"/>
  <c r="N949" i="15"/>
  <c r="Q930" i="15"/>
  <c r="O916" i="15"/>
  <c r="Q898" i="15"/>
  <c r="P883" i="15"/>
  <c r="Q866" i="15"/>
  <c r="R849" i="15"/>
  <c r="R833" i="15"/>
  <c r="N954" i="15"/>
  <c r="O937" i="15"/>
  <c r="N922" i="15"/>
  <c r="P904" i="15"/>
  <c r="Q887" i="15"/>
  <c r="P872" i="15"/>
  <c r="R854" i="15"/>
  <c r="N840" i="15"/>
  <c r="P818" i="15"/>
  <c r="R808" i="15"/>
  <c r="P798" i="15"/>
  <c r="N788" i="15"/>
  <c r="P778" i="15"/>
  <c r="O767" i="15"/>
  <c r="Q757" i="15"/>
  <c r="O747" i="15"/>
  <c r="R736" i="15"/>
  <c r="O727" i="15"/>
  <c r="N716" i="15"/>
  <c r="P706" i="15"/>
  <c r="N696" i="15"/>
  <c r="Q685" i="15"/>
  <c r="N676" i="15"/>
  <c r="R827" i="15"/>
  <c r="O818" i="15"/>
  <c r="R807" i="15"/>
  <c r="P797" i="15"/>
  <c r="R787" i="15"/>
  <c r="Q776" i="15"/>
  <c r="N767" i="15"/>
  <c r="Q756" i="15"/>
  <c r="O746" i="15"/>
  <c r="Q736" i="15"/>
  <c r="P725" i="15"/>
  <c r="R715" i="15"/>
  <c r="P705" i="15"/>
  <c r="R691" i="15"/>
  <c r="Q672" i="15"/>
  <c r="N661" i="15"/>
  <c r="Q650" i="15"/>
  <c r="P635" i="15"/>
  <c r="N625" i="15"/>
  <c r="P615" i="15"/>
  <c r="O604" i="15"/>
  <c r="Q594" i="15"/>
  <c r="O584" i="15"/>
  <c r="R573" i="15"/>
  <c r="O564" i="15"/>
  <c r="P555" i="15"/>
  <c r="N549" i="15"/>
  <c r="Q542" i="15"/>
  <c r="O536" i="15"/>
  <c r="R529" i="15"/>
  <c r="P523" i="15"/>
  <c r="N517" i="15"/>
  <c r="Q510" i="15"/>
  <c r="O504" i="15"/>
  <c r="R497" i="15"/>
  <c r="P491" i="15"/>
  <c r="N485" i="15"/>
  <c r="Q478" i="15"/>
  <c r="O472" i="15"/>
  <c r="R465" i="15"/>
  <c r="P459" i="15"/>
  <c r="N453" i="15"/>
  <c r="Q446" i="15"/>
  <c r="O440" i="15"/>
  <c r="R433" i="15"/>
  <c r="P427" i="15"/>
  <c r="N421" i="15"/>
  <c r="Q414" i="15"/>
  <c r="R689" i="15"/>
  <c r="N677" i="15"/>
  <c r="N668" i="15"/>
  <c r="Q661" i="15"/>
  <c r="O655" i="15"/>
  <c r="R648" i="15"/>
  <c r="P642" i="15"/>
  <c r="N636" i="15"/>
  <c r="Q629" i="15"/>
  <c r="O623" i="15"/>
  <c r="R616" i="15"/>
  <c r="P610" i="15"/>
  <c r="N604" i="15"/>
  <c r="Q597" i="15"/>
  <c r="O591" i="15"/>
  <c r="R584" i="15"/>
  <c r="P578" i="15"/>
  <c r="N572" i="15"/>
  <c r="Q565" i="15"/>
  <c r="O559" i="15"/>
  <c r="R552" i="15"/>
  <c r="P546" i="15"/>
  <c r="N540" i="15"/>
  <c r="Q533" i="15"/>
  <c r="O527" i="15"/>
  <c r="R520" i="15"/>
  <c r="P514" i="15"/>
  <c r="N508" i="15"/>
  <c r="Q501" i="15"/>
  <c r="O495" i="15"/>
  <c r="R488" i="15"/>
  <c r="P482" i="15"/>
  <c r="N476" i="15"/>
  <c r="Q469" i="15"/>
  <c r="O463" i="15"/>
  <c r="R456" i="15"/>
  <c r="P450" i="15"/>
  <c r="N444" i="15"/>
  <c r="Q437" i="15"/>
  <c r="R424" i="15"/>
  <c r="O412" i="15"/>
  <c r="M566" i="15"/>
  <c r="Q1071" i="15"/>
  <c r="P1037" i="15"/>
  <c r="R919" i="15"/>
  <c r="N960" i="15"/>
  <c r="Q861" i="15"/>
  <c r="R798" i="15"/>
  <c r="O725" i="15"/>
  <c r="R674" i="15"/>
  <c r="R789" i="15"/>
  <c r="N745" i="15"/>
  <c r="P707" i="15"/>
  <c r="P649" i="15"/>
  <c r="M236" i="15"/>
  <c r="M376" i="15"/>
  <c r="M528" i="15"/>
  <c r="M632" i="15"/>
  <c r="P1141" i="15"/>
  <c r="P1124" i="15"/>
  <c r="P1137" i="15"/>
  <c r="O1110" i="15"/>
  <c r="Q1081" i="15"/>
  <c r="P1054" i="15"/>
  <c r="R1099" i="15"/>
  <c r="N1071" i="15"/>
  <c r="N1041" i="15"/>
  <c r="Q1015" i="15"/>
  <c r="N986" i="15"/>
  <c r="P964" i="15"/>
  <c r="R1011" i="15"/>
  <c r="Q984" i="15"/>
  <c r="O956" i="15"/>
  <c r="N929" i="15"/>
  <c r="N905" i="15"/>
  <c r="R877" i="15"/>
  <c r="P847" i="15"/>
  <c r="N965" i="15"/>
  <c r="P932" i="15"/>
  <c r="Q911" i="15"/>
  <c r="O881" i="15"/>
  <c r="O853" i="15"/>
  <c r="N824" i="15"/>
  <c r="Q805" i="15"/>
  <c r="N792" i="15"/>
  <c r="Q773" i="15"/>
  <c r="N756" i="15"/>
  <c r="Q741" i="15"/>
  <c r="N724" i="15"/>
  <c r="Q709" i="15"/>
  <c r="N692" i="15"/>
  <c r="P674" i="15"/>
  <c r="N823" i="15"/>
  <c r="P805" i="15"/>
  <c r="N791" i="15"/>
  <c r="P773" i="15"/>
  <c r="R755" i="15"/>
  <c r="P741" i="15"/>
  <c r="R723" i="15"/>
  <c r="P709" i="15"/>
  <c r="P685" i="15"/>
  <c r="O660" i="15"/>
  <c r="N641" i="15"/>
  <c r="Q622" i="15"/>
  <c r="N609" i="15"/>
  <c r="Q590" i="15"/>
  <c r="O572" i="15"/>
  <c r="Q558" i="15"/>
  <c r="P547" i="15"/>
  <c r="Q538" i="15"/>
  <c r="P527" i="15"/>
  <c r="O516" i="15"/>
  <c r="P507" i="15"/>
  <c r="O496" i="15"/>
  <c r="P487" i="15"/>
  <c r="O476" i="15"/>
  <c r="N465" i="15"/>
  <c r="O456" i="15"/>
  <c r="N445" i="15"/>
  <c r="O436" i="15"/>
  <c r="N425" i="15"/>
  <c r="R413" i="15"/>
  <c r="P683" i="15"/>
  <c r="P666" i="15"/>
  <c r="Q657" i="15"/>
  <c r="P646" i="15"/>
  <c r="O635" i="15"/>
  <c r="P626" i="15"/>
  <c r="O615" i="15"/>
  <c r="P606" i="15"/>
  <c r="O595" i="15"/>
  <c r="N584" i="15"/>
  <c r="O575" i="15"/>
  <c r="N564" i="15"/>
  <c r="O555" i="15"/>
  <c r="N544" i="15"/>
  <c r="R532" i="15"/>
  <c r="N524" i="15"/>
  <c r="R512" i="15"/>
  <c r="N504" i="15"/>
  <c r="R492" i="15"/>
  <c r="Q481" i="15"/>
  <c r="R472" i="15"/>
  <c r="Q461" i="15"/>
  <c r="R452" i="15"/>
  <c r="Q441" i="15"/>
  <c r="P426" i="15"/>
  <c r="P411" i="15"/>
  <c r="N405" i="15"/>
  <c r="Q398" i="15"/>
  <c r="O392" i="15"/>
  <c r="R385" i="15"/>
  <c r="P379" i="15"/>
  <c r="N373" i="15"/>
  <c r="Q366" i="15"/>
  <c r="O360" i="15"/>
  <c r="R353" i="15"/>
  <c r="P347" i="15"/>
  <c r="N341" i="15"/>
  <c r="Q334" i="15"/>
  <c r="O328" i="15"/>
  <c r="R321" i="15"/>
  <c r="P315" i="15"/>
  <c r="N309" i="15"/>
  <c r="Q302" i="15"/>
  <c r="O296" i="15"/>
  <c r="R289" i="15"/>
  <c r="P283" i="15"/>
  <c r="N277" i="15"/>
  <c r="Q270" i="15"/>
  <c r="O264" i="15"/>
  <c r="R257" i="15"/>
  <c r="P251" i="15"/>
  <c r="N245" i="15"/>
  <c r="M694" i="15"/>
  <c r="N1058" i="15"/>
  <c r="R1017" i="15"/>
  <c r="N891" i="15"/>
  <c r="Q945" i="15"/>
  <c r="N856" i="15"/>
  <c r="O789" i="15"/>
  <c r="O721" i="15"/>
  <c r="N825" i="15"/>
  <c r="P787" i="15"/>
  <c r="Q742" i="15"/>
  <c r="R705" i="15"/>
  <c r="R647" i="15"/>
  <c r="M276" i="15"/>
  <c r="M384" i="15"/>
  <c r="M532" i="15"/>
  <c r="M640" i="15"/>
  <c r="Q1140" i="15"/>
  <c r="N1114" i="15"/>
  <c r="Q1136" i="15"/>
  <c r="O1106" i="15"/>
  <c r="R1080" i="15"/>
  <c r="P1050" i="15"/>
  <c r="N1091" i="15"/>
  <c r="N1067" i="15"/>
  <c r="R1037" i="15"/>
  <c r="Q1011" i="15"/>
  <c r="P984" i="15"/>
  <c r="P1033" i="15"/>
  <c r="O1010" i="15"/>
  <c r="O982" i="15"/>
  <c r="Q954" i="15"/>
  <c r="Q926" i="15"/>
  <c r="R897" i="15"/>
  <c r="P875" i="15"/>
  <c r="Q846" i="15"/>
  <c r="P960" i="15"/>
  <c r="Q931" i="15"/>
  <c r="R902" i="15"/>
  <c r="P880" i="15"/>
  <c r="Q851" i="15"/>
  <c r="O823" i="15"/>
  <c r="R804" i="15"/>
  <c r="P786" i="15"/>
  <c r="R772" i="15"/>
  <c r="P754" i="15"/>
  <c r="R740" i="15"/>
  <c r="P722" i="15"/>
  <c r="R704" i="15"/>
  <c r="P690" i="15"/>
  <c r="R672" i="15"/>
  <c r="P821" i="15"/>
  <c r="R803" i="15"/>
  <c r="O786" i="15"/>
  <c r="R771" i="15"/>
  <c r="O754" i="15"/>
  <c r="R739" i="15"/>
  <c r="O722" i="15"/>
  <c r="Q704" i="15"/>
  <c r="O682" i="15"/>
  <c r="P659" i="15"/>
  <c r="P639" i="15"/>
  <c r="R621" i="15"/>
  <c r="P603" i="15"/>
  <c r="R589" i="15"/>
  <c r="P571" i="15"/>
  <c r="R557" i="15"/>
  <c r="Q546" i="15"/>
  <c r="P535" i="15"/>
  <c r="Q526" i="15"/>
  <c r="P515" i="15"/>
  <c r="Q506" i="15"/>
  <c r="P495" i="15"/>
  <c r="O484" i="15"/>
  <c r="P475" i="15"/>
  <c r="O464" i="15"/>
  <c r="P455" i="15"/>
  <c r="O444" i="15"/>
  <c r="N433" i="15"/>
  <c r="O424" i="15"/>
  <c r="N413" i="15"/>
  <c r="R681" i="15"/>
  <c r="Q665" i="15"/>
  <c r="P654" i="15"/>
  <c r="Q645" i="15"/>
  <c r="P634" i="15"/>
  <c r="Q625" i="15"/>
  <c r="P614" i="15"/>
  <c r="O603" i="15"/>
  <c r="P594" i="15"/>
  <c r="O583" i="15"/>
  <c r="P574" i="15"/>
  <c r="O563" i="15"/>
  <c r="N552" i="15"/>
  <c r="O543" i="15"/>
  <c r="N532" i="15"/>
  <c r="O523" i="15"/>
  <c r="N512" i="15"/>
  <c r="R500" i="15"/>
  <c r="N492" i="15"/>
  <c r="R480" i="15"/>
  <c r="N472" i="15"/>
  <c r="R460" i="15"/>
  <c r="Q449" i="15"/>
  <c r="R440" i="15"/>
  <c r="O423" i="15"/>
  <c r="Q410" i="15"/>
  <c r="O404" i="15"/>
  <c r="R397" i="15"/>
  <c r="P391" i="15"/>
  <c r="N385" i="15"/>
  <c r="Q378" i="15"/>
  <c r="O372" i="15"/>
  <c r="R365" i="15"/>
  <c r="P359" i="15"/>
  <c r="N353" i="15"/>
  <c r="Q346" i="15"/>
  <c r="O340" i="15"/>
  <c r="R333" i="15"/>
  <c r="P327" i="15"/>
  <c r="N321" i="15"/>
  <c r="Q314" i="15"/>
  <c r="O308" i="15"/>
  <c r="R301" i="15"/>
  <c r="P295" i="15"/>
  <c r="N289" i="15"/>
  <c r="Q282" i="15"/>
  <c r="O276" i="15"/>
  <c r="R269" i="15"/>
  <c r="P263" i="15"/>
  <c r="N257" i="15"/>
  <c r="Q250" i="15"/>
  <c r="O244" i="15"/>
  <c r="M772" i="15"/>
  <c r="Q1137" i="15"/>
  <c r="N1049" i="15"/>
  <c r="P953" i="15"/>
  <c r="O870" i="15"/>
  <c r="O903" i="15"/>
  <c r="R840" i="15"/>
  <c r="O757" i="15"/>
  <c r="R686" i="15"/>
  <c r="R809" i="15"/>
  <c r="P767" i="15"/>
  <c r="N729" i="15"/>
  <c r="R671" i="15"/>
  <c r="M192" i="15"/>
  <c r="M308" i="15"/>
  <c r="M448" i="15"/>
  <c r="M564" i="15"/>
  <c r="M704" i="15"/>
  <c r="P1132" i="15"/>
  <c r="N1110" i="15"/>
  <c r="Q1124" i="15"/>
  <c r="Q1098" i="15"/>
  <c r="R1068" i="15"/>
  <c r="N1040" i="15"/>
  <c r="P1085" i="15"/>
  <c r="Q1056" i="15"/>
  <c r="N1030" i="15"/>
  <c r="O1001" i="15"/>
  <c r="Q971" i="15"/>
  <c r="N1027" i="15"/>
  <c r="P997" i="15"/>
  <c r="R975" i="15"/>
  <c r="R941" i="15"/>
  <c r="R913" i="15"/>
  <c r="Q890" i="15"/>
  <c r="Q862" i="15"/>
  <c r="P839" i="15"/>
  <c r="Q947" i="15"/>
  <c r="R918" i="15"/>
  <c r="P896" i="15"/>
  <c r="Q867" i="15"/>
  <c r="O845" i="15"/>
  <c r="O815" i="15"/>
  <c r="Q797" i="15"/>
  <c r="O783" i="15"/>
  <c r="Q765" i="15"/>
  <c r="O751" i="15"/>
  <c r="Q733" i="15"/>
  <c r="O715" i="15"/>
  <c r="Q701" i="15"/>
  <c r="O683" i="15"/>
  <c r="P836" i="15"/>
  <c r="O814" i="15"/>
  <c r="R795" i="15"/>
  <c r="O782" i="15"/>
  <c r="R763" i="15"/>
  <c r="O750" i="15"/>
  <c r="R731" i="15"/>
  <c r="O714" i="15"/>
  <c r="R699" i="15"/>
  <c r="N669" i="15"/>
  <c r="Q654" i="15"/>
  <c r="P631" i="15"/>
  <c r="R613" i="15"/>
  <c r="P599" i="15"/>
  <c r="R581" i="15"/>
  <c r="P567" i="15"/>
  <c r="N553" i="15"/>
  <c r="R541" i="15"/>
  <c r="N533" i="15"/>
  <c r="R521" i="15"/>
  <c r="N513" i="15"/>
  <c r="R501" i="15"/>
  <c r="Q490" i="15"/>
  <c r="R481" i="15"/>
  <c r="Q470" i="15"/>
  <c r="R461" i="15"/>
  <c r="Q450" i="15"/>
  <c r="P439" i="15"/>
  <c r="Q430" i="15"/>
  <c r="P419" i="15"/>
  <c r="Q694" i="15"/>
  <c r="O672" i="15"/>
  <c r="R660" i="15"/>
  <c r="N652" i="15"/>
  <c r="P1143" i="15"/>
  <c r="R964" i="15"/>
  <c r="P865" i="15"/>
  <c r="P850" i="15"/>
  <c r="O753" i="15"/>
  <c r="O816" i="15"/>
  <c r="R757" i="15"/>
  <c r="R667" i="15"/>
  <c r="M280" i="15"/>
  <c r="M472" i="15"/>
  <c r="M692" i="15"/>
  <c r="O1125" i="15"/>
  <c r="N1123" i="15"/>
  <c r="N1072" i="15"/>
  <c r="N1036" i="15"/>
  <c r="O1058" i="15"/>
  <c r="O1017" i="15"/>
  <c r="R970" i="15"/>
  <c r="R1007" i="15"/>
  <c r="P961" i="15"/>
  <c r="R921" i="15"/>
  <c r="Q878" i="15"/>
  <c r="O832" i="15"/>
  <c r="N930" i="15"/>
  <c r="N886" i="15"/>
  <c r="Q847" i="15"/>
  <c r="O807" i="15"/>
  <c r="Q781" i="15"/>
  <c r="Q753" i="15"/>
  <c r="P730" i="15"/>
  <c r="P702" i="15"/>
  <c r="O679" i="15"/>
  <c r="P813" i="15"/>
  <c r="Q784" i="15"/>
  <c r="O762" i="15"/>
  <c r="P733" i="15"/>
  <c r="N711" i="15"/>
  <c r="P667" i="15"/>
  <c r="Q634" i="15"/>
  <c r="Q610" i="15"/>
  <c r="P583" i="15"/>
  <c r="P559" i="15"/>
  <c r="N541" i="15"/>
  <c r="R525" i="15"/>
  <c r="N509" i="15"/>
  <c r="R493" i="15"/>
  <c r="N477" i="15"/>
  <c r="Q458" i="15"/>
  <c r="P443" i="15"/>
  <c r="Q426" i="15"/>
  <c r="O696" i="15"/>
  <c r="O667" i="15"/>
  <c r="O651" i="15"/>
  <c r="P638" i="15"/>
  <c r="Q621" i="15"/>
  <c r="R608" i="15"/>
  <c r="N596" i="15"/>
  <c r="Q581" i="15"/>
  <c r="R568" i="15"/>
  <c r="N556" i="15"/>
  <c r="O539" i="15"/>
  <c r="P526" i="15"/>
  <c r="Q513" i="15"/>
  <c r="O499" i="15"/>
  <c r="P486" i="15"/>
  <c r="Q473" i="15"/>
  <c r="O459" i="15"/>
  <c r="P446" i="15"/>
  <c r="Q429" i="15"/>
  <c r="N409" i="15"/>
  <c r="N401" i="15"/>
  <c r="N393" i="15"/>
  <c r="P383" i="15"/>
  <c r="P375" i="15"/>
  <c r="P367" i="15"/>
  <c r="R357" i="15"/>
  <c r="R349" i="15"/>
  <c r="R341" i="15"/>
  <c r="O332" i="15"/>
  <c r="O324" i="15"/>
  <c r="O316" i="15"/>
  <c r="Q306" i="15"/>
  <c r="Q298" i="15"/>
  <c r="Q290" i="15"/>
  <c r="N281" i="15"/>
  <c r="N273" i="15"/>
  <c r="N265" i="15"/>
  <c r="P255" i="15"/>
  <c r="P247" i="15"/>
  <c r="P239" i="15"/>
  <c r="N233" i="15"/>
  <c r="Q226" i="15"/>
  <c r="O220" i="15"/>
  <c r="R213" i="15"/>
  <c r="P207" i="15"/>
  <c r="N201" i="15"/>
  <c r="Q194" i="15"/>
  <c r="O188" i="15"/>
  <c r="R181" i="15"/>
  <c r="P175" i="15"/>
  <c r="N169" i="15"/>
  <c r="Q162" i="15"/>
  <c r="O156" i="15"/>
  <c r="R149" i="15"/>
  <c r="P143" i="15"/>
  <c r="N137" i="15"/>
  <c r="Q130" i="15"/>
  <c r="O124" i="15"/>
  <c r="N426" i="15"/>
  <c r="O413" i="15"/>
  <c r="P406" i="15"/>
  <c r="N400" i="15"/>
  <c r="Q393" i="15"/>
  <c r="O387" i="15"/>
  <c r="R380" i="15"/>
  <c r="P374" i="15"/>
  <c r="N368" i="15"/>
  <c r="Q361" i="15"/>
  <c r="O355" i="15"/>
  <c r="R348" i="15"/>
  <c r="P342" i="15"/>
  <c r="N336" i="15"/>
  <c r="Q329" i="15"/>
  <c r="O323" i="15"/>
  <c r="R316" i="15"/>
  <c r="P310" i="15"/>
  <c r="N304" i="15"/>
  <c r="Q297" i="15"/>
  <c r="O291" i="15"/>
  <c r="R284" i="15"/>
  <c r="P278" i="15"/>
  <c r="N272" i="15"/>
  <c r="Q265" i="15"/>
  <c r="O259" i="15"/>
  <c r="R252" i="15"/>
  <c r="P246" i="15"/>
  <c r="N240" i="15"/>
  <c r="Q233" i="15"/>
  <c r="O227" i="15"/>
  <c r="R220" i="15"/>
  <c r="P214" i="15"/>
  <c r="N208" i="15"/>
  <c r="Q201" i="15"/>
  <c r="O195" i="15"/>
  <c r="R188" i="15"/>
  <c r="P182" i="15"/>
  <c r="N176" i="15"/>
  <c r="Q169" i="15"/>
  <c r="O163" i="15"/>
  <c r="R156" i="15"/>
  <c r="M135" i="15"/>
  <c r="M167" i="15"/>
  <c r="M199" i="15"/>
  <c r="M231" i="15"/>
  <c r="M263" i="15"/>
  <c r="M295" i="15"/>
  <c r="M327" i="15"/>
  <c r="M359" i="15"/>
  <c r="M391" i="15"/>
  <c r="M423" i="15"/>
  <c r="M455" i="15"/>
  <c r="M487" i="15"/>
  <c r="M519" i="15"/>
  <c r="M551" i="15"/>
  <c r="M583" i="15"/>
  <c r="M615" i="15"/>
  <c r="M647" i="15"/>
  <c r="M679" i="15"/>
  <c r="M711" i="15"/>
  <c r="M743" i="15"/>
  <c r="M775" i="15"/>
  <c r="O1116" i="15"/>
  <c r="R1009" i="15"/>
  <c r="R831" i="15"/>
  <c r="O843" i="15"/>
  <c r="Q731" i="15"/>
  <c r="N809" i="15"/>
  <c r="R737" i="15"/>
  <c r="Q664" i="15"/>
  <c r="M300" i="15"/>
  <c r="M480" i="15"/>
  <c r="M720" i="15"/>
  <c r="O1113" i="15"/>
  <c r="N1119" i="15"/>
  <c r="Q1069" i="15"/>
  <c r="Q1033" i="15"/>
  <c r="O1054" i="15"/>
  <c r="P1004" i="15"/>
  <c r="O969" i="15"/>
  <c r="N999" i="15"/>
  <c r="O960" i="15"/>
  <c r="Q910" i="15"/>
  <c r="O872" i="15"/>
  <c r="O968" i="15"/>
  <c r="N926" i="15"/>
  <c r="Q883" i="15"/>
  <c r="N832" i="15"/>
  <c r="N804" i="15"/>
  <c r="R776" i="15"/>
  <c r="R752" i="15"/>
  <c r="Q725" i="15"/>
  <c r="N700" i="15"/>
  <c r="Q839" i="15"/>
  <c r="R811" i="15"/>
  <c r="N783" i="15"/>
  <c r="Q760" i="15"/>
  <c r="N731" i="15"/>
  <c r="N703" i="15"/>
  <c r="Q666" i="15"/>
  <c r="N633" i="15"/>
  <c r="R609" i="15"/>
  <c r="O580" i="15"/>
  <c r="Q554" i="15"/>
  <c r="O540" i="15"/>
  <c r="Q522" i="15"/>
  <c r="O508" i="15"/>
  <c r="R489" i="15"/>
  <c r="Q474" i="15"/>
  <c r="R457" i="15"/>
  <c r="Q442" i="15"/>
  <c r="R425" i="15"/>
  <c r="O688" i="15"/>
  <c r="R664" i="15"/>
  <c r="N648" i="15"/>
  <c r="Q633" i="15"/>
  <c r="R620" i="15"/>
  <c r="N608" i="15"/>
  <c r="Q593" i="15"/>
  <c r="R580" i="15"/>
  <c r="N568" i="15"/>
  <c r="O551" i="15"/>
  <c r="P538" i="15"/>
  <c r="Q525" i="15"/>
  <c r="O511" i="15"/>
  <c r="P498" i="15"/>
  <c r="Q485" i="15"/>
  <c r="R468" i="15"/>
  <c r="N456" i="15"/>
  <c r="O443" i="15"/>
  <c r="Q421" i="15"/>
  <c r="O408" i="15"/>
  <c r="O400" i="15"/>
  <c r="Q390" i="15"/>
  <c r="Q382" i="15"/>
  <c r="Q374" i="15"/>
  <c r="N365" i="15"/>
  <c r="N357" i="15"/>
  <c r="N349" i="15"/>
  <c r="P339" i="15"/>
  <c r="P331" i="15"/>
  <c r="P323" i="15"/>
  <c r="R313" i="15"/>
  <c r="R305" i="15"/>
  <c r="R297" i="15"/>
  <c r="O288" i="15"/>
  <c r="O280" i="15"/>
  <c r="O272" i="15"/>
  <c r="Q262" i="15"/>
  <c r="Q254" i="15"/>
  <c r="Q246" i="15"/>
  <c r="Q238" i="15"/>
  <c r="O232" i="15"/>
  <c r="R225" i="15"/>
  <c r="P219" i="15"/>
  <c r="N213" i="15"/>
  <c r="Q206" i="15"/>
  <c r="O200" i="15"/>
  <c r="R193" i="15"/>
  <c r="P187" i="15"/>
  <c r="N181" i="15"/>
  <c r="Q174" i="15"/>
  <c r="O168" i="15"/>
  <c r="R161" i="15"/>
  <c r="P155" i="15"/>
  <c r="N149" i="15"/>
  <c r="Q142" i="15"/>
  <c r="O136" i="15"/>
  <c r="R129" i="15"/>
  <c r="O437" i="15"/>
  <c r="P424" i="15"/>
  <c r="N412" i="15"/>
  <c r="Q405" i="15"/>
  <c r="O399" i="15"/>
  <c r="R392" i="15"/>
  <c r="P386" i="15"/>
  <c r="N380" i="15"/>
  <c r="Q373" i="15"/>
  <c r="O367" i="15"/>
  <c r="R360" i="15"/>
  <c r="P354" i="15"/>
  <c r="N348" i="15"/>
  <c r="Q341" i="15"/>
  <c r="O335" i="15"/>
  <c r="R328" i="15"/>
  <c r="P322" i="15"/>
  <c r="N316" i="15"/>
  <c r="Q309" i="15"/>
  <c r="O303" i="15"/>
  <c r="R296" i="15"/>
  <c r="P290" i="15"/>
  <c r="N284" i="15"/>
  <c r="Q277" i="15"/>
  <c r="O271" i="15"/>
  <c r="R264" i="15"/>
  <c r="P258" i="15"/>
  <c r="N252" i="15"/>
  <c r="Q245" i="15"/>
  <c r="O239" i="15"/>
  <c r="R232" i="15"/>
  <c r="P226" i="15"/>
  <c r="N220" i="15"/>
  <c r="Q213" i="15"/>
  <c r="O207" i="15"/>
  <c r="R200" i="15"/>
  <c r="P194" i="15"/>
  <c r="N188" i="15"/>
  <c r="Q181" i="15"/>
  <c r="O175" i="15"/>
  <c r="R168" i="15"/>
  <c r="P162" i="15"/>
  <c r="N156" i="15"/>
  <c r="M139" i="15"/>
  <c r="M171" i="15"/>
  <c r="M203" i="15"/>
  <c r="M235" i="15"/>
  <c r="M267" i="15"/>
  <c r="M299" i="15"/>
  <c r="M331" i="15"/>
  <c r="M363" i="15"/>
  <c r="M395" i="15"/>
  <c r="M427" i="15"/>
  <c r="M459" i="15"/>
  <c r="M491" i="15"/>
  <c r="M523" i="15"/>
  <c r="M555" i="15"/>
  <c r="M587" i="15"/>
  <c r="M619" i="15"/>
  <c r="M651" i="15"/>
  <c r="M683" i="15"/>
  <c r="M715" i="15"/>
  <c r="M747" i="15"/>
  <c r="R1109" i="15"/>
  <c r="N1005" i="15"/>
  <c r="N831" i="15"/>
  <c r="P812" i="15"/>
  <c r="R714" i="15"/>
  <c r="O796" i="15"/>
  <c r="P735" i="15"/>
  <c r="R651" i="15"/>
  <c r="M320" i="15"/>
  <c r="M536" i="15"/>
  <c r="M728" i="15"/>
  <c r="P1112" i="15"/>
  <c r="P1117" i="15"/>
  <c r="O1067" i="15"/>
  <c r="Q1088" i="15"/>
  <c r="Q1052" i="15"/>
  <c r="R1002" i="15"/>
  <c r="N966" i="15"/>
  <c r="Q996" i="15"/>
  <c r="P947" i="15"/>
  <c r="R909" i="15"/>
  <c r="N865" i="15"/>
  <c r="Q966" i="15"/>
  <c r="O917" i="15"/>
  <c r="R878" i="15"/>
  <c r="R828" i="15"/>
  <c r="P802" i="15"/>
  <c r="O775" i="15"/>
  <c r="P746" i="15"/>
  <c r="Q721" i="15"/>
  <c r="O695" i="15"/>
  <c r="N838" i="15"/>
  <c r="N807" i="15"/>
  <c r="P781" i="15"/>
  <c r="Q752" i="15"/>
  <c r="O730" i="15"/>
  <c r="P701" i="15"/>
  <c r="R665" i="15"/>
  <c r="R629" i="15"/>
  <c r="Q602" i="15"/>
  <c r="Q578" i="15"/>
  <c r="R553" i="15"/>
  <c r="P539" i="15"/>
  <c r="N521" i="15"/>
  <c r="P503" i="15"/>
  <c r="N489" i="15"/>
  <c r="P471" i="15"/>
  <c r="N457" i="15"/>
  <c r="Q438" i="15"/>
  <c r="P423" i="15"/>
  <c r="Q686" i="15"/>
  <c r="N664" i="15"/>
  <c r="O647" i="15"/>
  <c r="R632" i="15"/>
  <c r="N620" i="15"/>
  <c r="O607" i="15"/>
  <c r="P590" i="15"/>
  <c r="Q577" i="15"/>
  <c r="R564" i="15"/>
  <c r="P550" i="15"/>
  <c r="Q537" i="15"/>
  <c r="R524" i="15"/>
  <c r="P510" i="15"/>
  <c r="Q497" i="15"/>
  <c r="R484" i="15"/>
  <c r="N468" i="15"/>
  <c r="O455" i="15"/>
  <c r="P442" i="15"/>
  <c r="N420" i="15"/>
  <c r="P407" i="15"/>
  <c r="P399" i="15"/>
  <c r="R389" i="15"/>
  <c r="R381" i="15"/>
  <c r="R373" i="15"/>
  <c r="O364" i="15"/>
  <c r="O356" i="15"/>
  <c r="O348" i="15"/>
  <c r="Q338" i="15"/>
  <c r="Q330" i="15"/>
  <c r="Q322" i="15"/>
  <c r="N313" i="15"/>
  <c r="N305" i="15"/>
  <c r="N297" i="15"/>
  <c r="P287" i="15"/>
  <c r="P279" i="15"/>
  <c r="P271" i="15"/>
  <c r="R261" i="15"/>
  <c r="R253" i="15"/>
  <c r="R245" i="15"/>
  <c r="R237" i="15"/>
  <c r="P231" i="15"/>
  <c r="N225" i="15"/>
  <c r="Q218" i="15"/>
  <c r="O212" i="15"/>
  <c r="R205" i="15"/>
  <c r="P199" i="15"/>
  <c r="N193" i="15"/>
  <c r="Q186" i="15"/>
  <c r="O180" i="15"/>
  <c r="R173" i="15"/>
  <c r="P167" i="15"/>
  <c r="N161" i="15"/>
  <c r="Q154" i="15"/>
  <c r="O148" i="15"/>
  <c r="R141" i="15"/>
  <c r="P135" i="15"/>
  <c r="N129" i="15"/>
  <c r="Q435" i="15"/>
  <c r="R422" i="15"/>
  <c r="O411" i="15"/>
  <c r="R404" i="15"/>
  <c r="P398" i="15"/>
  <c r="N392" i="15"/>
  <c r="Q385" i="15"/>
  <c r="O379" i="15"/>
  <c r="R372" i="15"/>
  <c r="P366" i="15"/>
  <c r="N360" i="15"/>
  <c r="Q353" i="15"/>
  <c r="O347" i="15"/>
  <c r="R340" i="15"/>
  <c r="P334" i="15"/>
  <c r="N328" i="15"/>
  <c r="Q321" i="15"/>
  <c r="O315" i="15"/>
  <c r="R308" i="15"/>
  <c r="P302" i="15"/>
  <c r="N296" i="15"/>
  <c r="Q289" i="15"/>
  <c r="O283" i="15"/>
  <c r="R276" i="15"/>
  <c r="P270" i="15"/>
  <c r="N264" i="15"/>
  <c r="Q257" i="15"/>
  <c r="O251" i="15"/>
  <c r="R244" i="15"/>
  <c r="P238" i="15"/>
  <c r="N232" i="15"/>
  <c r="Q225" i="15"/>
  <c r="O219" i="15"/>
  <c r="R212" i="15"/>
  <c r="P206" i="15"/>
  <c r="N200" i="15"/>
  <c r="Q193" i="15"/>
  <c r="O187" i="15"/>
  <c r="R180" i="15"/>
  <c r="P174" i="15"/>
  <c r="N168" i="15"/>
  <c r="Q161" i="15"/>
  <c r="O155" i="15"/>
  <c r="M143" i="15"/>
  <c r="M175" i="15"/>
  <c r="M207" i="15"/>
  <c r="M239" i="15"/>
  <c r="M271" i="15"/>
  <c r="M303" i="15"/>
  <c r="M335" i="15"/>
  <c r="M367" i="15"/>
  <c r="M399" i="15"/>
  <c r="M431" i="15"/>
  <c r="M463" i="15"/>
  <c r="M495" i="15"/>
  <c r="M527" i="15"/>
  <c r="M559" i="15"/>
  <c r="M591" i="15"/>
  <c r="M623" i="15"/>
  <c r="M655" i="15"/>
  <c r="M687" i="15"/>
  <c r="M719" i="15"/>
  <c r="M751" i="15"/>
  <c r="M783" i="15"/>
  <c r="M815" i="15"/>
  <c r="P1096" i="15"/>
  <c r="Q884" i="15"/>
  <c r="P804" i="15"/>
  <c r="P819" i="15"/>
  <c r="O712" i="15"/>
  <c r="M364" i="15"/>
  <c r="M628" i="15"/>
  <c r="Q1099" i="15"/>
  <c r="R1084" i="15"/>
  <c r="R1075" i="15"/>
  <c r="R998" i="15"/>
  <c r="Q1016" i="15"/>
  <c r="N941" i="15"/>
  <c r="P879" i="15"/>
  <c r="P944" i="15"/>
  <c r="R870" i="15"/>
  <c r="Q813" i="15"/>
  <c r="P766" i="15"/>
  <c r="N732" i="15"/>
  <c r="N684" i="15"/>
  <c r="O802" i="15"/>
  <c r="P765" i="15"/>
  <c r="Q720" i="15"/>
  <c r="Q670" i="15"/>
  <c r="O620" i="15"/>
  <c r="R577" i="15"/>
  <c r="R545" i="15"/>
  <c r="P519" i="15"/>
  <c r="Q494" i="15"/>
  <c r="O468" i="15"/>
  <c r="R437" i="15"/>
  <c r="N417" i="15"/>
  <c r="O659" i="15"/>
  <c r="O639" i="15"/>
  <c r="Q613" i="15"/>
  <c r="Q589" i="15"/>
  <c r="P570" i="15"/>
  <c r="R548" i="15"/>
  <c r="Q529" i="15"/>
  <c r="Q505" i="15"/>
  <c r="N480" i="15"/>
  <c r="P462" i="15"/>
  <c r="N436" i="15"/>
  <c r="R409" i="15"/>
  <c r="P395" i="15"/>
  <c r="N381" i="15"/>
  <c r="N369" i="15"/>
  <c r="Q354" i="15"/>
  <c r="Q342" i="15"/>
  <c r="Q326" i="15"/>
  <c r="O312" i="15"/>
  <c r="O300" i="15"/>
  <c r="R285" i="15"/>
  <c r="R273" i="15"/>
  <c r="P259" i="15"/>
  <c r="P243" i="15"/>
  <c r="Q234" i="15"/>
  <c r="P223" i="15"/>
  <c r="Q214" i="15"/>
  <c r="P203" i="15"/>
  <c r="O192" i="15"/>
  <c r="P183" i="15"/>
  <c r="O172" i="15"/>
  <c r="P163" i="15"/>
  <c r="O152" i="15"/>
  <c r="N141" i="15"/>
  <c r="O132" i="15"/>
  <c r="P432" i="15"/>
  <c r="R414" i="15"/>
  <c r="P402" i="15"/>
  <c r="O391" i="15"/>
  <c r="P382" i="15"/>
  <c r="O371" i="15"/>
  <c r="P362" i="15"/>
  <c r="O351" i="15"/>
  <c r="N340" i="15"/>
  <c r="O331" i="15"/>
  <c r="N320" i="15"/>
  <c r="O311" i="15"/>
  <c r="N300" i="15"/>
  <c r="R288" i="15"/>
  <c r="N280" i="15"/>
  <c r="R268" i="15"/>
  <c r="N260" i="15"/>
  <c r="R248" i="15"/>
  <c r="Q237" i="15"/>
  <c r="R228" i="15"/>
  <c r="Q217" i="15"/>
  <c r="R208" i="15"/>
  <c r="Q197" i="15"/>
  <c r="P186" i="15"/>
  <c r="Q177" i="15"/>
  <c r="P166" i="15"/>
  <c r="Q157" i="15"/>
  <c r="M155" i="15"/>
  <c r="M211" i="15"/>
  <c r="M255" i="15"/>
  <c r="M311" i="15"/>
  <c r="M355" i="15"/>
  <c r="M411" i="15"/>
  <c r="M467" i="15"/>
  <c r="M511" i="15"/>
  <c r="M567" i="15"/>
  <c r="M611" i="15"/>
  <c r="M667" i="15"/>
  <c r="M723" i="15"/>
  <c r="M767" i="15"/>
  <c r="M807" i="15"/>
  <c r="M843" i="15"/>
  <c r="M875" i="15"/>
  <c r="M907" i="15"/>
  <c r="M939" i="15"/>
  <c r="M971" i="15"/>
  <c r="M1003" i="15"/>
  <c r="M1035" i="15"/>
  <c r="M1067" i="15"/>
  <c r="M1099" i="15"/>
  <c r="M1131" i="15"/>
  <c r="Q131" i="15"/>
  <c r="P144" i="15"/>
  <c r="M788" i="15"/>
  <c r="M820" i="15"/>
  <c r="M852" i="15"/>
  <c r="Q640" i="15"/>
  <c r="O634" i="15"/>
  <c r="R627" i="15"/>
  <c r="P621" i="15"/>
  <c r="N615" i="15"/>
  <c r="Q608" i="15"/>
  <c r="O602" i="15"/>
  <c r="R595" i="15"/>
  <c r="P589" i="15"/>
  <c r="N583" i="15"/>
  <c r="Q576" i="15"/>
  <c r="O570" i="15"/>
  <c r="R563" i="15"/>
  <c r="P557" i="15"/>
  <c r="N551" i="15"/>
  <c r="Q544" i="15"/>
  <c r="O538" i="15"/>
  <c r="R531" i="15"/>
  <c r="P525" i="15"/>
  <c r="N519" i="15"/>
  <c r="Q512" i="15"/>
  <c r="O506" i="15"/>
  <c r="R499" i="15"/>
  <c r="P493" i="15"/>
  <c r="N487" i="15"/>
  <c r="Q480" i="15"/>
  <c r="O474" i="15"/>
  <c r="R467" i="15"/>
  <c r="P461" i="15"/>
  <c r="N455" i="15"/>
  <c r="Q448" i="15"/>
  <c r="O442" i="15"/>
  <c r="R435" i="15"/>
  <c r="P429" i="15"/>
  <c r="N423" i="15"/>
  <c r="Q416" i="15"/>
  <c r="R693" i="15"/>
  <c r="N681" i="15"/>
  <c r="N670" i="15"/>
  <c r="Q663" i="15"/>
  <c r="O657" i="15"/>
  <c r="R650" i="15"/>
  <c r="P644" i="15"/>
  <c r="N638" i="15"/>
  <c r="Q631" i="15"/>
  <c r="O625" i="15"/>
  <c r="R618" i="15"/>
  <c r="P612" i="15"/>
  <c r="N606" i="15"/>
  <c r="Q599" i="15"/>
  <c r="O593" i="15"/>
  <c r="R586" i="15"/>
  <c r="P580" i="15"/>
  <c r="N574" i="15"/>
  <c r="Q567" i="15"/>
  <c r="O561" i="15"/>
  <c r="R554" i="15"/>
  <c r="P548" i="15"/>
  <c r="N542" i="15"/>
  <c r="Q535" i="15"/>
  <c r="O529" i="15"/>
  <c r="R522" i="15"/>
  <c r="P516" i="15"/>
  <c r="N510" i="15"/>
  <c r="Q503" i="15"/>
  <c r="O497" i="15"/>
  <c r="R490" i="15"/>
  <c r="P484" i="15"/>
  <c r="N478" i="15"/>
  <c r="Q471" i="15"/>
  <c r="O465" i="15"/>
  <c r="R458" i="15"/>
  <c r="P452" i="15"/>
  <c r="N446" i="15"/>
  <c r="Q439" i="15"/>
  <c r="R428" i="15"/>
  <c r="N416" i="15"/>
  <c r="R407" i="15"/>
  <c r="P401" i="15"/>
  <c r="N395" i="15"/>
  <c r="Q388" i="15"/>
  <c r="O382" i="15"/>
  <c r="R375" i="15"/>
  <c r="P369" i="15"/>
  <c r="N363" i="15"/>
  <c r="Q356" i="15"/>
  <c r="O350" i="15"/>
  <c r="R343" i="15"/>
  <c r="P337" i="15"/>
  <c r="N331" i="15"/>
  <c r="Q324" i="15"/>
  <c r="O318" i="15"/>
  <c r="R311" i="15"/>
  <c r="P305" i="15"/>
  <c r="N299" i="15"/>
  <c r="Q292" i="15"/>
  <c r="O286" i="15"/>
  <c r="R279" i="15"/>
  <c r="P273" i="15"/>
  <c r="N267" i="15"/>
  <c r="Q260" i="15"/>
  <c r="O254" i="15"/>
  <c r="R247" i="15"/>
  <c r="P241" i="15"/>
  <c r="N235" i="15"/>
  <c r="Q228" i="15"/>
  <c r="O222" i="15"/>
  <c r="R215" i="15"/>
  <c r="P209" i="15"/>
  <c r="N203" i="15"/>
  <c r="Q196" i="15"/>
  <c r="O190" i="15"/>
  <c r="R183" i="15"/>
  <c r="P177" i="15"/>
  <c r="N171" i="15"/>
  <c r="Q164" i="15"/>
  <c r="O158" i="15"/>
  <c r="R151" i="15"/>
  <c r="P145" i="15"/>
  <c r="N139" i="15"/>
  <c r="Q132" i="15"/>
  <c r="O126" i="15"/>
  <c r="P428" i="15"/>
  <c r="Q415" i="15"/>
  <c r="Q407" i="15"/>
  <c r="O401" i="15"/>
  <c r="R394" i="15"/>
  <c r="P388" i="15"/>
  <c r="N382" i="15"/>
  <c r="Q375" i="15"/>
  <c r="O369" i="15"/>
  <c r="R362" i="15"/>
  <c r="P356" i="15"/>
  <c r="N350" i="15"/>
  <c r="Q343" i="15"/>
  <c r="O337" i="15"/>
  <c r="R330" i="15"/>
  <c r="P324" i="15"/>
  <c r="N318" i="15"/>
  <c r="Q311" i="15"/>
  <c r="O305" i="15"/>
  <c r="R298" i="15"/>
  <c r="P292" i="15"/>
  <c r="N286" i="15"/>
  <c r="Q279" i="15"/>
  <c r="O273" i="15"/>
  <c r="R266" i="15"/>
  <c r="P260" i="15"/>
  <c r="N254" i="15"/>
  <c r="Q247" i="15"/>
  <c r="O241" i="15"/>
  <c r="R234" i="15"/>
  <c r="P228" i="15"/>
  <c r="N222" i="15"/>
  <c r="Q215" i="15"/>
  <c r="O209" i="15"/>
  <c r="R202" i="15"/>
  <c r="P196" i="15"/>
  <c r="N190" i="15"/>
  <c r="Q183" i="15"/>
  <c r="O177" i="15"/>
  <c r="R170" i="15"/>
  <c r="P164" i="15"/>
  <c r="N158" i="15"/>
  <c r="M125" i="15"/>
  <c r="M157" i="15"/>
  <c r="M189" i="15"/>
  <c r="M221" i="15"/>
  <c r="M253" i="15"/>
  <c r="M285" i="15"/>
  <c r="M325" i="15"/>
  <c r="M389" i="15"/>
  <c r="M453" i="15"/>
  <c r="M517" i="15"/>
  <c r="M581" i="15"/>
  <c r="M645" i="15"/>
  <c r="M709" i="15"/>
  <c r="M773" i="15"/>
  <c r="M837" i="15"/>
  <c r="M901" i="15"/>
  <c r="M965" i="15"/>
  <c r="M1029" i="15"/>
  <c r="M1093" i="15"/>
  <c r="O129" i="15"/>
  <c r="M782" i="15"/>
  <c r="M846" i="15"/>
  <c r="M882" i="15"/>
  <c r="M914" i="15"/>
  <c r="M946" i="15"/>
  <c r="M978" i="15"/>
  <c r="M1010" i="15"/>
  <c r="M1042" i="15"/>
  <c r="M1074" i="15"/>
  <c r="M1106" i="15"/>
  <c r="M1138" i="15"/>
  <c r="P134" i="15"/>
  <c r="O147" i="15"/>
  <c r="M345" i="15"/>
  <c r="M409" i="15"/>
  <c r="M473" i="15"/>
  <c r="M537" i="15"/>
  <c r="M601" i="15"/>
  <c r="M665" i="15"/>
  <c r="M729" i="15"/>
  <c r="M793" i="15"/>
  <c r="M857" i="15"/>
  <c r="M921" i="15"/>
  <c r="M985" i="15"/>
  <c r="M1049" i="15"/>
  <c r="M1113" i="15"/>
  <c r="O137" i="15"/>
  <c r="M802" i="15"/>
  <c r="M860" i="15"/>
  <c r="M892" i="15"/>
  <c r="M924" i="15"/>
  <c r="Q1074" i="15"/>
  <c r="P873" i="15"/>
  <c r="P772" i="15"/>
  <c r="R793" i="15"/>
  <c r="P689" i="15"/>
  <c r="M372" i="15"/>
  <c r="M688" i="15"/>
  <c r="O1097" i="15"/>
  <c r="O1063" i="15"/>
  <c r="Q1072" i="15"/>
  <c r="O997" i="15"/>
  <c r="R1015" i="15"/>
  <c r="P939" i="15"/>
  <c r="P859" i="15"/>
  <c r="Q943" i="15"/>
  <c r="N866" i="15"/>
  <c r="N812" i="15"/>
  <c r="N764" i="15"/>
  <c r="R720" i="15"/>
  <c r="P682" i="15"/>
  <c r="P801" i="15"/>
  <c r="N763" i="15"/>
  <c r="N719" i="15"/>
  <c r="R657" i="15"/>
  <c r="Q618" i="15"/>
  <c r="Q570" i="15"/>
  <c r="N545" i="15"/>
  <c r="Q514" i="15"/>
  <c r="O488" i="15"/>
  <c r="P463" i="15"/>
  <c r="N437" i="15"/>
  <c r="R697" i="15"/>
  <c r="P658" i="15"/>
  <c r="N632" i="15"/>
  <c r="R612" i="15"/>
  <c r="R588" i="15"/>
  <c r="Q569" i="15"/>
  <c r="Q545" i="15"/>
  <c r="N520" i="15"/>
  <c r="R504" i="15"/>
  <c r="O479" i="15"/>
  <c r="N460" i="15"/>
  <c r="P434" i="15"/>
  <c r="Q406" i="15"/>
  <c r="Q394" i="15"/>
  <c r="O380" i="15"/>
  <c r="O368" i="15"/>
  <c r="O352" i="15"/>
  <c r="R337" i="15"/>
  <c r="R325" i="15"/>
  <c r="P311" i="15"/>
  <c r="P299" i="15"/>
  <c r="N285" i="15"/>
  <c r="N269" i="15"/>
  <c r="Q258" i="15"/>
  <c r="Q242" i="15"/>
  <c r="R233" i="15"/>
  <c r="Q222" i="15"/>
  <c r="P211" i="15"/>
  <c r="Q202" i="15"/>
  <c r="P191" i="15"/>
  <c r="Q182" i="15"/>
  <c r="P171" i="15"/>
  <c r="O160" i="15"/>
  <c r="P151" i="15"/>
  <c r="O140" i="15"/>
  <c r="P131" i="15"/>
  <c r="R430" i="15"/>
  <c r="P410" i="15"/>
  <c r="Q401" i="15"/>
  <c r="P390" i="15"/>
  <c r="Q381" i="15"/>
  <c r="P370" i="15"/>
  <c r="O359" i="15"/>
  <c r="P350" i="15"/>
  <c r="O339" i="15"/>
  <c r="P330" i="15"/>
  <c r="O319" i="15"/>
  <c r="N308" i="15"/>
  <c r="O299" i="15"/>
  <c r="N288" i="15"/>
  <c r="O279" i="15"/>
  <c r="N268" i="15"/>
  <c r="R256" i="15"/>
  <c r="N248" i="15"/>
  <c r="R236" i="15"/>
  <c r="N228" i="15"/>
  <c r="R216" i="15"/>
  <c r="Q205" i="15"/>
  <c r="R196" i="15"/>
  <c r="Q185" i="15"/>
  <c r="R176" i="15"/>
  <c r="Q165" i="15"/>
  <c r="P154" i="15"/>
  <c r="M159" i="15"/>
  <c r="M215" i="15"/>
  <c r="M259" i="15"/>
  <c r="M315" i="15"/>
  <c r="M371" i="15"/>
  <c r="M415" i="15"/>
  <c r="M471" i="15"/>
  <c r="M515" i="15"/>
  <c r="M571" i="15"/>
  <c r="M627" i="15"/>
  <c r="M671" i="15"/>
  <c r="M727" i="15"/>
  <c r="M771" i="15"/>
  <c r="M811" i="15"/>
  <c r="M847" i="15"/>
  <c r="M879" i="15"/>
  <c r="M911" i="15"/>
  <c r="M943" i="15"/>
  <c r="M975" i="15"/>
  <c r="M1007" i="15"/>
  <c r="M1039" i="15"/>
  <c r="M1071" i="15"/>
  <c r="M1103" i="15"/>
  <c r="M1135" i="15"/>
  <c r="O133" i="15"/>
  <c r="N146" i="15"/>
  <c r="M792" i="15"/>
  <c r="M824" i="15"/>
  <c r="P651" i="15"/>
  <c r="R639" i="15"/>
  <c r="P633" i="15"/>
  <c r="N627" i="15"/>
  <c r="Q620" i="15"/>
  <c r="O614" i="15"/>
  <c r="R607" i="15"/>
  <c r="P601" i="15"/>
  <c r="N595" i="15"/>
  <c r="Q588" i="15"/>
  <c r="O582" i="15"/>
  <c r="R575" i="15"/>
  <c r="P569" i="15"/>
  <c r="N563" i="15"/>
  <c r="Q556" i="15"/>
  <c r="O550" i="15"/>
  <c r="R543" i="15"/>
  <c r="P537" i="15"/>
  <c r="N531" i="15"/>
  <c r="Q524" i="15"/>
  <c r="O518" i="15"/>
  <c r="R511" i="15"/>
  <c r="P505" i="15"/>
  <c r="N499" i="15"/>
  <c r="Q492" i="15"/>
  <c r="O486" i="15"/>
  <c r="R479" i="15"/>
  <c r="P473" i="15"/>
  <c r="N467" i="15"/>
  <c r="Q460" i="15"/>
  <c r="O454" i="15"/>
  <c r="R447" i="15"/>
  <c r="P441" i="15"/>
  <c r="N435" i="15"/>
  <c r="Q428" i="15"/>
  <c r="O422" i="15"/>
  <c r="R415" i="15"/>
  <c r="O692" i="15"/>
  <c r="P679" i="15"/>
  <c r="O669" i="15"/>
  <c r="R662" i="15"/>
  <c r="P656" i="15"/>
  <c r="N650" i="15"/>
  <c r="Q643" i="15"/>
  <c r="O637" i="15"/>
  <c r="R630" i="15"/>
  <c r="P624" i="15"/>
  <c r="N618" i="15"/>
  <c r="Q611" i="15"/>
  <c r="O605" i="15"/>
  <c r="R598" i="15"/>
  <c r="P592" i="15"/>
  <c r="N586" i="15"/>
  <c r="Q579" i="15"/>
  <c r="O573" i="15"/>
  <c r="R566" i="15"/>
  <c r="P560" i="15"/>
  <c r="N554" i="15"/>
  <c r="Q547" i="15"/>
  <c r="O541" i="15"/>
  <c r="R534" i="15"/>
  <c r="P528" i="15"/>
  <c r="N522" i="15"/>
  <c r="Q515" i="15"/>
  <c r="O509" i="15"/>
  <c r="R502" i="15"/>
  <c r="P496" i="15"/>
  <c r="N490" i="15"/>
  <c r="Q483" i="15"/>
  <c r="O477" i="15"/>
  <c r="R470" i="15"/>
  <c r="P464" i="15"/>
  <c r="N458" i="15"/>
  <c r="Q451" i="15"/>
  <c r="O445" i="15"/>
  <c r="R438" i="15"/>
  <c r="O427" i="15"/>
  <c r="P414" i="15"/>
  <c r="N407" i="15"/>
  <c r="Q400" i="15"/>
  <c r="O394" i="15"/>
  <c r="R387" i="15"/>
  <c r="P381" i="15"/>
  <c r="N375" i="15"/>
  <c r="Q368" i="15"/>
  <c r="O362" i="15"/>
  <c r="R355" i="15"/>
  <c r="P349" i="15"/>
  <c r="N343" i="15"/>
  <c r="Q336" i="15"/>
  <c r="O330" i="15"/>
  <c r="R323" i="15"/>
  <c r="P317" i="15"/>
  <c r="N311" i="15"/>
  <c r="Q304" i="15"/>
  <c r="O298" i="15"/>
  <c r="R291" i="15"/>
  <c r="P285" i="15"/>
  <c r="N279" i="15"/>
  <c r="Q272" i="15"/>
  <c r="O266" i="15"/>
  <c r="R259" i="15"/>
  <c r="P253" i="15"/>
  <c r="N247" i="15"/>
  <c r="Q240" i="15"/>
  <c r="O234" i="15"/>
  <c r="R227" i="15"/>
  <c r="P221" i="15"/>
  <c r="N215" i="15"/>
  <c r="Q208" i="15"/>
  <c r="O202" i="15"/>
  <c r="R195" i="15"/>
  <c r="P189" i="15"/>
  <c r="N183" i="15"/>
  <c r="Q176" i="15"/>
  <c r="O170" i="15"/>
  <c r="R163" i="15"/>
  <c r="P157" i="15"/>
  <c r="N151" i="15"/>
  <c r="Q144" i="15"/>
  <c r="O138" i="15"/>
  <c r="R131" i="15"/>
  <c r="P125" i="15"/>
  <c r="R426" i="15"/>
  <c r="N414" i="15"/>
  <c r="R406" i="15"/>
  <c r="P400" i="15"/>
  <c r="N394" i="15"/>
  <c r="Q387" i="15"/>
  <c r="O381" i="15"/>
  <c r="R374" i="15"/>
  <c r="P368" i="15"/>
  <c r="N362" i="15"/>
  <c r="Q355" i="15"/>
  <c r="O349" i="15"/>
  <c r="R342" i="15"/>
  <c r="P336" i="15"/>
  <c r="N330" i="15"/>
  <c r="Q323" i="15"/>
  <c r="O317" i="15"/>
  <c r="R310" i="15"/>
  <c r="P304" i="15"/>
  <c r="N298" i="15"/>
  <c r="Q291" i="15"/>
  <c r="O285" i="15"/>
  <c r="R278" i="15"/>
  <c r="P272" i="15"/>
  <c r="N266" i="15"/>
  <c r="Q259" i="15"/>
  <c r="O253" i="15"/>
  <c r="R246" i="15"/>
  <c r="P240" i="15"/>
  <c r="N234" i="15"/>
  <c r="Q227" i="15"/>
  <c r="O221" i="15"/>
  <c r="R214" i="15"/>
  <c r="P208" i="15"/>
  <c r="N202" i="15"/>
  <c r="Q195" i="15"/>
  <c r="O189" i="15"/>
  <c r="R182" i="15"/>
  <c r="P176" i="15"/>
  <c r="N170" i="15"/>
  <c r="Q163" i="15"/>
  <c r="O157" i="15"/>
  <c r="M129" i="15"/>
  <c r="M161" i="15"/>
  <c r="M193" i="15"/>
  <c r="M225" i="15"/>
  <c r="M257" i="15"/>
  <c r="M289" i="15"/>
  <c r="M333" i="15"/>
  <c r="M397" i="15"/>
  <c r="M461" i="15"/>
  <c r="M525" i="15"/>
  <c r="M589" i="15"/>
  <c r="M653" i="15"/>
  <c r="M717" i="15"/>
  <c r="M781" i="15"/>
  <c r="M845" i="15"/>
  <c r="M909" i="15"/>
  <c r="M973" i="15"/>
  <c r="M1037" i="15"/>
  <c r="M1101" i="15"/>
  <c r="P132" i="15"/>
  <c r="M790" i="15"/>
  <c r="M854" i="15"/>
  <c r="M886" i="15"/>
  <c r="M918" i="15"/>
  <c r="M950" i="15"/>
  <c r="M982" i="15"/>
  <c r="M1014" i="15"/>
  <c r="M1046" i="15"/>
  <c r="M1078" i="15"/>
  <c r="M1110" i="15"/>
  <c r="M1142" i="15"/>
  <c r="N136" i="15"/>
  <c r="R148" i="15"/>
  <c r="M353" i="15"/>
  <c r="M417" i="15"/>
  <c r="M481" i="15"/>
  <c r="M545" i="15"/>
  <c r="M609" i="15"/>
  <c r="M673" i="15"/>
  <c r="M737" i="15"/>
  <c r="M801" i="15"/>
  <c r="M865" i="15"/>
  <c r="M929" i="15"/>
  <c r="M993" i="15"/>
  <c r="M1057" i="15"/>
  <c r="M1121" i="15"/>
  <c r="P140" i="15"/>
  <c r="N1057" i="15"/>
  <c r="Q941" i="15"/>
  <c r="R766" i="15"/>
  <c r="P783" i="15"/>
  <c r="Q676" i="15"/>
  <c r="M400" i="15"/>
  <c r="M768" i="15"/>
  <c r="R1135" i="15"/>
  <c r="N1056" i="15"/>
  <c r="O1066" i="15"/>
  <c r="N990" i="15"/>
  <c r="N995" i="15"/>
  <c r="R929" i="15"/>
  <c r="Q858" i="15"/>
  <c r="R934" i="15"/>
  <c r="N862" i="15"/>
  <c r="N796" i="15"/>
  <c r="P762" i="15"/>
  <c r="P714" i="15"/>
  <c r="R680" i="15"/>
  <c r="N795" i="15"/>
  <c r="N751" i="15"/>
  <c r="Q712" i="15"/>
  <c r="O656" i="15"/>
  <c r="O612" i="15"/>
  <c r="N569" i="15"/>
  <c r="Q534" i="15"/>
  <c r="R513" i="15"/>
  <c r="P483" i="15"/>
  <c r="Q462" i="15"/>
  <c r="O432" i="15"/>
  <c r="N685" i="15"/>
  <c r="Q653" i="15"/>
  <c r="R628" i="15"/>
  <c r="Q609" i="15"/>
  <c r="N588" i="15"/>
  <c r="P562" i="15"/>
  <c r="R544" i="15"/>
  <c r="O519" i="15"/>
  <c r="N500" i="15"/>
  <c r="P478" i="15"/>
  <c r="P454" i="15"/>
  <c r="R432" i="15"/>
  <c r="R405" i="15"/>
  <c r="R393" i="15"/>
  <c r="R377" i="15"/>
  <c r="P363" i="15"/>
  <c r="P351" i="15"/>
  <c r="N337" i="15"/>
  <c r="N325" i="15"/>
  <c r="Q310" i="15"/>
  <c r="Q294" i="15"/>
  <c r="O284" i="15"/>
  <c r="O268" i="15"/>
  <c r="O256" i="15"/>
  <c r="R241" i="15"/>
  <c r="Q230" i="15"/>
  <c r="R221" i="15"/>
  <c r="Q210" i="15"/>
  <c r="R201" i="15"/>
  <c r="Q190" i="15"/>
  <c r="P179" i="15"/>
  <c r="Q170" i="15"/>
  <c r="P159" i="15"/>
  <c r="Q150" i="15"/>
  <c r="P139" i="15"/>
  <c r="O128" i="15"/>
  <c r="O429" i="15"/>
  <c r="Q409" i="15"/>
  <c r="R400" i="15"/>
  <c r="Q389" i="15"/>
  <c r="P378" i="15"/>
  <c r="Q369" i="15"/>
  <c r="P358" i="15"/>
  <c r="Q349" i="15"/>
  <c r="P338" i="15"/>
  <c r="O327" i="15"/>
  <c r="P318" i="15"/>
  <c r="O307" i="15"/>
  <c r="P298" i="15"/>
  <c r="O287" i="15"/>
  <c r="N276" i="15"/>
  <c r="O267" i="15"/>
  <c r="N256" i="15"/>
  <c r="O247" i="15"/>
  <c r="N236" i="15"/>
  <c r="R224" i="15"/>
  <c r="N216" i="15"/>
  <c r="R204" i="15"/>
  <c r="N196" i="15"/>
  <c r="R184" i="15"/>
  <c r="Q173" i="15"/>
  <c r="R164" i="15"/>
  <c r="Q153" i="15"/>
  <c r="M163" i="15"/>
  <c r="M219" i="15"/>
  <c r="M275" i="15"/>
  <c r="M319" i="15"/>
  <c r="M375" i="15"/>
  <c r="M419" i="15"/>
  <c r="M475" i="15"/>
  <c r="M531" i="15"/>
  <c r="M575" i="15"/>
  <c r="M631" i="15"/>
  <c r="M675" i="15"/>
  <c r="M731" i="15"/>
  <c r="M779" i="15"/>
  <c r="M819" i="15"/>
  <c r="M851" i="15"/>
  <c r="M883" i="15"/>
  <c r="M915" i="15"/>
  <c r="M947" i="15"/>
  <c r="M979" i="15"/>
  <c r="M1011" i="15"/>
  <c r="M1043" i="15"/>
  <c r="M1075" i="15"/>
  <c r="M1107" i="15"/>
  <c r="M1139" i="15"/>
  <c r="R134" i="15"/>
  <c r="Q147" i="15"/>
  <c r="M796" i="15"/>
  <c r="M828" i="15"/>
  <c r="R649" i="15"/>
  <c r="N639" i="15"/>
  <c r="Q632" i="15"/>
  <c r="O626" i="15"/>
  <c r="R619" i="15"/>
  <c r="P613" i="15"/>
  <c r="N607" i="15"/>
  <c r="Q600" i="15"/>
  <c r="O594" i="15"/>
  <c r="R587" i="15"/>
  <c r="P581" i="15"/>
  <c r="N575" i="15"/>
  <c r="Q568" i="15"/>
  <c r="O562" i="15"/>
  <c r="R555" i="15"/>
  <c r="P549" i="15"/>
  <c r="N543" i="15"/>
  <c r="Q536" i="15"/>
  <c r="O530" i="15"/>
  <c r="R523" i="15"/>
  <c r="P517" i="15"/>
  <c r="N511" i="15"/>
  <c r="Q504" i="15"/>
  <c r="O498" i="15"/>
  <c r="R491" i="15"/>
  <c r="P485" i="15"/>
  <c r="N479" i="15"/>
  <c r="Q472" i="15"/>
  <c r="O466" i="15"/>
  <c r="R459" i="15"/>
  <c r="P453" i="15"/>
  <c r="N447" i="15"/>
  <c r="Q440" i="15"/>
  <c r="O434" i="15"/>
  <c r="R427" i="15"/>
  <c r="P421" i="15"/>
  <c r="N415" i="15"/>
  <c r="Q690" i="15"/>
  <c r="R677" i="15"/>
  <c r="P668" i="15"/>
  <c r="N662" i="15"/>
  <c r="Q655" i="15"/>
  <c r="O649" i="15"/>
  <c r="R642" i="15"/>
  <c r="P636" i="15"/>
  <c r="N630" i="15"/>
  <c r="Q623" i="15"/>
  <c r="O617" i="15"/>
  <c r="R610" i="15"/>
  <c r="P604" i="15"/>
  <c r="N598" i="15"/>
  <c r="Q591" i="15"/>
  <c r="O585" i="15"/>
  <c r="R578" i="15"/>
  <c r="P572" i="15"/>
  <c r="N566" i="15"/>
  <c r="Q559" i="15"/>
  <c r="O553" i="15"/>
  <c r="R546" i="15"/>
  <c r="P540" i="15"/>
  <c r="N534" i="15"/>
  <c r="Q527" i="15"/>
  <c r="O521" i="15"/>
  <c r="R514" i="15"/>
  <c r="P508" i="15"/>
  <c r="N502" i="15"/>
  <c r="Q495" i="15"/>
  <c r="O489" i="15"/>
  <c r="R482" i="15"/>
  <c r="P476" i="15"/>
  <c r="N470" i="15"/>
  <c r="Q463" i="15"/>
  <c r="O457" i="15"/>
  <c r="R450" i="15"/>
  <c r="P444" i="15"/>
  <c r="N438" i="15"/>
  <c r="Q425" i="15"/>
  <c r="R412" i="15"/>
  <c r="O406" i="15"/>
  <c r="R399" i="15"/>
  <c r="P393" i="15"/>
  <c r="N387" i="15"/>
  <c r="Q380" i="15"/>
  <c r="O374" i="15"/>
  <c r="R367" i="15"/>
  <c r="P361" i="15"/>
  <c r="N355" i="15"/>
  <c r="Q348" i="15"/>
  <c r="O342" i="15"/>
  <c r="R335" i="15"/>
  <c r="P329" i="15"/>
  <c r="N323" i="15"/>
  <c r="Q316" i="15"/>
  <c r="O310" i="15"/>
  <c r="R303" i="15"/>
  <c r="P297" i="15"/>
  <c r="N291" i="15"/>
  <c r="Q284" i="15"/>
  <c r="O278" i="15"/>
  <c r="R271" i="15"/>
  <c r="P265" i="15"/>
  <c r="N259" i="15"/>
  <c r="Q252" i="15"/>
  <c r="O246" i="15"/>
  <c r="R239" i="15"/>
  <c r="P233" i="15"/>
  <c r="N227" i="15"/>
  <c r="Q220" i="15"/>
  <c r="O214" i="15"/>
  <c r="R207" i="15"/>
  <c r="P201" i="15"/>
  <c r="N195" i="15"/>
  <c r="Q188" i="15"/>
  <c r="O182" i="15"/>
  <c r="R175" i="15"/>
  <c r="P169" i="15"/>
  <c r="N163" i="15"/>
  <c r="Q156" i="15"/>
  <c r="O150" i="15"/>
  <c r="R143" i="15"/>
  <c r="P137" i="15"/>
  <c r="N131" i="15"/>
  <c r="Q124" i="15"/>
  <c r="O425" i="15"/>
  <c r="P412" i="15"/>
  <c r="N406" i="15"/>
  <c r="Q399" i="15"/>
  <c r="O393" i="15"/>
  <c r="R386" i="15"/>
  <c r="P380" i="15"/>
  <c r="N374" i="15"/>
  <c r="Q367" i="15"/>
  <c r="O361" i="15"/>
  <c r="R354" i="15"/>
  <c r="P348" i="15"/>
  <c r="N342" i="15"/>
  <c r="Q335" i="15"/>
  <c r="O329" i="15"/>
  <c r="R322" i="15"/>
  <c r="P316" i="15"/>
  <c r="N310" i="15"/>
  <c r="Q303" i="15"/>
  <c r="O297" i="15"/>
  <c r="R290" i="15"/>
  <c r="P284" i="15"/>
  <c r="N278" i="15"/>
  <c r="Q271" i="15"/>
  <c r="O265" i="15"/>
  <c r="R258" i="15"/>
  <c r="P252" i="15"/>
  <c r="N246" i="15"/>
  <c r="Q239" i="15"/>
  <c r="O233" i="15"/>
  <c r="R226" i="15"/>
  <c r="P220" i="15"/>
  <c r="N214" i="15"/>
  <c r="Q207" i="15"/>
  <c r="O201" i="15"/>
  <c r="R194" i="15"/>
  <c r="P188" i="15"/>
  <c r="N182" i="15"/>
  <c r="Q175" i="15"/>
  <c r="O169" i="15"/>
  <c r="R162" i="15"/>
  <c r="P156" i="15"/>
  <c r="M133" i="15"/>
  <c r="M165" i="15"/>
  <c r="M197" i="15"/>
  <c r="M229" i="15"/>
  <c r="M261" i="15"/>
  <c r="M293" i="15"/>
  <c r="M341" i="15"/>
  <c r="M405" i="15"/>
  <c r="M469" i="15"/>
  <c r="M533" i="15"/>
  <c r="M597" i="15"/>
  <c r="M661" i="15"/>
  <c r="M725" i="15"/>
  <c r="M789" i="15"/>
  <c r="M853" i="15"/>
  <c r="M917" i="15"/>
  <c r="M981" i="15"/>
  <c r="M1045" i="15"/>
  <c r="M1109" i="15"/>
  <c r="Q135" i="15"/>
  <c r="M798" i="15"/>
  <c r="M858" i="15"/>
  <c r="M890" i="15"/>
  <c r="M922" i="15"/>
  <c r="M954" i="15"/>
  <c r="M986" i="15"/>
  <c r="M1018" i="15"/>
  <c r="M1050" i="15"/>
  <c r="M1082" i="15"/>
  <c r="M1114" i="15"/>
  <c r="R124" i="15"/>
  <c r="Q137" i="15"/>
  <c r="P150" i="15"/>
  <c r="M361" i="15"/>
  <c r="M425" i="15"/>
  <c r="M489" i="15"/>
  <c r="M553" i="15"/>
  <c r="M617" i="15"/>
  <c r="M681" i="15"/>
  <c r="M745" i="15"/>
  <c r="M809" i="15"/>
  <c r="M873" i="15"/>
  <c r="M937" i="15"/>
  <c r="M1001" i="15"/>
  <c r="M1065" i="15"/>
  <c r="M1129" i="15"/>
  <c r="Q143" i="15"/>
  <c r="M818" i="15"/>
  <c r="M868" i="15"/>
  <c r="M900" i="15"/>
  <c r="M932" i="15"/>
  <c r="M964" i="15"/>
  <c r="M996" i="15"/>
  <c r="M1028" i="15"/>
  <c r="Q149" i="15"/>
  <c r="N124" i="15"/>
  <c r="M1080" i="15"/>
  <c r="M1012" i="15"/>
  <c r="M940" i="15"/>
  <c r="M896" i="15"/>
  <c r="M850" i="15"/>
  <c r="M1097" i="15"/>
  <c r="M897" i="15"/>
  <c r="M697" i="15"/>
  <c r="M497" i="15"/>
  <c r="Q145" i="15"/>
  <c r="M1098" i="15"/>
  <c r="M998" i="15"/>
  <c r="M898" i="15"/>
  <c r="M830" i="15"/>
  <c r="M1069" i="15"/>
  <c r="M869" i="15"/>
  <c r="M669" i="15"/>
  <c r="M445" i="15"/>
  <c r="M277" i="15"/>
  <c r="M177" i="15"/>
  <c r="O161" i="15"/>
  <c r="O181" i="15"/>
  <c r="Q203" i="15"/>
  <c r="Q223" i="15"/>
  <c r="Q243" i="15"/>
  <c r="Q263" i="15"/>
  <c r="Q283" i="15"/>
  <c r="N306" i="15"/>
  <c r="N326" i="15"/>
  <c r="N346" i="15"/>
  <c r="N366" i="15"/>
  <c r="N386" i="15"/>
  <c r="P408" i="15"/>
  <c r="R127" i="15"/>
  <c r="R147" i="15"/>
  <c r="R167" i="15"/>
  <c r="R187" i="15"/>
  <c r="O210" i="15"/>
  <c r="O230" i="15"/>
  <c r="O250" i="15"/>
  <c r="O270" i="15"/>
  <c r="O290" i="15"/>
  <c r="Q312" i="15"/>
  <c r="Q332" i="15"/>
  <c r="Q352" i="15"/>
  <c r="Q372" i="15"/>
  <c r="Q392" i="15"/>
  <c r="Q417" i="15"/>
  <c r="Q447" i="15"/>
  <c r="P456" i="15"/>
  <c r="R478" i="15"/>
  <c r="R498" i="15"/>
  <c r="R518" i="15"/>
  <c r="N550" i="15"/>
  <c r="N570" i="15"/>
  <c r="N590" i="15"/>
  <c r="O601" i="15"/>
  <c r="O621" i="15"/>
  <c r="O641" i="15"/>
  <c r="O661" i="15"/>
  <c r="P695" i="15"/>
  <c r="N431" i="15"/>
  <c r="N451" i="15"/>
  <c r="N471" i="15"/>
  <c r="N491" i="15"/>
  <c r="P513" i="15"/>
  <c r="P533" i="15"/>
  <c r="P553" i="15"/>
  <c r="P573" i="15"/>
  <c r="P593" i="15"/>
  <c r="R615" i="15"/>
  <c r="R635" i="15"/>
  <c r="M808" i="15"/>
  <c r="O125" i="15"/>
  <c r="M1047" i="15"/>
  <c r="M935" i="15"/>
  <c r="M835" i="15"/>
  <c r="M699" i="15"/>
  <c r="M539" i="15"/>
  <c r="M379" i="15"/>
  <c r="M195" i="15"/>
  <c r="P170" i="15"/>
  <c r="P202" i="15"/>
  <c r="P234" i="15"/>
  <c r="P266" i="15"/>
  <c r="R300" i="15"/>
  <c r="R332" i="15"/>
  <c r="R364" i="15"/>
  <c r="R396" i="15"/>
  <c r="P127" i="15"/>
  <c r="O164" i="15"/>
  <c r="O196" i="15"/>
  <c r="O228" i="15"/>
  <c r="Q266" i="15"/>
  <c r="R309" i="15"/>
  <c r="P355" i="15"/>
  <c r="N397" i="15"/>
  <c r="O467" i="15"/>
  <c r="R536" i="15"/>
  <c r="P602" i="15"/>
  <c r="R417" i="15"/>
  <c r="O500" i="15"/>
  <c r="N593" i="15"/>
  <c r="R743" i="15"/>
  <c r="R712" i="15"/>
  <c r="O893" i="15"/>
  <c r="N963" i="15"/>
  <c r="Q1037" i="15"/>
  <c r="N717" i="15"/>
  <c r="R754" i="15"/>
  <c r="P146" i="15"/>
  <c r="Q133" i="15"/>
  <c r="M1136" i="15"/>
  <c r="M1104" i="15"/>
  <c r="M1072" i="15"/>
  <c r="M1040" i="15"/>
  <c r="M1004" i="15"/>
  <c r="M968" i="15"/>
  <c r="M928" i="15"/>
  <c r="M884" i="15"/>
  <c r="M834" i="15"/>
  <c r="N134" i="15"/>
  <c r="M1081" i="15"/>
  <c r="M969" i="15"/>
  <c r="M881" i="15"/>
  <c r="M769" i="15"/>
  <c r="M657" i="15"/>
  <c r="M569" i="15"/>
  <c r="M457" i="15"/>
  <c r="M369" i="15"/>
  <c r="P142" i="15"/>
  <c r="M1134" i="15"/>
  <c r="M1090" i="15"/>
  <c r="M1034" i="15"/>
  <c r="M990" i="15"/>
  <c r="M934" i="15"/>
  <c r="M878" i="15"/>
  <c r="M814" i="15"/>
  <c r="M1141" i="15"/>
  <c r="M1053" i="15"/>
  <c r="M941" i="15"/>
  <c r="M829" i="15"/>
  <c r="M741" i="15"/>
  <c r="M629" i="15"/>
  <c r="M541" i="15"/>
  <c r="M429" i="15"/>
  <c r="M317" i="15"/>
  <c r="M269" i="15"/>
  <c r="M213" i="15"/>
  <c r="M169" i="15"/>
  <c r="N154" i="15"/>
  <c r="O165" i="15"/>
  <c r="N174" i="15"/>
  <c r="O185" i="15"/>
  <c r="N194" i="15"/>
  <c r="O205" i="15"/>
  <c r="P216" i="15"/>
  <c r="O225" i="15"/>
  <c r="P236" i="15"/>
  <c r="O245" i="15"/>
  <c r="P256" i="15"/>
  <c r="Q267" i="15"/>
  <c r="P276" i="15"/>
  <c r="Q287" i="15"/>
  <c r="P296" i="15"/>
  <c r="Q307" i="15"/>
  <c r="R318" i="15"/>
  <c r="Q327" i="15"/>
  <c r="R338" i="15"/>
  <c r="Q347" i="15"/>
  <c r="R358" i="15"/>
  <c r="N370" i="15"/>
  <c r="R378" i="15"/>
  <c r="N390" i="15"/>
  <c r="R398" i="15"/>
  <c r="N410" i="15"/>
  <c r="N430" i="15"/>
  <c r="P129" i="15"/>
  <c r="Q140" i="15"/>
  <c r="P149" i="15"/>
  <c r="Q160" i="15"/>
  <c r="R171" i="15"/>
  <c r="Q180" i="15"/>
  <c r="R191" i="15"/>
  <c r="Q200" i="15"/>
  <c r="R211" i="15"/>
  <c r="N223" i="15"/>
  <c r="R231" i="15"/>
  <c r="N243" i="15"/>
  <c r="R251" i="15"/>
  <c r="N263" i="15"/>
  <c r="O274" i="15"/>
  <c r="N283" i="15"/>
  <c r="O294" i="15"/>
  <c r="N303" i="15"/>
  <c r="O314" i="15"/>
  <c r="P325" i="15"/>
  <c r="O334" i="15"/>
  <c r="P345" i="15"/>
  <c r="O354" i="15"/>
  <c r="P365" i="15"/>
  <c r="Q376" i="15"/>
  <c r="P385" i="15"/>
  <c r="Q396" i="15"/>
  <c r="P405" i="15"/>
  <c r="R420" i="15"/>
  <c r="P440" i="15"/>
  <c r="O449" i="15"/>
  <c r="P460" i="15"/>
  <c r="O469" i="15"/>
  <c r="P480" i="15"/>
  <c r="Q491" i="15"/>
  <c r="P500" i="15"/>
  <c r="Q511" i="15"/>
  <c r="P520" i="15"/>
  <c r="Q531" i="15"/>
  <c r="R542" i="15"/>
  <c r="Q551" i="15"/>
  <c r="R562" i="15"/>
  <c r="Q571" i="15"/>
  <c r="R582" i="15"/>
  <c r="N594" i="15"/>
  <c r="R602" i="15"/>
  <c r="N614" i="15"/>
  <c r="R622" i="15"/>
  <c r="N634" i="15"/>
  <c r="O645" i="15"/>
  <c r="N654" i="15"/>
  <c r="O665" i="15"/>
  <c r="O676" i="15"/>
  <c r="Q412" i="15"/>
  <c r="R423" i="15"/>
  <c r="Q432" i="15"/>
  <c r="R443" i="15"/>
  <c r="Q452" i="15"/>
  <c r="R463" i="15"/>
  <c r="N475" i="15"/>
  <c r="R483" i="15"/>
  <c r="N495" i="15"/>
  <c r="R503" i="15"/>
  <c r="N515" i="15"/>
  <c r="O526" i="15"/>
  <c r="N535" i="15"/>
  <c r="O546" i="15"/>
  <c r="N555" i="15"/>
  <c r="O566" i="15"/>
  <c r="P577" i="15"/>
  <c r="O586" i="15"/>
  <c r="P597" i="15"/>
  <c r="O606" i="15"/>
  <c r="P617" i="15"/>
  <c r="Q628" i="15"/>
  <c r="P637" i="15"/>
  <c r="M844" i="15"/>
  <c r="M800" i="15"/>
  <c r="Q139" i="15"/>
  <c r="M1127" i="15"/>
  <c r="M1083" i="15"/>
  <c r="M1027" i="15"/>
  <c r="M983" i="15"/>
  <c r="M927" i="15"/>
  <c r="M871" i="15"/>
  <c r="M827" i="15"/>
  <c r="M759" i="15"/>
  <c r="M691" i="15"/>
  <c r="M599" i="15"/>
  <c r="M507" i="15"/>
  <c r="M439" i="15"/>
  <c r="M347" i="15"/>
  <c r="M279" i="15"/>
  <c r="M187" i="15"/>
  <c r="P158" i="15"/>
  <c r="N172" i="15"/>
  <c r="P190" i="15"/>
  <c r="N204" i="15"/>
  <c r="P222" i="15"/>
  <c r="R240" i="15"/>
  <c r="P254" i="15"/>
  <c r="R272" i="15"/>
  <c r="P286" i="15"/>
  <c r="R304" i="15"/>
  <c r="R320" i="15"/>
  <c r="R336" i="15"/>
  <c r="R352" i="15"/>
  <c r="R368" i="15"/>
  <c r="R384" i="15"/>
  <c r="O403" i="15"/>
  <c r="O421" i="15"/>
  <c r="R133" i="15"/>
  <c r="P147" i="15"/>
  <c r="R165" i="15"/>
  <c r="O184" i="15"/>
  <c r="R197" i="15"/>
  <c r="O216" i="15"/>
  <c r="R229" i="15"/>
  <c r="R249" i="15"/>
  <c r="Q274" i="15"/>
  <c r="N293" i="15"/>
  <c r="R317" i="15"/>
  <c r="O336" i="15"/>
  <c r="N361" i="15"/>
  <c r="O384" i="15"/>
  <c r="Q402" i="15"/>
  <c r="O447" i="15"/>
  <c r="O475" i="15"/>
  <c r="R516" i="15"/>
  <c r="Q549" i="15"/>
  <c r="P582" i="15"/>
  <c r="O619" i="15"/>
  <c r="R652" i="15"/>
  <c r="O420" i="15"/>
  <c r="N469" i="15"/>
  <c r="Q502" i="15"/>
  <c r="P551" i="15"/>
  <c r="N601" i="15"/>
  <c r="Q688" i="15"/>
  <c r="O770" i="15"/>
  <c r="O826" i="15"/>
  <c r="O735" i="15"/>
  <c r="P794" i="15"/>
  <c r="P900" i="15"/>
  <c r="R889" i="15"/>
  <c r="N979" i="15"/>
  <c r="N1022" i="15"/>
  <c r="Q1049" i="15"/>
  <c r="R1130" i="15"/>
  <c r="M224" i="15"/>
  <c r="P763" i="15"/>
  <c r="P890" i="15"/>
  <c r="P1043" i="15"/>
  <c r="I1001" i="3"/>
  <c r="I994" i="3"/>
  <c r="I403" i="3"/>
  <c r="K775" i="3"/>
  <c r="G775" i="3" s="1"/>
  <c r="I795" i="3"/>
  <c r="I797" i="3"/>
  <c r="I796" i="3"/>
  <c r="A20" i="8"/>
  <c r="X220" i="1"/>
  <c r="S8" i="3"/>
  <c r="I502" i="3"/>
  <c r="I503" i="3"/>
  <c r="I506" i="3"/>
  <c r="I497" i="3"/>
  <c r="I493" i="3"/>
  <c r="I499" i="3"/>
  <c r="I492" i="3"/>
  <c r="I495" i="3"/>
  <c r="I501" i="3"/>
  <c r="I491" i="3"/>
  <c r="I504" i="3"/>
  <c r="I505" i="3"/>
  <c r="I494" i="3"/>
  <c r="I500" i="3"/>
  <c r="I496" i="3"/>
  <c r="I498" i="3"/>
  <c r="I481" i="3"/>
  <c r="AJ1" i="1"/>
  <c r="AO1" i="1"/>
  <c r="BA134" i="1"/>
  <c r="I1123" i="3" l="1"/>
  <c r="I1128" i="3"/>
  <c r="I1130" i="3"/>
  <c r="I1127" i="3"/>
  <c r="I1129" i="3"/>
  <c r="I1100" i="3"/>
  <c r="I1098" i="3"/>
  <c r="I1121" i="3"/>
  <c r="I1120" i="3"/>
  <c r="I1101" i="3"/>
  <c r="I1119" i="3"/>
  <c r="I1122" i="3"/>
  <c r="I1099" i="3"/>
  <c r="I1102" i="3"/>
  <c r="I1097" i="3"/>
  <c r="I967" i="3"/>
  <c r="I965" i="3"/>
  <c r="I968" i="3"/>
  <c r="I970" i="3"/>
  <c r="I969" i="3"/>
  <c r="I971" i="3"/>
  <c r="I966" i="3"/>
  <c r="I920" i="3"/>
  <c r="G920" i="3" s="1"/>
  <c r="I923" i="3"/>
  <c r="G923" i="3" s="1"/>
  <c r="I921" i="3"/>
  <c r="I918" i="3"/>
  <c r="G918" i="3" s="1"/>
  <c r="I908" i="3"/>
  <c r="G908" i="3" s="1"/>
  <c r="I905" i="3"/>
  <c r="I912" i="3"/>
  <c r="G912" i="3" s="1"/>
  <c r="I915" i="3"/>
  <c r="I913" i="3"/>
  <c r="G913" i="3" s="1"/>
  <c r="I917" i="3"/>
  <c r="I906" i="3"/>
  <c r="I910" i="3"/>
  <c r="I909" i="3"/>
  <c r="G909" i="3" s="1"/>
  <c r="I916" i="3"/>
  <c r="G916" i="3" s="1"/>
  <c r="I911" i="3"/>
  <c r="I919" i="3"/>
  <c r="G919" i="3" s="1"/>
  <c r="I907" i="3"/>
  <c r="I914" i="3"/>
  <c r="I554" i="3"/>
  <c r="I616" i="3"/>
  <c r="I615" i="3"/>
  <c r="A21" i="8"/>
  <c r="T8" i="3"/>
  <c r="K1001" i="3" s="1"/>
  <c r="G1001" i="3" s="1"/>
  <c r="I525" i="3"/>
  <c r="I512" i="3"/>
  <c r="I522" i="3"/>
  <c r="I530" i="3"/>
  <c r="I510" i="3"/>
  <c r="I527" i="3"/>
  <c r="I515" i="3"/>
  <c r="I521" i="3"/>
  <c r="I516" i="3"/>
  <c r="I511" i="3"/>
  <c r="I531" i="3"/>
  <c r="I529" i="3"/>
  <c r="I526" i="3"/>
  <c r="I483" i="3"/>
  <c r="I482" i="3"/>
  <c r="I807" i="3" l="1"/>
  <c r="I804" i="3"/>
  <c r="I801" i="3"/>
  <c r="I802" i="3"/>
  <c r="I806" i="3"/>
  <c r="I808" i="3"/>
  <c r="I805" i="3"/>
  <c r="I803" i="3"/>
  <c r="U8" i="3"/>
  <c r="I555" i="3"/>
  <c r="K22" i="3"/>
  <c r="G22" i="3" s="1"/>
  <c r="A22" i="8"/>
  <c r="K23" i="3" l="1"/>
  <c r="G23" i="3" s="1"/>
  <c r="K1122" i="3"/>
  <c r="G1122" i="3" s="1"/>
  <c r="K1119" i="3"/>
  <c r="G1119" i="3" s="1"/>
  <c r="K1121" i="3"/>
  <c r="G1121" i="3" s="1"/>
  <c r="K1120" i="3"/>
  <c r="G1120" i="3" s="1"/>
  <c r="V8" i="3"/>
  <c r="K173" i="3" s="1"/>
  <c r="G173" i="3" s="1"/>
  <c r="K125" i="3"/>
  <c r="G125" i="3" s="1"/>
  <c r="A23" i="8"/>
  <c r="I106" i="3" l="1"/>
  <c r="I103" i="3"/>
  <c r="W8" i="3"/>
  <c r="K126" i="3" s="1"/>
  <c r="G126" i="3" s="1"/>
  <c r="I100" i="3"/>
  <c r="I101" i="3"/>
  <c r="I93" i="3"/>
  <c r="I112" i="3"/>
  <c r="I97" i="3"/>
  <c r="I113" i="3"/>
  <c r="I105" i="3"/>
  <c r="I115" i="3"/>
  <c r="I109" i="3"/>
  <c r="I94" i="3"/>
  <c r="I108" i="3"/>
  <c r="I111" i="3"/>
  <c r="I104" i="3"/>
  <c r="I91" i="3"/>
  <c r="I98" i="3"/>
  <c r="I99" i="3"/>
  <c r="I92" i="3"/>
  <c r="I102" i="3"/>
  <c r="I95" i="3"/>
  <c r="I107" i="3"/>
  <c r="I114" i="3"/>
  <c r="I116" i="3"/>
  <c r="I96" i="3"/>
  <c r="I110" i="3"/>
  <c r="A24" i="8"/>
  <c r="X8" i="3" l="1"/>
  <c r="Y8" i="3" s="1"/>
  <c r="Z8" i="3" s="1"/>
  <c r="A25" i="8"/>
  <c r="K1123" i="3" l="1"/>
  <c r="G1123" i="3" s="1"/>
  <c r="K1128" i="3"/>
  <c r="G1128" i="3" s="1"/>
  <c r="K1127" i="3"/>
  <c r="G1127" i="3" s="1"/>
  <c r="K1130" i="3"/>
  <c r="G1130" i="3" s="1"/>
  <c r="K1129" i="3"/>
  <c r="G1129" i="3" s="1"/>
  <c r="K965" i="3"/>
  <c r="G965" i="3" s="1"/>
  <c r="K968" i="3"/>
  <c r="G968" i="3" s="1"/>
  <c r="K971" i="3"/>
  <c r="G971" i="3" s="1"/>
  <c r="K970" i="3"/>
  <c r="G970" i="3" s="1"/>
  <c r="K966" i="3"/>
  <c r="G966" i="3" s="1"/>
  <c r="K969" i="3"/>
  <c r="G969" i="3" s="1"/>
  <c r="K967" i="3"/>
  <c r="G967" i="3" s="1"/>
  <c r="K802" i="3"/>
  <c r="G802" i="3" s="1"/>
  <c r="K804" i="3"/>
  <c r="G804" i="3" s="1"/>
  <c r="K807" i="3"/>
  <c r="G807" i="3" s="1"/>
  <c r="K795" i="3"/>
  <c r="G795" i="3" s="1"/>
  <c r="K796" i="3"/>
  <c r="G796" i="3" s="1"/>
  <c r="K797" i="3"/>
  <c r="G797" i="3" s="1"/>
  <c r="K555" i="3"/>
  <c r="G555" i="3" s="1"/>
  <c r="K464" i="3"/>
  <c r="G464" i="3" s="1"/>
  <c r="K492" i="3"/>
  <c r="G492" i="3" s="1"/>
  <c r="K497" i="3"/>
  <c r="G497" i="3" s="1"/>
  <c r="K499" i="3"/>
  <c r="G499" i="3" s="1"/>
  <c r="K503" i="3"/>
  <c r="G503" i="3" s="1"/>
  <c r="K26" i="3"/>
  <c r="G26" i="3" s="1"/>
  <c r="K460" i="3"/>
  <c r="G460" i="3" s="1"/>
  <c r="K504" i="3"/>
  <c r="G504" i="3" s="1"/>
  <c r="K495" i="3"/>
  <c r="G495" i="3" s="1"/>
  <c r="K498" i="3"/>
  <c r="G498" i="3" s="1"/>
  <c r="K491" i="3"/>
  <c r="G491" i="3" s="1"/>
  <c r="K27" i="3"/>
  <c r="G27" i="3" s="1"/>
  <c r="K463" i="3"/>
  <c r="G463" i="3" s="1"/>
  <c r="AA8" i="3"/>
  <c r="K502" i="3"/>
  <c r="G502" i="3" s="1"/>
  <c r="K506" i="3"/>
  <c r="G506" i="3" s="1"/>
  <c r="K494" i="3"/>
  <c r="G494" i="3" s="1"/>
  <c r="K501" i="3"/>
  <c r="G501" i="3" s="1"/>
  <c r="K462" i="3"/>
  <c r="G462" i="3" s="1"/>
  <c r="K461" i="3"/>
  <c r="G461" i="3" s="1"/>
  <c r="K493" i="3"/>
  <c r="G493" i="3" s="1"/>
  <c r="K500" i="3"/>
  <c r="G500" i="3" s="1"/>
  <c r="K496" i="3"/>
  <c r="G496" i="3" s="1"/>
  <c r="K505" i="3"/>
  <c r="G505" i="3" s="1"/>
  <c r="K25" i="3"/>
  <c r="G25" i="3" s="1"/>
  <c r="A26" i="8"/>
  <c r="AB8" i="3" l="1"/>
  <c r="K1098" i="3"/>
  <c r="G1098" i="3" s="1"/>
  <c r="K1102" i="3"/>
  <c r="G1102" i="3" s="1"/>
  <c r="K1100" i="3"/>
  <c r="G1100" i="3" s="1"/>
  <c r="K1099" i="3"/>
  <c r="G1099" i="3" s="1"/>
  <c r="K1101" i="3"/>
  <c r="G1101" i="3" s="1"/>
  <c r="K1097" i="3"/>
  <c r="G1097" i="3" s="1"/>
  <c r="K1052" i="3"/>
  <c r="G1052" i="3" s="1"/>
  <c r="K1054" i="3"/>
  <c r="G1054" i="3" s="1"/>
  <c r="K1056" i="3"/>
  <c r="G1056" i="3" s="1"/>
  <c r="K1053" i="3"/>
  <c r="G1053" i="3" s="1"/>
  <c r="K1055" i="3"/>
  <c r="G1055" i="3" s="1"/>
  <c r="K389" i="3"/>
  <c r="G389" i="3" s="1"/>
  <c r="AC8" i="3"/>
  <c r="AD8" i="3" s="1"/>
  <c r="AE8" i="3" s="1"/>
  <c r="AF8" i="3" s="1"/>
  <c r="AG8" i="3" s="1"/>
  <c r="A27" i="8"/>
  <c r="AH8" i="3" l="1"/>
  <c r="AI8" i="3" s="1"/>
  <c r="K21" i="3"/>
  <c r="G21" i="3" s="1"/>
  <c r="A28" i="8"/>
  <c r="K915" i="3" l="1"/>
  <c r="G915" i="3" s="1"/>
  <c r="K911" i="3"/>
  <c r="G911" i="3" s="1"/>
  <c r="AJ8" i="3"/>
  <c r="K89" i="3"/>
  <c r="G89" i="3" s="1"/>
  <c r="A29" i="8"/>
  <c r="K1221" i="3" l="1"/>
  <c r="G1221" i="3" s="1"/>
  <c r="K921" i="3"/>
  <c r="G921" i="3" s="1"/>
  <c r="K808" i="3"/>
  <c r="G808" i="3" s="1"/>
  <c r="K803" i="3"/>
  <c r="G803" i="3" s="1"/>
  <c r="K806" i="3"/>
  <c r="G806" i="3" s="1"/>
  <c r="K801" i="3"/>
  <c r="G801" i="3" s="1"/>
  <c r="K805" i="3"/>
  <c r="G805" i="3" s="1"/>
  <c r="K166" i="3"/>
  <c r="G166" i="3" s="1"/>
  <c r="K168" i="3"/>
  <c r="G168" i="3" s="1"/>
  <c r="K403" i="3"/>
  <c r="G403" i="3" s="1"/>
  <c r="K525" i="3"/>
  <c r="G525" i="3" s="1"/>
  <c r="K522" i="3"/>
  <c r="G522" i="3" s="1"/>
  <c r="K515" i="3"/>
  <c r="G515" i="3" s="1"/>
  <c r="K516" i="3"/>
  <c r="G516" i="3" s="1"/>
  <c r="K94" i="3"/>
  <c r="G94" i="3" s="1"/>
  <c r="K103" i="3"/>
  <c r="G103" i="3" s="1"/>
  <c r="K106" i="3"/>
  <c r="G106" i="3" s="1"/>
  <c r="K91" i="3"/>
  <c r="G91" i="3" s="1"/>
  <c r="K112" i="3"/>
  <c r="G112" i="3" s="1"/>
  <c r="K107" i="3"/>
  <c r="G107" i="3" s="1"/>
  <c r="K512" i="3"/>
  <c r="G512" i="3" s="1"/>
  <c r="K531" i="3"/>
  <c r="G531" i="3" s="1"/>
  <c r="K529" i="3"/>
  <c r="G529" i="3" s="1"/>
  <c r="K92" i="3"/>
  <c r="G92" i="3" s="1"/>
  <c r="K527" i="3"/>
  <c r="G527" i="3" s="1"/>
  <c r="K99" i="3"/>
  <c r="G99" i="3" s="1"/>
  <c r="K105" i="3"/>
  <c r="G105" i="3" s="1"/>
  <c r="K95" i="3"/>
  <c r="G95" i="3" s="1"/>
  <c r="K96" i="3"/>
  <c r="G96" i="3" s="1"/>
  <c r="K109" i="3"/>
  <c r="G109" i="3" s="1"/>
  <c r="K510" i="3"/>
  <c r="G510" i="3" s="1"/>
  <c r="K526" i="3"/>
  <c r="G526" i="3" s="1"/>
  <c r="K511" i="3"/>
  <c r="G511" i="3" s="1"/>
  <c r="K102" i="3"/>
  <c r="G102" i="3" s="1"/>
  <c r="K100" i="3"/>
  <c r="G100" i="3" s="1"/>
  <c r="K116" i="3"/>
  <c r="G116" i="3" s="1"/>
  <c r="K97" i="3"/>
  <c r="G97" i="3" s="1"/>
  <c r="K115" i="3"/>
  <c r="G115" i="3" s="1"/>
  <c r="K98" i="3"/>
  <c r="G98" i="3" s="1"/>
  <c r="K93" i="3"/>
  <c r="G93" i="3" s="1"/>
  <c r="AK8" i="3"/>
  <c r="K994" i="3" s="1"/>
  <c r="G994" i="3" s="1"/>
  <c r="K530" i="3"/>
  <c r="G530" i="3" s="1"/>
  <c r="K521" i="3"/>
  <c r="G521" i="3" s="1"/>
  <c r="K108" i="3"/>
  <c r="G108" i="3" s="1"/>
  <c r="K110" i="3"/>
  <c r="G110" i="3" s="1"/>
  <c r="K104" i="3"/>
  <c r="G104" i="3" s="1"/>
  <c r="K130" i="3"/>
  <c r="G130" i="3" s="1"/>
  <c r="K101" i="3"/>
  <c r="G101" i="3" s="1"/>
  <c r="K113" i="3"/>
  <c r="G113" i="3" s="1"/>
  <c r="K111" i="3"/>
  <c r="G111" i="3" s="1"/>
  <c r="K114" i="3"/>
  <c r="G114" i="3" s="1"/>
  <c r="A30" i="8"/>
  <c r="K917" i="3" l="1"/>
  <c r="G917" i="3" s="1"/>
  <c r="K907" i="3"/>
  <c r="G907" i="3" s="1"/>
  <c r="K906" i="3"/>
  <c r="G906" i="3" s="1"/>
  <c r="K910" i="3"/>
  <c r="G910" i="3" s="1"/>
  <c r="K905" i="3"/>
  <c r="G905" i="3" s="1"/>
  <c r="K914" i="3"/>
  <c r="G914" i="3" s="1"/>
  <c r="K204" i="3"/>
  <c r="G204" i="3" s="1"/>
  <c r="K203" i="3"/>
  <c r="G203" i="3" s="1"/>
  <c r="K481" i="3"/>
  <c r="G481" i="3" s="1"/>
  <c r="K382" i="3"/>
  <c r="G382" i="3" s="1"/>
  <c r="AL8" i="3"/>
  <c r="A31" i="8"/>
  <c r="K361" i="3" l="1"/>
  <c r="G361" i="3" s="1"/>
  <c r="K360" i="3"/>
  <c r="G360" i="3" s="1"/>
  <c r="AM8" i="3"/>
  <c r="AN8" i="3" s="1"/>
  <c r="AO8" i="3" s="1"/>
  <c r="AP8" i="3" s="1"/>
  <c r="AQ8" i="3" s="1"/>
  <c r="AR8" i="3" s="1"/>
  <c r="AS8" i="3" s="1"/>
  <c r="AT8" i="3" s="1"/>
  <c r="AU8" i="3" s="1"/>
  <c r="AV8" i="3" s="1"/>
  <c r="AW8" i="3" s="1"/>
  <c r="AX8" i="3" s="1"/>
  <c r="AY8" i="3" s="1"/>
  <c r="AZ8" i="3" s="1"/>
  <c r="BA8" i="3" s="1"/>
  <c r="BB8" i="3" s="1"/>
  <c r="BC8" i="3" s="1"/>
  <c r="BD8" i="3" s="1"/>
  <c r="A32" i="8"/>
  <c r="K241" i="3" l="1"/>
  <c r="G241" i="3" s="1"/>
  <c r="K90" i="3"/>
  <c r="G90" i="3" s="1"/>
  <c r="BE8" i="3"/>
  <c r="K615" i="3" l="1"/>
  <c r="G615" i="3" s="1"/>
  <c r="K616" i="3"/>
  <c r="G616" i="3" s="1"/>
  <c r="BF8" i="3"/>
  <c r="K554" i="3" s="1"/>
  <c r="G554" i="3" s="1"/>
  <c r="K482" i="3"/>
  <c r="G482" i="3" s="1"/>
  <c r="K243" i="3"/>
  <c r="G243" i="3" s="1"/>
  <c r="K242" i="3"/>
  <c r="G242" i="3" s="1"/>
  <c r="K483" i="3"/>
  <c r="G483" i="3" s="1"/>
  <c r="G6" i="3" l="1"/>
  <c r="G8" i="3"/>
  <c r="O1152" i="1" l="1"/>
  <c r="O1215" i="1"/>
  <c r="O1213" i="1"/>
  <c r="O1211" i="1"/>
  <c r="O1209" i="1"/>
  <c r="O1207" i="1"/>
  <c r="O1205" i="1"/>
  <c r="O1203" i="1"/>
  <c r="O1201" i="1"/>
  <c r="O1199" i="1"/>
  <c r="O1197" i="1"/>
  <c r="O1195" i="1"/>
  <c r="O1193" i="1"/>
  <c r="O1191" i="1"/>
  <c r="O1189" i="1"/>
  <c r="O1187" i="1"/>
  <c r="O1185" i="1"/>
  <c r="O1183" i="1"/>
  <c r="O1181" i="1"/>
  <c r="O1179" i="1"/>
  <c r="O1177" i="1"/>
  <c r="O1175" i="1"/>
  <c r="O1173" i="1"/>
  <c r="O1171" i="1"/>
  <c r="O1169" i="1"/>
  <c r="O1167" i="1"/>
  <c r="O1165" i="1"/>
  <c r="O1163" i="1"/>
  <c r="O1161" i="1"/>
  <c r="O1159" i="1"/>
  <c r="O1157" i="1"/>
  <c r="O1155" i="1"/>
  <c r="O1153" i="1"/>
  <c r="O1214" i="1"/>
  <c r="O1212" i="1"/>
  <c r="O1210" i="1"/>
  <c r="O1208" i="1"/>
  <c r="O1206" i="1"/>
  <c r="O1204" i="1"/>
  <c r="O1202" i="1"/>
  <c r="O1200" i="1"/>
  <c r="O1198" i="1"/>
  <c r="O1196" i="1"/>
  <c r="O1194" i="1"/>
  <c r="O1192" i="1"/>
  <c r="O1190" i="1"/>
  <c r="O1188" i="1"/>
  <c r="O1186" i="1"/>
  <c r="O1184" i="1"/>
  <c r="O1182" i="1"/>
  <c r="O1180" i="1"/>
  <c r="O1178" i="1"/>
  <c r="O1176" i="1"/>
  <c r="O1174" i="1"/>
  <c r="O1172" i="1"/>
  <c r="O1170" i="1"/>
  <c r="O1168" i="1"/>
  <c r="O1166" i="1"/>
  <c r="O1164" i="1"/>
  <c r="O1162" i="1"/>
  <c r="O1160" i="1"/>
  <c r="O1158" i="1"/>
  <c r="O1156" i="1"/>
  <c r="O1154" i="1"/>
  <c r="O1150" i="1"/>
  <c r="O1148" i="1"/>
  <c r="O1146" i="1"/>
  <c r="O1149" i="1"/>
  <c r="O1147" i="1"/>
  <c r="O1145" i="1"/>
  <c r="O1151" i="1"/>
  <c r="O1136" i="1"/>
  <c r="O1135" i="1"/>
  <c r="O1142" i="1"/>
  <c r="O1128" i="1"/>
  <c r="O1127" i="1"/>
  <c r="O1126" i="1"/>
  <c r="O1134" i="1"/>
  <c r="O1144" i="1"/>
  <c r="O1130" i="1"/>
  <c r="O1143" i="1"/>
  <c r="O1129" i="1"/>
  <c r="O1138" i="1"/>
  <c r="O1137" i="1"/>
  <c r="O1140" i="1"/>
  <c r="O1139" i="1"/>
  <c r="O1131" i="1"/>
  <c r="O1133" i="1"/>
  <c r="O1141" i="1"/>
  <c r="O1132" i="1"/>
  <c r="O1125" i="1"/>
  <c r="O1122" i="1"/>
  <c r="O1124" i="1"/>
  <c r="O1121" i="1"/>
  <c r="O1120" i="1"/>
  <c r="O1119" i="1"/>
  <c r="O1118" i="1"/>
  <c r="O1123" i="1"/>
  <c r="O483" i="1"/>
  <c r="O482" i="1"/>
  <c r="O479" i="1"/>
  <c r="O481" i="1"/>
  <c r="O480" i="1"/>
  <c r="O1116" i="1"/>
  <c r="O1115" i="1"/>
  <c r="O1114" i="1"/>
  <c r="O1117" i="1"/>
  <c r="O1109" i="1"/>
  <c r="O1107" i="1"/>
  <c r="O1101" i="1"/>
  <c r="O1099" i="1"/>
  <c r="O1098" i="1"/>
  <c r="O1110" i="1"/>
  <c r="O1100" i="1"/>
  <c r="O1102" i="1"/>
  <c r="O1103" i="1"/>
  <c r="O1104" i="1"/>
  <c r="O1106" i="1"/>
  <c r="O1111" i="1"/>
  <c r="O1105" i="1"/>
  <c r="O1108" i="1"/>
  <c r="O1113" i="1"/>
  <c r="O1112" i="1"/>
  <c r="O1097" i="1"/>
  <c r="O1095" i="1"/>
  <c r="O1094" i="1"/>
  <c r="O1093" i="1"/>
  <c r="O1092" i="1"/>
  <c r="O1096" i="1"/>
  <c r="O959" i="1"/>
  <c r="O951" i="1"/>
  <c r="O949" i="1"/>
  <c r="O956" i="1"/>
  <c r="O958" i="1"/>
  <c r="O950" i="1"/>
  <c r="O957" i="1"/>
  <c r="O955" i="1"/>
  <c r="O954" i="1"/>
  <c r="O953" i="1"/>
  <c r="O952" i="1"/>
  <c r="O1088" i="1"/>
  <c r="O1091" i="1"/>
  <c r="O1087" i="1"/>
  <c r="O1086" i="1"/>
  <c r="O1085" i="1"/>
  <c r="O1090" i="1"/>
  <c r="O1082" i="1"/>
  <c r="O1089" i="1"/>
  <c r="O1084" i="1"/>
  <c r="O1083" i="1"/>
  <c r="O1066" i="1"/>
  <c r="O1070" i="1"/>
  <c r="O1074" i="1"/>
  <c r="O1078" i="1"/>
  <c r="O1067" i="1"/>
  <c r="O1071" i="1"/>
  <c r="O1075" i="1"/>
  <c r="O1079" i="1"/>
  <c r="O1068" i="1"/>
  <c r="O1072" i="1"/>
  <c r="O1076" i="1"/>
  <c r="O1080" i="1"/>
  <c r="O1069" i="1"/>
  <c r="O1073" i="1"/>
  <c r="O1077" i="1"/>
  <c r="O1081" i="1"/>
  <c r="O1065" i="1"/>
  <c r="O1064" i="1"/>
  <c r="O1063" i="1"/>
  <c r="O1062" i="1"/>
  <c r="O1052" i="1"/>
  <c r="O1055" i="1"/>
  <c r="O1059" i="1"/>
  <c r="O1061" i="1"/>
  <c r="O1057" i="1"/>
  <c r="O1054" i="1"/>
  <c r="O1056" i="1"/>
  <c r="O1060" i="1"/>
  <c r="O1058" i="1"/>
  <c r="O1053" i="1"/>
  <c r="O996" i="1"/>
  <c r="O1048" i="1"/>
  <c r="O1050" i="1"/>
  <c r="O1028" i="1"/>
  <c r="O1032" i="1"/>
  <c r="O1036" i="1"/>
  <c r="O1040" i="1"/>
  <c r="O1044" i="1"/>
  <c r="O1047" i="1"/>
  <c r="O1051" i="1"/>
  <c r="O1013" i="1"/>
  <c r="O1015" i="1"/>
  <c r="O1017" i="1"/>
  <c r="O1019" i="1"/>
  <c r="O1021" i="1"/>
  <c r="O1023" i="1"/>
  <c r="O1026" i="1"/>
  <c r="O1030" i="1"/>
  <c r="O1034" i="1"/>
  <c r="O1038" i="1"/>
  <c r="O1042" i="1"/>
  <c r="O1046" i="1"/>
  <c r="O1025" i="1"/>
  <c r="O1029" i="1"/>
  <c r="O1033" i="1"/>
  <c r="O1037" i="1"/>
  <c r="O1041" i="1"/>
  <c r="O1045" i="1"/>
  <c r="O1049" i="1"/>
  <c r="O1012" i="1"/>
  <c r="O1014" i="1"/>
  <c r="O1016" i="1"/>
  <c r="O1018" i="1"/>
  <c r="O1020" i="1"/>
  <c r="O1022" i="1"/>
  <c r="O1024" i="1"/>
  <c r="O1027" i="1"/>
  <c r="O1031" i="1"/>
  <c r="O1035" i="1"/>
  <c r="O1039" i="1"/>
  <c r="O1043" i="1"/>
  <c r="O1009" i="1"/>
  <c r="O1003" i="1"/>
  <c r="O1006" i="1"/>
  <c r="O1004" i="1"/>
  <c r="O1011" i="1"/>
  <c r="O1007" i="1"/>
  <c r="O1010" i="1"/>
  <c r="O1005" i="1"/>
  <c r="O1008" i="1"/>
  <c r="O1001" i="1"/>
  <c r="O999" i="1"/>
  <c r="O1002" i="1"/>
  <c r="O998" i="1"/>
  <c r="O1000" i="1"/>
  <c r="O997" i="1"/>
  <c r="O989" i="1"/>
  <c r="O990" i="1"/>
  <c r="O992" i="1"/>
  <c r="O993" i="1"/>
  <c r="O994" i="1"/>
  <c r="O991" i="1"/>
  <c r="O995" i="1"/>
  <c r="O985" i="1"/>
  <c r="O987" i="1"/>
  <c r="O988" i="1"/>
  <c r="O983" i="1"/>
  <c r="O986" i="1"/>
  <c r="O982" i="1"/>
  <c r="O984" i="1"/>
  <c r="O981" i="1"/>
  <c r="O976" i="1"/>
  <c r="O968" i="1"/>
  <c r="O972" i="1"/>
  <c r="O971" i="1"/>
  <c r="O978" i="1"/>
  <c r="O975" i="1"/>
  <c r="O967" i="1"/>
  <c r="O973" i="1"/>
  <c r="O980" i="1"/>
  <c r="O979" i="1"/>
  <c r="O970" i="1"/>
  <c r="O974" i="1"/>
  <c r="O977" i="1"/>
  <c r="O969" i="1"/>
  <c r="O964" i="1"/>
  <c r="O963" i="1"/>
  <c r="O962" i="1"/>
  <c r="O966" i="1"/>
  <c r="O961" i="1"/>
  <c r="O960" i="1"/>
  <c r="O965" i="1"/>
  <c r="O946" i="1"/>
  <c r="O948" i="1"/>
  <c r="O947" i="1"/>
  <c r="O945" i="1"/>
  <c r="O944" i="1"/>
  <c r="O943" i="1"/>
  <c r="O942" i="1"/>
  <c r="O941" i="1"/>
  <c r="O940" i="1"/>
  <c r="O938" i="1"/>
  <c r="O936" i="1"/>
  <c r="O934" i="1"/>
  <c r="O932" i="1"/>
  <c r="O930" i="1"/>
  <c r="O939" i="1"/>
  <c r="O937" i="1"/>
  <c r="O935" i="1"/>
  <c r="O933" i="1"/>
  <c r="O931" i="1"/>
  <c r="O929" i="1"/>
  <c r="O928" i="1"/>
  <c r="O920" i="1"/>
  <c r="O926" i="1"/>
  <c r="O922" i="1"/>
  <c r="O927" i="1"/>
  <c r="O919" i="1"/>
  <c r="O918" i="1"/>
  <c r="O923" i="1"/>
  <c r="O921" i="1"/>
  <c r="O925" i="1"/>
  <c r="O917" i="1"/>
  <c r="O924" i="1"/>
  <c r="O916" i="1"/>
  <c r="O915" i="1"/>
  <c r="O911" i="1"/>
  <c r="O904" i="1"/>
  <c r="O909" i="1"/>
  <c r="O903" i="1"/>
  <c r="O908" i="1"/>
  <c r="O902" i="1"/>
  <c r="O905" i="1"/>
  <c r="O910" i="1"/>
  <c r="O914" i="1"/>
  <c r="O907" i="1"/>
  <c r="O906" i="1"/>
  <c r="O901" i="1"/>
  <c r="O913" i="1"/>
  <c r="O900" i="1"/>
  <c r="O912" i="1"/>
  <c r="O897" i="1"/>
  <c r="O899" i="1"/>
  <c r="O898" i="1"/>
  <c r="O896" i="1"/>
  <c r="O894" i="1"/>
  <c r="O895" i="1"/>
  <c r="O893" i="1"/>
  <c r="O888" i="1"/>
  <c r="O880" i="1"/>
  <c r="O886" i="1"/>
  <c r="O887" i="1"/>
  <c r="O879" i="1"/>
  <c r="O885" i="1"/>
  <c r="O892" i="1"/>
  <c r="O884" i="1"/>
  <c r="O891" i="1"/>
  <c r="O883" i="1"/>
  <c r="O890" i="1"/>
  <c r="O882" i="1"/>
  <c r="O889" i="1"/>
  <c r="O881" i="1"/>
  <c r="O874" i="1"/>
  <c r="O873" i="1"/>
  <c r="O872" i="1"/>
  <c r="O878" i="1"/>
  <c r="O877" i="1"/>
  <c r="O876" i="1"/>
  <c r="O875" i="1"/>
  <c r="O865" i="1"/>
  <c r="O857" i="1"/>
  <c r="O849" i="1"/>
  <c r="O863" i="1"/>
  <c r="O862" i="1"/>
  <c r="O858" i="1"/>
  <c r="O864" i="1"/>
  <c r="O856" i="1"/>
  <c r="O848" i="1"/>
  <c r="O871" i="1"/>
  <c r="O855" i="1"/>
  <c r="O847" i="1"/>
  <c r="O870" i="1"/>
  <c r="O854" i="1"/>
  <c r="O846" i="1"/>
  <c r="O850" i="1"/>
  <c r="O869" i="1"/>
  <c r="O861" i="1"/>
  <c r="O853" i="1"/>
  <c r="O845" i="1"/>
  <c r="O868" i="1"/>
  <c r="O860" i="1"/>
  <c r="O852" i="1"/>
  <c r="O844" i="1"/>
  <c r="O867" i="1"/>
  <c r="O859" i="1"/>
  <c r="O851" i="1"/>
  <c r="O843" i="1"/>
  <c r="O866" i="1"/>
  <c r="O842" i="1"/>
  <c r="O840" i="1"/>
  <c r="O841" i="1"/>
  <c r="O839" i="1"/>
  <c r="O837" i="1"/>
  <c r="O838" i="1"/>
  <c r="O833" i="1"/>
  <c r="O836" i="1"/>
  <c r="O834" i="1"/>
  <c r="O832" i="1"/>
  <c r="O835" i="1"/>
  <c r="O831" i="1"/>
  <c r="O823" i="1"/>
  <c r="O815" i="1"/>
  <c r="O807" i="1"/>
  <c r="O804" i="1"/>
  <c r="O830" i="1"/>
  <c r="O814" i="1"/>
  <c r="O806" i="1"/>
  <c r="O829" i="1"/>
  <c r="O821" i="1"/>
  <c r="O805" i="1"/>
  <c r="O820" i="1"/>
  <c r="O812" i="1"/>
  <c r="O822" i="1"/>
  <c r="O813" i="1"/>
  <c r="O828" i="1"/>
  <c r="O827" i="1"/>
  <c r="O819" i="1"/>
  <c r="O811" i="1"/>
  <c r="O826" i="1"/>
  <c r="O818" i="1"/>
  <c r="O810" i="1"/>
  <c r="O825" i="1"/>
  <c r="O817" i="1"/>
  <c r="O809" i="1"/>
  <c r="O824" i="1"/>
  <c r="O816" i="1"/>
  <c r="O808" i="1"/>
  <c r="O800" i="1"/>
  <c r="O799" i="1"/>
  <c r="O798" i="1"/>
  <c r="O796" i="1"/>
  <c r="O803" i="1"/>
  <c r="O801" i="1"/>
  <c r="O797" i="1"/>
  <c r="O802" i="1"/>
  <c r="O795" i="1"/>
  <c r="O794" i="1"/>
  <c r="O793" i="1"/>
  <c r="O792" i="1"/>
  <c r="O790" i="1"/>
  <c r="O791" i="1"/>
  <c r="O784" i="1"/>
  <c r="O788" i="1"/>
  <c r="O780" i="1"/>
  <c r="O782" i="1"/>
  <c r="O783" i="1"/>
  <c r="O779" i="1"/>
  <c r="O787" i="1"/>
  <c r="O781" i="1"/>
  <c r="O789" i="1"/>
  <c r="O785" i="1"/>
  <c r="O786" i="1"/>
  <c r="O774" i="1"/>
  <c r="O773" i="1"/>
  <c r="O772" i="1"/>
  <c r="O778" i="1"/>
  <c r="O770" i="1"/>
  <c r="O777" i="1"/>
  <c r="O769" i="1"/>
  <c r="O775" i="1"/>
  <c r="O776" i="1"/>
  <c r="O768" i="1"/>
  <c r="O767" i="1"/>
  <c r="O771" i="1"/>
  <c r="O756" i="1"/>
  <c r="O760" i="1"/>
  <c r="O758" i="1"/>
  <c r="O763" i="1"/>
  <c r="O766" i="1"/>
  <c r="O765" i="1"/>
  <c r="O757" i="1"/>
  <c r="O759" i="1"/>
  <c r="O762" i="1"/>
  <c r="O761" i="1"/>
  <c r="O764" i="1"/>
  <c r="O684" i="1"/>
  <c r="O680" i="1"/>
  <c r="O652" i="1"/>
  <c r="O648" i="1"/>
  <c r="O620" i="1"/>
  <c r="O616" i="1"/>
  <c r="O752" i="1"/>
  <c r="O724" i="1"/>
  <c r="O689" i="1"/>
  <c r="O656" i="1"/>
  <c r="O625" i="1"/>
  <c r="O741" i="1"/>
  <c r="O753" i="1"/>
  <c r="O720" i="1"/>
  <c r="O693" i="1"/>
  <c r="O688" i="1"/>
  <c r="O660" i="1"/>
  <c r="O628" i="1"/>
  <c r="O725" i="1"/>
  <c r="O721" i="1"/>
  <c r="O692" i="1"/>
  <c r="O661" i="1"/>
  <c r="O657" i="1"/>
  <c r="O629" i="1"/>
  <c r="O624" i="1"/>
  <c r="O644" i="1"/>
  <c r="O709" i="1"/>
  <c r="O737" i="1"/>
  <c r="O633" i="1"/>
  <c r="O685" i="1"/>
  <c r="O717" i="1"/>
  <c r="O749" i="1"/>
  <c r="O612" i="1"/>
  <c r="O649" i="1"/>
  <c r="O700" i="1"/>
  <c r="O732" i="1"/>
  <c r="O618" i="1"/>
  <c r="O714" i="1"/>
  <c r="O627" i="1"/>
  <c r="O659" i="1"/>
  <c r="O691" i="1"/>
  <c r="O723" i="1"/>
  <c r="O615" i="1"/>
  <c r="O711" i="1"/>
  <c r="O631" i="1"/>
  <c r="O663" i="1"/>
  <c r="O695" i="1"/>
  <c r="O727" i="1"/>
  <c r="O755" i="1"/>
  <c r="O686" i="1"/>
  <c r="O639" i="1"/>
  <c r="O671" i="1"/>
  <c r="O703" i="1"/>
  <c r="O735" i="1"/>
  <c r="O613" i="1"/>
  <c r="O665" i="1"/>
  <c r="O748" i="1"/>
  <c r="O637" i="1"/>
  <c r="O713" i="1"/>
  <c r="O683" i="1"/>
  <c r="O658" i="1"/>
  <c r="O722" i="1"/>
  <c r="O682" i="1"/>
  <c r="O638" i="1"/>
  <c r="O702" i="1"/>
  <c r="O679" i="1"/>
  <c r="O646" i="1"/>
  <c r="O710" i="1"/>
  <c r="O704" i="1"/>
  <c r="O677" i="1"/>
  <c r="O641" i="1"/>
  <c r="O621" i="1"/>
  <c r="O664" i="1"/>
  <c r="O697" i="1"/>
  <c r="O729" i="1"/>
  <c r="O672" i="1"/>
  <c r="O636" i="1"/>
  <c r="O669" i="1"/>
  <c r="O712" i="1"/>
  <c r="O744" i="1"/>
  <c r="O650" i="1"/>
  <c r="O623" i="1"/>
  <c r="O655" i="1"/>
  <c r="O687" i="1"/>
  <c r="O719" i="1"/>
  <c r="O751" i="1"/>
  <c r="O654" i="1"/>
  <c r="O743" i="1"/>
  <c r="O635" i="1"/>
  <c r="O667" i="1"/>
  <c r="O699" i="1"/>
  <c r="O731" i="1"/>
  <c r="O651" i="1"/>
  <c r="O746" i="1"/>
  <c r="O643" i="1"/>
  <c r="O675" i="1"/>
  <c r="O707" i="1"/>
  <c r="O739" i="1"/>
  <c r="O708" i="1"/>
  <c r="O673" i="1"/>
  <c r="O676" i="1"/>
  <c r="O740" i="1"/>
  <c r="O645" i="1"/>
  <c r="O653" i="1"/>
  <c r="O696" i="1"/>
  <c r="O728" i="1"/>
  <c r="O640" i="1"/>
  <c r="O617" i="1"/>
  <c r="O668" i="1"/>
  <c r="O701" i="1"/>
  <c r="O733" i="1"/>
  <c r="O647" i="1"/>
  <c r="O747" i="1"/>
  <c r="O630" i="1"/>
  <c r="O662" i="1"/>
  <c r="O694" i="1"/>
  <c r="O726" i="1"/>
  <c r="O619" i="1"/>
  <c r="O715" i="1"/>
  <c r="O634" i="1"/>
  <c r="O666" i="1"/>
  <c r="O698" i="1"/>
  <c r="O730" i="1"/>
  <c r="O622" i="1"/>
  <c r="O718" i="1"/>
  <c r="O642" i="1"/>
  <c r="O674" i="1"/>
  <c r="O706" i="1"/>
  <c r="O738" i="1"/>
  <c r="O705" i="1"/>
  <c r="O632" i="1"/>
  <c r="O716" i="1"/>
  <c r="O736" i="1"/>
  <c r="O681" i="1"/>
  <c r="O745" i="1"/>
  <c r="O626" i="1"/>
  <c r="O690" i="1"/>
  <c r="O754" i="1"/>
  <c r="O750" i="1"/>
  <c r="O670" i="1"/>
  <c r="O734" i="1"/>
  <c r="O614" i="1"/>
  <c r="O678" i="1"/>
  <c r="O742" i="1"/>
  <c r="O610" i="1"/>
  <c r="O611" i="1"/>
  <c r="O608" i="1"/>
  <c r="O604" i="1"/>
  <c r="O607" i="1"/>
  <c r="O606" i="1"/>
  <c r="O609" i="1"/>
  <c r="O605" i="1"/>
  <c r="O597" i="1"/>
  <c r="O603" i="1"/>
  <c r="O598" i="1"/>
  <c r="O596" i="1"/>
  <c r="O602" i="1"/>
  <c r="O600" i="1"/>
  <c r="O599" i="1"/>
  <c r="O601" i="1"/>
  <c r="G7" i="3"/>
  <c r="O591" i="1"/>
  <c r="O592" i="1"/>
  <c r="O593" i="1"/>
  <c r="O581" i="1"/>
  <c r="O558" i="1"/>
  <c r="O575" i="1"/>
  <c r="O553" i="1"/>
  <c r="O562" i="1"/>
  <c r="O574" i="1"/>
  <c r="O568" i="1"/>
  <c r="O571" i="1"/>
  <c r="O569" i="1"/>
  <c r="O585" i="1"/>
  <c r="O588" i="1"/>
  <c r="O583" i="1"/>
  <c r="O587" i="1"/>
  <c r="O573" i="1"/>
  <c r="O572" i="1"/>
  <c r="O577" i="1"/>
  <c r="O579" i="1"/>
  <c r="O554" i="1"/>
  <c r="O580" i="1"/>
  <c r="O570" i="1"/>
  <c r="O551" i="1"/>
  <c r="O584" i="1"/>
  <c r="O590" i="1"/>
  <c r="O586" i="1"/>
  <c r="O23" i="1"/>
  <c r="O557" i="1"/>
  <c r="O552" i="1"/>
  <c r="O560" i="1"/>
  <c r="O556" i="1"/>
  <c r="O578" i="1"/>
  <c r="O565" i="1"/>
  <c r="O564" i="1"/>
  <c r="O550" i="1"/>
  <c r="O594" i="1"/>
  <c r="O589" i="1"/>
  <c r="O595" i="1"/>
  <c r="O582" i="1"/>
  <c r="O566" i="1"/>
  <c r="O567" i="1"/>
  <c r="O563" i="1"/>
  <c r="O576" i="1"/>
  <c r="O559" i="1"/>
  <c r="O555" i="1"/>
  <c r="O561" i="1"/>
  <c r="O549" i="1"/>
  <c r="O241" i="1"/>
  <c r="O239" i="1"/>
  <c r="O335" i="1"/>
  <c r="O319" i="1"/>
  <c r="O303" i="1"/>
  <c r="O338" i="1"/>
  <c r="O322" i="1"/>
  <c r="O306" i="1"/>
  <c r="O337" i="1"/>
  <c r="O321" i="1"/>
  <c r="O305" i="1"/>
  <c r="O336" i="1"/>
  <c r="O316" i="1"/>
  <c r="O296" i="1"/>
  <c r="O35" i="1"/>
  <c r="O43" i="1"/>
  <c r="O41" i="1"/>
  <c r="O59" i="1"/>
  <c r="O357" i="1"/>
  <c r="O121" i="1"/>
  <c r="O205" i="1"/>
  <c r="O497" i="1"/>
  <c r="O153" i="1"/>
  <c r="O268" i="1"/>
  <c r="O484" i="1"/>
  <c r="O390" i="1"/>
  <c r="O104" i="1"/>
  <c r="O433" i="1"/>
  <c r="O466" i="1"/>
  <c r="O163" i="1"/>
  <c r="O527" i="1"/>
  <c r="O360" i="1"/>
  <c r="O148" i="1"/>
  <c r="O14" i="1"/>
  <c r="O525" i="1"/>
  <c r="O77" i="1"/>
  <c r="O44" i="1"/>
  <c r="O71" i="1"/>
  <c r="O228" i="1"/>
  <c r="O454" i="1"/>
  <c r="O252" i="1"/>
  <c r="O116" i="1"/>
  <c r="O198" i="1"/>
  <c r="O371" i="1"/>
  <c r="O540" i="1"/>
  <c r="O99" i="1"/>
  <c r="O384" i="1"/>
  <c r="O352" i="1"/>
  <c r="O410" i="1"/>
  <c r="O435" i="1"/>
  <c r="O468" i="1"/>
  <c r="O522" i="1"/>
  <c r="O13" i="1"/>
  <c r="O451" i="1"/>
  <c r="O409" i="1"/>
  <c r="O434" i="1"/>
  <c r="O467" i="1"/>
  <c r="O81" i="1"/>
  <c r="O26" i="1"/>
  <c r="O24" i="1"/>
  <c r="O29" i="1"/>
  <c r="O164" i="1"/>
  <c r="O535" i="1"/>
  <c r="O422" i="1"/>
  <c r="O91" i="1"/>
  <c r="O343" i="1"/>
  <c r="O133" i="1"/>
  <c r="O114" i="1"/>
  <c r="O492" i="1"/>
  <c r="O21" i="1"/>
  <c r="O473" i="1"/>
  <c r="O170" i="1"/>
  <c r="O195" i="1"/>
  <c r="O538" i="1"/>
  <c r="O109" i="1"/>
  <c r="O368" i="1"/>
  <c r="O134" i="1"/>
  <c r="O169" i="1"/>
  <c r="O194" i="1"/>
  <c r="O79" i="1"/>
  <c r="O36" i="1"/>
  <c r="O83" i="1"/>
  <c r="O75" i="1"/>
  <c r="O377" i="1"/>
  <c r="O445" i="1"/>
  <c r="O469" i="1"/>
  <c r="O125" i="1"/>
  <c r="O415" i="1"/>
  <c r="O196" i="1"/>
  <c r="O370" i="1"/>
  <c r="O22" i="1"/>
  <c r="O355" i="1"/>
  <c r="O417" i="1"/>
  <c r="O442" i="1"/>
  <c r="O475" i="1"/>
  <c r="O548" i="1"/>
  <c r="O365" i="1"/>
  <c r="O493" i="1"/>
  <c r="O139" i="1"/>
  <c r="O441" i="1"/>
  <c r="O474" i="1"/>
  <c r="O427" i="1"/>
  <c r="O539" i="1"/>
  <c r="O476" i="1"/>
  <c r="O159" i="1"/>
  <c r="O204" i="1"/>
  <c r="O229" i="1"/>
  <c r="O262" i="1"/>
  <c r="O287" i="1"/>
  <c r="O520" i="1"/>
  <c r="O187" i="1"/>
  <c r="O449" i="1"/>
  <c r="O246" i="1"/>
  <c r="O273" i="1"/>
  <c r="O404" i="1"/>
  <c r="O389" i="1"/>
  <c r="O156" i="1"/>
  <c r="O88" i="1"/>
  <c r="O437" i="1"/>
  <c r="O470" i="1"/>
  <c r="O167" i="1"/>
  <c r="O531" i="1"/>
  <c r="O523" i="1"/>
  <c r="O213" i="1"/>
  <c r="O418" i="1"/>
  <c r="O420" i="1"/>
  <c r="O380" i="1"/>
  <c r="O362" i="1"/>
  <c r="O123" i="1"/>
  <c r="O461" i="1"/>
  <c r="O152" i="1"/>
  <c r="O183" i="1"/>
  <c r="O346" i="1"/>
  <c r="O126" i="1"/>
  <c r="O430" i="1"/>
  <c r="O243" i="1"/>
  <c r="O300" i="1"/>
  <c r="O323" i="1"/>
  <c r="O307" i="1"/>
  <c r="O291" i="1"/>
  <c r="O326" i="1"/>
  <c r="O310" i="1"/>
  <c r="O294" i="1"/>
  <c r="O325" i="1"/>
  <c r="O309" i="1"/>
  <c r="O293" i="1"/>
  <c r="O320" i="1"/>
  <c r="O304" i="1"/>
  <c r="O456" i="1"/>
  <c r="O50" i="1"/>
  <c r="O68" i="1"/>
  <c r="O39" i="1"/>
  <c r="O286" i="1"/>
  <c r="O495" i="1"/>
  <c r="O180" i="1"/>
  <c r="O500" i="1"/>
  <c r="O462" i="1"/>
  <c r="O382" i="1"/>
  <c r="O424" i="1"/>
  <c r="O105" i="1"/>
  <c r="O393" i="1"/>
  <c r="O288" i="1"/>
  <c r="O379" i="1"/>
  <c r="O419" i="1"/>
  <c r="O444" i="1"/>
  <c r="O515" i="1"/>
  <c r="O147" i="1"/>
  <c r="O158" i="1"/>
  <c r="O378" i="1"/>
  <c r="O54" i="1"/>
  <c r="O52" i="1"/>
  <c r="O74" i="1"/>
  <c r="O64" i="1"/>
  <c r="O406" i="1"/>
  <c r="O501" i="1"/>
  <c r="O408" i="1"/>
  <c r="O173" i="1"/>
  <c r="O143" i="1"/>
  <c r="O471" i="1"/>
  <c r="O491" i="1"/>
  <c r="O6" i="1"/>
  <c r="O232" i="1"/>
  <c r="O265" i="1"/>
  <c r="O290" i="1"/>
  <c r="O396" i="1"/>
  <c r="O507" i="1"/>
  <c r="O502" i="1"/>
  <c r="O450" i="1"/>
  <c r="O264" i="1"/>
  <c r="O289" i="1"/>
  <c r="O395" i="1"/>
  <c r="O69" i="1"/>
  <c r="O28" i="1"/>
  <c r="O76" i="1"/>
  <c r="O63" i="1"/>
  <c r="O119" i="1"/>
  <c r="O10" i="1"/>
  <c r="O397" i="1"/>
  <c r="O136" i="1"/>
  <c r="O270" i="1"/>
  <c r="O97" i="1"/>
  <c r="O532" i="1"/>
  <c r="O106" i="1"/>
  <c r="O118" i="1"/>
  <c r="O401" i="1"/>
  <c r="O426" i="1"/>
  <c r="O459" i="1"/>
  <c r="O541" i="1"/>
  <c r="O140" i="1"/>
  <c r="O12" i="1"/>
  <c r="O113" i="1"/>
  <c r="O425" i="1"/>
  <c r="O458" i="1"/>
  <c r="O131" i="1"/>
  <c r="O82" i="1"/>
  <c r="O80" i="1"/>
  <c r="O70" i="1"/>
  <c r="O261" i="1"/>
  <c r="O464" i="1"/>
  <c r="O98" i="1"/>
  <c r="O534" i="1"/>
  <c r="O374" i="1"/>
  <c r="O11" i="1"/>
  <c r="O279" i="1"/>
  <c r="O387" i="1"/>
  <c r="O358" i="1"/>
  <c r="O272" i="1"/>
  <c r="O345" i="1"/>
  <c r="O403" i="1"/>
  <c r="O428" i="1"/>
  <c r="O516" i="1"/>
  <c r="O96" i="1"/>
  <c r="O499" i="1"/>
  <c r="O344" i="1"/>
  <c r="O402" i="1"/>
  <c r="O210" i="1"/>
  <c r="O460" i="1"/>
  <c r="O137" i="1"/>
  <c r="O388" i="1"/>
  <c r="O4" i="1"/>
  <c r="O165" i="1"/>
  <c r="O190" i="1"/>
  <c r="O215" i="1"/>
  <c r="O509" i="1"/>
  <c r="O162" i="1"/>
  <c r="O7" i="1"/>
  <c r="O285" i="1"/>
  <c r="O508" i="1"/>
  <c r="O237" i="1"/>
  <c r="O512" i="1"/>
  <c r="O112" i="1"/>
  <c r="O369" i="1"/>
  <c r="O340" i="1"/>
  <c r="O398" i="1"/>
  <c r="O423" i="1"/>
  <c r="O448" i="1"/>
  <c r="O465" i="1"/>
  <c r="O260" i="1"/>
  <c r="O545" i="1"/>
  <c r="O259" i="1"/>
  <c r="O506" i="1"/>
  <c r="O235" i="1"/>
  <c r="O364" i="1"/>
  <c r="O373" i="1"/>
  <c r="O414" i="1"/>
  <c r="O439" i="1"/>
  <c r="O510" i="1"/>
  <c r="O490" i="1"/>
  <c r="O19" i="1"/>
  <c r="O528" i="1"/>
  <c r="O240" i="1"/>
  <c r="O332" i="1"/>
  <c r="O327" i="1"/>
  <c r="O311" i="1"/>
  <c r="O295" i="1"/>
  <c r="O330" i="1"/>
  <c r="O314" i="1"/>
  <c r="O298" i="1"/>
  <c r="O329" i="1"/>
  <c r="O313" i="1"/>
  <c r="O297" i="1"/>
  <c r="O324" i="1"/>
  <c r="O308" i="1"/>
  <c r="O457" i="1"/>
  <c r="O46" i="1"/>
  <c r="O66" i="1"/>
  <c r="O48" i="1"/>
  <c r="O32" i="1"/>
  <c r="O348" i="1"/>
  <c r="O117" i="1"/>
  <c r="O263" i="1"/>
  <c r="O429" i="1"/>
  <c r="O486" i="1"/>
  <c r="O399" i="1"/>
  <c r="O496" i="1"/>
  <c r="O102" i="1"/>
  <c r="O216" i="1"/>
  <c r="O249" i="1"/>
  <c r="O274" i="1"/>
  <c r="O347" i="1"/>
  <c r="O526" i="1"/>
  <c r="O376" i="1"/>
  <c r="O8" i="1"/>
  <c r="O248" i="1"/>
  <c r="O31" i="1"/>
  <c r="O55" i="1"/>
  <c r="O37" i="1"/>
  <c r="O72" i="1"/>
  <c r="O247" i="1"/>
  <c r="O356" i="1"/>
  <c r="O350" i="1"/>
  <c r="O18" i="1"/>
  <c r="O485" i="1"/>
  <c r="O438" i="1"/>
  <c r="O151" i="1"/>
  <c r="O383" i="1"/>
  <c r="O168" i="1"/>
  <c r="O193" i="1"/>
  <c r="O218" i="1"/>
  <c r="O251" i="1"/>
  <c r="O505" i="1"/>
  <c r="O95" i="1"/>
  <c r="O92" i="1"/>
  <c r="O192" i="1"/>
  <c r="O217" i="1"/>
  <c r="O250" i="1"/>
  <c r="O275" i="1"/>
  <c r="O30" i="1"/>
  <c r="O40" i="1"/>
  <c r="O62" i="1"/>
  <c r="O361" i="1"/>
  <c r="O431" i="1"/>
  <c r="O138" i="1"/>
  <c r="O547" i="1"/>
  <c r="O245" i="1"/>
  <c r="O503" i="1"/>
  <c r="O207" i="1"/>
  <c r="O146" i="1"/>
  <c r="O394" i="1"/>
  <c r="O256" i="1"/>
  <c r="O281" i="1"/>
  <c r="O354" i="1"/>
  <c r="O412" i="1"/>
  <c r="O519" i="1"/>
  <c r="O149" i="1"/>
  <c r="O504" i="1"/>
  <c r="O280" i="1"/>
  <c r="O353" i="1"/>
  <c r="O411" i="1"/>
  <c r="O34" i="1"/>
  <c r="O27" i="1"/>
  <c r="O56" i="1"/>
  <c r="O42" i="1"/>
  <c r="O478" i="1"/>
  <c r="O124" i="1"/>
  <c r="O191" i="1"/>
  <c r="O284" i="1"/>
  <c r="O93" i="1"/>
  <c r="O254" i="1"/>
  <c r="O16" i="1"/>
  <c r="O87" i="1"/>
  <c r="O200" i="1"/>
  <c r="O225" i="1"/>
  <c r="O258" i="1"/>
  <c r="O283" i="1"/>
  <c r="O521" i="1"/>
  <c r="O385" i="1"/>
  <c r="O9" i="1"/>
  <c r="O224" i="1"/>
  <c r="O257" i="1"/>
  <c r="O201" i="1"/>
  <c r="O372" i="1"/>
  <c r="O160" i="1"/>
  <c r="O89" i="1"/>
  <c r="O141" i="1"/>
  <c r="O421" i="1"/>
  <c r="O446" i="1"/>
  <c r="O127" i="1"/>
  <c r="O542" i="1"/>
  <c r="O533" i="1"/>
  <c r="O514" i="1"/>
  <c r="O405" i="1"/>
  <c r="O416" i="1"/>
  <c r="O443" i="1"/>
  <c r="O537" i="1"/>
  <c r="O453" i="1"/>
  <c r="O86" i="1"/>
  <c r="O220" i="1"/>
  <c r="O253" i="1"/>
  <c r="O278" i="1"/>
  <c r="O351" i="1"/>
  <c r="O472" i="1"/>
  <c r="O494" i="1"/>
  <c r="O375" i="1"/>
  <c r="O171" i="1"/>
  <c r="O530" i="1"/>
  <c r="O392" i="1"/>
  <c r="O85" i="1"/>
  <c r="O238" i="1"/>
  <c r="O269" i="1"/>
  <c r="O342" i="1"/>
  <c r="O400" i="1"/>
  <c r="O543" i="1"/>
  <c r="O188" i="1"/>
  <c r="O271" i="1"/>
  <c r="O244" i="1"/>
  <c r="O242" i="1"/>
  <c r="O331" i="1"/>
  <c r="O315" i="1"/>
  <c r="O299" i="1"/>
  <c r="O334" i="1"/>
  <c r="O318" i="1"/>
  <c r="O302" i="1"/>
  <c r="O333" i="1"/>
  <c r="O317" i="1"/>
  <c r="O301" i="1"/>
  <c r="O328" i="1"/>
  <c r="O312" i="1"/>
  <c r="O292" i="1"/>
  <c r="O51" i="1"/>
  <c r="O67" i="1"/>
  <c r="O57" i="1"/>
  <c r="O38" i="1"/>
  <c r="O214" i="1"/>
  <c r="O94" i="1"/>
  <c r="O230" i="1"/>
  <c r="O120" i="1"/>
  <c r="O544" i="1"/>
  <c r="O341" i="1"/>
  <c r="O100" i="1"/>
  <c r="O142" i="1"/>
  <c r="O128" i="1"/>
  <c r="O177" i="1"/>
  <c r="O202" i="1"/>
  <c r="O227" i="1"/>
  <c r="O513" i="1"/>
  <c r="O110" i="1"/>
  <c r="O145" i="1"/>
  <c r="O176" i="1"/>
  <c r="O47" i="1"/>
  <c r="O61" i="1"/>
  <c r="O53" i="1"/>
  <c r="O49" i="1"/>
  <c r="O477" i="1"/>
  <c r="O175" i="1"/>
  <c r="O277" i="1"/>
  <c r="O234" i="1"/>
  <c r="O223" i="1"/>
  <c r="O413" i="1"/>
  <c r="O452" i="1"/>
  <c r="O386" i="1"/>
  <c r="O155" i="1"/>
  <c r="O455" i="1"/>
  <c r="O130" i="1"/>
  <c r="O179" i="1"/>
  <c r="O529" i="1"/>
  <c r="O391" i="1"/>
  <c r="O381" i="1"/>
  <c r="O107" i="1"/>
  <c r="O129" i="1"/>
  <c r="O178" i="1"/>
  <c r="O203" i="1"/>
  <c r="O25" i="1"/>
  <c r="O33" i="1"/>
  <c r="O78" i="1"/>
  <c r="O60" i="1"/>
  <c r="O15" i="1"/>
  <c r="O103" i="1"/>
  <c r="O447" i="1"/>
  <c r="O212" i="1"/>
  <c r="O367" i="1"/>
  <c r="O182" i="1"/>
  <c r="O17" i="1"/>
  <c r="O101" i="1"/>
  <c r="O184" i="1"/>
  <c r="O209" i="1"/>
  <c r="O236" i="1"/>
  <c r="O267" i="1"/>
  <c r="O517" i="1"/>
  <c r="O366" i="1"/>
  <c r="O135" i="1"/>
  <c r="O208" i="1"/>
  <c r="O233" i="1"/>
  <c r="O266" i="1"/>
  <c r="O65" i="1"/>
  <c r="O45" i="1"/>
  <c r="O73" i="1"/>
  <c r="O58" i="1"/>
  <c r="O189" i="1"/>
  <c r="O150" i="1"/>
  <c r="O166" i="1"/>
  <c r="O488" i="1"/>
  <c r="O440" i="1"/>
  <c r="O221" i="1"/>
  <c r="O157" i="1"/>
  <c r="O487" i="1"/>
  <c r="O20" i="1"/>
  <c r="O161" i="1"/>
  <c r="O186" i="1"/>
  <c r="O211" i="1"/>
  <c r="O536" i="1"/>
  <c r="O111" i="1"/>
  <c r="O498" i="1"/>
  <c r="O154" i="1"/>
  <c r="O185" i="1"/>
  <c r="O489" i="1"/>
  <c r="O219" i="1"/>
  <c r="O511" i="1"/>
  <c r="O363" i="1"/>
  <c r="O144" i="1"/>
  <c r="O276" i="1"/>
  <c r="O349" i="1"/>
  <c r="O407" i="1"/>
  <c r="O432" i="1"/>
  <c r="O524" i="1"/>
  <c r="O436" i="1"/>
  <c r="O5" i="1"/>
  <c r="O199" i="1"/>
  <c r="O226" i="1"/>
  <c r="O1216" i="1"/>
  <c r="O84" i="1"/>
  <c r="O122" i="1"/>
  <c r="O132" i="1"/>
  <c r="O181" i="1"/>
  <c r="O206" i="1"/>
  <c r="O231" i="1"/>
  <c r="O518" i="1"/>
  <c r="O90" i="1"/>
  <c r="O174" i="1"/>
  <c r="O282" i="1"/>
  <c r="O546" i="1"/>
  <c r="O115" i="1"/>
  <c r="O359" i="1"/>
  <c r="O172" i="1"/>
  <c r="O197" i="1"/>
  <c r="O222" i="1"/>
  <c r="O255" i="1"/>
  <c r="O339" i="1"/>
  <c r="O108" i="1"/>
  <c r="O463" i="1"/>
  <c r="R1203" i="1" l="1"/>
  <c r="R1205" i="1"/>
  <c r="D934" i="15"/>
  <c r="D943" i="15"/>
  <c r="D964" i="15"/>
  <c r="D962" i="15"/>
  <c r="D108" i="15"/>
  <c r="D42" i="15"/>
  <c r="D204" i="15"/>
  <c r="D129" i="15"/>
  <c r="D142" i="15"/>
  <c r="D54" i="15"/>
  <c r="D236" i="15"/>
  <c r="D277" i="15"/>
  <c r="D86" i="15"/>
  <c r="D90" i="15"/>
  <c r="D313" i="15"/>
  <c r="D249" i="15"/>
  <c r="D315" i="15"/>
  <c r="D407" i="15"/>
  <c r="D435" i="15"/>
  <c r="D227" i="15"/>
  <c r="D372" i="15"/>
  <c r="D288" i="15"/>
  <c r="D352" i="15"/>
  <c r="D333" i="15"/>
  <c r="D447" i="15"/>
  <c r="D366" i="15"/>
  <c r="D493" i="15"/>
  <c r="D388" i="15"/>
  <c r="D167" i="15"/>
  <c r="D96" i="15"/>
  <c r="D161" i="15"/>
  <c r="D433" i="15"/>
  <c r="D586" i="15"/>
  <c r="D583" i="15"/>
  <c r="D619" i="15"/>
  <c r="D630" i="15"/>
  <c r="D709" i="15"/>
  <c r="D705" i="15"/>
  <c r="D764" i="15"/>
  <c r="D674" i="15"/>
  <c r="D743" i="15"/>
  <c r="D644" i="15"/>
  <c r="D658" i="15"/>
  <c r="D748" i="15"/>
  <c r="D724" i="15"/>
  <c r="D527" i="15"/>
  <c r="D802" i="15"/>
  <c r="D809" i="15"/>
  <c r="D911" i="15"/>
  <c r="D933" i="15"/>
  <c r="D948" i="15"/>
  <c r="D944" i="15"/>
  <c r="D1087" i="15"/>
  <c r="R1154" i="1"/>
  <c r="R1186" i="1"/>
  <c r="R1155" i="1"/>
  <c r="R1187" i="1"/>
  <c r="D241" i="15"/>
  <c r="D322" i="15"/>
  <c r="D386" i="15"/>
  <c r="D228" i="15"/>
  <c r="D176" i="15"/>
  <c r="D173" i="15"/>
  <c r="D107" i="15"/>
  <c r="D64" i="15"/>
  <c r="D270" i="15"/>
  <c r="D252" i="15"/>
  <c r="D157" i="15"/>
  <c r="D283" i="15"/>
  <c r="D166" i="15"/>
  <c r="D499" i="15"/>
  <c r="D43" i="15"/>
  <c r="D16" i="15"/>
  <c r="D349" i="15"/>
  <c r="D401" i="15"/>
  <c r="D8" i="15"/>
  <c r="D390" i="15"/>
  <c r="D399" i="15"/>
  <c r="D305" i="15"/>
  <c r="D153" i="15"/>
  <c r="D425" i="15"/>
  <c r="D123" i="15"/>
  <c r="D26" i="15"/>
  <c r="D41" i="15"/>
  <c r="D440" i="15"/>
  <c r="D625" i="15"/>
  <c r="D585" i="15"/>
  <c r="D589" i="15"/>
  <c r="D637" i="15"/>
  <c r="D712" i="15"/>
  <c r="D650" i="15"/>
  <c r="D771" i="15"/>
  <c r="D782" i="15"/>
  <c r="D708" i="15"/>
  <c r="D766" i="15"/>
  <c r="D716" i="15"/>
  <c r="D751" i="15"/>
  <c r="D528" i="15"/>
  <c r="D795" i="15"/>
  <c r="D816" i="15"/>
  <c r="D919" i="15"/>
  <c r="D914" i="15"/>
  <c r="D918" i="15"/>
  <c r="D954" i="15"/>
  <c r="D966" i="15"/>
  <c r="D987" i="15"/>
  <c r="D1098" i="15"/>
  <c r="D1093" i="15"/>
  <c r="R1151" i="1"/>
  <c r="R1172" i="1"/>
  <c r="R1204" i="1"/>
  <c r="R1173" i="1"/>
  <c r="D414" i="15"/>
  <c r="D179" i="15"/>
  <c r="D382" i="15"/>
  <c r="D265" i="15"/>
  <c r="D100" i="15"/>
  <c r="D152" i="15"/>
  <c r="D486" i="15"/>
  <c r="D48" i="15"/>
  <c r="D186" i="15"/>
  <c r="D297" i="15"/>
  <c r="D189" i="15"/>
  <c r="D377" i="15"/>
  <c r="D334" i="15"/>
  <c r="D306" i="15"/>
  <c r="D400" i="15"/>
  <c r="D258" i="15"/>
  <c r="D482" i="15"/>
  <c r="D304" i="15"/>
  <c r="D371" i="15"/>
  <c r="D116" i="15"/>
  <c r="D566" i="15"/>
  <c r="D365" i="15"/>
  <c r="D387" i="15"/>
  <c r="D328" i="15"/>
  <c r="D296" i="15"/>
  <c r="D456" i="15"/>
  <c r="D581" i="15"/>
  <c r="D610" i="15"/>
  <c r="D612" i="15"/>
  <c r="D638" i="15"/>
  <c r="D767" i="15"/>
  <c r="D757" i="15"/>
  <c r="D707" i="15"/>
  <c r="D750" i="15"/>
  <c r="D735" i="15"/>
  <c r="D734" i="15"/>
  <c r="D649" i="15"/>
  <c r="D723" i="15"/>
  <c r="D651" i="15"/>
  <c r="D796" i="15"/>
  <c r="D812" i="15"/>
  <c r="D1084" i="15"/>
  <c r="D922" i="15"/>
  <c r="D924" i="15"/>
  <c r="D960" i="15"/>
  <c r="D976" i="15"/>
  <c r="D819" i="15"/>
  <c r="R1145" i="1"/>
  <c r="R1190" i="1"/>
  <c r="R1159" i="1"/>
  <c r="R1191" i="1"/>
  <c r="D105" i="15"/>
  <c r="D211" i="15"/>
  <c r="D164" i="15"/>
  <c r="D182" i="15"/>
  <c r="D219" i="15"/>
  <c r="D429" i="15"/>
  <c r="D516" i="15"/>
  <c r="D83" i="15"/>
  <c r="D199" i="15"/>
  <c r="D121" i="15"/>
  <c r="D345" i="15"/>
  <c r="D89" i="15"/>
  <c r="D34" i="15"/>
  <c r="D262" i="15"/>
  <c r="D432" i="15"/>
  <c r="D518" i="15"/>
  <c r="D207" i="15"/>
  <c r="D271" i="15"/>
  <c r="D110" i="15"/>
  <c r="D60" i="15"/>
  <c r="D422" i="15"/>
  <c r="D330" i="15"/>
  <c r="D496" i="15"/>
  <c r="D221" i="15"/>
  <c r="D19" i="15"/>
  <c r="D106" i="15"/>
  <c r="D23" i="15"/>
  <c r="D196" i="15"/>
  <c r="D101" i="15"/>
  <c r="D442" i="15"/>
  <c r="D594" i="15"/>
  <c r="D617" i="15"/>
  <c r="D602" i="15"/>
  <c r="D627" i="15"/>
  <c r="D701" i="15"/>
  <c r="D653" i="15"/>
  <c r="D648" i="15"/>
  <c r="D762" i="15"/>
  <c r="D703" i="15"/>
  <c r="D714" i="15"/>
  <c r="D742" i="15"/>
  <c r="D768" i="15"/>
  <c r="D772" i="15"/>
  <c r="D523" i="15"/>
  <c r="D923" i="15"/>
  <c r="D930" i="15"/>
  <c r="D939" i="15"/>
  <c r="D951" i="15"/>
  <c r="D984" i="15"/>
  <c r="D974" i="15"/>
  <c r="D1091" i="15"/>
  <c r="R1147" i="1"/>
  <c r="R1176" i="1"/>
  <c r="R1208" i="1"/>
  <c r="R1193" i="1"/>
  <c r="D564" i="15"/>
  <c r="D147" i="15"/>
  <c r="D98" i="15"/>
  <c r="D332" i="15"/>
  <c r="D50" i="15"/>
  <c r="D222" i="15"/>
  <c r="D579" i="15"/>
  <c r="D59" i="15"/>
  <c r="D384" i="15"/>
  <c r="D248" i="15"/>
  <c r="D461" i="15"/>
  <c r="D385" i="15"/>
  <c r="D485" i="15"/>
  <c r="D303" i="15"/>
  <c r="D260" i="15"/>
  <c r="D505" i="15"/>
  <c r="D51" i="15"/>
  <c r="D570" i="15"/>
  <c r="D430" i="15"/>
  <c r="D412" i="15"/>
  <c r="D272" i="15"/>
  <c r="D568" i="15"/>
  <c r="D80" i="15"/>
  <c r="D302" i="15"/>
  <c r="D381" i="15"/>
  <c r="D12" i="15"/>
  <c r="D56" i="15"/>
  <c r="D231" i="15"/>
  <c r="D596" i="15"/>
  <c r="D603" i="15"/>
  <c r="D623" i="15"/>
  <c r="D639" i="15"/>
  <c r="D761" i="15"/>
  <c r="D671" i="15"/>
  <c r="D730" i="15"/>
  <c r="D760" i="15"/>
  <c r="D744" i="15"/>
  <c r="D646" i="15"/>
  <c r="D740" i="15"/>
  <c r="D656" i="15"/>
  <c r="D793" i="15"/>
  <c r="D808" i="15"/>
  <c r="D1079" i="15"/>
  <c r="D908" i="15"/>
  <c r="D927" i="15"/>
  <c r="D941" i="15"/>
  <c r="D971" i="15"/>
  <c r="D982" i="15"/>
  <c r="D823" i="15"/>
  <c r="D1089" i="15"/>
  <c r="R1162" i="1"/>
  <c r="R1194" i="1"/>
  <c r="R1163" i="1"/>
  <c r="R1195" i="1"/>
  <c r="D254" i="15"/>
  <c r="D183" i="15"/>
  <c r="D187" i="15"/>
  <c r="D75" i="15"/>
  <c r="D359" i="15"/>
  <c r="D175" i="15"/>
  <c r="D465" i="15"/>
  <c r="D301" i="15"/>
  <c r="D510" i="15"/>
  <c r="D39" i="15"/>
  <c r="D146" i="15"/>
  <c r="D37" i="15"/>
  <c r="D477" i="15"/>
  <c r="D208" i="15"/>
  <c r="D434" i="15"/>
  <c r="D360" i="15"/>
  <c r="D574" i="15"/>
  <c r="D67" i="15"/>
  <c r="D94" i="15"/>
  <c r="D404" i="15"/>
  <c r="D171" i="15"/>
  <c r="D344" i="15"/>
  <c r="D446" i="15"/>
  <c r="D165" i="15"/>
  <c r="D156" i="15"/>
  <c r="D194" i="15"/>
  <c r="D193" i="15"/>
  <c r="D418" i="15"/>
  <c r="D251" i="15"/>
  <c r="D38" i="15"/>
  <c r="D233" i="15"/>
  <c r="D609" i="15"/>
  <c r="D604" i="15"/>
  <c r="D622" i="15"/>
  <c r="D642" i="15"/>
  <c r="D736" i="15"/>
  <c r="D661" i="15"/>
  <c r="D770" i="15"/>
  <c r="D654" i="15"/>
  <c r="D710" i="15"/>
  <c r="D717" i="15"/>
  <c r="D680" i="15"/>
  <c r="D659" i="15"/>
  <c r="D711" i="15"/>
  <c r="D801" i="15"/>
  <c r="D1080" i="15"/>
  <c r="D917" i="15"/>
  <c r="D929" i="15"/>
  <c r="D953" i="15"/>
  <c r="D972" i="15"/>
  <c r="D981" i="15"/>
  <c r="D824" i="15"/>
  <c r="D1096" i="15"/>
  <c r="R1180" i="1"/>
  <c r="R1212" i="1"/>
  <c r="R1197" i="1"/>
  <c r="D87" i="15"/>
  <c r="D239" i="15"/>
  <c r="D308" i="15"/>
  <c r="D151" i="15"/>
  <c r="D562" i="15"/>
  <c r="D55" i="15"/>
  <c r="D292" i="15"/>
  <c r="D180" i="15"/>
  <c r="D30" i="15"/>
  <c r="D502" i="15"/>
  <c r="D215" i="15"/>
  <c r="D44" i="15"/>
  <c r="D127" i="15"/>
  <c r="D438" i="15"/>
  <c r="D468" i="15"/>
  <c r="D268" i="15"/>
  <c r="D423" i="15"/>
  <c r="D389" i="15"/>
  <c r="D367" i="15"/>
  <c r="D7" i="15"/>
  <c r="D53" i="15"/>
  <c r="D492" i="15"/>
  <c r="D578" i="15"/>
  <c r="D27" i="15"/>
  <c r="D250" i="15"/>
  <c r="D247" i="15"/>
  <c r="D99" i="15"/>
  <c r="D29" i="15"/>
  <c r="D450" i="15"/>
  <c r="D469" i="15"/>
  <c r="D324" i="15"/>
  <c r="D394" i="15"/>
  <c r="D481" i="15"/>
  <c r="D93" i="15"/>
  <c r="D278" i="15"/>
  <c r="D77" i="15"/>
  <c r="D514" i="15"/>
  <c r="D269" i="15"/>
  <c r="D66" i="15"/>
  <c r="D289" i="15"/>
  <c r="D354" i="15"/>
  <c r="D155" i="15"/>
  <c r="D102" i="15"/>
  <c r="D36" i="15"/>
  <c r="D462" i="15"/>
  <c r="D235" i="15"/>
  <c r="D321" i="15"/>
  <c r="D421" i="15"/>
  <c r="D395" i="15"/>
  <c r="D427" i="15"/>
  <c r="D521" i="15"/>
  <c r="D361" i="15"/>
  <c r="D76" i="15"/>
  <c r="D168" i="15"/>
  <c r="D368" i="15"/>
  <c r="D380" i="15"/>
  <c r="D311" i="15"/>
  <c r="D410" i="15"/>
  <c r="D319" i="15"/>
  <c r="D267" i="15"/>
  <c r="D40" i="15"/>
  <c r="D443" i="15"/>
  <c r="D580" i="15"/>
  <c r="D613" i="15"/>
  <c r="D587" i="15"/>
  <c r="D582" i="15"/>
  <c r="D618" i="15"/>
  <c r="D593" i="15"/>
  <c r="D628" i="15"/>
  <c r="D641" i="15"/>
  <c r="D721" i="15"/>
  <c r="D769" i="15"/>
  <c r="D697" i="15"/>
  <c r="D778" i="15"/>
  <c r="D727" i="15"/>
  <c r="D738" i="15"/>
  <c r="D666" i="15"/>
  <c r="D681" i="15"/>
  <c r="D695" i="15"/>
  <c r="D733" i="15"/>
  <c r="D779" i="15"/>
  <c r="D786" i="15"/>
  <c r="D722" i="15"/>
  <c r="D643" i="15"/>
  <c r="D655" i="15"/>
  <c r="D691" i="15"/>
  <c r="D720" i="15"/>
  <c r="D715" i="15"/>
  <c r="D529" i="15"/>
  <c r="D800" i="15"/>
  <c r="D811" i="15"/>
  <c r="D805" i="15"/>
  <c r="D1076" i="15"/>
  <c r="D1081" i="15"/>
  <c r="D913" i="15"/>
  <c r="D907" i="15"/>
  <c r="D931" i="15"/>
  <c r="D961" i="15"/>
  <c r="D963" i="15"/>
  <c r="D965" i="15"/>
  <c r="D957" i="15"/>
  <c r="D973" i="15"/>
  <c r="D978" i="15"/>
  <c r="D975" i="15"/>
  <c r="D822" i="15"/>
  <c r="D1095" i="15"/>
  <c r="R1148" i="1"/>
  <c r="R1166" i="1"/>
  <c r="R1182" i="1"/>
  <c r="R1198" i="1"/>
  <c r="R1214" i="1"/>
  <c r="R1167" i="1"/>
  <c r="R1183" i="1"/>
  <c r="R1199" i="1"/>
  <c r="R1215" i="1"/>
  <c r="D170" i="15"/>
  <c r="D223" i="15"/>
  <c r="D141" i="15"/>
  <c r="D213" i="15"/>
  <c r="D266" i="15"/>
  <c r="D201" i="15"/>
  <c r="D276" i="15"/>
  <c r="D97" i="15"/>
  <c r="D470" i="15"/>
  <c r="D82" i="15"/>
  <c r="D351" i="15"/>
  <c r="D494" i="15"/>
  <c r="D31" i="15"/>
  <c r="D520" i="15"/>
  <c r="D191" i="15"/>
  <c r="D63" i="15"/>
  <c r="D501" i="15"/>
  <c r="D134" i="15"/>
  <c r="D374" i="15"/>
  <c r="D405" i="15"/>
  <c r="D224" i="15"/>
  <c r="D488" i="15"/>
  <c r="D47" i="15"/>
  <c r="D85" i="15"/>
  <c r="D373" i="15"/>
  <c r="D420" i="15"/>
  <c r="D18" i="15"/>
  <c r="D397" i="15"/>
  <c r="D68" i="15"/>
  <c r="D572" i="15"/>
  <c r="D475" i="15"/>
  <c r="D620" i="15"/>
  <c r="D611" i="15"/>
  <c r="D606" i="15"/>
  <c r="D640" i="15"/>
  <c r="D776" i="15"/>
  <c r="D746" i="15"/>
  <c r="D676" i="15"/>
  <c r="D685" i="15"/>
  <c r="D672" i="15"/>
  <c r="D713" i="15"/>
  <c r="D726" i="15"/>
  <c r="D688" i="15"/>
  <c r="D783" i="15"/>
  <c r="D526" i="15"/>
  <c r="D814" i="15"/>
  <c r="D1078" i="15"/>
  <c r="D906" i="15"/>
  <c r="D910" i="15"/>
  <c r="D946" i="15"/>
  <c r="D950" i="15"/>
  <c r="D968" i="15"/>
  <c r="D979" i="15"/>
  <c r="R1170" i="1"/>
  <c r="R1202" i="1"/>
  <c r="R1171" i="1"/>
  <c r="D318" i="15"/>
  <c r="D3" i="15"/>
  <c r="D509" i="15"/>
  <c r="D62" i="15"/>
  <c r="D393" i="15"/>
  <c r="D398" i="15"/>
  <c r="D439" i="15"/>
  <c r="D343" i="15"/>
  <c r="D487" i="15"/>
  <c r="D282" i="15"/>
  <c r="D357" i="15"/>
  <c r="D280" i="15"/>
  <c r="D209" i="15"/>
  <c r="D246" i="15"/>
  <c r="D561" i="15"/>
  <c r="D451" i="15"/>
  <c r="D479" i="15"/>
  <c r="D411" i="15"/>
  <c r="D507" i="15"/>
  <c r="D263" i="15"/>
  <c r="D61" i="15"/>
  <c r="D413" i="15"/>
  <c r="D463" i="15"/>
  <c r="D364" i="15"/>
  <c r="D286" i="15"/>
  <c r="D363" i="15"/>
  <c r="D391" i="15"/>
  <c r="D567" i="15"/>
  <c r="D11" i="15"/>
  <c r="D513" i="15"/>
  <c r="D417" i="15"/>
  <c r="D453" i="15"/>
  <c r="D590" i="15"/>
  <c r="D588" i="15"/>
  <c r="D616" i="15"/>
  <c r="D631" i="15"/>
  <c r="D645" i="15"/>
  <c r="D673" i="15"/>
  <c r="D732" i="15"/>
  <c r="D777" i="15"/>
  <c r="D700" i="15"/>
  <c r="D753" i="15"/>
  <c r="D694" i="15"/>
  <c r="D745" i="15"/>
  <c r="D692" i="15"/>
  <c r="D647" i="15"/>
  <c r="D522" i="15"/>
  <c r="D806" i="15"/>
  <c r="D1082" i="15"/>
  <c r="D916" i="15"/>
  <c r="D932" i="15"/>
  <c r="D956" i="15"/>
  <c r="D952" i="15"/>
  <c r="D969" i="15"/>
  <c r="D820" i="15"/>
  <c r="R1156" i="1"/>
  <c r="R1188" i="1"/>
  <c r="R1157" i="1"/>
  <c r="R1189" i="1"/>
  <c r="D112" i="15"/>
  <c r="D484" i="15"/>
  <c r="D128" i="15"/>
  <c r="D517" i="15"/>
  <c r="D455" i="15"/>
  <c r="D503" i="15"/>
  <c r="D506" i="15"/>
  <c r="D257" i="15"/>
  <c r="D312" i="15"/>
  <c r="D255" i="15"/>
  <c r="D190" i="15"/>
  <c r="D69" i="15"/>
  <c r="D375" i="15"/>
  <c r="D467" i="15"/>
  <c r="D565" i="15"/>
  <c r="D295" i="15"/>
  <c r="D245" i="15"/>
  <c r="D95" i="15"/>
  <c r="D115" i="15"/>
  <c r="D396" i="15"/>
  <c r="D71" i="15"/>
  <c r="D575" i="15"/>
  <c r="D441" i="15"/>
  <c r="D181" i="15"/>
  <c r="D205" i="15"/>
  <c r="D261" i="15"/>
  <c r="D314" i="15"/>
  <c r="D294" i="15"/>
  <c r="D111" i="15"/>
  <c r="D495" i="15"/>
  <c r="D74" i="15"/>
  <c r="D379" i="15"/>
  <c r="D473" i="15"/>
  <c r="D607" i="15"/>
  <c r="D20" i="15"/>
  <c r="D600" i="15"/>
  <c r="D633" i="15"/>
  <c r="D765" i="15"/>
  <c r="D749" i="15"/>
  <c r="D699" i="15"/>
  <c r="D682" i="15"/>
  <c r="D667" i="15"/>
  <c r="D689" i="15"/>
  <c r="D662" i="15"/>
  <c r="D664" i="15"/>
  <c r="D784" i="15"/>
  <c r="D525" i="15"/>
  <c r="D803" i="15"/>
  <c r="D815" i="15"/>
  <c r="D904" i="15"/>
  <c r="D926" i="15"/>
  <c r="D980" i="15"/>
  <c r="D1086" i="15"/>
  <c r="D1088" i="15"/>
  <c r="R1158" i="1"/>
  <c r="R1174" i="1"/>
  <c r="R1206" i="1"/>
  <c r="R1175" i="1"/>
  <c r="R1207" i="1"/>
  <c r="D519" i="15"/>
  <c r="D497" i="15"/>
  <c r="D225" i="15"/>
  <c r="D13" i="15"/>
  <c r="D104" i="15"/>
  <c r="D46" i="15"/>
  <c r="D471" i="15"/>
  <c r="D169" i="15"/>
  <c r="D515" i="15"/>
  <c r="D217" i="15"/>
  <c r="D279" i="15"/>
  <c r="D320" i="15"/>
  <c r="D148" i="15"/>
  <c r="D273" i="15"/>
  <c r="D445" i="15"/>
  <c r="D483" i="15"/>
  <c r="D109" i="15"/>
  <c r="D415" i="15"/>
  <c r="D103" i="15"/>
  <c r="D577" i="15"/>
  <c r="D49" i="15"/>
  <c r="D178" i="15"/>
  <c r="D457" i="15"/>
  <c r="D149" i="15"/>
  <c r="D350" i="15"/>
  <c r="D136" i="15"/>
  <c r="D72" i="15"/>
  <c r="D132" i="15"/>
  <c r="D419" i="15"/>
  <c r="D498" i="15"/>
  <c r="D472" i="15"/>
  <c r="D595" i="15"/>
  <c r="D608" i="15"/>
  <c r="D624" i="15"/>
  <c r="D635" i="15"/>
  <c r="D747" i="15"/>
  <c r="D725" i="15"/>
  <c r="D704" i="15"/>
  <c r="D718" i="15"/>
  <c r="D741" i="15"/>
  <c r="D702" i="15"/>
  <c r="D763" i="15"/>
  <c r="D752" i="15"/>
  <c r="D679" i="15"/>
  <c r="D792" i="15"/>
  <c r="D797" i="15"/>
  <c r="D817" i="15"/>
  <c r="D912" i="15"/>
  <c r="D901" i="15"/>
  <c r="D936" i="15"/>
  <c r="D945" i="15"/>
  <c r="D970" i="15"/>
  <c r="D821" i="15"/>
  <c r="D1094" i="15"/>
  <c r="R1160" i="1"/>
  <c r="R1192" i="1"/>
  <c r="R1161" i="1"/>
  <c r="R1177" i="1"/>
  <c r="R1209" i="1"/>
  <c r="D281" i="15"/>
  <c r="D378" i="15"/>
  <c r="D158" i="15"/>
  <c r="D243" i="15"/>
  <c r="D57" i="15"/>
  <c r="D200" i="15"/>
  <c r="D449" i="15"/>
  <c r="D436" i="15"/>
  <c r="D326" i="15"/>
  <c r="D126" i="15"/>
  <c r="D256" i="15"/>
  <c r="D560" i="15"/>
  <c r="D143" i="15"/>
  <c r="D92" i="15"/>
  <c r="D52" i="15"/>
  <c r="D114" i="15"/>
  <c r="D448" i="15"/>
  <c r="D259" i="15"/>
  <c r="D188" i="15"/>
  <c r="D317" i="15"/>
  <c r="D10" i="15"/>
  <c r="D73" i="15"/>
  <c r="D140" i="15"/>
  <c r="D287" i="15"/>
  <c r="D504" i="15"/>
  <c r="D323" i="15"/>
  <c r="D511" i="15"/>
  <c r="D78" i="15"/>
  <c r="D113" i="15"/>
  <c r="D341" i="15"/>
  <c r="D458" i="15"/>
  <c r="D598" i="15"/>
  <c r="D621" i="15"/>
  <c r="D599" i="15"/>
  <c r="D629" i="15"/>
  <c r="D781" i="15"/>
  <c r="D663" i="15"/>
  <c r="D693" i="15"/>
  <c r="D739" i="15"/>
  <c r="D686" i="15"/>
  <c r="D677" i="15"/>
  <c r="D670" i="15"/>
  <c r="D731" i="15"/>
  <c r="D756" i="15"/>
  <c r="D683" i="15"/>
  <c r="D531" i="15"/>
  <c r="D798" i="15"/>
  <c r="D1074" i="15"/>
  <c r="D920" i="15"/>
  <c r="D909" i="15"/>
  <c r="D935" i="15"/>
  <c r="D947" i="15"/>
  <c r="D959" i="15"/>
  <c r="D977" i="15"/>
  <c r="D1092" i="15"/>
  <c r="R1149" i="1"/>
  <c r="R1178" i="1"/>
  <c r="R1210" i="1"/>
  <c r="R1179" i="1"/>
  <c r="R1211" i="1"/>
  <c r="D172" i="15"/>
  <c r="D353" i="15"/>
  <c r="D17" i="15"/>
  <c r="D124" i="15"/>
  <c r="D15" i="15"/>
  <c r="D342" i="15"/>
  <c r="D58" i="15"/>
  <c r="D91" i="15"/>
  <c r="D452" i="15"/>
  <c r="D569" i="15"/>
  <c r="D392" i="15"/>
  <c r="D84" i="15"/>
  <c r="D478" i="15"/>
  <c r="D28" i="15"/>
  <c r="D307" i="15"/>
  <c r="D464" i="15"/>
  <c r="D416" i="15"/>
  <c r="D229" i="15"/>
  <c r="D338" i="15"/>
  <c r="D25" i="15"/>
  <c r="D285" i="15"/>
  <c r="D437" i="15"/>
  <c r="D120" i="15"/>
  <c r="D238" i="15"/>
  <c r="D291" i="15"/>
  <c r="D33" i="15"/>
  <c r="D88" i="15"/>
  <c r="D356" i="15"/>
  <c r="D145" i="15"/>
  <c r="D476" i="15"/>
  <c r="D474" i="15"/>
  <c r="D597" i="15"/>
  <c r="D615" i="15"/>
  <c r="D605" i="15"/>
  <c r="D634" i="15"/>
  <c r="D785" i="15"/>
  <c r="D729" i="15"/>
  <c r="D759" i="15"/>
  <c r="D698" i="15"/>
  <c r="D728" i="15"/>
  <c r="D668" i="15"/>
  <c r="D754" i="15"/>
  <c r="D675" i="15"/>
  <c r="D687" i="15"/>
  <c r="D532" i="15"/>
  <c r="D799" i="15"/>
  <c r="D1075" i="15"/>
  <c r="D905" i="15"/>
  <c r="D925" i="15"/>
  <c r="D937" i="15"/>
  <c r="D985" i="15"/>
  <c r="D1099" i="15"/>
  <c r="R1146" i="1"/>
  <c r="R1164" i="1"/>
  <c r="R1196" i="1"/>
  <c r="R1165" i="1"/>
  <c r="R1181" i="1"/>
  <c r="R1213" i="1"/>
  <c r="D195" i="15"/>
  <c r="D491" i="15"/>
  <c r="D275" i="15"/>
  <c r="D573" i="15"/>
  <c r="D154" i="15"/>
  <c r="D70" i="15"/>
  <c r="D490" i="15"/>
  <c r="D293" i="15"/>
  <c r="D22" i="15"/>
  <c r="D177" i="15"/>
  <c r="D226" i="15"/>
  <c r="D174" i="15"/>
  <c r="D139" i="15"/>
  <c r="D35" i="15"/>
  <c r="D454" i="15"/>
  <c r="D234" i="15"/>
  <c r="D230" i="15"/>
  <c r="D310" i="15"/>
  <c r="D362" i="15"/>
  <c r="D138" i="15"/>
  <c r="D336" i="15"/>
  <c r="D253" i="15"/>
  <c r="D24" i="15"/>
  <c r="D358" i="15"/>
  <c r="D237" i="15"/>
  <c r="D274" i="15"/>
  <c r="D210" i="15"/>
  <c r="D309" i="15"/>
  <c r="D6" i="15"/>
  <c r="D571" i="15"/>
  <c r="D45" i="15"/>
  <c r="D466" i="15"/>
  <c r="D290" i="15"/>
  <c r="D369" i="15"/>
  <c r="D284" i="15"/>
  <c r="D339" i="15"/>
  <c r="D489" i="15"/>
  <c r="D9" i="15"/>
  <c r="D79" i="15"/>
  <c r="D402" i="15"/>
  <c r="D133" i="15"/>
  <c r="D264" i="15"/>
  <c r="D576" i="15"/>
  <c r="D144" i="15"/>
  <c r="D370" i="15"/>
  <c r="D65" i="15"/>
  <c r="D431" i="15"/>
  <c r="D376" i="15"/>
  <c r="D331" i="15"/>
  <c r="D383" i="15"/>
  <c r="D185" i="15"/>
  <c r="D512" i="15"/>
  <c r="D426" i="15"/>
  <c r="D192" i="15"/>
  <c r="D424" i="15"/>
  <c r="D508" i="15"/>
  <c r="D355" i="15"/>
  <c r="D335" i="15"/>
  <c r="D220" i="15"/>
  <c r="D500" i="15"/>
  <c r="D150" i="15"/>
  <c r="D32" i="15"/>
  <c r="D459" i="15"/>
  <c r="D592" i="15"/>
  <c r="D626" i="15"/>
  <c r="D591" i="15"/>
  <c r="D601" i="15"/>
  <c r="D614" i="15"/>
  <c r="D584" i="15"/>
  <c r="D632" i="15"/>
  <c r="D636" i="15"/>
  <c r="D773" i="15"/>
  <c r="D657" i="15"/>
  <c r="D737" i="15"/>
  <c r="D665" i="15"/>
  <c r="D678" i="15"/>
  <c r="D684" i="15"/>
  <c r="D706" i="15"/>
  <c r="D774" i="15"/>
  <c r="D775" i="15"/>
  <c r="D652" i="15"/>
  <c r="D669" i="15"/>
  <c r="D696" i="15"/>
  <c r="D758" i="15"/>
  <c r="D690" i="15"/>
  <c r="D780" i="15"/>
  <c r="D660" i="15"/>
  <c r="D719" i="15"/>
  <c r="D755" i="15"/>
  <c r="D530" i="15"/>
  <c r="D524" i="15"/>
  <c r="D794" i="15"/>
  <c r="D810" i="15"/>
  <c r="D813" i="15"/>
  <c r="D1083" i="15"/>
  <c r="D903" i="15"/>
  <c r="D921" i="15"/>
  <c r="D915" i="15"/>
  <c r="D902" i="15"/>
  <c r="D938" i="15"/>
  <c r="D940" i="15"/>
  <c r="D942" i="15"/>
  <c r="D958" i="15"/>
  <c r="D967" i="15"/>
  <c r="D986" i="15"/>
  <c r="D983" i="15"/>
  <c r="D1097" i="15"/>
  <c r="D1090" i="15"/>
  <c r="R1150" i="1"/>
  <c r="R1168" i="1"/>
  <c r="R1184" i="1"/>
  <c r="R1200" i="1"/>
  <c r="R1153" i="1"/>
  <c r="R1169" i="1"/>
  <c r="R1185" i="1"/>
  <c r="R1201" i="1"/>
  <c r="R1152" i="1"/>
  <c r="D928" i="15"/>
  <c r="H7" i="17"/>
  <c r="H9" i="17" s="1"/>
  <c r="D159" i="15"/>
  <c r="D162" i="15"/>
  <c r="D197" i="15"/>
  <c r="D117" i="15"/>
  <c r="D403" i="15"/>
  <c r="D131" i="15"/>
  <c r="D218" i="15"/>
  <c r="D184" i="15"/>
  <c r="D216" i="15"/>
  <c r="D242" i="15"/>
  <c r="D135" i="15"/>
  <c r="D299" i="15"/>
  <c r="D348" i="15"/>
  <c r="D137" i="15"/>
  <c r="D4" i="15"/>
  <c r="D329" i="15"/>
  <c r="D298" i="15"/>
  <c r="D214" i="15"/>
  <c r="D119" i="15"/>
  <c r="D203" i="15"/>
  <c r="D563" i="15"/>
  <c r="D244" i="15"/>
  <c r="D408" i="15"/>
  <c r="D559" i="15"/>
  <c r="D206" i="15"/>
  <c r="D346" i="15"/>
  <c r="D212" i="15"/>
  <c r="D409" i="15"/>
  <c r="D198" i="15"/>
  <c r="D14" i="15"/>
  <c r="D327" i="15"/>
  <c r="D406" i="15"/>
  <c r="D5" i="15"/>
  <c r="D325" i="15"/>
  <c r="D130" i="15"/>
  <c r="D480" i="15"/>
  <c r="D428" i="15"/>
  <c r="D460" i="15"/>
  <c r="D125" i="15"/>
  <c r="D340" i="15"/>
  <c r="D202" i="15"/>
  <c r="D21" i="15"/>
  <c r="D118" i="15"/>
  <c r="D900" i="15"/>
  <c r="D899" i="15"/>
  <c r="D818" i="15"/>
  <c r="D1085" i="15"/>
  <c r="D81" i="15"/>
  <c r="D337" i="15"/>
  <c r="D300" i="15"/>
  <c r="D232" i="15"/>
  <c r="D160" i="15"/>
  <c r="D163" i="15"/>
  <c r="D347" i="15"/>
  <c r="D444" i="15"/>
  <c r="D122" i="15"/>
  <c r="D240" i="15"/>
  <c r="D316" i="15"/>
  <c r="D804" i="15"/>
  <c r="D807" i="15"/>
  <c r="D1077" i="15"/>
  <c r="D955" i="15"/>
  <c r="D949" i="15"/>
  <c r="D2" i="15"/>
  <c r="R916" i="1"/>
  <c r="D1101" i="15"/>
  <c r="R917" i="1"/>
  <c r="D1102" i="15"/>
  <c r="R921" i="1"/>
  <c r="D1106" i="15"/>
  <c r="R918" i="1"/>
  <c r="D1103" i="15"/>
  <c r="R927" i="1"/>
  <c r="D1112" i="15"/>
  <c r="R926" i="1"/>
  <c r="D1111" i="15"/>
  <c r="R928" i="1"/>
  <c r="D1113" i="15"/>
  <c r="R931" i="1"/>
  <c r="D990" i="15"/>
  <c r="R935" i="1"/>
  <c r="D994" i="15"/>
  <c r="R939" i="1"/>
  <c r="D998" i="15"/>
  <c r="R932" i="1"/>
  <c r="D991" i="15"/>
  <c r="R936" i="1"/>
  <c r="D995" i="15"/>
  <c r="R940" i="1"/>
  <c r="D999" i="15"/>
  <c r="R942" i="1"/>
  <c r="D788" i="15"/>
  <c r="R944" i="1"/>
  <c r="D826" i="15"/>
  <c r="R947" i="1"/>
  <c r="D829" i="15"/>
  <c r="R946" i="1"/>
  <c r="D828" i="15"/>
  <c r="R960" i="1"/>
  <c r="D1000" i="15"/>
  <c r="R966" i="1"/>
  <c r="D1006" i="15"/>
  <c r="R963" i="1"/>
  <c r="D1003" i="15"/>
  <c r="R969" i="1"/>
  <c r="D1009" i="15"/>
  <c r="R974" i="1"/>
  <c r="D1014" i="15"/>
  <c r="R979" i="1"/>
  <c r="D1019" i="15"/>
  <c r="R973" i="1"/>
  <c r="D1013" i="15"/>
  <c r="R975" i="1"/>
  <c r="D1015" i="15"/>
  <c r="R971" i="1"/>
  <c r="D1011" i="15"/>
  <c r="R968" i="1"/>
  <c r="D1008" i="15"/>
  <c r="R981" i="1"/>
  <c r="D1021" i="15"/>
  <c r="R982" i="1"/>
  <c r="D1022" i="15"/>
  <c r="R983" i="1"/>
  <c r="D1023" i="15"/>
  <c r="R987" i="1"/>
  <c r="D1027" i="15"/>
  <c r="R995" i="1"/>
  <c r="D837" i="15"/>
  <c r="R994" i="1"/>
  <c r="D836" i="15"/>
  <c r="R992" i="1"/>
  <c r="D834" i="15"/>
  <c r="R989" i="1"/>
  <c r="D831" i="15"/>
  <c r="R1000" i="1"/>
  <c r="D842" i="15"/>
  <c r="R1002" i="1"/>
  <c r="D844" i="15"/>
  <c r="R1001" i="1"/>
  <c r="D843" i="15"/>
  <c r="R1005" i="1"/>
  <c r="D847" i="15"/>
  <c r="R1007" i="1"/>
  <c r="D849" i="15"/>
  <c r="R1004" i="1"/>
  <c r="D846" i="15"/>
  <c r="R1003" i="1"/>
  <c r="D845" i="15"/>
  <c r="R1043" i="1"/>
  <c r="D1060" i="15"/>
  <c r="R1035" i="1"/>
  <c r="D1052" i="15"/>
  <c r="R1027" i="1"/>
  <c r="D1044" i="15"/>
  <c r="R1022" i="1"/>
  <c r="D1039" i="15"/>
  <c r="R1018" i="1"/>
  <c r="D1035" i="15"/>
  <c r="R1014" i="1"/>
  <c r="D1031" i="15"/>
  <c r="R1049" i="1"/>
  <c r="D856" i="15"/>
  <c r="R1041" i="1"/>
  <c r="D1058" i="15"/>
  <c r="R1033" i="1"/>
  <c r="D1050" i="15"/>
  <c r="R1025" i="1"/>
  <c r="D1042" i="15"/>
  <c r="R1042" i="1"/>
  <c r="D1059" i="15"/>
  <c r="R1034" i="1"/>
  <c r="D1051" i="15"/>
  <c r="R1026" i="1"/>
  <c r="D1043" i="15"/>
  <c r="R1021" i="1"/>
  <c r="D1038" i="15"/>
  <c r="R1017" i="1"/>
  <c r="D1034" i="15"/>
  <c r="R1013" i="1"/>
  <c r="D1030" i="15"/>
  <c r="R1047" i="1"/>
  <c r="D854" i="15"/>
  <c r="R1040" i="1"/>
  <c r="D1057" i="15"/>
  <c r="R1032" i="1"/>
  <c r="D1049" i="15"/>
  <c r="R1050" i="1"/>
  <c r="D857" i="15"/>
  <c r="R996" i="1"/>
  <c r="D838" i="15"/>
  <c r="R1058" i="1"/>
  <c r="D865" i="15"/>
  <c r="R1056" i="1"/>
  <c r="D863" i="15"/>
  <c r="R1057" i="1"/>
  <c r="D864" i="15"/>
  <c r="R1059" i="1"/>
  <c r="D866" i="15"/>
  <c r="R1052" i="1"/>
  <c r="D859" i="15"/>
  <c r="R1063" i="1"/>
  <c r="D870" i="15"/>
  <c r="R1065" i="1"/>
  <c r="D872" i="15"/>
  <c r="R1077" i="1"/>
  <c r="D884" i="15"/>
  <c r="R1069" i="1"/>
  <c r="D876" i="15"/>
  <c r="R1076" i="1"/>
  <c r="D883" i="15"/>
  <c r="R1068" i="1"/>
  <c r="D875" i="15"/>
  <c r="R1075" i="1"/>
  <c r="D882" i="15"/>
  <c r="R1067" i="1"/>
  <c r="D874" i="15"/>
  <c r="R1074" i="1"/>
  <c r="D881" i="15"/>
  <c r="R1066" i="1"/>
  <c r="D873" i="15"/>
  <c r="R1084" i="1"/>
  <c r="D891" i="15"/>
  <c r="R1082" i="1"/>
  <c r="D889" i="15"/>
  <c r="R1085" i="1"/>
  <c r="D892" i="15"/>
  <c r="R1087" i="1"/>
  <c r="D894" i="15"/>
  <c r="R1088" i="1"/>
  <c r="D895" i="15"/>
  <c r="R953" i="1"/>
  <c r="D1118" i="15"/>
  <c r="R955" i="1"/>
  <c r="D1120" i="15"/>
  <c r="R950" i="1"/>
  <c r="D1115" i="15"/>
  <c r="R956" i="1"/>
  <c r="D1121" i="15"/>
  <c r="R951" i="1"/>
  <c r="D1116" i="15"/>
  <c r="R1096" i="1"/>
  <c r="D537" i="15"/>
  <c r="R1093" i="1"/>
  <c r="D534" i="15"/>
  <c r="R1095" i="1"/>
  <c r="D536" i="15"/>
  <c r="R1112" i="1"/>
  <c r="D553" i="15"/>
  <c r="R1108" i="1"/>
  <c r="D549" i="15"/>
  <c r="R1111" i="1"/>
  <c r="D552" i="15"/>
  <c r="R1104" i="1"/>
  <c r="D545" i="15"/>
  <c r="R1102" i="1"/>
  <c r="D543" i="15"/>
  <c r="R1110" i="1"/>
  <c r="D551" i="15"/>
  <c r="R1099" i="1"/>
  <c r="D540" i="15"/>
  <c r="R1107" i="1"/>
  <c r="D548" i="15"/>
  <c r="R1117" i="1"/>
  <c r="D558" i="15"/>
  <c r="R1115" i="1"/>
  <c r="D556" i="15"/>
  <c r="R480" i="1"/>
  <c r="D790" i="15"/>
  <c r="R479" i="1"/>
  <c r="D789" i="15"/>
  <c r="R483" i="1"/>
  <c r="D1073" i="15"/>
  <c r="R1118" i="1"/>
  <c r="D1064" i="15"/>
  <c r="R1120" i="1"/>
  <c r="D1066" i="15"/>
  <c r="R1124" i="1"/>
  <c r="D1070" i="15"/>
  <c r="R1125" i="1"/>
  <c r="D1071" i="15"/>
  <c r="R1141" i="1"/>
  <c r="D1140" i="15"/>
  <c r="R1131" i="1"/>
  <c r="D1130" i="15"/>
  <c r="R1140" i="1"/>
  <c r="D1139" i="15"/>
  <c r="R1138" i="1"/>
  <c r="D1137" i="15"/>
  <c r="R1143" i="1"/>
  <c r="D1142" i="15"/>
  <c r="R1144" i="1"/>
  <c r="D1143" i="15"/>
  <c r="R1126" i="1"/>
  <c r="D1125" i="15"/>
  <c r="R1128" i="1"/>
  <c r="D1127" i="15"/>
  <c r="R1135" i="1"/>
  <c r="D1134" i="15"/>
  <c r="R915" i="1"/>
  <c r="D1100" i="15"/>
  <c r="R924" i="1"/>
  <c r="D1109" i="15"/>
  <c r="R925" i="1"/>
  <c r="D1110" i="15"/>
  <c r="R923" i="1"/>
  <c r="D1108" i="15"/>
  <c r="R919" i="1"/>
  <c r="D1104" i="15"/>
  <c r="R922" i="1"/>
  <c r="D1107" i="15"/>
  <c r="R920" i="1"/>
  <c r="D1105" i="15"/>
  <c r="R929" i="1"/>
  <c r="D988" i="15"/>
  <c r="R933" i="1"/>
  <c r="D992" i="15"/>
  <c r="R937" i="1"/>
  <c r="D996" i="15"/>
  <c r="R930" i="1"/>
  <c r="D989" i="15"/>
  <c r="R934" i="1"/>
  <c r="D993" i="15"/>
  <c r="R938" i="1"/>
  <c r="D997" i="15"/>
  <c r="R941" i="1"/>
  <c r="D787" i="15"/>
  <c r="R943" i="1"/>
  <c r="D825" i="15"/>
  <c r="R945" i="1"/>
  <c r="D827" i="15"/>
  <c r="R948" i="1"/>
  <c r="D830" i="15"/>
  <c r="R965" i="1"/>
  <c r="D1005" i="15"/>
  <c r="R961" i="1"/>
  <c r="D1001" i="15"/>
  <c r="R962" i="1"/>
  <c r="D1002" i="15"/>
  <c r="R964" i="1"/>
  <c r="D1004" i="15"/>
  <c r="R977" i="1"/>
  <c r="D1017" i="15"/>
  <c r="R970" i="1"/>
  <c r="D1010" i="15"/>
  <c r="R980" i="1"/>
  <c r="D1020" i="15"/>
  <c r="R967" i="1"/>
  <c r="D1007" i="15"/>
  <c r="R978" i="1"/>
  <c r="D1018" i="15"/>
  <c r="R972" i="1"/>
  <c r="D1012" i="15"/>
  <c r="R976" i="1"/>
  <c r="D1016" i="15"/>
  <c r="R984" i="1"/>
  <c r="D1024" i="15"/>
  <c r="R986" i="1"/>
  <c r="D1026" i="15"/>
  <c r="R988" i="1"/>
  <c r="D1028" i="15"/>
  <c r="R985" i="1"/>
  <c r="D1025" i="15"/>
  <c r="R991" i="1"/>
  <c r="D833" i="15"/>
  <c r="R993" i="1"/>
  <c r="D835" i="15"/>
  <c r="R990" i="1"/>
  <c r="D832" i="15"/>
  <c r="R997" i="1"/>
  <c r="D839" i="15"/>
  <c r="R998" i="1"/>
  <c r="D840" i="15"/>
  <c r="R999" i="1"/>
  <c r="D841" i="15"/>
  <c r="R1008" i="1"/>
  <c r="D850" i="15"/>
  <c r="R1010" i="1"/>
  <c r="D852" i="15"/>
  <c r="R1011" i="1"/>
  <c r="D853" i="15"/>
  <c r="R1006" i="1"/>
  <c r="D848" i="15"/>
  <c r="R1009" i="1"/>
  <c r="D851" i="15"/>
  <c r="R1039" i="1"/>
  <c r="D1056" i="15"/>
  <c r="R1031" i="1"/>
  <c r="D1048" i="15"/>
  <c r="R1024" i="1"/>
  <c r="D1041" i="15"/>
  <c r="R1020" i="1"/>
  <c r="D1037" i="15"/>
  <c r="R1016" i="1"/>
  <c r="D1033" i="15"/>
  <c r="R1012" i="1"/>
  <c r="D1029" i="15"/>
  <c r="R1045" i="1"/>
  <c r="D1062" i="15"/>
  <c r="R1037" i="1"/>
  <c r="D1054" i="15"/>
  <c r="R1029" i="1"/>
  <c r="D1046" i="15"/>
  <c r="R1046" i="1"/>
  <c r="D1063" i="15"/>
  <c r="R1038" i="1"/>
  <c r="D1055" i="15"/>
  <c r="R1030" i="1"/>
  <c r="D1047" i="15"/>
  <c r="R1023" i="1"/>
  <c r="D1040" i="15"/>
  <c r="R1019" i="1"/>
  <c r="D1036" i="15"/>
  <c r="R1015" i="1"/>
  <c r="D1032" i="15"/>
  <c r="R1051" i="1"/>
  <c r="D858" i="15"/>
  <c r="R1044" i="1"/>
  <c r="D1061" i="15"/>
  <c r="R1036" i="1"/>
  <c r="D1053" i="15"/>
  <c r="R1028" i="1"/>
  <c r="D1045" i="15"/>
  <c r="R1048" i="1"/>
  <c r="D855" i="15"/>
  <c r="R1053" i="1"/>
  <c r="D860" i="15"/>
  <c r="R1060" i="1"/>
  <c r="D867" i="15"/>
  <c r="R1054" i="1"/>
  <c r="D861" i="15"/>
  <c r="R1061" i="1"/>
  <c r="D868" i="15"/>
  <c r="R1055" i="1"/>
  <c r="D862" i="15"/>
  <c r="R1062" i="1"/>
  <c r="D869" i="15"/>
  <c r="R1064" i="1"/>
  <c r="D871" i="15"/>
  <c r="R1081" i="1"/>
  <c r="D888" i="15"/>
  <c r="R1073" i="1"/>
  <c r="D880" i="15"/>
  <c r="R1080" i="1"/>
  <c r="D887" i="15"/>
  <c r="R1072" i="1"/>
  <c r="D879" i="15"/>
  <c r="R1079" i="1"/>
  <c r="D886" i="15"/>
  <c r="R1071" i="1"/>
  <c r="D878" i="15"/>
  <c r="R1078" i="1"/>
  <c r="D885" i="15"/>
  <c r="R1070" i="1"/>
  <c r="D877" i="15"/>
  <c r="R1083" i="1"/>
  <c r="D890" i="15"/>
  <c r="R1089" i="1"/>
  <c r="D896" i="15"/>
  <c r="R1090" i="1"/>
  <c r="D897" i="15"/>
  <c r="R1086" i="1"/>
  <c r="D893" i="15"/>
  <c r="R1091" i="1"/>
  <c r="D898" i="15"/>
  <c r="R952" i="1"/>
  <c r="D1117" i="15"/>
  <c r="R954" i="1"/>
  <c r="D1119" i="15"/>
  <c r="R957" i="1"/>
  <c r="D1122" i="15"/>
  <c r="R958" i="1"/>
  <c r="D1123" i="15"/>
  <c r="R949" i="1"/>
  <c r="D1114" i="15"/>
  <c r="R959" i="1"/>
  <c r="D1124" i="15"/>
  <c r="R1092" i="1"/>
  <c r="D533" i="15"/>
  <c r="R1094" i="1"/>
  <c r="D535" i="15"/>
  <c r="R1097" i="1"/>
  <c r="D538" i="15"/>
  <c r="R1113" i="1"/>
  <c r="D554" i="15"/>
  <c r="R1105" i="1"/>
  <c r="D546" i="15"/>
  <c r="R1106" i="1"/>
  <c r="D547" i="15"/>
  <c r="R1103" i="1"/>
  <c r="D544" i="15"/>
  <c r="R1100" i="1"/>
  <c r="D541" i="15"/>
  <c r="R1098" i="1"/>
  <c r="D539" i="15"/>
  <c r="R1101" i="1"/>
  <c r="D542" i="15"/>
  <c r="R1109" i="1"/>
  <c r="D550" i="15"/>
  <c r="R1114" i="1"/>
  <c r="D555" i="15"/>
  <c r="R1116" i="1"/>
  <c r="D557" i="15"/>
  <c r="R481" i="1"/>
  <c r="D791" i="15"/>
  <c r="R482" i="1"/>
  <c r="D1072" i="15"/>
  <c r="R1123" i="1"/>
  <c r="D1069" i="15"/>
  <c r="R1119" i="1"/>
  <c r="D1065" i="15"/>
  <c r="R1121" i="1"/>
  <c r="D1067" i="15"/>
  <c r="R1122" i="1"/>
  <c r="D1068" i="15"/>
  <c r="R1132" i="1"/>
  <c r="D1131" i="15"/>
  <c r="R1133" i="1"/>
  <c r="D1132" i="15"/>
  <c r="R1139" i="1"/>
  <c r="D1138" i="15"/>
  <c r="R1137" i="1"/>
  <c r="D1136" i="15"/>
  <c r="R1129" i="1"/>
  <c r="D1128" i="15"/>
  <c r="R1130" i="1"/>
  <c r="D1129" i="15"/>
  <c r="R1134" i="1"/>
  <c r="D1133" i="15"/>
  <c r="R1127" i="1"/>
  <c r="D1126" i="15"/>
  <c r="R1142" i="1"/>
  <c r="D1141" i="15"/>
  <c r="R1136" i="1"/>
  <c r="D1135" i="15"/>
  <c r="P1" i="1"/>
  <c r="P2" i="1"/>
  <c r="R912" i="1"/>
  <c r="R905" i="1"/>
  <c r="R900" i="1"/>
  <c r="R902" i="1"/>
  <c r="R908" i="1"/>
  <c r="R901" i="1"/>
  <c r="R903" i="1"/>
  <c r="R910" i="1"/>
  <c r="R913" i="1"/>
  <c r="R906" i="1"/>
  <c r="R907" i="1"/>
  <c r="R904" i="1"/>
  <c r="R909" i="1"/>
  <c r="R914" i="1"/>
  <c r="R911" i="1"/>
  <c r="R893" i="1"/>
  <c r="R895" i="1"/>
  <c r="R894" i="1"/>
  <c r="R899" i="1"/>
  <c r="R896" i="1"/>
  <c r="R898" i="1"/>
  <c r="R897" i="1"/>
  <c r="R884" i="1"/>
  <c r="R892" i="1"/>
  <c r="R889" i="1"/>
  <c r="R879" i="1"/>
  <c r="R882" i="1"/>
  <c r="R887" i="1"/>
  <c r="R881" i="1"/>
  <c r="R885" i="1"/>
  <c r="R890" i="1"/>
  <c r="R886" i="1"/>
  <c r="R883" i="1"/>
  <c r="R880" i="1"/>
  <c r="R891" i="1"/>
  <c r="R888" i="1"/>
  <c r="R875" i="1"/>
  <c r="R872" i="1"/>
  <c r="R873" i="1"/>
  <c r="R876" i="1"/>
  <c r="R877" i="1"/>
  <c r="R878" i="1"/>
  <c r="R874" i="1"/>
  <c r="R844" i="1"/>
  <c r="R852" i="1"/>
  <c r="R864" i="1"/>
  <c r="R842" i="1"/>
  <c r="R860" i="1"/>
  <c r="R858" i="1"/>
  <c r="R866" i="1"/>
  <c r="R870" i="1"/>
  <c r="R847" i="1"/>
  <c r="R853" i="1"/>
  <c r="R856" i="1"/>
  <c r="R846" i="1"/>
  <c r="R854" i="1"/>
  <c r="R868" i="1"/>
  <c r="R862" i="1"/>
  <c r="R845" i="1"/>
  <c r="R851" i="1"/>
  <c r="R849" i="1"/>
  <c r="R859" i="1"/>
  <c r="R861" i="1"/>
  <c r="R871" i="1"/>
  <c r="R857" i="1"/>
  <c r="R850" i="1"/>
  <c r="R843" i="1"/>
  <c r="R863" i="1"/>
  <c r="R855" i="1"/>
  <c r="R867" i="1"/>
  <c r="R869" i="1"/>
  <c r="R848" i="1"/>
  <c r="R865" i="1"/>
  <c r="R838" i="1"/>
  <c r="R837" i="1"/>
  <c r="R839" i="1"/>
  <c r="R841" i="1"/>
  <c r="R840" i="1"/>
  <c r="R835" i="1"/>
  <c r="R832" i="1"/>
  <c r="R834" i="1"/>
  <c r="R836" i="1"/>
  <c r="R833" i="1"/>
  <c r="R817" i="1"/>
  <c r="R828" i="1"/>
  <c r="R806" i="1"/>
  <c r="R825" i="1"/>
  <c r="R813" i="1"/>
  <c r="R814" i="1"/>
  <c r="R807" i="1"/>
  <c r="R816" i="1"/>
  <c r="R811" i="1"/>
  <c r="R805" i="1"/>
  <c r="R815" i="1"/>
  <c r="R822" i="1"/>
  <c r="R804" i="1"/>
  <c r="R808" i="1"/>
  <c r="R826" i="1"/>
  <c r="R824" i="1"/>
  <c r="R819" i="1"/>
  <c r="R821" i="1"/>
  <c r="R823" i="1"/>
  <c r="R810" i="1"/>
  <c r="R830" i="1"/>
  <c r="R818" i="1"/>
  <c r="R812" i="1"/>
  <c r="R820" i="1"/>
  <c r="R809" i="1"/>
  <c r="R827" i="1"/>
  <c r="R829" i="1"/>
  <c r="R831" i="1"/>
  <c r="R547" i="1"/>
  <c r="R93" i="1"/>
  <c r="R34" i="1"/>
  <c r="R221" i="1"/>
  <c r="R212" i="1"/>
  <c r="R100" i="1"/>
  <c r="R250" i="1"/>
  <c r="R354" i="1"/>
  <c r="R89" i="1"/>
  <c r="R172" i="1"/>
  <c r="R144" i="1"/>
  <c r="R45" i="1"/>
  <c r="R203" i="1"/>
  <c r="R277" i="1"/>
  <c r="R57" i="1"/>
  <c r="R85" i="1"/>
  <c r="R521" i="1"/>
  <c r="R231" i="1"/>
  <c r="R111" i="1"/>
  <c r="R267" i="1"/>
  <c r="R130" i="1"/>
  <c r="R145" i="1"/>
  <c r="R333" i="1"/>
  <c r="R244" i="1"/>
  <c r="R278" i="1"/>
  <c r="R405" i="1"/>
  <c r="R193" i="1"/>
  <c r="R356" i="1"/>
  <c r="R520" i="1"/>
  <c r="R442" i="1"/>
  <c r="R169" i="1"/>
  <c r="R451" i="1"/>
  <c r="R163" i="1"/>
  <c r="R555" i="1"/>
  <c r="R580" i="1"/>
  <c r="R599" i="1"/>
  <c r="R678" i="1"/>
  <c r="R715" i="1"/>
  <c r="R643" i="1"/>
  <c r="R641" i="1"/>
  <c r="R695" i="1"/>
  <c r="R657" i="1"/>
  <c r="R761" i="1"/>
  <c r="R802" i="1"/>
  <c r="R5" i="1"/>
  <c r="R440" i="1"/>
  <c r="R447" i="1"/>
  <c r="R175" i="1"/>
  <c r="R67" i="1"/>
  <c r="R392" i="1"/>
  <c r="R160" i="1"/>
  <c r="R411" i="1"/>
  <c r="R138" i="1"/>
  <c r="R247" i="1"/>
  <c r="R486" i="1"/>
  <c r="R314" i="1"/>
  <c r="R340" i="1"/>
  <c r="R460" i="1"/>
  <c r="R534" i="1"/>
  <c r="R401" i="1"/>
  <c r="R10" i="1"/>
  <c r="R64" i="1"/>
  <c r="R456" i="1"/>
  <c r="R156" i="1"/>
  <c r="R417" i="1"/>
  <c r="R492" i="1"/>
  <c r="R540" i="1"/>
  <c r="R466" i="1"/>
  <c r="R559" i="1"/>
  <c r="R554" i="1"/>
  <c r="R606" i="1"/>
  <c r="R642" i="1"/>
  <c r="R701" i="1"/>
  <c r="R751" i="1"/>
  <c r="R677" i="1"/>
  <c r="R735" i="1"/>
  <c r="R685" i="1"/>
  <c r="R661" i="1"/>
  <c r="R616" i="1"/>
  <c r="R756" i="1"/>
  <c r="R791" i="1"/>
  <c r="R436" i="1"/>
  <c r="R513" i="1"/>
  <c r="R544" i="1"/>
  <c r="R51" i="1"/>
  <c r="R318" i="1"/>
  <c r="R188" i="1"/>
  <c r="R530" i="1"/>
  <c r="R220" i="1"/>
  <c r="R533" i="1"/>
  <c r="R372" i="1"/>
  <c r="R258" i="1"/>
  <c r="R191" i="1"/>
  <c r="R353" i="1"/>
  <c r="R256" i="1"/>
  <c r="R431" i="1"/>
  <c r="R192" i="1"/>
  <c r="R383" i="1"/>
  <c r="R72" i="1"/>
  <c r="R347" i="1"/>
  <c r="R429" i="1"/>
  <c r="R457" i="1"/>
  <c r="R330" i="1"/>
  <c r="R490" i="1"/>
  <c r="R259" i="1"/>
  <c r="R369" i="1"/>
  <c r="R509" i="1"/>
  <c r="R210" i="1"/>
  <c r="R345" i="1"/>
  <c r="R98" i="1"/>
  <c r="R425" i="1"/>
  <c r="R118" i="1"/>
  <c r="R119" i="1"/>
  <c r="R450" i="1"/>
  <c r="R491" i="1"/>
  <c r="R74" i="1"/>
  <c r="R419" i="1"/>
  <c r="R500" i="1"/>
  <c r="R304" i="1"/>
  <c r="R183" i="1"/>
  <c r="R213" i="1"/>
  <c r="R389" i="1"/>
  <c r="R262" i="1"/>
  <c r="R441" i="1"/>
  <c r="R355" i="1"/>
  <c r="R377" i="1"/>
  <c r="R368" i="1"/>
  <c r="R114" i="1"/>
  <c r="R522" i="1"/>
  <c r="R371" i="1"/>
  <c r="R77" i="1"/>
  <c r="R433" i="1"/>
  <c r="R121" i="1"/>
  <c r="R336" i="1"/>
  <c r="R319" i="1"/>
  <c r="R576" i="1"/>
  <c r="R550" i="1"/>
  <c r="R23" i="1"/>
  <c r="R579" i="1"/>
  <c r="R569" i="1"/>
  <c r="R581" i="1"/>
  <c r="R602" i="1"/>
  <c r="R607" i="1"/>
  <c r="R734" i="1"/>
  <c r="R736" i="1"/>
  <c r="R718" i="1"/>
  <c r="R726" i="1"/>
  <c r="R668" i="1"/>
  <c r="R676" i="1"/>
  <c r="R651" i="1"/>
  <c r="R719" i="1"/>
  <c r="R636" i="1"/>
  <c r="R704" i="1"/>
  <c r="R658" i="1"/>
  <c r="R703" i="1"/>
  <c r="R631" i="1"/>
  <c r="R618" i="1"/>
  <c r="R633" i="1"/>
  <c r="R692" i="1"/>
  <c r="R753" i="1"/>
  <c r="R620" i="1"/>
  <c r="R759" i="1"/>
  <c r="R771" i="1"/>
  <c r="R778" i="1"/>
  <c r="R787" i="1"/>
  <c r="R790" i="1"/>
  <c r="R801" i="1"/>
  <c r="R108" i="1"/>
  <c r="R546" i="1"/>
  <c r="R132" i="1"/>
  <c r="R524" i="1"/>
  <c r="R219" i="1"/>
  <c r="R186" i="1"/>
  <c r="R166" i="1"/>
  <c r="R233" i="1"/>
  <c r="R184" i="1"/>
  <c r="R15" i="1"/>
  <c r="R107" i="1"/>
  <c r="R386" i="1"/>
  <c r="R49" i="1"/>
  <c r="R227" i="1"/>
  <c r="R292" i="1"/>
  <c r="R334" i="1"/>
  <c r="R543" i="1"/>
  <c r="R171" i="1"/>
  <c r="R86" i="1"/>
  <c r="R542" i="1"/>
  <c r="R201" i="1"/>
  <c r="R225" i="1"/>
  <c r="R124" i="1"/>
  <c r="R280" i="1"/>
  <c r="R394" i="1"/>
  <c r="R361" i="1"/>
  <c r="R92" i="1"/>
  <c r="R151" i="1"/>
  <c r="R37" i="1"/>
  <c r="R274" i="1"/>
  <c r="R263" i="1"/>
  <c r="R308" i="1"/>
  <c r="R295" i="1"/>
  <c r="R510" i="1"/>
  <c r="R545" i="1"/>
  <c r="R112" i="1"/>
  <c r="R215" i="1"/>
  <c r="R402" i="1"/>
  <c r="R272" i="1"/>
  <c r="R464" i="1"/>
  <c r="R113" i="1"/>
  <c r="R106" i="1"/>
  <c r="R63" i="1"/>
  <c r="R502" i="1"/>
  <c r="R471" i="1"/>
  <c r="R52" i="1"/>
  <c r="R379" i="1"/>
  <c r="R180" i="1"/>
  <c r="R320" i="1"/>
  <c r="R307" i="1"/>
  <c r="R152" i="1"/>
  <c r="R523" i="1"/>
  <c r="R404" i="1"/>
  <c r="R229" i="1"/>
  <c r="R139" i="1"/>
  <c r="R22" i="1"/>
  <c r="R75" i="1"/>
  <c r="R109" i="1"/>
  <c r="R133" i="1"/>
  <c r="R26" i="1"/>
  <c r="R468" i="1"/>
  <c r="R198" i="1"/>
  <c r="R525" i="1"/>
  <c r="R104" i="1"/>
  <c r="R357" i="1"/>
  <c r="R305" i="1"/>
  <c r="R335" i="1"/>
  <c r="R563" i="1"/>
  <c r="R564" i="1"/>
  <c r="R586" i="1"/>
  <c r="R577" i="1"/>
  <c r="R571" i="1"/>
  <c r="R593" i="1"/>
  <c r="R596" i="1"/>
  <c r="R604" i="1"/>
  <c r="R670" i="1"/>
  <c r="R716" i="1"/>
  <c r="R622" i="1"/>
  <c r="R694" i="1"/>
  <c r="R617" i="1"/>
  <c r="R673" i="1"/>
  <c r="R731" i="1"/>
  <c r="R687" i="1"/>
  <c r="R672" i="1"/>
  <c r="R710" i="1"/>
  <c r="R683" i="1"/>
  <c r="R671" i="1"/>
  <c r="R711" i="1"/>
  <c r="R732" i="1"/>
  <c r="R737" i="1"/>
  <c r="R721" i="1"/>
  <c r="R741" i="1"/>
  <c r="R648" i="1"/>
  <c r="R757" i="1"/>
  <c r="R767" i="1"/>
  <c r="R772" i="1"/>
  <c r="R779" i="1"/>
  <c r="R792" i="1"/>
  <c r="R803" i="1"/>
  <c r="R399" i="1"/>
  <c r="R66" i="1"/>
  <c r="R298" i="1"/>
  <c r="R528" i="1"/>
  <c r="R235" i="1"/>
  <c r="R398" i="1"/>
  <c r="R7" i="1"/>
  <c r="R137" i="1"/>
  <c r="R428" i="1"/>
  <c r="R131" i="1"/>
  <c r="R397" i="1"/>
  <c r="R232" i="1"/>
  <c r="R515" i="1"/>
  <c r="R50" i="1"/>
  <c r="R310" i="1"/>
  <c r="R88" i="1"/>
  <c r="R427" i="1"/>
  <c r="R469" i="1"/>
  <c r="R21" i="1"/>
  <c r="R99" i="1"/>
  <c r="R497" i="1"/>
  <c r="R589" i="1"/>
  <c r="R588" i="1"/>
  <c r="R609" i="1"/>
  <c r="R674" i="1"/>
  <c r="R645" i="1"/>
  <c r="R712" i="1"/>
  <c r="R682" i="1"/>
  <c r="R627" i="1"/>
  <c r="R693" i="1"/>
  <c r="R760" i="1"/>
  <c r="R784" i="1"/>
  <c r="R359" i="1"/>
  <c r="R363" i="1"/>
  <c r="R65" i="1"/>
  <c r="R178" i="1"/>
  <c r="R110" i="1"/>
  <c r="R302" i="1"/>
  <c r="R253" i="1"/>
  <c r="R283" i="1"/>
  <c r="R281" i="1"/>
  <c r="R217" i="1"/>
  <c r="R526" i="1"/>
  <c r="R46" i="1"/>
  <c r="R19" i="1"/>
  <c r="R162" i="1"/>
  <c r="R403" i="1"/>
  <c r="R458" i="1"/>
  <c r="R264" i="1"/>
  <c r="R444" i="1"/>
  <c r="R326" i="1"/>
  <c r="R418" i="1"/>
  <c r="R474" i="1"/>
  <c r="R134" i="1"/>
  <c r="R13" i="1"/>
  <c r="R44" i="1"/>
  <c r="R303" i="1"/>
  <c r="R557" i="1"/>
  <c r="R558" i="1"/>
  <c r="R614" i="1"/>
  <c r="R740" i="1"/>
  <c r="R781" i="1"/>
  <c r="R488" i="1"/>
  <c r="R266" i="1"/>
  <c r="R209" i="1"/>
  <c r="R103" i="1"/>
  <c r="R129" i="1"/>
  <c r="R155" i="1"/>
  <c r="R375" i="1"/>
  <c r="R453" i="1"/>
  <c r="R127" i="1"/>
  <c r="R257" i="1"/>
  <c r="R478" i="1"/>
  <c r="R146" i="1"/>
  <c r="R95" i="1"/>
  <c r="R55" i="1"/>
  <c r="R324" i="1"/>
  <c r="R311" i="1"/>
  <c r="R260" i="1"/>
  <c r="R190" i="1"/>
  <c r="R358" i="1"/>
  <c r="R12" i="1"/>
  <c r="R76" i="1"/>
  <c r="R143" i="1"/>
  <c r="R288" i="1"/>
  <c r="R293" i="1"/>
  <c r="R461" i="1"/>
  <c r="R273" i="1"/>
  <c r="R370" i="1"/>
  <c r="R343" i="1"/>
  <c r="R116" i="1"/>
  <c r="R59" i="1"/>
  <c r="R567" i="1"/>
  <c r="R572" i="1"/>
  <c r="R598" i="1"/>
  <c r="R632" i="1"/>
  <c r="R662" i="1"/>
  <c r="R699" i="1"/>
  <c r="R646" i="1"/>
  <c r="R615" i="1"/>
  <c r="R725" i="1"/>
  <c r="R652" i="1"/>
  <c r="R768" i="1"/>
  <c r="R783" i="1"/>
  <c r="R84" i="1"/>
  <c r="R189" i="1"/>
  <c r="R391" i="1"/>
  <c r="R94" i="1"/>
  <c r="R342" i="1"/>
  <c r="R446" i="1"/>
  <c r="R87" i="1"/>
  <c r="R149" i="1"/>
  <c r="R505" i="1"/>
  <c r="R216" i="1"/>
  <c r="R327" i="1"/>
  <c r="R465" i="1"/>
  <c r="R499" i="1"/>
  <c r="R70" i="1"/>
  <c r="R97" i="1"/>
  <c r="R396" i="1"/>
  <c r="R378" i="1"/>
  <c r="R393" i="1"/>
  <c r="R286" i="1"/>
  <c r="R309" i="1"/>
  <c r="R300" i="1"/>
  <c r="R123" i="1"/>
  <c r="R167" i="1"/>
  <c r="R246" i="1"/>
  <c r="R159" i="1"/>
  <c r="R196" i="1"/>
  <c r="R36" i="1"/>
  <c r="R195" i="1"/>
  <c r="R91" i="1"/>
  <c r="R467" i="1"/>
  <c r="R410" i="1"/>
  <c r="R252" i="1"/>
  <c r="R148" i="1"/>
  <c r="R484" i="1"/>
  <c r="R41" i="1"/>
  <c r="R337" i="1"/>
  <c r="R241" i="1"/>
  <c r="R566" i="1"/>
  <c r="R578" i="1"/>
  <c r="R584" i="1"/>
  <c r="R573" i="1"/>
  <c r="R574" i="1"/>
  <c r="R591" i="1"/>
  <c r="R603" i="1"/>
  <c r="R611" i="1"/>
  <c r="R754" i="1"/>
  <c r="R705" i="1"/>
  <c r="R698" i="1"/>
  <c r="R630" i="1"/>
  <c r="R728" i="1"/>
  <c r="R739" i="1"/>
  <c r="R667" i="1"/>
  <c r="R623" i="1"/>
  <c r="R697" i="1"/>
  <c r="R679" i="1"/>
  <c r="R637" i="1"/>
  <c r="R686" i="1"/>
  <c r="R723" i="1"/>
  <c r="R649" i="1"/>
  <c r="R644" i="1"/>
  <c r="R628" i="1"/>
  <c r="R656" i="1"/>
  <c r="R680" i="1"/>
  <c r="R766" i="1"/>
  <c r="R776" i="1"/>
  <c r="R774" i="1"/>
  <c r="R782" i="1"/>
  <c r="R798" i="1"/>
  <c r="R426" i="1"/>
  <c r="R289" i="1"/>
  <c r="R406" i="1"/>
  <c r="R382" i="1"/>
  <c r="R420" i="1"/>
  <c r="R296" i="1"/>
  <c r="R594" i="1"/>
  <c r="R585" i="1"/>
  <c r="R600" i="1"/>
  <c r="R681" i="1"/>
  <c r="R619" i="1"/>
  <c r="R746" i="1"/>
  <c r="R669" i="1"/>
  <c r="R722" i="1"/>
  <c r="R714" i="1"/>
  <c r="R720" i="1"/>
  <c r="R762" i="1"/>
  <c r="R770" i="1"/>
  <c r="R797" i="1"/>
  <c r="R463" i="1"/>
  <c r="R115" i="1"/>
  <c r="R181" i="1"/>
  <c r="R511" i="1"/>
  <c r="R282" i="1"/>
  <c r="R122" i="1"/>
  <c r="R432" i="1"/>
  <c r="R489" i="1"/>
  <c r="R161" i="1"/>
  <c r="R150" i="1"/>
  <c r="R208" i="1"/>
  <c r="R101" i="1"/>
  <c r="R60" i="1"/>
  <c r="R381" i="1"/>
  <c r="R452" i="1"/>
  <c r="R53" i="1"/>
  <c r="R202" i="1"/>
  <c r="R230" i="1"/>
  <c r="R312" i="1"/>
  <c r="R299" i="1"/>
  <c r="R504" i="1"/>
  <c r="R62" i="1"/>
  <c r="R438" i="1"/>
  <c r="R249" i="1"/>
  <c r="R117" i="1"/>
  <c r="R439" i="1"/>
  <c r="R512" i="1"/>
  <c r="R344" i="1"/>
  <c r="R261" i="1"/>
  <c r="R532" i="1"/>
  <c r="R507" i="1"/>
  <c r="R54" i="1"/>
  <c r="R495" i="1"/>
  <c r="R323" i="1"/>
  <c r="R531" i="1"/>
  <c r="R493" i="1"/>
  <c r="R538" i="1"/>
  <c r="R435" i="1"/>
  <c r="R390" i="1"/>
  <c r="R239" i="1"/>
  <c r="R590" i="1"/>
  <c r="R592" i="1"/>
  <c r="R750" i="1"/>
  <c r="R640" i="1"/>
  <c r="R655" i="1"/>
  <c r="R713" i="1"/>
  <c r="R700" i="1"/>
  <c r="R625" i="1"/>
  <c r="R773" i="1"/>
  <c r="R255" i="1"/>
  <c r="R407" i="1"/>
  <c r="R20" i="1"/>
  <c r="R17" i="1"/>
  <c r="R413" i="1"/>
  <c r="R177" i="1"/>
  <c r="R328" i="1"/>
  <c r="R494" i="1"/>
  <c r="R537" i="1"/>
  <c r="R224" i="1"/>
  <c r="R42" i="1"/>
  <c r="R207" i="1"/>
  <c r="R40" i="1"/>
  <c r="R485" i="1"/>
  <c r="R31" i="1"/>
  <c r="R348" i="1"/>
  <c r="R297" i="1"/>
  <c r="R414" i="1"/>
  <c r="R237" i="1"/>
  <c r="R165" i="1"/>
  <c r="R387" i="1"/>
  <c r="R140" i="1"/>
  <c r="R28" i="1"/>
  <c r="R173" i="1"/>
  <c r="R365" i="1"/>
  <c r="R90" i="1"/>
  <c r="R1216" i="1"/>
  <c r="R349" i="1"/>
  <c r="R154" i="1"/>
  <c r="R487" i="1"/>
  <c r="R58" i="1"/>
  <c r="R366" i="1"/>
  <c r="R182" i="1"/>
  <c r="R33" i="1"/>
  <c r="R529" i="1"/>
  <c r="R223" i="1"/>
  <c r="R47" i="1"/>
  <c r="R128" i="1"/>
  <c r="R214" i="1"/>
  <c r="R301" i="1"/>
  <c r="R331" i="1"/>
  <c r="R269" i="1"/>
  <c r="R472" i="1"/>
  <c r="R443" i="1"/>
  <c r="R421" i="1"/>
  <c r="R9" i="1"/>
  <c r="R56" i="1"/>
  <c r="R519" i="1"/>
  <c r="R503" i="1"/>
  <c r="R30" i="1"/>
  <c r="R251" i="1"/>
  <c r="R248" i="1"/>
  <c r="R102" i="1"/>
  <c r="R32" i="1"/>
  <c r="R313" i="1"/>
  <c r="R332" i="1"/>
  <c r="R373" i="1"/>
  <c r="R448" i="1"/>
  <c r="R508" i="1"/>
  <c r="R96" i="1"/>
  <c r="R279" i="1"/>
  <c r="R80" i="1"/>
  <c r="R541" i="1"/>
  <c r="R270" i="1"/>
  <c r="R69" i="1"/>
  <c r="R290" i="1"/>
  <c r="R408" i="1"/>
  <c r="R158" i="1"/>
  <c r="R105" i="1"/>
  <c r="R39" i="1"/>
  <c r="R325" i="1"/>
  <c r="R243" i="1"/>
  <c r="R362" i="1"/>
  <c r="R470" i="1"/>
  <c r="R449" i="1"/>
  <c r="R476" i="1"/>
  <c r="R548" i="1"/>
  <c r="R415" i="1"/>
  <c r="R79" i="1"/>
  <c r="R170" i="1"/>
  <c r="R422" i="1"/>
  <c r="R434" i="1"/>
  <c r="R352" i="1"/>
  <c r="R454" i="1"/>
  <c r="R360" i="1"/>
  <c r="R268" i="1"/>
  <c r="R43" i="1"/>
  <c r="R306" i="1"/>
  <c r="R549" i="1"/>
  <c r="R582" i="1"/>
  <c r="R556" i="1"/>
  <c r="R551" i="1"/>
  <c r="R587" i="1"/>
  <c r="R562" i="1"/>
  <c r="R597" i="1"/>
  <c r="R610" i="1"/>
  <c r="R690" i="1"/>
  <c r="R738" i="1"/>
  <c r="R666" i="1"/>
  <c r="R747" i="1"/>
  <c r="R696" i="1"/>
  <c r="R707" i="1"/>
  <c r="R635" i="1"/>
  <c r="R650" i="1"/>
  <c r="R664" i="1"/>
  <c r="R702" i="1"/>
  <c r="R748" i="1"/>
  <c r="R755" i="1"/>
  <c r="R691" i="1"/>
  <c r="R612" i="1"/>
  <c r="R624" i="1"/>
  <c r="R660" i="1"/>
  <c r="R689" i="1"/>
  <c r="R684" i="1"/>
  <c r="R763" i="1"/>
  <c r="R775" i="1"/>
  <c r="R786" i="1"/>
  <c r="R780" i="1"/>
  <c r="R794" i="1"/>
  <c r="R799" i="1"/>
  <c r="R71" i="1"/>
  <c r="R338" i="1"/>
  <c r="R552" i="1"/>
  <c r="R575" i="1"/>
  <c r="R745" i="1"/>
  <c r="R733" i="1"/>
  <c r="R654" i="1"/>
  <c r="R613" i="1"/>
  <c r="R717" i="1"/>
  <c r="R752" i="1"/>
  <c r="R777" i="1"/>
  <c r="R789" i="1"/>
  <c r="R206" i="1"/>
  <c r="R536" i="1"/>
  <c r="R236" i="1"/>
  <c r="R455" i="1"/>
  <c r="R341" i="1"/>
  <c r="R271" i="1"/>
  <c r="R514" i="1"/>
  <c r="R284" i="1"/>
  <c r="R168" i="1"/>
  <c r="R506" i="1"/>
  <c r="R462" i="1"/>
  <c r="R346" i="1"/>
  <c r="R287" i="1"/>
  <c r="R445" i="1"/>
  <c r="R29" i="1"/>
  <c r="R316" i="1"/>
  <c r="R663" i="1"/>
  <c r="R83" i="1"/>
  <c r="R81" i="1"/>
  <c r="R14" i="1"/>
  <c r="R321" i="1"/>
  <c r="R565" i="1"/>
  <c r="R568" i="1"/>
  <c r="R608" i="1"/>
  <c r="R730" i="1"/>
  <c r="R708" i="1"/>
  <c r="R729" i="1"/>
  <c r="R639" i="1"/>
  <c r="R709" i="1"/>
  <c r="R765" i="1"/>
  <c r="R796" i="1"/>
  <c r="R174" i="1"/>
  <c r="R185" i="1"/>
  <c r="R135" i="1"/>
  <c r="R78" i="1"/>
  <c r="R61" i="1"/>
  <c r="R315" i="1"/>
  <c r="R197" i="1"/>
  <c r="R518" i="1"/>
  <c r="R226" i="1"/>
  <c r="R276" i="1"/>
  <c r="R498" i="1"/>
  <c r="R157" i="1"/>
  <c r="R73" i="1"/>
  <c r="R517" i="1"/>
  <c r="R367" i="1"/>
  <c r="R25" i="1"/>
  <c r="R179" i="1"/>
  <c r="R234" i="1"/>
  <c r="R176" i="1"/>
  <c r="R142" i="1"/>
  <c r="R38" i="1"/>
  <c r="R317" i="1"/>
  <c r="R242" i="1"/>
  <c r="R238" i="1"/>
  <c r="R351" i="1"/>
  <c r="R416" i="1"/>
  <c r="R141" i="1"/>
  <c r="R385" i="1"/>
  <c r="R254" i="1"/>
  <c r="R27" i="1"/>
  <c r="R412" i="1"/>
  <c r="R245" i="1"/>
  <c r="R275" i="1"/>
  <c r="R218" i="1"/>
  <c r="R350" i="1"/>
  <c r="R8" i="1"/>
  <c r="R496" i="1"/>
  <c r="R48" i="1"/>
  <c r="R329" i="1"/>
  <c r="R240" i="1"/>
  <c r="R364" i="1"/>
  <c r="R423" i="1"/>
  <c r="R285" i="1"/>
  <c r="R388" i="1"/>
  <c r="R516" i="1"/>
  <c r="R11" i="1"/>
  <c r="R82" i="1"/>
  <c r="R459" i="1"/>
  <c r="R136" i="1"/>
  <c r="R265" i="1"/>
  <c r="R501" i="1"/>
  <c r="R147" i="1"/>
  <c r="R424" i="1"/>
  <c r="R68" i="1"/>
  <c r="R294" i="1"/>
  <c r="R430" i="1"/>
  <c r="R380" i="1"/>
  <c r="R437" i="1"/>
  <c r="R187" i="1"/>
  <c r="R539" i="1"/>
  <c r="R475" i="1"/>
  <c r="R194" i="1"/>
  <c r="R473" i="1"/>
  <c r="R535" i="1"/>
  <c r="R409" i="1"/>
  <c r="R384" i="1"/>
  <c r="R228" i="1"/>
  <c r="R527" i="1"/>
  <c r="R153" i="1"/>
  <c r="R35" i="1"/>
  <c r="R322" i="1"/>
  <c r="R561" i="1"/>
  <c r="R595" i="1"/>
  <c r="R560" i="1"/>
  <c r="R570" i="1"/>
  <c r="R583" i="1"/>
  <c r="R553" i="1"/>
  <c r="R601" i="1"/>
  <c r="R605" i="1"/>
  <c r="R742" i="1"/>
  <c r="R626" i="1"/>
  <c r="R706" i="1"/>
  <c r="R634" i="1"/>
  <c r="R647" i="1"/>
  <c r="R653" i="1"/>
  <c r="R675" i="1"/>
  <c r="R743" i="1"/>
  <c r="R744" i="1"/>
  <c r="R621" i="1"/>
  <c r="R638" i="1"/>
  <c r="R665" i="1"/>
  <c r="R727" i="1"/>
  <c r="R659" i="1"/>
  <c r="R749" i="1"/>
  <c r="R629" i="1"/>
  <c r="R688" i="1"/>
  <c r="R724" i="1"/>
  <c r="R764" i="1"/>
  <c r="R758" i="1"/>
  <c r="R769" i="1"/>
  <c r="R785" i="1"/>
  <c r="R788" i="1"/>
  <c r="R795" i="1"/>
  <c r="R800" i="1"/>
  <c r="R793" i="1"/>
  <c r="R200" i="1"/>
  <c r="R339" i="1"/>
  <c r="R400" i="1"/>
  <c r="R376" i="1"/>
  <c r="R204" i="1"/>
  <c r="R164" i="1"/>
  <c r="R222" i="1"/>
  <c r="R211" i="1"/>
  <c r="R477" i="1"/>
  <c r="R16" i="1"/>
  <c r="R18" i="1"/>
  <c r="R4" i="1"/>
  <c r="R291" i="1"/>
  <c r="R24" i="1"/>
  <c r="R6" i="1"/>
  <c r="R205" i="1"/>
  <c r="R199" i="1"/>
  <c r="R374" i="1"/>
  <c r="R126" i="1"/>
  <c r="R120" i="1"/>
  <c r="R395" i="1"/>
  <c r="R125" i="1"/>
  <c r="O2" i="1"/>
  <c r="O1" i="1"/>
  <c r="G183" i="15" l="1"/>
  <c r="I8" i="15"/>
  <c r="G420" i="15"/>
  <c r="K99" i="15"/>
  <c r="G164" i="15"/>
  <c r="G382" i="15"/>
  <c r="G439" i="15"/>
  <c r="K411" i="15"/>
  <c r="G36" i="15"/>
  <c r="G292" i="15"/>
  <c r="G126" i="15"/>
  <c r="G55" i="15"/>
  <c r="G311" i="15"/>
  <c r="K3" i="15"/>
  <c r="K454" i="15"/>
  <c r="G100" i="15"/>
  <c r="G228" i="15"/>
  <c r="G356" i="15"/>
  <c r="G532" i="15"/>
  <c r="G254" i="15"/>
  <c r="G510" i="15"/>
  <c r="G119" i="15"/>
  <c r="G247" i="15"/>
  <c r="G375" i="15"/>
  <c r="G503" i="15"/>
  <c r="K35" i="15"/>
  <c r="K179" i="15"/>
  <c r="K182" i="15"/>
  <c r="I264" i="15"/>
  <c r="G68" i="15"/>
  <c r="G132" i="15"/>
  <c r="G196" i="15"/>
  <c r="G260" i="15"/>
  <c r="G324" i="15"/>
  <c r="G388" i="15"/>
  <c r="G468" i="15"/>
  <c r="G62" i="15"/>
  <c r="G190" i="15"/>
  <c r="G318" i="15"/>
  <c r="G446" i="15"/>
  <c r="G23" i="15"/>
  <c r="G87" i="15"/>
  <c r="G151" i="15"/>
  <c r="G215" i="15"/>
  <c r="G279" i="15"/>
  <c r="G343" i="15"/>
  <c r="G407" i="15"/>
  <c r="G471" i="15"/>
  <c r="K67" i="15"/>
  <c r="K131" i="15"/>
  <c r="K283" i="15"/>
  <c r="K54" i="15"/>
  <c r="K310" i="15"/>
  <c r="I136" i="15"/>
  <c r="H50" i="15"/>
  <c r="G20" i="15"/>
  <c r="G52" i="15"/>
  <c r="G84" i="15"/>
  <c r="G116" i="15"/>
  <c r="G148" i="15"/>
  <c r="G180" i="15"/>
  <c r="G212" i="15"/>
  <c r="G244" i="15"/>
  <c r="G276" i="15"/>
  <c r="G308" i="15"/>
  <c r="G340" i="15"/>
  <c r="G372" i="15"/>
  <c r="G404" i="15"/>
  <c r="G436" i="15"/>
  <c r="G500" i="15"/>
  <c r="G30" i="15"/>
  <c r="G94" i="15"/>
  <c r="G158" i="15"/>
  <c r="G222" i="15"/>
  <c r="G286" i="15"/>
  <c r="G350" i="15"/>
  <c r="G414" i="15"/>
  <c r="G478" i="15"/>
  <c r="G7" i="15"/>
  <c r="G39" i="15"/>
  <c r="G71" i="15"/>
  <c r="G103" i="15"/>
  <c r="G135" i="15"/>
  <c r="G167" i="15"/>
  <c r="G199" i="15"/>
  <c r="G231" i="15"/>
  <c r="G263" i="15"/>
  <c r="G295" i="15"/>
  <c r="G327" i="15"/>
  <c r="G359" i="15"/>
  <c r="G391" i="15"/>
  <c r="G423" i="15"/>
  <c r="G455" i="15"/>
  <c r="G487" i="15"/>
  <c r="G519" i="15"/>
  <c r="K19" i="15"/>
  <c r="K51" i="15"/>
  <c r="K83" i="15"/>
  <c r="K115" i="15"/>
  <c r="K147" i="15"/>
  <c r="K219" i="15"/>
  <c r="K347" i="15"/>
  <c r="I509" i="15"/>
  <c r="K118" i="15"/>
  <c r="K246" i="15"/>
  <c r="K386" i="15"/>
  <c r="I72" i="15"/>
  <c r="I200" i="15"/>
  <c r="I372" i="15"/>
  <c r="J115" i="15"/>
  <c r="L407" i="15"/>
  <c r="H464" i="15"/>
  <c r="H507" i="15"/>
  <c r="H178" i="15"/>
  <c r="L229" i="15"/>
  <c r="H305" i="15"/>
  <c r="H151" i="15"/>
  <c r="H23" i="15"/>
  <c r="J255" i="15"/>
  <c r="J15" i="15"/>
  <c r="J5" i="15"/>
  <c r="J26" i="15"/>
  <c r="J132" i="15"/>
  <c r="J178" i="15"/>
  <c r="K507" i="15"/>
  <c r="K470" i="15"/>
  <c r="I526" i="15"/>
  <c r="I462" i="15"/>
  <c r="I420" i="15"/>
  <c r="I388" i="15"/>
  <c r="I356" i="15"/>
  <c r="I324" i="15"/>
  <c r="I292" i="15"/>
  <c r="I272" i="15"/>
  <c r="I256" i="15"/>
  <c r="I240" i="15"/>
  <c r="I224" i="15"/>
  <c r="I208" i="15"/>
  <c r="I192" i="15"/>
  <c r="I176" i="15"/>
  <c r="I160" i="15"/>
  <c r="I144" i="15"/>
  <c r="I128" i="15"/>
  <c r="I112" i="15"/>
  <c r="I96" i="15"/>
  <c r="I80" i="15"/>
  <c r="I64" i="15"/>
  <c r="I48" i="15"/>
  <c r="I32" i="15"/>
  <c r="I16" i="15"/>
  <c r="I4" i="15"/>
  <c r="I491" i="15"/>
  <c r="K434" i="15"/>
  <c r="K402" i="15"/>
  <c r="K370" i="15"/>
  <c r="K350" i="15"/>
  <c r="K334" i="15"/>
  <c r="K318" i="15"/>
  <c r="K302" i="15"/>
  <c r="K286" i="15"/>
  <c r="K270" i="15"/>
  <c r="K254" i="15"/>
  <c r="K238" i="15"/>
  <c r="K222" i="15"/>
  <c r="K206" i="15"/>
  <c r="K190" i="15"/>
  <c r="K174" i="15"/>
  <c r="K158" i="15"/>
  <c r="K142" i="15"/>
  <c r="K126" i="15"/>
  <c r="K110" i="15"/>
  <c r="K94" i="15"/>
  <c r="K78" i="15"/>
  <c r="K62" i="15"/>
  <c r="K46" i="15"/>
  <c r="K30" i="15"/>
  <c r="K14" i="15"/>
  <c r="I525" i="15"/>
  <c r="I493" i="15"/>
  <c r="I461" i="15"/>
  <c r="K435" i="15"/>
  <c r="K419" i="15"/>
  <c r="K403" i="15"/>
  <c r="K387" i="15"/>
  <c r="K371" i="15"/>
  <c r="K355" i="15"/>
  <c r="K339" i="15"/>
  <c r="K323" i="15"/>
  <c r="K307" i="15"/>
  <c r="K291" i="15"/>
  <c r="K275" i="15"/>
  <c r="K259" i="15"/>
  <c r="K243" i="15"/>
  <c r="K227" i="15"/>
  <c r="K211" i="15"/>
  <c r="L190" i="15"/>
  <c r="H306" i="15"/>
  <c r="H505" i="15"/>
  <c r="H87" i="15"/>
  <c r="J16" i="15"/>
  <c r="J226" i="15"/>
  <c r="J4" i="15"/>
  <c r="K488" i="15"/>
  <c r="I494" i="15"/>
  <c r="I404" i="15"/>
  <c r="I340" i="15"/>
  <c r="I280" i="15"/>
  <c r="I248" i="15"/>
  <c r="I216" i="15"/>
  <c r="I184" i="15"/>
  <c r="I152" i="15"/>
  <c r="I120" i="15"/>
  <c r="I88" i="15"/>
  <c r="I56" i="15"/>
  <c r="I24" i="15"/>
  <c r="I523" i="15"/>
  <c r="K418" i="15"/>
  <c r="K358" i="15"/>
  <c r="K326" i="15"/>
  <c r="K294" i="15"/>
  <c r="K262" i="15"/>
  <c r="K230" i="15"/>
  <c r="K198" i="15"/>
  <c r="K166" i="15"/>
  <c r="K134" i="15"/>
  <c r="K102" i="15"/>
  <c r="K70" i="15"/>
  <c r="K38" i="15"/>
  <c r="K6" i="15"/>
  <c r="I477" i="15"/>
  <c r="K427" i="15"/>
  <c r="K395" i="15"/>
  <c r="K363" i="15"/>
  <c r="K331" i="15"/>
  <c r="K299" i="15"/>
  <c r="K267" i="15"/>
  <c r="K235" i="15"/>
  <c r="K203" i="15"/>
  <c r="K187" i="15"/>
  <c r="K171" i="15"/>
  <c r="K155" i="15"/>
  <c r="K143" i="15"/>
  <c r="K135" i="15"/>
  <c r="K127" i="15"/>
  <c r="K119" i="15"/>
  <c r="K111" i="15"/>
  <c r="K103" i="15"/>
  <c r="K95" i="15"/>
  <c r="K87" i="15"/>
  <c r="K79" i="15"/>
  <c r="K71" i="15"/>
  <c r="K63" i="15"/>
  <c r="K55" i="15"/>
  <c r="K47" i="15"/>
  <c r="K39" i="15"/>
  <c r="K31" i="15"/>
  <c r="K23" i="15"/>
  <c r="K15" i="15"/>
  <c r="K7" i="15"/>
  <c r="G531" i="15"/>
  <c r="G523" i="15"/>
  <c r="G515" i="15"/>
  <c r="G507" i="15"/>
  <c r="G499" i="15"/>
  <c r="G491" i="15"/>
  <c r="G483" i="15"/>
  <c r="G475" i="15"/>
  <c r="G467" i="15"/>
  <c r="G459" i="15"/>
  <c r="G451" i="15"/>
  <c r="G443" i="15"/>
  <c r="G435" i="15"/>
  <c r="G427" i="15"/>
  <c r="G419" i="15"/>
  <c r="G411" i="15"/>
  <c r="G403" i="15"/>
  <c r="G395" i="15"/>
  <c r="G387" i="15"/>
  <c r="G379" i="15"/>
  <c r="G371" i="15"/>
  <c r="G363" i="15"/>
  <c r="G355" i="15"/>
  <c r="G347" i="15"/>
  <c r="G339" i="15"/>
  <c r="G331" i="15"/>
  <c r="G323" i="15"/>
  <c r="G315" i="15"/>
  <c r="G307" i="15"/>
  <c r="G299" i="15"/>
  <c r="G291" i="15"/>
  <c r="G283" i="15"/>
  <c r="G275" i="15"/>
  <c r="G267" i="15"/>
  <c r="G259" i="15"/>
  <c r="G251" i="15"/>
  <c r="G243" i="15"/>
  <c r="G235" i="15"/>
  <c r="G227" i="15"/>
  <c r="G219" i="15"/>
  <c r="G211" i="15"/>
  <c r="G203" i="15"/>
  <c r="G195" i="15"/>
  <c r="G187" i="15"/>
  <c r="G179" i="15"/>
  <c r="G171" i="15"/>
  <c r="G163" i="15"/>
  <c r="G155" i="15"/>
  <c r="G147" i="15"/>
  <c r="G139" i="15"/>
  <c r="G131" i="15"/>
  <c r="G123" i="15"/>
  <c r="G115" i="15"/>
  <c r="G107" i="15"/>
  <c r="G99" i="15"/>
  <c r="G91" i="15"/>
  <c r="G83" i="15"/>
  <c r="G75" i="15"/>
  <c r="G67" i="15"/>
  <c r="G59" i="15"/>
  <c r="G51" i="15"/>
  <c r="G43" i="15"/>
  <c r="G35" i="15"/>
  <c r="G27" i="15"/>
  <c r="G19" i="15"/>
  <c r="G11" i="15"/>
  <c r="G3" i="15"/>
  <c r="G518" i="15"/>
  <c r="G502" i="15"/>
  <c r="G486" i="15"/>
  <c r="G470" i="15"/>
  <c r="G454" i="15"/>
  <c r="G438" i="15"/>
  <c r="G422" i="15"/>
  <c r="G406" i="15"/>
  <c r="G390" i="15"/>
  <c r="G374" i="15"/>
  <c r="G358" i="15"/>
  <c r="G342" i="15"/>
  <c r="G326" i="15"/>
  <c r="G310" i="15"/>
  <c r="G294" i="15"/>
  <c r="G278" i="15"/>
  <c r="G262" i="15"/>
  <c r="G246" i="15"/>
  <c r="G230" i="15"/>
  <c r="G214" i="15"/>
  <c r="G198" i="15"/>
  <c r="G182" i="15"/>
  <c r="G166" i="15"/>
  <c r="G150" i="15"/>
  <c r="G134" i="15"/>
  <c r="G118" i="15"/>
  <c r="G102" i="15"/>
  <c r="G86" i="15"/>
  <c r="G70" i="15"/>
  <c r="G54" i="15"/>
  <c r="G38" i="15"/>
  <c r="G22" i="15"/>
  <c r="G6" i="15"/>
  <c r="G524" i="15"/>
  <c r="G508" i="15"/>
  <c r="G492" i="15"/>
  <c r="G476" i="15"/>
  <c r="G460" i="15"/>
  <c r="G444" i="15"/>
  <c r="G12" i="15"/>
  <c r="G28" i="15"/>
  <c r="G44" i="15"/>
  <c r="G60" i="15"/>
  <c r="G76" i="15"/>
  <c r="G92" i="15"/>
  <c r="G108" i="15"/>
  <c r="G124" i="15"/>
  <c r="G140" i="15"/>
  <c r="G156" i="15"/>
  <c r="G172" i="15"/>
  <c r="G188" i="15"/>
  <c r="G204" i="15"/>
  <c r="G220" i="15"/>
  <c r="G236" i="15"/>
  <c r="G252" i="15"/>
  <c r="G268" i="15"/>
  <c r="G284" i="15"/>
  <c r="G300" i="15"/>
  <c r="G316" i="15"/>
  <c r="G332" i="15"/>
  <c r="G348" i="15"/>
  <c r="G364" i="15"/>
  <c r="G380" i="15"/>
  <c r="G396" i="15"/>
  <c r="G412" i="15"/>
  <c r="G428" i="15"/>
  <c r="G452" i="15"/>
  <c r="G484" i="15"/>
  <c r="G516" i="15"/>
  <c r="G14" i="15"/>
  <c r="G46" i="15"/>
  <c r="G78" i="15"/>
  <c r="G110" i="15"/>
  <c r="G142" i="15"/>
  <c r="G174" i="15"/>
  <c r="G206" i="15"/>
  <c r="G238" i="15"/>
  <c r="G270" i="15"/>
  <c r="G302" i="15"/>
  <c r="G334" i="15"/>
  <c r="G366" i="15"/>
  <c r="G398" i="15"/>
  <c r="G430" i="15"/>
  <c r="G462" i="15"/>
  <c r="G494" i="15"/>
  <c r="G526" i="15"/>
  <c r="G15" i="15"/>
  <c r="G31" i="15"/>
  <c r="G47" i="15"/>
  <c r="G63" i="15"/>
  <c r="G79" i="15"/>
  <c r="G95" i="15"/>
  <c r="G111" i="15"/>
  <c r="G127" i="15"/>
  <c r="G143" i="15"/>
  <c r="G159" i="15"/>
  <c r="G175" i="15"/>
  <c r="G191" i="15"/>
  <c r="G207" i="15"/>
  <c r="G223" i="15"/>
  <c r="G239" i="15"/>
  <c r="G255" i="15"/>
  <c r="G271" i="15"/>
  <c r="G287" i="15"/>
  <c r="G303" i="15"/>
  <c r="G319" i="15"/>
  <c r="G335" i="15"/>
  <c r="G351" i="15"/>
  <c r="G367" i="15"/>
  <c r="G383" i="15"/>
  <c r="G399" i="15"/>
  <c r="G415" i="15"/>
  <c r="G431" i="15"/>
  <c r="G447" i="15"/>
  <c r="G463" i="15"/>
  <c r="G479" i="15"/>
  <c r="G495" i="15"/>
  <c r="G511" i="15"/>
  <c r="G527" i="15"/>
  <c r="K11" i="15"/>
  <c r="K27" i="15"/>
  <c r="K43" i="15"/>
  <c r="K59" i="15"/>
  <c r="K75" i="15"/>
  <c r="K91" i="15"/>
  <c r="K107" i="15"/>
  <c r="K123" i="15"/>
  <c r="K139" i="15"/>
  <c r="K163" i="15"/>
  <c r="K195" i="15"/>
  <c r="K251" i="15"/>
  <c r="K315" i="15"/>
  <c r="K379" i="15"/>
  <c r="I445" i="15"/>
  <c r="K22" i="15"/>
  <c r="K86" i="15"/>
  <c r="K150" i="15"/>
  <c r="K214" i="15"/>
  <c r="K278" i="15"/>
  <c r="K342" i="15"/>
  <c r="I459" i="15"/>
  <c r="I40" i="15"/>
  <c r="I104" i="15"/>
  <c r="I168" i="15"/>
  <c r="I232" i="15"/>
  <c r="I308" i="15"/>
  <c r="I436" i="15"/>
  <c r="K525" i="15"/>
  <c r="J6" i="15"/>
  <c r="H215" i="15"/>
  <c r="L235" i="15"/>
  <c r="L279" i="15"/>
  <c r="L264" i="15"/>
  <c r="L126" i="15"/>
  <c r="H528" i="15"/>
  <c r="H400" i="15"/>
  <c r="L354" i="15"/>
  <c r="L171" i="15"/>
  <c r="L43" i="15"/>
  <c r="H443" i="15"/>
  <c r="H338" i="15"/>
  <c r="H274" i="15"/>
  <c r="H210" i="15"/>
  <c r="H146" i="15"/>
  <c r="H82" i="15"/>
  <c r="H18" i="15"/>
  <c r="L342" i="15"/>
  <c r="L165" i="15"/>
  <c r="L37" i="15"/>
  <c r="H441" i="15"/>
  <c r="H337" i="15"/>
  <c r="H273" i="15"/>
  <c r="H231" i="15"/>
  <c r="H199" i="15"/>
  <c r="H167" i="15"/>
  <c r="H135" i="15"/>
  <c r="H103" i="15"/>
  <c r="H71" i="15"/>
  <c r="H39" i="15"/>
  <c r="H7" i="15"/>
  <c r="J372" i="15"/>
  <c r="J208" i="15"/>
  <c r="J80" i="15"/>
  <c r="J207" i="15"/>
  <c r="J79" i="15"/>
  <c r="J198" i="15"/>
  <c r="J70" i="15"/>
  <c r="J197" i="15"/>
  <c r="J69" i="15"/>
  <c r="J156" i="15"/>
  <c r="J75" i="15"/>
  <c r="J203" i="15"/>
  <c r="J154" i="15"/>
  <c r="J201" i="15"/>
  <c r="J9" i="15"/>
  <c r="J130" i="15"/>
  <c r="J196" i="15"/>
  <c r="J68" i="15"/>
  <c r="J83" i="15"/>
  <c r="J389" i="15"/>
  <c r="K529" i="15"/>
  <c r="K520" i="15"/>
  <c r="K511" i="15"/>
  <c r="K502" i="15"/>
  <c r="K493" i="15"/>
  <c r="K484" i="15"/>
  <c r="K475" i="15"/>
  <c r="K466" i="15"/>
  <c r="K458" i="15"/>
  <c r="K450" i="15"/>
  <c r="K442" i="15"/>
  <c r="I518" i="15"/>
  <c r="I502" i="15"/>
  <c r="I486" i="15"/>
  <c r="I470" i="15"/>
  <c r="I454" i="15"/>
  <c r="I440" i="15"/>
  <c r="I432" i="15"/>
  <c r="I424" i="15"/>
  <c r="I416" i="15"/>
  <c r="I408" i="15"/>
  <c r="I400" i="15"/>
  <c r="I392" i="15"/>
  <c r="I384" i="15"/>
  <c r="I376" i="15"/>
  <c r="I368" i="15"/>
  <c r="I360" i="15"/>
  <c r="I352" i="15"/>
  <c r="I344" i="15"/>
  <c r="I336" i="15"/>
  <c r="I328" i="15"/>
  <c r="I320" i="15"/>
  <c r="I312" i="15"/>
  <c r="I304" i="15"/>
  <c r="I296" i="15"/>
  <c r="I288" i="15"/>
  <c r="L392" i="15"/>
  <c r="L62" i="15"/>
  <c r="L482" i="15"/>
  <c r="L107" i="15"/>
  <c r="H379" i="15"/>
  <c r="H242" i="15"/>
  <c r="H114" i="15"/>
  <c r="L470" i="15"/>
  <c r="L101" i="15"/>
  <c r="H377" i="15"/>
  <c r="H247" i="15"/>
  <c r="H183" i="15"/>
  <c r="H119" i="15"/>
  <c r="H55" i="15"/>
  <c r="J144" i="15"/>
  <c r="J143" i="15"/>
  <c r="J134" i="15"/>
  <c r="J133" i="15"/>
  <c r="J28" i="15"/>
  <c r="J129" i="15"/>
  <c r="J73" i="15"/>
  <c r="J113" i="15"/>
  <c r="J49" i="15"/>
  <c r="K516" i="15"/>
  <c r="K497" i="15"/>
  <c r="K479" i="15"/>
  <c r="K462" i="15"/>
  <c r="K446" i="15"/>
  <c r="I510" i="15"/>
  <c r="I478" i="15"/>
  <c r="I446" i="15"/>
  <c r="I428" i="15"/>
  <c r="I412" i="15"/>
  <c r="I396" i="15"/>
  <c r="I380" i="15"/>
  <c r="I364" i="15"/>
  <c r="I348" i="15"/>
  <c r="I332" i="15"/>
  <c r="I316" i="15"/>
  <c r="I300" i="15"/>
  <c r="I284" i="15"/>
  <c r="I276" i="15"/>
  <c r="I268" i="15"/>
  <c r="I260" i="15"/>
  <c r="I252" i="15"/>
  <c r="I244" i="15"/>
  <c r="I236" i="15"/>
  <c r="I228" i="15"/>
  <c r="I220" i="15"/>
  <c r="I212" i="15"/>
  <c r="I204" i="15"/>
  <c r="I196" i="15"/>
  <c r="I188" i="15"/>
  <c r="I180" i="15"/>
  <c r="I172" i="15"/>
  <c r="I164" i="15"/>
  <c r="I156" i="15"/>
  <c r="I148" i="15"/>
  <c r="I140" i="15"/>
  <c r="I132" i="15"/>
  <c r="I124" i="15"/>
  <c r="I116" i="15"/>
  <c r="I108" i="15"/>
  <c r="I100" i="15"/>
  <c r="I92" i="15"/>
  <c r="I84" i="15"/>
  <c r="I76" i="15"/>
  <c r="I68" i="15"/>
  <c r="I60" i="15"/>
  <c r="I52" i="15"/>
  <c r="I44" i="15"/>
  <c r="I36" i="15"/>
  <c r="I28" i="15"/>
  <c r="I20" i="15"/>
  <c r="I12" i="15"/>
  <c r="I507" i="15"/>
  <c r="I475" i="15"/>
  <c r="I443" i="15"/>
  <c r="K426" i="15"/>
  <c r="K410" i="15"/>
  <c r="K394" i="15"/>
  <c r="K378" i="15"/>
  <c r="K362" i="15"/>
  <c r="K354" i="15"/>
  <c r="K346" i="15"/>
  <c r="K338" i="15"/>
  <c r="K330" i="15"/>
  <c r="K322" i="15"/>
  <c r="K314" i="15"/>
  <c r="K306" i="15"/>
  <c r="K298" i="15"/>
  <c r="K290" i="15"/>
  <c r="K282" i="15"/>
  <c r="K274" i="15"/>
  <c r="K266" i="15"/>
  <c r="K258" i="15"/>
  <c r="K250" i="15"/>
  <c r="K242" i="15"/>
  <c r="K234" i="15"/>
  <c r="K226" i="15"/>
  <c r="K218" i="15"/>
  <c r="K210" i="15"/>
  <c r="K202" i="15"/>
  <c r="K194" i="15"/>
  <c r="K186" i="15"/>
  <c r="K178" i="15"/>
  <c r="K170" i="15"/>
  <c r="K162" i="15"/>
  <c r="K154" i="15"/>
  <c r="K146" i="15"/>
  <c r="K138" i="15"/>
  <c r="K130" i="15"/>
  <c r="K122" i="15"/>
  <c r="K114" i="15"/>
  <c r="K106" i="15"/>
  <c r="K98" i="15"/>
  <c r="K90" i="15"/>
  <c r="K82" i="15"/>
  <c r="K74" i="15"/>
  <c r="K66" i="15"/>
  <c r="K58" i="15"/>
  <c r="K50" i="15"/>
  <c r="K42" i="15"/>
  <c r="K34" i="15"/>
  <c r="K26" i="15"/>
  <c r="K18" i="15"/>
  <c r="K10" i="15"/>
  <c r="I533" i="15"/>
  <c r="I517" i="15"/>
  <c r="I501" i="15"/>
  <c r="I485" i="15"/>
  <c r="I469" i="15"/>
  <c r="I453" i="15"/>
  <c r="K439" i="15"/>
  <c r="K431" i="15"/>
  <c r="K423" i="15"/>
  <c r="K415" i="15"/>
  <c r="K407" i="15"/>
  <c r="K399" i="15"/>
  <c r="K391" i="15"/>
  <c r="K383" i="15"/>
  <c r="K375" i="15"/>
  <c r="K367" i="15"/>
  <c r="K359" i="15"/>
  <c r="K351" i="15"/>
  <c r="K343" i="15"/>
  <c r="K335" i="15"/>
  <c r="K327" i="15"/>
  <c r="K319" i="15"/>
  <c r="K311" i="15"/>
  <c r="K303" i="15"/>
  <c r="K295" i="15"/>
  <c r="K287" i="15"/>
  <c r="K279" i="15"/>
  <c r="K271" i="15"/>
  <c r="K263" i="15"/>
  <c r="K255" i="15"/>
  <c r="K247" i="15"/>
  <c r="K239" i="15"/>
  <c r="K231" i="15"/>
  <c r="K223" i="15"/>
  <c r="K215" i="15"/>
  <c r="K207" i="15"/>
  <c r="K199" i="15"/>
  <c r="K191" i="15"/>
  <c r="K183" i="15"/>
  <c r="K175" i="15"/>
  <c r="K167" i="15"/>
  <c r="K159" i="15"/>
  <c r="K151" i="15"/>
  <c r="L503" i="15"/>
  <c r="L471" i="15"/>
  <c r="L343" i="15"/>
  <c r="L476" i="15"/>
  <c r="L328" i="15"/>
  <c r="L222" i="15"/>
  <c r="L158" i="15"/>
  <c r="L94" i="15"/>
  <c r="L30" i="15"/>
  <c r="H496" i="15"/>
  <c r="H432" i="15"/>
  <c r="H368" i="15"/>
  <c r="L418" i="15"/>
  <c r="L290" i="15"/>
  <c r="L203" i="15"/>
  <c r="L139" i="15"/>
  <c r="L75" i="15"/>
  <c r="L11" i="15"/>
  <c r="H475" i="15"/>
  <c r="H411" i="15"/>
  <c r="H354" i="15"/>
  <c r="H322" i="15"/>
  <c r="H290" i="15"/>
  <c r="H258" i="15"/>
  <c r="H226" i="15"/>
  <c r="H194" i="15"/>
  <c r="H162" i="15"/>
  <c r="H130" i="15"/>
  <c r="H98" i="15"/>
  <c r="H66" i="15"/>
  <c r="H34" i="15"/>
  <c r="H3" i="15"/>
  <c r="L406" i="15"/>
  <c r="L278" i="15"/>
  <c r="L197" i="15"/>
  <c r="L133" i="15"/>
  <c r="L69" i="15"/>
  <c r="L5" i="15"/>
  <c r="H473" i="15"/>
  <c r="H409" i="15"/>
  <c r="H353" i="15"/>
  <c r="H321" i="15"/>
  <c r="H289" i="15"/>
  <c r="H257" i="15"/>
  <c r="H239" i="15"/>
  <c r="H223" i="15"/>
  <c r="H207" i="15"/>
  <c r="H191" i="15"/>
  <c r="H175" i="15"/>
  <c r="H159" i="15"/>
  <c r="H143" i="15"/>
  <c r="H127" i="15"/>
  <c r="H111" i="15"/>
  <c r="H95" i="15"/>
  <c r="H79" i="15"/>
  <c r="H63" i="15"/>
  <c r="H47" i="15"/>
  <c r="H31" i="15"/>
  <c r="H15" i="15"/>
  <c r="J522" i="15"/>
  <c r="J240" i="15"/>
  <c r="J176" i="15"/>
  <c r="J112" i="15"/>
  <c r="J48" i="15"/>
  <c r="J239" i="15"/>
  <c r="J175" i="15"/>
  <c r="J111" i="15"/>
  <c r="J47" i="15"/>
  <c r="J230" i="15"/>
  <c r="J166" i="15"/>
  <c r="J102" i="15"/>
  <c r="J38" i="15"/>
  <c r="J229" i="15"/>
  <c r="J165" i="15"/>
  <c r="J101" i="15"/>
  <c r="J37" i="15"/>
  <c r="J220" i="15"/>
  <c r="J92" i="15"/>
  <c r="J187" i="15"/>
  <c r="J195" i="15"/>
  <c r="J18" i="15"/>
  <c r="J59" i="15"/>
  <c r="J218" i="15"/>
  <c r="J90" i="15"/>
  <c r="J469" i="15"/>
  <c r="J137" i="15"/>
  <c r="G8" i="15"/>
  <c r="G16" i="15"/>
  <c r="G24" i="15"/>
  <c r="G32" i="15"/>
  <c r="G40" i="15"/>
  <c r="G48" i="15"/>
  <c r="G56" i="15"/>
  <c r="G64" i="15"/>
  <c r="G72" i="15"/>
  <c r="G80" i="15"/>
  <c r="G88" i="15"/>
  <c r="G96" i="15"/>
  <c r="G104" i="15"/>
  <c r="G112" i="15"/>
  <c r="G120" i="15"/>
  <c r="G128" i="15"/>
  <c r="G136" i="15"/>
  <c r="G144" i="15"/>
  <c r="G152" i="15"/>
  <c r="G160" i="15"/>
  <c r="G168" i="15"/>
  <c r="G176" i="15"/>
  <c r="G184" i="15"/>
  <c r="G192" i="15"/>
  <c r="G200" i="15"/>
  <c r="G208" i="15"/>
  <c r="G216" i="15"/>
  <c r="G224" i="15"/>
  <c r="G232" i="15"/>
  <c r="G240" i="15"/>
  <c r="G248" i="15"/>
  <c r="G256" i="15"/>
  <c r="G264" i="15"/>
  <c r="G272" i="15"/>
  <c r="G280" i="15"/>
  <c r="G288" i="15"/>
  <c r="G296" i="15"/>
  <c r="G304" i="15"/>
  <c r="G312" i="15"/>
  <c r="G320" i="15"/>
  <c r="G328" i="15"/>
  <c r="G336" i="15"/>
  <c r="G344" i="15"/>
  <c r="G352" i="15"/>
  <c r="G360" i="15"/>
  <c r="G368" i="15"/>
  <c r="G376" i="15"/>
  <c r="G384" i="15"/>
  <c r="G392" i="15"/>
  <c r="G400" i="15"/>
  <c r="G408" i="15"/>
  <c r="G416" i="15"/>
  <c r="G424" i="15"/>
  <c r="G432" i="15"/>
  <c r="G440" i="15"/>
  <c r="G448" i="15"/>
  <c r="G456" i="15"/>
  <c r="G464" i="15"/>
  <c r="G472" i="15"/>
  <c r="G480" i="15"/>
  <c r="G488" i="15"/>
  <c r="G496" i="15"/>
  <c r="G504" i="15"/>
  <c r="G512" i="15"/>
  <c r="G520" i="15"/>
  <c r="G528" i="15"/>
  <c r="G4" i="15"/>
  <c r="G10" i="15"/>
  <c r="G18" i="15"/>
  <c r="G26" i="15"/>
  <c r="G34" i="15"/>
  <c r="G42" i="15"/>
  <c r="G50" i="15"/>
  <c r="G58" i="15"/>
  <c r="G66" i="15"/>
  <c r="G74" i="15"/>
  <c r="G82" i="15"/>
  <c r="G90" i="15"/>
  <c r="G98" i="15"/>
  <c r="G106" i="15"/>
  <c r="G114" i="15"/>
  <c r="G122" i="15"/>
  <c r="G130" i="15"/>
  <c r="G138" i="15"/>
  <c r="G146" i="15"/>
  <c r="G154" i="15"/>
  <c r="G162" i="15"/>
  <c r="G170" i="15"/>
  <c r="G178" i="15"/>
  <c r="G186" i="15"/>
  <c r="G194" i="15"/>
  <c r="G202" i="15"/>
  <c r="G210" i="15"/>
  <c r="G218" i="15"/>
  <c r="G226" i="15"/>
  <c r="G234" i="15"/>
  <c r="G242" i="15"/>
  <c r="G250" i="15"/>
  <c r="G258" i="15"/>
  <c r="G266" i="15"/>
  <c r="G274" i="15"/>
  <c r="G282" i="15"/>
  <c r="G290" i="15"/>
  <c r="G298" i="15"/>
  <c r="G306" i="15"/>
  <c r="G314" i="15"/>
  <c r="G322" i="15"/>
  <c r="G330" i="15"/>
  <c r="G338" i="15"/>
  <c r="G346" i="15"/>
  <c r="G354" i="15"/>
  <c r="G362" i="15"/>
  <c r="G370" i="15"/>
  <c r="G378" i="15"/>
  <c r="G386" i="15"/>
  <c r="G394" i="15"/>
  <c r="G402" i="15"/>
  <c r="G410" i="15"/>
  <c r="G418" i="15"/>
  <c r="G426" i="15"/>
  <c r="G434" i="15"/>
  <c r="G442" i="15"/>
  <c r="G450" i="15"/>
  <c r="G458" i="15"/>
  <c r="G466" i="15"/>
  <c r="G474" i="15"/>
  <c r="G482" i="15"/>
  <c r="G490" i="15"/>
  <c r="G498" i="15"/>
  <c r="G506" i="15"/>
  <c r="G514" i="15"/>
  <c r="G522" i="15"/>
  <c r="G530" i="15"/>
  <c r="G5" i="15"/>
  <c r="G9" i="15"/>
  <c r="G13" i="15"/>
  <c r="G17" i="15"/>
  <c r="G21" i="15"/>
  <c r="G25" i="15"/>
  <c r="G29" i="15"/>
  <c r="G33" i="15"/>
  <c r="G37" i="15"/>
  <c r="G41" i="15"/>
  <c r="G45" i="15"/>
  <c r="G49" i="15"/>
  <c r="G53" i="15"/>
  <c r="G57" i="15"/>
  <c r="G61" i="15"/>
  <c r="G65" i="15"/>
  <c r="G69" i="15"/>
  <c r="G73" i="15"/>
  <c r="G77" i="15"/>
  <c r="G81" i="15"/>
  <c r="G85" i="15"/>
  <c r="G89" i="15"/>
  <c r="G93" i="15"/>
  <c r="G97" i="15"/>
  <c r="G101" i="15"/>
  <c r="G105" i="15"/>
  <c r="G109" i="15"/>
  <c r="G113" i="15"/>
  <c r="G117" i="15"/>
  <c r="G121" i="15"/>
  <c r="G125" i="15"/>
  <c r="G129" i="15"/>
  <c r="G133" i="15"/>
  <c r="G137" i="15"/>
  <c r="G141" i="15"/>
  <c r="G145" i="15"/>
  <c r="G149" i="15"/>
  <c r="G153" i="15"/>
  <c r="G157" i="15"/>
  <c r="G161" i="15"/>
  <c r="G165" i="15"/>
  <c r="G169" i="15"/>
  <c r="G173" i="15"/>
  <c r="G177" i="15"/>
  <c r="G181" i="15"/>
  <c r="G185" i="15"/>
  <c r="G189" i="15"/>
  <c r="G193" i="15"/>
  <c r="G197" i="15"/>
  <c r="G201" i="15"/>
  <c r="G205" i="15"/>
  <c r="G209" i="15"/>
  <c r="G213" i="15"/>
  <c r="G217" i="15"/>
  <c r="G221" i="15"/>
  <c r="G225" i="15"/>
  <c r="G229" i="15"/>
  <c r="G233" i="15"/>
  <c r="G237" i="15"/>
  <c r="G241" i="15"/>
  <c r="G245" i="15"/>
  <c r="G249" i="15"/>
  <c r="G253" i="15"/>
  <c r="G257" i="15"/>
  <c r="G261" i="15"/>
  <c r="G265" i="15"/>
  <c r="G269" i="15"/>
  <c r="G273" i="15"/>
  <c r="G277" i="15"/>
  <c r="G281" i="15"/>
  <c r="G285" i="15"/>
  <c r="G289" i="15"/>
  <c r="G293" i="15"/>
  <c r="G297" i="15"/>
  <c r="G301" i="15"/>
  <c r="G305" i="15"/>
  <c r="G309" i="15"/>
  <c r="G313" i="15"/>
  <c r="G317" i="15"/>
  <c r="G321" i="15"/>
  <c r="G325" i="15"/>
  <c r="G329" i="15"/>
  <c r="G333" i="15"/>
  <c r="G337" i="15"/>
  <c r="G341" i="15"/>
  <c r="G345" i="15"/>
  <c r="G349" i="15"/>
  <c r="G353" i="15"/>
  <c r="G357" i="15"/>
  <c r="G361" i="15"/>
  <c r="G365" i="15"/>
  <c r="G369" i="15"/>
  <c r="G373" i="15"/>
  <c r="G377" i="15"/>
  <c r="G381" i="15"/>
  <c r="G385" i="15"/>
  <c r="G389" i="15"/>
  <c r="G393" i="15"/>
  <c r="G397" i="15"/>
  <c r="G401" i="15"/>
  <c r="G405" i="15"/>
  <c r="G409" i="15"/>
  <c r="G413" i="15"/>
  <c r="G417" i="15"/>
  <c r="G421" i="15"/>
  <c r="G425" i="15"/>
  <c r="G429" i="15"/>
  <c r="G433" i="15"/>
  <c r="G437" i="15"/>
  <c r="G441" i="15"/>
  <c r="G445" i="15"/>
  <c r="G449" i="15"/>
  <c r="G453" i="15"/>
  <c r="G457" i="15"/>
  <c r="G461" i="15"/>
  <c r="G465" i="15"/>
  <c r="G469" i="15"/>
  <c r="G473" i="15"/>
  <c r="G477" i="15"/>
  <c r="G481" i="15"/>
  <c r="G485" i="15"/>
  <c r="G489" i="15"/>
  <c r="G493" i="15"/>
  <c r="G497" i="15"/>
  <c r="G501" i="15"/>
  <c r="G505" i="15"/>
  <c r="G509" i="15"/>
  <c r="G513" i="15"/>
  <c r="G517" i="15"/>
  <c r="G521" i="15"/>
  <c r="G525" i="15"/>
  <c r="G529" i="15"/>
  <c r="G533" i="15"/>
  <c r="K5" i="15"/>
  <c r="K9" i="15"/>
  <c r="K13" i="15"/>
  <c r="K17" i="15"/>
  <c r="K21" i="15"/>
  <c r="K25" i="15"/>
  <c r="K29" i="15"/>
  <c r="K33" i="15"/>
  <c r="K37" i="15"/>
  <c r="K41" i="15"/>
  <c r="K45" i="15"/>
  <c r="K49" i="15"/>
  <c r="K53" i="15"/>
  <c r="K57" i="15"/>
  <c r="K61" i="15"/>
  <c r="K65" i="15"/>
  <c r="K69" i="15"/>
  <c r="K73" i="15"/>
  <c r="K77" i="15"/>
  <c r="K81" i="15"/>
  <c r="K85" i="15"/>
  <c r="K89" i="15"/>
  <c r="K93" i="15"/>
  <c r="K97" i="15"/>
  <c r="K101" i="15"/>
  <c r="K105" i="15"/>
  <c r="K109" i="15"/>
  <c r="K113" i="15"/>
  <c r="K117" i="15"/>
  <c r="K121" i="15"/>
  <c r="K125" i="15"/>
  <c r="K129" i="15"/>
  <c r="K133" i="15"/>
  <c r="K137" i="15"/>
  <c r="K141" i="15"/>
  <c r="K145" i="15"/>
  <c r="K149" i="15"/>
  <c r="K153" i="15"/>
  <c r="K157" i="15"/>
  <c r="K161" i="15"/>
  <c r="K165" i="15"/>
  <c r="K169" i="15"/>
  <c r="K173" i="15"/>
  <c r="K177" i="15"/>
  <c r="K181" i="15"/>
  <c r="K185" i="15"/>
  <c r="K189" i="15"/>
  <c r="K193" i="15"/>
  <c r="K197" i="15"/>
  <c r="K201" i="15"/>
  <c r="K205" i="15"/>
  <c r="K209" i="15"/>
  <c r="K213" i="15"/>
  <c r="K217" i="15"/>
  <c r="K221" i="15"/>
  <c r="K225" i="15"/>
  <c r="K229" i="15"/>
  <c r="K233" i="15"/>
  <c r="K237" i="15"/>
  <c r="K241" i="15"/>
  <c r="K245" i="15"/>
  <c r="K249" i="15"/>
  <c r="K253" i="15"/>
  <c r="K257" i="15"/>
  <c r="K261" i="15"/>
  <c r="K265" i="15"/>
  <c r="K269" i="15"/>
  <c r="K273" i="15"/>
  <c r="K277" i="15"/>
  <c r="K281" i="15"/>
  <c r="K285" i="15"/>
  <c r="K289" i="15"/>
  <c r="K293" i="15"/>
  <c r="K297" i="15"/>
  <c r="K301" i="15"/>
  <c r="K305" i="15"/>
  <c r="K309" i="15"/>
  <c r="K313" i="15"/>
  <c r="K317" i="15"/>
  <c r="K321" i="15"/>
  <c r="K325" i="15"/>
  <c r="K329" i="15"/>
  <c r="K333" i="15"/>
  <c r="K337" i="15"/>
  <c r="K341" i="15"/>
  <c r="K345" i="15"/>
  <c r="K349" i="15"/>
  <c r="K353" i="15"/>
  <c r="K357" i="15"/>
  <c r="K361" i="15"/>
  <c r="K365" i="15"/>
  <c r="K369" i="15"/>
  <c r="K373" i="15"/>
  <c r="K377" i="15"/>
  <c r="K381" i="15"/>
  <c r="K385" i="15"/>
  <c r="K389" i="15"/>
  <c r="K393" i="15"/>
  <c r="K397" i="15"/>
  <c r="K401" i="15"/>
  <c r="K405" i="15"/>
  <c r="K409" i="15"/>
  <c r="K413" i="15"/>
  <c r="K417" i="15"/>
  <c r="K421" i="15"/>
  <c r="K425" i="15"/>
  <c r="K429" i="15"/>
  <c r="K433" i="15"/>
  <c r="K437" i="15"/>
  <c r="K441" i="15"/>
  <c r="I449" i="15"/>
  <c r="I457" i="15"/>
  <c r="I465" i="15"/>
  <c r="I473" i="15"/>
  <c r="I481" i="15"/>
  <c r="I489" i="15"/>
  <c r="I497" i="15"/>
  <c r="I505" i="15"/>
  <c r="I513" i="15"/>
  <c r="I521" i="15"/>
  <c r="I529" i="15"/>
  <c r="K4" i="15"/>
  <c r="K8" i="15"/>
  <c r="K12" i="15"/>
  <c r="K16" i="15"/>
  <c r="K20" i="15"/>
  <c r="K24" i="15"/>
  <c r="K28" i="15"/>
  <c r="K32" i="15"/>
  <c r="K36" i="15"/>
  <c r="K40" i="15"/>
  <c r="K44" i="15"/>
  <c r="K48" i="15"/>
  <c r="K52" i="15"/>
  <c r="K56" i="15"/>
  <c r="K60" i="15"/>
  <c r="K64" i="15"/>
  <c r="K68" i="15"/>
  <c r="K72" i="15"/>
  <c r="K76" i="15"/>
  <c r="K80" i="15"/>
  <c r="K84" i="15"/>
  <c r="K88" i="15"/>
  <c r="K92" i="15"/>
  <c r="K96" i="15"/>
  <c r="K100" i="15"/>
  <c r="K104" i="15"/>
  <c r="K108" i="15"/>
  <c r="K112" i="15"/>
  <c r="K116" i="15"/>
  <c r="K120" i="15"/>
  <c r="K124" i="15"/>
  <c r="K128" i="15"/>
  <c r="K132" i="15"/>
  <c r="K136" i="15"/>
  <c r="K140" i="15"/>
  <c r="K144" i="15"/>
  <c r="K148" i="15"/>
  <c r="K152" i="15"/>
  <c r="K156" i="15"/>
  <c r="K160" i="15"/>
  <c r="K164" i="15"/>
  <c r="K168" i="15"/>
  <c r="K172" i="15"/>
  <c r="K176" i="15"/>
  <c r="K180" i="15"/>
  <c r="K184" i="15"/>
  <c r="K188" i="15"/>
  <c r="K192" i="15"/>
  <c r="K196" i="15"/>
  <c r="K200" i="15"/>
  <c r="K204" i="15"/>
  <c r="K208" i="15"/>
  <c r="K212" i="15"/>
  <c r="K216" i="15"/>
  <c r="K220" i="15"/>
  <c r="K224" i="15"/>
  <c r="K228" i="15"/>
  <c r="K232" i="15"/>
  <c r="K236" i="15"/>
  <c r="K240" i="15"/>
  <c r="K244" i="15"/>
  <c r="K248" i="15"/>
  <c r="K252" i="15"/>
  <c r="K256" i="15"/>
  <c r="K260" i="15"/>
  <c r="K264" i="15"/>
  <c r="K268" i="15"/>
  <c r="K272" i="15"/>
  <c r="K276" i="15"/>
  <c r="K280" i="15"/>
  <c r="K284" i="15"/>
  <c r="K288" i="15"/>
  <c r="K292" i="15"/>
  <c r="K296" i="15"/>
  <c r="K300" i="15"/>
  <c r="K304" i="15"/>
  <c r="K308" i="15"/>
  <c r="K312" i="15"/>
  <c r="K316" i="15"/>
  <c r="K320" i="15"/>
  <c r="K324" i="15"/>
  <c r="K328" i="15"/>
  <c r="K332" i="15"/>
  <c r="K336" i="15"/>
  <c r="K340" i="15"/>
  <c r="K344" i="15"/>
  <c r="K348" i="15"/>
  <c r="K352" i="15"/>
  <c r="K356" i="15"/>
  <c r="K360" i="15"/>
  <c r="K366" i="15"/>
  <c r="K374" i="15"/>
  <c r="K382" i="15"/>
  <c r="K390" i="15"/>
  <c r="K398" i="15"/>
  <c r="K406" i="15"/>
  <c r="K414" i="15"/>
  <c r="K422" i="15"/>
  <c r="K430" i="15"/>
  <c r="K438" i="15"/>
  <c r="I451" i="15"/>
  <c r="I467" i="15"/>
  <c r="I483" i="15"/>
  <c r="I499" i="15"/>
  <c r="I515" i="15"/>
  <c r="I531" i="15"/>
  <c r="I6" i="15"/>
  <c r="I10" i="15"/>
  <c r="I14" i="15"/>
  <c r="I18" i="15"/>
  <c r="I22" i="15"/>
  <c r="I26" i="15"/>
  <c r="I30" i="15"/>
  <c r="I34" i="15"/>
  <c r="I38" i="15"/>
  <c r="I42" i="15"/>
  <c r="I46" i="15"/>
  <c r="I50" i="15"/>
  <c r="I54" i="15"/>
  <c r="I58" i="15"/>
  <c r="I62" i="15"/>
  <c r="I66" i="15"/>
  <c r="I70" i="15"/>
  <c r="I74" i="15"/>
  <c r="I78" i="15"/>
  <c r="I82" i="15"/>
  <c r="I86" i="15"/>
  <c r="I90" i="15"/>
  <c r="I94" i="15"/>
  <c r="I98" i="15"/>
  <c r="I102" i="15"/>
  <c r="I106" i="15"/>
  <c r="I110" i="15"/>
  <c r="I114" i="15"/>
  <c r="I118" i="15"/>
  <c r="I122" i="15"/>
  <c r="I126" i="15"/>
  <c r="I130" i="15"/>
  <c r="I134" i="15"/>
  <c r="I138" i="15"/>
  <c r="I142" i="15"/>
  <c r="I146" i="15"/>
  <c r="I150" i="15"/>
  <c r="I154" i="15"/>
  <c r="I158" i="15"/>
  <c r="I162" i="15"/>
  <c r="I166" i="15"/>
  <c r="I170" i="15"/>
  <c r="I174" i="15"/>
  <c r="I178" i="15"/>
  <c r="I182" i="15"/>
  <c r="I186" i="15"/>
  <c r="I190" i="15"/>
  <c r="I194" i="15"/>
  <c r="I198" i="15"/>
  <c r="I202" i="15"/>
  <c r="I206" i="15"/>
  <c r="I210" i="15"/>
  <c r="I214" i="15"/>
  <c r="I218" i="15"/>
  <c r="I222" i="15"/>
  <c r="I226" i="15"/>
  <c r="I230" i="15"/>
  <c r="I234" i="15"/>
  <c r="I238" i="15"/>
  <c r="I242" i="15"/>
  <c r="I246" i="15"/>
  <c r="I250" i="15"/>
  <c r="I254" i="15"/>
  <c r="I258" i="15"/>
  <c r="I262" i="15"/>
  <c r="I266" i="15"/>
  <c r="I270" i="15"/>
  <c r="I274" i="15"/>
  <c r="I278" i="15"/>
  <c r="I282" i="15"/>
  <c r="I286" i="15"/>
  <c r="I290" i="15"/>
  <c r="I294" i="15"/>
  <c r="I298" i="15"/>
  <c r="I302" i="15"/>
  <c r="I306" i="15"/>
  <c r="I310" i="15"/>
  <c r="I314" i="15"/>
  <c r="I318" i="15"/>
  <c r="I322" i="15"/>
  <c r="I326" i="15"/>
  <c r="I330" i="15"/>
  <c r="I334" i="15"/>
  <c r="I338" i="15"/>
  <c r="I342" i="15"/>
  <c r="I346" i="15"/>
  <c r="I350" i="15"/>
  <c r="I354" i="15"/>
  <c r="I358" i="15"/>
  <c r="I362" i="15"/>
  <c r="I366" i="15"/>
  <c r="I370" i="15"/>
  <c r="I374" i="15"/>
  <c r="I378" i="15"/>
  <c r="I382" i="15"/>
  <c r="I386" i="15"/>
  <c r="I390" i="15"/>
  <c r="I394" i="15"/>
  <c r="I398" i="15"/>
  <c r="I402" i="15"/>
  <c r="I406" i="15"/>
  <c r="I410" i="15"/>
  <c r="I414" i="15"/>
  <c r="I418" i="15"/>
  <c r="I422" i="15"/>
  <c r="I426" i="15"/>
  <c r="I430" i="15"/>
  <c r="I434" i="15"/>
  <c r="I438" i="15"/>
  <c r="I442" i="15"/>
  <c r="I450" i="15"/>
  <c r="I458" i="15"/>
  <c r="I466" i="15"/>
  <c r="I474" i="15"/>
  <c r="I482" i="15"/>
  <c r="I490" i="15"/>
  <c r="I498" i="15"/>
  <c r="I506" i="15"/>
  <c r="I514" i="15"/>
  <c r="I522" i="15"/>
  <c r="I530" i="15"/>
  <c r="K444" i="15"/>
  <c r="K448" i="15"/>
  <c r="K452" i="15"/>
  <c r="K456" i="15"/>
  <c r="K460" i="15"/>
  <c r="K464" i="15"/>
  <c r="K468" i="15"/>
  <c r="K472" i="15"/>
  <c r="K477" i="15"/>
  <c r="K481" i="15"/>
  <c r="K486" i="15"/>
  <c r="K491" i="15"/>
  <c r="K495" i="15"/>
  <c r="K500" i="15"/>
  <c r="K504" i="15"/>
  <c r="K509" i="15"/>
  <c r="K513" i="15"/>
  <c r="K518" i="15"/>
  <c r="K523" i="15"/>
  <c r="K527" i="15"/>
  <c r="K532" i="15"/>
  <c r="J145" i="15"/>
  <c r="J98" i="15"/>
  <c r="J3" i="15"/>
  <c r="J179" i="15"/>
  <c r="J36" i="15"/>
  <c r="J100" i="15"/>
  <c r="J164" i="15"/>
  <c r="J228" i="15"/>
  <c r="J34" i="15"/>
  <c r="J19" i="15"/>
  <c r="J211" i="15"/>
  <c r="J41" i="15"/>
  <c r="J105" i="15"/>
  <c r="J169" i="15"/>
  <c r="J233" i="15"/>
  <c r="J533" i="15"/>
  <c r="J58" i="15"/>
  <c r="J122" i="15"/>
  <c r="J186" i="15"/>
  <c r="J438" i="15"/>
  <c r="J225" i="15"/>
  <c r="J139" i="15"/>
  <c r="J81" i="15"/>
  <c r="J114" i="15"/>
  <c r="J99" i="15"/>
  <c r="J11" i="15"/>
  <c r="J123" i="15"/>
  <c r="J235" i="15"/>
  <c r="J60" i="15"/>
  <c r="J124" i="15"/>
  <c r="J188" i="15"/>
  <c r="J409" i="15"/>
  <c r="J21" i="15"/>
  <c r="J53" i="15"/>
  <c r="J85" i="15"/>
  <c r="J117" i="15"/>
  <c r="J149" i="15"/>
  <c r="J181" i="15"/>
  <c r="J213" i="15"/>
  <c r="J445" i="15"/>
  <c r="J22" i="15"/>
  <c r="J54" i="15"/>
  <c r="J86" i="15"/>
  <c r="J118" i="15"/>
  <c r="J150" i="15"/>
  <c r="J182" i="15"/>
  <c r="J214" i="15"/>
  <c r="J446" i="15"/>
  <c r="J31" i="15"/>
  <c r="J63" i="15"/>
  <c r="J95" i="15"/>
  <c r="J127" i="15"/>
  <c r="J159" i="15"/>
  <c r="J191" i="15"/>
  <c r="J223" i="15"/>
  <c r="J528" i="15"/>
  <c r="J32" i="15"/>
  <c r="J64" i="15"/>
  <c r="J96" i="15"/>
  <c r="J128" i="15"/>
  <c r="J160" i="15"/>
  <c r="J192" i="15"/>
  <c r="J224" i="15"/>
  <c r="J465" i="15"/>
  <c r="J346" i="15"/>
  <c r="J515" i="15"/>
  <c r="J532" i="15"/>
  <c r="L3" i="15"/>
  <c r="H11" i="15"/>
  <c r="H19" i="15"/>
  <c r="H27" i="15"/>
  <c r="H35" i="15"/>
  <c r="H43" i="15"/>
  <c r="H51" i="15"/>
  <c r="H59" i="15"/>
  <c r="H67" i="15"/>
  <c r="H75" i="15"/>
  <c r="H83" i="15"/>
  <c r="H91" i="15"/>
  <c r="H99" i="15"/>
  <c r="H107" i="15"/>
  <c r="H115" i="15"/>
  <c r="H123" i="15"/>
  <c r="H131" i="15"/>
  <c r="H139" i="15"/>
  <c r="H147" i="15"/>
  <c r="H155" i="15"/>
  <c r="H163" i="15"/>
  <c r="H171" i="15"/>
  <c r="H179" i="15"/>
  <c r="H187" i="15"/>
  <c r="H195" i="15"/>
  <c r="H203" i="15"/>
  <c r="H211" i="15"/>
  <c r="H219" i="15"/>
  <c r="H227" i="15"/>
  <c r="H235" i="15"/>
  <c r="H243" i="15"/>
  <c r="H251" i="15"/>
  <c r="H265" i="15"/>
  <c r="H281" i="15"/>
  <c r="H297" i="15"/>
  <c r="H313" i="15"/>
  <c r="H329" i="15"/>
  <c r="H345" i="15"/>
  <c r="H361" i="15"/>
  <c r="H393" i="15"/>
  <c r="H425" i="15"/>
  <c r="H457" i="15"/>
  <c r="H489" i="15"/>
  <c r="H521" i="15"/>
  <c r="L21" i="15"/>
  <c r="L53" i="15"/>
  <c r="L85" i="15"/>
  <c r="L117" i="15"/>
  <c r="L149" i="15"/>
  <c r="L181" i="15"/>
  <c r="L213" i="15"/>
  <c r="L246" i="15"/>
  <c r="L310" i="15"/>
  <c r="L374" i="15"/>
  <c r="L438" i="15"/>
  <c r="L502" i="15"/>
  <c r="H10" i="15"/>
  <c r="H26" i="15"/>
  <c r="H42" i="15"/>
  <c r="H58" i="15"/>
  <c r="H74" i="15"/>
  <c r="H90" i="15"/>
  <c r="H106" i="15"/>
  <c r="H122" i="15"/>
  <c r="H138" i="15"/>
  <c r="H154" i="15"/>
  <c r="H170" i="15"/>
  <c r="H186" i="15"/>
  <c r="H202" i="15"/>
  <c r="H218" i="15"/>
  <c r="H234" i="15"/>
  <c r="H250" i="15"/>
  <c r="H266" i="15"/>
  <c r="H282" i="15"/>
  <c r="H298" i="15"/>
  <c r="H314" i="15"/>
  <c r="H330" i="15"/>
  <c r="H346" i="15"/>
  <c r="H363" i="15"/>
  <c r="H395" i="15"/>
  <c r="H427" i="15"/>
  <c r="H459" i="15"/>
  <c r="H491" i="15"/>
  <c r="H523" i="15"/>
  <c r="L27" i="15"/>
  <c r="L59" i="15"/>
  <c r="L91" i="15"/>
  <c r="L123" i="15"/>
  <c r="L155" i="15"/>
  <c r="L187" i="15"/>
  <c r="L219" i="15"/>
  <c r="L258" i="15"/>
  <c r="L322" i="15"/>
  <c r="L386" i="15"/>
  <c r="L450" i="15"/>
  <c r="L514" i="15"/>
  <c r="H384" i="15"/>
  <c r="H416" i="15"/>
  <c r="H448" i="15"/>
  <c r="H480" i="15"/>
  <c r="H512" i="15"/>
  <c r="L14" i="15"/>
  <c r="L46" i="15"/>
  <c r="L78" i="15"/>
  <c r="L110" i="15"/>
  <c r="L142" i="15"/>
  <c r="L174" i="15"/>
  <c r="L206" i="15"/>
  <c r="L238" i="15"/>
  <c r="L296" i="15"/>
  <c r="L360" i="15"/>
  <c r="L424" i="15"/>
  <c r="L247" i="15"/>
  <c r="L311" i="15"/>
  <c r="L375" i="15"/>
  <c r="L439" i="15"/>
  <c r="L533" i="15"/>
  <c r="L529" i="15"/>
  <c r="L525" i="15"/>
  <c r="L521" i="15"/>
  <c r="L517" i="15"/>
  <c r="L513" i="15"/>
  <c r="L509" i="15"/>
  <c r="L505" i="15"/>
  <c r="L501" i="15"/>
  <c r="L497" i="15"/>
  <c r="L493" i="15"/>
  <c r="L489" i="15"/>
  <c r="L485" i="15"/>
  <c r="L481" i="15"/>
  <c r="L477" i="15"/>
  <c r="L473" i="15"/>
  <c r="L469" i="15"/>
  <c r="L465" i="15"/>
  <c r="L461" i="15"/>
  <c r="L457" i="15"/>
  <c r="L453" i="15"/>
  <c r="L449" i="15"/>
  <c r="L445" i="15"/>
  <c r="L441" i="15"/>
  <c r="L437" i="15"/>
  <c r="L433" i="15"/>
  <c r="L429" i="15"/>
  <c r="L425" i="15"/>
  <c r="L421" i="15"/>
  <c r="L417" i="15"/>
  <c r="L413" i="15"/>
  <c r="L409" i="15"/>
  <c r="L405" i="15"/>
  <c r="L401" i="15"/>
  <c r="L397" i="15"/>
  <c r="L393" i="15"/>
  <c r="L389" i="15"/>
  <c r="L385" i="15"/>
  <c r="L381" i="15"/>
  <c r="L377" i="15"/>
  <c r="L373" i="15"/>
  <c r="L369" i="15"/>
  <c r="L365" i="15"/>
  <c r="L361" i="15"/>
  <c r="L357" i="15"/>
  <c r="L353" i="15"/>
  <c r="L349" i="15"/>
  <c r="L345" i="15"/>
  <c r="L341" i="15"/>
  <c r="L337" i="15"/>
  <c r="L333" i="15"/>
  <c r="L329" i="15"/>
  <c r="L325" i="15"/>
  <c r="L321" i="15"/>
  <c r="L317" i="15"/>
  <c r="L313" i="15"/>
  <c r="L309" i="15"/>
  <c r="L305" i="15"/>
  <c r="L301" i="15"/>
  <c r="L297" i="15"/>
  <c r="L293" i="15"/>
  <c r="L289" i="15"/>
  <c r="L285" i="15"/>
  <c r="L281" i="15"/>
  <c r="L277" i="15"/>
  <c r="L273" i="15"/>
  <c r="L269" i="15"/>
  <c r="L265" i="15"/>
  <c r="L261" i="15"/>
  <c r="L257" i="15"/>
  <c r="L253" i="15"/>
  <c r="L249" i="15"/>
  <c r="L245" i="15"/>
  <c r="L528" i="15"/>
  <c r="L520" i="15"/>
  <c r="L512" i="15"/>
  <c r="L504" i="15"/>
  <c r="L496" i="15"/>
  <c r="L488" i="15"/>
  <c r="L480" i="15"/>
  <c r="L472" i="15"/>
  <c r="L464" i="15"/>
  <c r="L456" i="15"/>
  <c r="L448" i="15"/>
  <c r="L440" i="15"/>
  <c r="L531" i="15"/>
  <c r="L523" i="15"/>
  <c r="L515" i="15"/>
  <c r="L507" i="15"/>
  <c r="L499" i="15"/>
  <c r="L491" i="15"/>
  <c r="L483" i="15"/>
  <c r="L475" i="15"/>
  <c r="L467" i="15"/>
  <c r="L459" i="15"/>
  <c r="L451" i="15"/>
  <c r="L443" i="15"/>
  <c r="L435" i="15"/>
  <c r="L427" i="15"/>
  <c r="L419" i="15"/>
  <c r="L411" i="15"/>
  <c r="L403" i="15"/>
  <c r="L395" i="15"/>
  <c r="L387" i="15"/>
  <c r="L379" i="15"/>
  <c r="L371" i="15"/>
  <c r="L363" i="15"/>
  <c r="L355" i="15"/>
  <c r="L347" i="15"/>
  <c r="L339" i="15"/>
  <c r="L331" i="15"/>
  <c r="L323" i="15"/>
  <c r="L315" i="15"/>
  <c r="L307" i="15"/>
  <c r="L299" i="15"/>
  <c r="L291" i="15"/>
  <c r="L283" i="15"/>
  <c r="L275" i="15"/>
  <c r="L267" i="15"/>
  <c r="L259" i="15"/>
  <c r="L251" i="15"/>
  <c r="L532" i="15"/>
  <c r="L516" i="15"/>
  <c r="L500" i="15"/>
  <c r="L484" i="15"/>
  <c r="L468" i="15"/>
  <c r="L452" i="15"/>
  <c r="L436" i="15"/>
  <c r="L428" i="15"/>
  <c r="L420" i="15"/>
  <c r="L412" i="15"/>
  <c r="L404" i="15"/>
  <c r="L396" i="15"/>
  <c r="L388" i="15"/>
  <c r="L380" i="15"/>
  <c r="L372" i="15"/>
  <c r="L364" i="15"/>
  <c r="L356" i="15"/>
  <c r="L348" i="15"/>
  <c r="L340" i="15"/>
  <c r="L332" i="15"/>
  <c r="L324" i="15"/>
  <c r="L316" i="15"/>
  <c r="L308" i="15"/>
  <c r="L300" i="15"/>
  <c r="L292" i="15"/>
  <c r="L284" i="15"/>
  <c r="L276" i="15"/>
  <c r="L268" i="15"/>
  <c r="L260" i="15"/>
  <c r="L252" i="15"/>
  <c r="L244" i="15"/>
  <c r="L240" i="15"/>
  <c r="L236" i="15"/>
  <c r="L232" i="15"/>
  <c r="L228" i="15"/>
  <c r="L224" i="15"/>
  <c r="L220" i="15"/>
  <c r="L216" i="15"/>
  <c r="L212" i="15"/>
  <c r="L208" i="15"/>
  <c r="L204" i="15"/>
  <c r="L200" i="15"/>
  <c r="L196" i="15"/>
  <c r="L192" i="15"/>
  <c r="L188" i="15"/>
  <c r="L184" i="15"/>
  <c r="L180" i="15"/>
  <c r="L176" i="15"/>
  <c r="L172" i="15"/>
  <c r="L168" i="15"/>
  <c r="L164" i="15"/>
  <c r="L160" i="15"/>
  <c r="L156" i="15"/>
  <c r="L152" i="15"/>
  <c r="L148" i="15"/>
  <c r="L144" i="15"/>
  <c r="L140" i="15"/>
  <c r="L136" i="15"/>
  <c r="L132" i="15"/>
  <c r="L128" i="15"/>
  <c r="L124" i="15"/>
  <c r="L120" i="15"/>
  <c r="L116" i="15"/>
  <c r="L112" i="15"/>
  <c r="L108" i="15"/>
  <c r="L104" i="15"/>
  <c r="L100" i="15"/>
  <c r="L96" i="15"/>
  <c r="L92" i="15"/>
  <c r="L88" i="15"/>
  <c r="L84" i="15"/>
  <c r="L80" i="15"/>
  <c r="L76" i="15"/>
  <c r="L72" i="15"/>
  <c r="L68" i="15"/>
  <c r="L64" i="15"/>
  <c r="L60" i="15"/>
  <c r="L56" i="15"/>
  <c r="L52" i="15"/>
  <c r="L48" i="15"/>
  <c r="L44" i="15"/>
  <c r="L40" i="15"/>
  <c r="L36" i="15"/>
  <c r="L32" i="15"/>
  <c r="L28" i="15"/>
  <c r="L24" i="15"/>
  <c r="L20" i="15"/>
  <c r="L16" i="15"/>
  <c r="L12" i="15"/>
  <c r="L8" i="15"/>
  <c r="L4" i="15"/>
  <c r="H530" i="15"/>
  <c r="H526" i="15"/>
  <c r="H522" i="15"/>
  <c r="H518" i="15"/>
  <c r="H514" i="15"/>
  <c r="H510" i="15"/>
  <c r="H506" i="15"/>
  <c r="H502" i="15"/>
  <c r="H498" i="15"/>
  <c r="H494" i="15"/>
  <c r="H490" i="15"/>
  <c r="H486" i="15"/>
  <c r="H482" i="15"/>
  <c r="H478" i="15"/>
  <c r="H474" i="15"/>
  <c r="H470" i="15"/>
  <c r="H466" i="15"/>
  <c r="H462" i="15"/>
  <c r="H458" i="15"/>
  <c r="H454" i="15"/>
  <c r="H450" i="15"/>
  <c r="H446" i="15"/>
  <c r="H442" i="15"/>
  <c r="H438" i="15"/>
  <c r="H434" i="15"/>
  <c r="H430" i="15"/>
  <c r="H426" i="15"/>
  <c r="H422" i="15"/>
  <c r="H418" i="15"/>
  <c r="H414" i="15"/>
  <c r="H410" i="15"/>
  <c r="H406" i="15"/>
  <c r="H402" i="15"/>
  <c r="H398" i="15"/>
  <c r="H394" i="15"/>
  <c r="H390" i="15"/>
  <c r="H386" i="15"/>
  <c r="H382" i="15"/>
  <c r="H378" i="15"/>
  <c r="H374" i="15"/>
  <c r="H370" i="15"/>
  <c r="H366" i="15"/>
  <c r="H362" i="15"/>
  <c r="L527" i="15"/>
  <c r="L511" i="15"/>
  <c r="L495" i="15"/>
  <c r="L479" i="15"/>
  <c r="L463" i="15"/>
  <c r="L447" i="15"/>
  <c r="L431" i="15"/>
  <c r="L415" i="15"/>
  <c r="L399" i="15"/>
  <c r="L383" i="15"/>
  <c r="L367" i="15"/>
  <c r="L351" i="15"/>
  <c r="L335" i="15"/>
  <c r="L319" i="15"/>
  <c r="L303" i="15"/>
  <c r="L287" i="15"/>
  <c r="L271" i="15"/>
  <c r="L255" i="15"/>
  <c r="L524" i="15"/>
  <c r="L492" i="15"/>
  <c r="L460" i="15"/>
  <c r="L432" i="15"/>
  <c r="L416" i="15"/>
  <c r="L400" i="15"/>
  <c r="L384" i="15"/>
  <c r="L368" i="15"/>
  <c r="L352" i="15"/>
  <c r="L336" i="15"/>
  <c r="L320" i="15"/>
  <c r="L304" i="15"/>
  <c r="L288" i="15"/>
  <c r="L272" i="15"/>
  <c r="L256" i="15"/>
  <c r="L242" i="15"/>
  <c r="L234" i="15"/>
  <c r="L226" i="15"/>
  <c r="L218" i="15"/>
  <c r="L210" i="15"/>
  <c r="L202" i="15"/>
  <c r="L194" i="15"/>
  <c r="L186" i="15"/>
  <c r="L178" i="15"/>
  <c r="L170" i="15"/>
  <c r="L162" i="15"/>
  <c r="L154" i="15"/>
  <c r="L146" i="15"/>
  <c r="L138" i="15"/>
  <c r="L130" i="15"/>
  <c r="L122" i="15"/>
  <c r="L114" i="15"/>
  <c r="L106" i="15"/>
  <c r="L98" i="15"/>
  <c r="L90" i="15"/>
  <c r="L82" i="15"/>
  <c r="L74" i="15"/>
  <c r="L66" i="15"/>
  <c r="L58" i="15"/>
  <c r="L50" i="15"/>
  <c r="L42" i="15"/>
  <c r="L34" i="15"/>
  <c r="L26" i="15"/>
  <c r="L18" i="15"/>
  <c r="L10" i="15"/>
  <c r="H532" i="15"/>
  <c r="H524" i="15"/>
  <c r="H516" i="15"/>
  <c r="H508" i="15"/>
  <c r="H500" i="15"/>
  <c r="H492" i="15"/>
  <c r="H484" i="15"/>
  <c r="H476" i="15"/>
  <c r="H468" i="15"/>
  <c r="H460" i="15"/>
  <c r="H452" i="15"/>
  <c r="H444" i="15"/>
  <c r="H436" i="15"/>
  <c r="H428" i="15"/>
  <c r="H420" i="15"/>
  <c r="H412" i="15"/>
  <c r="H404" i="15"/>
  <c r="H396" i="15"/>
  <c r="H388" i="15"/>
  <c r="H380" i="15"/>
  <c r="H372" i="15"/>
  <c r="H364" i="15"/>
  <c r="L522" i="15"/>
  <c r="L506" i="15"/>
  <c r="L490" i="15"/>
  <c r="L474" i="15"/>
  <c r="L458" i="15"/>
  <c r="L442" i="15"/>
  <c r="L426" i="15"/>
  <c r="L410" i="15"/>
  <c r="L394" i="15"/>
  <c r="L378" i="15"/>
  <c r="L362" i="15"/>
  <c r="L346" i="15"/>
  <c r="L330" i="15"/>
  <c r="L314" i="15"/>
  <c r="L298" i="15"/>
  <c r="L282" i="15"/>
  <c r="L266" i="15"/>
  <c r="L250" i="15"/>
  <c r="L239" i="15"/>
  <c r="L231" i="15"/>
  <c r="L223" i="15"/>
  <c r="L215" i="15"/>
  <c r="L207" i="15"/>
  <c r="L199" i="15"/>
  <c r="L191" i="15"/>
  <c r="L183" i="15"/>
  <c r="L175" i="15"/>
  <c r="L167" i="15"/>
  <c r="L159" i="15"/>
  <c r="L151" i="15"/>
  <c r="L143" i="15"/>
  <c r="L135" i="15"/>
  <c r="L127" i="15"/>
  <c r="L119" i="15"/>
  <c r="L111" i="15"/>
  <c r="L103" i="15"/>
  <c r="L95" i="15"/>
  <c r="L87" i="15"/>
  <c r="L79" i="15"/>
  <c r="L71" i="15"/>
  <c r="L63" i="15"/>
  <c r="L55" i="15"/>
  <c r="L47" i="15"/>
  <c r="L39" i="15"/>
  <c r="L31" i="15"/>
  <c r="L23" i="15"/>
  <c r="L15" i="15"/>
  <c r="L7" i="15"/>
  <c r="H527" i="15"/>
  <c r="H519" i="15"/>
  <c r="H511" i="15"/>
  <c r="H503" i="15"/>
  <c r="H495" i="15"/>
  <c r="H487" i="15"/>
  <c r="H479" i="15"/>
  <c r="H471" i="15"/>
  <c r="H463" i="15"/>
  <c r="H455" i="15"/>
  <c r="H447" i="15"/>
  <c r="H439" i="15"/>
  <c r="H431" i="15"/>
  <c r="H423" i="15"/>
  <c r="H415" i="15"/>
  <c r="H407" i="15"/>
  <c r="H399" i="15"/>
  <c r="H391" i="15"/>
  <c r="H383" i="15"/>
  <c r="H375" i="15"/>
  <c r="H367" i="15"/>
  <c r="H360" i="15"/>
  <c r="H356" i="15"/>
  <c r="H352" i="15"/>
  <c r="H348" i="15"/>
  <c r="H344" i="15"/>
  <c r="H340" i="15"/>
  <c r="H336" i="15"/>
  <c r="H332" i="15"/>
  <c r="H328" i="15"/>
  <c r="H324" i="15"/>
  <c r="H320" i="15"/>
  <c r="H316" i="15"/>
  <c r="H312" i="15"/>
  <c r="H308" i="15"/>
  <c r="H304" i="15"/>
  <c r="H300" i="15"/>
  <c r="H296" i="15"/>
  <c r="H292" i="15"/>
  <c r="H288" i="15"/>
  <c r="H284" i="15"/>
  <c r="H280" i="15"/>
  <c r="H276" i="15"/>
  <c r="H272" i="15"/>
  <c r="H268" i="15"/>
  <c r="H264" i="15"/>
  <c r="H260" i="15"/>
  <c r="H256" i="15"/>
  <c r="H252" i="15"/>
  <c r="H248" i="15"/>
  <c r="H244" i="15"/>
  <c r="H240" i="15"/>
  <c r="H236" i="15"/>
  <c r="H232" i="15"/>
  <c r="H228" i="15"/>
  <c r="H224" i="15"/>
  <c r="H220" i="15"/>
  <c r="H216" i="15"/>
  <c r="H212" i="15"/>
  <c r="H208" i="15"/>
  <c r="H204" i="15"/>
  <c r="H200" i="15"/>
  <c r="H196" i="15"/>
  <c r="H192" i="15"/>
  <c r="H188" i="15"/>
  <c r="H184" i="15"/>
  <c r="H180" i="15"/>
  <c r="H176" i="15"/>
  <c r="H172" i="15"/>
  <c r="H168" i="15"/>
  <c r="H164" i="15"/>
  <c r="H160" i="15"/>
  <c r="H156" i="15"/>
  <c r="H152" i="15"/>
  <c r="H148" i="15"/>
  <c r="H144" i="15"/>
  <c r="H140" i="15"/>
  <c r="H136" i="15"/>
  <c r="H132" i="15"/>
  <c r="H128" i="15"/>
  <c r="H124" i="15"/>
  <c r="H120" i="15"/>
  <c r="H116" i="15"/>
  <c r="H112" i="15"/>
  <c r="H108" i="15"/>
  <c r="H104" i="15"/>
  <c r="H100" i="15"/>
  <c r="H96" i="15"/>
  <c r="H92" i="15"/>
  <c r="H88" i="15"/>
  <c r="H84" i="15"/>
  <c r="H80" i="15"/>
  <c r="H76" i="15"/>
  <c r="H72" i="15"/>
  <c r="H68" i="15"/>
  <c r="H64" i="15"/>
  <c r="H60" i="15"/>
  <c r="H56" i="15"/>
  <c r="H52" i="15"/>
  <c r="H48" i="15"/>
  <c r="H44" i="15"/>
  <c r="H40" i="15"/>
  <c r="H36" i="15"/>
  <c r="H32" i="15"/>
  <c r="H28" i="15"/>
  <c r="H24" i="15"/>
  <c r="H20" i="15"/>
  <c r="H16" i="15"/>
  <c r="H12" i="15"/>
  <c r="H8" i="15"/>
  <c r="H4" i="15"/>
  <c r="L526" i="15"/>
  <c r="L510" i="15"/>
  <c r="L494" i="15"/>
  <c r="L478" i="15"/>
  <c r="L462" i="15"/>
  <c r="L446" i="15"/>
  <c r="L430" i="15"/>
  <c r="L414" i="15"/>
  <c r="L398" i="15"/>
  <c r="L382" i="15"/>
  <c r="L366" i="15"/>
  <c r="L350" i="15"/>
  <c r="L334" i="15"/>
  <c r="L318" i="15"/>
  <c r="L302" i="15"/>
  <c r="L286" i="15"/>
  <c r="L270" i="15"/>
  <c r="L254" i="15"/>
  <c r="L241" i="15"/>
  <c r="L233" i="15"/>
  <c r="L225" i="15"/>
  <c r="L217" i="15"/>
  <c r="L209" i="15"/>
  <c r="L201" i="15"/>
  <c r="L193" i="15"/>
  <c r="L185" i="15"/>
  <c r="L177" i="15"/>
  <c r="L169" i="15"/>
  <c r="L161" i="15"/>
  <c r="L153" i="15"/>
  <c r="L145" i="15"/>
  <c r="L137" i="15"/>
  <c r="L129" i="15"/>
  <c r="L121" i="15"/>
  <c r="L113" i="15"/>
  <c r="L105" i="15"/>
  <c r="L97" i="15"/>
  <c r="L89" i="15"/>
  <c r="L81" i="15"/>
  <c r="L73" i="15"/>
  <c r="L65" i="15"/>
  <c r="L57" i="15"/>
  <c r="L49" i="15"/>
  <c r="L41" i="15"/>
  <c r="L33" i="15"/>
  <c r="L25" i="15"/>
  <c r="L17" i="15"/>
  <c r="L9" i="15"/>
  <c r="H533" i="15"/>
  <c r="H525" i="15"/>
  <c r="H517" i="15"/>
  <c r="H509" i="15"/>
  <c r="H501" i="15"/>
  <c r="H493" i="15"/>
  <c r="H485" i="15"/>
  <c r="H477" i="15"/>
  <c r="H469" i="15"/>
  <c r="H461" i="15"/>
  <c r="H453" i="15"/>
  <c r="H445" i="15"/>
  <c r="H437" i="15"/>
  <c r="H429" i="15"/>
  <c r="H421" i="15"/>
  <c r="H413" i="15"/>
  <c r="H405" i="15"/>
  <c r="H397" i="15"/>
  <c r="H389" i="15"/>
  <c r="H381" i="15"/>
  <c r="H373" i="15"/>
  <c r="H365" i="15"/>
  <c r="H359" i="15"/>
  <c r="H355" i="15"/>
  <c r="H351" i="15"/>
  <c r="H347" i="15"/>
  <c r="H343" i="15"/>
  <c r="H339" i="15"/>
  <c r="H335" i="15"/>
  <c r="H331" i="15"/>
  <c r="H327" i="15"/>
  <c r="H323" i="15"/>
  <c r="H319" i="15"/>
  <c r="H315" i="15"/>
  <c r="H311" i="15"/>
  <c r="H307" i="15"/>
  <c r="H303" i="15"/>
  <c r="H299" i="15"/>
  <c r="H295" i="15"/>
  <c r="H291" i="15"/>
  <c r="H287" i="15"/>
  <c r="H283" i="15"/>
  <c r="H279" i="15"/>
  <c r="H275" i="15"/>
  <c r="H271" i="15"/>
  <c r="H267" i="15"/>
  <c r="H263" i="15"/>
  <c r="H259" i="15"/>
  <c r="H255" i="15"/>
  <c r="L519" i="15"/>
  <c r="L487" i="15"/>
  <c r="L455" i="15"/>
  <c r="L423" i="15"/>
  <c r="L391" i="15"/>
  <c r="L359" i="15"/>
  <c r="L327" i="15"/>
  <c r="L295" i="15"/>
  <c r="L263" i="15"/>
  <c r="L508" i="15"/>
  <c r="L444" i="15"/>
  <c r="L408" i="15"/>
  <c r="L376" i="15"/>
  <c r="L344" i="15"/>
  <c r="L312" i="15"/>
  <c r="L280" i="15"/>
  <c r="L248" i="15"/>
  <c r="L230" i="15"/>
  <c r="L214" i="15"/>
  <c r="L198" i="15"/>
  <c r="L182" i="15"/>
  <c r="L166" i="15"/>
  <c r="L150" i="15"/>
  <c r="L134" i="15"/>
  <c r="L118" i="15"/>
  <c r="L102" i="15"/>
  <c r="L86" i="15"/>
  <c r="L70" i="15"/>
  <c r="L54" i="15"/>
  <c r="L38" i="15"/>
  <c r="L22" i="15"/>
  <c r="L6" i="15"/>
  <c r="H520" i="15"/>
  <c r="H504" i="15"/>
  <c r="H488" i="15"/>
  <c r="H472" i="15"/>
  <c r="H456" i="15"/>
  <c r="H440" i="15"/>
  <c r="H424" i="15"/>
  <c r="H408" i="15"/>
  <c r="H392" i="15"/>
  <c r="H376" i="15"/>
  <c r="L530" i="15"/>
  <c r="L498" i="15"/>
  <c r="L466" i="15"/>
  <c r="L434" i="15"/>
  <c r="L402" i="15"/>
  <c r="L370" i="15"/>
  <c r="L338" i="15"/>
  <c r="L306" i="15"/>
  <c r="L274" i="15"/>
  <c r="L243" i="15"/>
  <c r="L227" i="15"/>
  <c r="L211" i="15"/>
  <c r="L195" i="15"/>
  <c r="L179" i="15"/>
  <c r="L163" i="15"/>
  <c r="L147" i="15"/>
  <c r="L131" i="15"/>
  <c r="L115" i="15"/>
  <c r="L99" i="15"/>
  <c r="L83" i="15"/>
  <c r="L67" i="15"/>
  <c r="L51" i="15"/>
  <c r="L35" i="15"/>
  <c r="L19" i="15"/>
  <c r="H531" i="15"/>
  <c r="H515" i="15"/>
  <c r="H499" i="15"/>
  <c r="H483" i="15"/>
  <c r="H467" i="15"/>
  <c r="H451" i="15"/>
  <c r="H435" i="15"/>
  <c r="H419" i="15"/>
  <c r="H403" i="15"/>
  <c r="H387" i="15"/>
  <c r="H371" i="15"/>
  <c r="H358" i="15"/>
  <c r="H350" i="15"/>
  <c r="H342" i="15"/>
  <c r="H334" i="15"/>
  <c r="H326" i="15"/>
  <c r="H318" i="15"/>
  <c r="H310" i="15"/>
  <c r="H302" i="15"/>
  <c r="H294" i="15"/>
  <c r="H286" i="15"/>
  <c r="H278" i="15"/>
  <c r="H270" i="15"/>
  <c r="H262" i="15"/>
  <c r="H254" i="15"/>
  <c r="H246" i="15"/>
  <c r="H238" i="15"/>
  <c r="H230" i="15"/>
  <c r="H222" i="15"/>
  <c r="H214" i="15"/>
  <c r="H206" i="15"/>
  <c r="H198" i="15"/>
  <c r="H190" i="15"/>
  <c r="H182" i="15"/>
  <c r="H174" i="15"/>
  <c r="H166" i="15"/>
  <c r="H158" i="15"/>
  <c r="H150" i="15"/>
  <c r="H142" i="15"/>
  <c r="H134" i="15"/>
  <c r="H126" i="15"/>
  <c r="H118" i="15"/>
  <c r="H110" i="15"/>
  <c r="H102" i="15"/>
  <c r="H94" i="15"/>
  <c r="H86" i="15"/>
  <c r="H78" i="15"/>
  <c r="H70" i="15"/>
  <c r="H62" i="15"/>
  <c r="H54" i="15"/>
  <c r="H46" i="15"/>
  <c r="H38" i="15"/>
  <c r="H30" i="15"/>
  <c r="H22" i="15"/>
  <c r="H14" i="15"/>
  <c r="H6" i="15"/>
  <c r="L518" i="15"/>
  <c r="L486" i="15"/>
  <c r="L454" i="15"/>
  <c r="L422" i="15"/>
  <c r="L390" i="15"/>
  <c r="L358" i="15"/>
  <c r="L326" i="15"/>
  <c r="L294" i="15"/>
  <c r="L262" i="15"/>
  <c r="L237" i="15"/>
  <c r="L221" i="15"/>
  <c r="L205" i="15"/>
  <c r="L189" i="15"/>
  <c r="L173" i="15"/>
  <c r="L157" i="15"/>
  <c r="L141" i="15"/>
  <c r="L125" i="15"/>
  <c r="L109" i="15"/>
  <c r="L93" i="15"/>
  <c r="L77" i="15"/>
  <c r="L61" i="15"/>
  <c r="L45" i="15"/>
  <c r="L29" i="15"/>
  <c r="L13" i="15"/>
  <c r="H529" i="15"/>
  <c r="H513" i="15"/>
  <c r="H497" i="15"/>
  <c r="H481" i="15"/>
  <c r="H465" i="15"/>
  <c r="H449" i="15"/>
  <c r="H433" i="15"/>
  <c r="H417" i="15"/>
  <c r="H401" i="15"/>
  <c r="H385" i="15"/>
  <c r="H369" i="15"/>
  <c r="H357" i="15"/>
  <c r="H349" i="15"/>
  <c r="H341" i="15"/>
  <c r="H333" i="15"/>
  <c r="H325" i="15"/>
  <c r="H317" i="15"/>
  <c r="H309" i="15"/>
  <c r="H301" i="15"/>
  <c r="H293" i="15"/>
  <c r="H285" i="15"/>
  <c r="H277" i="15"/>
  <c r="H269" i="15"/>
  <c r="H261" i="15"/>
  <c r="H253" i="15"/>
  <c r="H249" i="15"/>
  <c r="H245" i="15"/>
  <c r="H241" i="15"/>
  <c r="H237" i="15"/>
  <c r="H233" i="15"/>
  <c r="H229" i="15"/>
  <c r="H225" i="15"/>
  <c r="H221" i="15"/>
  <c r="H217" i="15"/>
  <c r="H213" i="15"/>
  <c r="H209" i="15"/>
  <c r="H205" i="15"/>
  <c r="H201" i="15"/>
  <c r="H197" i="15"/>
  <c r="H193" i="15"/>
  <c r="H189" i="15"/>
  <c r="H185" i="15"/>
  <c r="H181" i="15"/>
  <c r="H177" i="15"/>
  <c r="H173" i="15"/>
  <c r="H169" i="15"/>
  <c r="H165" i="15"/>
  <c r="H161" i="15"/>
  <c r="H157" i="15"/>
  <c r="H153" i="15"/>
  <c r="H149" i="15"/>
  <c r="H145" i="15"/>
  <c r="H141" i="15"/>
  <c r="H137" i="15"/>
  <c r="H133" i="15"/>
  <c r="H129" i="15"/>
  <c r="H125" i="15"/>
  <c r="H121" i="15"/>
  <c r="H117" i="15"/>
  <c r="H113" i="15"/>
  <c r="H109" i="15"/>
  <c r="H105" i="15"/>
  <c r="H101" i="15"/>
  <c r="H97" i="15"/>
  <c r="H93" i="15"/>
  <c r="H89" i="15"/>
  <c r="H85" i="15"/>
  <c r="H81" i="15"/>
  <c r="H77" i="15"/>
  <c r="H73" i="15"/>
  <c r="H69" i="15"/>
  <c r="H65" i="15"/>
  <c r="H61" i="15"/>
  <c r="H57" i="15"/>
  <c r="H53" i="15"/>
  <c r="H49" i="15"/>
  <c r="H45" i="15"/>
  <c r="H41" i="15"/>
  <c r="H37" i="15"/>
  <c r="H33" i="15"/>
  <c r="H29" i="15"/>
  <c r="H25" i="15"/>
  <c r="H21" i="15"/>
  <c r="H17" i="15"/>
  <c r="H13" i="15"/>
  <c r="H9" i="15"/>
  <c r="H5" i="15"/>
  <c r="J420" i="15"/>
  <c r="J316" i="15"/>
  <c r="J259" i="15"/>
  <c r="J402" i="15"/>
  <c r="J359" i="15"/>
  <c r="J481" i="15"/>
  <c r="J353" i="15"/>
  <c r="J232" i="15"/>
  <c r="J216" i="15"/>
  <c r="J200" i="15"/>
  <c r="J184" i="15"/>
  <c r="J168" i="15"/>
  <c r="J152" i="15"/>
  <c r="J136" i="15"/>
  <c r="J120" i="15"/>
  <c r="J104" i="15"/>
  <c r="J88" i="15"/>
  <c r="J72" i="15"/>
  <c r="J56" i="15"/>
  <c r="J40" i="15"/>
  <c r="J24" i="15"/>
  <c r="J8" i="15"/>
  <c r="J304" i="15"/>
  <c r="J231" i="15"/>
  <c r="J215" i="15"/>
  <c r="J199" i="15"/>
  <c r="J183" i="15"/>
  <c r="J167" i="15"/>
  <c r="J151" i="15"/>
  <c r="J135" i="15"/>
  <c r="J119" i="15"/>
  <c r="J103" i="15"/>
  <c r="J87" i="15"/>
  <c r="J71" i="15"/>
  <c r="J55" i="15"/>
  <c r="J39" i="15"/>
  <c r="J23" i="15"/>
  <c r="J7" i="15"/>
  <c r="J238" i="15"/>
  <c r="J222" i="15"/>
  <c r="J206" i="15"/>
  <c r="J190" i="15"/>
  <c r="J174" i="15"/>
  <c r="J158" i="15"/>
  <c r="J142" i="15"/>
  <c r="J126" i="15"/>
  <c r="J110" i="15"/>
  <c r="J94" i="15"/>
  <c r="J78" i="15"/>
  <c r="J62" i="15"/>
  <c r="J46" i="15"/>
  <c r="J30" i="15"/>
  <c r="J14" i="15"/>
  <c r="J525" i="15"/>
  <c r="J237" i="15"/>
  <c r="J221" i="15"/>
  <c r="J205" i="15"/>
  <c r="J189" i="15"/>
  <c r="J173" i="15"/>
  <c r="J157" i="15"/>
  <c r="J141" i="15"/>
  <c r="J125" i="15"/>
  <c r="J109" i="15"/>
  <c r="J93" i="15"/>
  <c r="J77" i="15"/>
  <c r="J61" i="15"/>
  <c r="J45" i="15"/>
  <c r="J29" i="15"/>
  <c r="J13" i="15"/>
  <c r="J473" i="15"/>
  <c r="J236" i="15"/>
  <c r="J204" i="15"/>
  <c r="J172" i="15"/>
  <c r="J140" i="15"/>
  <c r="J108" i="15"/>
  <c r="J76" i="15"/>
  <c r="J44" i="15"/>
  <c r="J12" i="15"/>
  <c r="J219" i="15"/>
  <c r="J155" i="15"/>
  <c r="J107" i="15"/>
  <c r="J43" i="15"/>
  <c r="J520" i="15"/>
  <c r="J147" i="15"/>
  <c r="J35" i="15"/>
  <c r="J162" i="15"/>
  <c r="J66" i="15"/>
  <c r="J161" i="15"/>
  <c r="J33" i="15"/>
  <c r="J171" i="15"/>
  <c r="J91" i="15"/>
  <c r="J27" i="15"/>
  <c r="J177" i="15"/>
  <c r="J65" i="15"/>
  <c r="J234" i="15"/>
  <c r="J202" i="15"/>
  <c r="J170" i="15"/>
  <c r="J138" i="15"/>
  <c r="J106" i="15"/>
  <c r="J74" i="15"/>
  <c r="J42" i="15"/>
  <c r="J10" i="15"/>
  <c r="J501" i="15"/>
  <c r="J277" i="15"/>
  <c r="J217" i="15"/>
  <c r="J185" i="15"/>
  <c r="J153" i="15"/>
  <c r="J121" i="15"/>
  <c r="J89" i="15"/>
  <c r="J57" i="15"/>
  <c r="J25" i="15"/>
  <c r="J424" i="15"/>
  <c r="J163" i="15"/>
  <c r="J67" i="15"/>
  <c r="J194" i="15"/>
  <c r="J82" i="15"/>
  <c r="J193" i="15"/>
  <c r="J17" i="15"/>
  <c r="J212" i="15"/>
  <c r="J180" i="15"/>
  <c r="J148" i="15"/>
  <c r="J116" i="15"/>
  <c r="J84" i="15"/>
  <c r="J52" i="15"/>
  <c r="J20" i="15"/>
  <c r="J227" i="15"/>
  <c r="J131" i="15"/>
  <c r="J51" i="15"/>
  <c r="J210" i="15"/>
  <c r="J146" i="15"/>
  <c r="J50" i="15"/>
  <c r="J209" i="15"/>
  <c r="J97" i="15"/>
  <c r="K533" i="15"/>
  <c r="K531" i="15"/>
  <c r="K528" i="15"/>
  <c r="K526" i="15"/>
  <c r="K524" i="15"/>
  <c r="K521" i="15"/>
  <c r="K519" i="15"/>
  <c r="K517" i="15"/>
  <c r="K515" i="15"/>
  <c r="K512" i="15"/>
  <c r="K510" i="15"/>
  <c r="K508" i="15"/>
  <c r="K505" i="15"/>
  <c r="K503" i="15"/>
  <c r="K501" i="15"/>
  <c r="K499" i="15"/>
  <c r="K496" i="15"/>
  <c r="K494" i="15"/>
  <c r="K492" i="15"/>
  <c r="K489" i="15"/>
  <c r="K487" i="15"/>
  <c r="K485" i="15"/>
  <c r="K483" i="15"/>
  <c r="K480" i="15"/>
  <c r="K478" i="15"/>
  <c r="K476" i="15"/>
  <c r="K473" i="15"/>
  <c r="K471" i="15"/>
  <c r="K469" i="15"/>
  <c r="K467" i="15"/>
  <c r="K465" i="15"/>
  <c r="K463" i="15"/>
  <c r="K461" i="15"/>
  <c r="K459" i="15"/>
  <c r="K457" i="15"/>
  <c r="K455" i="15"/>
  <c r="K453" i="15"/>
  <c r="K451" i="15"/>
  <c r="K449" i="15"/>
  <c r="K447" i="15"/>
  <c r="K445" i="15"/>
  <c r="K443" i="15"/>
  <c r="I532" i="15"/>
  <c r="I528" i="15"/>
  <c r="I524" i="15"/>
  <c r="I520" i="15"/>
  <c r="I516" i="15"/>
  <c r="I512" i="15"/>
  <c r="I508" i="15"/>
  <c r="I504" i="15"/>
  <c r="I500" i="15"/>
  <c r="I496" i="15"/>
  <c r="I492" i="15"/>
  <c r="I488" i="15"/>
  <c r="I484" i="15"/>
  <c r="I480" i="15"/>
  <c r="I476" i="15"/>
  <c r="I472" i="15"/>
  <c r="I468" i="15"/>
  <c r="I464" i="15"/>
  <c r="I460" i="15"/>
  <c r="I456" i="15"/>
  <c r="I452" i="15"/>
  <c r="I448" i="15"/>
  <c r="I444" i="15"/>
  <c r="I441" i="15"/>
  <c r="I439" i="15"/>
  <c r="I437" i="15"/>
  <c r="I435" i="15"/>
  <c r="I433" i="15"/>
  <c r="I431" i="15"/>
  <c r="I429" i="15"/>
  <c r="I427" i="15"/>
  <c r="I425" i="15"/>
  <c r="I423" i="15"/>
  <c r="I421" i="15"/>
  <c r="I419" i="15"/>
  <c r="I417" i="15"/>
  <c r="I415" i="15"/>
  <c r="I413" i="15"/>
  <c r="I411" i="15"/>
  <c r="I409" i="15"/>
  <c r="I407" i="15"/>
  <c r="I405" i="15"/>
  <c r="I403" i="15"/>
  <c r="I401" i="15"/>
  <c r="I399" i="15"/>
  <c r="I397" i="15"/>
  <c r="I395" i="15"/>
  <c r="I393" i="15"/>
  <c r="I391" i="15"/>
  <c r="I389" i="15"/>
  <c r="I387" i="15"/>
  <c r="I385" i="15"/>
  <c r="I383" i="15"/>
  <c r="I381" i="15"/>
  <c r="I379" i="15"/>
  <c r="I377" i="15"/>
  <c r="I375" i="15"/>
  <c r="I373" i="15"/>
  <c r="I371" i="15"/>
  <c r="I369" i="15"/>
  <c r="I367" i="15"/>
  <c r="I365" i="15"/>
  <c r="I363" i="15"/>
  <c r="I361" i="15"/>
  <c r="I359" i="15"/>
  <c r="I357" i="15"/>
  <c r="I355" i="15"/>
  <c r="I353" i="15"/>
  <c r="I351" i="15"/>
  <c r="I349" i="15"/>
  <c r="I347" i="15"/>
  <c r="I345" i="15"/>
  <c r="I343" i="15"/>
  <c r="I341" i="15"/>
  <c r="I339" i="15"/>
  <c r="I337" i="15"/>
  <c r="I335" i="15"/>
  <c r="I333" i="15"/>
  <c r="I331" i="15"/>
  <c r="I329" i="15"/>
  <c r="I327" i="15"/>
  <c r="I325" i="15"/>
  <c r="I323" i="15"/>
  <c r="I321" i="15"/>
  <c r="I319" i="15"/>
  <c r="I317" i="15"/>
  <c r="I315" i="15"/>
  <c r="I313" i="15"/>
  <c r="I311" i="15"/>
  <c r="I309" i="15"/>
  <c r="I307" i="15"/>
  <c r="I305" i="15"/>
  <c r="I303" i="15"/>
  <c r="I301" i="15"/>
  <c r="I299" i="15"/>
  <c r="I297" i="15"/>
  <c r="I295" i="15"/>
  <c r="I293" i="15"/>
  <c r="I291" i="15"/>
  <c r="I289" i="15"/>
  <c r="I287" i="15"/>
  <c r="I285" i="15"/>
  <c r="I283" i="15"/>
  <c r="I281" i="15"/>
  <c r="I279" i="15"/>
  <c r="I277" i="15"/>
  <c r="I275" i="15"/>
  <c r="I273" i="15"/>
  <c r="I271" i="15"/>
  <c r="I269" i="15"/>
  <c r="I267" i="15"/>
  <c r="I265" i="15"/>
  <c r="I263" i="15"/>
  <c r="I261" i="15"/>
  <c r="I259" i="15"/>
  <c r="I257" i="15"/>
  <c r="I255" i="15"/>
  <c r="I253" i="15"/>
  <c r="I251" i="15"/>
  <c r="I249" i="15"/>
  <c r="I247" i="15"/>
  <c r="I245" i="15"/>
  <c r="I243" i="15"/>
  <c r="I241" i="15"/>
  <c r="I239" i="15"/>
  <c r="I237" i="15"/>
  <c r="I235" i="15"/>
  <c r="I233" i="15"/>
  <c r="I231" i="15"/>
  <c r="I229" i="15"/>
  <c r="I227" i="15"/>
  <c r="I225" i="15"/>
  <c r="I223" i="15"/>
  <c r="I221" i="15"/>
  <c r="I219" i="15"/>
  <c r="I217" i="15"/>
  <c r="I215" i="15"/>
  <c r="I213" i="15"/>
  <c r="I211" i="15"/>
  <c r="I209" i="15"/>
  <c r="I207" i="15"/>
  <c r="I205" i="15"/>
  <c r="I203" i="15"/>
  <c r="I201" i="15"/>
  <c r="I199" i="15"/>
  <c r="I197" i="15"/>
  <c r="I195" i="15"/>
  <c r="I193" i="15"/>
  <c r="I191" i="15"/>
  <c r="I189" i="15"/>
  <c r="I187" i="15"/>
  <c r="I185" i="15"/>
  <c r="I183" i="15"/>
  <c r="I181" i="15"/>
  <c r="I179" i="15"/>
  <c r="I177" i="15"/>
  <c r="I175" i="15"/>
  <c r="I173" i="15"/>
  <c r="I171" i="15"/>
  <c r="I169" i="15"/>
  <c r="I167" i="15"/>
  <c r="I165" i="15"/>
  <c r="I163" i="15"/>
  <c r="I161" i="15"/>
  <c r="I159" i="15"/>
  <c r="I157" i="15"/>
  <c r="I155" i="15"/>
  <c r="I153" i="15"/>
  <c r="I151" i="15"/>
  <c r="I149" i="15"/>
  <c r="I147" i="15"/>
  <c r="I145" i="15"/>
  <c r="I143" i="15"/>
  <c r="I141" i="15"/>
  <c r="I139" i="15"/>
  <c r="I137" i="15"/>
  <c r="I135" i="15"/>
  <c r="I133" i="15"/>
  <c r="I131" i="15"/>
  <c r="I129" i="15"/>
  <c r="I127" i="15"/>
  <c r="I125" i="15"/>
  <c r="I123" i="15"/>
  <c r="I121" i="15"/>
  <c r="I119" i="15"/>
  <c r="I117" i="15"/>
  <c r="I115" i="15"/>
  <c r="I113" i="15"/>
  <c r="I111" i="15"/>
  <c r="I109" i="15"/>
  <c r="I107" i="15"/>
  <c r="I105" i="15"/>
  <c r="I103" i="15"/>
  <c r="I101" i="15"/>
  <c r="I99" i="15"/>
  <c r="I97" i="15"/>
  <c r="I95" i="15"/>
  <c r="I93" i="15"/>
  <c r="I91" i="15"/>
  <c r="I89" i="15"/>
  <c r="I87" i="15"/>
  <c r="I85" i="15"/>
  <c r="I83" i="15"/>
  <c r="I81" i="15"/>
  <c r="I79" i="15"/>
  <c r="I77" i="15"/>
  <c r="I75" i="15"/>
  <c r="I73" i="15"/>
  <c r="I71" i="15"/>
  <c r="I69" i="15"/>
  <c r="I67" i="15"/>
  <c r="I65" i="15"/>
  <c r="I63" i="15"/>
  <c r="I61" i="15"/>
  <c r="I59" i="15"/>
  <c r="I57" i="15"/>
  <c r="I55" i="15"/>
  <c r="I53" i="15"/>
  <c r="I51" i="15"/>
  <c r="I49" i="15"/>
  <c r="I47" i="15"/>
  <c r="I45" i="15"/>
  <c r="I43" i="15"/>
  <c r="I41" i="15"/>
  <c r="I39" i="15"/>
  <c r="I37" i="15"/>
  <c r="I35" i="15"/>
  <c r="I33" i="15"/>
  <c r="I31" i="15"/>
  <c r="I29" i="15"/>
  <c r="I27" i="15"/>
  <c r="I25" i="15"/>
  <c r="I23" i="15"/>
  <c r="I21" i="15"/>
  <c r="I19" i="15"/>
  <c r="I17" i="15"/>
  <c r="I15" i="15"/>
  <c r="I13" i="15"/>
  <c r="I11" i="15"/>
  <c r="I9" i="15"/>
  <c r="I7" i="15"/>
  <c r="I5" i="15"/>
  <c r="I3" i="15"/>
  <c r="I527" i="15"/>
  <c r="I519" i="15"/>
  <c r="I511" i="15"/>
  <c r="I503" i="15"/>
  <c r="I495" i="15"/>
  <c r="I487" i="15"/>
  <c r="I479" i="15"/>
  <c r="I471" i="15"/>
  <c r="I463" i="15"/>
  <c r="I455" i="15"/>
  <c r="I447" i="15"/>
  <c r="K440" i="15"/>
  <c r="K436" i="15"/>
  <c r="K432" i="15"/>
  <c r="K428" i="15"/>
  <c r="K424" i="15"/>
  <c r="K420" i="15"/>
  <c r="K416" i="15"/>
  <c r="K412" i="15"/>
  <c r="K408" i="15"/>
  <c r="K404" i="15"/>
  <c r="K400" i="15"/>
  <c r="K396" i="15"/>
  <c r="K392" i="15"/>
  <c r="K388" i="15"/>
  <c r="K384" i="15"/>
  <c r="K380" i="15"/>
  <c r="K376" i="15"/>
  <c r="K372" i="15"/>
  <c r="K368" i="15"/>
  <c r="K364" i="15"/>
  <c r="G744" i="15"/>
  <c r="H535" i="15"/>
  <c r="G534" i="15"/>
  <c r="G659" i="15"/>
  <c r="I589" i="15"/>
  <c r="G823" i="15"/>
  <c r="G876" i="15"/>
  <c r="I584" i="15"/>
  <c r="G686" i="15"/>
  <c r="G738" i="15"/>
  <c r="G855" i="15"/>
  <c r="G556" i="15"/>
  <c r="G535" i="15"/>
  <c r="G755" i="15"/>
  <c r="I623" i="15"/>
  <c r="G616" i="15"/>
  <c r="G746" i="15"/>
  <c r="G563" i="15"/>
  <c r="G867" i="15"/>
  <c r="I653" i="15"/>
  <c r="I687" i="15"/>
  <c r="G750" i="15"/>
  <c r="G648" i="15"/>
  <c r="G787" i="15"/>
  <c r="I661" i="15"/>
  <c r="K902" i="15"/>
  <c r="G776" i="15"/>
  <c r="G759" i="15"/>
  <c r="G562" i="15"/>
  <c r="G567" i="15"/>
  <c r="G610" i="15"/>
  <c r="G652" i="15"/>
  <c r="G691" i="15"/>
  <c r="G618" i="15"/>
  <c r="G866" i="15"/>
  <c r="G558" i="15"/>
  <c r="G830" i="15"/>
  <c r="G545" i="15"/>
  <c r="G684" i="15"/>
  <c r="G812" i="15"/>
  <c r="G599" i="15"/>
  <c r="G695" i="15"/>
  <c r="G803" i="15"/>
  <c r="K692" i="15"/>
  <c r="G560" i="15"/>
  <c r="G620" i="15"/>
  <c r="G663" i="15"/>
  <c r="G539" i="15"/>
  <c r="G675" i="15"/>
  <c r="G826" i="15"/>
  <c r="G541" i="15"/>
  <c r="G595" i="15"/>
  <c r="G791" i="15"/>
  <c r="I693" i="15"/>
  <c r="G674" i="15"/>
  <c r="G890" i="15"/>
  <c r="G574" i="15"/>
  <c r="G870" i="15"/>
  <c r="G557" i="15"/>
  <c r="G692" i="15"/>
  <c r="G820" i="15"/>
  <c r="G611" i="15"/>
  <c r="G723" i="15"/>
  <c r="G819" i="15"/>
  <c r="G682" i="15"/>
  <c r="G894" i="15"/>
  <c r="G564" i="15"/>
  <c r="G852" i="15"/>
  <c r="G727" i="15"/>
  <c r="I535" i="15"/>
  <c r="G742" i="15"/>
  <c r="G810" i="15"/>
  <c r="G780" i="15"/>
  <c r="G883" i="15"/>
  <c r="G814" i="15"/>
  <c r="G788" i="15"/>
  <c r="G887" i="15"/>
  <c r="G638" i="15"/>
  <c r="G712" i="15"/>
  <c r="G627" i="15"/>
  <c r="G690" i="15"/>
  <c r="G678" i="15"/>
  <c r="G596" i="15"/>
  <c r="G724" i="15"/>
  <c r="G872" i="15"/>
  <c r="G631" i="15"/>
  <c r="G739" i="15"/>
  <c r="G851" i="15"/>
  <c r="I565" i="15"/>
  <c r="I591" i="15"/>
  <c r="L1017" i="15"/>
  <c r="L535" i="15"/>
  <c r="K534" i="15"/>
  <c r="I534" i="15"/>
  <c r="K535" i="15"/>
  <c r="G1099" i="15"/>
  <c r="H534" i="15"/>
  <c r="I634" i="15"/>
  <c r="K729" i="15"/>
  <c r="J920" i="15"/>
  <c r="L534" i="15"/>
  <c r="L950" i="15"/>
  <c r="L693" i="15"/>
  <c r="L607" i="15"/>
  <c r="L575" i="15"/>
  <c r="L543" i="15"/>
  <c r="L996" i="15"/>
  <c r="L868" i="15"/>
  <c r="L748" i="15"/>
  <c r="L712" i="15"/>
  <c r="L680" i="15"/>
  <c r="L648" i="15"/>
  <c r="L616" i="15"/>
  <c r="L584" i="15"/>
  <c r="L552" i="15"/>
  <c r="H1138" i="15"/>
  <c r="H1122" i="15"/>
  <c r="H1106" i="15"/>
  <c r="H1090" i="15"/>
  <c r="H1074" i="15"/>
  <c r="H1058" i="15"/>
  <c r="H1042" i="15"/>
  <c r="H1026" i="15"/>
  <c r="H1010" i="15"/>
  <c r="H994" i="15"/>
  <c r="H978" i="15"/>
  <c r="H962" i="15"/>
  <c r="H946" i="15"/>
  <c r="H930" i="15"/>
  <c r="H914" i="15"/>
  <c r="H898" i="15"/>
  <c r="H882" i="15"/>
  <c r="H866" i="15"/>
  <c r="H850" i="15"/>
  <c r="H834" i="15"/>
  <c r="H818" i="15"/>
  <c r="H802" i="15"/>
  <c r="H786" i="15"/>
  <c r="H770" i="15"/>
  <c r="H754" i="15"/>
  <c r="H738" i="15"/>
  <c r="H722" i="15"/>
  <c r="H706" i="15"/>
  <c r="H690" i="15"/>
  <c r="H674" i="15"/>
  <c r="H658" i="15"/>
  <c r="H642" i="15"/>
  <c r="H626" i="15"/>
  <c r="H610" i="15"/>
  <c r="H594" i="15"/>
  <c r="H578" i="15"/>
  <c r="H562" i="15"/>
  <c r="H546" i="15"/>
  <c r="L1008" i="15"/>
  <c r="L880" i="15"/>
  <c r="L754" i="15"/>
  <c r="L690" i="15"/>
  <c r="L626" i="15"/>
  <c r="L562" i="15"/>
  <c r="H1127" i="15"/>
  <c r="H1095" i="15"/>
  <c r="H1063" i="15"/>
  <c r="H1031" i="15"/>
  <c r="H999" i="15"/>
  <c r="H967" i="15"/>
  <c r="H935" i="15"/>
  <c r="H903" i="15"/>
  <c r="H871" i="15"/>
  <c r="H839" i="15"/>
  <c r="H807" i="15"/>
  <c r="H775" i="15"/>
  <c r="H743" i="15"/>
  <c r="H711" i="15"/>
  <c r="H679" i="15"/>
  <c r="H647" i="15"/>
  <c r="H615" i="15"/>
  <c r="H583" i="15"/>
  <c r="H551" i="15"/>
  <c r="L1000" i="15"/>
  <c r="L872" i="15"/>
  <c r="L750" i="15"/>
  <c r="L686" i="15"/>
  <c r="L622" i="15"/>
  <c r="L558" i="15"/>
  <c r="H1125" i="15"/>
  <c r="H1093" i="15"/>
  <c r="H1061" i="15"/>
  <c r="L661" i="15"/>
  <c r="L603" i="15"/>
  <c r="L571" i="15"/>
  <c r="L539" i="15"/>
  <c r="L980" i="15"/>
  <c r="L852" i="15"/>
  <c r="L740" i="15"/>
  <c r="L708" i="15"/>
  <c r="L676" i="15"/>
  <c r="L644" i="15"/>
  <c r="L612" i="15"/>
  <c r="L580" i="15"/>
  <c r="L548" i="15"/>
  <c r="H1136" i="15"/>
  <c r="H1120" i="15"/>
  <c r="H1104" i="15"/>
  <c r="H1088" i="15"/>
  <c r="H1072" i="15"/>
  <c r="H1056" i="15"/>
  <c r="H1040" i="15"/>
  <c r="H1024" i="15"/>
  <c r="H1008" i="15"/>
  <c r="H992" i="15"/>
  <c r="H976" i="15"/>
  <c r="H960" i="15"/>
  <c r="H944" i="15"/>
  <c r="H928" i="15"/>
  <c r="H912" i="15"/>
  <c r="H896" i="15"/>
  <c r="H880" i="15"/>
  <c r="H864" i="15"/>
  <c r="H848" i="15"/>
  <c r="H832" i="15"/>
  <c r="H816" i="15"/>
  <c r="H800" i="15"/>
  <c r="H784" i="15"/>
  <c r="H768" i="15"/>
  <c r="H752" i="15"/>
  <c r="H736" i="15"/>
  <c r="H720" i="15"/>
  <c r="H704" i="15"/>
  <c r="H688" i="15"/>
  <c r="H672" i="15"/>
  <c r="H656" i="15"/>
  <c r="H640" i="15"/>
  <c r="H624" i="15"/>
  <c r="H608" i="15"/>
  <c r="H592" i="15"/>
  <c r="H576" i="15"/>
  <c r="H560" i="15"/>
  <c r="H544" i="15"/>
  <c r="L992" i="15"/>
  <c r="L864" i="15"/>
  <c r="L746" i="15"/>
  <c r="L682" i="15"/>
  <c r="L618" i="15"/>
  <c r="L554" i="15"/>
  <c r="H1123" i="15"/>
  <c r="H1091" i="15"/>
  <c r="H1059" i="15"/>
  <c r="H1027" i="15"/>
  <c r="H995" i="15"/>
  <c r="H963" i="15"/>
  <c r="H931" i="15"/>
  <c r="H899" i="15"/>
  <c r="H867" i="15"/>
  <c r="H835" i="15"/>
  <c r="H803" i="15"/>
  <c r="H771" i="15"/>
  <c r="H739" i="15"/>
  <c r="H707" i="15"/>
  <c r="H675" i="15"/>
  <c r="H643" i="15"/>
  <c r="H611" i="15"/>
  <c r="H579" i="15"/>
  <c r="H547" i="15"/>
  <c r="L639" i="15"/>
  <c r="L631" i="15"/>
  <c r="L595" i="15"/>
  <c r="L563" i="15"/>
  <c r="L948" i="15"/>
  <c r="L820" i="15"/>
  <c r="L732" i="15"/>
  <c r="L700" i="15"/>
  <c r="L668" i="15"/>
  <c r="L636" i="15"/>
  <c r="L604" i="15"/>
  <c r="L572" i="15"/>
  <c r="L540" i="15"/>
  <c r="H1132" i="15"/>
  <c r="H1116" i="15"/>
  <c r="H1100" i="15"/>
  <c r="H1084" i="15"/>
  <c r="H1068" i="15"/>
  <c r="H1052" i="15"/>
  <c r="H1036" i="15"/>
  <c r="H1020" i="15"/>
  <c r="H1004" i="15"/>
  <c r="H988" i="15"/>
  <c r="H972" i="15"/>
  <c r="H956" i="15"/>
  <c r="H940" i="15"/>
  <c r="H924" i="15"/>
  <c r="H908" i="15"/>
  <c r="H892" i="15"/>
  <c r="H876" i="15"/>
  <c r="H860" i="15"/>
  <c r="H844" i="15"/>
  <c r="H828" i="15"/>
  <c r="H812" i="15"/>
  <c r="H796" i="15"/>
  <c r="H780" i="15"/>
  <c r="H764" i="15"/>
  <c r="H748" i="15"/>
  <c r="H732" i="15"/>
  <c r="H716" i="15"/>
  <c r="H700" i="15"/>
  <c r="H684" i="15"/>
  <c r="H668" i="15"/>
  <c r="H652" i="15"/>
  <c r="H636" i="15"/>
  <c r="H620" i="15"/>
  <c r="H604" i="15"/>
  <c r="H588" i="15"/>
  <c r="H572" i="15"/>
  <c r="H556" i="15"/>
  <c r="H540" i="15"/>
  <c r="L619" i="15"/>
  <c r="L587" i="15"/>
  <c r="L555" i="15"/>
  <c r="L1077" i="15"/>
  <c r="L916" i="15"/>
  <c r="L788" i="15"/>
  <c r="L724" i="15"/>
  <c r="L692" i="15"/>
  <c r="L660" i="15"/>
  <c r="L628" i="15"/>
  <c r="L596" i="15"/>
  <c r="L564" i="15"/>
  <c r="H1128" i="15"/>
  <c r="H1112" i="15"/>
  <c r="H1096" i="15"/>
  <c r="H1080" i="15"/>
  <c r="H1064" i="15"/>
  <c r="H1048" i="15"/>
  <c r="H1032" i="15"/>
  <c r="H1016" i="15"/>
  <c r="H1000" i="15"/>
  <c r="H984" i="15"/>
  <c r="H968" i="15"/>
  <c r="H952" i="15"/>
  <c r="H936" i="15"/>
  <c r="H920" i="15"/>
  <c r="H904" i="15"/>
  <c r="H888" i="15"/>
  <c r="H872" i="15"/>
  <c r="H856" i="15"/>
  <c r="H840" i="15"/>
  <c r="H824" i="15"/>
  <c r="H808" i="15"/>
  <c r="H792" i="15"/>
  <c r="H776" i="15"/>
  <c r="H760" i="15"/>
  <c r="H744" i="15"/>
  <c r="H728" i="15"/>
  <c r="H712" i="15"/>
  <c r="H696" i="15"/>
  <c r="H680" i="15"/>
  <c r="H664" i="15"/>
  <c r="H648" i="15"/>
  <c r="H632" i="15"/>
  <c r="H616" i="15"/>
  <c r="H600" i="15"/>
  <c r="H584" i="15"/>
  <c r="H568" i="15"/>
  <c r="H552" i="15"/>
  <c r="H536" i="15"/>
  <c r="L1107" i="15"/>
  <c r="L928" i="15"/>
  <c r="L800" i="15"/>
  <c r="L714" i="15"/>
  <c r="L650" i="15"/>
  <c r="L586" i="15"/>
  <c r="H1139" i="15"/>
  <c r="H1107" i="15"/>
  <c r="H1075" i="15"/>
  <c r="H1043" i="15"/>
  <c r="H1011" i="15"/>
  <c r="H979" i="15"/>
  <c r="H947" i="15"/>
  <c r="H915" i="15"/>
  <c r="H883" i="15"/>
  <c r="H851" i="15"/>
  <c r="H819" i="15"/>
  <c r="H787" i="15"/>
  <c r="H755" i="15"/>
  <c r="H723" i="15"/>
  <c r="H691" i="15"/>
  <c r="H659" i="15"/>
  <c r="H627" i="15"/>
  <c r="H595" i="15"/>
  <c r="H563" i="15"/>
  <c r="L1085" i="15"/>
  <c r="L920" i="15"/>
  <c r="L792" i="15"/>
  <c r="L710" i="15"/>
  <c r="L646" i="15"/>
  <c r="L582" i="15"/>
  <c r="L886" i="15"/>
  <c r="L615" i="15"/>
  <c r="L583" i="15"/>
  <c r="L551" i="15"/>
  <c r="L1045" i="15"/>
  <c r="L900" i="15"/>
  <c r="L772" i="15"/>
  <c r="L720" i="15"/>
  <c r="L688" i="15"/>
  <c r="L656" i="15"/>
  <c r="L624" i="15"/>
  <c r="L592" i="15"/>
  <c r="L560" i="15"/>
  <c r="H1142" i="15"/>
  <c r="H1126" i="15"/>
  <c r="H1110" i="15"/>
  <c r="H1094" i="15"/>
  <c r="H1078" i="15"/>
  <c r="H1062" i="15"/>
  <c r="H1046" i="15"/>
  <c r="H1030" i="15"/>
  <c r="H1014" i="15"/>
  <c r="H998" i="15"/>
  <c r="H982" i="15"/>
  <c r="H966" i="15"/>
  <c r="H950" i="15"/>
  <c r="H934" i="15"/>
  <c r="H918" i="15"/>
  <c r="H902" i="15"/>
  <c r="H886" i="15"/>
  <c r="H870" i="15"/>
  <c r="H854" i="15"/>
  <c r="H838" i="15"/>
  <c r="H822" i="15"/>
  <c r="H806" i="15"/>
  <c r="H790" i="15"/>
  <c r="H774" i="15"/>
  <c r="H758" i="15"/>
  <c r="H742" i="15"/>
  <c r="H726" i="15"/>
  <c r="H710" i="15"/>
  <c r="H694" i="15"/>
  <c r="H678" i="15"/>
  <c r="H662" i="15"/>
  <c r="H646" i="15"/>
  <c r="H630" i="15"/>
  <c r="H614" i="15"/>
  <c r="H598" i="15"/>
  <c r="H582" i="15"/>
  <c r="H566" i="15"/>
  <c r="H550" i="15"/>
  <c r="L1069" i="15"/>
  <c r="L912" i="15"/>
  <c r="L784" i="15"/>
  <c r="L706" i="15"/>
  <c r="L642" i="15"/>
  <c r="L578" i="15"/>
  <c r="H1135" i="15"/>
  <c r="H1103" i="15"/>
  <c r="H1071" i="15"/>
  <c r="H1039" i="15"/>
  <c r="H1007" i="15"/>
  <c r="H975" i="15"/>
  <c r="H943" i="15"/>
  <c r="L611" i="15"/>
  <c r="L756" i="15"/>
  <c r="L664" i="15"/>
  <c r="L576" i="15"/>
  <c r="H1130" i="15"/>
  <c r="H1086" i="15"/>
  <c r="H1044" i="15"/>
  <c r="H1002" i="15"/>
  <c r="H958" i="15"/>
  <c r="H916" i="15"/>
  <c r="H874" i="15"/>
  <c r="H830" i="15"/>
  <c r="H788" i="15"/>
  <c r="H746" i="15"/>
  <c r="H702" i="15"/>
  <c r="H660" i="15"/>
  <c r="H618" i="15"/>
  <c r="H574" i="15"/>
  <c r="L976" i="15"/>
  <c r="L738" i="15"/>
  <c r="L610" i="15"/>
  <c r="H1119" i="15"/>
  <c r="H1055" i="15"/>
  <c r="H991" i="15"/>
  <c r="H927" i="15"/>
  <c r="H879" i="15"/>
  <c r="H827" i="15"/>
  <c r="H779" i="15"/>
  <c r="H727" i="15"/>
  <c r="H671" i="15"/>
  <c r="H623" i="15"/>
  <c r="H571" i="15"/>
  <c r="L1021" i="15"/>
  <c r="L840" i="15"/>
  <c r="L718" i="15"/>
  <c r="L630" i="15"/>
  <c r="L542" i="15"/>
  <c r="H1113" i="15"/>
  <c r="H1077" i="15"/>
  <c r="H1041" i="15"/>
  <c r="H1009" i="15"/>
  <c r="H977" i="15"/>
  <c r="H945" i="15"/>
  <c r="H913" i="15"/>
  <c r="H881" i="15"/>
  <c r="H849" i="15"/>
  <c r="H817" i="15"/>
  <c r="H785" i="15"/>
  <c r="H753" i="15"/>
  <c r="H721" i="15"/>
  <c r="H689" i="15"/>
  <c r="H657" i="15"/>
  <c r="H625" i="15"/>
  <c r="H593" i="15"/>
  <c r="H561" i="15"/>
  <c r="J1140" i="15"/>
  <c r="J1124" i="15"/>
  <c r="J1108" i="15"/>
  <c r="J1092" i="15"/>
  <c r="J1076" i="15"/>
  <c r="J1060" i="15"/>
  <c r="J1044" i="15"/>
  <c r="J1028" i="15"/>
  <c r="I1132" i="15"/>
  <c r="I1116" i="15"/>
  <c r="I1100" i="15"/>
  <c r="I1084" i="15"/>
  <c r="I1068" i="15"/>
  <c r="I1052" i="15"/>
  <c r="L599" i="15"/>
  <c r="L1123" i="15"/>
  <c r="L736" i="15"/>
  <c r="L652" i="15"/>
  <c r="L568" i="15"/>
  <c r="H1124" i="15"/>
  <c r="H1082" i="15"/>
  <c r="H1038" i="15"/>
  <c r="H996" i="15"/>
  <c r="H954" i="15"/>
  <c r="H910" i="15"/>
  <c r="H868" i="15"/>
  <c r="H826" i="15"/>
  <c r="H782" i="15"/>
  <c r="H740" i="15"/>
  <c r="H698" i="15"/>
  <c r="H654" i="15"/>
  <c r="H612" i="15"/>
  <c r="H570" i="15"/>
  <c r="L960" i="15"/>
  <c r="L730" i="15"/>
  <c r="L602" i="15"/>
  <c r="H1115" i="15"/>
  <c r="H1051" i="15"/>
  <c r="H987" i="15"/>
  <c r="H923" i="15"/>
  <c r="H875" i="15"/>
  <c r="H823" i="15"/>
  <c r="H767" i="15"/>
  <c r="H719" i="15"/>
  <c r="H667" i="15"/>
  <c r="H619" i="15"/>
  <c r="H567" i="15"/>
  <c r="L591" i="15"/>
  <c r="L1013" i="15"/>
  <c r="L728" i="15"/>
  <c r="L640" i="15"/>
  <c r="L556" i="15"/>
  <c r="H1118" i="15"/>
  <c r="H1076" i="15"/>
  <c r="H1034" i="15"/>
  <c r="H990" i="15"/>
  <c r="H948" i="15"/>
  <c r="H906" i="15"/>
  <c r="H862" i="15"/>
  <c r="H820" i="15"/>
  <c r="H778" i="15"/>
  <c r="H734" i="15"/>
  <c r="H692" i="15"/>
  <c r="H650" i="15"/>
  <c r="H606" i="15"/>
  <c r="H564" i="15"/>
  <c r="L944" i="15"/>
  <c r="L722" i="15"/>
  <c r="L594" i="15"/>
  <c r="H1111" i="15"/>
  <c r="H1047" i="15"/>
  <c r="H983" i="15"/>
  <c r="H919" i="15"/>
  <c r="H863" i="15"/>
  <c r="H815" i="15"/>
  <c r="H763" i="15"/>
  <c r="H715" i="15"/>
  <c r="H663" i="15"/>
  <c r="H607" i="15"/>
  <c r="H559" i="15"/>
  <c r="L968" i="15"/>
  <c r="L808" i="15"/>
  <c r="L694" i="15"/>
  <c r="L606" i="15"/>
  <c r="H1141" i="15"/>
  <c r="H1105" i="15"/>
  <c r="H1069" i="15"/>
  <c r="H1033" i="15"/>
  <c r="H1001" i="15"/>
  <c r="H969" i="15"/>
  <c r="H937" i="15"/>
  <c r="H905" i="15"/>
  <c r="H873" i="15"/>
  <c r="H841" i="15"/>
  <c r="H809" i="15"/>
  <c r="H777" i="15"/>
  <c r="H745" i="15"/>
  <c r="H713" i="15"/>
  <c r="H681" i="15"/>
  <c r="H649" i="15"/>
  <c r="H617" i="15"/>
  <c r="H585" i="15"/>
  <c r="H553" i="15"/>
  <c r="K1135" i="15"/>
  <c r="K1119" i="15"/>
  <c r="K1103" i="15"/>
  <c r="K1087" i="15"/>
  <c r="K1071" i="15"/>
  <c r="K1055" i="15"/>
  <c r="K1039" i="15"/>
  <c r="K1023" i="15"/>
  <c r="G1129" i="15"/>
  <c r="G1113" i="15"/>
  <c r="G1097" i="15"/>
  <c r="G1081" i="15"/>
  <c r="G1065" i="15"/>
  <c r="G1049" i="15"/>
  <c r="K1141" i="15"/>
  <c r="K1125" i="15"/>
  <c r="K1109" i="15"/>
  <c r="K1093" i="15"/>
  <c r="K1077" i="15"/>
  <c r="K1061" i="15"/>
  <c r="K1045" i="15"/>
  <c r="K1029" i="15"/>
  <c r="G1128" i="15"/>
  <c r="J1107" i="15"/>
  <c r="G1079" i="15"/>
  <c r="J1053" i="15"/>
  <c r="K1033" i="15"/>
  <c r="J1016" i="15"/>
  <c r="J1000" i="15"/>
  <c r="L579" i="15"/>
  <c r="L964" i="15"/>
  <c r="L716" i="15"/>
  <c r="L632" i="15"/>
  <c r="L544" i="15"/>
  <c r="H1114" i="15"/>
  <c r="H1070" i="15"/>
  <c r="H1028" i="15"/>
  <c r="H986" i="15"/>
  <c r="H942" i="15"/>
  <c r="H900" i="15"/>
  <c r="H858" i="15"/>
  <c r="H814" i="15"/>
  <c r="H772" i="15"/>
  <c r="H730" i="15"/>
  <c r="H686" i="15"/>
  <c r="H644" i="15"/>
  <c r="H602" i="15"/>
  <c r="H558" i="15"/>
  <c r="L896" i="15"/>
  <c r="L698" i="15"/>
  <c r="L570" i="15"/>
  <c r="H1099" i="15"/>
  <c r="H1035" i="15"/>
  <c r="H971" i="15"/>
  <c r="H911" i="15"/>
  <c r="H859" i="15"/>
  <c r="H811" i="15"/>
  <c r="H759" i="15"/>
  <c r="H703" i="15"/>
  <c r="H655" i="15"/>
  <c r="H603" i="15"/>
  <c r="H555" i="15"/>
  <c r="L952" i="15"/>
  <c r="L776" i="15"/>
  <c r="L678" i="15"/>
  <c r="L598" i="15"/>
  <c r="H1137" i="15"/>
  <c r="H1101" i="15"/>
  <c r="H1065" i="15"/>
  <c r="H1029" i="15"/>
  <c r="H997" i="15"/>
  <c r="H965" i="15"/>
  <c r="H933" i="15"/>
  <c r="H901" i="15"/>
  <c r="H869" i="15"/>
  <c r="H837" i="15"/>
  <c r="H805" i="15"/>
  <c r="H773" i="15"/>
  <c r="H741" i="15"/>
  <c r="H709" i="15"/>
  <c r="H677" i="15"/>
  <c r="H645" i="15"/>
  <c r="H613" i="15"/>
  <c r="H581" i="15"/>
  <c r="H549" i="15"/>
  <c r="L758" i="15"/>
  <c r="L547" i="15"/>
  <c r="L836" i="15"/>
  <c r="L684" i="15"/>
  <c r="L600" i="15"/>
  <c r="H1140" i="15"/>
  <c r="H1098" i="15"/>
  <c r="H1054" i="15"/>
  <c r="H1012" i="15"/>
  <c r="H970" i="15"/>
  <c r="H926" i="15"/>
  <c r="H884" i="15"/>
  <c r="H842" i="15"/>
  <c r="H798" i="15"/>
  <c r="H756" i="15"/>
  <c r="H714" i="15"/>
  <c r="H670" i="15"/>
  <c r="H628" i="15"/>
  <c r="H586" i="15"/>
  <c r="H542" i="15"/>
  <c r="L816" i="15"/>
  <c r="L658" i="15"/>
  <c r="H1143" i="15"/>
  <c r="H1079" i="15"/>
  <c r="H1015" i="15"/>
  <c r="H951" i="15"/>
  <c r="H891" i="15"/>
  <c r="H843" i="15"/>
  <c r="H791" i="15"/>
  <c r="H735" i="15"/>
  <c r="H687" i="15"/>
  <c r="H635" i="15"/>
  <c r="H587" i="15"/>
  <c r="L559" i="15"/>
  <c r="L672" i="15"/>
  <c r="H1102" i="15"/>
  <c r="H980" i="15"/>
  <c r="H878" i="15"/>
  <c r="H762" i="15"/>
  <c r="H638" i="15"/>
  <c r="H538" i="15"/>
  <c r="L1037" i="15"/>
  <c r="L538" i="15"/>
  <c r="H959" i="15"/>
  <c r="H831" i="15"/>
  <c r="H695" i="15"/>
  <c r="H543" i="15"/>
  <c r="L856" i="15"/>
  <c r="L662" i="15"/>
  <c r="H1085" i="15"/>
  <c r="H1025" i="15"/>
  <c r="H981" i="15"/>
  <c r="H925" i="15"/>
  <c r="H877" i="15"/>
  <c r="H825" i="15"/>
  <c r="H769" i="15"/>
  <c r="H725" i="15"/>
  <c r="H669" i="15"/>
  <c r="H621" i="15"/>
  <c r="H569" i="15"/>
  <c r="L620" i="15"/>
  <c r="H1092" i="15"/>
  <c r="H974" i="15"/>
  <c r="H852" i="15"/>
  <c r="H750" i="15"/>
  <c r="H634" i="15"/>
  <c r="L848" i="15"/>
  <c r="H1131" i="15"/>
  <c r="H955" i="15"/>
  <c r="H799" i="15"/>
  <c r="H683" i="15"/>
  <c r="H539" i="15"/>
  <c r="L824" i="15"/>
  <c r="L654" i="15"/>
  <c r="H1133" i="15"/>
  <c r="H1081" i="15"/>
  <c r="H1021" i="15"/>
  <c r="H973" i="15"/>
  <c r="H921" i="15"/>
  <c r="H865" i="15"/>
  <c r="H821" i="15"/>
  <c r="H765" i="15"/>
  <c r="H717" i="15"/>
  <c r="H665" i="15"/>
  <c r="H609" i="15"/>
  <c r="H565" i="15"/>
  <c r="J1132" i="15"/>
  <c r="K1111" i="15"/>
  <c r="I1089" i="15"/>
  <c r="J1068" i="15"/>
  <c r="K1047" i="15"/>
  <c r="I1025" i="15"/>
  <c r="I1124" i="15"/>
  <c r="G1105" i="15"/>
  <c r="K1082" i="15"/>
  <c r="I1060" i="15"/>
  <c r="G1041" i="15"/>
  <c r="G1132" i="15"/>
  <c r="J1114" i="15"/>
  <c r="I1095" i="15"/>
  <c r="G1076" i="15"/>
  <c r="J1058" i="15"/>
  <c r="I1039" i="15"/>
  <c r="G1143" i="15"/>
  <c r="I1115" i="15"/>
  <c r="K1089" i="15"/>
  <c r="I1056" i="15"/>
  <c r="J1031" i="15"/>
  <c r="K1011" i="15"/>
  <c r="G994" i="15"/>
  <c r="G978" i="15"/>
  <c r="I1117" i="15"/>
  <c r="K1096" i="15"/>
  <c r="G1066" i="15"/>
  <c r="I1043" i="15"/>
  <c r="K1024" i="15"/>
  <c r="I1008" i="15"/>
  <c r="I992" i="15"/>
  <c r="I976" i="15"/>
  <c r="K1126" i="15"/>
  <c r="I1093" i="15"/>
  <c r="K1072" i="15"/>
  <c r="G1042" i="15"/>
  <c r="G1022" i="15"/>
  <c r="G1006" i="15"/>
  <c r="G990" i="15"/>
  <c r="J1133" i="15"/>
  <c r="J1096" i="15"/>
  <c r="G1039" i="15"/>
  <c r="J1006" i="15"/>
  <c r="I986" i="15"/>
  <c r="J966" i="15"/>
  <c r="J950" i="15"/>
  <c r="J934" i="15"/>
  <c r="K1128" i="15"/>
  <c r="G1088" i="15"/>
  <c r="G1055" i="15"/>
  <c r="K1124" i="15"/>
  <c r="I1059" i="15"/>
  <c r="I1024" i="15"/>
  <c r="I998" i="15"/>
  <c r="G974" i="15"/>
  <c r="G958" i="15"/>
  <c r="G942" i="15"/>
  <c r="G926" i="15"/>
  <c r="L608" i="15"/>
  <c r="H1066" i="15"/>
  <c r="H964" i="15"/>
  <c r="H846" i="15"/>
  <c r="H724" i="15"/>
  <c r="H622" i="15"/>
  <c r="L832" i="15"/>
  <c r="H1087" i="15"/>
  <c r="H939" i="15"/>
  <c r="H795" i="15"/>
  <c r="H651" i="15"/>
  <c r="L1139" i="15"/>
  <c r="L760" i="15"/>
  <c r="L638" i="15"/>
  <c r="H1129" i="15"/>
  <c r="H1073" i="15"/>
  <c r="H1017" i="15"/>
  <c r="H961" i="15"/>
  <c r="H917" i="15"/>
  <c r="H861" i="15"/>
  <c r="H813" i="15"/>
  <c r="H761" i="15"/>
  <c r="H705" i="15"/>
  <c r="H661" i="15"/>
  <c r="H605" i="15"/>
  <c r="H557" i="15"/>
  <c r="I1129" i="15"/>
  <c r="G1110" i="15"/>
  <c r="G1086" i="15"/>
  <c r="I1065" i="15"/>
  <c r="G1046" i="15"/>
  <c r="J1143" i="15"/>
  <c r="K1122" i="15"/>
  <c r="J1103" i="15"/>
  <c r="J1079" i="15"/>
  <c r="K1058" i="15"/>
  <c r="J1039" i="15"/>
  <c r="J1130" i="15"/>
  <c r="I1111" i="15"/>
  <c r="G1092" i="15"/>
  <c r="J1074" i="15"/>
  <c r="I1055" i="15"/>
  <c r="K1037" i="15"/>
  <c r="G1138" i="15"/>
  <c r="J1112" i="15"/>
  <c r="K1084" i="15"/>
  <c r="I1051" i="15"/>
  <c r="I1029" i="15"/>
  <c r="G1010" i="15"/>
  <c r="J992" i="15"/>
  <c r="J976" i="15"/>
  <c r="G1115" i="15"/>
  <c r="J1094" i="15"/>
  <c r="G1061" i="15"/>
  <c r="J1040" i="15"/>
  <c r="K1022" i="15"/>
  <c r="K1006" i="15"/>
  <c r="K990" i="15"/>
  <c r="K974" i="15"/>
  <c r="K1121" i="15"/>
  <c r="G1091" i="15"/>
  <c r="J1070" i="15"/>
  <c r="G1037" i="15"/>
  <c r="J1020" i="15"/>
  <c r="J1004" i="15"/>
  <c r="J988" i="15"/>
  <c r="K1129" i="15"/>
  <c r="J1088" i="15"/>
  <c r="I1035" i="15"/>
  <c r="G1004" i="15"/>
  <c r="J983" i="15"/>
  <c r="I963" i="15"/>
  <c r="I947" i="15"/>
  <c r="I931" i="15"/>
  <c r="K1120" i="15"/>
  <c r="K1083" i="15"/>
  <c r="J1051" i="15"/>
  <c r="J1120" i="15"/>
  <c r="K1054" i="15"/>
  <c r="J1021" i="15"/>
  <c r="G993" i="15"/>
  <c r="J972" i="15"/>
  <c r="J956" i="15"/>
  <c r="J940" i="15"/>
  <c r="J924" i="15"/>
  <c r="I1085" i="15"/>
  <c r="J1027" i="15"/>
  <c r="G992" i="15"/>
  <c r="K962" i="15"/>
  <c r="J939" i="15"/>
  <c r="I921" i="15"/>
  <c r="G1131" i="15"/>
  <c r="K1070" i="15"/>
  <c r="J1015" i="15"/>
  <c r="J978" i="15"/>
  <c r="G956" i="15"/>
  <c r="K932" i="15"/>
  <c r="I916" i="15"/>
  <c r="J1101" i="15"/>
  <c r="K1036" i="15"/>
  <c r="K1000" i="15"/>
  <c r="I970" i="15"/>
  <c r="K946" i="15"/>
  <c r="K923" i="15"/>
  <c r="K1139" i="15"/>
  <c r="I1074" i="15"/>
  <c r="J1064" i="15"/>
  <c r="G1001" i="15"/>
  <c r="K957" i="15"/>
  <c r="G927" i="15"/>
  <c r="I1128" i="15"/>
  <c r="G1017" i="15"/>
  <c r="I974" i="15"/>
  <c r="K936" i="15"/>
  <c r="J1126" i="15"/>
  <c r="K1021" i="15"/>
  <c r="I967" i="15"/>
  <c r="J936" i="15"/>
  <c r="G1139" i="15"/>
  <c r="I1015" i="15"/>
  <c r="G970" i="15"/>
  <c r="G929" i="15"/>
  <c r="I1123" i="15"/>
  <c r="I1020" i="15"/>
  <c r="G963" i="15"/>
  <c r="G932" i="15"/>
  <c r="G1122" i="15"/>
  <c r="G1020" i="15"/>
  <c r="J969" i="15"/>
  <c r="J938" i="15"/>
  <c r="G912" i="15"/>
  <c r="G909" i="15"/>
  <c r="G919" i="15"/>
  <c r="G941" i="15"/>
  <c r="J951" i="15"/>
  <c r="I1106" i="15"/>
  <c r="I1018" i="15"/>
  <c r="L804" i="15"/>
  <c r="H1022" i="15"/>
  <c r="H922" i="15"/>
  <c r="H804" i="15"/>
  <c r="H682" i="15"/>
  <c r="H580" i="15"/>
  <c r="L666" i="15"/>
  <c r="H1023" i="15"/>
  <c r="H887" i="15"/>
  <c r="H747" i="15"/>
  <c r="H599" i="15"/>
  <c r="L936" i="15"/>
  <c r="L726" i="15"/>
  <c r="L574" i="15"/>
  <c r="H1109" i="15"/>
  <c r="H1049" i="15"/>
  <c r="H993" i="15"/>
  <c r="H949" i="15"/>
  <c r="H893" i="15"/>
  <c r="H845" i="15"/>
  <c r="H793" i="15"/>
  <c r="H737" i="15"/>
  <c r="H693" i="15"/>
  <c r="H637" i="15"/>
  <c r="H589" i="15"/>
  <c r="H537" i="15"/>
  <c r="K1143" i="15"/>
  <c r="I1121" i="15"/>
  <c r="J1100" i="15"/>
  <c r="K1079" i="15"/>
  <c r="I1057" i="15"/>
  <c r="J1036" i="15"/>
  <c r="G1137" i="15"/>
  <c r="K1114" i="15"/>
  <c r="I1092" i="15"/>
  <c r="G1073" i="15"/>
  <c r="K1050" i="15"/>
  <c r="G1140" i="15"/>
  <c r="J1122" i="15"/>
  <c r="I1103" i="15"/>
  <c r="K1085" i="15"/>
  <c r="G1068" i="15"/>
  <c r="J1050" i="15"/>
  <c r="I1031" i="15"/>
  <c r="I1125" i="15"/>
  <c r="J1102" i="15"/>
  <c r="I1066" i="15"/>
  <c r="J1043" i="15"/>
  <c r="I1021" i="15"/>
  <c r="K1003" i="15"/>
  <c r="G986" i="15"/>
  <c r="G1130" i="15"/>
  <c r="I1107" i="15"/>
  <c r="K1086" i="15"/>
  <c r="I1053" i="15"/>
  <c r="J1033" i="15"/>
  <c r="I1016" i="15"/>
  <c r="I1000" i="15"/>
  <c r="I984" i="15"/>
  <c r="K1136" i="15"/>
  <c r="G1106" i="15"/>
  <c r="I1083" i="15"/>
  <c r="L623" i="15"/>
  <c r="H1134" i="15"/>
  <c r="H894" i="15"/>
  <c r="H676" i="15"/>
  <c r="L546" i="15"/>
  <c r="H847" i="15"/>
  <c r="H575" i="15"/>
  <c r="L670" i="15"/>
  <c r="H1097" i="15"/>
  <c r="H989" i="15"/>
  <c r="H889" i="15"/>
  <c r="H789" i="15"/>
  <c r="H685" i="15"/>
  <c r="H577" i="15"/>
  <c r="G1118" i="15"/>
  <c r="J1084" i="15"/>
  <c r="J1052" i="15"/>
  <c r="K1138" i="15"/>
  <c r="K1106" i="15"/>
  <c r="J1071" i="15"/>
  <c r="I1036" i="15"/>
  <c r="K1117" i="15"/>
  <c r="I1087" i="15"/>
  <c r="G1060" i="15"/>
  <c r="G1028" i="15"/>
  <c r="I1110" i="15"/>
  <c r="I1061" i="15"/>
  <c r="G1025" i="15"/>
  <c r="K995" i="15"/>
  <c r="G1125" i="15"/>
  <c r="K1091" i="15"/>
  <c r="I1048" i="15"/>
  <c r="J1019" i="15"/>
  <c r="J995" i="15"/>
  <c r="J1134" i="15"/>
  <c r="I1088" i="15"/>
  <c r="K1057" i="15"/>
  <c r="G1024" i="15"/>
  <c r="K999" i="15"/>
  <c r="J980" i="15"/>
  <c r="J1105" i="15"/>
  <c r="K1028" i="15"/>
  <c r="K993" i="15"/>
  <c r="G968" i="15"/>
  <c r="G944" i="15"/>
  <c r="I1141" i="15"/>
  <c r="K1092" i="15"/>
  <c r="G1035" i="15"/>
  <c r="J1083" i="15"/>
  <c r="K1027" i="15"/>
  <c r="G988" i="15"/>
  <c r="J964" i="15"/>
  <c r="K943" i="15"/>
  <c r="I1131" i="15"/>
  <c r="K1065" i="15"/>
  <c r="K1005" i="15"/>
  <c r="G969" i="15"/>
  <c r="J943" i="15"/>
  <c r="K924" i="15"/>
  <c r="J1123" i="15"/>
  <c r="G1045" i="15"/>
  <c r="I1002" i="15"/>
  <c r="K964" i="15"/>
  <c r="I943" i="15"/>
  <c r="G921" i="15"/>
  <c r="K1107" i="15"/>
  <c r="I1030" i="15"/>
  <c r="I994" i="15"/>
  <c r="J957" i="15"/>
  <c r="I938" i="15"/>
  <c r="G914" i="15"/>
  <c r="G1087" i="15"/>
  <c r="I1077" i="15"/>
  <c r="G996" i="15"/>
  <c r="J947" i="15"/>
  <c r="G916" i="15"/>
  <c r="J1062" i="15"/>
  <c r="K989" i="15"/>
  <c r="G947" i="15"/>
  <c r="I1139" i="15"/>
  <c r="K1016" i="15"/>
  <c r="I960" i="15"/>
  <c r="I923" i="15"/>
  <c r="J1073" i="15"/>
  <c r="J982" i="15"/>
  <c r="K939" i="15"/>
  <c r="G1136" i="15"/>
  <c r="G1015" i="15"/>
  <c r="K952" i="15"/>
  <c r="G920" i="15"/>
  <c r="J1069" i="15"/>
  <c r="K986" i="15"/>
  <c r="K948" i="15"/>
  <c r="J914" i="15"/>
  <c r="K1078" i="15"/>
  <c r="J986" i="15"/>
  <c r="G1067" i="15"/>
  <c r="K1001" i="15"/>
  <c r="I948" i="15"/>
  <c r="K921" i="15"/>
  <c r="J858" i="15"/>
  <c r="J703" i="15"/>
  <c r="J832" i="15"/>
  <c r="J557" i="15"/>
  <c r="L932" i="15"/>
  <c r="H1108" i="15"/>
  <c r="H890" i="15"/>
  <c r="H666" i="15"/>
  <c r="H1083" i="15"/>
  <c r="H783" i="15"/>
  <c r="L1053" i="15"/>
  <c r="L614" i="15"/>
  <c r="H1089" i="15"/>
  <c r="H985" i="15"/>
  <c r="H885" i="15"/>
  <c r="H781" i="15"/>
  <c r="H673" i="15"/>
  <c r="H573" i="15"/>
  <c r="J1116" i="15"/>
  <c r="I1081" i="15"/>
  <c r="I1049" i="15"/>
  <c r="J1135" i="15"/>
  <c r="K1098" i="15"/>
  <c r="K1066" i="15"/>
  <c r="I1143" i="15"/>
  <c r="G1116" i="15"/>
  <c r="G1084" i="15"/>
  <c r="K1053" i="15"/>
  <c r="J1026" i="15"/>
  <c r="K1104" i="15"/>
  <c r="G1059" i="15"/>
  <c r="K1019" i="15"/>
  <c r="I989" i="15"/>
  <c r="I1122" i="15"/>
  <c r="J1089" i="15"/>
  <c r="J1045" i="15"/>
  <c r="K1014" i="15"/>
  <c r="G989" i="15"/>
  <c r="K1131" i="15"/>
  <c r="J1085" i="15"/>
  <c r="K1052" i="15"/>
  <c r="I1017" i="15"/>
  <c r="G998" i="15"/>
  <c r="J1141" i="15"/>
  <c r="I1080" i="15"/>
  <c r="J1025" i="15"/>
  <c r="I991" i="15"/>
  <c r="K961" i="15"/>
  <c r="J942" i="15"/>
  <c r="J1137" i="15"/>
  <c r="G1080" i="15"/>
  <c r="G1141" i="15"/>
  <c r="I1075" i="15"/>
  <c r="K1018" i="15"/>
  <c r="J985" i="15"/>
  <c r="I961" i="15"/>
  <c r="I937" i="15"/>
  <c r="K1123" i="15"/>
  <c r="G1058" i="15"/>
  <c r="J1002" i="15"/>
  <c r="G967" i="15"/>
  <c r="J941" i="15"/>
  <c r="K919" i="15"/>
  <c r="I1118" i="15"/>
  <c r="J1037" i="15"/>
  <c r="J998" i="15"/>
  <c r="J962" i="15"/>
  <c r="I941" i="15"/>
  <c r="J919" i="15"/>
  <c r="K1088" i="15"/>
  <c r="K1025" i="15"/>
  <c r="I990" i="15"/>
  <c r="J955" i="15"/>
  <c r="I936" i="15"/>
  <c r="J912" i="15"/>
  <c r="J1081" i="15"/>
  <c r="L884" i="15"/>
  <c r="H1060" i="15"/>
  <c r="H836" i="15"/>
  <c r="H596" i="15"/>
  <c r="H1067" i="15"/>
  <c r="H751" i="15"/>
  <c r="L984" i="15"/>
  <c r="L590" i="15"/>
  <c r="H1057" i="15"/>
  <c r="H957" i="15"/>
  <c r="H857" i="15"/>
  <c r="H757" i="15"/>
  <c r="H653" i="15"/>
  <c r="H545" i="15"/>
  <c r="I1113" i="15"/>
  <c r="G1078" i="15"/>
  <c r="I1041" i="15"/>
  <c r="K1130" i="15"/>
  <c r="J1095" i="15"/>
  <c r="J1063" i="15"/>
  <c r="J1138" i="15"/>
  <c r="G1108" i="15"/>
  <c r="J1082" i="15"/>
  <c r="G1052" i="15"/>
  <c r="I1023" i="15"/>
  <c r="K1099" i="15"/>
  <c r="J1048" i="15"/>
  <c r="G1018" i="15"/>
  <c r="K987" i="15"/>
  <c r="G1120" i="15"/>
  <c r="K1081" i="15"/>
  <c r="I1038" i="15"/>
  <c r="G1013" i="15"/>
  <c r="J987" i="15"/>
  <c r="J1129" i="15"/>
  <c r="J1080" i="15"/>
  <c r="G1047" i="15"/>
  <c r="K1015" i="15"/>
  <c r="J996" i="15"/>
  <c r="K1137" i="15"/>
  <c r="I1072" i="15"/>
  <c r="I1019" i="15"/>
  <c r="K988" i="15"/>
  <c r="G960" i="15"/>
  <c r="I939" i="15"/>
  <c r="I1133" i="15"/>
  <c r="K1075" i="15"/>
  <c r="J1136" i="15"/>
  <c r="I1067" i="15"/>
  <c r="G1016" i="15"/>
  <c r="G983" i="15"/>
  <c r="K959" i="15"/>
  <c r="K935" i="15"/>
  <c r="J1118" i="15"/>
  <c r="I1045" i="15"/>
  <c r="I999" i="15"/>
  <c r="G965" i="15"/>
  <c r="G937" i="15"/>
  <c r="G918" i="15"/>
  <c r="K1110" i="15"/>
  <c r="K1032" i="15"/>
  <c r="G995" i="15"/>
  <c r="J960" i="15"/>
  <c r="G939" i="15"/>
  <c r="K914" i="15"/>
  <c r="G1082" i="15"/>
  <c r="K1017" i="15"/>
  <c r="G987" i="15"/>
  <c r="G953" i="15"/>
  <c r="J927" i="15"/>
  <c r="I909" i="15"/>
  <c r="K1068" i="15"/>
  <c r="J1041" i="15"/>
  <c r="I979" i="15"/>
  <c r="K940" i="15"/>
  <c r="G911" i="15"/>
  <c r="I1040" i="15"/>
  <c r="G979" i="15"/>
  <c r="J933" i="15"/>
  <c r="I1099" i="15"/>
  <c r="J994" i="15"/>
  <c r="J953" i="15"/>
  <c r="I918" i="15"/>
  <c r="G1048" i="15"/>
  <c r="K973" i="15"/>
  <c r="K925" i="15"/>
  <c r="K1097" i="15"/>
  <c r="I987" i="15"/>
  <c r="G946" i="15"/>
  <c r="G915" i="15"/>
  <c r="K1044" i="15"/>
  <c r="K972" i="15"/>
  <c r="I935" i="15"/>
  <c r="J1093" i="15"/>
  <c r="G1093" i="15"/>
  <c r="G955" i="15"/>
  <c r="K1002" i="15"/>
  <c r="I951" i="15"/>
  <c r="G1053" i="15"/>
  <c r="J1131" i="15"/>
  <c r="J900" i="15"/>
  <c r="J715" i="15"/>
  <c r="J562" i="15"/>
  <c r="J544" i="15"/>
  <c r="J725" i="15"/>
  <c r="I898" i="15"/>
  <c r="I880" i="15"/>
  <c r="I858" i="15"/>
  <c r="I836" i="15"/>
  <c r="K893" i="15"/>
  <c r="K849" i="15"/>
  <c r="K818" i="15"/>
  <c r="K797" i="15"/>
  <c r="K776" i="15"/>
  <c r="K757" i="15"/>
  <c r="K736" i="15"/>
  <c r="K718" i="15"/>
  <c r="L704" i="15"/>
  <c r="H1050" i="15"/>
  <c r="H810" i="15"/>
  <c r="H590" i="15"/>
  <c r="H1019" i="15"/>
  <c r="H731" i="15"/>
  <c r="L904" i="15"/>
  <c r="L566" i="15"/>
  <c r="H1053" i="15"/>
  <c r="H953" i="15"/>
  <c r="H853" i="15"/>
  <c r="H749" i="15"/>
  <c r="H641" i="15"/>
  <c r="H541" i="15"/>
  <c r="G1142" i="15"/>
  <c r="I1105" i="15"/>
  <c r="I1073" i="15"/>
  <c r="G1038" i="15"/>
  <c r="J1127" i="15"/>
  <c r="K1090" i="15"/>
  <c r="G1057" i="15"/>
  <c r="I1135" i="15"/>
  <c r="J1106" i="15"/>
  <c r="I1079" i="15"/>
  <c r="I1047" i="15"/>
  <c r="G1133" i="15"/>
  <c r="J1097" i="15"/>
  <c r="I1046" i="15"/>
  <c r="I1013" i="15"/>
  <c r="J984" i="15"/>
  <c r="I1112" i="15"/>
  <c r="K1076" i="15"/>
  <c r="J1035" i="15"/>
  <c r="J1011" i="15"/>
  <c r="K982" i="15"/>
  <c r="K1116" i="15"/>
  <c r="I1078" i="15"/>
  <c r="K1034" i="15"/>
  <c r="G1014" i="15"/>
  <c r="I993" i="15"/>
  <c r="J1125" i="15"/>
  <c r="I1064" i="15"/>
  <c r="I1014" i="15"/>
  <c r="K978" i="15"/>
  <c r="J958" i="15"/>
  <c r="K937" i="15"/>
  <c r="K1112" i="15"/>
  <c r="G1072" i="15"/>
  <c r="K1132" i="15"/>
  <c r="I1050" i="15"/>
  <c r="K1013" i="15"/>
  <c r="I980" i="15"/>
  <c r="I953" i="15"/>
  <c r="G934" i="15"/>
  <c r="K1105" i="15"/>
  <c r="G1040" i="15"/>
  <c r="I995" i="15"/>
  <c r="K960" i="15"/>
  <c r="G935" i="15"/>
  <c r="J916" i="15"/>
  <c r="G1103" i="15"/>
  <c r="K1026" i="15"/>
  <c r="I988" i="15"/>
  <c r="I958" i="15"/>
  <c r="J930" i="15"/>
  <c r="G913" i="15"/>
  <c r="G1075" i="15"/>
  <c r="J1014" i="15"/>
  <c r="G980" i="15"/>
  <c r="G951" i="15"/>
  <c r="J925" i="15"/>
  <c r="I1134" i="15"/>
  <c r="J1061" i="15"/>
  <c r="K1030" i="15"/>
  <c r="G975" i="15"/>
  <c r="J937" i="15"/>
  <c r="K917" i="15"/>
  <c r="I1022" i="15"/>
  <c r="K970" i="15"/>
  <c r="G930" i="15"/>
  <c r="J1086" i="15"/>
  <c r="J989" i="15"/>
  <c r="I950" i="15"/>
  <c r="J915" i="15"/>
  <c r="K1020" i="15"/>
  <c r="L696" i="15"/>
  <c r="H1018" i="15"/>
  <c r="H794" i="15"/>
  <c r="H554" i="15"/>
  <c r="H1003" i="15"/>
  <c r="H699" i="15"/>
  <c r="L888" i="15"/>
  <c r="L550" i="15"/>
  <c r="H1045" i="15"/>
  <c r="H941" i="15"/>
  <c r="H833" i="15"/>
  <c r="H733" i="15"/>
  <c r="H633" i="15"/>
  <c r="I1137" i="15"/>
  <c r="G1102" i="15"/>
  <c r="G1070" i="15"/>
  <c r="I1033" i="15"/>
  <c r="G1121" i="15"/>
  <c r="G1089" i="15"/>
  <c r="J1055" i="15"/>
  <c r="K1133" i="15"/>
  <c r="K1101" i="15"/>
  <c r="I1071" i="15"/>
  <c r="G1044" i="15"/>
  <c r="I1130" i="15"/>
  <c r="K1094" i="15"/>
  <c r="K1040" i="15"/>
  <c r="J1008" i="15"/>
  <c r="I981" i="15"/>
  <c r="J1109" i="15"/>
  <c r="G1071" i="15"/>
  <c r="G1031" i="15"/>
  <c r="G1005" i="15"/>
  <c r="G981" i="15"/>
  <c r="G1111" i="15"/>
  <c r="J1075" i="15"/>
  <c r="J1032" i="15"/>
  <c r="J1012" i="15"/>
  <c r="K991" i="15"/>
  <c r="J1121" i="15"/>
  <c r="K1059" i="15"/>
  <c r="G1009" i="15"/>
  <c r="K976" i="15"/>
  <c r="I955" i="15"/>
  <c r="G936" i="15"/>
  <c r="K1108" i="15"/>
  <c r="J1067" i="15"/>
  <c r="J1128" i="15"/>
  <c r="K1046" i="15"/>
  <c r="L567" i="15"/>
  <c r="L536" i="15"/>
  <c r="H938" i="15"/>
  <c r="H718" i="15"/>
  <c r="L674" i="15"/>
  <c r="H895" i="15"/>
  <c r="H631" i="15"/>
  <c r="L734" i="15"/>
  <c r="H1121" i="15"/>
  <c r="H1013" i="15"/>
  <c r="H909" i="15"/>
  <c r="H801" i="15"/>
  <c r="H701" i="15"/>
  <c r="H601" i="15"/>
  <c r="K1127" i="15"/>
  <c r="K1095" i="15"/>
  <c r="G1062" i="15"/>
  <c r="G1030" i="15"/>
  <c r="J1111" i="15"/>
  <c r="I1076" i="15"/>
  <c r="I1044" i="15"/>
  <c r="G1124" i="15"/>
  <c r="J1098" i="15"/>
  <c r="J1066" i="15"/>
  <c r="G1036" i="15"/>
  <c r="I1120" i="15"/>
  <c r="G1069" i="15"/>
  <c r="K1035" i="15"/>
  <c r="G1002" i="15"/>
  <c r="K1140" i="15"/>
  <c r="I1102" i="15"/>
  <c r="G1056" i="15"/>
  <c r="G1027" i="15"/>
  <c r="K998" i="15"/>
  <c r="I1142" i="15"/>
  <c r="I1098" i="15"/>
  <c r="J1065" i="15"/>
  <c r="L588" i="15"/>
  <c r="H907" i="15"/>
  <c r="H1037" i="15"/>
  <c r="H629" i="15"/>
  <c r="I1140" i="15"/>
  <c r="I1119" i="15"/>
  <c r="J1117" i="15"/>
  <c r="G1135" i="15"/>
  <c r="G997" i="15"/>
  <c r="I1028" i="15"/>
  <c r="G1117" i="15"/>
  <c r="I996" i="15"/>
  <c r="G928" i="15"/>
  <c r="G1112" i="15"/>
  <c r="I1003" i="15"/>
  <c r="J948" i="15"/>
  <c r="J1078" i="15"/>
  <c r="J973" i="15"/>
  <c r="K928" i="15"/>
  <c r="J1077" i="15"/>
  <c r="I973" i="15"/>
  <c r="I924" i="15"/>
  <c r="J1056" i="15"/>
  <c r="I968" i="15"/>
  <c r="I917" i="15"/>
  <c r="K1115" i="15"/>
  <c r="K971" i="15"/>
  <c r="K918" i="15"/>
  <c r="I1006" i="15"/>
  <c r="G940" i="15"/>
  <c r="I1037" i="15"/>
  <c r="J946" i="15"/>
  <c r="I1086" i="15"/>
  <c r="J963" i="15"/>
  <c r="K912" i="15"/>
  <c r="K1009" i="15"/>
  <c r="K938" i="15"/>
  <c r="G1095" i="15"/>
  <c r="J981" i="15"/>
  <c r="I928" i="15"/>
  <c r="J931" i="15"/>
  <c r="K968" i="15"/>
  <c r="J965" i="15"/>
  <c r="G976" i="15"/>
  <c r="I911" i="15"/>
  <c r="J884" i="15"/>
  <c r="J651" i="15"/>
  <c r="J743" i="15"/>
  <c r="J777" i="15"/>
  <c r="J837" i="15"/>
  <c r="J805" i="15"/>
  <c r="I896" i="15"/>
  <c r="I872" i="15"/>
  <c r="I848" i="15"/>
  <c r="K905" i="15"/>
  <c r="K861" i="15"/>
  <c r="K821" i="15"/>
  <c r="K795" i="15"/>
  <c r="K771" i="15"/>
  <c r="K747" i="15"/>
  <c r="K725" i="15"/>
  <c r="K707" i="15"/>
  <c r="K880" i="15"/>
  <c r="I817" i="15"/>
  <c r="I791" i="15"/>
  <c r="I759" i="15"/>
  <c r="I735" i="15"/>
  <c r="I709" i="15"/>
  <c r="K689" i="15"/>
  <c r="K678" i="15"/>
  <c r="K664" i="15"/>
  <c r="K652" i="15"/>
  <c r="K639" i="15"/>
  <c r="K625" i="15"/>
  <c r="K614" i="15"/>
  <c r="K600" i="15"/>
  <c r="K588" i="15"/>
  <c r="K575" i="15"/>
  <c r="K561" i="15"/>
  <c r="K551" i="15"/>
  <c r="K542" i="15"/>
  <c r="K874" i="15"/>
  <c r="I818" i="15"/>
  <c r="I786" i="15"/>
  <c r="I754" i="15"/>
  <c r="I722" i="15"/>
  <c r="I694" i="15"/>
  <c r="I678" i="15"/>
  <c r="I662" i="15"/>
  <c r="I646" i="15"/>
  <c r="I630" i="15"/>
  <c r="I614" i="15"/>
  <c r="I598" i="15"/>
  <c r="I582" i="15"/>
  <c r="H855" i="15"/>
  <c r="H1005" i="15"/>
  <c r="H597" i="15"/>
  <c r="G1134" i="15"/>
  <c r="J1119" i="15"/>
  <c r="G1100" i="15"/>
  <c r="G1074" i="15"/>
  <c r="J1104" i="15"/>
  <c r="J979" i="15"/>
  <c r="G1026" i="15"/>
  <c r="J1113" i="15"/>
  <c r="J974" i="15"/>
  <c r="J926" i="15"/>
  <c r="G1104" i="15"/>
  <c r="J990" i="15"/>
  <c r="I945" i="15"/>
  <c r="J1072" i="15"/>
  <c r="J971" i="15"/>
  <c r="K926" i="15"/>
  <c r="K1064" i="15"/>
  <c r="G971" i="15"/>
  <c r="K922" i="15"/>
  <c r="J1049" i="15"/>
  <c r="J959" i="15"/>
  <c r="K915" i="15"/>
  <c r="G1090" i="15"/>
  <c r="I964" i="15"/>
  <c r="K913" i="15"/>
  <c r="G1000" i="15"/>
  <c r="J923" i="15"/>
  <c r="J1029" i="15"/>
  <c r="G943" i="15"/>
  <c r="K1060" i="15"/>
  <c r="K956" i="15"/>
  <c r="I910" i="15"/>
  <c r="I982" i="15"/>
  <c r="J935" i="15"/>
  <c r="I1082" i="15"/>
  <c r="K965" i="15"/>
  <c r="G925" i="15"/>
  <c r="I919" i="15"/>
  <c r="K941" i="15"/>
  <c r="G938" i="15"/>
  <c r="G962" i="15"/>
  <c r="I1007" i="15"/>
  <c r="J852" i="15"/>
  <c r="J735" i="15"/>
  <c r="J560" i="15"/>
  <c r="J709" i="15"/>
  <c r="J646" i="15"/>
  <c r="J821" i="15"/>
  <c r="J582" i="15"/>
  <c r="I892" i="15"/>
  <c r="I871" i="15"/>
  <c r="I847" i="15"/>
  <c r="K903" i="15"/>
  <c r="K855" i="15"/>
  <c r="K813" i="15"/>
  <c r="K793" i="15"/>
  <c r="K770" i="15"/>
  <c r="K746" i="15"/>
  <c r="K723" i="15"/>
  <c r="K704" i="15"/>
  <c r="K876" i="15"/>
  <c r="I813" i="15"/>
  <c r="I787" i="15"/>
  <c r="I757" i="15"/>
  <c r="I729" i="15"/>
  <c r="I707" i="15"/>
  <c r="K688" i="15"/>
  <c r="K676" i="15"/>
  <c r="K663" i="15"/>
  <c r="K649" i="15"/>
  <c r="K638" i="15"/>
  <c r="K624" i="15"/>
  <c r="K612" i="15"/>
  <c r="K599" i="15"/>
  <c r="K585" i="15"/>
  <c r="K574" i="15"/>
  <c r="K560" i="15"/>
  <c r="K550" i="15"/>
  <c r="K541" i="15"/>
  <c r="K866" i="15"/>
  <c r="I814" i="15"/>
  <c r="I782" i="15"/>
  <c r="I750" i="15"/>
  <c r="I718" i="15"/>
  <c r="I692" i="15"/>
  <c r="I676" i="15"/>
  <c r="I660" i="15"/>
  <c r="I644" i="15"/>
  <c r="I628" i="15"/>
  <c r="I612" i="15"/>
  <c r="I596" i="15"/>
  <c r="I580" i="15"/>
  <c r="I564" i="15"/>
  <c r="I548" i="15"/>
  <c r="H1006" i="15"/>
  <c r="H639" i="15"/>
  <c r="H929" i="15"/>
  <c r="G1126" i="15"/>
  <c r="I1108" i="15"/>
  <c r="J1090" i="15"/>
  <c r="G1064" i="15"/>
  <c r="J1099" i="15"/>
  <c r="J1139" i="15"/>
  <c r="I1009" i="15"/>
  <c r="G1109" i="15"/>
  <c r="I971" i="15"/>
  <c r="I1104" i="15"/>
  <c r="J1091" i="15"/>
  <c r="I978" i="15"/>
  <c r="J932" i="15"/>
  <c r="G1033" i="15"/>
  <c r="K958" i="15"/>
  <c r="I913" i="15"/>
  <c r="J1022" i="15"/>
  <c r="G954" i="15"/>
  <c r="J911" i="15"/>
  <c r="K1010" i="15"/>
  <c r="G949" i="15"/>
  <c r="G1114" i="15"/>
  <c r="G1050" i="15"/>
  <c r="G961" i="15"/>
  <c r="J1142" i="15"/>
  <c r="K994" i="15"/>
  <c r="J918" i="15"/>
  <c r="J1010" i="15"/>
  <c r="I933" i="15"/>
  <c r="I1010" i="15"/>
  <c r="J949" i="15"/>
  <c r="J1110" i="15"/>
  <c r="G977" i="15"/>
  <c r="I925" i="15"/>
  <c r="K1056" i="15"/>
  <c r="I962" i="15"/>
  <c r="I922" i="15"/>
  <c r="J968" i="15"/>
  <c r="I1032" i="15"/>
  <c r="I914" i="15"/>
  <c r="K934" i="15"/>
  <c r="K954" i="15"/>
  <c r="J684" i="15"/>
  <c r="J543" i="15"/>
  <c r="J878" i="15"/>
  <c r="J854" i="15"/>
  <c r="J726" i="15"/>
  <c r="J774" i="15"/>
  <c r="I888" i="15"/>
  <c r="I866" i="15"/>
  <c r="I844" i="15"/>
  <c r="K897" i="15"/>
  <c r="K845" i="15"/>
  <c r="K811" i="15"/>
  <c r="K787" i="15"/>
  <c r="K768" i="15"/>
  <c r="K745" i="15"/>
  <c r="K722" i="15"/>
  <c r="K702" i="15"/>
  <c r="K864" i="15"/>
  <c r="I811" i="15"/>
  <c r="I779" i="15"/>
  <c r="I755" i="15"/>
  <c r="I727" i="15"/>
  <c r="I703" i="15"/>
  <c r="K687" i="15"/>
  <c r="K673" i="15"/>
  <c r="K662" i="15"/>
  <c r="K648" i="15"/>
  <c r="K636" i="15"/>
  <c r="K623" i="15"/>
  <c r="K609" i="15"/>
  <c r="K598" i="15"/>
  <c r="K584" i="15"/>
  <c r="K572" i="15"/>
  <c r="K559" i="15"/>
  <c r="K549" i="15"/>
  <c r="K540" i="15"/>
  <c r="K858" i="15"/>
  <c r="I810" i="15"/>
  <c r="I778" i="15"/>
  <c r="I746" i="15"/>
  <c r="I714" i="15"/>
  <c r="I690" i="15"/>
  <c r="I674" i="15"/>
  <c r="I658" i="15"/>
  <c r="I642" i="15"/>
  <c r="I626" i="15"/>
  <c r="I610" i="15"/>
  <c r="I594" i="15"/>
  <c r="I578" i="15"/>
  <c r="I562" i="15"/>
  <c r="I546" i="15"/>
  <c r="H932" i="15"/>
  <c r="H591" i="15"/>
  <c r="H897" i="15"/>
  <c r="I1097" i="15"/>
  <c r="J1087" i="15"/>
  <c r="K1069" i="15"/>
  <c r="J1038" i="15"/>
  <c r="I1058" i="15"/>
  <c r="G1101" i="15"/>
  <c r="K1007" i="15"/>
  <c r="K1051" i="15"/>
  <c r="K969" i="15"/>
  <c r="K1100" i="15"/>
  <c r="I1042" i="15"/>
  <c r="I969" i="15"/>
  <c r="I929" i="15"/>
  <c r="G1023" i="15"/>
  <c r="I956" i="15"/>
  <c r="K911" i="15"/>
  <c r="G1019" i="15"/>
  <c r="K949" i="15"/>
  <c r="K1134" i="15"/>
  <c r="J1007" i="15"/>
  <c r="K944" i="15"/>
  <c r="G1107" i="15"/>
  <c r="J1023" i="15"/>
  <c r="J954" i="15"/>
  <c r="J1115" i="15"/>
  <c r="G984" i="15"/>
  <c r="J913" i="15"/>
  <c r="I983" i="15"/>
  <c r="J929" i="15"/>
  <c r="K1004" i="15"/>
  <c r="I946" i="15"/>
  <c r="G1083" i="15"/>
  <c r="G973" i="15"/>
  <c r="J922" i="15"/>
  <c r="G1034" i="15"/>
  <c r="G959" i="15"/>
  <c r="G917" i="15"/>
  <c r="K1041" i="15"/>
  <c r="K985" i="15"/>
  <c r="K1118" i="15"/>
  <c r="K996" i="15"/>
  <c r="I927" i="15"/>
  <c r="J906" i="15"/>
  <c r="J702" i="15"/>
  <c r="J728" i="15"/>
  <c r="I887" i="15"/>
  <c r="I863" i="15"/>
  <c r="I841" i="15"/>
  <c r="K889" i="15"/>
  <c r="K843" i="15"/>
  <c r="K810" i="15"/>
  <c r="K786" i="15"/>
  <c r="K762" i="15"/>
  <c r="K741" i="15"/>
  <c r="K721" i="15"/>
  <c r="K701" i="15"/>
  <c r="K848" i="15"/>
  <c r="I809" i="15"/>
  <c r="I777" i="15"/>
  <c r="I751" i="15"/>
  <c r="I725" i="15"/>
  <c r="K697" i="15"/>
  <c r="K686" i="15"/>
  <c r="K672" i="15"/>
  <c r="K660" i="15"/>
  <c r="K647" i="15"/>
  <c r="K633" i="15"/>
  <c r="K622" i="15"/>
  <c r="K608" i="15"/>
  <c r="K596" i="15"/>
  <c r="K583" i="15"/>
  <c r="K569" i="15"/>
  <c r="K558" i="15"/>
  <c r="K548" i="15"/>
  <c r="K539" i="15"/>
  <c r="H766" i="15"/>
  <c r="L742" i="15"/>
  <c r="H829" i="15"/>
  <c r="G1094" i="15"/>
  <c r="K1074" i="15"/>
  <c r="I1063" i="15"/>
  <c r="I1027" i="15"/>
  <c r="G1051" i="15"/>
  <c r="G1096" i="15"/>
  <c r="I1001" i="15"/>
  <c r="K1043" i="15"/>
  <c r="K953" i="15"/>
  <c r="I1096" i="15"/>
  <c r="K1038" i="15"/>
  <c r="K967" i="15"/>
  <c r="K927" i="15"/>
  <c r="K1012" i="15"/>
  <c r="I954" i="15"/>
  <c r="G910" i="15"/>
  <c r="I1012" i="15"/>
  <c r="K947" i="15"/>
  <c r="G1127" i="15"/>
  <c r="I1004" i="15"/>
  <c r="K942" i="15"/>
  <c r="I1101" i="15"/>
  <c r="J1017" i="15"/>
  <c r="I944" i="15"/>
  <c r="K1102" i="15"/>
  <c r="J967" i="15"/>
  <c r="K910" i="15"/>
  <c r="K977" i="15"/>
  <c r="K920" i="15"/>
  <c r="J999" i="15"/>
  <c r="I932" i="15"/>
  <c r="I1070" i="15"/>
  <c r="I966" i="15"/>
  <c r="J917" i="15"/>
  <c r="G1008" i="15"/>
  <c r="K955" i="15"/>
  <c r="J909" i="15"/>
  <c r="G991" i="15"/>
  <c r="K916" i="15"/>
  <c r="I965" i="15"/>
  <c r="I975" i="15"/>
  <c r="J740" i="15"/>
  <c r="J730" i="15"/>
  <c r="J590" i="15"/>
  <c r="I908" i="15"/>
  <c r="I884" i="15"/>
  <c r="I860" i="15"/>
  <c r="I834" i="15"/>
  <c r="K877" i="15"/>
  <c r="K839" i="15"/>
  <c r="K809" i="15"/>
  <c r="K785" i="15"/>
  <c r="K761" i="15"/>
  <c r="K737" i="15"/>
  <c r="K714" i="15"/>
  <c r="K699" i="15"/>
  <c r="K844" i="15"/>
  <c r="I805" i="15"/>
  <c r="I775" i="15"/>
  <c r="I745" i="15"/>
  <c r="I723" i="15"/>
  <c r="K696" i="15"/>
  <c r="K684" i="15"/>
  <c r="K671" i="15"/>
  <c r="K657" i="15"/>
  <c r="K646" i="15"/>
  <c r="K632" i="15"/>
  <c r="K620" i="15"/>
  <c r="K607" i="15"/>
  <c r="K593" i="15"/>
  <c r="K582" i="15"/>
  <c r="K568" i="15"/>
  <c r="K557" i="15"/>
  <c r="K547" i="15"/>
  <c r="K537" i="15"/>
  <c r="K906" i="15"/>
  <c r="K842" i="15"/>
  <c r="I802" i="15"/>
  <c r="I770" i="15"/>
  <c r="I738" i="15"/>
  <c r="I706" i="15"/>
  <c r="I686" i="15"/>
  <c r="H548" i="15"/>
  <c r="L768" i="15"/>
  <c r="H729" i="15"/>
  <c r="G1054" i="15"/>
  <c r="K1042" i="15"/>
  <c r="J1034" i="15"/>
  <c r="I997" i="15"/>
  <c r="G1021" i="15"/>
  <c r="K1062" i="15"/>
  <c r="K983" i="15"/>
  <c r="J1001" i="15"/>
  <c r="K945" i="15"/>
  <c r="J1059" i="15"/>
  <c r="G1011" i="15"/>
  <c r="K951" i="15"/>
  <c r="G1098" i="15"/>
  <c r="G985" i="15"/>
  <c r="G933" i="15"/>
  <c r="I1090" i="15"/>
  <c r="K981" i="15"/>
  <c r="J928" i="15"/>
  <c r="I1069" i="15"/>
  <c r="I977" i="15"/>
  <c r="G922" i="15"/>
  <c r="J1054" i="15"/>
  <c r="G1007" i="15"/>
  <c r="I930" i="15"/>
  <c r="K1049" i="15"/>
  <c r="I957" i="15"/>
  <c r="K1073" i="15"/>
  <c r="K963" i="15"/>
  <c r="I1126" i="15"/>
  <c r="J977" i="15"/>
  <c r="I920" i="15"/>
  <c r="J1046" i="15"/>
  <c r="I949" i="15"/>
  <c r="K909" i="15"/>
  <c r="K997" i="15"/>
  <c r="G945" i="15"/>
  <c r="J991" i="15"/>
  <c r="G931" i="15"/>
  <c r="J1024" i="15"/>
  <c r="I1054" i="15"/>
  <c r="G948" i="15"/>
  <c r="J785" i="15"/>
  <c r="J685" i="15"/>
  <c r="J566" i="15"/>
  <c r="I900" i="15"/>
  <c r="I874" i="15"/>
  <c r="I855" i="15"/>
  <c r="I832" i="15"/>
  <c r="K873" i="15"/>
  <c r="K825" i="15"/>
  <c r="K801" i="15"/>
  <c r="K779" i="15"/>
  <c r="K754" i="15"/>
  <c r="K731" i="15"/>
  <c r="K712" i="15"/>
  <c r="K892" i="15"/>
  <c r="K832" i="15"/>
  <c r="I795" i="15"/>
  <c r="I769" i="15"/>
  <c r="I741" i="15"/>
  <c r="I713" i="15"/>
  <c r="K694" i="15"/>
  <c r="K680" i="15"/>
  <c r="K668" i="15"/>
  <c r="K655" i="15"/>
  <c r="K641" i="15"/>
  <c r="K630" i="15"/>
  <c r="K616" i="15"/>
  <c r="K604" i="15"/>
  <c r="K591" i="15"/>
  <c r="K577" i="15"/>
  <c r="K566" i="15"/>
  <c r="K553" i="15"/>
  <c r="K544" i="15"/>
  <c r="K890" i="15"/>
  <c r="K826" i="15"/>
  <c r="I794" i="15"/>
  <c r="I762" i="15"/>
  <c r="I730" i="15"/>
  <c r="I698" i="15"/>
  <c r="I682" i="15"/>
  <c r="I666" i="15"/>
  <c r="J1047" i="15"/>
  <c r="K1067" i="15"/>
  <c r="G1063" i="15"/>
  <c r="J1009" i="15"/>
  <c r="J945" i="15"/>
  <c r="I1094" i="15"/>
  <c r="G964" i="15"/>
  <c r="J993" i="15"/>
  <c r="I912" i="15"/>
  <c r="J944" i="15"/>
  <c r="I857" i="15"/>
  <c r="K805" i="15"/>
  <c r="K713" i="15"/>
  <c r="I773" i="15"/>
  <c r="K681" i="15"/>
  <c r="K631" i="15"/>
  <c r="K580" i="15"/>
  <c r="K536" i="15"/>
  <c r="K882" i="15"/>
  <c r="I766" i="15"/>
  <c r="I688" i="15"/>
  <c r="I654" i="15"/>
  <c r="I632" i="15"/>
  <c r="I604" i="15"/>
  <c r="I576" i="15"/>
  <c r="I556" i="15"/>
  <c r="I536" i="15"/>
  <c r="K894" i="15"/>
  <c r="K830" i="15"/>
  <c r="I796" i="15"/>
  <c r="I764" i="15"/>
  <c r="I732" i="15"/>
  <c r="I683" i="15"/>
  <c r="I651" i="15"/>
  <c r="I619" i="15"/>
  <c r="I587" i="15"/>
  <c r="I555" i="15"/>
  <c r="I728" i="15"/>
  <c r="I681" i="15"/>
  <c r="I649" i="15"/>
  <c r="I617" i="15"/>
  <c r="I585" i="15"/>
  <c r="I553" i="15"/>
  <c r="G908" i="15"/>
  <c r="G897" i="15"/>
  <c r="G881" i="15"/>
  <c r="G865" i="15"/>
  <c r="G849" i="15"/>
  <c r="G833" i="15"/>
  <c r="G817" i="15"/>
  <c r="G801" i="15"/>
  <c r="G785" i="15"/>
  <c r="G769" i="15"/>
  <c r="G753" i="15"/>
  <c r="G737" i="15"/>
  <c r="G721" i="15"/>
  <c r="G705" i="15"/>
  <c r="G689" i="15"/>
  <c r="G673" i="15"/>
  <c r="G657" i="15"/>
  <c r="G641" i="15"/>
  <c r="G625" i="15"/>
  <c r="G609" i="15"/>
  <c r="G593" i="15"/>
  <c r="G577" i="15"/>
  <c r="G561" i="15"/>
  <c r="H708" i="15"/>
  <c r="L634" i="15"/>
  <c r="I1127" i="15"/>
  <c r="J1030" i="15"/>
  <c r="G1043" i="15"/>
  <c r="K975" i="15"/>
  <c r="I926" i="15"/>
  <c r="K1142" i="15"/>
  <c r="K950" i="15"/>
  <c r="K966" i="15"/>
  <c r="I1109" i="15"/>
  <c r="K1080" i="15"/>
  <c r="J574" i="15"/>
  <c r="J729" i="15"/>
  <c r="I849" i="15"/>
  <c r="K800" i="15"/>
  <c r="K710" i="15"/>
  <c r="I761" i="15"/>
  <c r="K679" i="15"/>
  <c r="K628" i="15"/>
  <c r="K576" i="15"/>
  <c r="K850" i="15"/>
  <c r="I758" i="15"/>
  <c r="I684" i="15"/>
  <c r="I652" i="15"/>
  <c r="I624" i="15"/>
  <c r="I602" i="15"/>
  <c r="I574" i="15"/>
  <c r="I554" i="15"/>
  <c r="K886" i="15"/>
  <c r="I824" i="15"/>
  <c r="I792" i="15"/>
  <c r="I760" i="15"/>
  <c r="I724" i="15"/>
  <c r="I679" i="15"/>
  <c r="I647" i="15"/>
  <c r="I615" i="15"/>
  <c r="I583" i="15"/>
  <c r="I551" i="15"/>
  <c r="I720" i="15"/>
  <c r="I677" i="15"/>
  <c r="I645" i="15"/>
  <c r="I613" i="15"/>
  <c r="I581" i="15"/>
  <c r="I549" i="15"/>
  <c r="G906" i="15"/>
  <c r="G895" i="15"/>
  <c r="G879" i="15"/>
  <c r="G863" i="15"/>
  <c r="G847" i="15"/>
  <c r="G831" i="15"/>
  <c r="G815" i="15"/>
  <c r="G799" i="15"/>
  <c r="G783" i="15"/>
  <c r="G767" i="15"/>
  <c r="G751" i="15"/>
  <c r="G735" i="15"/>
  <c r="G719" i="15"/>
  <c r="G703" i="15"/>
  <c r="G687" i="15"/>
  <c r="G671" i="15"/>
  <c r="G655" i="15"/>
  <c r="G639" i="15"/>
  <c r="G623" i="15"/>
  <c r="G607" i="15"/>
  <c r="G591" i="15"/>
  <c r="G575" i="15"/>
  <c r="G900" i="15"/>
  <c r="G868" i="15"/>
  <c r="G836" i="15"/>
  <c r="G804" i="15"/>
  <c r="G772" i="15"/>
  <c r="G740" i="15"/>
  <c r="G708" i="15"/>
  <c r="G676" i="15"/>
  <c r="G644" i="15"/>
  <c r="G612" i="15"/>
  <c r="G580" i="15"/>
  <c r="G553" i="15"/>
  <c r="G537" i="15"/>
  <c r="G862" i="15"/>
  <c r="G798" i="15"/>
  <c r="G734" i="15"/>
  <c r="G670" i="15"/>
  <c r="G606" i="15"/>
  <c r="G550" i="15"/>
  <c r="G858" i="15"/>
  <c r="G794" i="15"/>
  <c r="G730" i="15"/>
  <c r="G666" i="15"/>
  <c r="G602" i="15"/>
  <c r="G552" i="15"/>
  <c r="G873" i="15"/>
  <c r="G825" i="15"/>
  <c r="G777" i="15"/>
  <c r="G729" i="15"/>
  <c r="G665" i="15"/>
  <c r="G633" i="15"/>
  <c r="G569" i="15"/>
  <c r="G824" i="15"/>
  <c r="G728" i="15"/>
  <c r="G600" i="15"/>
  <c r="G547" i="15"/>
  <c r="G838" i="15"/>
  <c r="G582" i="15"/>
  <c r="G770" i="15"/>
  <c r="G578" i="15"/>
  <c r="H797" i="15"/>
  <c r="J921" i="15"/>
  <c r="J1018" i="15"/>
  <c r="K749" i="15"/>
  <c r="K601" i="15"/>
  <c r="I710" i="15"/>
  <c r="I616" i="15"/>
  <c r="I808" i="15"/>
  <c r="I695" i="15"/>
  <c r="I567" i="15"/>
  <c r="L702" i="15"/>
  <c r="J1042" i="15"/>
  <c r="I985" i="15"/>
  <c r="I1034" i="15"/>
  <c r="I952" i="15"/>
  <c r="I1114" i="15"/>
  <c r="G1012" i="15"/>
  <c r="K1113" i="15"/>
  <c r="G923" i="15"/>
  <c r="G1003" i="15"/>
  <c r="G1119" i="15"/>
  <c r="J633" i="15"/>
  <c r="I833" i="15"/>
  <c r="K784" i="15"/>
  <c r="K908" i="15"/>
  <c r="I743" i="15"/>
  <c r="K670" i="15"/>
  <c r="K617" i="15"/>
  <c r="K567" i="15"/>
  <c r="K834" i="15"/>
  <c r="I742" i="15"/>
  <c r="I680" i="15"/>
  <c r="I650" i="15"/>
  <c r="I622" i="15"/>
  <c r="I600" i="15"/>
  <c r="I572" i="15"/>
  <c r="I552" i="15"/>
  <c r="K878" i="15"/>
  <c r="I820" i="15"/>
  <c r="I788" i="15"/>
  <c r="I756" i="15"/>
  <c r="I716" i="15"/>
  <c r="I675" i="15"/>
  <c r="I643" i="15"/>
  <c r="I611" i="15"/>
  <c r="I579" i="15"/>
  <c r="I547" i="15"/>
  <c r="I712" i="15"/>
  <c r="I673" i="15"/>
  <c r="I641" i="15"/>
  <c r="I609" i="15"/>
  <c r="I577" i="15"/>
  <c r="I545" i="15"/>
  <c r="G904" i="15"/>
  <c r="G893" i="15"/>
  <c r="G877" i="15"/>
  <c r="G861" i="15"/>
  <c r="G845" i="15"/>
  <c r="G829" i="15"/>
  <c r="G813" i="15"/>
  <c r="G797" i="15"/>
  <c r="G781" i="15"/>
  <c r="G765" i="15"/>
  <c r="G749" i="15"/>
  <c r="G733" i="15"/>
  <c r="G717" i="15"/>
  <c r="G701" i="15"/>
  <c r="G685" i="15"/>
  <c r="G669" i="15"/>
  <c r="G653" i="15"/>
  <c r="G637" i="15"/>
  <c r="G621" i="15"/>
  <c r="G605" i="15"/>
  <c r="G589" i="15"/>
  <c r="G573" i="15"/>
  <c r="G896" i="15"/>
  <c r="G864" i="15"/>
  <c r="G832" i="15"/>
  <c r="G800" i="15"/>
  <c r="G768" i="15"/>
  <c r="G736" i="15"/>
  <c r="G704" i="15"/>
  <c r="G672" i="15"/>
  <c r="G640" i="15"/>
  <c r="G608" i="15"/>
  <c r="G576" i="15"/>
  <c r="G551" i="15"/>
  <c r="G854" i="15"/>
  <c r="G790" i="15"/>
  <c r="G726" i="15"/>
  <c r="G662" i="15"/>
  <c r="G598" i="15"/>
  <c r="G546" i="15"/>
  <c r="G850" i="15"/>
  <c r="G786" i="15"/>
  <c r="G722" i="15"/>
  <c r="G658" i="15"/>
  <c r="G594" i="15"/>
  <c r="G548" i="15"/>
  <c r="G891" i="15"/>
  <c r="G875" i="15"/>
  <c r="G843" i="15"/>
  <c r="G827" i="15"/>
  <c r="G795" i="15"/>
  <c r="G763" i="15"/>
  <c r="G747" i="15"/>
  <c r="G715" i="15"/>
  <c r="G699" i="15"/>
  <c r="G667" i="15"/>
  <c r="G635" i="15"/>
  <c r="G619" i="15"/>
  <c r="G587" i="15"/>
  <c r="G571" i="15"/>
  <c r="G860" i="15"/>
  <c r="G796" i="15"/>
  <c r="G764" i="15"/>
  <c r="G700" i="15"/>
  <c r="G668" i="15"/>
  <c r="G604" i="15"/>
  <c r="G572" i="15"/>
  <c r="G846" i="15"/>
  <c r="G718" i="15"/>
  <c r="G590" i="15"/>
  <c r="G542" i="15"/>
  <c r="G905" i="15"/>
  <c r="G778" i="15"/>
  <c r="G650" i="15"/>
  <c r="G586" i="15"/>
  <c r="G907" i="15"/>
  <c r="G841" i="15"/>
  <c r="G793" i="15"/>
  <c r="G745" i="15"/>
  <c r="G697" i="15"/>
  <c r="G649" i="15"/>
  <c r="G585" i="15"/>
  <c r="G888" i="15"/>
  <c r="G760" i="15"/>
  <c r="G664" i="15"/>
  <c r="G568" i="15"/>
  <c r="G774" i="15"/>
  <c r="G538" i="15"/>
  <c r="G898" i="15"/>
  <c r="G642" i="15"/>
  <c r="K979" i="15"/>
  <c r="G957" i="15"/>
  <c r="K931" i="15"/>
  <c r="K871" i="15"/>
  <c r="I711" i="15"/>
  <c r="K552" i="15"/>
  <c r="I638" i="15"/>
  <c r="I588" i="15"/>
  <c r="I744" i="15"/>
  <c r="I599" i="15"/>
  <c r="G1123" i="15"/>
  <c r="G982" i="15"/>
  <c r="K1008" i="15"/>
  <c r="K930" i="15"/>
  <c r="I1062" i="15"/>
  <c r="K984" i="15"/>
  <c r="K1048" i="15"/>
  <c r="I915" i="15"/>
  <c r="K992" i="15"/>
  <c r="K980" i="15"/>
  <c r="I828" i="15"/>
  <c r="K773" i="15"/>
  <c r="K884" i="15"/>
  <c r="I739" i="15"/>
  <c r="K665" i="15"/>
  <c r="K615" i="15"/>
  <c r="K564" i="15"/>
  <c r="I822" i="15"/>
  <c r="I734" i="15"/>
  <c r="I672" i="15"/>
  <c r="I648" i="15"/>
  <c r="I620" i="15"/>
  <c r="I592" i="15"/>
  <c r="I570" i="15"/>
  <c r="I550" i="15"/>
  <c r="K870" i="15"/>
  <c r="I816" i="15"/>
  <c r="I784" i="15"/>
  <c r="I752" i="15"/>
  <c r="I708" i="15"/>
  <c r="I671" i="15"/>
  <c r="I639" i="15"/>
  <c r="I607" i="15"/>
  <c r="I575" i="15"/>
  <c r="I543" i="15"/>
  <c r="I704" i="15"/>
  <c r="I669" i="15"/>
  <c r="I637" i="15"/>
  <c r="I605" i="15"/>
  <c r="I573" i="15"/>
  <c r="I541" i="15"/>
  <c r="G902" i="15"/>
  <c r="G859" i="15"/>
  <c r="G811" i="15"/>
  <c r="G779" i="15"/>
  <c r="G731" i="15"/>
  <c r="G683" i="15"/>
  <c r="G651" i="15"/>
  <c r="G603" i="15"/>
  <c r="G892" i="15"/>
  <c r="G828" i="15"/>
  <c r="G732" i="15"/>
  <c r="G636" i="15"/>
  <c r="G549" i="15"/>
  <c r="G782" i="15"/>
  <c r="G654" i="15"/>
  <c r="G842" i="15"/>
  <c r="G714" i="15"/>
  <c r="G544" i="15"/>
  <c r="G889" i="15"/>
  <c r="G809" i="15"/>
  <c r="G713" i="15"/>
  <c r="G617" i="15"/>
  <c r="G856" i="15"/>
  <c r="G696" i="15"/>
  <c r="G646" i="15"/>
  <c r="G706" i="15"/>
  <c r="G950" i="15"/>
  <c r="I972" i="15"/>
  <c r="I823" i="15"/>
  <c r="I798" i="15"/>
  <c r="I566" i="15"/>
  <c r="K854" i="15"/>
  <c r="I631" i="15"/>
  <c r="H1117" i="15"/>
  <c r="I1005" i="15"/>
  <c r="G1032" i="15"/>
  <c r="G966" i="15"/>
  <c r="I1136" i="15"/>
  <c r="J997" i="15"/>
  <c r="K933" i="15"/>
  <c r="J970" i="15"/>
  <c r="J1057" i="15"/>
  <c r="J952" i="15"/>
  <c r="G924" i="15"/>
  <c r="J696" i="15"/>
  <c r="I905" i="15"/>
  <c r="K875" i="15"/>
  <c r="K760" i="15"/>
  <c r="K840" i="15"/>
  <c r="I719" i="15"/>
  <c r="K656" i="15"/>
  <c r="K606" i="15"/>
  <c r="K556" i="15"/>
  <c r="I806" i="15"/>
  <c r="I726" i="15"/>
  <c r="I670" i="15"/>
  <c r="I640" i="15"/>
  <c r="I618" i="15"/>
  <c r="I590" i="15"/>
  <c r="I568" i="15"/>
  <c r="I544" i="15"/>
  <c r="K862" i="15"/>
  <c r="I812" i="15"/>
  <c r="I780" i="15"/>
  <c r="I748" i="15"/>
  <c r="I700" i="15"/>
  <c r="I667" i="15"/>
  <c r="I635" i="15"/>
  <c r="I603" i="15"/>
  <c r="I571" i="15"/>
  <c r="I539" i="15"/>
  <c r="I697" i="15"/>
  <c r="I665" i="15"/>
  <c r="I633" i="15"/>
  <c r="I601" i="15"/>
  <c r="I569" i="15"/>
  <c r="I537" i="15"/>
  <c r="G857" i="15"/>
  <c r="G761" i="15"/>
  <c r="G681" i="15"/>
  <c r="G601" i="15"/>
  <c r="G792" i="15"/>
  <c r="G632" i="15"/>
  <c r="G710" i="15"/>
  <c r="G834" i="15"/>
  <c r="G540" i="15"/>
  <c r="G999" i="15"/>
  <c r="G1085" i="15"/>
  <c r="I1026" i="15"/>
  <c r="I897" i="15"/>
  <c r="K654" i="15"/>
  <c r="I668" i="15"/>
  <c r="I542" i="15"/>
  <c r="I776" i="15"/>
  <c r="I663" i="15"/>
  <c r="H697" i="15"/>
  <c r="K1063" i="15"/>
  <c r="G1029" i="15"/>
  <c r="G952" i="15"/>
  <c r="I1138" i="15"/>
  <c r="J1005" i="15"/>
  <c r="I940" i="15"/>
  <c r="G1077" i="15"/>
  <c r="J910" i="15"/>
  <c r="I959" i="15"/>
  <c r="J1013" i="15"/>
  <c r="J961" i="15"/>
  <c r="I882" i="15"/>
  <c r="K827" i="15"/>
  <c r="K733" i="15"/>
  <c r="I797" i="15"/>
  <c r="K695" i="15"/>
  <c r="K644" i="15"/>
  <c r="K592" i="15"/>
  <c r="K545" i="15"/>
  <c r="I790" i="15"/>
  <c r="I702" i="15"/>
  <c r="I664" i="15"/>
  <c r="I636" i="15"/>
  <c r="I608" i="15"/>
  <c r="I586" i="15"/>
  <c r="I560" i="15"/>
  <c r="I540" i="15"/>
  <c r="K846" i="15"/>
  <c r="I804" i="15"/>
  <c r="I772" i="15"/>
  <c r="I740" i="15"/>
  <c r="I691" i="15"/>
  <c r="I659" i="15"/>
  <c r="I627" i="15"/>
  <c r="I595" i="15"/>
  <c r="I563" i="15"/>
  <c r="I689" i="15"/>
  <c r="I657" i="15"/>
  <c r="I625" i="15"/>
  <c r="I593" i="15"/>
  <c r="I561" i="15"/>
  <c r="G901" i="15"/>
  <c r="G885" i="15"/>
  <c r="G869" i="15"/>
  <c r="G853" i="15"/>
  <c r="G837" i="15"/>
  <c r="G821" i="15"/>
  <c r="G805" i="15"/>
  <c r="G789" i="15"/>
  <c r="G773" i="15"/>
  <c r="G757" i="15"/>
  <c r="G741" i="15"/>
  <c r="G725" i="15"/>
  <c r="G709" i="15"/>
  <c r="G693" i="15"/>
  <c r="G677" i="15"/>
  <c r="G661" i="15"/>
  <c r="G645" i="15"/>
  <c r="G629" i="15"/>
  <c r="G613" i="15"/>
  <c r="G597" i="15"/>
  <c r="G581" i="15"/>
  <c r="G565" i="15"/>
  <c r="G880" i="15"/>
  <c r="G848" i="15"/>
  <c r="G816" i="15"/>
  <c r="G784" i="15"/>
  <c r="G752" i="15"/>
  <c r="G720" i="15"/>
  <c r="G688" i="15"/>
  <c r="G656" i="15"/>
  <c r="G624" i="15"/>
  <c r="G592" i="15"/>
  <c r="G559" i="15"/>
  <c r="G543" i="15"/>
  <c r="G886" i="15"/>
  <c r="G822" i="15"/>
  <c r="G758" i="15"/>
  <c r="G694" i="15"/>
  <c r="G630" i="15"/>
  <c r="G566" i="15"/>
  <c r="G882" i="15"/>
  <c r="G818" i="15"/>
  <c r="G754" i="15"/>
  <c r="G570" i="15"/>
  <c r="G698" i="15"/>
  <c r="G874" i="15"/>
  <c r="G554" i="15"/>
  <c r="G702" i="15"/>
  <c r="G878" i="15"/>
  <c r="G555" i="15"/>
  <c r="G628" i="15"/>
  <c r="G716" i="15"/>
  <c r="G808" i="15"/>
  <c r="G884" i="15"/>
  <c r="G615" i="15"/>
  <c r="G679" i="15"/>
  <c r="G743" i="15"/>
  <c r="G807" i="15"/>
  <c r="G871" i="15"/>
  <c r="I557" i="15"/>
  <c r="I685" i="15"/>
  <c r="I655" i="15"/>
  <c r="I606" i="15"/>
  <c r="I793" i="15"/>
  <c r="I1011" i="15"/>
  <c r="I736" i="15"/>
  <c r="I656" i="15"/>
  <c r="K824" i="15"/>
  <c r="J975" i="15"/>
  <c r="G626" i="15"/>
  <c r="G762" i="15"/>
  <c r="G614" i="15"/>
  <c r="G766" i="15"/>
  <c r="G584" i="15"/>
  <c r="G660" i="15"/>
  <c r="G748" i="15"/>
  <c r="G840" i="15"/>
  <c r="G579" i="15"/>
  <c r="G643" i="15"/>
  <c r="G707" i="15"/>
  <c r="G771" i="15"/>
  <c r="G835" i="15"/>
  <c r="G899" i="15"/>
  <c r="I597" i="15"/>
  <c r="I768" i="15"/>
  <c r="I696" i="15"/>
  <c r="I873" i="15"/>
  <c r="I1091" i="15"/>
  <c r="G536" i="15"/>
  <c r="G634" i="15"/>
  <c r="G802" i="15"/>
  <c r="G622" i="15"/>
  <c r="G806" i="15"/>
  <c r="G588" i="15"/>
  <c r="G680" i="15"/>
  <c r="G756" i="15"/>
  <c r="G844" i="15"/>
  <c r="G583" i="15"/>
  <c r="G647" i="15"/>
  <c r="G711" i="15"/>
  <c r="G775" i="15"/>
  <c r="G839" i="15"/>
  <c r="G903" i="15"/>
  <c r="I621" i="15"/>
  <c r="I800" i="15"/>
  <c r="I774" i="15"/>
  <c r="K543" i="15"/>
  <c r="J865" i="15"/>
  <c r="J699" i="15"/>
  <c r="I934" i="15"/>
  <c r="K929" i="15"/>
  <c r="I629" i="15"/>
  <c r="I559" i="15"/>
  <c r="K838" i="15"/>
  <c r="I538" i="15"/>
  <c r="K898" i="15"/>
  <c r="K590" i="15"/>
  <c r="G972" i="15"/>
  <c r="J1003" i="15"/>
  <c r="I558" i="15"/>
  <c r="K640" i="15"/>
  <c r="I942" i="15"/>
  <c r="K1031" i="15"/>
  <c r="L725" i="15"/>
  <c r="L982" i="15"/>
  <c r="L822" i="15"/>
  <c r="L744" i="15"/>
  <c r="L752" i="15"/>
  <c r="L764" i="15"/>
  <c r="L780" i="15"/>
  <c r="L796" i="15"/>
  <c r="L812" i="15"/>
  <c r="L828" i="15"/>
  <c r="L844" i="15"/>
  <c r="L860" i="15"/>
  <c r="L876" i="15"/>
  <c r="L892" i="15"/>
  <c r="L908" i="15"/>
  <c r="L924" i="15"/>
  <c r="L940" i="15"/>
  <c r="L956" i="15"/>
  <c r="L972" i="15"/>
  <c r="L988" i="15"/>
  <c r="L1004" i="15"/>
  <c r="L1029" i="15"/>
  <c r="L1061" i="15"/>
  <c r="L1093" i="15"/>
  <c r="L537" i="15"/>
  <c r="L541" i="15"/>
  <c r="L545" i="15"/>
  <c r="L549" i="15"/>
  <c r="L553" i="15"/>
  <c r="L557" i="15"/>
  <c r="L561" i="15"/>
  <c r="L565" i="15"/>
  <c r="L569" i="15"/>
  <c r="L573" i="15"/>
  <c r="L577" i="15"/>
  <c r="L581" i="15"/>
  <c r="L585" i="15"/>
  <c r="L589" i="15"/>
  <c r="L593" i="15"/>
  <c r="L597" i="15"/>
  <c r="L601" i="15"/>
  <c r="L605" i="15"/>
  <c r="L609" i="15"/>
  <c r="L613" i="15"/>
  <c r="L617" i="15"/>
  <c r="L621" i="15"/>
  <c r="L627" i="15"/>
  <c r="L635" i="15"/>
  <c r="L647" i="15"/>
  <c r="L677" i="15"/>
  <c r="L709" i="15"/>
  <c r="L741" i="15"/>
  <c r="L790" i="15"/>
  <c r="L854" i="15"/>
  <c r="L918" i="15"/>
  <c r="L1081" i="15"/>
  <c r="L801" i="15"/>
  <c r="L769" i="15"/>
  <c r="L847" i="15"/>
  <c r="L643" i="15"/>
  <c r="L909" i="15"/>
  <c r="L973" i="15"/>
  <c r="L653" i="15"/>
  <c r="L669" i="15"/>
  <c r="L685" i="15"/>
  <c r="L701" i="15"/>
  <c r="L717" i="15"/>
  <c r="L733" i="15"/>
  <c r="L749" i="15"/>
  <c r="L774" i="15"/>
  <c r="L806" i="15"/>
  <c r="L838" i="15"/>
  <c r="L870" i="15"/>
  <c r="L902" i="15"/>
  <c r="L934" i="15"/>
  <c r="L966" i="15"/>
  <c r="L998" i="15"/>
  <c r="L1049" i="15"/>
  <c r="L1131" i="15"/>
  <c r="L785" i="15"/>
  <c r="L817" i="15"/>
  <c r="L1063" i="15"/>
  <c r="L1046" i="15"/>
  <c r="L1078" i="15"/>
  <c r="L625" i="15"/>
  <c r="L629" i="15"/>
  <c r="L633" i="15"/>
  <c r="L637" i="15"/>
  <c r="L641" i="15"/>
  <c r="L645" i="15"/>
  <c r="L649" i="15"/>
  <c r="L657" i="15"/>
  <c r="L665" i="15"/>
  <c r="L673" i="15"/>
  <c r="L681" i="15"/>
  <c r="L689" i="15"/>
  <c r="L697" i="15"/>
  <c r="L705" i="15"/>
  <c r="L713" i="15"/>
  <c r="L721" i="15"/>
  <c r="L729" i="15"/>
  <c r="L737" i="15"/>
  <c r="L745" i="15"/>
  <c r="L753" i="15"/>
  <c r="L766" i="15"/>
  <c r="L782" i="15"/>
  <c r="L798" i="15"/>
  <c r="L814" i="15"/>
  <c r="L830" i="15"/>
  <c r="L846" i="15"/>
  <c r="L862" i="15"/>
  <c r="L878" i="15"/>
  <c r="L894" i="15"/>
  <c r="L910" i="15"/>
  <c r="L926" i="15"/>
  <c r="L942" i="15"/>
  <c r="L958" i="15"/>
  <c r="L974" i="15"/>
  <c r="L990" i="15"/>
  <c r="L1006" i="15"/>
  <c r="L1033" i="15"/>
  <c r="L1065" i="15"/>
  <c r="L1099" i="15"/>
  <c r="L761" i="15"/>
  <c r="L777" i="15"/>
  <c r="L793" i="15"/>
  <c r="L809" i="15"/>
  <c r="L831" i="15"/>
  <c r="L877" i="15"/>
  <c r="L941" i="15"/>
  <c r="L1005" i="15"/>
  <c r="L1014" i="15"/>
  <c r="L1125" i="15"/>
  <c r="L1094" i="15"/>
  <c r="L1062" i="15"/>
  <c r="L1030" i="15"/>
  <c r="L1095" i="15"/>
  <c r="L1031" i="15"/>
  <c r="L989" i="15"/>
  <c r="L957" i="15"/>
  <c r="L925" i="15"/>
  <c r="L893" i="15"/>
  <c r="L861" i="15"/>
  <c r="L839" i="15"/>
  <c r="L823" i="15"/>
  <c r="L813" i="15"/>
  <c r="L805" i="15"/>
  <c r="L797" i="15"/>
  <c r="L789" i="15"/>
  <c r="L781" i="15"/>
  <c r="L773" i="15"/>
  <c r="L765" i="15"/>
  <c r="L757" i="15"/>
  <c r="L1115" i="15"/>
  <c r="L1089" i="15"/>
  <c r="L1073" i="15"/>
  <c r="L1057" i="15"/>
  <c r="L1041" i="15"/>
  <c r="L1025" i="15"/>
  <c r="L1010" i="15"/>
  <c r="L1002" i="15"/>
  <c r="L994" i="15"/>
  <c r="L986" i="15"/>
  <c r="L978" i="15"/>
  <c r="L970" i="15"/>
  <c r="L962" i="15"/>
  <c r="L954" i="15"/>
  <c r="L946" i="15"/>
  <c r="L938" i="15"/>
  <c r="L930" i="15"/>
  <c r="L922" i="15"/>
  <c r="L914" i="15"/>
  <c r="L906" i="15"/>
  <c r="L898" i="15"/>
  <c r="L890" i="15"/>
  <c r="L882" i="15"/>
  <c r="L874" i="15"/>
  <c r="L866" i="15"/>
  <c r="L858" i="15"/>
  <c r="L850" i="15"/>
  <c r="L842" i="15"/>
  <c r="L834" i="15"/>
  <c r="L826" i="15"/>
  <c r="L818" i="15"/>
  <c r="L810" i="15"/>
  <c r="L802" i="15"/>
  <c r="L794" i="15"/>
  <c r="L786" i="15"/>
  <c r="L778" i="15"/>
  <c r="L770" i="15"/>
  <c r="L762" i="15"/>
  <c r="L755" i="15"/>
  <c r="L751" i="15"/>
  <c r="L747" i="15"/>
  <c r="L743" i="15"/>
  <c r="L739" i="15"/>
  <c r="L735" i="15"/>
  <c r="L731" i="15"/>
  <c r="L727" i="15"/>
  <c r="L723" i="15"/>
  <c r="L719" i="15"/>
  <c r="L715" i="15"/>
  <c r="L711" i="15"/>
  <c r="L707" i="15"/>
  <c r="L703" i="15"/>
  <c r="L699" i="15"/>
  <c r="L695" i="15"/>
  <c r="L691" i="15"/>
  <c r="L687" i="15"/>
  <c r="L683" i="15"/>
  <c r="L679" i="15"/>
  <c r="L675" i="15"/>
  <c r="L671" i="15"/>
  <c r="L667" i="15"/>
  <c r="L663" i="15"/>
  <c r="L659" i="15"/>
  <c r="L655" i="15"/>
  <c r="L651" i="15"/>
  <c r="L1141" i="15"/>
  <c r="L759" i="15"/>
  <c r="L763" i="15"/>
  <c r="L767" i="15"/>
  <c r="L771" i="15"/>
  <c r="L775" i="15"/>
  <c r="L779" i="15"/>
  <c r="L783" i="15"/>
  <c r="L787" i="15"/>
  <c r="L791" i="15"/>
  <c r="L795" i="15"/>
  <c r="L799" i="15"/>
  <c r="L803" i="15"/>
  <c r="L807" i="15"/>
  <c r="L811" i="15"/>
  <c r="L815" i="15"/>
  <c r="L819" i="15"/>
  <c r="L827" i="15"/>
  <c r="L835" i="15"/>
  <c r="L843" i="15"/>
  <c r="L853" i="15"/>
  <c r="L869" i="15"/>
  <c r="L885" i="15"/>
  <c r="L901" i="15"/>
  <c r="L917" i="15"/>
  <c r="L933" i="15"/>
  <c r="L949" i="15"/>
  <c r="L965" i="15"/>
  <c r="L981" i="15"/>
  <c r="L997" i="15"/>
  <c r="L1015" i="15"/>
  <c r="L1047" i="15"/>
  <c r="L1079" i="15"/>
  <c r="L1127" i="15"/>
  <c r="L1022" i="15"/>
  <c r="L1038" i="15"/>
  <c r="L1054" i="15"/>
  <c r="L1070" i="15"/>
  <c r="L1086" i="15"/>
  <c r="L1109" i="15"/>
  <c r="L1102" i="15"/>
  <c r="L1106" i="15"/>
  <c r="L821" i="15"/>
  <c r="L825" i="15"/>
  <c r="L829" i="15"/>
  <c r="L833" i="15"/>
  <c r="L837" i="15"/>
  <c r="L841" i="15"/>
  <c r="L845" i="15"/>
  <c r="L849" i="15"/>
  <c r="L857" i="15"/>
  <c r="L865" i="15"/>
  <c r="L873" i="15"/>
  <c r="L881" i="15"/>
  <c r="L889" i="15"/>
  <c r="L897" i="15"/>
  <c r="L905" i="15"/>
  <c r="L913" i="15"/>
  <c r="L921" i="15"/>
  <c r="L929" i="15"/>
  <c r="L937" i="15"/>
  <c r="L945" i="15"/>
  <c r="L953" i="15"/>
  <c r="L961" i="15"/>
  <c r="L969" i="15"/>
  <c r="L977" i="15"/>
  <c r="L985" i="15"/>
  <c r="L993" i="15"/>
  <c r="L1001" i="15"/>
  <c r="L1009" i="15"/>
  <c r="L1023" i="15"/>
  <c r="L1039" i="15"/>
  <c r="L1055" i="15"/>
  <c r="L1071" i="15"/>
  <c r="L1087" i="15"/>
  <c r="L1111" i="15"/>
  <c r="L1143" i="15"/>
  <c r="L1018" i="15"/>
  <c r="L1026" i="15"/>
  <c r="L1034" i="15"/>
  <c r="L1042" i="15"/>
  <c r="L1050" i="15"/>
  <c r="L1058" i="15"/>
  <c r="L1066" i="15"/>
  <c r="L1074" i="15"/>
  <c r="L1082" i="15"/>
  <c r="L1090" i="15"/>
  <c r="L1101" i="15"/>
  <c r="L1117" i="15"/>
  <c r="L1133" i="15"/>
  <c r="L1098" i="15"/>
  <c r="L1112" i="15"/>
  <c r="L1108" i="15"/>
  <c r="L1104" i="15"/>
  <c r="L1100" i="15"/>
  <c r="L1096" i="15"/>
  <c r="L1137" i="15"/>
  <c r="L1129" i="15"/>
  <c r="L1121" i="15"/>
  <c r="L1113" i="15"/>
  <c r="L1105" i="15"/>
  <c r="L1097" i="15"/>
  <c r="L1092" i="15"/>
  <c r="L1088" i="15"/>
  <c r="L1084" i="15"/>
  <c r="L1080" i="15"/>
  <c r="L1076" i="15"/>
  <c r="L1072" i="15"/>
  <c r="L1068" i="15"/>
  <c r="L1064" i="15"/>
  <c r="L1060" i="15"/>
  <c r="L1056" i="15"/>
  <c r="L1052" i="15"/>
  <c r="L1048" i="15"/>
  <c r="L1044" i="15"/>
  <c r="L1040" i="15"/>
  <c r="L1036" i="15"/>
  <c r="L1032" i="15"/>
  <c r="L1028" i="15"/>
  <c r="L1024" i="15"/>
  <c r="L1020" i="15"/>
  <c r="L1016" i="15"/>
  <c r="L1012" i="15"/>
  <c r="L1135" i="15"/>
  <c r="L1119" i="15"/>
  <c r="L1103" i="15"/>
  <c r="L1091" i="15"/>
  <c r="L1083" i="15"/>
  <c r="L1075" i="15"/>
  <c r="L1067" i="15"/>
  <c r="L1059" i="15"/>
  <c r="L1051" i="15"/>
  <c r="L1043" i="15"/>
  <c r="L1035" i="15"/>
  <c r="L1027" i="15"/>
  <c r="L1019" i="15"/>
  <c r="L1011" i="15"/>
  <c r="L1007" i="15"/>
  <c r="L1003" i="15"/>
  <c r="L999" i="15"/>
  <c r="L995" i="15"/>
  <c r="L991" i="15"/>
  <c r="L987" i="15"/>
  <c r="L983" i="15"/>
  <c r="L979" i="15"/>
  <c r="L975" i="15"/>
  <c r="L971" i="15"/>
  <c r="L967" i="15"/>
  <c r="L963" i="15"/>
  <c r="L959" i="15"/>
  <c r="L955" i="15"/>
  <c r="L951" i="15"/>
  <c r="L947" i="15"/>
  <c r="L943" i="15"/>
  <c r="L939" i="15"/>
  <c r="L935" i="15"/>
  <c r="L931" i="15"/>
  <c r="L927" i="15"/>
  <c r="L923" i="15"/>
  <c r="L919" i="15"/>
  <c r="L915" i="15"/>
  <c r="L911" i="15"/>
  <c r="L907" i="15"/>
  <c r="L903" i="15"/>
  <c r="L899" i="15"/>
  <c r="L895" i="15"/>
  <c r="L891" i="15"/>
  <c r="L887" i="15"/>
  <c r="L883" i="15"/>
  <c r="L879" i="15"/>
  <c r="L875" i="15"/>
  <c r="L871" i="15"/>
  <c r="L867" i="15"/>
  <c r="L863" i="15"/>
  <c r="L859" i="15"/>
  <c r="L855" i="15"/>
  <c r="L851" i="15"/>
  <c r="L1120" i="15"/>
  <c r="L1116" i="15"/>
  <c r="L1124" i="15"/>
  <c r="L1110" i="15"/>
  <c r="L1126" i="15"/>
  <c r="L1128" i="15"/>
  <c r="L1114" i="15"/>
  <c r="L1118" i="15"/>
  <c r="L1122" i="15"/>
  <c r="L1130" i="15"/>
  <c r="L1132" i="15"/>
  <c r="L1136" i="15"/>
  <c r="L1140" i="15"/>
  <c r="L1142" i="15"/>
  <c r="L1134" i="15"/>
  <c r="L1138" i="15"/>
  <c r="J493" i="15"/>
  <c r="J478" i="15"/>
  <c r="J400" i="15"/>
  <c r="J761" i="15"/>
  <c r="J273" i="15"/>
  <c r="J849" i="15"/>
  <c r="J655" i="15"/>
  <c r="J394" i="15"/>
  <c r="J842" i="15"/>
  <c r="J563" i="15"/>
  <c r="J356" i="15"/>
  <c r="J748" i="15"/>
  <c r="J757" i="15"/>
  <c r="J245" i="15"/>
  <c r="J781" i="15"/>
  <c r="J798" i="15"/>
  <c r="J576" i="15"/>
  <c r="J529" i="15"/>
  <c r="J423" i="15"/>
  <c r="J799" i="15"/>
  <c r="J594" i="15"/>
  <c r="J379" i="15"/>
  <c r="J763" i="15"/>
  <c r="J556" i="15"/>
  <c r="J393" i="15"/>
  <c r="J758" i="15"/>
  <c r="J869" i="15"/>
  <c r="J310" i="15"/>
  <c r="J885" i="15"/>
  <c r="J269" i="15"/>
  <c r="J829" i="15"/>
  <c r="J830" i="15"/>
  <c r="J752" i="15"/>
  <c r="J577" i="15"/>
  <c r="J471" i="15"/>
  <c r="J871" i="15"/>
  <c r="J642" i="15"/>
  <c r="J419" i="15"/>
  <c r="J803" i="15"/>
  <c r="J572" i="15"/>
  <c r="J521" i="15"/>
  <c r="J406" i="15"/>
  <c r="J613" i="15"/>
  <c r="J536" i="15"/>
  <c r="J456" i="15"/>
  <c r="J365" i="15"/>
  <c r="J877" i="15"/>
  <c r="J366" i="15"/>
  <c r="J846" i="15"/>
  <c r="J247" i="15"/>
  <c r="J800" i="15"/>
  <c r="J705" i="15"/>
  <c r="J535" i="15"/>
  <c r="J322" i="15"/>
  <c r="J706" i="15"/>
  <c r="J483" i="15"/>
  <c r="J891" i="15"/>
  <c r="J636" i="15"/>
  <c r="J399" i="15"/>
  <c r="J671" i="15"/>
  <c r="J258" i="15"/>
  <c r="J530" i="15"/>
  <c r="J818" i="15"/>
  <c r="J387" i="15"/>
  <c r="J691" i="15"/>
  <c r="J899" i="15"/>
  <c r="J548" i="15"/>
  <c r="J820" i="15"/>
  <c r="J335" i="15"/>
  <c r="J551" i="15"/>
  <c r="J855" i="15"/>
  <c r="J410" i="15"/>
  <c r="J714" i="15"/>
  <c r="J315" i="15"/>
  <c r="J571" i="15"/>
  <c r="J867" i="15"/>
  <c r="J428" i="15"/>
  <c r="J724" i="15"/>
  <c r="J351" i="15"/>
  <c r="J575" i="15"/>
  <c r="J863" i="15"/>
  <c r="J498" i="15"/>
  <c r="J722" i="15"/>
  <c r="J371" i="15"/>
  <c r="J579" i="15"/>
  <c r="J883" i="15"/>
  <c r="J484" i="15"/>
  <c r="J868" i="15"/>
  <c r="J844" i="15"/>
  <c r="J780" i="15"/>
  <c r="J716" i="15"/>
  <c r="J652" i="15"/>
  <c r="J588" i="15"/>
  <c r="J524" i="15"/>
  <c r="J460" i="15"/>
  <c r="J396" i="15"/>
  <c r="J332" i="15"/>
  <c r="J268" i="15"/>
  <c r="J859" i="15"/>
  <c r="J795" i="15"/>
  <c r="J731" i="15"/>
  <c r="J667" i="15"/>
  <c r="J603" i="15"/>
  <c r="J539" i="15"/>
  <c r="J475" i="15"/>
  <c r="J411" i="15"/>
  <c r="J347" i="15"/>
  <c r="J283" i="15"/>
  <c r="J874" i="15"/>
  <c r="J810" i="15"/>
  <c r="J746" i="15"/>
  <c r="J682" i="15"/>
  <c r="J618" i="15"/>
  <c r="J554" i="15"/>
  <c r="J490" i="15"/>
  <c r="J426" i="15"/>
  <c r="J362" i="15"/>
  <c r="J298" i="15"/>
  <c r="J887" i="15"/>
  <c r="J823" i="15"/>
  <c r="J759" i="15"/>
  <c r="J695" i="15"/>
  <c r="J631" i="15"/>
  <c r="J567" i="15"/>
  <c r="J503" i="15"/>
  <c r="J439" i="15"/>
  <c r="J375" i="15"/>
  <c r="J311" i="15"/>
  <c r="J897" i="15"/>
  <c r="J769" i="15"/>
  <c r="J641" i="15"/>
  <c r="J513" i="15"/>
  <c r="J385" i="15"/>
  <c r="J257" i="15"/>
  <c r="J889" i="15"/>
  <c r="J864" i="15"/>
  <c r="J736" i="15"/>
  <c r="J608" i="15"/>
  <c r="J480" i="15"/>
  <c r="J352" i="15"/>
  <c r="J681" i="15"/>
  <c r="J782" i="15"/>
  <c r="J654" i="15"/>
  <c r="J526" i="15"/>
  <c r="J398" i="15"/>
  <c r="J270" i="15"/>
  <c r="J861" i="15"/>
  <c r="J733" i="15"/>
  <c r="J605" i="15"/>
  <c r="J477" i="15"/>
  <c r="J349" i="15"/>
  <c r="J838" i="15"/>
  <c r="J537" i="15"/>
  <c r="J281" i="15"/>
  <c r="J680" i="15"/>
  <c r="J294" i="15"/>
  <c r="J517" i="15"/>
  <c r="J790" i="15"/>
  <c r="J504" i="15"/>
  <c r="J549" i="15"/>
  <c r="J824" i="15"/>
  <c r="J534" i="15"/>
  <c r="J278" i="15"/>
  <c r="J629" i="15"/>
  <c r="J373" i="15"/>
  <c r="J552" i="15"/>
  <c r="J617" i="15"/>
  <c r="J361" i="15"/>
  <c r="J422" i="15"/>
  <c r="J840" i="15"/>
  <c r="J836" i="15"/>
  <c r="J772" i="15"/>
  <c r="J708" i="15"/>
  <c r="J644" i="15"/>
  <c r="J580" i="15"/>
  <c r="J516" i="15"/>
  <c r="J452" i="15"/>
  <c r="J388" i="15"/>
  <c r="J324" i="15"/>
  <c r="J260" i="15"/>
  <c r="J851" i="15"/>
  <c r="J787" i="15"/>
  <c r="J723" i="15"/>
  <c r="J659" i="15"/>
  <c r="J595" i="15"/>
  <c r="J531" i="15"/>
  <c r="J467" i="15"/>
  <c r="J403" i="15"/>
  <c r="J339" i="15"/>
  <c r="J275" i="15"/>
  <c r="J866" i="15"/>
  <c r="J802" i="15"/>
  <c r="J738" i="15"/>
  <c r="J674" i="15"/>
  <c r="J610" i="15"/>
  <c r="J546" i="15"/>
  <c r="J482" i="15"/>
  <c r="J418" i="15"/>
  <c r="J354" i="15"/>
  <c r="J290" i="15"/>
  <c r="J879" i="15"/>
  <c r="J815" i="15"/>
  <c r="J751" i="15"/>
  <c r="J687" i="15"/>
  <c r="J623" i="15"/>
  <c r="J559" i="15"/>
  <c r="J495" i="15"/>
  <c r="J431" i="15"/>
  <c r="J367" i="15"/>
  <c r="J303" i="15"/>
  <c r="J881" i="15"/>
  <c r="J753" i="15"/>
  <c r="J625" i="15"/>
  <c r="J497" i="15"/>
  <c r="J369" i="15"/>
  <c r="J248" i="15"/>
  <c r="J857" i="15"/>
  <c r="J848" i="15"/>
  <c r="J720" i="15"/>
  <c r="J592" i="15"/>
  <c r="J464" i="15"/>
  <c r="J336" i="15"/>
  <c r="J894" i="15"/>
  <c r="J766" i="15"/>
  <c r="J638" i="15"/>
  <c r="J510" i="15"/>
  <c r="J382" i="15"/>
  <c r="J254" i="15"/>
  <c r="J905" i="15"/>
  <c r="J845" i="15"/>
  <c r="J717" i="15"/>
  <c r="J589" i="15"/>
  <c r="J461" i="15"/>
  <c r="J333" i="15"/>
  <c r="J792" i="15"/>
  <c r="J505" i="15"/>
  <c r="J252" i="15"/>
  <c r="J872" i="15"/>
  <c r="J616" i="15"/>
  <c r="J421" i="15"/>
  <c r="J744" i="15"/>
  <c r="J440" i="15"/>
  <c r="J453" i="15"/>
  <c r="J789" i="15"/>
  <c r="J502" i="15"/>
  <c r="J250" i="15"/>
  <c r="J904" i="15"/>
  <c r="J597" i="15"/>
  <c r="J341" i="15"/>
  <c r="J488" i="15"/>
  <c r="J902" i="15"/>
  <c r="J585" i="15"/>
  <c r="J329" i="15"/>
  <c r="J326" i="15"/>
  <c r="J677" i="15"/>
  <c r="J876" i="15"/>
  <c r="J796" i="15"/>
  <c r="J732" i="15"/>
  <c r="J668" i="15"/>
  <c r="J604" i="15"/>
  <c r="J540" i="15"/>
  <c r="J476" i="15"/>
  <c r="J412" i="15"/>
  <c r="J348" i="15"/>
  <c r="J284" i="15"/>
  <c r="J875" i="15"/>
  <c r="J811" i="15"/>
  <c r="J747" i="15"/>
  <c r="J683" i="15"/>
  <c r="J619" i="15"/>
  <c r="J555" i="15"/>
  <c r="J491" i="15"/>
  <c r="J427" i="15"/>
  <c r="J363" i="15"/>
  <c r="J299" i="15"/>
  <c r="J890" i="15"/>
  <c r="J826" i="15"/>
  <c r="J762" i="15"/>
  <c r="J698" i="15"/>
  <c r="J634" i="15"/>
  <c r="J570" i="15"/>
  <c r="J506" i="15"/>
  <c r="J442" i="15"/>
  <c r="J378" i="15"/>
  <c r="J314" i="15"/>
  <c r="J903" i="15"/>
  <c r="J839" i="15"/>
  <c r="J775" i="15"/>
  <c r="J711" i="15"/>
  <c r="J647" i="15"/>
  <c r="J583" i="15"/>
  <c r="J519" i="15"/>
  <c r="J455" i="15"/>
  <c r="J391" i="15"/>
  <c r="J327" i="15"/>
  <c r="J263" i="15"/>
  <c r="J801" i="15"/>
  <c r="J673" i="15"/>
  <c r="J545" i="15"/>
  <c r="J417" i="15"/>
  <c r="J289" i="15"/>
  <c r="J896" i="15"/>
  <c r="J768" i="15"/>
  <c r="J640" i="15"/>
  <c r="J512" i="15"/>
  <c r="J384" i="15"/>
  <c r="J256" i="15"/>
  <c r="J873" i="15"/>
  <c r="J814" i="15"/>
  <c r="J686" i="15"/>
  <c r="J558" i="15"/>
  <c r="J430" i="15"/>
  <c r="J302" i="15"/>
  <c r="J893" i="15"/>
  <c r="J765" i="15"/>
  <c r="J637" i="15"/>
  <c r="J509" i="15"/>
  <c r="J381" i="15"/>
  <c r="J253" i="15"/>
  <c r="J713" i="15"/>
  <c r="J601" i="15"/>
  <c r="J345" i="15"/>
  <c r="J243" i="15"/>
  <c r="J486" i="15"/>
  <c r="J886" i="15"/>
  <c r="J568" i="15"/>
  <c r="J712" i="15"/>
  <c r="J598" i="15"/>
  <c r="J342" i="15"/>
  <c r="J694" i="15"/>
  <c r="J437" i="15"/>
  <c r="J648" i="15"/>
  <c r="J358" i="15"/>
  <c r="J693" i="15"/>
  <c r="J425" i="15"/>
  <c r="J812" i="15"/>
  <c r="J700" i="15"/>
  <c r="J612" i="15"/>
  <c r="J500" i="15"/>
  <c r="J404" i="15"/>
  <c r="J300" i="15"/>
  <c r="J843" i="15"/>
  <c r="J755" i="15"/>
  <c r="J643" i="15"/>
  <c r="J547" i="15"/>
  <c r="J443" i="15"/>
  <c r="J331" i="15"/>
  <c r="J898" i="15"/>
  <c r="J786" i="15"/>
  <c r="J690" i="15"/>
  <c r="J586" i="15"/>
  <c r="J474" i="15"/>
  <c r="J386" i="15"/>
  <c r="J274" i="15"/>
  <c r="J831" i="15"/>
  <c r="J727" i="15"/>
  <c r="J615" i="15"/>
  <c r="J527" i="15"/>
  <c r="J415" i="15"/>
  <c r="J319" i="15"/>
  <c r="J833" i="15"/>
  <c r="J609" i="15"/>
  <c r="J433" i="15"/>
  <c r="J697" i="15"/>
  <c r="J688" i="15"/>
  <c r="J496" i="15"/>
  <c r="J288" i="15"/>
  <c r="J734" i="15"/>
  <c r="J542" i="15"/>
  <c r="J334" i="15"/>
  <c r="J813" i="15"/>
  <c r="J621" i="15"/>
  <c r="J413" i="15"/>
  <c r="J710" i="15"/>
  <c r="J313" i="15"/>
  <c r="J472" i="15"/>
  <c r="J392" i="15"/>
  <c r="J614" i="15"/>
  <c r="J325" i="15"/>
  <c r="J632" i="15"/>
  <c r="J357" i="15"/>
  <c r="J662" i="15"/>
  <c r="J822" i="15"/>
  <c r="J405" i="15"/>
  <c r="J264" i="15"/>
  <c r="J550" i="15"/>
  <c r="J293" i="15"/>
  <c r="J649" i="15"/>
  <c r="J244" i="15"/>
  <c r="J773" i="15"/>
  <c r="J806" i="15"/>
  <c r="I902" i="15"/>
  <c r="I894" i="15"/>
  <c r="I886" i="15"/>
  <c r="I878" i="15"/>
  <c r="I870" i="15"/>
  <c r="I862" i="15"/>
  <c r="I854" i="15"/>
  <c r="I846" i="15"/>
  <c r="I838" i="15"/>
  <c r="I830" i="15"/>
  <c r="K901" i="15"/>
  <c r="K885" i="15"/>
  <c r="K869" i="15"/>
  <c r="K853" i="15"/>
  <c r="K837" i="15"/>
  <c r="K823" i="15"/>
  <c r="K815" i="15"/>
  <c r="K807" i="15"/>
  <c r="K799" i="15"/>
  <c r="K791" i="15"/>
  <c r="K783" i="15"/>
  <c r="K775" i="15"/>
  <c r="K767" i="15"/>
  <c r="K759" i="15"/>
  <c r="K751" i="15"/>
  <c r="K743" i="15"/>
  <c r="K735" i="15"/>
  <c r="K727" i="15"/>
  <c r="K719" i="15"/>
  <c r="K711" i="15"/>
  <c r="K703" i="15"/>
  <c r="K900" i="15"/>
  <c r="K868" i="15"/>
  <c r="K836" i="15"/>
  <c r="I815" i="15"/>
  <c r="I799" i="15"/>
  <c r="I783" i="15"/>
  <c r="I767" i="15"/>
  <c r="J804" i="15"/>
  <c r="J692" i="15"/>
  <c r="J596" i="15"/>
  <c r="J492" i="15"/>
  <c r="J380" i="15"/>
  <c r="J292" i="15"/>
  <c r="J835" i="15"/>
  <c r="J739" i="15"/>
  <c r="J635" i="15"/>
  <c r="J523" i="15"/>
  <c r="J435" i="15"/>
  <c r="J323" i="15"/>
  <c r="J882" i="15"/>
  <c r="J778" i="15"/>
  <c r="J666" i="15"/>
  <c r="J578" i="15"/>
  <c r="J466" i="15"/>
  <c r="J370" i="15"/>
  <c r="J266" i="15"/>
  <c r="J807" i="15"/>
  <c r="J719" i="15"/>
  <c r="J607" i="15"/>
  <c r="J511" i="15"/>
  <c r="J407" i="15"/>
  <c r="J295" i="15"/>
  <c r="J817" i="15"/>
  <c r="J593" i="15"/>
  <c r="J401" i="15"/>
  <c r="J880" i="15"/>
  <c r="J672" i="15"/>
  <c r="J448" i="15"/>
  <c r="J272" i="15"/>
  <c r="J745" i="15"/>
  <c r="J718" i="15"/>
  <c r="J494" i="15"/>
  <c r="J318" i="15"/>
  <c r="J797" i="15"/>
  <c r="J573" i="15"/>
  <c r="J397" i="15"/>
  <c r="J665" i="15"/>
  <c r="J408" i="15"/>
  <c r="J296" i="15"/>
  <c r="J390" i="15"/>
  <c r="J241" i="15"/>
  <c r="J600" i="15"/>
  <c r="J630" i="15"/>
  <c r="J776" i="15"/>
  <c r="J309" i="15"/>
  <c r="J454" i="15"/>
  <c r="J553" i="15"/>
  <c r="J328" i="15"/>
  <c r="J678" i="15"/>
  <c r="I901" i="15"/>
  <c r="I893" i="15"/>
  <c r="I885" i="15"/>
  <c r="I877" i="15"/>
  <c r="I869" i="15"/>
  <c r="I861" i="15"/>
  <c r="I853" i="15"/>
  <c r="I845" i="15"/>
  <c r="I837" i="15"/>
  <c r="I829" i="15"/>
  <c r="K899" i="15"/>
  <c r="K883" i="15"/>
  <c r="K867" i="15"/>
  <c r="K851" i="15"/>
  <c r="K835" i="15"/>
  <c r="K822" i="15"/>
  <c r="K814" i="15"/>
  <c r="K806" i="15"/>
  <c r="K798" i="15"/>
  <c r="K790" i="15"/>
  <c r="K782" i="15"/>
  <c r="K774" i="15"/>
  <c r="K766" i="15"/>
  <c r="K758" i="15"/>
  <c r="K750" i="15"/>
  <c r="K742" i="15"/>
  <c r="K734" i="15"/>
  <c r="J892" i="15"/>
  <c r="J764" i="15"/>
  <c r="J676" i="15"/>
  <c r="J564" i="15"/>
  <c r="J468" i="15"/>
  <c r="J364" i="15"/>
  <c r="J907" i="15"/>
  <c r="J819" i="15"/>
  <c r="J707" i="15"/>
  <c r="J611" i="15"/>
  <c r="J507" i="15"/>
  <c r="J395" i="15"/>
  <c r="J307" i="15"/>
  <c r="J850" i="15"/>
  <c r="J754" i="15"/>
  <c r="J650" i="15"/>
  <c r="J538" i="15"/>
  <c r="J450" i="15"/>
  <c r="J338" i="15"/>
  <c r="J895" i="15"/>
  <c r="J791" i="15"/>
  <c r="J679" i="15"/>
  <c r="J591" i="15"/>
  <c r="J479" i="15"/>
  <c r="J383" i="15"/>
  <c r="J279" i="15"/>
  <c r="J737" i="15"/>
  <c r="J561" i="15"/>
  <c r="J337" i="15"/>
  <c r="J816" i="15"/>
  <c r="J624" i="15"/>
  <c r="J416" i="15"/>
  <c r="J862" i="15"/>
  <c r="J670" i="15"/>
  <c r="J462" i="15"/>
  <c r="J246" i="15"/>
  <c r="J809" i="15"/>
  <c r="J749" i="15"/>
  <c r="J541" i="15"/>
  <c r="J317" i="15"/>
  <c r="J569" i="15"/>
  <c r="J280" i="15"/>
  <c r="J376" i="15"/>
  <c r="J470" i="15"/>
  <c r="J661" i="15"/>
  <c r="J249" i="15"/>
  <c r="J901" i="15"/>
  <c r="J489" i="15"/>
  <c r="J518" i="15"/>
  <c r="J485" i="15"/>
  <c r="I907" i="15"/>
  <c r="I899" i="15"/>
  <c r="I891" i="15"/>
  <c r="I883" i="15"/>
  <c r="I875" i="15"/>
  <c r="I867" i="15"/>
  <c r="I859" i="15"/>
  <c r="I851" i="15"/>
  <c r="I843" i="15"/>
  <c r="I835" i="15"/>
  <c r="I827" i="15"/>
  <c r="K895" i="15"/>
  <c r="K879" i="15"/>
  <c r="K863" i="15"/>
  <c r="K847" i="15"/>
  <c r="K831" i="15"/>
  <c r="K820" i="15"/>
  <c r="K812" i="15"/>
  <c r="K804" i="15"/>
  <c r="K796" i="15"/>
  <c r="K788" i="15"/>
  <c r="K780" i="15"/>
  <c r="K772" i="15"/>
  <c r="K764" i="15"/>
  <c r="K756" i="15"/>
  <c r="K748" i="15"/>
  <c r="K740" i="15"/>
  <c r="K732" i="15"/>
  <c r="K724" i="15"/>
  <c r="K716" i="15"/>
  <c r="K708" i="15"/>
  <c r="K700" i="15"/>
  <c r="K888" i="15"/>
  <c r="K856" i="15"/>
  <c r="I825" i="15"/>
  <c r="J788" i="15"/>
  <c r="J628" i="15"/>
  <c r="J444" i="15"/>
  <c r="J308" i="15"/>
  <c r="J779" i="15"/>
  <c r="J627" i="15"/>
  <c r="J459" i="15"/>
  <c r="J291" i="15"/>
  <c r="J794" i="15"/>
  <c r="J626" i="15"/>
  <c r="J458" i="15"/>
  <c r="J306" i="15"/>
  <c r="J783" i="15"/>
  <c r="J639" i="15"/>
  <c r="J463" i="15"/>
  <c r="J287" i="15"/>
  <c r="J689" i="15"/>
  <c r="J321" i="15"/>
  <c r="J704" i="15"/>
  <c r="J368" i="15"/>
  <c r="J622" i="15"/>
  <c r="J350" i="15"/>
  <c r="J841" i="15"/>
  <c r="J669" i="15"/>
  <c r="J301" i="15"/>
  <c r="J377" i="15"/>
  <c r="J344" i="15"/>
  <c r="J645" i="15"/>
  <c r="J312" i="15"/>
  <c r="J808" i="15"/>
  <c r="J870" i="15"/>
  <c r="J741" i="15"/>
  <c r="J360" i="15"/>
  <c r="J242" i="15"/>
  <c r="J297" i="15"/>
  <c r="J262" i="15"/>
  <c r="J261" i="15"/>
  <c r="I904" i="15"/>
  <c r="I890" i="15"/>
  <c r="I879" i="15"/>
  <c r="I865" i="15"/>
  <c r="I852" i="15"/>
  <c r="I840" i="15"/>
  <c r="I826" i="15"/>
  <c r="K887" i="15"/>
  <c r="K859" i="15"/>
  <c r="K833" i="15"/>
  <c r="K817" i="15"/>
  <c r="K803" i="15"/>
  <c r="K792" i="15"/>
  <c r="K778" i="15"/>
  <c r="K765" i="15"/>
  <c r="K753" i="15"/>
  <c r="K739" i="15"/>
  <c r="K728" i="15"/>
  <c r="K717" i="15"/>
  <c r="K706" i="15"/>
  <c r="K904" i="15"/>
  <c r="K860" i="15"/>
  <c r="I821" i="15"/>
  <c r="I803" i="15"/>
  <c r="I785" i="15"/>
  <c r="I765" i="15"/>
  <c r="I749" i="15"/>
  <c r="I733" i="15"/>
  <c r="I717" i="15"/>
  <c r="I701" i="15"/>
  <c r="K691" i="15"/>
  <c r="K683" i="15"/>
  <c r="K675" i="15"/>
  <c r="K667" i="15"/>
  <c r="K659" i="15"/>
  <c r="K651" i="15"/>
  <c r="K643" i="15"/>
  <c r="K635" i="15"/>
  <c r="K627" i="15"/>
  <c r="K619" i="15"/>
  <c r="K611" i="15"/>
  <c r="K603" i="15"/>
  <c r="K595" i="15"/>
  <c r="K587" i="15"/>
  <c r="K579" i="15"/>
  <c r="K571" i="15"/>
  <c r="K563" i="15"/>
  <c r="K555" i="15"/>
  <c r="J756" i="15"/>
  <c r="J620" i="15"/>
  <c r="J436" i="15"/>
  <c r="J276" i="15"/>
  <c r="J771" i="15"/>
  <c r="J587" i="15"/>
  <c r="J451" i="15"/>
  <c r="J267" i="15"/>
  <c r="J770" i="15"/>
  <c r="J602" i="15"/>
  <c r="J434" i="15"/>
  <c r="J282" i="15"/>
  <c r="J767" i="15"/>
  <c r="J599" i="15"/>
  <c r="J447" i="15"/>
  <c r="J271" i="15"/>
  <c r="J657" i="15"/>
  <c r="J305" i="15"/>
  <c r="J825" i="15"/>
  <c r="J656" i="15"/>
  <c r="J320" i="15"/>
  <c r="J606" i="15"/>
  <c r="J286" i="15"/>
  <c r="J793" i="15"/>
  <c r="J653" i="15"/>
  <c r="J285" i="15"/>
  <c r="J853" i="15"/>
  <c r="J251" i="15"/>
  <c r="J760" i="15"/>
  <c r="J742" i="15"/>
  <c r="J565" i="15"/>
  <c r="J856" i="15"/>
  <c r="J265" i="15"/>
  <c r="I903" i="15"/>
  <c r="I889" i="15"/>
  <c r="I876" i="15"/>
  <c r="I864" i="15"/>
  <c r="I850" i="15"/>
  <c r="I839" i="15"/>
  <c r="K907" i="15"/>
  <c r="K881" i="15"/>
  <c r="K857" i="15"/>
  <c r="K829" i="15"/>
  <c r="K816" i="15"/>
  <c r="K802" i="15"/>
  <c r="K789" i="15"/>
  <c r="K777" i="15"/>
  <c r="K763" i="15"/>
  <c r="K752" i="15"/>
  <c r="K738" i="15"/>
  <c r="K726" i="15"/>
  <c r="K715" i="15"/>
  <c r="K705" i="15"/>
  <c r="K896" i="15"/>
  <c r="K852" i="15"/>
  <c r="I819" i="15"/>
  <c r="I801" i="15"/>
  <c r="I781" i="15"/>
  <c r="I763" i="15"/>
  <c r="I747" i="15"/>
  <c r="I731" i="15"/>
  <c r="I715" i="15"/>
  <c r="I699" i="15"/>
  <c r="K690" i="15"/>
  <c r="K682" i="15"/>
  <c r="K674" i="15"/>
  <c r="K666" i="15"/>
  <c r="K658" i="15"/>
  <c r="K650" i="15"/>
  <c r="K642" i="15"/>
  <c r="K634" i="15"/>
  <c r="K626" i="15"/>
  <c r="K618" i="15"/>
  <c r="K610" i="15"/>
  <c r="K602" i="15"/>
  <c r="K594" i="15"/>
  <c r="K586" i="15"/>
  <c r="K578" i="15"/>
  <c r="K570" i="15"/>
  <c r="K562" i="15"/>
  <c r="K554" i="15"/>
  <c r="K546" i="15"/>
  <c r="K538" i="15"/>
  <c r="K530" i="15"/>
  <c r="K522" i="15"/>
  <c r="K514" i="15"/>
  <c r="K506" i="15"/>
  <c r="K498" i="15"/>
  <c r="K490" i="15"/>
  <c r="K482" i="15"/>
  <c r="K474" i="15"/>
  <c r="J828" i="15"/>
  <c r="J660" i="15"/>
  <c r="J508" i="15"/>
  <c r="J340" i="15"/>
  <c r="J827" i="15"/>
  <c r="J675" i="15"/>
  <c r="J499" i="15"/>
  <c r="J355" i="15"/>
  <c r="J834" i="15"/>
  <c r="J658" i="15"/>
  <c r="J514" i="15"/>
  <c r="J330" i="15"/>
  <c r="J847" i="15"/>
  <c r="J663" i="15"/>
  <c r="J487" i="15"/>
  <c r="J343" i="15"/>
  <c r="J721" i="15"/>
  <c r="J449" i="15"/>
  <c r="J784" i="15"/>
  <c r="J432" i="15"/>
  <c r="J750" i="15"/>
  <c r="J414" i="15"/>
  <c r="J701" i="15"/>
  <c r="J429" i="15"/>
  <c r="J441" i="15"/>
  <c r="J664" i="15"/>
  <c r="J374" i="15"/>
  <c r="J584" i="15"/>
  <c r="J888" i="15"/>
  <c r="J457" i="15"/>
  <c r="J581" i="15"/>
  <c r="I906" i="15"/>
  <c r="I895" i="15"/>
  <c r="I881" i="15"/>
  <c r="I868" i="15"/>
  <c r="I856" i="15"/>
  <c r="I842" i="15"/>
  <c r="I831" i="15"/>
  <c r="K891" i="15"/>
  <c r="K865" i="15"/>
  <c r="K841" i="15"/>
  <c r="K819" i="15"/>
  <c r="K808" i="15"/>
  <c r="K794" i="15"/>
  <c r="K781" i="15"/>
  <c r="K769" i="15"/>
  <c r="K755" i="15"/>
  <c r="K744" i="15"/>
  <c r="K730" i="15"/>
  <c r="K720" i="15"/>
  <c r="K709" i="15"/>
  <c r="K698" i="15"/>
  <c r="K872" i="15"/>
  <c r="K828" i="15"/>
  <c r="I807" i="15"/>
  <c r="I789" i="15"/>
  <c r="I771" i="15"/>
  <c r="I753" i="15"/>
  <c r="I737" i="15"/>
  <c r="I721" i="15"/>
  <c r="I705" i="15"/>
  <c r="K693" i="15"/>
  <c r="K685" i="15"/>
  <c r="K677" i="15"/>
  <c r="K669" i="15"/>
  <c r="K661" i="15"/>
  <c r="K653" i="15"/>
  <c r="K645" i="15"/>
  <c r="K637" i="15"/>
  <c r="K629" i="15"/>
  <c r="K621" i="15"/>
  <c r="K613" i="15"/>
  <c r="K605" i="15"/>
  <c r="K597" i="15"/>
  <c r="K589" i="15"/>
  <c r="K581" i="15"/>
  <c r="K573" i="15"/>
  <c r="K565" i="15"/>
  <c r="J908" i="15"/>
  <c r="J860" i="15"/>
  <c r="G5" i="1"/>
  <c r="H5" i="1" l="1"/>
  <c r="F5" i="1" l="1"/>
  <c r="JF203" i="3" l="1"/>
  <c r="JF463" i="3"/>
  <c r="JF460" i="3"/>
  <c r="JF97" i="3"/>
  <c r="JF98" i="3"/>
  <c r="JF89" i="3"/>
  <c r="JF112" i="3"/>
  <c r="JF25" i="3"/>
  <c r="JF27" i="3"/>
  <c r="JF130" i="3"/>
  <c r="JF403" i="3"/>
  <c r="JF241" i="3"/>
  <c r="JF94" i="3"/>
  <c r="JF23" i="3"/>
  <c r="JF104" i="3"/>
  <c r="JF481" i="3"/>
  <c r="JF464" i="3"/>
  <c r="JF107" i="3"/>
  <c r="JF361" i="3"/>
  <c r="JF204" i="3"/>
  <c r="JF114" i="3"/>
  <c r="JF382" i="3"/>
  <c r="JF26" i="3"/>
  <c r="JF461" i="3"/>
  <c r="JF99" i="3"/>
  <c r="JF462" i="3"/>
  <c r="JF116" i="3"/>
  <c r="JF109" i="3"/>
  <c r="JF110" i="3"/>
  <c r="JF103" i="3"/>
  <c r="JF108" i="3"/>
  <c r="JF389" i="3"/>
  <c r="JF106" i="3"/>
  <c r="JF95" i="3"/>
  <c r="JF100" i="3"/>
  <c r="JF96" i="3"/>
  <c r="JF243" i="3"/>
  <c r="JF102" i="3"/>
  <c r="JF242" i="3"/>
  <c r="JF92" i="3"/>
  <c r="JF115" i="3"/>
  <c r="JF360" i="3"/>
  <c r="JF125" i="3"/>
  <c r="JF22" i="3"/>
  <c r="JF168" i="3"/>
  <c r="JF482" i="3"/>
  <c r="JF166" i="3"/>
  <c r="JF113" i="3"/>
  <c r="JF173" i="3"/>
  <c r="JF111" i="3"/>
  <c r="JF1221" i="3"/>
  <c r="JF126" i="3"/>
  <c r="JF91" i="3"/>
  <c r="JF105" i="3"/>
  <c r="JF483" i="3"/>
  <c r="JF101" i="3"/>
  <c r="JF93" i="3"/>
  <c r="JF90" i="3"/>
  <c r="JH2" i="3"/>
  <c r="JF2" i="3"/>
  <c r="JF4" i="3"/>
  <c r="JH4" i="3"/>
  <c r="JG2" i="3" l="1"/>
  <c r="JG4" i="3"/>
  <c r="JF21" i="3"/>
  <c r="JF7" i="3" l="1"/>
  <c r="JH6" i="3" l="1"/>
  <c r="JF6" i="3"/>
  <c r="JG6" i="3" l="1"/>
  <c r="L1187" i="1" l="1"/>
  <c r="L922" i="1"/>
  <c r="L645" i="1"/>
  <c r="L559" i="1"/>
  <c r="L450" i="1"/>
  <c r="L542" i="1"/>
  <c r="L892" i="1"/>
  <c r="L636" i="1"/>
  <c r="L22" i="1"/>
  <c r="L324" i="1"/>
  <c r="L17" i="1"/>
  <c r="L817" i="1"/>
  <c r="L640" i="1"/>
  <c r="L195" i="1"/>
  <c r="L18" i="1"/>
  <c r="L367" i="1"/>
  <c r="L1067" i="1"/>
  <c r="L910" i="1"/>
  <c r="L688" i="1"/>
  <c r="L1189" i="1"/>
  <c r="L941" i="1"/>
  <c r="L654" i="1"/>
  <c r="L557" i="1"/>
  <c r="L74" i="1"/>
  <c r="L225" i="1"/>
  <c r="L895" i="1"/>
  <c r="L703" i="1"/>
  <c r="L133" i="1"/>
  <c r="L439" i="1"/>
  <c r="L78" i="1"/>
  <c r="L806" i="1"/>
  <c r="L699" i="1"/>
  <c r="L467" i="1"/>
  <c r="L248" i="1"/>
  <c r="L25" i="1"/>
  <c r="L1082" i="1"/>
  <c r="L915" i="1"/>
  <c r="L724" i="1"/>
  <c r="L1191" i="1"/>
  <c r="L977" i="1"/>
  <c r="L641" i="1"/>
  <c r="L585" i="1"/>
  <c r="L304" i="1"/>
  <c r="L280" i="1"/>
  <c r="L908" i="1"/>
  <c r="L618" i="1"/>
  <c r="L468" i="1"/>
  <c r="L512" i="1"/>
  <c r="L413" i="1"/>
  <c r="L382" i="1"/>
  <c r="L277" i="1"/>
  <c r="L1155" i="1"/>
  <c r="L1022" i="1"/>
  <c r="L839" i="1"/>
  <c r="L460" i="1"/>
  <c r="L188" i="1"/>
  <c r="L1159" i="1"/>
  <c r="L932" i="1"/>
  <c r="L709" i="1"/>
  <c r="L241" i="1"/>
  <c r="L521" i="1"/>
  <c r="L1093" i="1"/>
  <c r="L462" i="1"/>
  <c r="L233" i="1"/>
  <c r="L825" i="1"/>
  <c r="L996" i="1"/>
  <c r="L174" i="1"/>
  <c r="L16" i="1"/>
  <c r="L254" i="1"/>
  <c r="L664" i="1"/>
  <c r="L638" i="1"/>
  <c r="L789" i="1"/>
  <c r="L417" i="1"/>
  <c r="L632" i="1"/>
  <c r="L768" i="1"/>
  <c r="L931" i="1"/>
  <c r="L1080" i="1"/>
  <c r="L1098" i="1"/>
  <c r="L44" i="1"/>
  <c r="L200" i="1"/>
  <c r="L482" i="1"/>
  <c r="L356" i="1"/>
  <c r="L993" i="1"/>
  <c r="L704" i="1"/>
  <c r="L1204" i="1"/>
  <c r="L111" i="1"/>
  <c r="L1072" i="1"/>
  <c r="L784" i="1"/>
  <c r="L746" i="1"/>
  <c r="L24" i="1"/>
  <c r="L112" i="1"/>
  <c r="L1003" i="1"/>
  <c r="L827" i="1"/>
  <c r="L571" i="1"/>
  <c r="L495" i="1"/>
  <c r="L42" i="1"/>
  <c r="L944" i="1"/>
  <c r="L783" i="1"/>
  <c r="L603" i="1"/>
  <c r="L508" i="1"/>
  <c r="L242" i="1"/>
  <c r="L1125" i="1"/>
  <c r="L984" i="1"/>
  <c r="L808" i="1"/>
  <c r="L45" i="1"/>
  <c r="L1086" i="1"/>
  <c r="L816" i="1"/>
  <c r="L751" i="1"/>
  <c r="L371" i="1"/>
  <c r="L402" i="1"/>
  <c r="L1041" i="1"/>
  <c r="L831" i="1"/>
  <c r="L596" i="1"/>
  <c r="L323" i="1"/>
  <c r="L207" i="1"/>
  <c r="L979" i="1"/>
  <c r="L798" i="1"/>
  <c r="L754" i="1"/>
  <c r="L4" i="1"/>
  <c r="L238" i="1"/>
  <c r="L1138" i="1"/>
  <c r="L991" i="1"/>
  <c r="L826" i="1"/>
  <c r="L212" i="1"/>
  <c r="L1092" i="1"/>
  <c r="L805" i="1"/>
  <c r="L669" i="1"/>
  <c r="L433" i="1"/>
  <c r="L464" i="1"/>
  <c r="L1013" i="1"/>
  <c r="L867" i="1"/>
  <c r="L670" i="1"/>
  <c r="L531" i="1"/>
  <c r="L505" i="1"/>
  <c r="L163" i="1"/>
  <c r="L193" i="1"/>
  <c r="L341" i="1"/>
  <c r="L1144" i="1"/>
  <c r="L988" i="1"/>
  <c r="L287" i="1"/>
  <c r="L490" i="1"/>
  <c r="L227" i="1"/>
  <c r="L1075" i="1"/>
  <c r="L864" i="1"/>
  <c r="L623" i="1"/>
  <c r="L520" i="1"/>
  <c r="L530" i="1"/>
  <c r="L740" i="1"/>
  <c r="L272" i="1"/>
  <c r="L952" i="1"/>
  <c r="L122" i="1"/>
  <c r="L87" i="1"/>
  <c r="L313" i="1"/>
  <c r="L364" i="1"/>
  <c r="L763" i="1"/>
  <c r="L769" i="1"/>
  <c r="L65" i="1"/>
  <c r="L1001" i="1"/>
  <c r="L882" i="1"/>
  <c r="L1103" i="1"/>
  <c r="L317" i="1"/>
  <c r="L1129" i="1"/>
  <c r="L137" i="1"/>
  <c r="L824" i="1"/>
  <c r="L646" i="1"/>
  <c r="L465" i="1"/>
  <c r="L164" i="1"/>
  <c r="L723" i="1"/>
  <c r="L943" i="1"/>
  <c r="L72" i="1"/>
  <c r="L89" i="1"/>
  <c r="L1154" i="1"/>
  <c r="L924" i="1"/>
  <c r="L756" i="1"/>
  <c r="L736" i="1"/>
  <c r="L455" i="1"/>
  <c r="L1099" i="1"/>
  <c r="L930" i="1"/>
  <c r="L711" i="1"/>
  <c r="L14" i="1"/>
  <c r="L387" i="1"/>
  <c r="L1084" i="1"/>
  <c r="L907" i="1"/>
  <c r="L649" i="1"/>
  <c r="L290" i="1"/>
  <c r="L412" i="1"/>
  <c r="L1165" i="1"/>
  <c r="L1036" i="1"/>
  <c r="L863" i="1"/>
  <c r="L93" i="1"/>
  <c r="L1170" i="1"/>
  <c r="L937" i="1"/>
  <c r="L781" i="1"/>
  <c r="L726" i="1"/>
  <c r="L110" i="1"/>
  <c r="L1131" i="1"/>
  <c r="L961" i="1"/>
  <c r="L737" i="1"/>
  <c r="L59" i="1"/>
  <c r="L140" i="1"/>
  <c r="L956" i="1"/>
  <c r="L904" i="1"/>
  <c r="L1025" i="1"/>
  <c r="L408" i="1"/>
  <c r="L245" i="1"/>
  <c r="L1181" i="1"/>
  <c r="L1060" i="1"/>
  <c r="L872" i="1"/>
  <c r="L354" i="1"/>
  <c r="L1186" i="1"/>
  <c r="L965" i="1"/>
  <c r="L801" i="1"/>
  <c r="L676" i="1"/>
  <c r="L67" i="1"/>
  <c r="L1151" i="1"/>
  <c r="L972" i="1"/>
  <c r="L741" i="1"/>
  <c r="L239" i="1"/>
  <c r="L28" i="1"/>
  <c r="L733" i="1"/>
  <c r="L232" i="1"/>
  <c r="L486" i="1"/>
  <c r="L103" i="1"/>
  <c r="L1094" i="1"/>
  <c r="L594" i="1"/>
  <c r="L500" i="1"/>
  <c r="L37" i="1"/>
  <c r="L1208" i="1"/>
  <c r="L1039" i="1"/>
  <c r="L152" i="1"/>
  <c r="L613" i="1"/>
  <c r="L183" i="1"/>
  <c r="L926" i="1"/>
  <c r="L525" i="1"/>
  <c r="L177" i="1"/>
  <c r="L478" i="1"/>
  <c r="L378" i="1"/>
  <c r="L270" i="1"/>
  <c r="L265" i="1"/>
  <c r="L870" i="1"/>
  <c r="L845" i="1"/>
  <c r="L71" i="1"/>
  <c r="L436" i="1"/>
  <c r="L224" i="1"/>
  <c r="L327" i="1"/>
  <c r="L218" i="1"/>
  <c r="L634" i="1"/>
  <c r="L838" i="1"/>
  <c r="L129" i="1"/>
  <c r="L1179" i="1"/>
  <c r="L776" i="1"/>
  <c r="L657" i="1"/>
  <c r="L10" i="1"/>
  <c r="L1190" i="1"/>
  <c r="L522" i="1"/>
  <c r="L7" i="1"/>
  <c r="L178" i="1"/>
  <c r="L1028" i="1"/>
  <c r="L913" i="1"/>
  <c r="L753" i="1"/>
  <c r="L217" i="1"/>
  <c r="L211" i="1"/>
  <c r="L1083" i="1"/>
  <c r="L844" i="1"/>
  <c r="L662" i="1"/>
  <c r="L365" i="1"/>
  <c r="L1193" i="1"/>
  <c r="L1023" i="1"/>
  <c r="L842" i="1"/>
  <c r="L470" i="1"/>
  <c r="L329" i="1"/>
  <c r="L587" i="1"/>
  <c r="L1113" i="1"/>
  <c r="L935" i="1"/>
  <c r="L428" i="1"/>
  <c r="L231" i="1"/>
  <c r="L1064" i="1"/>
  <c r="L917" i="1"/>
  <c r="L759" i="1"/>
  <c r="L247" i="1"/>
  <c r="L266" i="1"/>
  <c r="L958" i="1"/>
  <c r="L856" i="1"/>
  <c r="L708" i="1"/>
  <c r="L36" i="1"/>
  <c r="L339" i="1"/>
  <c r="L1053" i="1"/>
  <c r="L854" i="1"/>
  <c r="L449" i="1"/>
  <c r="L240" i="1"/>
  <c r="L562" i="1"/>
  <c r="L1100" i="1"/>
  <c r="L940" i="1"/>
  <c r="L131" i="1"/>
  <c r="L144" i="1"/>
  <c r="L1070" i="1"/>
  <c r="L939" i="1"/>
  <c r="L778" i="1"/>
  <c r="L526" i="1"/>
  <c r="L209" i="1"/>
  <c r="L1106" i="1"/>
  <c r="L889" i="1"/>
  <c r="L655" i="1"/>
  <c r="L91" i="1"/>
  <c r="L760" i="1"/>
  <c r="L451" i="1"/>
  <c r="L444" i="1"/>
  <c r="L353" i="1"/>
  <c r="L1175" i="1"/>
  <c r="L685" i="1"/>
  <c r="L121" i="1"/>
  <c r="L471" i="1"/>
  <c r="L202" i="1"/>
  <c r="L1122" i="1"/>
  <c r="L250" i="1"/>
  <c r="L978" i="1"/>
  <c r="L719" i="1"/>
  <c r="L1172" i="1"/>
  <c r="L757" i="1"/>
  <c r="L173" i="1"/>
  <c r="L532" i="1"/>
  <c r="L337" i="1"/>
  <c r="L476" i="1"/>
  <c r="L539" i="1"/>
  <c r="L938" i="1"/>
  <c r="L946" i="1"/>
  <c r="L456" i="1"/>
  <c r="L319" i="1"/>
  <c r="L637" i="1"/>
  <c r="L574" i="1"/>
  <c r="L424" i="1"/>
  <c r="L802" i="1"/>
  <c r="L284" i="1"/>
  <c r="L119" i="1"/>
  <c r="L410" i="1"/>
  <c r="L58" i="1"/>
  <c r="L999" i="1"/>
  <c r="L606" i="1"/>
  <c r="L151" i="1"/>
  <c r="L620" i="1"/>
  <c r="L88" i="1"/>
  <c r="L333" i="1"/>
  <c r="L5" i="1"/>
  <c r="L1057" i="1"/>
  <c r="L881" i="1"/>
  <c r="L401" i="1"/>
  <c r="L372" i="1"/>
  <c r="L132" i="1"/>
  <c r="L968" i="1"/>
  <c r="L765" i="1"/>
  <c r="L573" i="1"/>
  <c r="L230" i="1"/>
  <c r="L1149" i="1"/>
  <c r="L981" i="1"/>
  <c r="L434" i="1"/>
  <c r="L82" i="1"/>
  <c r="L696" i="1"/>
  <c r="L1166" i="1"/>
  <c r="L1004" i="1"/>
  <c r="L427" i="1"/>
  <c r="L278" i="1"/>
  <c r="L536" i="1"/>
  <c r="L1068" i="1"/>
  <c r="L894" i="1"/>
  <c r="L264" i="1"/>
  <c r="L191" i="1"/>
  <c r="L219" i="1"/>
  <c r="L989" i="1"/>
  <c r="L773" i="1"/>
  <c r="L591" i="1"/>
  <c r="L299" i="1"/>
  <c r="L1178" i="1"/>
  <c r="L1000" i="1"/>
  <c r="L352" i="1"/>
  <c r="L459" i="1"/>
  <c r="L707" i="1"/>
  <c r="L1182" i="1"/>
  <c r="L1027" i="1"/>
  <c r="L469" i="1"/>
  <c r="L405" i="1"/>
  <c r="L440" i="1"/>
  <c r="L1087" i="1"/>
  <c r="L903" i="1"/>
  <c r="L64" i="1"/>
  <c r="L256" i="1"/>
  <c r="L186" i="1"/>
  <c r="L1043" i="1"/>
  <c r="L793" i="1"/>
  <c r="L611" i="1"/>
  <c r="L893" i="1"/>
  <c r="L745" i="1"/>
  <c r="L466" i="1"/>
  <c r="L345" i="1"/>
  <c r="L334" i="1"/>
  <c r="L861" i="1"/>
  <c r="L668" i="1"/>
  <c r="L1211" i="1"/>
  <c r="L438" i="1"/>
  <c r="L185" i="1"/>
  <c r="L169" i="1"/>
  <c r="L447" i="1"/>
  <c r="L925" i="1"/>
  <c r="L192" i="1"/>
  <c r="L1033" i="1"/>
  <c r="L705" i="1"/>
  <c r="L567" i="1"/>
  <c r="L679" i="1"/>
  <c r="L268" i="1"/>
  <c r="L322" i="1"/>
  <c r="L1046" i="1"/>
  <c r="L1017" i="1"/>
  <c r="L874" i="1"/>
  <c r="L1081" i="1"/>
  <c r="L604" i="1"/>
  <c r="L918" i="1"/>
  <c r="L1058" i="1"/>
  <c r="L982" i="1"/>
  <c r="L677" i="1"/>
  <c r="L869" i="1"/>
  <c r="L716" i="1"/>
  <c r="L30" i="1"/>
  <c r="L1171" i="1"/>
  <c r="L823" i="1"/>
  <c r="L514" i="1"/>
  <c r="L1020" i="1"/>
  <c r="L555" i="1"/>
  <c r="L66" i="1"/>
  <c r="L271" i="1"/>
  <c r="L1188" i="1"/>
  <c r="L1009" i="1"/>
  <c r="L445" i="1"/>
  <c r="L210" i="1"/>
  <c r="L543" i="1"/>
  <c r="L1095" i="1"/>
  <c r="L898" i="1"/>
  <c r="L644" i="1"/>
  <c r="L117" i="1"/>
  <c r="L391" i="1"/>
  <c r="L154" i="1"/>
  <c r="L766" i="1"/>
  <c r="L68" i="1"/>
  <c r="L691" i="1"/>
  <c r="L561" i="1"/>
  <c r="L1076" i="1"/>
  <c r="L552" i="1"/>
  <c r="L528" i="1"/>
  <c r="L253" i="1"/>
  <c r="L1173" i="1"/>
  <c r="L1037" i="1"/>
  <c r="L492" i="1"/>
  <c r="L98" i="1"/>
  <c r="L86" i="1"/>
  <c r="L1107" i="1"/>
  <c r="L923" i="1"/>
  <c r="L139" i="1"/>
  <c r="L311" i="1"/>
  <c r="L61" i="1"/>
  <c r="L487" i="1"/>
  <c r="L774" i="1"/>
  <c r="L294" i="1"/>
  <c r="L612" i="1"/>
  <c r="L595" i="1"/>
  <c r="L1074" i="1"/>
  <c r="L588" i="1"/>
  <c r="L398" i="1"/>
  <c r="L160" i="1"/>
  <c r="L463" i="1"/>
  <c r="L1051" i="1"/>
  <c r="L13" i="1"/>
  <c r="L425" i="1"/>
  <c r="L201" i="1"/>
  <c r="L1124" i="1"/>
  <c r="L929" i="1"/>
  <c r="L172" i="1"/>
  <c r="L1015" i="1"/>
  <c r="L761" i="1"/>
  <c r="L642" i="1"/>
  <c r="L377" i="1"/>
  <c r="L308" i="1"/>
  <c r="L983" i="1"/>
  <c r="L787" i="1"/>
  <c r="L563" i="1"/>
  <c r="L507" i="1"/>
  <c r="L537" i="1"/>
  <c r="L627" i="1"/>
  <c r="L458" i="1"/>
  <c r="L1174" i="1"/>
  <c r="L368" i="1"/>
  <c r="L101" i="1"/>
  <c r="L357" i="1"/>
  <c r="L700" i="1"/>
  <c r="L877" i="1"/>
  <c r="L860" i="1"/>
  <c r="L1112" i="1"/>
  <c r="L1114" i="1"/>
  <c r="L1110" i="1"/>
  <c r="L431" i="1"/>
  <c r="L379" i="1"/>
  <c r="L921" i="1"/>
  <c r="L349" i="1"/>
  <c r="L1213" i="1"/>
  <c r="L1135" i="1"/>
  <c r="L181" i="1"/>
  <c r="L124" i="1"/>
  <c r="L1140" i="1"/>
  <c r="L39" i="1"/>
  <c r="L34" i="1"/>
  <c r="L480" i="1"/>
  <c r="L326" i="1"/>
  <c r="L15" i="1"/>
  <c r="L712" i="1"/>
  <c r="L1121" i="1"/>
  <c r="L282" i="1"/>
  <c r="L40" i="1"/>
  <c r="L786" i="1"/>
  <c r="L310" i="1"/>
  <c r="L614" i="1"/>
  <c r="L1055" i="1"/>
  <c r="L128" i="1"/>
  <c r="L626" i="1"/>
  <c r="L403" i="1"/>
  <c r="L355" i="1"/>
  <c r="L244" i="1"/>
  <c r="L569" i="1"/>
  <c r="L672" i="1"/>
  <c r="L600" i="1"/>
  <c r="L732" i="1"/>
  <c r="L1196" i="1"/>
  <c r="L835" i="1"/>
  <c r="L130" i="1"/>
  <c r="L794" i="1"/>
  <c r="L113" i="1"/>
  <c r="L1097" i="1"/>
  <c r="L489" i="1"/>
  <c r="L149" i="1"/>
  <c r="L332" i="1"/>
  <c r="L423" i="1"/>
  <c r="L775" i="1"/>
  <c r="L785" i="1"/>
  <c r="L399" i="1"/>
  <c r="L1006" i="1"/>
  <c r="L658" i="1"/>
  <c r="L1157" i="1"/>
  <c r="L796" i="1"/>
  <c r="L309" i="1"/>
  <c r="L461" i="1"/>
  <c r="L584" i="1"/>
  <c r="L415" i="1"/>
  <c r="L473" i="1"/>
  <c r="L964" i="1"/>
  <c r="L975" i="1"/>
  <c r="L1038" i="1"/>
  <c r="L720" i="1"/>
  <c r="L246" i="1"/>
  <c r="L680" i="1"/>
  <c r="L483" i="1"/>
  <c r="L397" i="1"/>
  <c r="L790" i="1"/>
  <c r="L1126" i="1"/>
  <c r="L370" i="1"/>
  <c r="L170" i="1"/>
  <c r="L1101" i="1"/>
  <c r="L216" i="1"/>
  <c r="L269" i="1"/>
  <c r="L689" i="1"/>
  <c r="L57" i="1"/>
  <c r="L534" i="1"/>
  <c r="L694" i="1"/>
  <c r="L325" i="1"/>
  <c r="L933" i="1"/>
  <c r="L714" i="1"/>
  <c r="L667" i="1"/>
  <c r="L85" i="1"/>
  <c r="L205" i="1"/>
  <c r="L673" i="1"/>
  <c r="L243" i="1"/>
  <c r="L998" i="1"/>
  <c r="L426" i="1"/>
  <c r="L651" i="1"/>
  <c r="L538" i="1"/>
  <c r="L416" i="1"/>
  <c r="L653" i="1"/>
  <c r="L155" i="1"/>
  <c r="L493" i="1"/>
  <c r="L728" i="1"/>
  <c r="L1164" i="1"/>
  <c r="L1184" i="1"/>
  <c r="L578" i="1"/>
  <c r="L650" i="1"/>
  <c r="L138" i="1"/>
  <c r="L1209" i="1"/>
  <c r="L1016" i="1"/>
  <c r="L430" i="1"/>
  <c r="L797" i="1"/>
  <c r="L524" i="1"/>
  <c r="L400" i="1"/>
  <c r="L97" i="1"/>
  <c r="L866" i="1"/>
  <c r="L338" i="1"/>
  <c r="L770" i="1"/>
  <c r="L1194" i="1"/>
  <c r="L9" i="1"/>
  <c r="L621" i="1"/>
  <c r="L474" i="1"/>
  <c r="L581" i="1"/>
  <c r="L298" i="1"/>
  <c r="L631" i="1"/>
  <c r="L828" i="1"/>
  <c r="L819" i="1"/>
  <c r="L875" i="1"/>
  <c r="L597" i="1"/>
  <c r="L312" i="1"/>
  <c r="L851" i="1"/>
  <c r="L307" i="1"/>
  <c r="L104" i="1"/>
  <c r="L328" i="1"/>
  <c r="L146" i="1"/>
  <c r="L286" i="1"/>
  <c r="L69" i="1"/>
  <c r="L501" i="1"/>
  <c r="L862" i="1"/>
  <c r="L847" i="1"/>
  <c r="L99" i="1"/>
  <c r="L175" i="1"/>
  <c r="L970" i="1"/>
  <c r="L429" i="1"/>
  <c r="L1059" i="1"/>
  <c r="L739" i="1"/>
  <c r="L568" i="1"/>
  <c r="L628" i="1"/>
  <c r="L306" i="1"/>
  <c r="L1040" i="1"/>
  <c r="L1062" i="1"/>
  <c r="L1056" i="1"/>
  <c r="L302" i="1"/>
  <c r="L369" i="1"/>
  <c r="L767" i="1"/>
  <c r="L301" i="1"/>
  <c r="L738" i="1"/>
  <c r="L599" i="1"/>
  <c r="L107" i="1"/>
  <c r="L273" i="1"/>
  <c r="L750" i="1"/>
  <c r="L145" i="1"/>
  <c r="L340" i="1"/>
  <c r="L198" i="1"/>
  <c r="L541" i="1"/>
  <c r="L919" i="1"/>
  <c r="L855" i="1"/>
  <c r="L1066" i="1"/>
  <c r="L1026" i="1"/>
  <c r="L834" i="1"/>
  <c r="L959" i="1"/>
  <c r="L848" i="1"/>
  <c r="L32" i="1"/>
  <c r="L873" i="1"/>
  <c r="L1111" i="1"/>
  <c r="L1160" i="1"/>
  <c r="L947" i="1"/>
  <c r="L1142" i="1"/>
  <c r="L1105" i="1"/>
  <c r="L92" i="1"/>
  <c r="L846" i="1"/>
  <c r="L11" i="1"/>
  <c r="L807" i="1"/>
  <c r="L829" i="1"/>
  <c r="L1029" i="1"/>
  <c r="L1035" i="1"/>
  <c r="L635" i="1"/>
  <c r="L126" i="1"/>
  <c r="L452" i="1"/>
  <c r="L836" i="1"/>
  <c r="L616" i="1"/>
  <c r="L1147" i="1"/>
  <c r="L499" i="1"/>
  <c r="L1052" i="1"/>
  <c r="L1085" i="1"/>
  <c r="L19" i="1"/>
  <c r="L50" i="1"/>
  <c r="L558" i="1"/>
  <c r="L1044" i="1"/>
  <c r="L47" i="1"/>
  <c r="L742" i="1"/>
  <c r="L162" i="1"/>
  <c r="L262" i="1"/>
  <c r="L577" i="1"/>
  <c r="L899" i="1"/>
  <c r="L1141" i="1"/>
  <c r="L318" i="1"/>
  <c r="L215" i="1"/>
  <c r="L1130" i="1"/>
  <c r="L180" i="1"/>
  <c r="L343" i="1"/>
  <c r="L361" i="1"/>
  <c r="L876" i="1"/>
  <c r="L1167" i="1"/>
  <c r="L208" i="1"/>
  <c r="L336" i="1"/>
  <c r="L442" i="1"/>
  <c r="L779" i="1"/>
  <c r="L393" i="1"/>
  <c r="L143" i="1"/>
  <c r="L566" i="1"/>
  <c r="L548" i="1"/>
  <c r="L475" i="1"/>
  <c r="L948" i="1"/>
  <c r="L969" i="1"/>
  <c r="L752" i="1"/>
  <c r="L6" i="1"/>
  <c r="L1206" i="1"/>
  <c r="L77" i="1"/>
  <c r="L53" i="1"/>
  <c r="L593" i="1"/>
  <c r="L652" i="1"/>
  <c r="L914" i="1"/>
  <c r="L911" i="1"/>
  <c r="L1117" i="1"/>
  <c r="L1132" i="1"/>
  <c r="L1143" i="1"/>
  <c r="L701" i="1"/>
  <c r="L803" i="1"/>
  <c r="L479" i="1"/>
  <c r="L503" i="1"/>
  <c r="L800" i="1"/>
  <c r="L221" i="1"/>
  <c r="L106" i="1"/>
  <c r="L945" i="1"/>
  <c r="L976" i="1"/>
  <c r="L643" i="1"/>
  <c r="L1065" i="1"/>
  <c r="L1018" i="1"/>
  <c r="L822" i="1"/>
  <c r="L954" i="1"/>
  <c r="L100" i="1"/>
  <c r="L734" i="1"/>
  <c r="L344" i="1"/>
  <c r="L234" i="1"/>
  <c r="L553" i="1"/>
  <c r="L821" i="1"/>
  <c r="L1014" i="1"/>
  <c r="L374" i="1"/>
  <c r="L718" i="1"/>
  <c r="L261" i="1"/>
  <c r="L351" i="1"/>
  <c r="L647" i="1"/>
  <c r="L316" i="1"/>
  <c r="L909" i="1"/>
  <c r="L494" i="1"/>
  <c r="L384" i="1"/>
  <c r="L1002" i="1"/>
  <c r="L502" i="1"/>
  <c r="L41" i="1"/>
  <c r="L102" i="1"/>
  <c r="L804" i="1"/>
  <c r="L359" i="1"/>
  <c r="L1010" i="1"/>
  <c r="L1214" i="1"/>
  <c r="L509" i="1"/>
  <c r="L435" i="1"/>
  <c r="L697" i="1"/>
  <c r="L549" i="1"/>
  <c r="L506" i="1"/>
  <c r="L213" i="1"/>
  <c r="L564" i="1"/>
  <c r="L890" i="1"/>
  <c r="L1118" i="1"/>
  <c r="L544" i="1"/>
  <c r="L545" i="1"/>
  <c r="L293" i="1"/>
  <c r="L194" i="1"/>
  <c r="L695" i="1"/>
  <c r="L1158" i="1"/>
  <c r="L161" i="1"/>
  <c r="L884" i="1"/>
  <c r="L950" i="1"/>
  <c r="L414" i="1"/>
  <c r="L692" i="1"/>
  <c r="L222" i="1"/>
  <c r="L1185" i="1"/>
  <c r="L448" i="1"/>
  <c r="L622" i="1"/>
  <c r="L533" i="1"/>
  <c r="L60" i="1"/>
  <c r="L335" i="1"/>
  <c r="L725" i="1"/>
  <c r="L886" i="1"/>
  <c r="L858" i="1"/>
  <c r="L1102" i="1"/>
  <c r="L1123" i="1"/>
  <c r="L1115" i="1"/>
  <c r="L206" i="1"/>
  <c r="L859" i="1"/>
  <c r="L283" i="1"/>
  <c r="L1030" i="1"/>
  <c r="L592" i="1"/>
  <c r="L906" i="1"/>
  <c r="L949" i="1"/>
  <c r="L214" i="1"/>
  <c r="L38" i="1"/>
  <c r="L690" i="1"/>
  <c r="L706" i="1"/>
  <c r="L235" i="1"/>
  <c r="L114" i="1"/>
  <c r="L586" i="1"/>
  <c r="L598" i="1"/>
  <c r="L656" i="1"/>
  <c r="L1215" i="1"/>
  <c r="L957" i="1"/>
  <c r="L1050" i="1"/>
  <c r="L75" i="1"/>
  <c r="L159" i="1"/>
  <c r="L853" i="1"/>
  <c r="L1145" i="1"/>
  <c r="L713" i="1"/>
  <c r="L496" i="1"/>
  <c r="L764" i="1"/>
  <c r="L29" i="1"/>
  <c r="L731" i="1"/>
  <c r="L1195" i="1"/>
  <c r="L187" i="1"/>
  <c r="L927" i="1"/>
  <c r="L966" i="1"/>
  <c r="L1180" i="1"/>
  <c r="L540" i="1"/>
  <c r="L683" i="1"/>
  <c r="L315" i="1"/>
  <c r="L409" i="1"/>
  <c r="L994" i="1"/>
  <c r="L809" i="1"/>
  <c r="L985" i="1"/>
  <c r="L1007" i="1"/>
  <c r="L747" i="1"/>
  <c r="L406" i="1"/>
  <c r="L51" i="1"/>
  <c r="L1161" i="1"/>
  <c r="L995" i="1"/>
  <c r="L513" i="1"/>
  <c r="L295" i="1"/>
  <c r="L288" i="1"/>
  <c r="L125" i="1"/>
  <c r="L682" i="1"/>
  <c r="L1134" i="1"/>
  <c r="L432" i="1"/>
  <c r="L31" i="1"/>
  <c r="L780" i="1"/>
  <c r="L420" i="1"/>
  <c r="L619" i="1"/>
  <c r="L1071" i="1"/>
  <c r="L661" i="1"/>
  <c r="L901" i="1"/>
  <c r="L986" i="1"/>
  <c r="L358" i="1"/>
  <c r="L226" i="1"/>
  <c r="L1008" i="1"/>
  <c r="L755" i="1"/>
  <c r="L260" i="1"/>
  <c r="L735" i="1"/>
  <c r="L572" i="1"/>
  <c r="L879" i="1"/>
  <c r="L1089" i="1"/>
  <c r="L223" i="1"/>
  <c r="L142" i="1"/>
  <c r="L610" i="1"/>
  <c r="L605" i="1"/>
  <c r="L296" i="1"/>
  <c r="L21" i="1"/>
  <c r="L258" i="1"/>
  <c r="L663" i="1"/>
  <c r="L63" i="1"/>
  <c r="L1109" i="1"/>
  <c r="L150" i="1"/>
  <c r="L348" i="1"/>
  <c r="L373" i="1"/>
  <c r="L285" i="1"/>
  <c r="L795" i="1"/>
  <c r="L788" i="1"/>
  <c r="L376" i="1"/>
  <c r="L510" i="1"/>
  <c r="L54" i="1"/>
  <c r="L135" i="1"/>
  <c r="L388" i="1"/>
  <c r="L888" i="1"/>
  <c r="L960" i="1"/>
  <c r="L481" i="1"/>
  <c r="L987" i="1"/>
  <c r="L331" i="1"/>
  <c r="L992" i="1"/>
  <c r="L1177" i="1"/>
  <c r="L196" i="1"/>
  <c r="L953" i="1"/>
  <c r="L1096" i="1"/>
  <c r="L23" i="1"/>
  <c r="L625" i="1"/>
  <c r="L830" i="1"/>
  <c r="L551" i="1"/>
  <c r="L1119" i="1"/>
  <c r="L841" i="1"/>
  <c r="L743" i="1"/>
  <c r="L602" i="1"/>
  <c r="L980" i="1"/>
  <c r="L963" i="1"/>
  <c r="L666" i="1"/>
  <c r="L289" i="1"/>
  <c r="L303" i="1"/>
  <c r="L687" i="1"/>
  <c r="L362" i="1"/>
  <c r="L1011" i="1"/>
  <c r="L1116" i="1"/>
  <c r="L263" i="1"/>
  <c r="L997" i="1"/>
  <c r="L136" i="1"/>
  <c r="L833" i="1"/>
  <c r="L1207" i="1"/>
  <c r="L385" i="1"/>
  <c r="L1136" i="1"/>
  <c r="L491" i="1"/>
  <c r="L375" i="1"/>
  <c r="L73" i="1"/>
  <c r="L560" i="1"/>
  <c r="L971" i="1"/>
  <c r="L1176" i="1"/>
  <c r="L497" i="1"/>
  <c r="L390" i="1"/>
  <c r="L347" i="1"/>
  <c r="L518" i="1"/>
  <c r="L791" i="1"/>
  <c r="L115" i="1"/>
  <c r="L1073" i="1"/>
  <c r="L883" i="1"/>
  <c r="L12" i="1"/>
  <c r="L686" i="1"/>
  <c r="L702" i="1"/>
  <c r="L547" i="1"/>
  <c r="L771" i="1"/>
  <c r="L62" i="1"/>
  <c r="L275" i="1"/>
  <c r="L1152" i="1"/>
  <c r="L1127" i="1"/>
  <c r="L659" i="1"/>
  <c r="L485" i="1"/>
  <c r="L576" i="1"/>
  <c r="L437" i="1"/>
  <c r="L108" i="1"/>
  <c r="L684" i="1"/>
  <c r="L1012" i="1"/>
  <c r="L840" i="1"/>
  <c r="L902" i="1"/>
  <c r="L251" i="1"/>
  <c r="L554" i="1"/>
  <c r="L228" i="1"/>
  <c r="L83" i="1"/>
  <c r="L609" i="1"/>
  <c r="L730" i="1"/>
  <c r="L749" i="1"/>
  <c r="L857" i="1"/>
  <c r="L127" i="1"/>
  <c r="L517" i="1"/>
  <c r="L570" i="1"/>
  <c r="L404" i="1"/>
  <c r="L665" i="1"/>
  <c r="L300" i="1"/>
  <c r="L167" i="1"/>
  <c r="L615" i="1"/>
  <c r="L1133" i="1"/>
  <c r="L792" i="1"/>
  <c r="L837" i="1"/>
  <c r="L229" i="1"/>
  <c r="L550" i="1"/>
  <c r="L717" i="1"/>
  <c r="L441" i="1"/>
  <c r="L878" i="1"/>
  <c r="L330" i="1"/>
  <c r="L575" i="1"/>
  <c r="L120" i="1"/>
  <c r="L1148" i="1"/>
  <c r="L920" i="1"/>
  <c r="L582" i="1"/>
  <c r="L589" i="1"/>
  <c r="L519" i="1"/>
  <c r="L46" i="1"/>
  <c r="L818" i="1"/>
  <c r="L84" i="1"/>
  <c r="L33" i="1"/>
  <c r="L346" i="1"/>
  <c r="L421" i="1"/>
  <c r="L166" i="1"/>
  <c r="L35" i="1"/>
  <c r="L1203" i="1"/>
  <c r="L1048" i="1"/>
  <c r="L529" i="1"/>
  <c r="L1061" i="1"/>
  <c r="L832" i="1"/>
  <c r="L90" i="1"/>
  <c r="L1019" i="1"/>
  <c r="L693" i="1"/>
  <c r="L386" i="1"/>
  <c r="L934" i="1"/>
  <c r="L147" i="1"/>
  <c r="L1054" i="1"/>
  <c r="L55" i="1"/>
  <c r="L1063" i="1"/>
  <c r="L772" i="1"/>
  <c r="L291" i="1"/>
  <c r="L556" i="1"/>
  <c r="L504" i="1"/>
  <c r="L758" i="1"/>
  <c r="L1042" i="1"/>
  <c r="L484" i="1"/>
  <c r="L488" i="1"/>
  <c r="L973" i="1"/>
  <c r="L865" i="1"/>
  <c r="L1031" i="1"/>
  <c r="L165" i="1"/>
  <c r="L1079" i="1"/>
  <c r="L182" i="1"/>
  <c r="L912" i="1"/>
  <c r="L419" i="1"/>
  <c r="L729" i="1"/>
  <c r="L8" i="1"/>
  <c r="L629" i="1"/>
  <c r="L153" i="1"/>
  <c r="L1169" i="1"/>
  <c r="L123" i="1"/>
  <c r="L813" i="1"/>
  <c r="L1120" i="1"/>
  <c r="L748" i="1"/>
  <c r="L134" i="1"/>
  <c r="L916" i="1"/>
  <c r="L511" i="1"/>
  <c r="L477" i="1"/>
  <c r="L675" i="1"/>
  <c r="L360" i="1"/>
  <c r="L70" i="1"/>
  <c r="L453" i="1"/>
  <c r="L1202" i="1"/>
  <c r="L1077" i="1"/>
  <c r="L1032" i="1"/>
  <c r="L1216" i="1"/>
  <c r="L105" i="1"/>
  <c r="L936" i="1"/>
  <c r="L252" i="1"/>
  <c r="L249" i="1"/>
  <c r="L81" i="1"/>
  <c r="L350" i="1"/>
  <c r="L782" i="1"/>
  <c r="L1153" i="1"/>
  <c r="L1045" i="1"/>
  <c r="L389" i="1"/>
  <c r="L1201" i="1"/>
  <c r="L1199" i="1"/>
  <c r="L96" i="1"/>
  <c r="L472" i="1"/>
  <c r="L148" i="1"/>
  <c r="L259" i="1"/>
  <c r="L189" i="1"/>
  <c r="L383" i="1"/>
  <c r="L197" i="1"/>
  <c r="L579" i="1"/>
  <c r="L868" i="1"/>
  <c r="L257" i="1"/>
  <c r="L608" i="1"/>
  <c r="L176" i="1"/>
  <c r="L896" i="1"/>
  <c r="L630" i="1"/>
  <c r="L56" i="1"/>
  <c r="L1183" i="1"/>
  <c r="L681" i="1"/>
  <c r="L305" i="1"/>
  <c r="L20" i="1"/>
  <c r="L1197" i="1"/>
  <c r="L777" i="1"/>
  <c r="L962" i="1"/>
  <c r="L580" i="1"/>
  <c r="L381" i="1"/>
  <c r="L617" i="1"/>
  <c r="L583" i="1"/>
  <c r="L297" i="1"/>
  <c r="L1108" i="1"/>
  <c r="L900" i="1"/>
  <c r="L443" i="1"/>
  <c r="L171" i="1"/>
  <c r="L1146" i="1"/>
  <c r="L928" i="1"/>
  <c r="L1198" i="1"/>
  <c r="L366" i="1"/>
  <c r="L523" i="1"/>
  <c r="L279" i="1"/>
  <c r="L674" i="1"/>
  <c r="L1139" i="1"/>
  <c r="L1137" i="1"/>
  <c r="L380" i="1"/>
  <c r="L905" i="1"/>
  <c r="L762" i="1"/>
  <c r="L1163" i="1"/>
  <c r="L601" i="1"/>
  <c r="L721" i="1"/>
  <c r="L43" i="1"/>
  <c r="L76" i="1"/>
  <c r="L1156" i="1"/>
  <c r="L94" i="1"/>
  <c r="L814" i="1"/>
  <c r="L516" i="1"/>
  <c r="L812" i="1"/>
  <c r="L454" i="1"/>
  <c r="L267" i="1"/>
  <c r="L1069" i="1"/>
  <c r="L744" i="1"/>
  <c r="L815" i="1"/>
  <c r="L363" i="1"/>
  <c r="L199" i="1"/>
  <c r="L276" i="1"/>
  <c r="L852" i="1"/>
  <c r="L633" i="1"/>
  <c r="L190" i="1"/>
  <c r="L885" i="1"/>
  <c r="L1128" i="1"/>
  <c r="L1049" i="1"/>
  <c r="L715" i="1"/>
  <c r="L955" i="1"/>
  <c r="L671" i="1"/>
  <c r="L546" i="1"/>
  <c r="L27" i="1"/>
  <c r="L342" i="1"/>
  <c r="L157" i="1"/>
  <c r="L849" i="1"/>
  <c r="L394" i="1"/>
  <c r="L446" i="1"/>
  <c r="L624" i="1"/>
  <c r="L660" i="1"/>
  <c r="L1162" i="1"/>
  <c r="L811" i="1"/>
  <c r="L321" i="1"/>
  <c r="L457" i="1"/>
  <c r="L871" i="1"/>
  <c r="L990" i="1"/>
  <c r="L204" i="1"/>
  <c r="L942" i="1"/>
  <c r="L887" i="1"/>
  <c r="L1021" i="1"/>
  <c r="L236" i="1"/>
  <c r="L418" i="1"/>
  <c r="L648" i="1"/>
  <c r="L158" i="1"/>
  <c r="L727" i="1"/>
  <c r="L292" i="1"/>
  <c r="L535" i="1"/>
  <c r="L607" i="1"/>
  <c r="L203" i="1"/>
  <c r="L810" i="1"/>
  <c r="L1034" i="1"/>
  <c r="L48" i="1"/>
  <c r="L116" i="1"/>
  <c r="L95" i="1"/>
  <c r="L820" i="1"/>
  <c r="L1192" i="1"/>
  <c r="L515" i="1"/>
  <c r="L422" i="1"/>
  <c r="L52" i="1"/>
  <c r="L1200" i="1"/>
  <c r="L109" i="1"/>
  <c r="L880" i="1"/>
  <c r="L118" i="1"/>
  <c r="L26" i="1"/>
  <c r="L80" i="1"/>
  <c r="L897" i="1"/>
  <c r="L710" i="1"/>
  <c r="L156" i="1"/>
  <c r="L396" i="1"/>
  <c r="L184" i="1"/>
  <c r="L411" i="1"/>
  <c r="L565" i="1"/>
  <c r="L79" i="1"/>
  <c r="L1047" i="1"/>
  <c r="L407" i="1"/>
  <c r="L1212" i="1"/>
  <c r="L1024" i="1"/>
  <c r="L974" i="1"/>
  <c r="L1104" i="1"/>
  <c r="L498" i="1"/>
  <c r="L891" i="1"/>
  <c r="L1088" i="1"/>
  <c r="L967" i="1"/>
  <c r="L1205" i="1"/>
  <c r="L314" i="1"/>
  <c r="L179" i="1"/>
  <c r="L49" i="1"/>
  <c r="L951" i="1"/>
  <c r="L395" i="1"/>
  <c r="L237" i="1"/>
  <c r="L1150" i="1"/>
  <c r="L698" i="1"/>
  <c r="L722" i="1"/>
  <c r="L141" i="1"/>
  <c r="L220" i="1"/>
  <c r="L678" i="1"/>
  <c r="L850" i="1"/>
  <c r="L1078" i="1"/>
  <c r="L1091" i="1"/>
  <c r="L1005" i="1"/>
  <c r="L799" i="1"/>
  <c r="L1090" i="1"/>
  <c r="L527" i="1"/>
  <c r="L639" i="1"/>
  <c r="L320" i="1"/>
  <c r="L392" i="1"/>
  <c r="L590" i="1"/>
  <c r="L274" i="1"/>
  <c r="L281" i="1"/>
  <c r="L1210" i="1"/>
  <c r="L255" i="1"/>
  <c r="L1168" i="1"/>
  <c r="L843" i="1"/>
  <c r="L168" i="1"/>
  <c r="G2" i="1" l="1"/>
  <c r="C10" i="8"/>
  <c r="C3" i="8"/>
  <c r="I1" i="1"/>
  <c r="G4" i="1"/>
  <c r="H4" i="1"/>
  <c r="I2" i="1"/>
  <c r="C7" i="8"/>
  <c r="G1" i="1"/>
  <c r="H2" i="1"/>
  <c r="C8" i="8"/>
  <c r="F1" i="1"/>
  <c r="C9" i="8"/>
  <c r="C6" i="8"/>
  <c r="C5" i="8"/>
  <c r="F4" i="1"/>
  <c r="C9" i="3"/>
  <c r="H1" i="1"/>
  <c r="C18" i="8"/>
  <c r="C4" i="8"/>
  <c r="F2" i="1"/>
  <c r="BK9" i="8"/>
  <c r="BN9" i="8" s="1"/>
  <c r="CC4" i="1"/>
  <c r="BS4" i="1"/>
  <c r="BK18" i="8"/>
  <c r="BN4" i="1"/>
  <c r="BN1" i="1" s="1"/>
  <c r="BR4" i="1"/>
  <c r="BW4" i="1"/>
  <c r="BW1" i="1" s="1"/>
  <c r="CA4" i="1"/>
  <c r="CD4" i="1"/>
  <c r="CB4" i="1"/>
  <c r="BU4" i="1"/>
  <c r="BQ4" i="1"/>
  <c r="BQ1" i="1" s="1"/>
  <c r="BZ4" i="1"/>
  <c r="BZ1" i="1" s="1"/>
  <c r="BM4" i="1"/>
  <c r="BK8" i="8" s="1"/>
  <c r="BN8" i="8"/>
  <c r="BO4" i="1"/>
  <c r="BI4" i="1"/>
  <c r="BK3" i="8"/>
  <c r="BL3" i="8" s="1"/>
  <c r="BH1" i="1"/>
  <c r="BL4" i="1"/>
  <c r="BL1" i="1" s="1"/>
  <c r="BV1" i="1"/>
  <c r="BV4" i="1"/>
  <c r="BK17" i="8" s="1"/>
  <c r="BT4" i="1"/>
  <c r="BP4" i="1"/>
  <c r="BX4" i="1"/>
  <c r="AW4" i="1"/>
  <c r="BH4" i="1"/>
  <c r="BJ4" i="1"/>
  <c r="CE4" i="1"/>
  <c r="AC2" i="8"/>
  <c r="AA2" i="8"/>
  <c r="AA28" i="8" s="1"/>
  <c r="AK28" i="8" s="1"/>
  <c r="AY57" i="8" s="1"/>
  <c r="Y2" i="8"/>
  <c r="AX2" i="1"/>
  <c r="AX4" i="1"/>
  <c r="AX1" i="1"/>
  <c r="BK4" i="1"/>
  <c r="BY4" i="1"/>
  <c r="X2" i="8"/>
  <c r="AA5" i="8"/>
  <c r="AA10" i="8"/>
  <c r="AV64" i="8" s="1"/>
  <c r="Y6" i="8"/>
  <c r="C2" i="8"/>
  <c r="AV4" i="1"/>
  <c r="AZ4" i="1"/>
  <c r="AZ1" i="1"/>
  <c r="AA15" i="8"/>
  <c r="AK15" i="8" s="1"/>
  <c r="AW69" i="8" s="1"/>
  <c r="AA18" i="8"/>
  <c r="AK18" i="8" s="1"/>
  <c r="AW72" i="8" s="1"/>
  <c r="Z2" i="8"/>
  <c r="AA3" i="8"/>
  <c r="AA8" i="8"/>
  <c r="BE8" i="8" s="1"/>
  <c r="AX62" i="8" s="1"/>
  <c r="AA4" i="8"/>
  <c r="AU4" i="8" s="1"/>
  <c r="AA9" i="8"/>
  <c r="AU9" i="8" s="1"/>
  <c r="AC3" i="8"/>
  <c r="Y4" i="8"/>
  <c r="AA21" i="8"/>
  <c r="Y10" i="8"/>
  <c r="C11" i="8"/>
  <c r="W3" i="8" s="1"/>
  <c r="AG3" i="8" s="1"/>
  <c r="Y57" i="8" s="1"/>
  <c r="AB2" i="8"/>
  <c r="AB3" i="8"/>
  <c r="AL3" i="8" s="1"/>
  <c r="BC57" i="8" s="1"/>
  <c r="AC4" i="8"/>
  <c r="AM4" i="8" s="1"/>
  <c r="BI58" i="8" s="1"/>
  <c r="AA16" i="8"/>
  <c r="AB20" i="8"/>
  <c r="AL20" i="8" s="1"/>
  <c r="BC74" i="8" s="1"/>
  <c r="AC11" i="8"/>
  <c r="Y3" i="8"/>
  <c r="AB7" i="8"/>
  <c r="BF7" i="8" s="1"/>
  <c r="BD61" i="8" s="1"/>
  <c r="AB4" i="8"/>
  <c r="AB11" i="8"/>
  <c r="Y8" i="8"/>
  <c r="AA6" i="8"/>
  <c r="AA12" i="8"/>
  <c r="AB18" i="8"/>
  <c r="X26" i="8"/>
  <c r="Z9" i="8"/>
  <c r="AB23" i="8"/>
  <c r="AA20" i="8"/>
  <c r="X9" i="8"/>
  <c r="Y9" i="8"/>
  <c r="AI9" i="8" s="1"/>
  <c r="AK63" i="8" s="1"/>
  <c r="X7" i="8"/>
  <c r="BB7" i="8" s="1"/>
  <c r="AF61" i="8" s="1"/>
  <c r="Z7" i="8"/>
  <c r="AJ7" i="8" s="1"/>
  <c r="AQ61" i="8" s="1"/>
  <c r="Z5" i="8"/>
  <c r="AB25" i="8"/>
  <c r="Y5" i="8"/>
  <c r="AI5" i="8" s="1"/>
  <c r="AK59" i="8" s="1"/>
  <c r="AA17" i="8"/>
  <c r="Z4" i="8"/>
  <c r="AJ4" i="8" s="1"/>
  <c r="AQ58" i="8" s="1"/>
  <c r="Y20" i="8"/>
  <c r="AI20" i="8" s="1"/>
  <c r="AK74" i="8" s="1"/>
  <c r="AB26" i="8"/>
  <c r="BF26" i="8" s="1"/>
  <c r="BD80" i="8" s="1"/>
  <c r="Z26" i="8"/>
  <c r="Y15" i="8"/>
  <c r="BC15" i="8" s="1"/>
  <c r="AL69" i="8" s="1"/>
  <c r="AA22" i="8"/>
  <c r="AC13" i="8"/>
  <c r="AI4" i="1"/>
  <c r="AC4" i="1" s="1"/>
  <c r="M4" i="1" s="1"/>
  <c r="AA11" i="8"/>
  <c r="AB16" i="8"/>
  <c r="AL16" i="8" s="1"/>
  <c r="BC70" i="8" s="1"/>
  <c r="X10" i="8"/>
  <c r="Z11" i="8"/>
  <c r="X13" i="8"/>
  <c r="AA23" i="8"/>
  <c r="AK23" i="8" s="1"/>
  <c r="AW77" i="8" s="1"/>
  <c r="Y7" i="8"/>
  <c r="BC7" i="8" s="1"/>
  <c r="AL61" i="8" s="1"/>
  <c r="AB13" i="8"/>
  <c r="X23" i="8"/>
  <c r="AC18" i="8"/>
  <c r="AM18" i="8" s="1"/>
  <c r="BI72" i="8" s="1"/>
  <c r="AC14" i="8"/>
  <c r="Y13" i="8"/>
  <c r="BC13" i="8" s="1"/>
  <c r="AL67" i="8" s="1"/>
  <c r="Y23" i="8"/>
  <c r="X11" i="8"/>
  <c r="AC12" i="8"/>
  <c r="AM12" i="8" s="1"/>
  <c r="BI66" i="8" s="1"/>
  <c r="Y19" i="8"/>
  <c r="BC19" i="8" s="1"/>
  <c r="AL73" i="8" s="1"/>
  <c r="C12" i="8"/>
  <c r="AB9" i="8"/>
  <c r="C29" i="8"/>
  <c r="X12" i="8"/>
  <c r="AB22" i="8"/>
  <c r="BF22" i="8" s="1"/>
  <c r="BD76" i="8" s="1"/>
  <c r="AA7" i="8"/>
  <c r="AB6" i="8"/>
  <c r="Z6" i="8"/>
  <c r="AJ6" i="8"/>
  <c r="AQ60" i="8" s="1"/>
  <c r="AB5" i="8"/>
  <c r="C27" i="8"/>
  <c r="W18" i="8" s="1"/>
  <c r="C16" i="8"/>
  <c r="W8" i="8"/>
  <c r="AB12" i="8"/>
  <c r="AL12" i="8" s="1"/>
  <c r="BC66" i="8" s="1"/>
  <c r="AA13" i="8"/>
  <c r="AK13" i="8" s="1"/>
  <c r="AW67" i="8" s="1"/>
  <c r="Z18" i="8"/>
  <c r="BD18" i="8" s="1"/>
  <c r="AR72" i="8" s="1"/>
  <c r="Y18" i="8"/>
  <c r="BC18" i="8"/>
  <c r="AL72" i="8" s="1"/>
  <c r="Y11" i="8"/>
  <c r="AB21" i="8"/>
  <c r="AL21" i="8" s="1"/>
  <c r="BC75" i="8" s="1"/>
  <c r="AB10" i="8"/>
  <c r="C21" i="8"/>
  <c r="Z17" i="8"/>
  <c r="AA14" i="8"/>
  <c r="AA19" i="8"/>
  <c r="BE19" i="8" s="1"/>
  <c r="AX73" i="8" s="1"/>
  <c r="Y14" i="8"/>
  <c r="AI14" i="8" s="1"/>
  <c r="AK68" i="8" s="1"/>
  <c r="AC10" i="8"/>
  <c r="Y17" i="8"/>
  <c r="Y12" i="8"/>
  <c r="X14" i="8"/>
  <c r="AH14" i="8" s="1"/>
  <c r="AE68" i="8" s="1"/>
  <c r="AC5" i="8"/>
  <c r="AC21" i="8"/>
  <c r="Y21" i="8"/>
  <c r="C33" i="8"/>
  <c r="W24" i="8" s="1"/>
  <c r="C15" i="8"/>
  <c r="X21" i="8"/>
  <c r="X4" i="8"/>
  <c r="BB4" i="8" s="1"/>
  <c r="AF58" i="8" s="1"/>
  <c r="C17" i="8"/>
  <c r="W9" i="8" s="1"/>
  <c r="Y25" i="8"/>
  <c r="AI25" i="8" s="1"/>
  <c r="AK79" i="8" s="1"/>
  <c r="AC8" i="8"/>
  <c r="AM8" i="8" s="1"/>
  <c r="BI62" i="8" s="1"/>
  <c r="C13" i="8"/>
  <c r="Z23" i="8"/>
  <c r="AJ23" i="8" s="1"/>
  <c r="AQ77" i="8" s="1"/>
  <c r="C35" i="8"/>
  <c r="W26" i="8" s="1"/>
  <c r="AC22" i="8"/>
  <c r="Z19" i="8"/>
  <c r="AJ19" i="8" s="1"/>
  <c r="AQ73" i="8" s="1"/>
  <c r="C31" i="8"/>
  <c r="X16" i="8"/>
  <c r="AH16" i="8" s="1"/>
  <c r="AE70" i="8" s="1"/>
  <c r="Y16" i="8"/>
  <c r="AB24" i="8"/>
  <c r="AB15" i="8"/>
  <c r="AC26" i="8"/>
  <c r="AM26" i="8" s="1"/>
  <c r="BI80" i="8" s="1"/>
  <c r="Z24" i="8"/>
  <c r="AJ24" i="8" s="1"/>
  <c r="AQ78" i="8" s="1"/>
  <c r="C30" i="8"/>
  <c r="W21" i="8" s="1"/>
  <c r="AC17" i="8"/>
  <c r="AC9" i="8"/>
  <c r="AC20" i="8"/>
  <c r="Z20" i="8"/>
  <c r="AC19" i="8"/>
  <c r="AM19" i="8" s="1"/>
  <c r="BI73" i="8" s="1"/>
  <c r="AC16" i="8"/>
  <c r="AM16" i="8" s="1"/>
  <c r="BI70" i="8" s="1"/>
  <c r="C20" i="8"/>
  <c r="Z15" i="8"/>
  <c r="Z16" i="8"/>
  <c r="C32" i="8"/>
  <c r="W23" i="8" s="1"/>
  <c r="AB19" i="8"/>
  <c r="X15" i="8"/>
  <c r="AH15" i="8" s="1"/>
  <c r="AE69" i="8" s="1"/>
  <c r="AC15" i="8"/>
  <c r="AM15" i="8" s="1"/>
  <c r="BI69" i="8" s="1"/>
  <c r="AC6" i="8"/>
  <c r="C22" i="8"/>
  <c r="W13" i="8" s="1"/>
  <c r="AG13" i="8" s="1"/>
  <c r="Y67" i="8" s="1"/>
  <c r="C24" i="8"/>
  <c r="X17" i="8"/>
  <c r="AB17" i="8"/>
  <c r="AL17" i="8" s="1"/>
  <c r="BC71" i="8" s="1"/>
  <c r="X25" i="8"/>
  <c r="Z22" i="8"/>
  <c r="C28" i="8"/>
  <c r="AC25" i="8"/>
  <c r="AM25" i="8" s="1"/>
  <c r="BI79" i="8" s="1"/>
  <c r="X24" i="8"/>
  <c r="Z21" i="8"/>
  <c r="Y26" i="8"/>
  <c r="C25" i="8"/>
  <c r="W16" i="8" s="1"/>
  <c r="AG16" i="8" s="1"/>
  <c r="Y70" i="8" s="1"/>
  <c r="X20" i="8"/>
  <c r="AB14" i="8"/>
  <c r="AL14" i="8" s="1"/>
  <c r="BC68" i="8" s="1"/>
  <c r="Y22" i="8"/>
  <c r="AC24" i="8"/>
  <c r="AM24" i="8" s="1"/>
  <c r="BI78" i="8" s="1"/>
  <c r="Z25" i="8"/>
  <c r="AJ25" i="8" s="1"/>
  <c r="AQ79" i="8" s="1"/>
  <c r="AC23" i="8"/>
  <c r="AM23" i="8" s="1"/>
  <c r="BI77" i="8" s="1"/>
  <c r="Z10" i="8"/>
  <c r="AJ10" i="8" s="1"/>
  <c r="AQ64" i="8" s="1"/>
  <c r="Z8" i="8"/>
  <c r="AJ8" i="8"/>
  <c r="AQ62" i="8" s="1"/>
  <c r="X5" i="8"/>
  <c r="AH5" i="8"/>
  <c r="AE59" i="8" s="1"/>
  <c r="AH22" i="8"/>
  <c r="AE76" i="8" s="1"/>
  <c r="X19" i="8"/>
  <c r="AB8" i="8"/>
  <c r="C14" i="8"/>
  <c r="W6" i="8" s="1"/>
  <c r="C19" i="8"/>
  <c r="W10" i="8" s="1"/>
  <c r="Y24" i="8"/>
  <c r="AI24" i="8"/>
  <c r="AK78" i="8" s="1"/>
  <c r="X8" i="8"/>
  <c r="AH8" i="8" s="1"/>
  <c r="AE62" i="8" s="1"/>
  <c r="A2" i="15"/>
  <c r="F3" i="15" s="1"/>
  <c r="C34" i="8"/>
  <c r="W25" i="8" s="1"/>
  <c r="AA24" i="8"/>
  <c r="AA26" i="8"/>
  <c r="AK26" i="8" s="1"/>
  <c r="AW80" i="8" s="1"/>
  <c r="C23" i="8"/>
  <c r="W14" i="8" s="1"/>
  <c r="AG14" i="8" s="1"/>
  <c r="Y68" i="8" s="1"/>
  <c r="Z13" i="8"/>
  <c r="AJ13" i="8" s="1"/>
  <c r="AQ67" i="8" s="1"/>
  <c r="Z14" i="8"/>
  <c r="AJ14" i="8"/>
  <c r="AQ68" i="8" s="1"/>
  <c r="BG4" i="1"/>
  <c r="Z3" i="8"/>
  <c r="AJ3" i="8" s="1"/>
  <c r="AQ57" i="8" s="1"/>
  <c r="X3" i="8"/>
  <c r="AH3" i="8" s="1"/>
  <c r="AE57" i="8" s="1"/>
  <c r="AC7" i="8"/>
  <c r="AM7" i="8"/>
  <c r="BI61" i="8" s="1"/>
  <c r="AA25" i="8"/>
  <c r="AK25" i="8" s="1"/>
  <c r="AW79" i="8" s="1"/>
  <c r="C26" i="8"/>
  <c r="W17" i="8" s="1"/>
  <c r="Z12" i="8"/>
  <c r="AJ12" i="8" s="1"/>
  <c r="AQ66" i="8" s="1"/>
  <c r="X22" i="8"/>
  <c r="X18" i="8"/>
  <c r="AH18" i="8" s="1"/>
  <c r="AE72" i="8" s="1"/>
  <c r="D4" i="1"/>
  <c r="X6" i="8"/>
  <c r="AJ18" i="8" l="1"/>
  <c r="AQ72" i="8" s="1"/>
  <c r="AK2" i="8"/>
  <c r="AW56" i="8" s="1"/>
  <c r="AK9" i="8"/>
  <c r="AW63" i="8" s="1"/>
  <c r="AH4" i="8"/>
  <c r="AE58" i="8" s="1"/>
  <c r="AL22" i="8"/>
  <c r="BC76" i="8" s="1"/>
  <c r="BE2" i="8"/>
  <c r="AX56" i="8" s="1"/>
  <c r="AV56" i="8"/>
  <c r="AA29" i="8"/>
  <c r="BN3" i="8"/>
  <c r="BM3" i="8" s="1"/>
  <c r="AU2" i="8"/>
  <c r="BE9" i="8"/>
  <c r="AX63" i="8" s="1"/>
  <c r="BE4" i="8"/>
  <c r="AX58" i="8" s="1"/>
  <c r="AK4" i="8"/>
  <c r="AW58" i="8" s="1"/>
  <c r="AL26" i="8"/>
  <c r="BC80" i="8" s="1"/>
  <c r="BL9" i="8"/>
  <c r="BM9" i="8" s="1"/>
  <c r="BB78" i="8"/>
  <c r="AV24" i="8"/>
  <c r="AL24" i="8"/>
  <c r="BC78" i="8" s="1"/>
  <c r="AT21" i="8"/>
  <c r="AP75" i="8"/>
  <c r="AJ21" i="8"/>
  <c r="AQ75" i="8" s="1"/>
  <c r="W60" i="8"/>
  <c r="AQ6" i="8"/>
  <c r="AG6" i="8"/>
  <c r="Y60" i="8" s="1"/>
  <c r="W71" i="8"/>
  <c r="AQ17" i="8"/>
  <c r="AG17" i="8"/>
  <c r="Y71" i="8" s="1"/>
  <c r="P15" i="8"/>
  <c r="O25" i="8"/>
  <c r="J22" i="8"/>
  <c r="P35" i="8"/>
  <c r="P28" i="8"/>
  <c r="Q13" i="8"/>
  <c r="Q33" i="8"/>
  <c r="Q30" i="8"/>
  <c r="P16" i="8"/>
  <c r="R28" i="8"/>
  <c r="Q16" i="8"/>
  <c r="J12" i="8"/>
  <c r="O28" i="8"/>
  <c r="S33" i="8"/>
  <c r="Q11" i="8"/>
  <c r="N14" i="8"/>
  <c r="S29" i="8"/>
  <c r="N35" i="8"/>
  <c r="T35" i="8"/>
  <c r="T13" i="8"/>
  <c r="R34" i="8"/>
  <c r="J35" i="8"/>
  <c r="Q12" i="8"/>
  <c r="R35" i="8"/>
  <c r="Q26" i="8"/>
  <c r="N16" i="8"/>
  <c r="S19" i="8"/>
  <c r="O30" i="8"/>
  <c r="R15" i="8"/>
  <c r="S20" i="8"/>
  <c r="T32" i="8"/>
  <c r="T33" i="8"/>
  <c r="S30" i="8"/>
  <c r="Q35" i="8"/>
  <c r="J27" i="8"/>
  <c r="P30" i="8"/>
  <c r="O21" i="8"/>
  <c r="O14" i="8"/>
  <c r="J15" i="8"/>
  <c r="J21" i="8"/>
  <c r="J19" i="8"/>
  <c r="R27" i="8"/>
  <c r="O22" i="8"/>
  <c r="P25" i="8"/>
  <c r="T34" i="8"/>
  <c r="P20" i="8"/>
  <c r="O16" i="8"/>
  <c r="T28" i="8"/>
  <c r="J30" i="8"/>
  <c r="R20" i="8"/>
  <c r="O31" i="8"/>
  <c r="T20" i="8"/>
  <c r="T19" i="8"/>
  <c r="N15" i="8"/>
  <c r="O34" i="8"/>
  <c r="Q32" i="8"/>
  <c r="S22" i="8"/>
  <c r="S13" i="8"/>
  <c r="R32" i="8"/>
  <c r="P24" i="8"/>
  <c r="P33" i="8"/>
  <c r="S12" i="8"/>
  <c r="N19" i="8"/>
  <c r="Q15" i="8"/>
  <c r="N22" i="8"/>
  <c r="T31" i="8"/>
  <c r="O32" i="8"/>
  <c r="S24" i="8"/>
  <c r="R26" i="8"/>
  <c r="R16" i="8"/>
  <c r="T29" i="8"/>
  <c r="N27" i="8"/>
  <c r="R21" i="8"/>
  <c r="N24" i="8"/>
  <c r="Q19" i="8"/>
  <c r="S21" i="8"/>
  <c r="N33" i="8"/>
  <c r="R33" i="8"/>
  <c r="J20" i="8"/>
  <c r="Q24" i="8"/>
  <c r="S15" i="8"/>
  <c r="N31" i="8"/>
  <c r="S27" i="8"/>
  <c r="Q22" i="8"/>
  <c r="R19" i="8"/>
  <c r="N28" i="8"/>
  <c r="R24" i="8"/>
  <c r="N20" i="8"/>
  <c r="J28" i="8"/>
  <c r="S26" i="8"/>
  <c r="T30" i="8"/>
  <c r="N23" i="8"/>
  <c r="S35" i="8"/>
  <c r="R30" i="8"/>
  <c r="S11" i="8"/>
  <c r="R22" i="8"/>
  <c r="J26" i="8"/>
  <c r="Q21" i="8"/>
  <c r="Q23" i="8"/>
  <c r="J33" i="8"/>
  <c r="P21" i="8"/>
  <c r="N13" i="8"/>
  <c r="Q27" i="8"/>
  <c r="S16" i="8"/>
  <c r="J32" i="8"/>
  <c r="R31" i="8"/>
  <c r="Q25" i="8"/>
  <c r="Q20" i="8"/>
  <c r="T15" i="8"/>
  <c r="Q29" i="8"/>
  <c r="T22" i="8"/>
  <c r="T14" i="8"/>
  <c r="N29" i="8"/>
  <c r="T11" i="8"/>
  <c r="N32" i="8"/>
  <c r="P13" i="8"/>
  <c r="T24" i="8"/>
  <c r="N26" i="8"/>
  <c r="P34" i="8"/>
  <c r="T27" i="8"/>
  <c r="R12" i="8"/>
  <c r="O15" i="8"/>
  <c r="S28" i="8"/>
  <c r="R14" i="8"/>
  <c r="O27" i="8"/>
  <c r="O20" i="8"/>
  <c r="N21" i="8"/>
  <c r="O26" i="8"/>
  <c r="O33" i="8"/>
  <c r="N30" i="8"/>
  <c r="J29" i="8"/>
  <c r="P26" i="8"/>
  <c r="Q28" i="8"/>
  <c r="T16" i="8"/>
  <c r="N11" i="8"/>
  <c r="J16" i="8"/>
  <c r="P27" i="8"/>
  <c r="N34" i="8"/>
  <c r="P22" i="8"/>
  <c r="J23" i="8"/>
  <c r="S25" i="8"/>
  <c r="O13" i="8"/>
  <c r="T23" i="8"/>
  <c r="P19" i="8"/>
  <c r="S17" i="8"/>
  <c r="S18" i="8" s="1"/>
  <c r="P32" i="8"/>
  <c r="P12" i="8"/>
  <c r="R11" i="8"/>
  <c r="N12" i="8"/>
  <c r="J25" i="8"/>
  <c r="S32" i="8"/>
  <c r="J11" i="8"/>
  <c r="P14" i="8"/>
  <c r="Q14" i="8"/>
  <c r="J31" i="8"/>
  <c r="J13" i="8"/>
  <c r="O35" i="8"/>
  <c r="R13" i="8"/>
  <c r="R25" i="8"/>
  <c r="O29" i="8"/>
  <c r="R29" i="8"/>
  <c r="P29" i="8"/>
  <c r="T17" i="8"/>
  <c r="T18" i="8" s="1"/>
  <c r="S14" i="8"/>
  <c r="T26" i="8"/>
  <c r="S31" i="8"/>
  <c r="P31" i="8"/>
  <c r="J24" i="8"/>
  <c r="T21" i="8"/>
  <c r="N25" i="8"/>
  <c r="O23" i="8"/>
  <c r="J14" i="8"/>
  <c r="S34" i="8"/>
  <c r="O11" i="8"/>
  <c r="K20" i="8"/>
  <c r="G199" i="1" s="1"/>
  <c r="K22" i="8"/>
  <c r="G204" i="1" s="1"/>
  <c r="O17" i="8"/>
  <c r="O18" i="8" s="1"/>
  <c r="J34" i="8"/>
  <c r="T12" i="8"/>
  <c r="Q34" i="8"/>
  <c r="R23" i="8"/>
  <c r="P11" i="8"/>
  <c r="O19" i="8"/>
  <c r="O24" i="8"/>
  <c r="P23" i="8"/>
  <c r="T25" i="8"/>
  <c r="Q31" i="8"/>
  <c r="J17" i="8"/>
  <c r="J18" i="8" s="1"/>
  <c r="R17" i="8"/>
  <c r="R18" i="8" s="1"/>
  <c r="Q17" i="8"/>
  <c r="Q18" i="8" s="1"/>
  <c r="O12" i="8"/>
  <c r="N17" i="8"/>
  <c r="N18" i="8" s="1"/>
  <c r="P17" i="8"/>
  <c r="P18" i="8" s="1"/>
  <c r="S23" i="8"/>
  <c r="K24" i="8"/>
  <c r="K23" i="8"/>
  <c r="K13" i="8"/>
  <c r="K12" i="8"/>
  <c r="K25" i="8"/>
  <c r="K26" i="8"/>
  <c r="M31" i="8"/>
  <c r="L31" i="8"/>
  <c r="K14" i="8"/>
  <c r="K21" i="8"/>
  <c r="K16" i="8"/>
  <c r="K19" i="8"/>
  <c r="K15" i="8"/>
  <c r="K34" i="8"/>
  <c r="M34" i="8"/>
  <c r="L34" i="8"/>
  <c r="K17" i="8"/>
  <c r="K32" i="8"/>
  <c r="L33" i="8"/>
  <c r="L32" i="8"/>
  <c r="K31" i="8"/>
  <c r="M23" i="8"/>
  <c r="M28" i="8"/>
  <c r="M26" i="8"/>
  <c r="M33" i="8"/>
  <c r="M25" i="8"/>
  <c r="L25" i="8"/>
  <c r="L23" i="8"/>
  <c r="L16" i="8"/>
  <c r="L21" i="8"/>
  <c r="M27" i="8"/>
  <c r="K27" i="8"/>
  <c r="K28" i="8"/>
  <c r="M29" i="8"/>
  <c r="M16" i="8"/>
  <c r="M32" i="8"/>
  <c r="K35" i="8"/>
  <c r="L35" i="8"/>
  <c r="M15" i="8"/>
  <c r="K11" i="8"/>
  <c r="K30" i="8"/>
  <c r="K33" i="8"/>
  <c r="L15" i="8"/>
  <c r="M22" i="8"/>
  <c r="H204" i="1" s="1"/>
  <c r="L26" i="8"/>
  <c r="L24" i="8"/>
  <c r="M24" i="8"/>
  <c r="L17" i="8"/>
  <c r="M13" i="8"/>
  <c r="M20" i="8"/>
  <c r="H199" i="1" s="1"/>
  <c r="L27" i="8"/>
  <c r="L29" i="8"/>
  <c r="L12" i="8"/>
  <c r="M14" i="8"/>
  <c r="K29" i="8"/>
  <c r="L11" i="8"/>
  <c r="L30" i="8"/>
  <c r="L19" i="8"/>
  <c r="L20" i="8"/>
  <c r="F199" i="1" s="1"/>
  <c r="M35" i="8"/>
  <c r="L22" i="8"/>
  <c r="F204" i="1" s="1"/>
  <c r="L13" i="8"/>
  <c r="M21" i="8"/>
  <c r="M30" i="8"/>
  <c r="M17" i="8"/>
  <c r="M12" i="8"/>
  <c r="M19" i="8"/>
  <c r="L28" i="8"/>
  <c r="L14" i="8"/>
  <c r="AV8" i="8"/>
  <c r="BB62" i="8"/>
  <c r="AL8" i="8"/>
  <c r="BC62" i="8" s="1"/>
  <c r="E28" i="8"/>
  <c r="F28" i="8"/>
  <c r="W19" i="8"/>
  <c r="M11" i="8"/>
  <c r="AQ26" i="8"/>
  <c r="W80" i="8"/>
  <c r="AG26" i="8"/>
  <c r="Y80" i="8" s="1"/>
  <c r="AR18" i="8"/>
  <c r="BB18" i="8" s="1"/>
  <c r="AF72" i="8" s="1"/>
  <c r="AD72" i="8"/>
  <c r="AD18" i="8"/>
  <c r="AR6" i="8"/>
  <c r="AD6" i="8"/>
  <c r="AD60" i="8"/>
  <c r="AV78" i="8"/>
  <c r="AU24" i="8"/>
  <c r="AK24" i="8"/>
  <c r="AW78" i="8" s="1"/>
  <c r="AD73" i="8"/>
  <c r="AR19" i="8"/>
  <c r="AD19" i="8"/>
  <c r="AJ76" i="8"/>
  <c r="AS22" i="8"/>
  <c r="AD71" i="8"/>
  <c r="AR17" i="8"/>
  <c r="AD17" i="8"/>
  <c r="BH60" i="8"/>
  <c r="AW6" i="8"/>
  <c r="AM6" i="8"/>
  <c r="BI60" i="8" s="1"/>
  <c r="F20" i="8"/>
  <c r="E20" i="8"/>
  <c r="W11" i="8"/>
  <c r="AW17" i="8"/>
  <c r="BH71" i="8"/>
  <c r="AM17" i="8"/>
  <c r="BI71" i="8" s="1"/>
  <c r="BH77" i="8"/>
  <c r="AW23" i="8"/>
  <c r="BG23" i="8" s="1"/>
  <c r="BJ77" i="8" s="1"/>
  <c r="AQ16" i="8"/>
  <c r="BA16" i="8" s="1"/>
  <c r="Z70" i="8" s="1"/>
  <c r="W70" i="8"/>
  <c r="E24" i="8"/>
  <c r="F24" i="8"/>
  <c r="W15" i="8"/>
  <c r="AV19" i="8"/>
  <c r="BB73" i="8"/>
  <c r="AL19" i="8"/>
  <c r="BC73" i="8" s="1"/>
  <c r="AW20" i="8"/>
  <c r="BH74" i="8"/>
  <c r="AM20" i="8"/>
  <c r="BI74" i="8" s="1"/>
  <c r="F31" i="8"/>
  <c r="E31" i="8"/>
  <c r="W22" i="8"/>
  <c r="AQ9" i="8"/>
  <c r="W63" i="8"/>
  <c r="AG9" i="8"/>
  <c r="Y63" i="8" s="1"/>
  <c r="AP68" i="8"/>
  <c r="AT14" i="8"/>
  <c r="BD14" i="8" s="1"/>
  <c r="AR68" i="8" s="1"/>
  <c r="AR5" i="8"/>
  <c r="BB5" i="8" s="1"/>
  <c r="AF59" i="8" s="1"/>
  <c r="AD5" i="8"/>
  <c r="AD59" i="8"/>
  <c r="BB71" i="8"/>
  <c r="AV17" i="8"/>
  <c r="BF17" i="8" s="1"/>
  <c r="BD71" i="8" s="1"/>
  <c r="AT12" i="8"/>
  <c r="BD12" i="8" s="1"/>
  <c r="AR66" i="8" s="1"/>
  <c r="AP66" i="8"/>
  <c r="BH61" i="8"/>
  <c r="AW7" i="8"/>
  <c r="BG7" i="8" s="1"/>
  <c r="BJ61" i="8" s="1"/>
  <c r="AT3" i="8"/>
  <c r="BD3" i="8" s="1"/>
  <c r="AR57" i="8" s="1"/>
  <c r="AP57" i="8"/>
  <c r="BK2" i="8"/>
  <c r="BG1" i="1"/>
  <c r="AH6" i="8"/>
  <c r="AE60" i="8" s="1"/>
  <c r="AR24" i="8"/>
  <c r="AD24" i="8"/>
  <c r="AD78" i="8"/>
  <c r="AH25" i="8"/>
  <c r="AE79" i="8" s="1"/>
  <c r="F26" i="8"/>
  <c r="E26" i="8"/>
  <c r="AR25" i="8"/>
  <c r="AD79" i="8"/>
  <c r="AD25" i="8"/>
  <c r="BH69" i="8"/>
  <c r="AW15" i="8"/>
  <c r="BG15" i="8" s="1"/>
  <c r="BJ69" i="8" s="1"/>
  <c r="AP70" i="8"/>
  <c r="AT16" i="8"/>
  <c r="AJ16" i="8"/>
  <c r="AQ70" i="8" s="1"/>
  <c r="AW9" i="8"/>
  <c r="BH63" i="8"/>
  <c r="AM9" i="8"/>
  <c r="BI63" i="8" s="1"/>
  <c r="E13" i="8"/>
  <c r="F13" i="8"/>
  <c r="W5" i="8"/>
  <c r="F14" i="8"/>
  <c r="E14" i="8"/>
  <c r="W68" i="8"/>
  <c r="AQ14" i="8"/>
  <c r="BA14" i="8" s="1"/>
  <c r="Z68" i="8" s="1"/>
  <c r="AS26" i="8"/>
  <c r="AJ80" i="8"/>
  <c r="AP76" i="8"/>
  <c r="AT22" i="8"/>
  <c r="W67" i="8"/>
  <c r="AQ13" i="8"/>
  <c r="BA13" i="8" s="1"/>
  <c r="Z67" i="8" s="1"/>
  <c r="AI26" i="8"/>
  <c r="AK80" i="8" s="1"/>
  <c r="AQ21" i="8"/>
  <c r="W75" i="8"/>
  <c r="AG21" i="8"/>
  <c r="Y75" i="8" s="1"/>
  <c r="AS16" i="8"/>
  <c r="AJ70" i="8"/>
  <c r="AI16" i="8"/>
  <c r="AK70" i="8" s="1"/>
  <c r="BC16" i="8"/>
  <c r="AL70" i="8" s="1"/>
  <c r="AJ78" i="8"/>
  <c r="AS24" i="8"/>
  <c r="BC24" i="8" s="1"/>
  <c r="AL78" i="8" s="1"/>
  <c r="B13" i="8"/>
  <c r="D13" i="8" s="1"/>
  <c r="B2" i="8"/>
  <c r="B33" i="8"/>
  <c r="B24" i="8"/>
  <c r="D24" i="8" s="1"/>
  <c r="B32" i="8"/>
  <c r="D32" i="8" s="1"/>
  <c r="B21" i="8"/>
  <c r="D21" i="8" s="1"/>
  <c r="B9" i="8"/>
  <c r="B12" i="8"/>
  <c r="B6" i="8"/>
  <c r="B29" i="8"/>
  <c r="B17" i="8"/>
  <c r="B20" i="8"/>
  <c r="D20" i="8" s="1"/>
  <c r="B26" i="8"/>
  <c r="D26" i="8" s="1"/>
  <c r="B35" i="8"/>
  <c r="B25" i="8"/>
  <c r="D25" i="8" s="1"/>
  <c r="B28" i="8"/>
  <c r="D28" i="8" s="1"/>
  <c r="B8" i="8"/>
  <c r="B5" i="8"/>
  <c r="B3" i="8"/>
  <c r="D3" i="1"/>
  <c r="B30" i="8"/>
  <c r="D30" i="8" s="1"/>
  <c r="B7" i="8"/>
  <c r="B31" i="8"/>
  <c r="D31" i="8" s="1"/>
  <c r="B27" i="8"/>
  <c r="D27" i="8" s="1"/>
  <c r="B4" i="8"/>
  <c r="B10" i="8"/>
  <c r="B23" i="8"/>
  <c r="D23" i="8" s="1"/>
  <c r="B11" i="8"/>
  <c r="D11" i="8" s="1"/>
  <c r="B19" i="8"/>
  <c r="D19" i="8" s="1"/>
  <c r="B18" i="8"/>
  <c r="B22" i="8"/>
  <c r="D22" i="8" s="1"/>
  <c r="B15" i="8"/>
  <c r="B16" i="8"/>
  <c r="B34" i="8"/>
  <c r="D34" i="8" s="1"/>
  <c r="B14" i="8"/>
  <c r="D14" i="8" s="1"/>
  <c r="W64" i="8"/>
  <c r="AQ10" i="8"/>
  <c r="AG10" i="8"/>
  <c r="Y64" i="8" s="1"/>
  <c r="BH78" i="8"/>
  <c r="AW24" i="8"/>
  <c r="BG24" i="8" s="1"/>
  <c r="BJ78" i="8" s="1"/>
  <c r="AT10" i="8"/>
  <c r="BD10" i="8" s="1"/>
  <c r="AR64" i="8" s="1"/>
  <c r="AP64" i="8"/>
  <c r="F22" i="8"/>
  <c r="E22" i="8"/>
  <c r="W77" i="8"/>
  <c r="AQ23" i="8"/>
  <c r="AG23" i="8"/>
  <c r="Y77" i="8" s="1"/>
  <c r="AJ22" i="8"/>
  <c r="AQ76" i="8" s="1"/>
  <c r="W78" i="8"/>
  <c r="AQ24" i="8"/>
  <c r="AG24" i="8"/>
  <c r="Y78" i="8" s="1"/>
  <c r="BL2" i="8"/>
  <c r="BP2" i="8" s="1"/>
  <c r="AV80" i="8"/>
  <c r="AU26" i="8"/>
  <c r="BE26" i="8" s="1"/>
  <c r="AX80" i="8" s="1"/>
  <c r="W79" i="8"/>
  <c r="AQ25" i="8"/>
  <c r="AG25" i="8"/>
  <c r="Y79" i="8" s="1"/>
  <c r="AU25" i="8"/>
  <c r="BE25" i="8" s="1"/>
  <c r="AX79" i="8" s="1"/>
  <c r="AV79" i="8"/>
  <c r="F34" i="8"/>
  <c r="E34" i="8"/>
  <c r="AP79" i="8"/>
  <c r="AT25" i="8"/>
  <c r="BD25" i="8" s="1"/>
  <c r="AR79" i="8" s="1"/>
  <c r="AD76" i="8"/>
  <c r="AR22" i="8"/>
  <c r="BB22" i="8" s="1"/>
  <c r="AF76" i="8" s="1"/>
  <c r="AD22" i="8"/>
  <c r="E23" i="8"/>
  <c r="F23" i="8"/>
  <c r="AT8" i="8"/>
  <c r="BD8" i="8" s="1"/>
  <c r="AR62" i="8" s="1"/>
  <c r="AP62" i="8"/>
  <c r="AR20" i="8"/>
  <c r="AD20" i="8"/>
  <c r="AD74" i="8"/>
  <c r="AT13" i="8"/>
  <c r="BD13" i="8" s="1"/>
  <c r="AR67" i="8" s="1"/>
  <c r="AP67" i="8"/>
  <c r="AH19" i="8"/>
  <c r="AE73" i="8" s="1"/>
  <c r="AI22" i="8"/>
  <c r="AK76" i="8" s="1"/>
  <c r="BH79" i="8"/>
  <c r="AW25" i="8"/>
  <c r="BG25" i="8" s="1"/>
  <c r="BJ79" i="8" s="1"/>
  <c r="AH17" i="8"/>
  <c r="AE71" i="8" s="1"/>
  <c r="AH20" i="8"/>
  <c r="AE74" i="8" s="1"/>
  <c r="AH24" i="8"/>
  <c r="AE78" i="8" s="1"/>
  <c r="AD57" i="8"/>
  <c r="AR3" i="8"/>
  <c r="BB3" i="8" s="1"/>
  <c r="AF57" i="8" s="1"/>
  <c r="AD3" i="8"/>
  <c r="AD62" i="8"/>
  <c r="AD8" i="8"/>
  <c r="AR8" i="8"/>
  <c r="BB8" i="8" s="1"/>
  <c r="AF62" i="8" s="1"/>
  <c r="E19" i="8"/>
  <c r="F19" i="8"/>
  <c r="AT20" i="8"/>
  <c r="AP74" i="8"/>
  <c r="AV15" i="8"/>
  <c r="BB69" i="8"/>
  <c r="AD16" i="8"/>
  <c r="AD70" i="8"/>
  <c r="AR16" i="8"/>
  <c r="BB16" i="8" s="1"/>
  <c r="AF70" i="8" s="1"/>
  <c r="AJ66" i="8"/>
  <c r="BC12" i="8"/>
  <c r="AL66" i="8" s="1"/>
  <c r="AS12" i="8"/>
  <c r="AI12" i="8"/>
  <c r="AK66" i="8" s="1"/>
  <c r="AD15" i="8"/>
  <c r="AR15" i="8"/>
  <c r="BB15" i="8" s="1"/>
  <c r="AF69" i="8" s="1"/>
  <c r="AD69" i="8"/>
  <c r="F32" i="8"/>
  <c r="E32" i="8"/>
  <c r="AW22" i="8"/>
  <c r="BH76" i="8"/>
  <c r="AW8" i="8"/>
  <c r="BG8" i="8" s="1"/>
  <c r="BJ62" i="8" s="1"/>
  <c r="BH62" i="8"/>
  <c r="AW5" i="8"/>
  <c r="BH59" i="8"/>
  <c r="AM5" i="8"/>
  <c r="BI59" i="8" s="1"/>
  <c r="E17" i="8"/>
  <c r="F17" i="8"/>
  <c r="D17" i="8"/>
  <c r="AD75" i="8"/>
  <c r="AR21" i="8"/>
  <c r="AD21" i="8"/>
  <c r="AH21" i="8"/>
  <c r="AE75" i="8" s="1"/>
  <c r="F33" i="8"/>
  <c r="E33" i="8"/>
  <c r="D33" i="8"/>
  <c r="F30" i="8"/>
  <c r="E30" i="8"/>
  <c r="AP77" i="8"/>
  <c r="AT23" i="8"/>
  <c r="BD23" i="8" s="1"/>
  <c r="AR77" i="8" s="1"/>
  <c r="AS17" i="8"/>
  <c r="AJ71" i="8"/>
  <c r="BC17" i="8"/>
  <c r="AL71" i="8" s="1"/>
  <c r="AI17" i="8"/>
  <c r="AK71" i="8" s="1"/>
  <c r="AQ8" i="8"/>
  <c r="W62" i="8"/>
  <c r="AG8" i="8"/>
  <c r="Y62" i="8" s="1"/>
  <c r="AT15" i="8"/>
  <c r="AP69" i="8"/>
  <c r="AW16" i="8"/>
  <c r="BG16" i="8" s="1"/>
  <c r="BJ70" i="8" s="1"/>
  <c r="BH70" i="8"/>
  <c r="BH73" i="8"/>
  <c r="AW19" i="8"/>
  <c r="BG19" i="8" s="1"/>
  <c r="BJ73" i="8" s="1"/>
  <c r="AW26" i="8"/>
  <c r="BG26" i="8" s="1"/>
  <c r="BJ80" i="8" s="1"/>
  <c r="BH80" i="8"/>
  <c r="E35" i="8"/>
  <c r="F35" i="8"/>
  <c r="D35" i="8"/>
  <c r="AM22" i="8"/>
  <c r="BI76" i="8" s="1"/>
  <c r="F15" i="8"/>
  <c r="E15" i="8"/>
  <c r="D15" i="8"/>
  <c r="W7" i="8"/>
  <c r="E29" i="8"/>
  <c r="F29" i="8"/>
  <c r="D29" i="8"/>
  <c r="W20" i="8"/>
  <c r="AV14" i="8"/>
  <c r="BF14" i="8" s="1"/>
  <c r="BD68" i="8" s="1"/>
  <c r="BB68" i="8"/>
  <c r="F25" i="8"/>
  <c r="E25" i="8"/>
  <c r="AJ20" i="8"/>
  <c r="AQ74" i="8" s="1"/>
  <c r="AJ15" i="8"/>
  <c r="AQ69" i="8" s="1"/>
  <c r="AP73" i="8"/>
  <c r="AT19" i="8"/>
  <c r="BD19" i="8" s="1"/>
  <c r="AR73" i="8" s="1"/>
  <c r="AL15" i="8"/>
  <c r="BC69" i="8" s="1"/>
  <c r="AJ75" i="8"/>
  <c r="AS21" i="8"/>
  <c r="BC21" i="8"/>
  <c r="AL75" i="8" s="1"/>
  <c r="BH75" i="8"/>
  <c r="AW21" i="8"/>
  <c r="AR11" i="8"/>
  <c r="AH11" i="8"/>
  <c r="AE65" i="8" s="1"/>
  <c r="BB11" i="8"/>
  <c r="AF65" i="8" s="1"/>
  <c r="AD65" i="8"/>
  <c r="AD26" i="8"/>
  <c r="AR26" i="8"/>
  <c r="AD80" i="8"/>
  <c r="BB26" i="8"/>
  <c r="AF80" i="8" s="1"/>
  <c r="AH26" i="8"/>
  <c r="AE80" i="8" s="1"/>
  <c r="BH64" i="8"/>
  <c r="AW10" i="8"/>
  <c r="E21" i="8"/>
  <c r="F21" i="8"/>
  <c r="W12" i="8"/>
  <c r="M1" i="1"/>
  <c r="B2" i="15"/>
  <c r="R1" i="1"/>
  <c r="BB59" i="8"/>
  <c r="AV5" i="8"/>
  <c r="AL5" i="8"/>
  <c r="BC59" i="8" s="1"/>
  <c r="AR13" i="8"/>
  <c r="AD67" i="8"/>
  <c r="AD13" i="8"/>
  <c r="BB13" i="8"/>
  <c r="AF67" i="8" s="1"/>
  <c r="AS14" i="8"/>
  <c r="AJ68" i="8"/>
  <c r="BC14" i="8"/>
  <c r="AL68" i="8" s="1"/>
  <c r="AM10" i="8"/>
  <c r="BI64" i="8" s="1"/>
  <c r="AV9" i="8"/>
  <c r="BB63" i="8"/>
  <c r="BF9" i="8"/>
  <c r="BD63" i="8" s="1"/>
  <c r="AL9" i="8"/>
  <c r="BC63" i="8" s="1"/>
  <c r="AD68" i="8"/>
  <c r="AR14" i="8"/>
  <c r="BB14" i="8" s="1"/>
  <c r="AF68" i="8" s="1"/>
  <c r="AD14" i="8"/>
  <c r="AP78" i="8"/>
  <c r="AT24" i="8"/>
  <c r="BD24" i="8" s="1"/>
  <c r="AR78" i="8" s="1"/>
  <c r="AJ79" i="8"/>
  <c r="AS25" i="8"/>
  <c r="BC25" i="8" s="1"/>
  <c r="AL79" i="8" s="1"/>
  <c r="AI21" i="8"/>
  <c r="AK75" i="8" s="1"/>
  <c r="AM21" i="8"/>
  <c r="BI75" i="8" s="1"/>
  <c r="W72" i="8"/>
  <c r="AQ18" i="8"/>
  <c r="AG18" i="8"/>
  <c r="Y72" i="8" s="1"/>
  <c r="AH13" i="8"/>
  <c r="AE67" i="8" s="1"/>
  <c r="AP71" i="8"/>
  <c r="AT17" i="8"/>
  <c r="AV10" i="8"/>
  <c r="BB64" i="8"/>
  <c r="AD12" i="8"/>
  <c r="AR12" i="8"/>
  <c r="AD66" i="8"/>
  <c r="BB12" i="8"/>
  <c r="AF66" i="8" s="1"/>
  <c r="AH12" i="8"/>
  <c r="AE66" i="8" s="1"/>
  <c r="BE23" i="8"/>
  <c r="AX77" i="8" s="1"/>
  <c r="AS3" i="8"/>
  <c r="AJ57" i="8"/>
  <c r="AI3" i="8"/>
  <c r="AK57" i="8" s="1"/>
  <c r="BC3" i="8"/>
  <c r="AL57" i="8" s="1"/>
  <c r="AJ67" i="8"/>
  <c r="AS13" i="8"/>
  <c r="AI13" i="8"/>
  <c r="AK67" i="8" s="1"/>
  <c r="AT11" i="8"/>
  <c r="AP65" i="8"/>
  <c r="AJ11" i="8"/>
  <c r="AQ65" i="8" s="1"/>
  <c r="AW13" i="8"/>
  <c r="BH67" i="8"/>
  <c r="BG13" i="8"/>
  <c r="BJ67" i="8" s="1"/>
  <c r="AM13" i="8"/>
  <c r="BI67" i="8" s="1"/>
  <c r="AV18" i="8"/>
  <c r="BB72" i="8"/>
  <c r="BF18" i="8"/>
  <c r="BD72" i="8" s="1"/>
  <c r="AL18" i="8"/>
  <c r="BC72" i="8" s="1"/>
  <c r="AV66" i="8"/>
  <c r="AU12" i="8"/>
  <c r="BE12" i="8"/>
  <c r="AX66" i="8" s="1"/>
  <c r="AK12" i="8"/>
  <c r="AW66" i="8" s="1"/>
  <c r="AV21" i="8"/>
  <c r="BB75" i="8"/>
  <c r="BF21" i="8"/>
  <c r="BD75" i="8" s="1"/>
  <c r="E27" i="8"/>
  <c r="F27" i="8"/>
  <c r="AV22" i="8"/>
  <c r="BB76" i="8"/>
  <c r="BF16" i="8"/>
  <c r="BD70" i="8" s="1"/>
  <c r="BB70" i="8"/>
  <c r="AV16" i="8"/>
  <c r="BB79" i="8"/>
  <c r="AV25" i="8"/>
  <c r="AL25" i="8"/>
  <c r="BC79" i="8" s="1"/>
  <c r="BF25" i="8"/>
  <c r="BD79" i="8" s="1"/>
  <c r="BF10" i="8"/>
  <c r="BD64" i="8" s="1"/>
  <c r="BD11" i="8"/>
  <c r="AR65" i="8" s="1"/>
  <c r="AU14" i="8"/>
  <c r="AV68" i="8"/>
  <c r="BE14" i="8"/>
  <c r="AX68" i="8" s="1"/>
  <c r="AK14" i="8"/>
  <c r="AW68" i="8" s="1"/>
  <c r="AJ72" i="8"/>
  <c r="AS18" i="8"/>
  <c r="AR23" i="8"/>
  <c r="AD23" i="8"/>
  <c r="AD77" i="8"/>
  <c r="BB23" i="8"/>
  <c r="AF77" i="8" s="1"/>
  <c r="AH23" i="8"/>
  <c r="AE77" i="8" s="1"/>
  <c r="AJ61" i="8"/>
  <c r="AS7" i="8"/>
  <c r="AI7" i="8"/>
  <c r="AK61" i="8" s="1"/>
  <c r="AS23" i="8"/>
  <c r="AJ77" i="8"/>
  <c r="BC23" i="8"/>
  <c r="AL77" i="8" s="1"/>
  <c r="AI23" i="8"/>
  <c r="AK77" i="8" s="1"/>
  <c r="AW14" i="8"/>
  <c r="BH68" i="8"/>
  <c r="BG14" i="8"/>
  <c r="BJ68" i="8" s="1"/>
  <c r="AM14" i="8"/>
  <c r="BI68" i="8" s="1"/>
  <c r="BB67" i="8"/>
  <c r="AV13" i="8"/>
  <c r="BF13" i="8"/>
  <c r="BD67" i="8" s="1"/>
  <c r="AL13" i="8"/>
  <c r="BC67" i="8" s="1"/>
  <c r="AD64" i="8"/>
  <c r="AR10" i="8"/>
  <c r="AD10" i="8"/>
  <c r="BB10" i="8"/>
  <c r="AF64" i="8" s="1"/>
  <c r="AH10" i="8"/>
  <c r="AE64" i="8" s="1"/>
  <c r="AT5" i="8"/>
  <c r="AP59" i="8"/>
  <c r="AJ5" i="8"/>
  <c r="AQ59" i="8" s="1"/>
  <c r="BD5" i="8"/>
  <c r="AR59" i="8" s="1"/>
  <c r="E16" i="8"/>
  <c r="F16" i="8"/>
  <c r="D16" i="8"/>
  <c r="BB60" i="8"/>
  <c r="AV6" i="8"/>
  <c r="BF6" i="8"/>
  <c r="BD60" i="8" s="1"/>
  <c r="E12" i="8"/>
  <c r="F12" i="8"/>
  <c r="D12" i="8"/>
  <c r="W4" i="8"/>
  <c r="AI18" i="8"/>
  <c r="AK72" i="8" s="1"/>
  <c r="AV77" i="8"/>
  <c r="AU23" i="8"/>
  <c r="AU22" i="8"/>
  <c r="AV76" i="8"/>
  <c r="AK22" i="8"/>
  <c r="AW76" i="8" s="1"/>
  <c r="AR4" i="8"/>
  <c r="AD58" i="8"/>
  <c r="AD4" i="8"/>
  <c r="AU19" i="8"/>
  <c r="AV73" i="8"/>
  <c r="AK19" i="8"/>
  <c r="AW73" i="8" s="1"/>
  <c r="AJ17" i="8"/>
  <c r="AQ71" i="8" s="1"/>
  <c r="AL10" i="8"/>
  <c r="BC64" i="8" s="1"/>
  <c r="AJ65" i="8"/>
  <c r="AS11" i="8"/>
  <c r="BC11" i="8"/>
  <c r="AL65" i="8" s="1"/>
  <c r="AP72" i="8"/>
  <c r="AT18" i="8"/>
  <c r="AV67" i="8"/>
  <c r="AU13" i="8"/>
  <c r="BE13" i="8"/>
  <c r="AX67" i="8" s="1"/>
  <c r="AI11" i="8"/>
  <c r="AK65" i="8" s="1"/>
  <c r="AW12" i="8"/>
  <c r="BH66" i="8"/>
  <c r="BG12" i="8"/>
  <c r="BJ66" i="8" s="1"/>
  <c r="AL6" i="8"/>
  <c r="BC60" i="8" s="1"/>
  <c r="AJ74" i="8"/>
  <c r="AS20" i="8"/>
  <c r="BC20" i="8"/>
  <c r="AL74" i="8" s="1"/>
  <c r="AP80" i="8"/>
  <c r="AT26" i="8"/>
  <c r="BD26" i="8"/>
  <c r="AR80" i="8" s="1"/>
  <c r="AU17" i="8"/>
  <c r="AV71" i="8"/>
  <c r="AK17" i="8"/>
  <c r="AW71" i="8" s="1"/>
  <c r="BB58" i="8"/>
  <c r="AV4" i="8"/>
  <c r="AL4" i="8"/>
  <c r="BC58" i="8" s="1"/>
  <c r="AT6" i="8"/>
  <c r="AP60" i="8"/>
  <c r="BD6" i="8"/>
  <c r="AR60" i="8" s="1"/>
  <c r="AV61" i="8"/>
  <c r="AU7" i="8"/>
  <c r="AK7" i="8"/>
  <c r="AW61" i="8" s="1"/>
  <c r="AT4" i="8"/>
  <c r="AP58" i="8"/>
  <c r="BH72" i="8"/>
  <c r="AW18" i="8"/>
  <c r="BG18" i="8"/>
  <c r="BJ72" i="8" s="1"/>
  <c r="AS15" i="8"/>
  <c r="AJ69" i="8"/>
  <c r="AR7" i="8"/>
  <c r="AD7" i="8"/>
  <c r="AH7" i="8"/>
  <c r="AE61" i="8" s="1"/>
  <c r="AD61" i="8"/>
  <c r="AI15" i="8"/>
  <c r="AK69" i="8" s="1"/>
  <c r="BD4" i="8"/>
  <c r="AR58" i="8" s="1"/>
  <c r="AJ63" i="8"/>
  <c r="AS9" i="8"/>
  <c r="BC9" i="8"/>
  <c r="AL63" i="8" s="1"/>
  <c r="AD63" i="8"/>
  <c r="AR9" i="8"/>
  <c r="AD9" i="8"/>
  <c r="BB9" i="8"/>
  <c r="AF63" i="8" s="1"/>
  <c r="AH9" i="8"/>
  <c r="AE63" i="8" s="1"/>
  <c r="AV60" i="8"/>
  <c r="AU6" i="8"/>
  <c r="BE6" i="8"/>
  <c r="AX60" i="8" s="1"/>
  <c r="AK6" i="8"/>
  <c r="AW60" i="8" s="1"/>
  <c r="AV65" i="8"/>
  <c r="AU11" i="8"/>
  <c r="BE11" i="8"/>
  <c r="AX65" i="8" s="1"/>
  <c r="AK11" i="8"/>
  <c r="AW65" i="8" s="1"/>
  <c r="AJ59" i="8"/>
  <c r="AS5" i="8"/>
  <c r="BC5" i="8"/>
  <c r="AL59" i="8" s="1"/>
  <c r="AP63" i="8"/>
  <c r="AT9" i="8"/>
  <c r="BD9" i="8"/>
  <c r="AR63" i="8" s="1"/>
  <c r="AV70" i="8"/>
  <c r="AU16" i="8"/>
  <c r="AK16" i="8"/>
  <c r="AW70" i="8" s="1"/>
  <c r="BE16" i="8"/>
  <c r="AX70" i="8" s="1"/>
  <c r="AJ64" i="8"/>
  <c r="AS10" i="8"/>
  <c r="BC10" i="8"/>
  <c r="AL64" i="8" s="1"/>
  <c r="AI10" i="8"/>
  <c r="AK64" i="8" s="1"/>
  <c r="BB66" i="8"/>
  <c r="AV12" i="8"/>
  <c r="AS19" i="8"/>
  <c r="AJ73" i="8"/>
  <c r="AI19" i="8"/>
  <c r="AK73" i="8" s="1"/>
  <c r="AJ26" i="8"/>
  <c r="AQ80" i="8" s="1"/>
  <c r="AV26" i="8"/>
  <c r="BB80" i="8"/>
  <c r="BE17" i="8"/>
  <c r="AX71" i="8" s="1"/>
  <c r="BF12" i="8"/>
  <c r="BD66" i="8" s="1"/>
  <c r="AJ9" i="8"/>
  <c r="AQ63" i="8" s="1"/>
  <c r="AJ62" i="8"/>
  <c r="AS8" i="8"/>
  <c r="AI8" i="8"/>
  <c r="AK62" i="8" s="1"/>
  <c r="BE7" i="8"/>
  <c r="AX61" i="8" s="1"/>
  <c r="AQ3" i="8"/>
  <c r="BA3" i="8" s="1"/>
  <c r="Z57" i="8" s="1"/>
  <c r="W57" i="8"/>
  <c r="BH65" i="8"/>
  <c r="AW11" i="8"/>
  <c r="BG11" i="8"/>
  <c r="BJ65" i="8" s="1"/>
  <c r="AM11" i="8"/>
  <c r="BI65" i="8" s="1"/>
  <c r="AV2" i="8"/>
  <c r="BB56" i="8"/>
  <c r="BF2" i="8"/>
  <c r="BD56" i="8" s="1"/>
  <c r="AL2" i="8"/>
  <c r="BC56" i="8" s="1"/>
  <c r="AJ58" i="8"/>
  <c r="AS4" i="8"/>
  <c r="BC4" i="8"/>
  <c r="AL58" i="8" s="1"/>
  <c r="AT2" i="8"/>
  <c r="AP56" i="8"/>
  <c r="AJ2" i="8"/>
  <c r="AQ56" i="8" s="1"/>
  <c r="Z28" i="8"/>
  <c r="AP61" i="8"/>
  <c r="AT7" i="8"/>
  <c r="AU20" i="8"/>
  <c r="AV74" i="8"/>
  <c r="BE20" i="8"/>
  <c r="AX74" i="8" s="1"/>
  <c r="AK20" i="8"/>
  <c r="AW74" i="8" s="1"/>
  <c r="AU21" i="8"/>
  <c r="AV75" i="8"/>
  <c r="BE21" i="8"/>
  <c r="AX75" i="8" s="1"/>
  <c r="AK21" i="8"/>
  <c r="AW75" i="8" s="1"/>
  <c r="AU29" i="8"/>
  <c r="AK29" i="8"/>
  <c r="AY58" i="8" s="1"/>
  <c r="AA30" i="8"/>
  <c r="BE29" i="8"/>
  <c r="AZ58" i="8" s="1"/>
  <c r="CF58" i="8" s="1"/>
  <c r="AV11" i="8"/>
  <c r="AL11" i="8"/>
  <c r="BC65" i="8" s="1"/>
  <c r="BB65" i="8"/>
  <c r="BF11" i="8"/>
  <c r="BD65" i="8" s="1"/>
  <c r="BB57" i="8"/>
  <c r="AV3" i="8"/>
  <c r="BF3" i="8"/>
  <c r="BD57" i="8" s="1"/>
  <c r="F11" i="8"/>
  <c r="E11" i="8"/>
  <c r="AV7" i="8"/>
  <c r="AL7" i="8"/>
  <c r="BC61" i="8" s="1"/>
  <c r="BB61" i="8"/>
  <c r="BB74" i="8"/>
  <c r="BF20" i="8"/>
  <c r="BD74" i="8" s="1"/>
  <c r="AV20" i="8"/>
  <c r="BB77" i="8"/>
  <c r="AL23" i="8"/>
  <c r="BC77" i="8" s="1"/>
  <c r="AV23" i="8"/>
  <c r="BF23" i="8"/>
  <c r="BD77" i="8" s="1"/>
  <c r="BD7" i="8"/>
  <c r="AR61" i="8" s="1"/>
  <c r="AW4" i="8"/>
  <c r="BH58" i="8"/>
  <c r="BG4" i="8"/>
  <c r="BJ58" i="8" s="1"/>
  <c r="AB28" i="8"/>
  <c r="AB29" i="8" s="1"/>
  <c r="AI4" i="8"/>
  <c r="AK58" i="8" s="1"/>
  <c r="AU3" i="8"/>
  <c r="AV57" i="8"/>
  <c r="BE3" i="8"/>
  <c r="AX57" i="8" s="1"/>
  <c r="AK3" i="8"/>
  <c r="AW57" i="8" s="1"/>
  <c r="CE57" i="8" s="1"/>
  <c r="BL17" i="8"/>
  <c r="BN17" i="8"/>
  <c r="AU18" i="8"/>
  <c r="AV72" i="8"/>
  <c r="BE18" i="8"/>
  <c r="AX72" i="8" s="1"/>
  <c r="AW3" i="8"/>
  <c r="BH57" i="8"/>
  <c r="BG3" i="8"/>
  <c r="BJ57" i="8" s="1"/>
  <c r="AJ60" i="8"/>
  <c r="AS6" i="8"/>
  <c r="AI6" i="8"/>
  <c r="AK60" i="8" s="1"/>
  <c r="BE15" i="8"/>
  <c r="AX69" i="8" s="1"/>
  <c r="E2" i="8"/>
  <c r="F2" i="8"/>
  <c r="D2" i="8"/>
  <c r="W2" i="8"/>
  <c r="AU5" i="8"/>
  <c r="AV59" i="8"/>
  <c r="BE5" i="8"/>
  <c r="AX59" i="8" s="1"/>
  <c r="AK5" i="8"/>
  <c r="AW59" i="8" s="1"/>
  <c r="BC6" i="8"/>
  <c r="AL60" i="8" s="1"/>
  <c r="AJ56" i="8"/>
  <c r="AI2" i="8"/>
  <c r="AK56" i="8" s="1"/>
  <c r="BC2" i="8"/>
  <c r="AL56" i="8" s="1"/>
  <c r="AS2" i="8"/>
  <c r="AV63" i="8"/>
  <c r="AW1" i="1"/>
  <c r="AW2" i="1"/>
  <c r="AM3" i="8"/>
  <c r="BI57" i="8" s="1"/>
  <c r="AV69" i="8"/>
  <c r="AU15" i="8"/>
  <c r="CE58" i="8"/>
  <c r="Y28" i="8"/>
  <c r="Y29" i="8" s="1"/>
  <c r="Y30" i="8" s="1"/>
  <c r="Y31" i="8" s="1"/>
  <c r="AV62" i="8"/>
  <c r="AK8" i="8"/>
  <c r="AW62" i="8" s="1"/>
  <c r="AK10" i="8"/>
  <c r="AW64" i="8" s="1"/>
  <c r="BY1" i="1"/>
  <c r="BK20" i="8"/>
  <c r="BN20" i="8" s="1"/>
  <c r="BK6" i="8"/>
  <c r="BN6" i="8" s="1"/>
  <c r="BK1" i="1"/>
  <c r="BJ1" i="1"/>
  <c r="BK5" i="8"/>
  <c r="BN5" i="8" s="1"/>
  <c r="AR2" i="8"/>
  <c r="AD56" i="8"/>
  <c r="AD2" i="8"/>
  <c r="BB2" i="8"/>
  <c r="AF56" i="8" s="1"/>
  <c r="X28" i="8"/>
  <c r="BE10" i="8"/>
  <c r="AX64" i="8" s="1"/>
  <c r="AH2" i="8"/>
  <c r="AE56" i="8" s="1"/>
  <c r="AU8" i="8"/>
  <c r="BP1" i="1"/>
  <c r="BK11" i="8"/>
  <c r="BL11" i="8" s="1"/>
  <c r="BN11" i="8"/>
  <c r="AM2" i="8"/>
  <c r="BI56" i="8" s="1"/>
  <c r="BG2" i="8"/>
  <c r="BJ56" i="8" s="1"/>
  <c r="BH56" i="8"/>
  <c r="AW2" i="8"/>
  <c r="AC28" i="8"/>
  <c r="AC29" i="8" s="1"/>
  <c r="AU10" i="8"/>
  <c r="BA4" i="1"/>
  <c r="BA1" i="1" s="1"/>
  <c r="AV1" i="1"/>
  <c r="AY4" i="1"/>
  <c r="AY1" i="1" s="1"/>
  <c r="BE28" i="8"/>
  <c r="AZ57" i="8" s="1"/>
  <c r="AU28" i="8"/>
  <c r="BK25" i="8"/>
  <c r="CD1" i="1"/>
  <c r="BL25" i="8"/>
  <c r="BN25" i="8"/>
  <c r="AV2" i="1"/>
  <c r="BK19" i="8"/>
  <c r="BL19" i="8" s="1"/>
  <c r="BK15" i="8"/>
  <c r="BN15" i="8" s="1"/>
  <c r="BT1" i="1"/>
  <c r="AV58" i="8"/>
  <c r="BX1" i="1"/>
  <c r="BK10" i="8"/>
  <c r="BN10" i="8" s="1"/>
  <c r="BO1" i="1"/>
  <c r="BK16" i="8"/>
  <c r="BN16" i="8" s="1"/>
  <c r="BU1" i="1"/>
  <c r="BK22" i="8"/>
  <c r="BN22" i="8" s="1"/>
  <c r="CA1" i="1"/>
  <c r="BI1" i="1"/>
  <c r="BK4" i="8"/>
  <c r="BN4" i="8" s="1"/>
  <c r="BL4" i="8"/>
  <c r="BN18" i="8"/>
  <c r="BL18" i="8"/>
  <c r="BR1" i="1"/>
  <c r="BK13" i="8"/>
  <c r="BL13" i="8" s="1"/>
  <c r="BK24" i="8"/>
  <c r="BL24" i="8" s="1"/>
  <c r="CC1" i="1"/>
  <c r="CE1" i="1"/>
  <c r="CB1" i="1"/>
  <c r="BK23" i="8"/>
  <c r="BN23" i="8" s="1"/>
  <c r="BK12" i="8"/>
  <c r="BK26" i="8"/>
  <c r="BN26" i="8" s="1"/>
  <c r="BS1" i="1"/>
  <c r="BK7" i="8"/>
  <c r="BN7" i="8" s="1"/>
  <c r="BM1" i="1"/>
  <c r="BL8" i="8"/>
  <c r="BM8" i="8" s="1"/>
  <c r="BK21" i="8"/>
  <c r="BK14" i="8"/>
  <c r="BL14" i="8" s="1"/>
  <c r="BF24" i="8" l="1"/>
  <c r="BD78" i="8" s="1"/>
  <c r="BG9" i="8"/>
  <c r="BJ63" i="8" s="1"/>
  <c r="G17" i="8"/>
  <c r="I17" i="8" s="1"/>
  <c r="BM25" i="8"/>
  <c r="BA17" i="8"/>
  <c r="Z71" i="8" s="1"/>
  <c r="BG6" i="8"/>
  <c r="BJ60" i="8" s="1"/>
  <c r="M2" i="1"/>
  <c r="BN14" i="8"/>
  <c r="BM14" i="8" s="1"/>
  <c r="BL10" i="8"/>
  <c r="BM10" i="8" s="1"/>
  <c r="BF5" i="8"/>
  <c r="BD59" i="8" s="1"/>
  <c r="BG17" i="8"/>
  <c r="BJ71" i="8" s="1"/>
  <c r="BF8" i="8"/>
  <c r="BD62" i="8" s="1"/>
  <c r="BL15" i="8"/>
  <c r="BM15" i="8" s="1"/>
  <c r="BG20" i="8"/>
  <c r="BJ74" i="8" s="1"/>
  <c r="BN24" i="8"/>
  <c r="BM24" i="8" s="1"/>
  <c r="BL6" i="8"/>
  <c r="BM6" i="8" s="1"/>
  <c r="BG5" i="8"/>
  <c r="BJ59" i="8" s="1"/>
  <c r="G27" i="8"/>
  <c r="I27" i="8" s="1"/>
  <c r="G30" i="8"/>
  <c r="I30" i="8" s="1"/>
  <c r="BA23" i="8"/>
  <c r="Z77" i="8" s="1"/>
  <c r="BE24" i="8"/>
  <c r="AX78" i="8" s="1"/>
  <c r="G14" i="8"/>
  <c r="I14" i="8" s="1"/>
  <c r="BD21" i="8"/>
  <c r="AR75" i="8" s="1"/>
  <c r="BM18" i="8"/>
  <c r="BL16" i="8"/>
  <c r="BM16" i="8" s="1"/>
  <c r="G22" i="8"/>
  <c r="I22" i="8" s="1"/>
  <c r="BG21" i="8"/>
  <c r="BJ75" i="8" s="1"/>
  <c r="BL26" i="8"/>
  <c r="BM26" i="8" s="1"/>
  <c r="BN19" i="8"/>
  <c r="BM19" i="8" s="1"/>
  <c r="BL5" i="8"/>
  <c r="BM5" i="8" s="1"/>
  <c r="BA24" i="8"/>
  <c r="Z78" i="8" s="1"/>
  <c r="BD16" i="8"/>
  <c r="AR70" i="8" s="1"/>
  <c r="BA9" i="8"/>
  <c r="Z63" i="8" s="1"/>
  <c r="BB6" i="8"/>
  <c r="AF60" i="8" s="1"/>
  <c r="BD2" i="8"/>
  <c r="AR56" i="8" s="1"/>
  <c r="BA21" i="8"/>
  <c r="Z75" i="8" s="1"/>
  <c r="BA26" i="8"/>
  <c r="Z80" i="8" s="1"/>
  <c r="BF4" i="8"/>
  <c r="BD58" i="8" s="1"/>
  <c r="G12" i="8"/>
  <c r="H12" i="8" s="1"/>
  <c r="BA18" i="8"/>
  <c r="Z72" i="8" s="1"/>
  <c r="BA8" i="8"/>
  <c r="Z62" i="8" s="1"/>
  <c r="BB21" i="8"/>
  <c r="AF75" i="8" s="1"/>
  <c r="BF19" i="8"/>
  <c r="BD73" i="8" s="1"/>
  <c r="G28" i="8"/>
  <c r="I28" i="8" s="1"/>
  <c r="BE22" i="8"/>
  <c r="AX76" i="8" s="1"/>
  <c r="BD17" i="8"/>
  <c r="AR71" i="8" s="1"/>
  <c r="G31" i="8"/>
  <c r="I31" i="8" s="1"/>
  <c r="BB17" i="8"/>
  <c r="AF71" i="8" s="1"/>
  <c r="BB20" i="8"/>
  <c r="AF74" i="8" s="1"/>
  <c r="BB25" i="8"/>
  <c r="AF79" i="8" s="1"/>
  <c r="G21" i="8"/>
  <c r="I21" i="8" s="1"/>
  <c r="G29" i="8"/>
  <c r="I29" i="8" s="1"/>
  <c r="BA25" i="8"/>
  <c r="Z79" i="8" s="1"/>
  <c r="G13" i="8"/>
  <c r="H13" i="8" s="1"/>
  <c r="BC22" i="8"/>
  <c r="AL76" i="8" s="1"/>
  <c r="AV29" i="8"/>
  <c r="AL29" i="8"/>
  <c r="BE58" i="8" s="1"/>
  <c r="BF29" i="8"/>
  <c r="BF58" i="8" s="1"/>
  <c r="AB30" i="8"/>
  <c r="AS31" i="8"/>
  <c r="BC31" i="8"/>
  <c r="AN60" i="8" s="1"/>
  <c r="AI31" i="8"/>
  <c r="AM60" i="8" s="1"/>
  <c r="Y32" i="8"/>
  <c r="AQ7" i="8"/>
  <c r="W61" i="8"/>
  <c r="AG7" i="8"/>
  <c r="Y61" i="8" s="1"/>
  <c r="CF19" i="8"/>
  <c r="X74" i="8"/>
  <c r="F1135" i="1"/>
  <c r="F482" i="1"/>
  <c r="F917" i="1"/>
  <c r="F1131" i="1"/>
  <c r="F797" i="1"/>
  <c r="F800" i="1"/>
  <c r="F911" i="1"/>
  <c r="F908" i="1"/>
  <c r="F906" i="1"/>
  <c r="F1140" i="1"/>
  <c r="F483" i="1"/>
  <c r="F954" i="1"/>
  <c r="F1137" i="1"/>
  <c r="F1136" i="1"/>
  <c r="F803" i="1"/>
  <c r="F913" i="1"/>
  <c r="F915" i="1"/>
  <c r="F902" i="1"/>
  <c r="F1138" i="1"/>
  <c r="F924" i="1"/>
  <c r="F918" i="1"/>
  <c r="F958" i="1"/>
  <c r="F914" i="1"/>
  <c r="F1139" i="1"/>
  <c r="F959" i="1"/>
  <c r="F1128" i="1"/>
  <c r="F950" i="1"/>
  <c r="F1127" i="1"/>
  <c r="F905" i="1"/>
  <c r="F1126" i="1"/>
  <c r="F799" i="1"/>
  <c r="F798" i="1"/>
  <c r="F1130" i="1"/>
  <c r="F927" i="1"/>
  <c r="F912" i="1"/>
  <c r="F794" i="1"/>
  <c r="F920" i="1"/>
  <c r="F1134" i="1"/>
  <c r="F953" i="1"/>
  <c r="F928" i="1"/>
  <c r="F903" i="1"/>
  <c r="F901" i="1"/>
  <c r="F1133" i="1"/>
  <c r="F1129" i="1"/>
  <c r="F1144" i="1"/>
  <c r="F949" i="1"/>
  <c r="F907" i="1"/>
  <c r="F909" i="1"/>
  <c r="F802" i="1"/>
  <c r="F921" i="1"/>
  <c r="F1141" i="1"/>
  <c r="F795" i="1"/>
  <c r="F900" i="1"/>
  <c r="F904" i="1"/>
  <c r="F801" i="1"/>
  <c r="F919" i="1"/>
  <c r="F956" i="1"/>
  <c r="F957" i="1"/>
  <c r="F926" i="1"/>
  <c r="F1143" i="1"/>
  <c r="F925" i="1"/>
  <c r="F1132" i="1"/>
  <c r="F910" i="1"/>
  <c r="F796" i="1"/>
  <c r="F923" i="1"/>
  <c r="F922" i="1"/>
  <c r="F955" i="1"/>
  <c r="F951" i="1"/>
  <c r="F916" i="1"/>
  <c r="F952" i="1"/>
  <c r="F1142" i="1"/>
  <c r="F793" i="1"/>
  <c r="BL7" i="8"/>
  <c r="BM7" i="8" s="1"/>
  <c r="BL22" i="8"/>
  <c r="BM22" i="8" s="1"/>
  <c r="CF57" i="8"/>
  <c r="X63" i="8"/>
  <c r="CF9" i="8"/>
  <c r="CF22" i="8"/>
  <c r="X77" i="8"/>
  <c r="X68" i="8"/>
  <c r="CF13" i="8"/>
  <c r="CF15" i="8"/>
  <c r="X70" i="8"/>
  <c r="G19" i="8"/>
  <c r="I19" i="8" s="1"/>
  <c r="BA10" i="8"/>
  <c r="Z64" i="8" s="1"/>
  <c r="AQ5" i="8"/>
  <c r="W59" i="8"/>
  <c r="AG5" i="8"/>
  <c r="Y59" i="8" s="1"/>
  <c r="H200" i="1"/>
  <c r="H201" i="1"/>
  <c r="H203" i="1"/>
  <c r="H202" i="1"/>
  <c r="G427" i="1"/>
  <c r="G458" i="1"/>
  <c r="G414" i="1"/>
  <c r="G451" i="1"/>
  <c r="G448" i="1"/>
  <c r="G440" i="1"/>
  <c r="G429" i="1"/>
  <c r="G439" i="1"/>
  <c r="G418" i="1"/>
  <c r="G415" i="1"/>
  <c r="G457" i="1"/>
  <c r="G435" i="1"/>
  <c r="G447" i="1"/>
  <c r="G438" i="1"/>
  <c r="G455" i="1"/>
  <c r="G405" i="1"/>
  <c r="G401" i="1"/>
  <c r="G410" i="1"/>
  <c r="G445" i="1"/>
  <c r="G413" i="1"/>
  <c r="G436" i="1"/>
  <c r="G406" i="1"/>
  <c r="G433" i="1"/>
  <c r="G416" i="1"/>
  <c r="G456" i="1"/>
  <c r="G424" i="1"/>
  <c r="G402" i="1"/>
  <c r="G423" i="1"/>
  <c r="G426" i="1"/>
  <c r="G400" i="1"/>
  <c r="G442" i="1"/>
  <c r="G450" i="1"/>
  <c r="G420" i="1"/>
  <c r="G444" i="1"/>
  <c r="G449" i="1"/>
  <c r="G412" i="1"/>
  <c r="G437" i="1"/>
  <c r="G421" i="1"/>
  <c r="G403" i="1"/>
  <c r="G434" i="1"/>
  <c r="G408" i="1"/>
  <c r="G422" i="1"/>
  <c r="G430" i="1"/>
  <c r="G411" i="1"/>
  <c r="G431" i="1"/>
  <c r="G446" i="1"/>
  <c r="G407" i="1"/>
  <c r="G441" i="1"/>
  <c r="G428" i="1"/>
  <c r="G443" i="1"/>
  <c r="G459" i="1"/>
  <c r="G409" i="1"/>
  <c r="G425" i="1"/>
  <c r="G404" i="1"/>
  <c r="G417" i="1"/>
  <c r="G419" i="1"/>
  <c r="G432" i="1"/>
  <c r="H229" i="1"/>
  <c r="H240" i="1"/>
  <c r="H225" i="1"/>
  <c r="H1216" i="1"/>
  <c r="H227" i="1"/>
  <c r="H224" i="1"/>
  <c r="H235" i="1"/>
  <c r="H226" i="1"/>
  <c r="H239" i="1"/>
  <c r="H243" i="1"/>
  <c r="H245" i="1"/>
  <c r="H233" i="1"/>
  <c r="H223" i="1"/>
  <c r="H244" i="1"/>
  <c r="H222" i="1"/>
  <c r="H237" i="1"/>
  <c r="H242" i="1"/>
  <c r="H230" i="1"/>
  <c r="H246" i="1"/>
  <c r="H228" i="1"/>
  <c r="H232" i="1"/>
  <c r="H231" i="1"/>
  <c r="H241" i="1"/>
  <c r="H238" i="1"/>
  <c r="H236" i="1"/>
  <c r="H234" i="1"/>
  <c r="H134" i="1"/>
  <c r="H125" i="1"/>
  <c r="H135" i="1"/>
  <c r="H375" i="1"/>
  <c r="H374" i="1"/>
  <c r="H392" i="1"/>
  <c r="H385" i="1"/>
  <c r="H388" i="1"/>
  <c r="H380" i="1"/>
  <c r="H387" i="1"/>
  <c r="H382" i="1"/>
  <c r="H379" i="1"/>
  <c r="H391" i="1"/>
  <c r="H377" i="1"/>
  <c r="H386" i="1"/>
  <c r="H384" i="1"/>
  <c r="H389" i="1"/>
  <c r="H376" i="1"/>
  <c r="H383" i="1"/>
  <c r="H393" i="1"/>
  <c r="H390" i="1"/>
  <c r="H381" i="1"/>
  <c r="H378" i="1"/>
  <c r="H394" i="1"/>
  <c r="H1183" i="1"/>
  <c r="H1198" i="1"/>
  <c r="H1191" i="1"/>
  <c r="H1159" i="1"/>
  <c r="H1211" i="1"/>
  <c r="H1030" i="1"/>
  <c r="H808" i="1"/>
  <c r="H1162" i="1"/>
  <c r="H1039" i="1"/>
  <c r="H861" i="1"/>
  <c r="H1212" i="1"/>
  <c r="H973" i="1"/>
  <c r="H849" i="1"/>
  <c r="H868" i="1"/>
  <c r="H933" i="1"/>
  <c r="H1033" i="1"/>
  <c r="H851" i="1"/>
  <c r="H1178" i="1"/>
  <c r="H978" i="1"/>
  <c r="H889" i="1"/>
  <c r="H1182" i="1"/>
  <c r="H930" i="1"/>
  <c r="H890" i="1"/>
  <c r="H882" i="1"/>
  <c r="H823" i="1"/>
  <c r="H1208" i="1"/>
  <c r="H1170" i="1"/>
  <c r="H841" i="1"/>
  <c r="H834" i="1"/>
  <c r="H1019" i="1"/>
  <c r="H885" i="1"/>
  <c r="H1146" i="1"/>
  <c r="H1121" i="1"/>
  <c r="H1172" i="1"/>
  <c r="H1215" i="1"/>
  <c r="H1194" i="1"/>
  <c r="H969" i="1"/>
  <c r="H844" i="1"/>
  <c r="H1165" i="1"/>
  <c r="H1040" i="1"/>
  <c r="H870" i="1"/>
  <c r="H817" i="1"/>
  <c r="H1045" i="1"/>
  <c r="H938" i="1"/>
  <c r="H816" i="1"/>
  <c r="H1210" i="1"/>
  <c r="H1046" i="1"/>
  <c r="H839" i="1"/>
  <c r="H1207" i="1"/>
  <c r="H1187" i="1"/>
  <c r="H845" i="1"/>
  <c r="H806" i="1"/>
  <c r="H960" i="1"/>
  <c r="H1124" i="1"/>
  <c r="H813" i="1"/>
  <c r="H983" i="1"/>
  <c r="H891" i="1"/>
  <c r="H820" i="1"/>
  <c r="H1027" i="1"/>
  <c r="H970" i="1"/>
  <c r="H825" i="1"/>
  <c r="H852" i="1"/>
  <c r="H1163" i="1"/>
  <c r="H1160" i="1"/>
  <c r="H932" i="1"/>
  <c r="H1012" i="1"/>
  <c r="H821" i="1"/>
  <c r="H985" i="1"/>
  <c r="H967" i="1"/>
  <c r="H810" i="1"/>
  <c r="H1179" i="1"/>
  <c r="H869" i="1"/>
  <c r="H1181" i="1"/>
  <c r="H929" i="1"/>
  <c r="H827" i="1"/>
  <c r="H1031" i="1"/>
  <c r="H888" i="1"/>
  <c r="H1185" i="1"/>
  <c r="H1018" i="1"/>
  <c r="H829" i="1"/>
  <c r="H987" i="1"/>
  <c r="H1176" i="1"/>
  <c r="H873" i="1"/>
  <c r="H1043" i="1"/>
  <c r="H1023" i="1"/>
  <c r="H1014" i="1"/>
  <c r="H1145" i="1"/>
  <c r="H1197" i="1"/>
  <c r="H968" i="1"/>
  <c r="H807" i="1"/>
  <c r="H966" i="1"/>
  <c r="H857" i="1"/>
  <c r="H1184" i="1"/>
  <c r="H1026" i="1"/>
  <c r="H809" i="1"/>
  <c r="H961" i="1"/>
  <c r="H853" i="1"/>
  <c r="H856" i="1"/>
  <c r="H1122" i="1"/>
  <c r="H880" i="1"/>
  <c r="H1035" i="1"/>
  <c r="H881" i="1"/>
  <c r="H1192" i="1"/>
  <c r="H1174" i="1"/>
  <c r="H962" i="1"/>
  <c r="H878" i="1"/>
  <c r="H1152" i="1"/>
  <c r="H1200" i="1"/>
  <c r="H1168" i="1"/>
  <c r="H1153" i="1"/>
  <c r="H1213" i="1"/>
  <c r="H976" i="1"/>
  <c r="H855" i="1"/>
  <c r="H982" i="1"/>
  <c r="H867" i="1"/>
  <c r="H1156" i="1"/>
  <c r="H986" i="1"/>
  <c r="H818" i="1"/>
  <c r="H1202" i="1"/>
  <c r="H858" i="1"/>
  <c r="H1150" i="1"/>
  <c r="H988" i="1"/>
  <c r="H826" i="1"/>
  <c r="H1013" i="1"/>
  <c r="H877" i="1"/>
  <c r="H965" i="1"/>
  <c r="H883" i="1"/>
  <c r="H875" i="1"/>
  <c r="H1118" i="1"/>
  <c r="H836" i="1"/>
  <c r="H1171" i="1"/>
  <c r="H1196" i="1"/>
  <c r="H1203" i="1"/>
  <c r="H980" i="1"/>
  <c r="H872" i="1"/>
  <c r="H819" i="1"/>
  <c r="H1186" i="1"/>
  <c r="H815" i="1"/>
  <c r="H1149" i="1"/>
  <c r="H931" i="1"/>
  <c r="H804" i="1"/>
  <c r="H1044" i="1"/>
  <c r="H832" i="1"/>
  <c r="H1125" i="1"/>
  <c r="H1034" i="1"/>
  <c r="H811" i="1"/>
  <c r="H1020" i="1"/>
  <c r="H847" i="1"/>
  <c r="H884" i="1"/>
  <c r="H979" i="1"/>
  <c r="H814" i="1"/>
  <c r="H934" i="1"/>
  <c r="H1161" i="1"/>
  <c r="H1195" i="1"/>
  <c r="H1164" i="1"/>
  <c r="H1189" i="1"/>
  <c r="H1016" i="1"/>
  <c r="H846" i="1"/>
  <c r="H1155" i="1"/>
  <c r="H1036" i="1"/>
  <c r="H864" i="1"/>
  <c r="H1028" i="1"/>
  <c r="H842" i="1"/>
  <c r="H1154" i="1"/>
  <c r="H963" i="1"/>
  <c r="H812" i="1"/>
  <c r="H1029" i="1"/>
  <c r="H840" i="1"/>
  <c r="H1158" i="1"/>
  <c r="H935" i="1"/>
  <c r="H886" i="1"/>
  <c r="H964" i="1"/>
  <c r="H879" i="1"/>
  <c r="H1205" i="1"/>
  <c r="H1017" i="1"/>
  <c r="H1015" i="1"/>
  <c r="H1169" i="1"/>
  <c r="H974" i="1"/>
  <c r="H937" i="1"/>
  <c r="H865" i="1"/>
  <c r="H866" i="1"/>
  <c r="H850" i="1"/>
  <c r="H835" i="1"/>
  <c r="H1025" i="1"/>
  <c r="H859" i="1"/>
  <c r="H1166" i="1"/>
  <c r="H874" i="1"/>
  <c r="H862" i="1"/>
  <c r="H854" i="1"/>
  <c r="H824" i="1"/>
  <c r="H833" i="1"/>
  <c r="H822" i="1"/>
  <c r="H1175" i="1"/>
  <c r="H1041" i="1"/>
  <c r="H876" i="1"/>
  <c r="H830" i="1"/>
  <c r="H843" i="1"/>
  <c r="H837" i="1"/>
  <c r="H831" i="1"/>
  <c r="H977" i="1"/>
  <c r="H1120" i="1"/>
  <c r="H1199" i="1"/>
  <c r="H863" i="1"/>
  <c r="H871" i="1"/>
  <c r="H1201" i="1"/>
  <c r="H1193" i="1"/>
  <c r="H1204" i="1"/>
  <c r="H805" i="1"/>
  <c r="H1151" i="1"/>
  <c r="H1147" i="1"/>
  <c r="H848" i="1"/>
  <c r="H1177" i="1"/>
  <c r="H1180" i="1"/>
  <c r="H1173" i="1"/>
  <c r="H1206" i="1"/>
  <c r="H1157" i="1"/>
  <c r="H892" i="1"/>
  <c r="H1021" i="1"/>
  <c r="H1024" i="1"/>
  <c r="H1038" i="1"/>
  <c r="H936" i="1"/>
  <c r="H940" i="1"/>
  <c r="H1119" i="1"/>
  <c r="H887" i="1"/>
  <c r="H981" i="1"/>
  <c r="H838" i="1"/>
  <c r="H975" i="1"/>
  <c r="H828" i="1"/>
  <c r="H972" i="1"/>
  <c r="H1032" i="1"/>
  <c r="H1167" i="1"/>
  <c r="H971" i="1"/>
  <c r="H860" i="1"/>
  <c r="H1190" i="1"/>
  <c r="H1148" i="1"/>
  <c r="H1214" i="1"/>
  <c r="H1188" i="1"/>
  <c r="H984" i="1"/>
  <c r="H1042" i="1"/>
  <c r="H1022" i="1"/>
  <c r="H1123" i="1"/>
  <c r="H939" i="1"/>
  <c r="H1037" i="1"/>
  <c r="H1209" i="1"/>
  <c r="H293" i="1"/>
  <c r="H520" i="1"/>
  <c r="H524" i="1"/>
  <c r="H305" i="1"/>
  <c r="H304" i="1"/>
  <c r="H531" i="1"/>
  <c r="H536" i="1"/>
  <c r="H760" i="1"/>
  <c r="H521" i="1"/>
  <c r="H297" i="1"/>
  <c r="H306" i="1"/>
  <c r="H318" i="1"/>
  <c r="H314" i="1"/>
  <c r="H758" i="1"/>
  <c r="H1116" i="1"/>
  <c r="H307" i="1"/>
  <c r="H300" i="1"/>
  <c r="H320" i="1"/>
  <c r="H537" i="1"/>
  <c r="H324" i="1"/>
  <c r="H514" i="1"/>
  <c r="H761" i="1"/>
  <c r="H336" i="1"/>
  <c r="H548" i="1"/>
  <c r="H312" i="1"/>
  <c r="H295" i="1"/>
  <c r="H516" i="1"/>
  <c r="H505" i="1"/>
  <c r="H508" i="1"/>
  <c r="H507" i="1"/>
  <c r="H303" i="1"/>
  <c r="H1113" i="1"/>
  <c r="H327" i="1"/>
  <c r="H510" i="1"/>
  <c r="H526" i="1"/>
  <c r="H1112" i="1"/>
  <c r="H522" i="1"/>
  <c r="H543" i="1"/>
  <c r="H513" i="1"/>
  <c r="H332" i="1"/>
  <c r="H299" i="1"/>
  <c r="H545" i="1"/>
  <c r="H1109" i="1"/>
  <c r="H1097" i="1"/>
  <c r="H294" i="1"/>
  <c r="H756" i="1"/>
  <c r="H485" i="1"/>
  <c r="H518" i="1"/>
  <c r="H1093" i="1"/>
  <c r="H539" i="1"/>
  <c r="H1099" i="1"/>
  <c r="H323" i="1"/>
  <c r="H1110" i="1"/>
  <c r="H334" i="1"/>
  <c r="H1092" i="1"/>
  <c r="H511" i="1"/>
  <c r="H1111" i="1"/>
  <c r="H1102" i="1"/>
  <c r="H1096" i="1"/>
  <c r="H544" i="1"/>
  <c r="H541" i="1"/>
  <c r="H296" i="1"/>
  <c r="H1115" i="1"/>
  <c r="H1101" i="1"/>
  <c r="H538" i="1"/>
  <c r="H308" i="1"/>
  <c r="H309" i="1"/>
  <c r="H762" i="1"/>
  <c r="H765" i="1"/>
  <c r="H764" i="1"/>
  <c r="H528" i="1"/>
  <c r="H330" i="1"/>
  <c r="H1108" i="1"/>
  <c r="H1114" i="1"/>
  <c r="H1104" i="1"/>
  <c r="H1107" i="1"/>
  <c r="H1098" i="1"/>
  <c r="H527" i="1"/>
  <c r="H1117" i="1"/>
  <c r="H328" i="1"/>
  <c r="H316" i="1"/>
  <c r="H763" i="1"/>
  <c r="H1103" i="1"/>
  <c r="H1094" i="1"/>
  <c r="H1105" i="1"/>
  <c r="H1100" i="1"/>
  <c r="H321" i="1"/>
  <c r="H298" i="1"/>
  <c r="H292" i="1"/>
  <c r="H759" i="1"/>
  <c r="H519" i="1"/>
  <c r="H546" i="1"/>
  <c r="H319" i="1"/>
  <c r="H1106" i="1"/>
  <c r="H484" i="1"/>
  <c r="H542" i="1"/>
  <c r="H302" i="1"/>
  <c r="H757" i="1"/>
  <c r="H525" i="1"/>
  <c r="H310" i="1"/>
  <c r="H523" i="1"/>
  <c r="H512" i="1"/>
  <c r="H540" i="1"/>
  <c r="H532" i="1"/>
  <c r="H1095" i="1"/>
  <c r="H509" i="1"/>
  <c r="H313" i="1"/>
  <c r="H530" i="1"/>
  <c r="H317" i="1"/>
  <c r="H535" i="1"/>
  <c r="H533" i="1"/>
  <c r="H291" i="1"/>
  <c r="H506" i="1"/>
  <c r="H325" i="1"/>
  <c r="H529" i="1"/>
  <c r="H315" i="1"/>
  <c r="H547" i="1"/>
  <c r="H766" i="1"/>
  <c r="H335" i="1"/>
  <c r="H337" i="1"/>
  <c r="H515" i="1"/>
  <c r="H311" i="1"/>
  <c r="H331" i="1"/>
  <c r="H333" i="1"/>
  <c r="H517" i="1"/>
  <c r="H329" i="1"/>
  <c r="H326" i="1"/>
  <c r="H534" i="1"/>
  <c r="H301" i="1"/>
  <c r="H322" i="1"/>
  <c r="H338" i="1"/>
  <c r="F200" i="1"/>
  <c r="F203" i="1"/>
  <c r="F202" i="1"/>
  <c r="F201" i="1"/>
  <c r="X67" i="8"/>
  <c r="CF12" i="8"/>
  <c r="AQ12" i="8"/>
  <c r="W66" i="8"/>
  <c r="AG12" i="8"/>
  <c r="Y66" i="8" s="1"/>
  <c r="G32" i="8"/>
  <c r="I32" i="8" s="1"/>
  <c r="BB24" i="8"/>
  <c r="AF78" i="8" s="1"/>
  <c r="W69" i="8"/>
  <c r="AQ15" i="8"/>
  <c r="AG15" i="8"/>
  <c r="Y69" i="8" s="1"/>
  <c r="W65" i="8"/>
  <c r="AQ11" i="8"/>
  <c r="AG11" i="8"/>
  <c r="Y65" i="8" s="1"/>
  <c r="CF17" i="8"/>
  <c r="X72" i="8"/>
  <c r="F121" i="1"/>
  <c r="F123" i="1"/>
  <c r="F120" i="1"/>
  <c r="F122" i="1"/>
  <c r="F124" i="1"/>
  <c r="F19" i="1"/>
  <c r="F23" i="1"/>
  <c r="F21" i="1"/>
  <c r="F22" i="1"/>
  <c r="F20" i="1"/>
  <c r="F17" i="1"/>
  <c r="F16" i="1"/>
  <c r="F255" i="1"/>
  <c r="F276" i="1"/>
  <c r="F354" i="1"/>
  <c r="F259" i="1"/>
  <c r="F280" i="1"/>
  <c r="F358" i="1"/>
  <c r="F357" i="1"/>
  <c r="F257" i="1"/>
  <c r="F279" i="1"/>
  <c r="F270" i="1"/>
  <c r="F289" i="1"/>
  <c r="F264" i="1"/>
  <c r="F263" i="1"/>
  <c r="F360" i="1"/>
  <c r="F352" i="1"/>
  <c r="F344" i="1"/>
  <c r="F340" i="1"/>
  <c r="F359" i="1"/>
  <c r="F274" i="1"/>
  <c r="F356" i="1"/>
  <c r="F271" i="1"/>
  <c r="F275" i="1"/>
  <c r="F281" i="1"/>
  <c r="F254" i="1"/>
  <c r="F248" i="1"/>
  <c r="F272" i="1"/>
  <c r="F267" i="1"/>
  <c r="F249" i="1"/>
  <c r="F342" i="1"/>
  <c r="F373" i="1"/>
  <c r="F265" i="1"/>
  <c r="F261" i="1"/>
  <c r="F269" i="1"/>
  <c r="F345" i="1"/>
  <c r="F268" i="1"/>
  <c r="F284" i="1"/>
  <c r="F290" i="1"/>
  <c r="F262" i="1"/>
  <c r="F363" i="1"/>
  <c r="F287" i="1"/>
  <c r="F251" i="1"/>
  <c r="F350" i="1"/>
  <c r="F282" i="1"/>
  <c r="F351" i="1"/>
  <c r="F362" i="1"/>
  <c r="F355" i="1"/>
  <c r="F346" i="1"/>
  <c r="F285" i="1"/>
  <c r="F277" i="1"/>
  <c r="F361" i="1"/>
  <c r="F256" i="1"/>
  <c r="F273" i="1"/>
  <c r="F349" i="1"/>
  <c r="F343" i="1"/>
  <c r="F348" i="1"/>
  <c r="F283" i="1"/>
  <c r="F370" i="1"/>
  <c r="F278" i="1"/>
  <c r="F258" i="1"/>
  <c r="F260" i="1"/>
  <c r="F339" i="1"/>
  <c r="F353" i="1"/>
  <c r="F252" i="1"/>
  <c r="F286" i="1"/>
  <c r="F247" i="1"/>
  <c r="F253" i="1"/>
  <c r="F266" i="1"/>
  <c r="F341" i="1"/>
  <c r="F347" i="1"/>
  <c r="F288" i="1"/>
  <c r="F250" i="1"/>
  <c r="G1140" i="1"/>
  <c r="G1126" i="1"/>
  <c r="G798" i="1"/>
  <c r="G902" i="1"/>
  <c r="G793" i="1"/>
  <c r="G901" i="1"/>
  <c r="G900" i="1"/>
  <c r="G1133" i="1"/>
  <c r="G909" i="1"/>
  <c r="G1139" i="1"/>
  <c r="G957" i="1"/>
  <c r="G802" i="1"/>
  <c r="G1128" i="1"/>
  <c r="G924" i="1"/>
  <c r="G917" i="1"/>
  <c r="G1144" i="1"/>
  <c r="G903" i="1"/>
  <c r="G916" i="1"/>
  <c r="G908" i="1"/>
  <c r="G1132" i="1"/>
  <c r="G958" i="1"/>
  <c r="G1127" i="1"/>
  <c r="G796" i="1"/>
  <c r="G956" i="1"/>
  <c r="G904" i="1"/>
  <c r="G1129" i="1"/>
  <c r="G1131" i="1"/>
  <c r="G955" i="1"/>
  <c r="G1138" i="1"/>
  <c r="G800" i="1"/>
  <c r="G951" i="1"/>
  <c r="G794" i="1"/>
  <c r="G912" i="1"/>
  <c r="G483" i="1"/>
  <c r="G1135" i="1"/>
  <c r="G949" i="1"/>
  <c r="G1137" i="1"/>
  <c r="G927" i="1"/>
  <c r="G797" i="1"/>
  <c r="G1141" i="1"/>
  <c r="G923" i="1"/>
  <c r="G928" i="1"/>
  <c r="G954" i="1"/>
  <c r="G913" i="1"/>
  <c r="G795" i="1"/>
  <c r="G910" i="1"/>
  <c r="G905" i="1"/>
  <c r="G922" i="1"/>
  <c r="G919" i="1"/>
  <c r="G1136" i="1"/>
  <c r="G803" i="1"/>
  <c r="G1143" i="1"/>
  <c r="G799" i="1"/>
  <c r="G482" i="1"/>
  <c r="G926" i="1"/>
  <c r="G911" i="1"/>
  <c r="G953" i="1"/>
  <c r="G925" i="1"/>
  <c r="G906" i="1"/>
  <c r="G920" i="1"/>
  <c r="G914" i="1"/>
  <c r="G950" i="1"/>
  <c r="G801" i="1"/>
  <c r="G915" i="1"/>
  <c r="G952" i="1"/>
  <c r="G1130" i="1"/>
  <c r="G918" i="1"/>
  <c r="G1134" i="1"/>
  <c r="G959" i="1"/>
  <c r="G921" i="1"/>
  <c r="G1142" i="1"/>
  <c r="G907" i="1"/>
  <c r="F159" i="1"/>
  <c r="F161" i="1"/>
  <c r="F141" i="1"/>
  <c r="F130" i="1"/>
  <c r="F151" i="1"/>
  <c r="F131" i="1"/>
  <c r="F145" i="1"/>
  <c r="F140" i="1"/>
  <c r="F126" i="1"/>
  <c r="F138" i="1"/>
  <c r="F158" i="1"/>
  <c r="F133" i="1"/>
  <c r="F146" i="1"/>
  <c r="F137" i="1"/>
  <c r="F128" i="1"/>
  <c r="F139" i="1"/>
  <c r="F142" i="1"/>
  <c r="F160" i="1"/>
  <c r="F153" i="1"/>
  <c r="F129" i="1"/>
  <c r="F155" i="1"/>
  <c r="F156" i="1"/>
  <c r="F132" i="1"/>
  <c r="F148" i="1"/>
  <c r="F144" i="1"/>
  <c r="F150" i="1"/>
  <c r="F154" i="1"/>
  <c r="F136" i="1"/>
  <c r="F147" i="1"/>
  <c r="F149" i="1"/>
  <c r="F157" i="1"/>
  <c r="F143" i="1"/>
  <c r="F127" i="1"/>
  <c r="F152" i="1"/>
  <c r="G311" i="1"/>
  <c r="G1094" i="1"/>
  <c r="G294" i="1"/>
  <c r="G299" i="1"/>
  <c r="G506" i="1"/>
  <c r="G519" i="1"/>
  <c r="G321" i="1"/>
  <c r="G323" i="1"/>
  <c r="G756" i="1"/>
  <c r="G531" i="1"/>
  <c r="G320" i="1"/>
  <c r="G336" i="1"/>
  <c r="G305" i="1"/>
  <c r="G762" i="1"/>
  <c r="G327" i="1"/>
  <c r="G527" i="1"/>
  <c r="G537" i="1"/>
  <c r="G1110" i="1"/>
  <c r="G1106" i="1"/>
  <c r="G293" i="1"/>
  <c r="G522" i="1"/>
  <c r="G1096" i="1"/>
  <c r="G533" i="1"/>
  <c r="G536" i="1"/>
  <c r="G538" i="1"/>
  <c r="G1117" i="1"/>
  <c r="G530" i="1"/>
  <c r="G295" i="1"/>
  <c r="G540" i="1"/>
  <c r="G331" i="1"/>
  <c r="G1099" i="1"/>
  <c r="G329" i="1"/>
  <c r="G539" i="1"/>
  <c r="G310" i="1"/>
  <c r="G524" i="1"/>
  <c r="G1104" i="1"/>
  <c r="G1093" i="1"/>
  <c r="G312" i="1"/>
  <c r="G322" i="1"/>
  <c r="G308" i="1"/>
  <c r="G1102" i="1"/>
  <c r="G535" i="1"/>
  <c r="G292" i="1"/>
  <c r="G548" i="1"/>
  <c r="G763" i="1"/>
  <c r="G1097" i="1"/>
  <c r="G534" i="1"/>
  <c r="G319" i="1"/>
  <c r="G301" i="1"/>
  <c r="G1116" i="1"/>
  <c r="G545" i="1"/>
  <c r="G1109" i="1"/>
  <c r="G300" i="1"/>
  <c r="G1103" i="1"/>
  <c r="G516" i="1"/>
  <c r="G325" i="1"/>
  <c r="G1092" i="1"/>
  <c r="G1115" i="1"/>
  <c r="G541" i="1"/>
  <c r="G328" i="1"/>
  <c r="G307" i="1"/>
  <c r="G543" i="1"/>
  <c r="G291" i="1"/>
  <c r="G309" i="1"/>
  <c r="G1113" i="1"/>
  <c r="G521" i="1"/>
  <c r="G546" i="1"/>
  <c r="G757" i="1"/>
  <c r="G1112" i="1"/>
  <c r="G764" i="1"/>
  <c r="G525" i="1"/>
  <c r="G513" i="1"/>
  <c r="G1108" i="1"/>
  <c r="G1107" i="1"/>
  <c r="G298" i="1"/>
  <c r="G334" i="1"/>
  <c r="G507" i="1"/>
  <c r="G518" i="1"/>
  <c r="G1100" i="1"/>
  <c r="G326" i="1"/>
  <c r="G330" i="1"/>
  <c r="G485" i="1"/>
  <c r="G316" i="1"/>
  <c r="G508" i="1"/>
  <c r="G303" i="1"/>
  <c r="G306" i="1"/>
  <c r="G511" i="1"/>
  <c r="G315" i="1"/>
  <c r="G1114" i="1"/>
  <c r="G515" i="1"/>
  <c r="G512" i="1"/>
  <c r="G304" i="1"/>
  <c r="G532" i="1"/>
  <c r="G520" i="1"/>
  <c r="G338" i="1"/>
  <c r="G526" i="1"/>
  <c r="G529" i="1"/>
  <c r="G335" i="1"/>
  <c r="G510" i="1"/>
  <c r="G1095" i="1"/>
  <c r="G528" i="1"/>
  <c r="G514" i="1"/>
  <c r="G1111" i="1"/>
  <c r="G318" i="1"/>
  <c r="G332" i="1"/>
  <c r="G517" i="1"/>
  <c r="G337" i="1"/>
  <c r="G313" i="1"/>
  <c r="G314" i="1"/>
  <c r="G761" i="1"/>
  <c r="G484" i="1"/>
  <c r="G547" i="1"/>
  <c r="G297" i="1"/>
  <c r="G302" i="1"/>
  <c r="G759" i="1"/>
  <c r="G544" i="1"/>
  <c r="G296" i="1"/>
  <c r="G760" i="1"/>
  <c r="G1098" i="1"/>
  <c r="G317" i="1"/>
  <c r="G758" i="1"/>
  <c r="G523" i="1"/>
  <c r="G505" i="1"/>
  <c r="G1101" i="1"/>
  <c r="G509" i="1"/>
  <c r="G324" i="1"/>
  <c r="G765" i="1"/>
  <c r="G542" i="1"/>
  <c r="G766" i="1"/>
  <c r="G1105" i="1"/>
  <c r="G333" i="1"/>
  <c r="G125" i="1"/>
  <c r="G134" i="1"/>
  <c r="G135" i="1"/>
  <c r="G207" i="1"/>
  <c r="G371" i="1"/>
  <c r="G205" i="1"/>
  <c r="G367" i="1"/>
  <c r="G206" i="1"/>
  <c r="G366" i="1"/>
  <c r="G365" i="1"/>
  <c r="G210" i="1"/>
  <c r="G368" i="1"/>
  <c r="G369" i="1"/>
  <c r="G208" i="1"/>
  <c r="G364" i="1"/>
  <c r="G209" i="1"/>
  <c r="G372" i="1"/>
  <c r="BA6" i="8"/>
  <c r="Z60" i="8" s="1"/>
  <c r="AS29" i="8"/>
  <c r="BC29" i="8"/>
  <c r="AN58" i="8" s="1"/>
  <c r="BX58" i="8" s="1"/>
  <c r="AI29" i="8"/>
  <c r="AM58" i="8" s="1"/>
  <c r="BW58" i="8" s="1"/>
  <c r="G341" i="1"/>
  <c r="G254" i="1"/>
  <c r="G255" i="1"/>
  <c r="G288" i="1"/>
  <c r="G252" i="1"/>
  <c r="G274" i="1"/>
  <c r="G358" i="1"/>
  <c r="G289" i="1"/>
  <c r="G285" i="1"/>
  <c r="G269" i="1"/>
  <c r="G267" i="1"/>
  <c r="G275" i="1"/>
  <c r="G277" i="1"/>
  <c r="G248" i="1"/>
  <c r="G282" i="1"/>
  <c r="G258" i="1"/>
  <c r="G362" i="1"/>
  <c r="G251" i="1"/>
  <c r="G247" i="1"/>
  <c r="G253" i="1"/>
  <c r="G281" i="1"/>
  <c r="G350" i="1"/>
  <c r="G250" i="1"/>
  <c r="G259" i="1"/>
  <c r="G276" i="1"/>
  <c r="G273" i="1"/>
  <c r="G272" i="1"/>
  <c r="G279" i="1"/>
  <c r="G271" i="1"/>
  <c r="G263" i="1"/>
  <c r="G347" i="1"/>
  <c r="G284" i="1"/>
  <c r="G360" i="1"/>
  <c r="G361" i="1"/>
  <c r="G349" i="1"/>
  <c r="G359" i="1"/>
  <c r="G249" i="1"/>
  <c r="G270" i="1"/>
  <c r="G262" i="1"/>
  <c r="G342" i="1"/>
  <c r="G339" i="1"/>
  <c r="G286" i="1"/>
  <c r="G257" i="1"/>
  <c r="G373" i="1"/>
  <c r="G357" i="1"/>
  <c r="G344" i="1"/>
  <c r="G363" i="1"/>
  <c r="G283" i="1"/>
  <c r="G348" i="1"/>
  <c r="G340" i="1"/>
  <c r="G353" i="1"/>
  <c r="G287" i="1"/>
  <c r="G266" i="1"/>
  <c r="G356" i="1"/>
  <c r="G280" i="1"/>
  <c r="G260" i="1"/>
  <c r="G261" i="1"/>
  <c r="G343" i="1"/>
  <c r="G351" i="1"/>
  <c r="G346" i="1"/>
  <c r="G370" i="1"/>
  <c r="G278" i="1"/>
  <c r="G256" i="1"/>
  <c r="G290" i="1"/>
  <c r="G264" i="1"/>
  <c r="G352" i="1"/>
  <c r="G268" i="1"/>
  <c r="G355" i="1"/>
  <c r="G265" i="1"/>
  <c r="G354" i="1"/>
  <c r="G345" i="1"/>
  <c r="BC8" i="8"/>
  <c r="AL62" i="8" s="1"/>
  <c r="X58" i="8"/>
  <c r="CF4" i="8"/>
  <c r="G11" i="8"/>
  <c r="H11" i="8" s="1"/>
  <c r="AT28" i="8"/>
  <c r="AJ28" i="8"/>
  <c r="AS57" i="8" s="1"/>
  <c r="CA57" i="8" s="1"/>
  <c r="CF7" i="8"/>
  <c r="X61" i="8"/>
  <c r="W74" i="8"/>
  <c r="AQ20" i="8"/>
  <c r="AG20" i="8"/>
  <c r="Y74" i="8" s="1"/>
  <c r="G33" i="8"/>
  <c r="I33" i="8" s="1"/>
  <c r="BF15" i="8"/>
  <c r="BD69" i="8" s="1"/>
  <c r="CF21" i="8"/>
  <c r="X76" i="8"/>
  <c r="BD22" i="8"/>
  <c r="AR76" i="8" s="1"/>
  <c r="G26" i="8"/>
  <c r="I26" i="8" s="1"/>
  <c r="AQ22" i="8"/>
  <c r="W76" i="8"/>
  <c r="AG22" i="8"/>
  <c r="Y76" i="8" s="1"/>
  <c r="F390" i="1"/>
  <c r="F376" i="1"/>
  <c r="F377" i="1"/>
  <c r="F392" i="1"/>
  <c r="F379" i="1"/>
  <c r="F382" i="1"/>
  <c r="F391" i="1"/>
  <c r="F381" i="1"/>
  <c r="F389" i="1"/>
  <c r="F385" i="1"/>
  <c r="F383" i="1"/>
  <c r="F378" i="1"/>
  <c r="F393" i="1"/>
  <c r="F384" i="1"/>
  <c r="F387" i="1"/>
  <c r="F394" i="1"/>
  <c r="F388" i="1"/>
  <c r="F386" i="1"/>
  <c r="F380" i="1"/>
  <c r="H483" i="1"/>
  <c r="H957" i="1"/>
  <c r="H954" i="1"/>
  <c r="H949" i="1"/>
  <c r="H1126" i="1"/>
  <c r="H951" i="1"/>
  <c r="H907" i="1"/>
  <c r="H952" i="1"/>
  <c r="H1137" i="1"/>
  <c r="H924" i="1"/>
  <c r="H1136" i="1"/>
  <c r="H920" i="1"/>
  <c r="H923" i="1"/>
  <c r="H959" i="1"/>
  <c r="H926" i="1"/>
  <c r="H1134" i="1"/>
  <c r="H906" i="1"/>
  <c r="H796" i="1"/>
  <c r="H1144" i="1"/>
  <c r="H922" i="1"/>
  <c r="H911" i="1"/>
  <c r="H1127" i="1"/>
  <c r="H803" i="1"/>
  <c r="H916" i="1"/>
  <c r="H1143" i="1"/>
  <c r="H1140" i="1"/>
  <c r="H904" i="1"/>
  <c r="H1139" i="1"/>
  <c r="H800" i="1"/>
  <c r="H903" i="1"/>
  <c r="H910" i="1"/>
  <c r="H918" i="1"/>
  <c r="H917" i="1"/>
  <c r="H900" i="1"/>
  <c r="H799" i="1"/>
  <c r="H1135" i="1"/>
  <c r="H956" i="1"/>
  <c r="H795" i="1"/>
  <c r="H955" i="1"/>
  <c r="H913" i="1"/>
  <c r="H793" i="1"/>
  <c r="H794" i="1"/>
  <c r="H921" i="1"/>
  <c r="H1142" i="1"/>
  <c r="H914" i="1"/>
  <c r="H950" i="1"/>
  <c r="H797" i="1"/>
  <c r="H802" i="1"/>
  <c r="H1130" i="1"/>
  <c r="H1131" i="1"/>
  <c r="H901" i="1"/>
  <c r="H1128" i="1"/>
  <c r="H1138" i="1"/>
  <c r="H902" i="1"/>
  <c r="H801" i="1"/>
  <c r="H927" i="1"/>
  <c r="H919" i="1"/>
  <c r="H958" i="1"/>
  <c r="H928" i="1"/>
  <c r="H1141" i="1"/>
  <c r="H1129" i="1"/>
  <c r="H953" i="1"/>
  <c r="H909" i="1"/>
  <c r="H915" i="1"/>
  <c r="H1133" i="1"/>
  <c r="H482" i="1"/>
  <c r="H905" i="1"/>
  <c r="H1132" i="1"/>
  <c r="H925" i="1"/>
  <c r="H908" i="1"/>
  <c r="H912" i="1"/>
  <c r="H798" i="1"/>
  <c r="F435" i="1"/>
  <c r="F414" i="1"/>
  <c r="F459" i="1"/>
  <c r="F447" i="1"/>
  <c r="F425" i="1"/>
  <c r="F455" i="1"/>
  <c r="F451" i="1"/>
  <c r="F436" i="1"/>
  <c r="F433" i="1"/>
  <c r="F428" i="1"/>
  <c r="F405" i="1"/>
  <c r="F402" i="1"/>
  <c r="F413" i="1"/>
  <c r="F443" i="1"/>
  <c r="F418" i="1"/>
  <c r="F432" i="1"/>
  <c r="F458" i="1"/>
  <c r="F416" i="1"/>
  <c r="F412" i="1"/>
  <c r="F442" i="1"/>
  <c r="F407" i="1"/>
  <c r="F456" i="1"/>
  <c r="F449" i="1"/>
  <c r="F437" i="1"/>
  <c r="F427" i="1"/>
  <c r="F420" i="1"/>
  <c r="F404" i="1"/>
  <c r="F441" i="1"/>
  <c r="F440" i="1"/>
  <c r="F400" i="1"/>
  <c r="F445" i="1"/>
  <c r="F422" i="1"/>
  <c r="F411" i="1"/>
  <c r="F431" i="1"/>
  <c r="F408" i="1"/>
  <c r="F424" i="1"/>
  <c r="F426" i="1"/>
  <c r="F448" i="1"/>
  <c r="F417" i="1"/>
  <c r="F406" i="1"/>
  <c r="F410" i="1"/>
  <c r="F415" i="1"/>
  <c r="F434" i="1"/>
  <c r="F444" i="1"/>
  <c r="F421" i="1"/>
  <c r="F438" i="1"/>
  <c r="F403" i="1"/>
  <c r="F429" i="1"/>
  <c r="F409" i="1"/>
  <c r="F450" i="1"/>
  <c r="F430" i="1"/>
  <c r="F446" i="1"/>
  <c r="F457" i="1"/>
  <c r="F419" i="1"/>
  <c r="F439" i="1"/>
  <c r="F401" i="1"/>
  <c r="F423" i="1"/>
  <c r="H704" i="1"/>
  <c r="H695" i="1"/>
  <c r="H499" i="1"/>
  <c r="H650" i="1"/>
  <c r="H746" i="1"/>
  <c r="H491" i="1"/>
  <c r="H659" i="1"/>
  <c r="H503" i="1"/>
  <c r="H727" i="1"/>
  <c r="H589" i="1"/>
  <c r="H662" i="1"/>
  <c r="H495" i="1"/>
  <c r="H674" i="1"/>
  <c r="H563" i="1"/>
  <c r="H552" i="1"/>
  <c r="H616" i="1"/>
  <c r="H715" i="1"/>
  <c r="H720" i="1"/>
  <c r="H702" i="1"/>
  <c r="H625" i="1"/>
  <c r="H612" i="1"/>
  <c r="H942" i="1"/>
  <c r="H941" i="1"/>
  <c r="H669" i="1"/>
  <c r="H670" i="1"/>
  <c r="H714" i="1"/>
  <c r="H619" i="1"/>
  <c r="H571" i="1"/>
  <c r="H577" i="1"/>
  <c r="H638" i="1"/>
  <c r="H750" i="1"/>
  <c r="H734" i="1"/>
  <c r="H588" i="1"/>
  <c r="H566" i="1"/>
  <c r="H735" i="1"/>
  <c r="H680" i="1"/>
  <c r="H602" i="1"/>
  <c r="H682" i="1"/>
  <c r="H639" i="1"/>
  <c r="H493" i="1"/>
  <c r="H677" i="1"/>
  <c r="H581" i="1"/>
  <c r="H490" i="1"/>
  <c r="H597" i="1"/>
  <c r="H487" i="1"/>
  <c r="H610" i="1"/>
  <c r="H605" i="1"/>
  <c r="H706" i="1"/>
  <c r="H600" i="1"/>
  <c r="H754" i="1"/>
  <c r="H739" i="1"/>
  <c r="H584" i="1"/>
  <c r="H709" i="1"/>
  <c r="H593" i="1"/>
  <c r="H740" i="1"/>
  <c r="H570" i="1"/>
  <c r="H745" i="1"/>
  <c r="H579" i="1"/>
  <c r="H622" i="1"/>
  <c r="H733" i="1"/>
  <c r="H632" i="1"/>
  <c r="H590" i="1"/>
  <c r="H553" i="1"/>
  <c r="H697" i="1"/>
  <c r="H501" i="1"/>
  <c r="H722" i="1"/>
  <c r="H675" i="1"/>
  <c r="H567" i="1"/>
  <c r="H623" i="1"/>
  <c r="H676" i="1"/>
  <c r="H642" i="1"/>
  <c r="H728" i="1"/>
  <c r="H688" i="1"/>
  <c r="H634" i="1"/>
  <c r="H725" i="1"/>
  <c r="H560" i="1"/>
  <c r="H643" i="1"/>
  <c r="H645" i="1"/>
  <c r="H667" i="1"/>
  <c r="H708" i="1"/>
  <c r="H549" i="1"/>
  <c r="H672" i="1"/>
  <c r="H636" i="1"/>
  <c r="H738" i="1"/>
  <c r="H640" i="1"/>
  <c r="H719" i="1"/>
  <c r="H693" i="1"/>
  <c r="H486" i="1"/>
  <c r="H736" i="1"/>
  <c r="H621" i="1"/>
  <c r="H687" i="1"/>
  <c r="H711" i="1"/>
  <c r="H477" i="1"/>
  <c r="H607" i="1"/>
  <c r="H565" i="1"/>
  <c r="H671" i="1"/>
  <c r="H755" i="1"/>
  <c r="H608" i="1"/>
  <c r="H631" i="1"/>
  <c r="H752" i="1"/>
  <c r="H609" i="1"/>
  <c r="H635" i="1"/>
  <c r="H500" i="1"/>
  <c r="H502" i="1"/>
  <c r="H744" i="1"/>
  <c r="H656" i="1"/>
  <c r="H585" i="1"/>
  <c r="H628" i="1"/>
  <c r="H668" i="1"/>
  <c r="H554" i="1"/>
  <c r="H614" i="1"/>
  <c r="H601" i="1"/>
  <c r="H559" i="1"/>
  <c r="H710" i="1"/>
  <c r="H646" i="1"/>
  <c r="H663" i="1"/>
  <c r="H665" i="1"/>
  <c r="H573" i="1"/>
  <c r="H652" i="1"/>
  <c r="H690" i="1"/>
  <c r="H489" i="1"/>
  <c r="H494" i="1"/>
  <c r="H686" i="1"/>
  <c r="H703" i="1"/>
  <c r="H615" i="1"/>
  <c r="H655" i="1"/>
  <c r="H649" i="1"/>
  <c r="H599" i="1"/>
  <c r="H611" i="1"/>
  <c r="H681" i="1"/>
  <c r="H683" i="1"/>
  <c r="H661" i="1"/>
  <c r="H592" i="1"/>
  <c r="H657" i="1"/>
  <c r="H666" i="1"/>
  <c r="H712" i="1"/>
  <c r="H705" i="1"/>
  <c r="H641" i="1"/>
  <c r="H701" i="1"/>
  <c r="H492" i="1"/>
  <c r="H587" i="1"/>
  <c r="H707" i="1"/>
  <c r="H564" i="1"/>
  <c r="H726" i="1"/>
  <c r="H569" i="1"/>
  <c r="H653" i="1"/>
  <c r="H729" i="1"/>
  <c r="H698" i="1"/>
  <c r="H654" i="1"/>
  <c r="H648" i="1"/>
  <c r="H574" i="1"/>
  <c r="H498" i="1"/>
  <c r="H580" i="1"/>
  <c r="H562" i="1"/>
  <c r="H737" i="1"/>
  <c r="H658" i="1"/>
  <c r="H664" i="1"/>
  <c r="H731" i="1"/>
  <c r="H617" i="1"/>
  <c r="H633" i="1"/>
  <c r="H694" i="1"/>
  <c r="H685" i="1"/>
  <c r="H624" i="1"/>
  <c r="H594" i="1"/>
  <c r="H488" i="1"/>
  <c r="H732" i="1"/>
  <c r="H699" i="1"/>
  <c r="H718" i="1"/>
  <c r="H696" i="1"/>
  <c r="H700" i="1"/>
  <c r="H742" i="1"/>
  <c r="H572" i="1"/>
  <c r="H692" i="1"/>
  <c r="H568" i="1"/>
  <c r="H504" i="1"/>
  <c r="H618" i="1"/>
  <c r="H598" i="1"/>
  <c r="H630" i="1"/>
  <c r="H551" i="1"/>
  <c r="H678" i="1"/>
  <c r="H684" i="1"/>
  <c r="H753" i="1"/>
  <c r="H689" i="1"/>
  <c r="H496" i="1"/>
  <c r="H561" i="1"/>
  <c r="H626" i="1"/>
  <c r="H578" i="1"/>
  <c r="H637" i="1"/>
  <c r="H586" i="1"/>
  <c r="H691" i="1"/>
  <c r="H629" i="1"/>
  <c r="H713" i="1"/>
  <c r="H613" i="1"/>
  <c r="H576" i="1"/>
  <c r="H644" i="1"/>
  <c r="H724" i="1"/>
  <c r="H595" i="1"/>
  <c r="H620" i="1"/>
  <c r="H550" i="1"/>
  <c r="H582" i="1"/>
  <c r="H555" i="1"/>
  <c r="H604" i="1"/>
  <c r="H741" i="1"/>
  <c r="H606" i="1"/>
  <c r="H575" i="1"/>
  <c r="H603" i="1"/>
  <c r="H751" i="1"/>
  <c r="H647" i="1"/>
  <c r="H743" i="1"/>
  <c r="H556" i="1"/>
  <c r="H721" i="1"/>
  <c r="H717" i="1"/>
  <c r="H660" i="1"/>
  <c r="H651" i="1"/>
  <c r="H723" i="1"/>
  <c r="H716" i="1"/>
  <c r="H583" i="1"/>
  <c r="H627" i="1"/>
  <c r="H557" i="1"/>
  <c r="H749" i="1"/>
  <c r="H730" i="1"/>
  <c r="H478" i="1"/>
  <c r="H591" i="1"/>
  <c r="H748" i="1"/>
  <c r="H679" i="1"/>
  <c r="H673" i="1"/>
  <c r="H596" i="1"/>
  <c r="H497" i="1"/>
  <c r="H747" i="1"/>
  <c r="H558" i="1"/>
  <c r="F221" i="1"/>
  <c r="F212" i="1"/>
  <c r="F216" i="1"/>
  <c r="F215" i="1"/>
  <c r="F219" i="1"/>
  <c r="F218" i="1"/>
  <c r="F217" i="1"/>
  <c r="F213" i="1"/>
  <c r="F214" i="1"/>
  <c r="F220" i="1"/>
  <c r="F211" i="1"/>
  <c r="F660" i="1"/>
  <c r="F501" i="1"/>
  <c r="F681" i="1"/>
  <c r="F625" i="1"/>
  <c r="F593" i="1"/>
  <c r="F750" i="1"/>
  <c r="F596" i="1"/>
  <c r="F743" i="1"/>
  <c r="F488" i="1"/>
  <c r="F571" i="1"/>
  <c r="F570" i="1"/>
  <c r="F667" i="1"/>
  <c r="F741" i="1"/>
  <c r="F748" i="1"/>
  <c r="F711" i="1"/>
  <c r="F582" i="1"/>
  <c r="F676" i="1"/>
  <c r="F641" i="1"/>
  <c r="F494" i="1"/>
  <c r="F565" i="1"/>
  <c r="F705" i="1"/>
  <c r="F691" i="1"/>
  <c r="F720" i="1"/>
  <c r="F677" i="1"/>
  <c r="F637" i="1"/>
  <c r="F719" i="1"/>
  <c r="F578" i="1"/>
  <c r="F575" i="1"/>
  <c r="F648" i="1"/>
  <c r="F701" i="1"/>
  <c r="F755" i="1"/>
  <c r="F694" i="1"/>
  <c r="F579" i="1"/>
  <c r="F673" i="1"/>
  <c r="F664" i="1"/>
  <c r="F732" i="1"/>
  <c r="F555" i="1"/>
  <c r="F749" i="1"/>
  <c r="F632" i="1"/>
  <c r="F725" i="1"/>
  <c r="F591" i="1"/>
  <c r="F478" i="1"/>
  <c r="F684" i="1"/>
  <c r="F499" i="1"/>
  <c r="F638" i="1"/>
  <c r="F601" i="1"/>
  <c r="F728" i="1"/>
  <c r="F502" i="1"/>
  <c r="F489" i="1"/>
  <c r="F491" i="1"/>
  <c r="F716" i="1"/>
  <c r="F599" i="1"/>
  <c r="F659" i="1"/>
  <c r="F707" i="1"/>
  <c r="F668" i="1"/>
  <c r="F737" i="1"/>
  <c r="F584" i="1"/>
  <c r="F753" i="1"/>
  <c r="F674" i="1"/>
  <c r="F495" i="1"/>
  <c r="F594" i="1"/>
  <c r="F492" i="1"/>
  <c r="F715" i="1"/>
  <c r="F675" i="1"/>
  <c r="F559" i="1"/>
  <c r="F704" i="1"/>
  <c r="F562" i="1"/>
  <c r="F680" i="1"/>
  <c r="F942" i="1"/>
  <c r="F746" i="1"/>
  <c r="F729" i="1"/>
  <c r="F569" i="1"/>
  <c r="F683" i="1"/>
  <c r="F678" i="1"/>
  <c r="F581" i="1"/>
  <c r="F600" i="1"/>
  <c r="F747" i="1"/>
  <c r="F671" i="1"/>
  <c r="F730" i="1"/>
  <c r="F663" i="1"/>
  <c r="F733" i="1"/>
  <c r="F646" i="1"/>
  <c r="F585" i="1"/>
  <c r="F724" i="1"/>
  <c r="F626" i="1"/>
  <c r="F553" i="1"/>
  <c r="F669" i="1"/>
  <c r="F751" i="1"/>
  <c r="F614" i="1"/>
  <c r="F693" i="1"/>
  <c r="F670" i="1"/>
  <c r="F556" i="1"/>
  <c r="F731" i="1"/>
  <c r="F653" i="1"/>
  <c r="F623" i="1"/>
  <c r="F736" i="1"/>
  <c r="F497" i="1"/>
  <c r="F561" i="1"/>
  <c r="F658" i="1"/>
  <c r="F560" i="1"/>
  <c r="F628" i="1"/>
  <c r="F504" i="1"/>
  <c r="F615" i="1"/>
  <c r="F609" i="1"/>
  <c r="F642" i="1"/>
  <c r="F639" i="1"/>
  <c r="F633" i="1"/>
  <c r="F503" i="1"/>
  <c r="F700" i="1"/>
  <c r="F580" i="1"/>
  <c r="F740" i="1"/>
  <c r="F697" i="1"/>
  <c r="F612" i="1"/>
  <c r="F688" i="1"/>
  <c r="F695" i="1"/>
  <c r="F717" i="1"/>
  <c r="F587" i="1"/>
  <c r="F655" i="1"/>
  <c r="F636" i="1"/>
  <c r="F576" i="1"/>
  <c r="F563" i="1"/>
  <c r="F567" i="1"/>
  <c r="F643" i="1"/>
  <c r="F654" i="1"/>
  <c r="F745" i="1"/>
  <c r="F661" i="1"/>
  <c r="F714" i="1"/>
  <c r="F549" i="1"/>
  <c r="F686" i="1"/>
  <c r="F487" i="1"/>
  <c r="F708" i="1"/>
  <c r="F598" i="1"/>
  <c r="F605" i="1"/>
  <c r="F651" i="1"/>
  <c r="F604" i="1"/>
  <c r="F739" i="1"/>
  <c r="F550" i="1"/>
  <c r="F706" i="1"/>
  <c r="F652" i="1"/>
  <c r="F723" i="1"/>
  <c r="F754" i="1"/>
  <c r="F634" i="1"/>
  <c r="F592" i="1"/>
  <c r="F558" i="1"/>
  <c r="F734" i="1"/>
  <c r="F689" i="1"/>
  <c r="F742" i="1"/>
  <c r="F640" i="1"/>
  <c r="F696" i="1"/>
  <c r="F493" i="1"/>
  <c r="F583" i="1"/>
  <c r="F618" i="1"/>
  <c r="F687" i="1"/>
  <c r="F611" i="1"/>
  <c r="F608" i="1"/>
  <c r="F588" i="1"/>
  <c r="F709" i="1"/>
  <c r="F597" i="1"/>
  <c r="F662" i="1"/>
  <c r="F679" i="1"/>
  <c r="F644" i="1"/>
  <c r="F621" i="1"/>
  <c r="F486" i="1"/>
  <c r="F713" i="1"/>
  <c r="F752" i="1"/>
  <c r="F665" i="1"/>
  <c r="F685" i="1"/>
  <c r="F727" i="1"/>
  <c r="F622" i="1"/>
  <c r="F631" i="1"/>
  <c r="F589" i="1"/>
  <c r="F710" i="1"/>
  <c r="F635" i="1"/>
  <c r="F647" i="1"/>
  <c r="F738" i="1"/>
  <c r="F498" i="1"/>
  <c r="F722" i="1"/>
  <c r="F490" i="1"/>
  <c r="F712" i="1"/>
  <c r="F613" i="1"/>
  <c r="F735" i="1"/>
  <c r="F551" i="1"/>
  <c r="F552" i="1"/>
  <c r="F477" i="1"/>
  <c r="F703" i="1"/>
  <c r="F602" i="1"/>
  <c r="F718" i="1"/>
  <c r="F649" i="1"/>
  <c r="F702" i="1"/>
  <c r="F554" i="1"/>
  <c r="F617" i="1"/>
  <c r="F630" i="1"/>
  <c r="F610" i="1"/>
  <c r="F721" i="1"/>
  <c r="F744" i="1"/>
  <c r="F690" i="1"/>
  <c r="F606" i="1"/>
  <c r="F496" i="1"/>
  <c r="F564" i="1"/>
  <c r="F682" i="1"/>
  <c r="F577" i="1"/>
  <c r="F616" i="1"/>
  <c r="F607" i="1"/>
  <c r="F698" i="1"/>
  <c r="F573" i="1"/>
  <c r="F572" i="1"/>
  <c r="F657" i="1"/>
  <c r="F627" i="1"/>
  <c r="F500" i="1"/>
  <c r="F557" i="1"/>
  <c r="F568" i="1"/>
  <c r="F566" i="1"/>
  <c r="F941" i="1"/>
  <c r="F624" i="1"/>
  <c r="F574" i="1"/>
  <c r="F586" i="1"/>
  <c r="F595" i="1"/>
  <c r="F726" i="1"/>
  <c r="F603" i="1"/>
  <c r="F590" i="1"/>
  <c r="F666" i="1"/>
  <c r="F692" i="1"/>
  <c r="F645" i="1"/>
  <c r="F650" i="1"/>
  <c r="F629" i="1"/>
  <c r="F620" i="1"/>
  <c r="F656" i="1"/>
  <c r="F699" i="1"/>
  <c r="F619" i="1"/>
  <c r="F672" i="1"/>
  <c r="G194" i="1"/>
  <c r="G195" i="1"/>
  <c r="G170" i="1"/>
  <c r="G175" i="1"/>
  <c r="G186" i="1"/>
  <c r="G173" i="1"/>
  <c r="G179" i="1"/>
  <c r="G176" i="1"/>
  <c r="G178" i="1"/>
  <c r="G164" i="1"/>
  <c r="G184" i="1"/>
  <c r="G181" i="1"/>
  <c r="G165" i="1"/>
  <c r="G180" i="1"/>
  <c r="G166" i="1"/>
  <c r="G197" i="1"/>
  <c r="G182" i="1"/>
  <c r="G198" i="1"/>
  <c r="G177" i="1"/>
  <c r="G189" i="1"/>
  <c r="G174" i="1"/>
  <c r="G172" i="1"/>
  <c r="G183" i="1"/>
  <c r="G168" i="1"/>
  <c r="G188" i="1"/>
  <c r="G190" i="1"/>
  <c r="G169" i="1"/>
  <c r="G191" i="1"/>
  <c r="G192" i="1"/>
  <c r="G187" i="1"/>
  <c r="G193" i="1"/>
  <c r="G167" i="1"/>
  <c r="G196" i="1"/>
  <c r="G185" i="1"/>
  <c r="G171" i="1"/>
  <c r="G16" i="1"/>
  <c r="G21" i="1"/>
  <c r="G17" i="1"/>
  <c r="G22" i="1"/>
  <c r="G19" i="1"/>
  <c r="G23" i="1"/>
  <c r="G20" i="1"/>
  <c r="BW60" i="8"/>
  <c r="AI30" i="8"/>
  <c r="AM59" i="8" s="1"/>
  <c r="BW59" i="8" s="1"/>
  <c r="AS30" i="8"/>
  <c r="BC30" i="8"/>
  <c r="AN59" i="8" s="1"/>
  <c r="BX59" i="8" s="1"/>
  <c r="CF23" i="8"/>
  <c r="X78" i="8"/>
  <c r="X56" i="8"/>
  <c r="CF2" i="8"/>
  <c r="AS28" i="8"/>
  <c r="BC28" i="8"/>
  <c r="AN57" i="8" s="1"/>
  <c r="AI28" i="8"/>
  <c r="AM57" i="8" s="1"/>
  <c r="BW57" i="8" s="1"/>
  <c r="BX60" i="8"/>
  <c r="G2" i="8"/>
  <c r="H2" i="8" s="1"/>
  <c r="AM29" i="8"/>
  <c r="BK58" i="8" s="1"/>
  <c r="CM58" i="8" s="1"/>
  <c r="AW29" i="8"/>
  <c r="BG29" i="8"/>
  <c r="BL58" i="8" s="1"/>
  <c r="BM17" i="8"/>
  <c r="X64" i="8"/>
  <c r="CF10" i="8"/>
  <c r="CF11" i="8"/>
  <c r="X66" i="8"/>
  <c r="G15" i="8"/>
  <c r="I15" i="8" s="1"/>
  <c r="BD15" i="8"/>
  <c r="AR69" i="8" s="1"/>
  <c r="X62" i="8"/>
  <c r="CF8" i="8"/>
  <c r="G34" i="8"/>
  <c r="I34" i="8" s="1"/>
  <c r="G24" i="8"/>
  <c r="H24" i="8" s="1"/>
  <c r="X71" i="8"/>
  <c r="CF16" i="8"/>
  <c r="H181" i="1"/>
  <c r="H177" i="1"/>
  <c r="H192" i="1"/>
  <c r="H168" i="1"/>
  <c r="H186" i="1"/>
  <c r="H195" i="1"/>
  <c r="H187" i="1"/>
  <c r="H184" i="1"/>
  <c r="H180" i="1"/>
  <c r="H189" i="1"/>
  <c r="H172" i="1"/>
  <c r="H169" i="1"/>
  <c r="H197" i="1"/>
  <c r="H174" i="1"/>
  <c r="H170" i="1"/>
  <c r="H179" i="1"/>
  <c r="H194" i="1"/>
  <c r="H167" i="1"/>
  <c r="H164" i="1"/>
  <c r="H185" i="1"/>
  <c r="H191" i="1"/>
  <c r="H175" i="1"/>
  <c r="H166" i="1"/>
  <c r="H178" i="1"/>
  <c r="H182" i="1"/>
  <c r="H173" i="1"/>
  <c r="H176" i="1"/>
  <c r="H198" i="1"/>
  <c r="H171" i="1"/>
  <c r="H183" i="1"/>
  <c r="H196" i="1"/>
  <c r="H190" i="1"/>
  <c r="H193" i="1"/>
  <c r="H188" i="1"/>
  <c r="H165" i="1"/>
  <c r="F375" i="1"/>
  <c r="F374" i="1"/>
  <c r="F135" i="1"/>
  <c r="F125" i="1"/>
  <c r="F134" i="1"/>
  <c r="H140" i="1"/>
  <c r="H137" i="1"/>
  <c r="H133" i="1"/>
  <c r="H150" i="1"/>
  <c r="H126" i="1"/>
  <c r="H154" i="1"/>
  <c r="H151" i="1"/>
  <c r="H139" i="1"/>
  <c r="H158" i="1"/>
  <c r="H127" i="1"/>
  <c r="H149" i="1"/>
  <c r="H145" i="1"/>
  <c r="H156" i="1"/>
  <c r="H129" i="1"/>
  <c r="H131" i="1"/>
  <c r="H148" i="1"/>
  <c r="H146" i="1"/>
  <c r="H132" i="1"/>
  <c r="H157" i="1"/>
  <c r="H142" i="1"/>
  <c r="H144" i="1"/>
  <c r="H143" i="1"/>
  <c r="H136" i="1"/>
  <c r="H128" i="1"/>
  <c r="H130" i="1"/>
  <c r="H155" i="1"/>
  <c r="H141" i="1"/>
  <c r="H138" i="1"/>
  <c r="H159" i="1"/>
  <c r="H147" i="1"/>
  <c r="H161" i="1"/>
  <c r="H152" i="1"/>
  <c r="H160" i="1"/>
  <c r="H153" i="1"/>
  <c r="F209" i="1"/>
  <c r="F366" i="1"/>
  <c r="F205" i="1"/>
  <c r="F208" i="1"/>
  <c r="F371" i="1"/>
  <c r="F369" i="1"/>
  <c r="F372" i="1"/>
  <c r="F365" i="1"/>
  <c r="F210" i="1"/>
  <c r="F368" i="1"/>
  <c r="F207" i="1"/>
  <c r="F206" i="1"/>
  <c r="F367" i="1"/>
  <c r="F364" i="1"/>
  <c r="F1068" i="1"/>
  <c r="F770" i="1"/>
  <c r="F1001" i="1"/>
  <c r="F776" i="1"/>
  <c r="F1072" i="1"/>
  <c r="F1077" i="1"/>
  <c r="F896" i="1"/>
  <c r="F481" i="1"/>
  <c r="F773" i="1"/>
  <c r="F1008" i="1"/>
  <c r="F480" i="1"/>
  <c r="F1080" i="1"/>
  <c r="F788" i="1"/>
  <c r="F1070" i="1"/>
  <c r="F999" i="1"/>
  <c r="F1010" i="1"/>
  <c r="F1081" i="1"/>
  <c r="F1069" i="1"/>
  <c r="F789" i="1"/>
  <c r="F1066" i="1"/>
  <c r="F780" i="1"/>
  <c r="F948" i="1"/>
  <c r="F1009" i="1"/>
  <c r="F996" i="1"/>
  <c r="F898" i="1"/>
  <c r="F993" i="1"/>
  <c r="F895" i="1"/>
  <c r="F1056" i="1"/>
  <c r="F774" i="1"/>
  <c r="F1076" i="1"/>
  <c r="F1003" i="1"/>
  <c r="F998" i="1"/>
  <c r="F1086" i="1"/>
  <c r="F787" i="1"/>
  <c r="F1089" i="1"/>
  <c r="F785" i="1"/>
  <c r="F781" i="1"/>
  <c r="F1011" i="1"/>
  <c r="F946" i="1"/>
  <c r="F1063" i="1"/>
  <c r="F1048" i="1"/>
  <c r="F1091" i="1"/>
  <c r="F783" i="1"/>
  <c r="F1059" i="1"/>
  <c r="F777" i="1"/>
  <c r="F791" i="1"/>
  <c r="F899" i="1"/>
  <c r="F768" i="1"/>
  <c r="F1062" i="1"/>
  <c r="F479" i="1"/>
  <c r="F1053" i="1"/>
  <c r="F1054" i="1"/>
  <c r="F1065" i="1"/>
  <c r="F994" i="1"/>
  <c r="F792" i="1"/>
  <c r="F1085" i="1"/>
  <c r="F1005" i="1"/>
  <c r="F991" i="1"/>
  <c r="F1073" i="1"/>
  <c r="F1057" i="1"/>
  <c r="F1061" i="1"/>
  <c r="F1067" i="1"/>
  <c r="F1002" i="1"/>
  <c r="F944" i="1"/>
  <c r="F1050" i="1"/>
  <c r="F943" i="1"/>
  <c r="F1075" i="1"/>
  <c r="F1083" i="1"/>
  <c r="F1064" i="1"/>
  <c r="F990" i="1"/>
  <c r="F1058" i="1"/>
  <c r="F1088" i="1"/>
  <c r="F1004" i="1"/>
  <c r="F1090" i="1"/>
  <c r="F1052" i="1"/>
  <c r="F1051" i="1"/>
  <c r="F1071" i="1"/>
  <c r="F772" i="1"/>
  <c r="F767" i="1"/>
  <c r="F769" i="1"/>
  <c r="F897" i="1"/>
  <c r="F1000" i="1"/>
  <c r="F945" i="1"/>
  <c r="F1049" i="1"/>
  <c r="F894" i="1"/>
  <c r="F1007" i="1"/>
  <c r="F1055" i="1"/>
  <c r="F1060" i="1"/>
  <c r="F1084" i="1"/>
  <c r="F1079" i="1"/>
  <c r="F992" i="1"/>
  <c r="F784" i="1"/>
  <c r="F997" i="1"/>
  <c r="F782" i="1"/>
  <c r="F893" i="1"/>
  <c r="F1006" i="1"/>
  <c r="F1087" i="1"/>
  <c r="F779" i="1"/>
  <c r="F786" i="1"/>
  <c r="F989" i="1"/>
  <c r="F1074" i="1"/>
  <c r="F1047" i="1"/>
  <c r="F790" i="1"/>
  <c r="F947" i="1"/>
  <c r="F778" i="1"/>
  <c r="F995" i="1"/>
  <c r="F775" i="1"/>
  <c r="F771" i="1"/>
  <c r="F1082" i="1"/>
  <c r="F1078" i="1"/>
  <c r="G148" i="1"/>
  <c r="G158" i="1"/>
  <c r="G150" i="1"/>
  <c r="G147" i="1"/>
  <c r="G132" i="1"/>
  <c r="G149" i="1"/>
  <c r="G157" i="1"/>
  <c r="G133" i="1"/>
  <c r="G160" i="1"/>
  <c r="G151" i="1"/>
  <c r="G141" i="1"/>
  <c r="G153" i="1"/>
  <c r="G129" i="1"/>
  <c r="G127" i="1"/>
  <c r="G137" i="1"/>
  <c r="G145" i="1"/>
  <c r="G161" i="1"/>
  <c r="G155" i="1"/>
  <c r="G136" i="1"/>
  <c r="G152" i="1"/>
  <c r="G139" i="1"/>
  <c r="G144" i="1"/>
  <c r="G159" i="1"/>
  <c r="G143" i="1"/>
  <c r="G142" i="1"/>
  <c r="G126" i="1"/>
  <c r="G138" i="1"/>
  <c r="G156" i="1"/>
  <c r="G146" i="1"/>
  <c r="G131" i="1"/>
  <c r="G130" i="1"/>
  <c r="G154" i="1"/>
  <c r="G128" i="1"/>
  <c r="G140" i="1"/>
  <c r="G101" i="1"/>
  <c r="G56" i="1"/>
  <c r="G32" i="1"/>
  <c r="G63" i="1"/>
  <c r="G68" i="1"/>
  <c r="G47" i="1"/>
  <c r="G119" i="1"/>
  <c r="G100" i="1"/>
  <c r="G26" i="1"/>
  <c r="G98" i="1"/>
  <c r="G117" i="1"/>
  <c r="G99" i="1"/>
  <c r="G95" i="1"/>
  <c r="G90" i="1"/>
  <c r="G72" i="1"/>
  <c r="G83" i="1"/>
  <c r="G40" i="1"/>
  <c r="G89" i="1"/>
  <c r="G46" i="1"/>
  <c r="G62" i="1"/>
  <c r="G43" i="1"/>
  <c r="G48" i="1"/>
  <c r="G35" i="1"/>
  <c r="G42" i="1"/>
  <c r="G33" i="1"/>
  <c r="G49" i="1"/>
  <c r="G64" i="1"/>
  <c r="G88" i="1"/>
  <c r="G85" i="1"/>
  <c r="G50" i="1"/>
  <c r="G87" i="1"/>
  <c r="G112" i="1"/>
  <c r="G104" i="1"/>
  <c r="G29" i="1"/>
  <c r="G44" i="1"/>
  <c r="G81" i="1"/>
  <c r="G93" i="1"/>
  <c r="G79" i="1"/>
  <c r="G80" i="1"/>
  <c r="G106" i="1"/>
  <c r="G34" i="1"/>
  <c r="G96" i="1"/>
  <c r="G75" i="1"/>
  <c r="G27" i="1"/>
  <c r="G115" i="1"/>
  <c r="G31" i="1"/>
  <c r="G111" i="1"/>
  <c r="G53" i="1"/>
  <c r="G91" i="1"/>
  <c r="G74" i="1"/>
  <c r="G58" i="1"/>
  <c r="G113" i="1"/>
  <c r="G38" i="1"/>
  <c r="G52" i="1"/>
  <c r="G108" i="1"/>
  <c r="G59" i="1"/>
  <c r="G30" i="1"/>
  <c r="G28" i="1"/>
  <c r="G114" i="1"/>
  <c r="G70" i="1"/>
  <c r="G71" i="1"/>
  <c r="G41" i="1"/>
  <c r="G67" i="1"/>
  <c r="G60" i="1"/>
  <c r="G77" i="1"/>
  <c r="G86" i="1"/>
  <c r="G92" i="1"/>
  <c r="G57" i="1"/>
  <c r="G103" i="1"/>
  <c r="G116" i="1"/>
  <c r="G82" i="1"/>
  <c r="G39" i="1"/>
  <c r="G107" i="1"/>
  <c r="G94" i="1"/>
  <c r="G51" i="1"/>
  <c r="G84" i="1"/>
  <c r="G102" i="1"/>
  <c r="G54" i="1"/>
  <c r="G65" i="1"/>
  <c r="G25" i="1"/>
  <c r="G61" i="1"/>
  <c r="G69" i="1"/>
  <c r="G109" i="1"/>
  <c r="G24" i="1"/>
  <c r="G97" i="1"/>
  <c r="G73" i="1"/>
  <c r="G105" i="1"/>
  <c r="G78" i="1"/>
  <c r="G37" i="1"/>
  <c r="G66" i="1"/>
  <c r="G45" i="1"/>
  <c r="G55" i="1"/>
  <c r="G118" i="1"/>
  <c r="G76" i="1"/>
  <c r="G110" i="1"/>
  <c r="G36" i="1"/>
  <c r="F240" i="1"/>
  <c r="F232" i="1"/>
  <c r="F246" i="1"/>
  <c r="F228" i="1"/>
  <c r="F229" i="1"/>
  <c r="F227" i="1"/>
  <c r="F234" i="1"/>
  <c r="F230" i="1"/>
  <c r="F235" i="1"/>
  <c r="F238" i="1"/>
  <c r="F224" i="1"/>
  <c r="F1216" i="1"/>
  <c r="F233" i="1"/>
  <c r="F239" i="1"/>
  <c r="F245" i="1"/>
  <c r="F223" i="1"/>
  <c r="F242" i="1"/>
  <c r="F225" i="1"/>
  <c r="F231" i="1"/>
  <c r="F222" i="1"/>
  <c r="F243" i="1"/>
  <c r="F244" i="1"/>
  <c r="F236" i="1"/>
  <c r="F226" i="1"/>
  <c r="F241" i="1"/>
  <c r="F237" i="1"/>
  <c r="BL12" i="8"/>
  <c r="BN12" i="8"/>
  <c r="BO2" i="8"/>
  <c r="BO3" i="8" s="1"/>
  <c r="BO4" i="8" s="1"/>
  <c r="BO5" i="8" s="1"/>
  <c r="BO6" i="8" s="1"/>
  <c r="BO7" i="8" s="1"/>
  <c r="BO8" i="8" s="1"/>
  <c r="BO9" i="8" s="1"/>
  <c r="BO10" i="8" s="1"/>
  <c r="BO11" i="8" s="1"/>
  <c r="BO12" i="8" s="1"/>
  <c r="BO13" i="8" s="1"/>
  <c r="BO14" i="8" s="1"/>
  <c r="BO15" i="8" s="1"/>
  <c r="BO16" i="8" s="1"/>
  <c r="BO17" i="8" s="1"/>
  <c r="BO18" i="8" s="1"/>
  <c r="BO19" i="8" s="1"/>
  <c r="BO20" i="8" s="1"/>
  <c r="BO21" i="8" s="1"/>
  <c r="BO22" i="8" s="1"/>
  <c r="BO23" i="8" s="1"/>
  <c r="BO24" i="8" s="1"/>
  <c r="BO25" i="8" s="1"/>
  <c r="BO26" i="8" s="1"/>
  <c r="BN2" i="8"/>
  <c r="G20" i="8"/>
  <c r="H20" i="8" s="1"/>
  <c r="CF18" i="8"/>
  <c r="X73" i="8"/>
  <c r="H14" i="1"/>
  <c r="H10" i="1"/>
  <c r="H9" i="1"/>
  <c r="H8" i="1"/>
  <c r="H15" i="1"/>
  <c r="H11" i="1"/>
  <c r="H7" i="1"/>
  <c r="H6" i="1"/>
  <c r="H13" i="1"/>
  <c r="H12" i="1"/>
  <c r="H19" i="1"/>
  <c r="H20" i="1"/>
  <c r="H22" i="1"/>
  <c r="H23" i="1"/>
  <c r="H17" i="1"/>
  <c r="H16" i="1"/>
  <c r="H21" i="1"/>
  <c r="F180" i="1"/>
  <c r="F177" i="1"/>
  <c r="F186" i="1"/>
  <c r="F176" i="1"/>
  <c r="F169" i="1"/>
  <c r="F196" i="1"/>
  <c r="F170" i="1"/>
  <c r="F187" i="1"/>
  <c r="F185" i="1"/>
  <c r="F195" i="1"/>
  <c r="F191" i="1"/>
  <c r="F173" i="1"/>
  <c r="F190" i="1"/>
  <c r="F174" i="1"/>
  <c r="F164" i="1"/>
  <c r="F197" i="1"/>
  <c r="F182" i="1"/>
  <c r="F166" i="1"/>
  <c r="F172" i="1"/>
  <c r="F165" i="1"/>
  <c r="F183" i="1"/>
  <c r="F168" i="1"/>
  <c r="F167" i="1"/>
  <c r="F193" i="1"/>
  <c r="F171" i="1"/>
  <c r="F184" i="1"/>
  <c r="F175" i="1"/>
  <c r="F178" i="1"/>
  <c r="F194" i="1"/>
  <c r="F188" i="1"/>
  <c r="F189" i="1"/>
  <c r="F192" i="1"/>
  <c r="F179" i="1"/>
  <c r="F198" i="1"/>
  <c r="F181" i="1"/>
  <c r="G1005" i="1"/>
  <c r="G1051" i="1"/>
  <c r="G948" i="1"/>
  <c r="G999" i="1"/>
  <c r="G1008" i="1"/>
  <c r="G1060" i="1"/>
  <c r="G779" i="1"/>
  <c r="G767" i="1"/>
  <c r="G1061" i="1"/>
  <c r="G1054" i="1"/>
  <c r="G945" i="1"/>
  <c r="G898" i="1"/>
  <c r="G894" i="1"/>
  <c r="G1072" i="1"/>
  <c r="G991" i="1"/>
  <c r="G1002" i="1"/>
  <c r="G778" i="1"/>
  <c r="G1078" i="1"/>
  <c r="G1011" i="1"/>
  <c r="G1053" i="1"/>
  <c r="G1048" i="1"/>
  <c r="G998" i="1"/>
  <c r="G1066" i="1"/>
  <c r="G481" i="1"/>
  <c r="G1064" i="1"/>
  <c r="G1074" i="1"/>
  <c r="G1059" i="1"/>
  <c r="G1076" i="1"/>
  <c r="G1084" i="1"/>
  <c r="G1079" i="1"/>
  <c r="G1080" i="1"/>
  <c r="G782" i="1"/>
  <c r="G895" i="1"/>
  <c r="G1077" i="1"/>
  <c r="G1083" i="1"/>
  <c r="G787" i="1"/>
  <c r="G1069" i="1"/>
  <c r="G479" i="1"/>
  <c r="G989" i="1"/>
  <c r="G1087" i="1"/>
  <c r="G994" i="1"/>
  <c r="G1091" i="1"/>
  <c r="G897" i="1"/>
  <c r="G1049" i="1"/>
  <c r="G784" i="1"/>
  <c r="G785" i="1"/>
  <c r="G771" i="1"/>
  <c r="G773" i="1"/>
  <c r="G1050" i="1"/>
  <c r="G1082" i="1"/>
  <c r="G997" i="1"/>
  <c r="G1065" i="1"/>
  <c r="G1056" i="1"/>
  <c r="G1055" i="1"/>
  <c r="G946" i="1"/>
  <c r="G1047" i="1"/>
  <c r="G995" i="1"/>
  <c r="G774" i="1"/>
  <c r="G1003" i="1"/>
  <c r="G1070" i="1"/>
  <c r="G944" i="1"/>
  <c r="G768" i="1"/>
  <c r="G893" i="1"/>
  <c r="G1010" i="1"/>
  <c r="G788" i="1"/>
  <c r="G1073" i="1"/>
  <c r="G992" i="1"/>
  <c r="G1075" i="1"/>
  <c r="G1007" i="1"/>
  <c r="G1090" i="1"/>
  <c r="G1086" i="1"/>
  <c r="G791" i="1"/>
  <c r="G775" i="1"/>
  <c r="G1004" i="1"/>
  <c r="G770" i="1"/>
  <c r="G1067" i="1"/>
  <c r="G780" i="1"/>
  <c r="G1068" i="1"/>
  <c r="G1081" i="1"/>
  <c r="G1001" i="1"/>
  <c r="G1058" i="1"/>
  <c r="G769" i="1"/>
  <c r="G1000" i="1"/>
  <c r="G943" i="1"/>
  <c r="G1071" i="1"/>
  <c r="G896" i="1"/>
  <c r="G789" i="1"/>
  <c r="G777" i="1"/>
  <c r="G781" i="1"/>
  <c r="G990" i="1"/>
  <c r="G1088" i="1"/>
  <c r="G786" i="1"/>
  <c r="G1006" i="1"/>
  <c r="G776" i="1"/>
  <c r="G993" i="1"/>
  <c r="G996" i="1"/>
  <c r="G1052" i="1"/>
  <c r="G1089" i="1"/>
  <c r="G792" i="1"/>
  <c r="G1057" i="1"/>
  <c r="G899" i="1"/>
  <c r="G1062" i="1"/>
  <c r="G947" i="1"/>
  <c r="G1063" i="1"/>
  <c r="G772" i="1"/>
  <c r="G790" i="1"/>
  <c r="G1009" i="1"/>
  <c r="G1085" i="1"/>
  <c r="G783" i="1"/>
  <c r="G480" i="1"/>
  <c r="H402" i="1"/>
  <c r="H425" i="1"/>
  <c r="H436" i="1"/>
  <c r="H430" i="1"/>
  <c r="H407" i="1"/>
  <c r="H405" i="1"/>
  <c r="H433" i="1"/>
  <c r="H411" i="1"/>
  <c r="H400" i="1"/>
  <c r="H416" i="1"/>
  <c r="H446" i="1"/>
  <c r="H451" i="1"/>
  <c r="H458" i="1"/>
  <c r="H434" i="1"/>
  <c r="H448" i="1"/>
  <c r="H447" i="1"/>
  <c r="H424" i="1"/>
  <c r="H403" i="1"/>
  <c r="H437" i="1"/>
  <c r="H441" i="1"/>
  <c r="H459" i="1"/>
  <c r="H412" i="1"/>
  <c r="H455" i="1"/>
  <c r="H420" i="1"/>
  <c r="H457" i="1"/>
  <c r="H438" i="1"/>
  <c r="H415" i="1"/>
  <c r="H442" i="1"/>
  <c r="H418" i="1"/>
  <c r="H406" i="1"/>
  <c r="H445" i="1"/>
  <c r="H404" i="1"/>
  <c r="H456" i="1"/>
  <c r="H444" i="1"/>
  <c r="H413" i="1"/>
  <c r="H439" i="1"/>
  <c r="H450" i="1"/>
  <c r="H410" i="1"/>
  <c r="H401" i="1"/>
  <c r="H427" i="1"/>
  <c r="H408" i="1"/>
  <c r="H435" i="1"/>
  <c r="H440" i="1"/>
  <c r="H432" i="1"/>
  <c r="H421" i="1"/>
  <c r="H431" i="1"/>
  <c r="H428" i="1"/>
  <c r="H426" i="1"/>
  <c r="H417" i="1"/>
  <c r="H422" i="1"/>
  <c r="H443" i="1"/>
  <c r="H409" i="1"/>
  <c r="H423" i="1"/>
  <c r="H419" i="1"/>
  <c r="H429" i="1"/>
  <c r="H449" i="1"/>
  <c r="H414" i="1"/>
  <c r="H371" i="1"/>
  <c r="H367" i="1"/>
  <c r="H209" i="1"/>
  <c r="H368" i="1"/>
  <c r="H210" i="1"/>
  <c r="H205" i="1"/>
  <c r="H372" i="1"/>
  <c r="H364" i="1"/>
  <c r="H207" i="1"/>
  <c r="H206" i="1"/>
  <c r="H208" i="1"/>
  <c r="H366" i="1"/>
  <c r="H365" i="1"/>
  <c r="H369" i="1"/>
  <c r="G488" i="1"/>
  <c r="G641" i="1"/>
  <c r="G667" i="1"/>
  <c r="G716" i="1"/>
  <c r="G563" i="1"/>
  <c r="G634" i="1"/>
  <c r="G560" i="1"/>
  <c r="G683" i="1"/>
  <c r="G718" i="1"/>
  <c r="G627" i="1"/>
  <c r="G613" i="1"/>
  <c r="G742" i="1"/>
  <c r="G724" i="1"/>
  <c r="G732" i="1"/>
  <c r="G681" i="1"/>
  <c r="G669" i="1"/>
  <c r="G651" i="1"/>
  <c r="G611" i="1"/>
  <c r="G636" i="1"/>
  <c r="G654" i="1"/>
  <c r="G492" i="1"/>
  <c r="G731" i="1"/>
  <c r="G686" i="1"/>
  <c r="G725" i="1"/>
  <c r="G653" i="1"/>
  <c r="G593" i="1"/>
  <c r="G673" i="1"/>
  <c r="G639" i="1"/>
  <c r="G693" i="1"/>
  <c r="G679" i="1"/>
  <c r="G646" i="1"/>
  <c r="G696" i="1"/>
  <c r="G554" i="1"/>
  <c r="G585" i="1"/>
  <c r="G684" i="1"/>
  <c r="G655" i="1"/>
  <c r="G582" i="1"/>
  <c r="G477" i="1"/>
  <c r="G594" i="1"/>
  <c r="G674" i="1"/>
  <c r="G645" i="1"/>
  <c r="G666" i="1"/>
  <c r="G709" i="1"/>
  <c r="G490" i="1"/>
  <c r="G744" i="1"/>
  <c r="G739" i="1"/>
  <c r="G752" i="1"/>
  <c r="G755" i="1"/>
  <c r="G719" i="1"/>
  <c r="G746" i="1"/>
  <c r="G705" i="1"/>
  <c r="G748" i="1"/>
  <c r="G615" i="1"/>
  <c r="G608" i="1"/>
  <c r="G569" i="1"/>
  <c r="G676" i="1"/>
  <c r="G728" i="1"/>
  <c r="G552" i="1"/>
  <c r="G726" i="1"/>
  <c r="G607" i="1"/>
  <c r="G644" i="1"/>
  <c r="G714" i="1"/>
  <c r="G587" i="1"/>
  <c r="G754" i="1"/>
  <c r="G941" i="1"/>
  <c r="G638" i="1"/>
  <c r="G740" i="1"/>
  <c r="G617" i="1"/>
  <c r="G557" i="1"/>
  <c r="G656" i="1"/>
  <c r="G503" i="1"/>
  <c r="G502" i="1"/>
  <c r="G590" i="1"/>
  <c r="G685" i="1"/>
  <c r="G493" i="1"/>
  <c r="G595" i="1"/>
  <c r="G694" i="1"/>
  <c r="G710" i="1"/>
  <c r="G721" i="1"/>
  <c r="G588" i="1"/>
  <c r="G572" i="1"/>
  <c r="G571" i="1"/>
  <c r="G665" i="1"/>
  <c r="G606" i="1"/>
  <c r="G602" i="1"/>
  <c r="G580" i="1"/>
  <c r="G727" i="1"/>
  <c r="G499" i="1"/>
  <c r="G604" i="1"/>
  <c r="G750" i="1"/>
  <c r="G695" i="1"/>
  <c r="G568" i="1"/>
  <c r="G581" i="1"/>
  <c r="G715" i="1"/>
  <c r="G738" i="1"/>
  <c r="G712" i="1"/>
  <c r="G643" i="1"/>
  <c r="G584" i="1"/>
  <c r="G570" i="1"/>
  <c r="G597" i="1"/>
  <c r="G670" i="1"/>
  <c r="G664" i="1"/>
  <c r="G730" i="1"/>
  <c r="G671" i="1"/>
  <c r="G495" i="1"/>
  <c r="G703" i="1"/>
  <c r="G632" i="1"/>
  <c r="G708" i="1"/>
  <c r="G691" i="1"/>
  <c r="G668" i="1"/>
  <c r="G713" i="1"/>
  <c r="G504" i="1"/>
  <c r="G600" i="1"/>
  <c r="G618" i="1"/>
  <c r="G591" i="1"/>
  <c r="G596" i="1"/>
  <c r="G702" i="1"/>
  <c r="G633" i="1"/>
  <c r="G625" i="1"/>
  <c r="G745" i="1"/>
  <c r="G599" i="1"/>
  <c r="G737" i="1"/>
  <c r="G565" i="1"/>
  <c r="G609" i="1"/>
  <c r="G630" i="1"/>
  <c r="G561" i="1"/>
  <c r="G553" i="1"/>
  <c r="G657" i="1"/>
  <c r="G720" i="1"/>
  <c r="G629" i="1"/>
  <c r="G688" i="1"/>
  <c r="G743" i="1"/>
  <c r="G701" i="1"/>
  <c r="G631" i="1"/>
  <c r="G682" i="1"/>
  <c r="G717" i="1"/>
  <c r="G556" i="1"/>
  <c r="G622" i="1"/>
  <c r="G550" i="1"/>
  <c r="G663" i="1"/>
  <c r="G672" i="1"/>
  <c r="G573" i="1"/>
  <c r="G549" i="1"/>
  <c r="G487" i="1"/>
  <c r="G583" i="1"/>
  <c r="G575" i="1"/>
  <c r="G734" i="1"/>
  <c r="G624" i="1"/>
  <c r="G494" i="1"/>
  <c r="G689" i="1"/>
  <c r="G589" i="1"/>
  <c r="G626" i="1"/>
  <c r="G647" i="1"/>
  <c r="G707" i="1"/>
  <c r="G942" i="1"/>
  <c r="G578" i="1"/>
  <c r="G658" i="1"/>
  <c r="G723" i="1"/>
  <c r="G614" i="1"/>
  <c r="G735" i="1"/>
  <c r="G753" i="1"/>
  <c r="G551" i="1"/>
  <c r="G678" i="1"/>
  <c r="G640" i="1"/>
  <c r="G711" i="1"/>
  <c r="G692" i="1"/>
  <c r="G660" i="1"/>
  <c r="G652" i="1"/>
  <c r="G558" i="1"/>
  <c r="G491" i="1"/>
  <c r="G704" i="1"/>
  <c r="G559" i="1"/>
  <c r="G697" i="1"/>
  <c r="G605" i="1"/>
  <c r="G592" i="1"/>
  <c r="G635" i="1"/>
  <c r="G555" i="1"/>
  <c r="G649" i="1"/>
  <c r="G603" i="1"/>
  <c r="G699" i="1"/>
  <c r="G586" i="1"/>
  <c r="G612" i="1"/>
  <c r="G496" i="1"/>
  <c r="G677" i="1"/>
  <c r="G642" i="1"/>
  <c r="G637" i="1"/>
  <c r="G620" i="1"/>
  <c r="G741" i="1"/>
  <c r="G650" i="1"/>
  <c r="G501" i="1"/>
  <c r="G610" i="1"/>
  <c r="G733" i="1"/>
  <c r="G690" i="1"/>
  <c r="G500" i="1"/>
  <c r="G576" i="1"/>
  <c r="G619" i="1"/>
  <c r="G562" i="1"/>
  <c r="G661" i="1"/>
  <c r="G478" i="1"/>
  <c r="G498" i="1"/>
  <c r="G687" i="1"/>
  <c r="G489" i="1"/>
  <c r="G567" i="1"/>
  <c r="G566" i="1"/>
  <c r="G700" i="1"/>
  <c r="G706" i="1"/>
  <c r="G623" i="1"/>
  <c r="G698" i="1"/>
  <c r="G751" i="1"/>
  <c r="G497" i="1"/>
  <c r="G675" i="1"/>
  <c r="G659" i="1"/>
  <c r="G574" i="1"/>
  <c r="G648" i="1"/>
  <c r="G621" i="1"/>
  <c r="G628" i="1"/>
  <c r="G749" i="1"/>
  <c r="G579" i="1"/>
  <c r="G616" i="1"/>
  <c r="G577" i="1"/>
  <c r="G564" i="1"/>
  <c r="G662" i="1"/>
  <c r="G598" i="1"/>
  <c r="G486" i="1"/>
  <c r="G680" i="1"/>
  <c r="G601" i="1"/>
  <c r="G722" i="1"/>
  <c r="G747" i="1"/>
  <c r="G736" i="1"/>
  <c r="G729" i="1"/>
  <c r="G201" i="1"/>
  <c r="G202" i="1"/>
  <c r="G200" i="1"/>
  <c r="G203" i="1"/>
  <c r="G213" i="1"/>
  <c r="G220" i="1"/>
  <c r="G217" i="1"/>
  <c r="G221" i="1"/>
  <c r="G212" i="1"/>
  <c r="G215" i="1"/>
  <c r="G218" i="1"/>
  <c r="G214" i="1"/>
  <c r="G219" i="1"/>
  <c r="G211" i="1"/>
  <c r="G216" i="1"/>
  <c r="F112" i="1"/>
  <c r="F30" i="1"/>
  <c r="F116" i="1"/>
  <c r="F117" i="1"/>
  <c r="F53" i="1"/>
  <c r="F114" i="1"/>
  <c r="F95" i="1"/>
  <c r="F24" i="1"/>
  <c r="F35" i="1"/>
  <c r="F94" i="1"/>
  <c r="F100" i="1"/>
  <c r="F69" i="1"/>
  <c r="F27" i="1"/>
  <c r="F26" i="1"/>
  <c r="F36" i="1"/>
  <c r="F110" i="1"/>
  <c r="F67" i="1"/>
  <c r="F93" i="1"/>
  <c r="F29" i="1"/>
  <c r="F39" i="1"/>
  <c r="F81" i="1"/>
  <c r="F55" i="1"/>
  <c r="F91" i="1"/>
  <c r="F66" i="1"/>
  <c r="F103" i="1"/>
  <c r="F33" i="1"/>
  <c r="F75" i="1"/>
  <c r="F31" i="1"/>
  <c r="F90" i="1"/>
  <c r="F65" i="1"/>
  <c r="F79" i="1"/>
  <c r="F89" i="1"/>
  <c r="F44" i="1"/>
  <c r="F71" i="1"/>
  <c r="F101" i="1"/>
  <c r="F64" i="1"/>
  <c r="F41" i="1"/>
  <c r="F102" i="1"/>
  <c r="F107" i="1"/>
  <c r="F52" i="1"/>
  <c r="F58" i="1"/>
  <c r="F54" i="1"/>
  <c r="F82" i="1"/>
  <c r="F78" i="1"/>
  <c r="F104" i="1"/>
  <c r="F96" i="1"/>
  <c r="F119" i="1"/>
  <c r="F76" i="1"/>
  <c r="F99" i="1"/>
  <c r="F108" i="1"/>
  <c r="F45" i="1"/>
  <c r="F47" i="1"/>
  <c r="F48" i="1"/>
  <c r="F97" i="1"/>
  <c r="F109" i="1"/>
  <c r="F37" i="1"/>
  <c r="F50" i="1"/>
  <c r="F60" i="1"/>
  <c r="F43" i="1"/>
  <c r="F56" i="1"/>
  <c r="F106" i="1"/>
  <c r="F70" i="1"/>
  <c r="F62" i="1"/>
  <c r="F80" i="1"/>
  <c r="F98" i="1"/>
  <c r="F42" i="1"/>
  <c r="F28" i="1"/>
  <c r="F46" i="1"/>
  <c r="F40" i="1"/>
  <c r="F88" i="1"/>
  <c r="F85" i="1"/>
  <c r="F38" i="1"/>
  <c r="F74" i="1"/>
  <c r="F34" i="1"/>
  <c r="F86" i="1"/>
  <c r="F68" i="1"/>
  <c r="F51" i="1"/>
  <c r="F113" i="1"/>
  <c r="F49" i="1"/>
  <c r="F59" i="1"/>
  <c r="F111" i="1"/>
  <c r="F25" i="1"/>
  <c r="F115" i="1"/>
  <c r="F84" i="1"/>
  <c r="F83" i="1"/>
  <c r="F32" i="1"/>
  <c r="F57" i="1"/>
  <c r="F61" i="1"/>
  <c r="F92" i="1"/>
  <c r="F72" i="1"/>
  <c r="F118" i="1"/>
  <c r="F63" i="1"/>
  <c r="F105" i="1"/>
  <c r="F73" i="1"/>
  <c r="F87" i="1"/>
  <c r="F77" i="1"/>
  <c r="H215" i="1"/>
  <c r="H220" i="1"/>
  <c r="H212" i="1"/>
  <c r="H219" i="1"/>
  <c r="H213" i="1"/>
  <c r="H214" i="1"/>
  <c r="H221" i="1"/>
  <c r="H218" i="1"/>
  <c r="H217" i="1"/>
  <c r="H211" i="1"/>
  <c r="H216" i="1"/>
  <c r="AR28" i="8"/>
  <c r="BB28" i="8"/>
  <c r="AH57" i="8" s="1"/>
  <c r="BT57" i="8" s="1"/>
  <c r="AH28" i="8"/>
  <c r="AG57" i="8" s="1"/>
  <c r="BS57" i="8" s="1"/>
  <c r="AV28" i="8"/>
  <c r="BF28" i="8"/>
  <c r="BF57" i="8" s="1"/>
  <c r="CJ57" i="8" s="1"/>
  <c r="AL28" i="8"/>
  <c r="BE57" i="8" s="1"/>
  <c r="CI57" i="8" s="1"/>
  <c r="AU30" i="8"/>
  <c r="AK30" i="8"/>
  <c r="AY59" i="8" s="1"/>
  <c r="CE59" i="8" s="1"/>
  <c r="BE30" i="8"/>
  <c r="AZ59" i="8" s="1"/>
  <c r="CF59" i="8" s="1"/>
  <c r="CF25" i="8"/>
  <c r="X80" i="8"/>
  <c r="G25" i="8"/>
  <c r="I25" i="8" s="1"/>
  <c r="X79" i="8"/>
  <c r="CF24" i="8"/>
  <c r="Z29" i="8"/>
  <c r="BB19" i="8"/>
  <c r="AF73" i="8" s="1"/>
  <c r="H18" i="1"/>
  <c r="H163" i="1"/>
  <c r="H162" i="1"/>
  <c r="M18" i="8"/>
  <c r="F461" i="1"/>
  <c r="F397" i="1"/>
  <c r="F467" i="1"/>
  <c r="F453" i="1"/>
  <c r="F475" i="1"/>
  <c r="F396" i="1"/>
  <c r="F460" i="1"/>
  <c r="F465" i="1"/>
  <c r="F472" i="1"/>
  <c r="F454" i="1"/>
  <c r="F462" i="1"/>
  <c r="F466" i="1"/>
  <c r="F471" i="1"/>
  <c r="F399" i="1"/>
  <c r="F464" i="1"/>
  <c r="F476" i="1"/>
  <c r="F452" i="1"/>
  <c r="F468" i="1"/>
  <c r="F395" i="1"/>
  <c r="F398" i="1"/>
  <c r="F474" i="1"/>
  <c r="F473" i="1"/>
  <c r="F463" i="1"/>
  <c r="F470" i="1"/>
  <c r="F469" i="1"/>
  <c r="H115" i="1"/>
  <c r="H118" i="1"/>
  <c r="H87" i="1"/>
  <c r="H50" i="1"/>
  <c r="H26" i="1"/>
  <c r="H31" i="1"/>
  <c r="H85" i="1"/>
  <c r="H72" i="1"/>
  <c r="H102" i="1"/>
  <c r="H62" i="1"/>
  <c r="H49" i="1"/>
  <c r="H104" i="1"/>
  <c r="H52" i="1"/>
  <c r="H25" i="1"/>
  <c r="H97" i="1"/>
  <c r="H66" i="1"/>
  <c r="H29" i="1"/>
  <c r="H94" i="1"/>
  <c r="H63" i="1"/>
  <c r="H119" i="1"/>
  <c r="H57" i="1"/>
  <c r="H92" i="1"/>
  <c r="H100" i="1"/>
  <c r="H96" i="1"/>
  <c r="H36" i="1"/>
  <c r="H95" i="1"/>
  <c r="H101" i="1"/>
  <c r="H84" i="1"/>
  <c r="H79" i="1"/>
  <c r="H55" i="1"/>
  <c r="H40" i="1"/>
  <c r="H47" i="1"/>
  <c r="H59" i="1"/>
  <c r="H90" i="1"/>
  <c r="H91" i="1"/>
  <c r="H37" i="1"/>
  <c r="H39" i="1"/>
  <c r="H45" i="1"/>
  <c r="H74" i="1"/>
  <c r="H30" i="1"/>
  <c r="H44" i="1"/>
  <c r="H67" i="1"/>
  <c r="H109" i="1"/>
  <c r="H103" i="1"/>
  <c r="H110" i="1"/>
  <c r="H73" i="1"/>
  <c r="H111" i="1"/>
  <c r="H81" i="1"/>
  <c r="H117" i="1"/>
  <c r="H88" i="1"/>
  <c r="H114" i="1"/>
  <c r="H53" i="1"/>
  <c r="H116" i="1"/>
  <c r="H51" i="1"/>
  <c r="H107" i="1"/>
  <c r="H35" i="1"/>
  <c r="H24" i="1"/>
  <c r="H33" i="1"/>
  <c r="H86" i="1"/>
  <c r="H82" i="1"/>
  <c r="H68" i="1"/>
  <c r="H78" i="1"/>
  <c r="H108" i="1"/>
  <c r="H41" i="1"/>
  <c r="H43" i="1"/>
  <c r="H46" i="1"/>
  <c r="H83" i="1"/>
  <c r="H89" i="1"/>
  <c r="H106" i="1"/>
  <c r="H70" i="1"/>
  <c r="H80" i="1"/>
  <c r="H75" i="1"/>
  <c r="H32" i="1"/>
  <c r="H64" i="1"/>
  <c r="H76" i="1"/>
  <c r="H65" i="1"/>
  <c r="H48" i="1"/>
  <c r="H105" i="1"/>
  <c r="H99" i="1"/>
  <c r="H61" i="1"/>
  <c r="H112" i="1"/>
  <c r="H69" i="1"/>
  <c r="H60" i="1"/>
  <c r="H71" i="1"/>
  <c r="H77" i="1"/>
  <c r="H56" i="1"/>
  <c r="H93" i="1"/>
  <c r="H28" i="1"/>
  <c r="H42" i="1"/>
  <c r="H113" i="1"/>
  <c r="H98" i="1"/>
  <c r="H58" i="1"/>
  <c r="H27" i="1"/>
  <c r="H54" i="1"/>
  <c r="H34" i="1"/>
  <c r="H38" i="1"/>
  <c r="G454" i="1"/>
  <c r="G474" i="1"/>
  <c r="G399" i="1"/>
  <c r="G396" i="1"/>
  <c r="G453" i="1"/>
  <c r="G460" i="1"/>
  <c r="G395" i="1"/>
  <c r="G475" i="1"/>
  <c r="G398" i="1"/>
  <c r="G471" i="1"/>
  <c r="G472" i="1"/>
  <c r="G464" i="1"/>
  <c r="G465" i="1"/>
  <c r="G468" i="1"/>
  <c r="G461" i="1"/>
  <c r="G467" i="1"/>
  <c r="G470" i="1"/>
  <c r="G463" i="1"/>
  <c r="G476" i="1"/>
  <c r="G473" i="1"/>
  <c r="G397" i="1"/>
  <c r="G466" i="1"/>
  <c r="G462" i="1"/>
  <c r="G469" i="1"/>
  <c r="G452" i="1"/>
  <c r="G380" i="1"/>
  <c r="G387" i="1"/>
  <c r="G393" i="1"/>
  <c r="G376" i="1"/>
  <c r="G394" i="1"/>
  <c r="G389" i="1"/>
  <c r="G381" i="1"/>
  <c r="G388" i="1"/>
  <c r="G392" i="1"/>
  <c r="G378" i="1"/>
  <c r="G379" i="1"/>
  <c r="G383" i="1"/>
  <c r="G385" i="1"/>
  <c r="G377" i="1"/>
  <c r="G390" i="1"/>
  <c r="G391" i="1"/>
  <c r="G386" i="1"/>
  <c r="G382" i="1"/>
  <c r="G384" i="1"/>
  <c r="H994" i="1"/>
  <c r="H1068" i="1"/>
  <c r="H1088" i="1"/>
  <c r="H791" i="1"/>
  <c r="H1079" i="1"/>
  <c r="H780" i="1"/>
  <c r="H989" i="1"/>
  <c r="H1047" i="1"/>
  <c r="H1089" i="1"/>
  <c r="H1003" i="1"/>
  <c r="H1059" i="1"/>
  <c r="H1049" i="1"/>
  <c r="H785" i="1"/>
  <c r="H1081" i="1"/>
  <c r="H771" i="1"/>
  <c r="H998" i="1"/>
  <c r="H997" i="1"/>
  <c r="H1062" i="1"/>
  <c r="H767" i="1"/>
  <c r="H1005" i="1"/>
  <c r="H943" i="1"/>
  <c r="H1086" i="1"/>
  <c r="H1067" i="1"/>
  <c r="H1050" i="1"/>
  <c r="H481" i="1"/>
  <c r="H792" i="1"/>
  <c r="H991" i="1"/>
  <c r="H1048" i="1"/>
  <c r="H1007" i="1"/>
  <c r="H1061" i="1"/>
  <c r="H1063" i="1"/>
  <c r="H1055" i="1"/>
  <c r="H790" i="1"/>
  <c r="H1065" i="1"/>
  <c r="H774" i="1"/>
  <c r="H1090" i="1"/>
  <c r="H1069" i="1"/>
  <c r="H776" i="1"/>
  <c r="H1001" i="1"/>
  <c r="H896" i="1"/>
  <c r="H899" i="1"/>
  <c r="H775" i="1"/>
  <c r="H788" i="1"/>
  <c r="H1091" i="1"/>
  <c r="H1056" i="1"/>
  <c r="H1075" i="1"/>
  <c r="H784" i="1"/>
  <c r="H1087" i="1"/>
  <c r="H773" i="1"/>
  <c r="H1080" i="1"/>
  <c r="H777" i="1"/>
  <c r="H948" i="1"/>
  <c r="H1066" i="1"/>
  <c r="H770" i="1"/>
  <c r="H480" i="1"/>
  <c r="H894" i="1"/>
  <c r="H897" i="1"/>
  <c r="H893" i="1"/>
  <c r="H993" i="1"/>
  <c r="H789" i="1"/>
  <c r="H1008" i="1"/>
  <c r="H1052" i="1"/>
  <c r="H782" i="1"/>
  <c r="H992" i="1"/>
  <c r="H768" i="1"/>
  <c r="H1057" i="1"/>
  <c r="H772" i="1"/>
  <c r="H1053" i="1"/>
  <c r="H1004" i="1"/>
  <c r="H999" i="1"/>
  <c r="H1000" i="1"/>
  <c r="H769" i="1"/>
  <c r="H944" i="1"/>
  <c r="H990" i="1"/>
  <c r="H1009" i="1"/>
  <c r="H479" i="1"/>
  <c r="H1077" i="1"/>
  <c r="H996" i="1"/>
  <c r="H1064" i="1"/>
  <c r="H783" i="1"/>
  <c r="H946" i="1"/>
  <c r="H898" i="1"/>
  <c r="H945" i="1"/>
  <c r="H1074" i="1"/>
  <c r="H995" i="1"/>
  <c r="H895" i="1"/>
  <c r="H1011" i="1"/>
  <c r="H1083" i="1"/>
  <c r="H1002" i="1"/>
  <c r="H778" i="1"/>
  <c r="H1076" i="1"/>
  <c r="H1058" i="1"/>
  <c r="H1010" i="1"/>
  <c r="H1054" i="1"/>
  <c r="H1071" i="1"/>
  <c r="H1084" i="1"/>
  <c r="H1073" i="1"/>
  <c r="H781" i="1"/>
  <c r="H947" i="1"/>
  <c r="H1060" i="1"/>
  <c r="H1070" i="1"/>
  <c r="H786" i="1"/>
  <c r="H1085" i="1"/>
  <c r="H779" i="1"/>
  <c r="H1078" i="1"/>
  <c r="H1051" i="1"/>
  <c r="H1072" i="1"/>
  <c r="H1006" i="1"/>
  <c r="H787" i="1"/>
  <c r="H1082" i="1"/>
  <c r="G163" i="1"/>
  <c r="G162" i="1"/>
  <c r="G18" i="1"/>
  <c r="K18" i="8"/>
  <c r="G121" i="1"/>
  <c r="G122" i="1"/>
  <c r="G120" i="1"/>
  <c r="G123" i="1"/>
  <c r="G124" i="1"/>
  <c r="G243" i="1"/>
  <c r="G225" i="1"/>
  <c r="G230" i="1"/>
  <c r="G224" i="1"/>
  <c r="G241" i="1"/>
  <c r="G235" i="1"/>
  <c r="G227" i="1"/>
  <c r="G245" i="1"/>
  <c r="G222" i="1"/>
  <c r="G233" i="1"/>
  <c r="G237" i="1"/>
  <c r="G239" i="1"/>
  <c r="G238" i="1"/>
  <c r="G228" i="1"/>
  <c r="G246" i="1"/>
  <c r="G244" i="1"/>
  <c r="G1216" i="1"/>
  <c r="G223" i="1"/>
  <c r="G234" i="1"/>
  <c r="G229" i="1"/>
  <c r="G236" i="1"/>
  <c r="G232" i="1"/>
  <c r="G226" i="1"/>
  <c r="G231" i="1"/>
  <c r="G242" i="1"/>
  <c r="G240" i="1"/>
  <c r="H120" i="1"/>
  <c r="H123" i="1"/>
  <c r="H121" i="1"/>
  <c r="H122" i="1"/>
  <c r="H124" i="1"/>
  <c r="G1172" i="1"/>
  <c r="G863" i="1"/>
  <c r="G833" i="1"/>
  <c r="G879" i="1"/>
  <c r="G1190" i="1"/>
  <c r="G831" i="1"/>
  <c r="G806" i="1"/>
  <c r="G1174" i="1"/>
  <c r="G981" i="1"/>
  <c r="G813" i="1"/>
  <c r="G1018" i="1"/>
  <c r="G1153" i="1"/>
  <c r="G1045" i="1"/>
  <c r="G845" i="1"/>
  <c r="G1181" i="1"/>
  <c r="G1015" i="1"/>
  <c r="G880" i="1"/>
  <c r="G844" i="1"/>
  <c r="G978" i="1"/>
  <c r="G854" i="1"/>
  <c r="G1031" i="1"/>
  <c r="G1187" i="1"/>
  <c r="G1120" i="1"/>
  <c r="G1118" i="1"/>
  <c r="G838" i="1"/>
  <c r="G1012" i="1"/>
  <c r="G1040" i="1"/>
  <c r="G872" i="1"/>
  <c r="G1021" i="1"/>
  <c r="G1197" i="1"/>
  <c r="G1207" i="1"/>
  <c r="G1199" i="1"/>
  <c r="G883" i="1"/>
  <c r="G850" i="1"/>
  <c r="G1182" i="1"/>
  <c r="G876" i="1"/>
  <c r="G804" i="1"/>
  <c r="G819" i="1"/>
  <c r="G977" i="1"/>
  <c r="G887" i="1"/>
  <c r="G888" i="1"/>
  <c r="G1147" i="1"/>
  <c r="G1019" i="1"/>
  <c r="G807" i="1"/>
  <c r="G1193" i="1"/>
  <c r="G931" i="1"/>
  <c r="G882" i="1"/>
  <c r="G884" i="1"/>
  <c r="G1160" i="1"/>
  <c r="G1030" i="1"/>
  <c r="G858" i="1"/>
  <c r="G856" i="1"/>
  <c r="G859" i="1"/>
  <c r="G849" i="1"/>
  <c r="G1037" i="1"/>
  <c r="G1198" i="1"/>
  <c r="G1177" i="1"/>
  <c r="G843" i="1"/>
  <c r="G868" i="1"/>
  <c r="G1161" i="1"/>
  <c r="G864" i="1"/>
  <c r="G805" i="1"/>
  <c r="G1121" i="1"/>
  <c r="G815" i="1"/>
  <c r="G980" i="1"/>
  <c r="G932" i="1"/>
  <c r="G1150" i="1"/>
  <c r="G1016" i="1"/>
  <c r="G1154" i="1"/>
  <c r="G1170" i="1"/>
  <c r="G855" i="1"/>
  <c r="G1191" i="1"/>
  <c r="G827" i="1"/>
  <c r="G1032" i="1"/>
  <c r="G1041" i="1"/>
  <c r="G1188" i="1"/>
  <c r="G1033" i="1"/>
  <c r="G874" i="1"/>
  <c r="G1185" i="1"/>
  <c r="G1036" i="1"/>
  <c r="G939" i="1"/>
  <c r="G1042" i="1"/>
  <c r="G828" i="1"/>
  <c r="G881" i="1"/>
  <c r="G825" i="1"/>
  <c r="G810" i="1"/>
  <c r="G966" i="1"/>
  <c r="G961" i="1"/>
  <c r="G841" i="1"/>
  <c r="G1164" i="1"/>
  <c r="G1026" i="1"/>
  <c r="G1017" i="1"/>
  <c r="G936" i="1"/>
  <c r="G821" i="1"/>
  <c r="G886" i="1"/>
  <c r="G974" i="1"/>
  <c r="G1043" i="1"/>
  <c r="G1025" i="1"/>
  <c r="G848" i="1"/>
  <c r="G1022" i="1"/>
  <c r="G1171" i="1"/>
  <c r="G1192" i="1"/>
  <c r="G976" i="1"/>
  <c r="G816" i="1"/>
  <c r="G847" i="1"/>
  <c r="G934" i="1"/>
  <c r="G1214" i="1"/>
  <c r="G1038" i="1"/>
  <c r="G862" i="1"/>
  <c r="G1206" i="1"/>
  <c r="G860" i="1"/>
  <c r="G1029" i="1"/>
  <c r="G1179" i="1"/>
  <c r="G1123" i="1"/>
  <c r="G1205" i="1"/>
  <c r="G968" i="1"/>
  <c r="G1189" i="1"/>
  <c r="G1119" i="1"/>
  <c r="G877" i="1"/>
  <c r="G1204" i="1"/>
  <c r="G972" i="1"/>
  <c r="G875" i="1"/>
  <c r="G837" i="1"/>
  <c r="G930" i="1"/>
  <c r="G891" i="1"/>
  <c r="G963" i="1"/>
  <c r="G1013" i="1"/>
  <c r="G846" i="1"/>
  <c r="G970" i="1"/>
  <c r="G1168" i="1"/>
  <c r="G866" i="1"/>
  <c r="G971" i="1"/>
  <c r="G1195" i="1"/>
  <c r="G967" i="1"/>
  <c r="G1155" i="1"/>
  <c r="G889" i="1"/>
  <c r="G937" i="1"/>
  <c r="G1145" i="1"/>
  <c r="G1175" i="1"/>
  <c r="G1203" i="1"/>
  <c r="G1035" i="1"/>
  <c r="G935" i="1"/>
  <c r="G1200" i="1"/>
  <c r="G822" i="1"/>
  <c r="G830" i="1"/>
  <c r="G1125" i="1"/>
  <c r="G988" i="1"/>
  <c r="G839" i="1"/>
  <c r="G840" i="1"/>
  <c r="G1208" i="1"/>
  <c r="G818" i="1"/>
  <c r="G1122" i="1"/>
  <c r="G1196" i="1"/>
  <c r="G809" i="1"/>
  <c r="G871" i="1"/>
  <c r="G842" i="1"/>
  <c r="G929" i="1"/>
  <c r="G1163" i="1"/>
  <c r="G808" i="1"/>
  <c r="G878" i="1"/>
  <c r="G1213" i="1"/>
  <c r="G1020" i="1"/>
  <c r="G1162" i="1"/>
  <c r="G1212" i="1"/>
  <c r="G1194" i="1"/>
  <c r="G1148" i="1"/>
  <c r="G832" i="1"/>
  <c r="G853" i="1"/>
  <c r="G857" i="1"/>
  <c r="G885" i="1"/>
  <c r="G1169" i="1"/>
  <c r="G823" i="1"/>
  <c r="G1124" i="1"/>
  <c r="G890" i="1"/>
  <c r="G851" i="1"/>
  <c r="G1156" i="1"/>
  <c r="G1210" i="1"/>
  <c r="G1159" i="1"/>
  <c r="G1209" i="1"/>
  <c r="G1014" i="1"/>
  <c r="G1183" i="1"/>
  <c r="G1023" i="1"/>
  <c r="G1034" i="1"/>
  <c r="G1149" i="1"/>
  <c r="G1166" i="1"/>
  <c r="G1202" i="1"/>
  <c r="G962" i="1"/>
  <c r="G1158" i="1"/>
  <c r="G1146" i="1"/>
  <c r="G965" i="1"/>
  <c r="G987" i="1"/>
  <c r="G814" i="1"/>
  <c r="G861" i="1"/>
  <c r="G834" i="1"/>
  <c r="G1167" i="1"/>
  <c r="G835" i="1"/>
  <c r="G1157" i="1"/>
  <c r="G979" i="1"/>
  <c r="G829" i="1"/>
  <c r="G1215" i="1"/>
  <c r="G1186" i="1"/>
  <c r="G826" i="1"/>
  <c r="G1044" i="1"/>
  <c r="G986" i="1"/>
  <c r="G960" i="1"/>
  <c r="G1024" i="1"/>
  <c r="G984" i="1"/>
  <c r="G836" i="1"/>
  <c r="G865" i="1"/>
  <c r="G969" i="1"/>
  <c r="G985" i="1"/>
  <c r="G964" i="1"/>
  <c r="G1046" i="1"/>
  <c r="G1039" i="1"/>
  <c r="G892" i="1"/>
  <c r="G1211" i="1"/>
  <c r="G820" i="1"/>
  <c r="G824" i="1"/>
  <c r="G1165" i="1"/>
  <c r="G817" i="1"/>
  <c r="G1027" i="1"/>
  <c r="G1178" i="1"/>
  <c r="G1180" i="1"/>
  <c r="G1151" i="1"/>
  <c r="G1184" i="1"/>
  <c r="G1152" i="1"/>
  <c r="G867" i="1"/>
  <c r="G1173" i="1"/>
  <c r="G812" i="1"/>
  <c r="G933" i="1"/>
  <c r="G1201" i="1"/>
  <c r="G869" i="1"/>
  <c r="G973" i="1"/>
  <c r="G870" i="1"/>
  <c r="G938" i="1"/>
  <c r="G1176" i="1"/>
  <c r="G975" i="1"/>
  <c r="G1028" i="1"/>
  <c r="G852" i="1"/>
  <c r="G811" i="1"/>
  <c r="G873" i="1"/>
  <c r="G940" i="1"/>
  <c r="G982" i="1"/>
  <c r="G983" i="1"/>
  <c r="AQ2" i="8"/>
  <c r="AG2" i="8"/>
  <c r="Y56" i="8" s="1"/>
  <c r="W56" i="8"/>
  <c r="W28" i="8"/>
  <c r="BX57" i="8"/>
  <c r="BM11" i="8"/>
  <c r="BM4" i="8"/>
  <c r="CG58" i="8"/>
  <c r="BA58" i="8" s="1"/>
  <c r="BL21" i="8"/>
  <c r="BN21" i="8"/>
  <c r="AW28" i="8"/>
  <c r="AM28" i="8"/>
  <c r="BK57" i="8" s="1"/>
  <c r="CM57" i="8" s="1"/>
  <c r="BG28" i="8"/>
  <c r="BL57" i="8" s="1"/>
  <c r="CN57" i="8" s="1"/>
  <c r="BL20" i="8"/>
  <c r="BM20" i="8" s="1"/>
  <c r="AC30" i="8"/>
  <c r="CI58" i="8"/>
  <c r="X75" i="8"/>
  <c r="CF20" i="8"/>
  <c r="CF14" i="8"/>
  <c r="X69" i="8"/>
  <c r="BD20" i="8"/>
  <c r="AR74" i="8" s="1"/>
  <c r="X29" i="8"/>
  <c r="BL23" i="8"/>
  <c r="BM23" i="8" s="1"/>
  <c r="BN13" i="8"/>
  <c r="BM13" i="8" s="1"/>
  <c r="AA31" i="8"/>
  <c r="CG57" i="8"/>
  <c r="BA57" i="8" s="1"/>
  <c r="CN58" i="8"/>
  <c r="W58" i="8"/>
  <c r="AQ4" i="8"/>
  <c r="AG4" i="8"/>
  <c r="Y58" i="8" s="1"/>
  <c r="G16" i="8"/>
  <c r="H16" i="8" s="1"/>
  <c r="BG10" i="8"/>
  <c r="BJ64" i="8" s="1"/>
  <c r="G35" i="8"/>
  <c r="I35" i="8" s="1"/>
  <c r="BG22" i="8"/>
  <c r="BJ76" i="8" s="1"/>
  <c r="X57" i="8"/>
  <c r="CF3" i="8"/>
  <c r="G23" i="8"/>
  <c r="I23" i="8" s="1"/>
  <c r="BC26" i="8"/>
  <c r="AL80" i="8" s="1"/>
  <c r="X59" i="8"/>
  <c r="CF5" i="8"/>
  <c r="CF6" i="8"/>
  <c r="X60" i="8"/>
  <c r="AQ19" i="8"/>
  <c r="W73" i="8"/>
  <c r="AG19" i="8"/>
  <c r="Y73" i="8" s="1"/>
  <c r="H475" i="1"/>
  <c r="H460" i="1"/>
  <c r="H470" i="1"/>
  <c r="H399" i="1"/>
  <c r="H462" i="1"/>
  <c r="H396" i="1"/>
  <c r="H474" i="1"/>
  <c r="H465" i="1"/>
  <c r="H469" i="1"/>
  <c r="H468" i="1"/>
  <c r="H454" i="1"/>
  <c r="H464" i="1"/>
  <c r="H476" i="1"/>
  <c r="H471" i="1"/>
  <c r="H398" i="1"/>
  <c r="H463" i="1"/>
  <c r="H467" i="1"/>
  <c r="H397" i="1"/>
  <c r="H395" i="1"/>
  <c r="H452" i="1"/>
  <c r="H461" i="1"/>
  <c r="H472" i="1"/>
  <c r="H453" i="1"/>
  <c r="H466" i="1"/>
  <c r="H473" i="1"/>
  <c r="F10" i="1"/>
  <c r="F11" i="1"/>
  <c r="F6" i="1"/>
  <c r="F9" i="1"/>
  <c r="F14" i="1"/>
  <c r="F15" i="1"/>
  <c r="F12" i="1"/>
  <c r="F7" i="1"/>
  <c r="F8" i="1"/>
  <c r="F13" i="1"/>
  <c r="L18" i="8"/>
  <c r="F163" i="1"/>
  <c r="F18" i="1"/>
  <c r="F162" i="1"/>
  <c r="G11" i="1"/>
  <c r="G14" i="1"/>
  <c r="G12" i="1"/>
  <c r="G9" i="1"/>
  <c r="G13" i="1"/>
  <c r="G8" i="1"/>
  <c r="G10" i="1"/>
  <c r="G6" i="1"/>
  <c r="G7" i="1"/>
  <c r="G15" i="1"/>
  <c r="G375" i="1"/>
  <c r="G374" i="1"/>
  <c r="H264" i="1"/>
  <c r="H251" i="1"/>
  <c r="H348" i="1"/>
  <c r="H278" i="1"/>
  <c r="H268" i="1"/>
  <c r="H269" i="1"/>
  <c r="H345" i="1"/>
  <c r="H283" i="1"/>
  <c r="H270" i="1"/>
  <c r="H339" i="1"/>
  <c r="H247" i="1"/>
  <c r="H289" i="1"/>
  <c r="H271" i="1"/>
  <c r="H341" i="1"/>
  <c r="H285" i="1"/>
  <c r="H274" i="1"/>
  <c r="H353" i="1"/>
  <c r="H255" i="1"/>
  <c r="H263" i="1"/>
  <c r="H357" i="1"/>
  <c r="H277" i="1"/>
  <c r="H290" i="1"/>
  <c r="H258" i="1"/>
  <c r="H354" i="1"/>
  <c r="H373" i="1"/>
  <c r="H248" i="1"/>
  <c r="H363" i="1"/>
  <c r="H273" i="1"/>
  <c r="H362" i="1"/>
  <c r="H355" i="1"/>
  <c r="H286" i="1"/>
  <c r="H266" i="1"/>
  <c r="H356" i="1"/>
  <c r="H358" i="1"/>
  <c r="H370" i="1"/>
  <c r="H254" i="1"/>
  <c r="H281" i="1"/>
  <c r="H260" i="1"/>
  <c r="H344" i="1"/>
  <c r="H267" i="1"/>
  <c r="H361" i="1"/>
  <c r="H349" i="1"/>
  <c r="H252" i="1"/>
  <c r="H351" i="1"/>
  <c r="H279" i="1"/>
  <c r="H288" i="1"/>
  <c r="H360" i="1"/>
  <c r="H350" i="1"/>
  <c r="H347" i="1"/>
  <c r="H262" i="1"/>
  <c r="H343" i="1"/>
  <c r="H276" i="1"/>
  <c r="H346" i="1"/>
  <c r="H352" i="1"/>
  <c r="H359" i="1"/>
  <c r="H249" i="1"/>
  <c r="H280" i="1"/>
  <c r="H287" i="1"/>
  <c r="H261" i="1"/>
  <c r="H259" i="1"/>
  <c r="H250" i="1"/>
  <c r="H257" i="1"/>
  <c r="H275" i="1"/>
  <c r="H272" i="1"/>
  <c r="H284" i="1"/>
  <c r="H265" i="1"/>
  <c r="H342" i="1"/>
  <c r="H253" i="1"/>
  <c r="H256" i="1"/>
  <c r="H340" i="1"/>
  <c r="H282" i="1"/>
  <c r="F968" i="1"/>
  <c r="F1175" i="1"/>
  <c r="F862" i="1"/>
  <c r="F838" i="1"/>
  <c r="F1153" i="1"/>
  <c r="F938" i="1"/>
  <c r="F887" i="1"/>
  <c r="F853" i="1"/>
  <c r="F935" i="1"/>
  <c r="F1125" i="1"/>
  <c r="F872" i="1"/>
  <c r="F1196" i="1"/>
  <c r="F1150" i="1"/>
  <c r="F986" i="1"/>
  <c r="F813" i="1"/>
  <c r="F1024" i="1"/>
  <c r="F936" i="1"/>
  <c r="F860" i="1"/>
  <c r="F821" i="1"/>
  <c r="F1201" i="1"/>
  <c r="F1171" i="1"/>
  <c r="F811" i="1"/>
  <c r="F1019" i="1"/>
  <c r="F1147" i="1"/>
  <c r="F886" i="1"/>
  <c r="F1118" i="1"/>
  <c r="F1037" i="1"/>
  <c r="F984" i="1"/>
  <c r="F867" i="1"/>
  <c r="F1215" i="1"/>
  <c r="F1023" i="1"/>
  <c r="F869" i="1"/>
  <c r="F809" i="1"/>
  <c r="F1199" i="1"/>
  <c r="F1025" i="1"/>
  <c r="F841" i="1"/>
  <c r="F1184" i="1"/>
  <c r="F1149" i="1"/>
  <c r="F1012" i="1"/>
  <c r="F1204" i="1"/>
  <c r="F930" i="1"/>
  <c r="F975" i="1"/>
  <c r="F1155" i="1"/>
  <c r="F1031" i="1"/>
  <c r="F1158" i="1"/>
  <c r="F1028" i="1"/>
  <c r="F845" i="1"/>
  <c r="F1045" i="1"/>
  <c r="F985" i="1"/>
  <c r="F870" i="1"/>
  <c r="F817" i="1"/>
  <c r="F1169" i="1"/>
  <c r="F987" i="1"/>
  <c r="F826" i="1"/>
  <c r="F1038" i="1"/>
  <c r="F1016" i="1"/>
  <c r="F874" i="1"/>
  <c r="F1180" i="1"/>
  <c r="F1044" i="1"/>
  <c r="F982" i="1"/>
  <c r="F807" i="1"/>
  <c r="F1162" i="1"/>
  <c r="F1027" i="1"/>
  <c r="F1197" i="1"/>
  <c r="F832" i="1"/>
  <c r="F880" i="1"/>
  <c r="F856" i="1"/>
  <c r="F830" i="1"/>
  <c r="F876" i="1"/>
  <c r="F879" i="1"/>
  <c r="F871" i="1"/>
  <c r="F932" i="1"/>
  <c r="F1193" i="1"/>
  <c r="F1186" i="1"/>
  <c r="F1123" i="1"/>
  <c r="F816" i="1"/>
  <c r="F1022" i="1"/>
  <c r="F971" i="1"/>
  <c r="F819" i="1"/>
  <c r="F1189" i="1"/>
  <c r="F1015" i="1"/>
  <c r="F881" i="1"/>
  <c r="F834" i="1"/>
  <c r="F1035" i="1"/>
  <c r="F1202" i="1"/>
  <c r="F806" i="1"/>
  <c r="F1029" i="1"/>
  <c r="F931" i="1"/>
  <c r="F889" i="1"/>
  <c r="F815" i="1"/>
  <c r="F981" i="1"/>
  <c r="F1120" i="1"/>
  <c r="F846" i="1"/>
  <c r="F1122" i="1"/>
  <c r="F1168" i="1"/>
  <c r="F933" i="1"/>
  <c r="F1188" i="1"/>
  <c r="F966" i="1"/>
  <c r="F937" i="1"/>
  <c r="F1198" i="1"/>
  <c r="F873" i="1"/>
  <c r="F973" i="1"/>
  <c r="F969" i="1"/>
  <c r="F1157" i="1"/>
  <c r="F1214" i="1"/>
  <c r="F1146" i="1"/>
  <c r="F1166" i="1"/>
  <c r="F837" i="1"/>
  <c r="F1211" i="1"/>
  <c r="F808" i="1"/>
  <c r="F1032" i="1"/>
  <c r="F868" i="1"/>
  <c r="F1185" i="1"/>
  <c r="F852" i="1"/>
  <c r="F1181" i="1"/>
  <c r="F1164" i="1"/>
  <c r="F866" i="1"/>
  <c r="F977" i="1"/>
  <c r="F850" i="1"/>
  <c r="F1017" i="1"/>
  <c r="F833" i="1"/>
  <c r="F988" i="1"/>
  <c r="F1173" i="1"/>
  <c r="F962" i="1"/>
  <c r="F976" i="1"/>
  <c r="F1013" i="1"/>
  <c r="F1182" i="1"/>
  <c r="F891" i="1"/>
  <c r="F1179" i="1"/>
  <c r="F822" i="1"/>
  <c r="F1207" i="1"/>
  <c r="F844" i="1"/>
  <c r="F1033" i="1"/>
  <c r="F940" i="1"/>
  <c r="F825" i="1"/>
  <c r="F1163" i="1"/>
  <c r="F849" i="1"/>
  <c r="F1167" i="1"/>
  <c r="F835" i="1"/>
  <c r="F1208" i="1"/>
  <c r="F885" i="1"/>
  <c r="F1192" i="1"/>
  <c r="F1046" i="1"/>
  <c r="F1160" i="1"/>
  <c r="F1034" i="1"/>
  <c r="F965" i="1"/>
  <c r="F1213" i="1"/>
  <c r="F814" i="1"/>
  <c r="F980" i="1"/>
  <c r="F854" i="1"/>
  <c r="F848" i="1"/>
  <c r="F1195" i="1"/>
  <c r="F967" i="1"/>
  <c r="F857" i="1"/>
  <c r="F1043" i="1"/>
  <c r="F964" i="1"/>
  <c r="F864" i="1"/>
  <c r="F1203" i="1"/>
  <c r="F859" i="1"/>
  <c r="F972" i="1"/>
  <c r="F827" i="1"/>
  <c r="F1040" i="1"/>
  <c r="F875" i="1"/>
  <c r="F1152" i="1"/>
  <c r="F1145" i="1"/>
  <c r="F1159" i="1"/>
  <c r="F1172" i="1"/>
  <c r="F842" i="1"/>
  <c r="F1039" i="1"/>
  <c r="F843" i="1"/>
  <c r="F1119" i="1"/>
  <c r="F960" i="1"/>
  <c r="F831" i="1"/>
  <c r="F1187" i="1"/>
  <c r="F963" i="1"/>
  <c r="F1161" i="1"/>
  <c r="F979" i="1"/>
  <c r="F1212" i="1"/>
  <c r="F1190" i="1"/>
  <c r="F804" i="1"/>
  <c r="F1030" i="1"/>
  <c r="F820" i="1"/>
  <c r="F970" i="1"/>
  <c r="F861" i="1"/>
  <c r="F1018" i="1"/>
  <c r="F1148" i="1"/>
  <c r="F823" i="1"/>
  <c r="F839" i="1"/>
  <c r="F1036" i="1"/>
  <c r="F1178" i="1"/>
  <c r="F892" i="1"/>
  <c r="F824" i="1"/>
  <c r="F1151" i="1"/>
  <c r="F1174" i="1"/>
  <c r="F1020" i="1"/>
  <c r="F863" i="1"/>
  <c r="F1121" i="1"/>
  <c r="F961" i="1"/>
  <c r="F1026" i="1"/>
  <c r="F1205" i="1"/>
  <c r="F882" i="1"/>
  <c r="F890" i="1"/>
  <c r="F836" i="1"/>
  <c r="F1183" i="1"/>
  <c r="F1154" i="1"/>
  <c r="F1206" i="1"/>
  <c r="F847" i="1"/>
  <c r="F884" i="1"/>
  <c r="F829" i="1"/>
  <c r="F858" i="1"/>
  <c r="F1124" i="1"/>
  <c r="F840" i="1"/>
  <c r="F828" i="1"/>
  <c r="F1042" i="1"/>
  <c r="F855" i="1"/>
  <c r="F888" i="1"/>
  <c r="F1209" i="1"/>
  <c r="F1177" i="1"/>
  <c r="F805" i="1"/>
  <c r="F1210" i="1"/>
  <c r="F934" i="1"/>
  <c r="F1170" i="1"/>
  <c r="F1021" i="1"/>
  <c r="F978" i="1"/>
  <c r="F883" i="1"/>
  <c r="F812" i="1"/>
  <c r="F929" i="1"/>
  <c r="F1014" i="1"/>
  <c r="F878" i="1"/>
  <c r="F1194" i="1"/>
  <c r="F851" i="1"/>
  <c r="F810" i="1"/>
  <c r="F1041" i="1"/>
  <c r="F1165" i="1"/>
  <c r="F974" i="1"/>
  <c r="F1191" i="1"/>
  <c r="F1156" i="1"/>
  <c r="F1200" i="1"/>
  <c r="F983" i="1"/>
  <c r="F877" i="1"/>
  <c r="F865" i="1"/>
  <c r="F939" i="1"/>
  <c r="F1176" i="1"/>
  <c r="F818" i="1"/>
  <c r="F1116" i="1"/>
  <c r="F311" i="1"/>
  <c r="F305" i="1"/>
  <c r="F323" i="1"/>
  <c r="F307" i="1"/>
  <c r="F1096" i="1"/>
  <c r="F338" i="1"/>
  <c r="F1098" i="1"/>
  <c r="F321" i="1"/>
  <c r="F1105" i="1"/>
  <c r="F316" i="1"/>
  <c r="F1102" i="1"/>
  <c r="F514" i="1"/>
  <c r="F328" i="1"/>
  <c r="F538" i="1"/>
  <c r="F309" i="1"/>
  <c r="F756" i="1"/>
  <c r="F1112" i="1"/>
  <c r="F326" i="1"/>
  <c r="F336" i="1"/>
  <c r="F512" i="1"/>
  <c r="F505" i="1"/>
  <c r="F1095" i="1"/>
  <c r="F310" i="1"/>
  <c r="F1104" i="1"/>
  <c r="F322" i="1"/>
  <c r="F1109" i="1"/>
  <c r="F315" i="1"/>
  <c r="F301" i="1"/>
  <c r="F528" i="1"/>
  <c r="F1097" i="1"/>
  <c r="F1092" i="1"/>
  <c r="F527" i="1"/>
  <c r="F510" i="1"/>
  <c r="F1114" i="1"/>
  <c r="F759" i="1"/>
  <c r="F529" i="1"/>
  <c r="F1099" i="1"/>
  <c r="F546" i="1"/>
  <c r="F1100" i="1"/>
  <c r="F314" i="1"/>
  <c r="F1101" i="1"/>
  <c r="F312" i="1"/>
  <c r="F533" i="1"/>
  <c r="F520" i="1"/>
  <c r="F507" i="1"/>
  <c r="F547" i="1"/>
  <c r="F526" i="1"/>
  <c r="F320" i="1"/>
  <c r="F536" i="1"/>
  <c r="F1107" i="1"/>
  <c r="F1110" i="1"/>
  <c r="F539" i="1"/>
  <c r="F1103" i="1"/>
  <c r="F302" i="1"/>
  <c r="F534" i="1"/>
  <c r="F303" i="1"/>
  <c r="F515" i="1"/>
  <c r="F296" i="1"/>
  <c r="F329" i="1"/>
  <c r="F521" i="1"/>
  <c r="F297" i="1"/>
  <c r="F542" i="1"/>
  <c r="F313" i="1"/>
  <c r="F325" i="1"/>
  <c r="F761" i="1"/>
  <c r="F523" i="1"/>
  <c r="F540" i="1"/>
  <c r="F1117" i="1"/>
  <c r="F530" i="1"/>
  <c r="F764" i="1"/>
  <c r="F306" i="1"/>
  <c r="F299" i="1"/>
  <c r="F308" i="1"/>
  <c r="F327" i="1"/>
  <c r="F484" i="1"/>
  <c r="F516" i="1"/>
  <c r="F332" i="1"/>
  <c r="F524" i="1"/>
  <c r="F291" i="1"/>
  <c r="F760" i="1"/>
  <c r="F522" i="1"/>
  <c r="F295" i="1"/>
  <c r="F765" i="1"/>
  <c r="F758" i="1"/>
  <c r="F294" i="1"/>
  <c r="F532" i="1"/>
  <c r="F333" i="1"/>
  <c r="F508" i="1"/>
  <c r="F330" i="1"/>
  <c r="F331" i="1"/>
  <c r="F335" i="1"/>
  <c r="F545" i="1"/>
  <c r="F762" i="1"/>
  <c r="F509" i="1"/>
  <c r="F1093" i="1"/>
  <c r="F1108" i="1"/>
  <c r="F1115" i="1"/>
  <c r="F1106" i="1"/>
  <c r="F544" i="1"/>
  <c r="F525" i="1"/>
  <c r="F485" i="1"/>
  <c r="F763" i="1"/>
  <c r="F506" i="1"/>
  <c r="F292" i="1"/>
  <c r="F541" i="1"/>
  <c r="F337" i="1"/>
  <c r="F1094" i="1"/>
  <c r="F511" i="1"/>
  <c r="F1113" i="1"/>
  <c r="F531" i="1"/>
  <c r="F548" i="1"/>
  <c r="F319" i="1"/>
  <c r="F304" i="1"/>
  <c r="F537" i="1"/>
  <c r="F318" i="1"/>
  <c r="F766" i="1"/>
  <c r="F518" i="1"/>
  <c r="F324" i="1"/>
  <c r="F543" i="1"/>
  <c r="F334" i="1"/>
  <c r="F517" i="1"/>
  <c r="F535" i="1"/>
  <c r="F293" i="1"/>
  <c r="F317" i="1"/>
  <c r="F298" i="1"/>
  <c r="F757" i="1"/>
  <c r="F519" i="1"/>
  <c r="F300" i="1"/>
  <c r="F1111" i="1"/>
  <c r="F513" i="1"/>
  <c r="H27" i="8" l="1"/>
  <c r="H17" i="8"/>
  <c r="H30" i="8"/>
  <c r="BA12" i="8"/>
  <c r="Z66" i="8" s="1"/>
  <c r="I12" i="8"/>
  <c r="H29" i="8"/>
  <c r="H31" i="8"/>
  <c r="H14" i="8"/>
  <c r="I13" i="8"/>
  <c r="BA7" i="8"/>
  <c r="Z61" i="8" s="1"/>
  <c r="BA4" i="8"/>
  <c r="Z58" i="8" s="1"/>
  <c r="H22" i="8"/>
  <c r="BY57" i="8"/>
  <c r="AO57" i="8" s="1"/>
  <c r="H15" i="8"/>
  <c r="BD28" i="8"/>
  <c r="AT57" i="8" s="1"/>
  <c r="CB57" i="8" s="1"/>
  <c r="CC57" i="8" s="1"/>
  <c r="H21" i="8"/>
  <c r="BA11" i="8"/>
  <c r="Z65" i="8" s="1"/>
  <c r="H28" i="8"/>
  <c r="BM21" i="8"/>
  <c r="BA5" i="8"/>
  <c r="Z59" i="8" s="1"/>
  <c r="BA15" i="8"/>
  <c r="Z69" i="8" s="1"/>
  <c r="BA19" i="8"/>
  <c r="Z73" i="8" s="1"/>
  <c r="I2" i="8"/>
  <c r="BA22" i="8"/>
  <c r="Z76" i="8" s="1"/>
  <c r="BA20" i="8"/>
  <c r="Z74" i="8" s="1"/>
  <c r="H32" i="8"/>
  <c r="BM12" i="8"/>
  <c r="I11" i="8"/>
  <c r="H19" i="8"/>
  <c r="H34" i="8"/>
  <c r="BA2" i="8"/>
  <c r="Z56" i="8" s="1"/>
  <c r="I20" i="8"/>
  <c r="H26" i="8"/>
  <c r="CJ58" i="8"/>
  <c r="CK58" i="8" s="1"/>
  <c r="BG58" i="8" s="1"/>
  <c r="CG59" i="8"/>
  <c r="BA59" i="8" s="1"/>
  <c r="BU57" i="8"/>
  <c r="AI57" i="8" s="1"/>
  <c r="I24" i="8"/>
  <c r="H35" i="8"/>
  <c r="BY59" i="8"/>
  <c r="AO59" i="8" s="1"/>
  <c r="H33" i="8"/>
  <c r="AJ29" i="8"/>
  <c r="AS58" i="8" s="1"/>
  <c r="CA58" i="8" s="1"/>
  <c r="AT29" i="8"/>
  <c r="Z30" i="8"/>
  <c r="H25" i="8"/>
  <c r="BY58" i="8"/>
  <c r="AO58" i="8" s="1"/>
  <c r="I16" i="8"/>
  <c r="AS32" i="8"/>
  <c r="AI32" i="8"/>
  <c r="AM61" i="8" s="1"/>
  <c r="BW61" i="8" s="1"/>
  <c r="BC32" i="8"/>
  <c r="AN61" i="8" s="1"/>
  <c r="BX61" i="8" s="1"/>
  <c r="Y33" i="8"/>
  <c r="CO57" i="8"/>
  <c r="BM57" i="8" s="1"/>
  <c r="AV30" i="8"/>
  <c r="AL30" i="8"/>
  <c r="BE59" i="8" s="1"/>
  <c r="CI59" i="8" s="1"/>
  <c r="AB31" i="8"/>
  <c r="CK57" i="8"/>
  <c r="BG57" i="8" s="1"/>
  <c r="BY60" i="8"/>
  <c r="AO60" i="8" s="1"/>
  <c r="BP3" i="8"/>
  <c r="BP4" i="8" s="1"/>
  <c r="BP5" i="8" s="1"/>
  <c r="BP6" i="8" s="1"/>
  <c r="BP7" i="8" s="1"/>
  <c r="BP8" i="8" s="1"/>
  <c r="BP9" i="8" s="1"/>
  <c r="BP10" i="8" s="1"/>
  <c r="BP11" i="8" s="1"/>
  <c r="BP12" i="8" s="1"/>
  <c r="BP13" i="8" s="1"/>
  <c r="BP14" i="8" s="1"/>
  <c r="BP15" i="8" s="1"/>
  <c r="BP16" i="8" s="1"/>
  <c r="BP17" i="8" s="1"/>
  <c r="BP18" i="8" s="1"/>
  <c r="BP19" i="8" s="1"/>
  <c r="BP20" i="8" s="1"/>
  <c r="BP21" i="8" s="1"/>
  <c r="BP22" i="8" s="1"/>
  <c r="BP23" i="8" s="1"/>
  <c r="BP24" i="8" s="1"/>
  <c r="BP25" i="8" s="1"/>
  <c r="BP26" i="8" s="1"/>
  <c r="H23" i="8"/>
  <c r="AK31" i="8"/>
  <c r="AY60" i="8" s="1"/>
  <c r="CE60" i="8" s="1"/>
  <c r="BE31" i="8"/>
  <c r="AZ60" i="8" s="1"/>
  <c r="CF60" i="8" s="1"/>
  <c r="AU31" i="8"/>
  <c r="AA32" i="8"/>
  <c r="AW30" i="8"/>
  <c r="AM30" i="8"/>
  <c r="BK59" i="8" s="1"/>
  <c r="CM59" i="8" s="1"/>
  <c r="BG30" i="8"/>
  <c r="BL59" i="8" s="1"/>
  <c r="CN59" i="8" s="1"/>
  <c r="AC31" i="8"/>
  <c r="BM2" i="8"/>
  <c r="BR2" i="8"/>
  <c r="AR29" i="8"/>
  <c r="AH29" i="8"/>
  <c r="AG58" i="8" s="1"/>
  <c r="BS58" i="8" s="1"/>
  <c r="X30" i="8"/>
  <c r="AG28" i="8"/>
  <c r="AA57" i="8" s="1"/>
  <c r="BO57" i="8" s="1"/>
  <c r="AQ28" i="8"/>
  <c r="W29" i="8"/>
  <c r="CO58" i="8"/>
  <c r="BM58" i="8" s="1"/>
  <c r="BA28" i="8" l="1"/>
  <c r="AB57" i="8" s="1"/>
  <c r="BP57" i="8" s="1"/>
  <c r="BD29" i="8"/>
  <c r="AT58" i="8" s="1"/>
  <c r="CB58" i="8" s="1"/>
  <c r="BY61" i="8"/>
  <c r="AO61" i="8" s="1"/>
  <c r="BF30" i="8"/>
  <c r="BF59" i="8" s="1"/>
  <c r="CJ59" i="8" s="1"/>
  <c r="CK59" i="8" s="1"/>
  <c r="BG59" i="8" s="1"/>
  <c r="AI33" i="8"/>
  <c r="AM62" i="8" s="1"/>
  <c r="BW62" i="8" s="1"/>
  <c r="BC33" i="8"/>
  <c r="AN62" i="8" s="1"/>
  <c r="BX62" i="8" s="1"/>
  <c r="AS33" i="8"/>
  <c r="Y34" i="8"/>
  <c r="AQ29" i="8"/>
  <c r="AG29" i="8"/>
  <c r="AA58" i="8" s="1"/>
  <c r="BO58" i="8" s="1"/>
  <c r="W30" i="8"/>
  <c r="AM31" i="8"/>
  <c r="BK60" i="8" s="1"/>
  <c r="CM60" i="8" s="1"/>
  <c r="AW31" i="8"/>
  <c r="AC32" i="8"/>
  <c r="CG60" i="8"/>
  <c r="BA60" i="8" s="1"/>
  <c r="BQ2" i="8"/>
  <c r="BR3" i="8"/>
  <c r="CO59" i="8"/>
  <c r="BM59" i="8" s="1"/>
  <c r="AV31" i="8"/>
  <c r="AL31" i="8"/>
  <c r="BE60" i="8" s="1"/>
  <c r="CI60" i="8" s="1"/>
  <c r="AB32" i="8"/>
  <c r="AT30" i="8"/>
  <c r="AJ30" i="8"/>
  <c r="AS59" i="8" s="1"/>
  <c r="CA59" i="8" s="1"/>
  <c r="Z31" i="8"/>
  <c r="BB29" i="8"/>
  <c r="AH58" i="8" s="1"/>
  <c r="BT58" i="8" s="1"/>
  <c r="BU58" i="8" s="1"/>
  <c r="AI58" i="8" s="1"/>
  <c r="BQ57" i="8"/>
  <c r="AC57" i="8" s="1"/>
  <c r="AU57" i="8"/>
  <c r="AT83" i="8"/>
  <c r="AR30" i="8"/>
  <c r="AH30" i="8"/>
  <c r="AG59" i="8" s="1"/>
  <c r="BS59" i="8" s="1"/>
  <c r="X31" i="8"/>
  <c r="AU32" i="8"/>
  <c r="BE32" i="8"/>
  <c r="AZ61" i="8" s="1"/>
  <c r="CF61" i="8" s="1"/>
  <c r="AK32" i="8"/>
  <c r="AY61" i="8" s="1"/>
  <c r="CE61" i="8" s="1"/>
  <c r="AA33" i="8"/>
  <c r="CC58" i="8"/>
  <c r="AU58" i="8" s="1"/>
  <c r="BD30" i="8" l="1"/>
  <c r="AT59" i="8" s="1"/>
  <c r="CB59" i="8" s="1"/>
  <c r="CC59" i="8" s="1"/>
  <c r="AU59" i="8" s="1"/>
  <c r="BF31" i="8"/>
  <c r="BF60" i="8" s="1"/>
  <c r="CJ60" i="8" s="1"/>
  <c r="CK60" i="8" s="1"/>
  <c r="BG60" i="8" s="1"/>
  <c r="BA29" i="8"/>
  <c r="AB58" i="8" s="1"/>
  <c r="BP58" i="8" s="1"/>
  <c r="BQ58" i="8" s="1"/>
  <c r="AC58" i="8" s="1"/>
  <c r="BB30" i="8"/>
  <c r="AH59" i="8" s="1"/>
  <c r="BT59" i="8" s="1"/>
  <c r="BU59" i="8" s="1"/>
  <c r="AI59" i="8" s="1"/>
  <c r="BG31" i="8"/>
  <c r="BL60" i="8" s="1"/>
  <c r="CN60" i="8" s="1"/>
  <c r="CO60" i="8" s="1"/>
  <c r="BM60" i="8" s="1"/>
  <c r="BY62" i="8"/>
  <c r="AO62" i="8" s="1"/>
  <c r="AH31" i="8"/>
  <c r="AG60" i="8" s="1"/>
  <c r="BS60" i="8" s="1"/>
  <c r="AR31" i="8"/>
  <c r="X32" i="8"/>
  <c r="AT31" i="8"/>
  <c r="AJ31" i="8"/>
  <c r="AS60" i="8" s="1"/>
  <c r="CA60" i="8" s="1"/>
  <c r="Z32" i="8"/>
  <c r="BR4" i="8"/>
  <c r="BQ3" i="8"/>
  <c r="AU33" i="8"/>
  <c r="AK33" i="8"/>
  <c r="AY62" i="8" s="1"/>
  <c r="CE62" i="8" s="1"/>
  <c r="BE33" i="8"/>
  <c r="AZ62" i="8" s="1"/>
  <c r="CF62" i="8" s="1"/>
  <c r="AA34" i="8"/>
  <c r="CG61" i="8"/>
  <c r="BA61" i="8" s="1"/>
  <c r="AV32" i="8"/>
  <c r="AB33" i="8"/>
  <c r="AL32" i="8"/>
  <c r="BE61" i="8" s="1"/>
  <c r="CI61" i="8" s="1"/>
  <c r="AW32" i="8"/>
  <c r="AM32" i="8"/>
  <c r="BK61" i="8" s="1"/>
  <c r="CM61" i="8" s="1"/>
  <c r="AC33" i="8"/>
  <c r="AS34" i="8"/>
  <c r="AI34" i="8"/>
  <c r="AM63" i="8" s="1"/>
  <c r="BW63" i="8" s="1"/>
  <c r="Y35" i="8"/>
  <c r="AQ30" i="8"/>
  <c r="AG30" i="8"/>
  <c r="AA59" i="8" s="1"/>
  <c r="BO59" i="8" s="1"/>
  <c r="W31" i="8"/>
  <c r="BD31" i="8" l="1"/>
  <c r="AT60" i="8" s="1"/>
  <c r="CB60" i="8" s="1"/>
  <c r="CC60" i="8" s="1"/>
  <c r="AU60" i="8" s="1"/>
  <c r="BB31" i="8"/>
  <c r="AH60" i="8" s="1"/>
  <c r="BT60" i="8" s="1"/>
  <c r="BU60" i="8" s="1"/>
  <c r="AI60" i="8" s="1"/>
  <c r="BC34" i="8"/>
  <c r="AN63" i="8" s="1"/>
  <c r="BX63" i="8" s="1"/>
  <c r="BY63" i="8" s="1"/>
  <c r="AO63" i="8" s="1"/>
  <c r="CG62" i="8"/>
  <c r="BA62" i="8" s="1"/>
  <c r="BF32" i="8"/>
  <c r="BF61" i="8" s="1"/>
  <c r="CJ61" i="8" s="1"/>
  <c r="CK61" i="8" s="1"/>
  <c r="BG61" i="8" s="1"/>
  <c r="BG32" i="8"/>
  <c r="BL61" i="8" s="1"/>
  <c r="CN61" i="8" s="1"/>
  <c r="CO61" i="8" s="1"/>
  <c r="BM61" i="8" s="1"/>
  <c r="AW33" i="8"/>
  <c r="AM33" i="8"/>
  <c r="BK62" i="8" s="1"/>
  <c r="CM62" i="8" s="1"/>
  <c r="AC34" i="8"/>
  <c r="AQ31" i="8"/>
  <c r="AG31" i="8"/>
  <c r="AA60" i="8" s="1"/>
  <c r="BO60" i="8" s="1"/>
  <c r="W32" i="8"/>
  <c r="AI35" i="8"/>
  <c r="AM64" i="8" s="1"/>
  <c r="BW64" i="8" s="1"/>
  <c r="AS35" i="8"/>
  <c r="Y36" i="8"/>
  <c r="AL33" i="8"/>
  <c r="BE62" i="8" s="1"/>
  <c r="CI62" i="8" s="1"/>
  <c r="AV33" i="8"/>
  <c r="AB34" i="8"/>
  <c r="AR32" i="8"/>
  <c r="AH32" i="8"/>
  <c r="AG61" i="8" s="1"/>
  <c r="BS61" i="8" s="1"/>
  <c r="X33" i="8"/>
  <c r="BQ4" i="8"/>
  <c r="BR5" i="8"/>
  <c r="BA30" i="8"/>
  <c r="AB59" i="8" s="1"/>
  <c r="BP59" i="8" s="1"/>
  <c r="BQ59" i="8" s="1"/>
  <c r="AC59" i="8" s="1"/>
  <c r="AK34" i="8"/>
  <c r="AY63" i="8" s="1"/>
  <c r="CE63" i="8" s="1"/>
  <c r="AU34" i="8"/>
  <c r="BE34" i="8"/>
  <c r="AZ63" i="8" s="1"/>
  <c r="CF63" i="8" s="1"/>
  <c r="AA35" i="8"/>
  <c r="AJ32" i="8"/>
  <c r="AS61" i="8" s="1"/>
  <c r="CA61" i="8" s="1"/>
  <c r="AT32" i="8"/>
  <c r="Z33" i="8"/>
  <c r="BC35" i="8" l="1"/>
  <c r="AN64" i="8" s="1"/>
  <c r="BX64" i="8" s="1"/>
  <c r="BF33" i="8"/>
  <c r="BF62" i="8" s="1"/>
  <c r="CJ62" i="8" s="1"/>
  <c r="CK62" i="8" s="1"/>
  <c r="BG62" i="8" s="1"/>
  <c r="BD32" i="8"/>
  <c r="AT61" i="8" s="1"/>
  <c r="CB61" i="8" s="1"/>
  <c r="CC61" i="8" s="1"/>
  <c r="AU61" i="8" s="1"/>
  <c r="BA31" i="8"/>
  <c r="AB60" i="8" s="1"/>
  <c r="BP60" i="8" s="1"/>
  <c r="BQ60" i="8" s="1"/>
  <c r="AC60" i="8" s="1"/>
  <c r="BG33" i="8"/>
  <c r="BL62" i="8" s="1"/>
  <c r="CN62" i="8" s="1"/>
  <c r="CO62" i="8" s="1"/>
  <c r="BM62" i="8" s="1"/>
  <c r="BB32" i="8"/>
  <c r="AH61" i="8" s="1"/>
  <c r="BT61" i="8" s="1"/>
  <c r="BU61" i="8" s="1"/>
  <c r="AI61" i="8" s="1"/>
  <c r="AV34" i="8"/>
  <c r="AL34" i="8"/>
  <c r="BE63" i="8" s="1"/>
  <c r="CI63" i="8" s="1"/>
  <c r="AB35" i="8"/>
  <c r="BR6" i="8"/>
  <c r="BQ5" i="8"/>
  <c r="AR33" i="8"/>
  <c r="AH33" i="8"/>
  <c r="AG62" i="8" s="1"/>
  <c r="BS62" i="8" s="1"/>
  <c r="X34" i="8"/>
  <c r="CG63" i="8"/>
  <c r="BA63" i="8" s="1"/>
  <c r="AS36" i="8"/>
  <c r="BC36" i="8" s="1"/>
  <c r="AN65" i="8" s="1"/>
  <c r="BX65" i="8" s="1"/>
  <c r="AI36" i="8"/>
  <c r="AM65" i="8" s="1"/>
  <c r="BW65" i="8" s="1"/>
  <c r="Y37" i="8"/>
  <c r="AJ33" i="8"/>
  <c r="AS62" i="8" s="1"/>
  <c r="CA62" i="8" s="1"/>
  <c r="AT33" i="8"/>
  <c r="Z34" i="8"/>
  <c r="AW34" i="8"/>
  <c r="AM34" i="8"/>
  <c r="BK63" i="8" s="1"/>
  <c r="CM63" i="8" s="1"/>
  <c r="AC35" i="8"/>
  <c r="BY64" i="8"/>
  <c r="AO64" i="8" s="1"/>
  <c r="AQ32" i="8"/>
  <c r="AG32" i="8"/>
  <c r="AA61" i="8" s="1"/>
  <c r="BO61" i="8" s="1"/>
  <c r="W33" i="8"/>
  <c r="BE35" i="8"/>
  <c r="AZ64" i="8" s="1"/>
  <c r="CF64" i="8" s="1"/>
  <c r="AU35" i="8"/>
  <c r="AK35" i="8"/>
  <c r="AY64" i="8" s="1"/>
  <c r="CE64" i="8" s="1"/>
  <c r="AA36" i="8"/>
  <c r="BD33" i="8" l="1"/>
  <c r="AT62" i="8" s="1"/>
  <c r="CB62" i="8" s="1"/>
  <c r="CC62" i="8" s="1"/>
  <c r="AU62" i="8" s="1"/>
  <c r="BF34" i="8"/>
  <c r="BF63" i="8" s="1"/>
  <c r="CJ63" i="8" s="1"/>
  <c r="BG34" i="8"/>
  <c r="BL63" i="8" s="1"/>
  <c r="CN63" i="8" s="1"/>
  <c r="CO63" i="8" s="1"/>
  <c r="BM63" i="8" s="1"/>
  <c r="CG64" i="8"/>
  <c r="BA64" i="8" s="1"/>
  <c r="BB33" i="8"/>
  <c r="AH62" i="8" s="1"/>
  <c r="BT62" i="8" s="1"/>
  <c r="BU62" i="8" s="1"/>
  <c r="AI62" i="8" s="1"/>
  <c r="BY65" i="8"/>
  <c r="AO65" i="8" s="1"/>
  <c r="BQ6" i="8"/>
  <c r="BR7" i="8"/>
  <c r="AV35" i="8"/>
  <c r="AL35" i="8"/>
  <c r="BE64" i="8" s="1"/>
  <c r="CI64" i="8" s="1"/>
  <c r="AB36" i="8"/>
  <c r="AT34" i="8"/>
  <c r="AJ34" i="8"/>
  <c r="AS63" i="8" s="1"/>
  <c r="CA63" i="8" s="1"/>
  <c r="Z35" i="8"/>
  <c r="AQ33" i="8"/>
  <c r="AG33" i="8"/>
  <c r="AA62" i="8" s="1"/>
  <c r="BO62" i="8" s="1"/>
  <c r="W34" i="8"/>
  <c r="BA32" i="8"/>
  <c r="AB61" i="8" s="1"/>
  <c r="BP61" i="8" s="1"/>
  <c r="BQ61" i="8" s="1"/>
  <c r="AC61" i="8" s="1"/>
  <c r="AK36" i="8"/>
  <c r="AY65" i="8" s="1"/>
  <c r="CE65" i="8" s="1"/>
  <c r="BE36" i="8"/>
  <c r="AZ65" i="8" s="1"/>
  <c r="CF65" i="8" s="1"/>
  <c r="AU36" i="8"/>
  <c r="AA37" i="8"/>
  <c r="AR34" i="8"/>
  <c r="AH34" i="8"/>
  <c r="AG63" i="8" s="1"/>
  <c r="BS63" i="8" s="1"/>
  <c r="X35" i="8"/>
  <c r="CK63" i="8"/>
  <c r="BG63" i="8" s="1"/>
  <c r="AW35" i="8"/>
  <c r="AM35" i="8"/>
  <c r="BK64" i="8" s="1"/>
  <c r="CM64" i="8" s="1"/>
  <c r="AC36" i="8"/>
  <c r="AS37" i="8"/>
  <c r="AI37" i="8"/>
  <c r="AM66" i="8" s="1"/>
  <c r="BW66" i="8" s="1"/>
  <c r="Y38" i="8"/>
  <c r="BF35" i="8" l="1"/>
  <c r="BF64" i="8" s="1"/>
  <c r="CJ64" i="8" s="1"/>
  <c r="CK64" i="8" s="1"/>
  <c r="BG64" i="8" s="1"/>
  <c r="BA33" i="8"/>
  <c r="AB62" i="8" s="1"/>
  <c r="BP62" i="8" s="1"/>
  <c r="BQ62" i="8" s="1"/>
  <c r="AC62" i="8" s="1"/>
  <c r="CG65" i="8"/>
  <c r="BA65" i="8" s="1"/>
  <c r="BB34" i="8"/>
  <c r="AH63" i="8" s="1"/>
  <c r="BT63" i="8" s="1"/>
  <c r="BU63" i="8" s="1"/>
  <c r="AI63" i="8" s="1"/>
  <c r="BG35" i="8"/>
  <c r="BL64" i="8" s="1"/>
  <c r="CN64" i="8" s="1"/>
  <c r="CO64" i="8" s="1"/>
  <c r="BM64" i="8" s="1"/>
  <c r="BD34" i="8"/>
  <c r="AT63" i="8" s="1"/>
  <c r="CB63" i="8" s="1"/>
  <c r="CC63" i="8" s="1"/>
  <c r="AU63" i="8" s="1"/>
  <c r="AL36" i="8"/>
  <c r="BE65" i="8" s="1"/>
  <c r="CI65" i="8" s="1"/>
  <c r="AV36" i="8"/>
  <c r="AB37" i="8"/>
  <c r="AS38" i="8"/>
  <c r="AI38" i="8"/>
  <c r="AM67" i="8" s="1"/>
  <c r="BW67" i="8" s="1"/>
  <c r="Y39" i="8"/>
  <c r="AT35" i="8"/>
  <c r="AJ35" i="8"/>
  <c r="AS64" i="8" s="1"/>
  <c r="CA64" i="8" s="1"/>
  <c r="Z36" i="8"/>
  <c r="BQ7" i="8"/>
  <c r="BR8" i="8"/>
  <c r="AK37" i="8"/>
  <c r="AY66" i="8" s="1"/>
  <c r="CE66" i="8" s="1"/>
  <c r="AU37" i="8"/>
  <c r="BE37" i="8"/>
  <c r="AZ66" i="8" s="1"/>
  <c r="CF66" i="8" s="1"/>
  <c r="AA38" i="8"/>
  <c r="BC37" i="8"/>
  <c r="AN66" i="8" s="1"/>
  <c r="BX66" i="8" s="1"/>
  <c r="BY66" i="8" s="1"/>
  <c r="AO66" i="8" s="1"/>
  <c r="AR35" i="8"/>
  <c r="AH35" i="8"/>
  <c r="AG64" i="8" s="1"/>
  <c r="BS64" i="8" s="1"/>
  <c r="X36" i="8"/>
  <c r="AM36" i="8"/>
  <c r="BK65" i="8" s="1"/>
  <c r="CM65" i="8" s="1"/>
  <c r="AW36" i="8"/>
  <c r="AC37" i="8"/>
  <c r="AQ34" i="8"/>
  <c r="AG34" i="8"/>
  <c r="AA63" i="8" s="1"/>
  <c r="BO63" i="8" s="1"/>
  <c r="W35" i="8"/>
  <c r="BG36" i="8" l="1"/>
  <c r="BL65" i="8" s="1"/>
  <c r="CN65" i="8" s="1"/>
  <c r="CO65" i="8" s="1"/>
  <c r="BM65" i="8" s="1"/>
  <c r="BF36" i="8"/>
  <c r="BF65" i="8" s="1"/>
  <c r="CJ65" i="8" s="1"/>
  <c r="CK65" i="8" s="1"/>
  <c r="BG65" i="8" s="1"/>
  <c r="BC38" i="8"/>
  <c r="AN67" i="8" s="1"/>
  <c r="BX67" i="8" s="1"/>
  <c r="BY67" i="8" s="1"/>
  <c r="AO67" i="8" s="1"/>
  <c r="BB35" i="8"/>
  <c r="AH64" i="8" s="1"/>
  <c r="BT64" i="8" s="1"/>
  <c r="BU64" i="8" s="1"/>
  <c r="AI64" i="8" s="1"/>
  <c r="BD35" i="8"/>
  <c r="AT64" i="8" s="1"/>
  <c r="CB64" i="8" s="1"/>
  <c r="CC64" i="8" s="1"/>
  <c r="AU64" i="8" s="1"/>
  <c r="AK38" i="8"/>
  <c r="AY67" i="8" s="1"/>
  <c r="CE67" i="8" s="1"/>
  <c r="BE38" i="8"/>
  <c r="AZ67" i="8" s="1"/>
  <c r="CF67" i="8" s="1"/>
  <c r="AU38" i="8"/>
  <c r="AA39" i="8"/>
  <c r="BA34" i="8"/>
  <c r="AB63" i="8" s="1"/>
  <c r="BP63" i="8" s="1"/>
  <c r="BQ63" i="8" s="1"/>
  <c r="AC63" i="8" s="1"/>
  <c r="AJ36" i="8"/>
  <c r="AS65" i="8" s="1"/>
  <c r="CA65" i="8" s="1"/>
  <c r="AT36" i="8"/>
  <c r="Z37" i="8"/>
  <c r="AQ35" i="8"/>
  <c r="AG35" i="8"/>
  <c r="AA64" i="8" s="1"/>
  <c r="BO64" i="8" s="1"/>
  <c r="W36" i="8"/>
  <c r="AR36" i="8"/>
  <c r="AH36" i="8"/>
  <c r="AG65" i="8" s="1"/>
  <c r="BS65" i="8" s="1"/>
  <c r="X37" i="8"/>
  <c r="CG66" i="8"/>
  <c r="BA66" i="8" s="1"/>
  <c r="AV37" i="8"/>
  <c r="AL37" i="8"/>
  <c r="BE66" i="8" s="1"/>
  <c r="CI66" i="8" s="1"/>
  <c r="AB38" i="8"/>
  <c r="BR9" i="8"/>
  <c r="BQ8" i="8"/>
  <c r="AS39" i="8"/>
  <c r="AI39" i="8"/>
  <c r="AM68" i="8" s="1"/>
  <c r="BW68" i="8" s="1"/>
  <c r="Y40" i="8"/>
  <c r="AW37" i="8"/>
  <c r="AM37" i="8"/>
  <c r="BK66" i="8" s="1"/>
  <c r="CM66" i="8" s="1"/>
  <c r="AC38" i="8"/>
  <c r="BD36" i="8" l="1"/>
  <c r="AT65" i="8" s="1"/>
  <c r="CB65" i="8" s="1"/>
  <c r="CC65" i="8" s="1"/>
  <c r="AU65" i="8" s="1"/>
  <c r="BB36" i="8"/>
  <c r="AH65" i="8" s="1"/>
  <c r="BT65" i="8" s="1"/>
  <c r="BU65" i="8" s="1"/>
  <c r="AI65" i="8" s="1"/>
  <c r="BG37" i="8"/>
  <c r="BL66" i="8" s="1"/>
  <c r="CN66" i="8" s="1"/>
  <c r="CO66" i="8" s="1"/>
  <c r="BM66" i="8" s="1"/>
  <c r="BA35" i="8"/>
  <c r="AB64" i="8" s="1"/>
  <c r="BP64" i="8" s="1"/>
  <c r="BQ64" i="8" s="1"/>
  <c r="AC64" i="8" s="1"/>
  <c r="BC39" i="8"/>
  <c r="AN68" i="8" s="1"/>
  <c r="BX68" i="8" s="1"/>
  <c r="BY68" i="8" s="1"/>
  <c r="AO68" i="8" s="1"/>
  <c r="BQ9" i="8"/>
  <c r="BR10" i="8"/>
  <c r="BE39" i="8"/>
  <c r="AZ68" i="8" s="1"/>
  <c r="CF68" i="8" s="1"/>
  <c r="AK39" i="8"/>
  <c r="AY68" i="8" s="1"/>
  <c r="CE68" i="8" s="1"/>
  <c r="AU39" i="8"/>
  <c r="AA40" i="8"/>
  <c r="AV38" i="8"/>
  <c r="AL38" i="8"/>
  <c r="BE67" i="8" s="1"/>
  <c r="CI67" i="8" s="1"/>
  <c r="AB39" i="8"/>
  <c r="BF37" i="8"/>
  <c r="BF66" i="8" s="1"/>
  <c r="CJ66" i="8" s="1"/>
  <c r="CK66" i="8" s="1"/>
  <c r="BG66" i="8" s="1"/>
  <c r="AQ36" i="8"/>
  <c r="AG36" i="8"/>
  <c r="AA65" i="8" s="1"/>
  <c r="BO65" i="8" s="1"/>
  <c r="W37" i="8"/>
  <c r="AR37" i="8"/>
  <c r="AH37" i="8"/>
  <c r="AG66" i="8" s="1"/>
  <c r="BS66" i="8" s="1"/>
  <c r="X38" i="8"/>
  <c r="AT37" i="8"/>
  <c r="AJ37" i="8"/>
  <c r="AS66" i="8" s="1"/>
  <c r="CA66" i="8" s="1"/>
  <c r="Z38" i="8"/>
  <c r="AW38" i="8"/>
  <c r="AM38" i="8"/>
  <c r="BK67" i="8" s="1"/>
  <c r="CM67" i="8" s="1"/>
  <c r="AC39" i="8"/>
  <c r="AS40" i="8"/>
  <c r="AI40" i="8"/>
  <c r="AM69" i="8" s="1"/>
  <c r="BW69" i="8" s="1"/>
  <c r="Y41" i="8"/>
  <c r="CG67" i="8"/>
  <c r="BA67" i="8" s="1"/>
  <c r="BG38" i="8" l="1"/>
  <c r="BL67" i="8" s="1"/>
  <c r="CN67" i="8" s="1"/>
  <c r="CG68" i="8"/>
  <c r="BA68" i="8" s="1"/>
  <c r="BA36" i="8"/>
  <c r="AB65" i="8" s="1"/>
  <c r="BP65" i="8" s="1"/>
  <c r="BQ65" i="8" s="1"/>
  <c r="AC65" i="8" s="1"/>
  <c r="BF38" i="8"/>
  <c r="BF67" i="8" s="1"/>
  <c r="CJ67" i="8" s="1"/>
  <c r="CK67" i="8" s="1"/>
  <c r="BG67" i="8" s="1"/>
  <c r="BC40" i="8"/>
  <c r="AN69" i="8" s="1"/>
  <c r="BX69" i="8" s="1"/>
  <c r="BY69" i="8" s="1"/>
  <c r="AO69" i="8" s="1"/>
  <c r="BB37" i="8"/>
  <c r="AH66" i="8" s="1"/>
  <c r="BT66" i="8" s="1"/>
  <c r="BU66" i="8" s="1"/>
  <c r="AI66" i="8" s="1"/>
  <c r="AG37" i="8"/>
  <c r="AA66" i="8" s="1"/>
  <c r="BO66" i="8" s="1"/>
  <c r="AQ37" i="8"/>
  <c r="W38" i="8"/>
  <c r="AW39" i="8"/>
  <c r="AM39" i="8"/>
  <c r="BK68" i="8" s="1"/>
  <c r="CM68" i="8" s="1"/>
  <c r="AC40" i="8"/>
  <c r="BD37" i="8"/>
  <c r="AT66" i="8" s="1"/>
  <c r="CB66" i="8" s="1"/>
  <c r="CC66" i="8" s="1"/>
  <c r="AU66" i="8" s="1"/>
  <c r="AT38" i="8"/>
  <c r="AJ38" i="8"/>
  <c r="AS67" i="8" s="1"/>
  <c r="CA67" i="8" s="1"/>
  <c r="Z39" i="8"/>
  <c r="CO67" i="8"/>
  <c r="BM67" i="8" s="1"/>
  <c r="AR38" i="8"/>
  <c r="AH38" i="8"/>
  <c r="AG67" i="8" s="1"/>
  <c r="BS67" i="8" s="1"/>
  <c r="X39" i="8"/>
  <c r="AV39" i="8"/>
  <c r="AL39" i="8"/>
  <c r="BE68" i="8" s="1"/>
  <c r="CI68" i="8" s="1"/>
  <c r="AB40" i="8"/>
  <c r="BQ10" i="8"/>
  <c r="BR11" i="8"/>
  <c r="AS41" i="8"/>
  <c r="AI41" i="8"/>
  <c r="AM70" i="8" s="1"/>
  <c r="BW70" i="8" s="1"/>
  <c r="Y42" i="8"/>
  <c r="AK40" i="8"/>
  <c r="AY69" i="8" s="1"/>
  <c r="CE69" i="8" s="1"/>
  <c r="AU40" i="8"/>
  <c r="BE40" i="8"/>
  <c r="AZ69" i="8" s="1"/>
  <c r="CF69" i="8" s="1"/>
  <c r="AA41" i="8"/>
  <c r="BA37" i="8" l="1"/>
  <c r="AB66" i="8" s="1"/>
  <c r="BP66" i="8" s="1"/>
  <c r="BQ66" i="8" s="1"/>
  <c r="AC66" i="8" s="1"/>
  <c r="BC41" i="8"/>
  <c r="AN70" i="8" s="1"/>
  <c r="BX70" i="8" s="1"/>
  <c r="BY70" i="8" s="1"/>
  <c r="AO70" i="8" s="1"/>
  <c r="BG39" i="8"/>
  <c r="BL68" i="8" s="1"/>
  <c r="CN68" i="8" s="1"/>
  <c r="CO68" i="8" s="1"/>
  <c r="BM68" i="8" s="1"/>
  <c r="BD38" i="8"/>
  <c r="AT67" i="8" s="1"/>
  <c r="CB67" i="8" s="1"/>
  <c r="CC67" i="8" s="1"/>
  <c r="AU67" i="8" s="1"/>
  <c r="BF39" i="8"/>
  <c r="BF68" i="8" s="1"/>
  <c r="CJ68" i="8" s="1"/>
  <c r="CK68" i="8" s="1"/>
  <c r="BG68" i="8" s="1"/>
  <c r="AT39" i="8"/>
  <c r="AJ39" i="8"/>
  <c r="AS68" i="8" s="1"/>
  <c r="CA68" i="8" s="1"/>
  <c r="Z40" i="8"/>
  <c r="BE41" i="8"/>
  <c r="AZ70" i="8" s="1"/>
  <c r="CF70" i="8" s="1"/>
  <c r="AU41" i="8"/>
  <c r="AK41" i="8"/>
  <c r="AY70" i="8" s="1"/>
  <c r="CE70" i="8" s="1"/>
  <c r="AA42" i="8"/>
  <c r="AQ38" i="8"/>
  <c r="AG38" i="8"/>
  <c r="AA67" i="8" s="1"/>
  <c r="BO67" i="8" s="1"/>
  <c r="W39" i="8"/>
  <c r="AS42" i="8"/>
  <c r="AI42" i="8"/>
  <c r="AM71" i="8" s="1"/>
  <c r="BW71" i="8" s="1"/>
  <c r="Y43" i="8"/>
  <c r="AR39" i="8"/>
  <c r="AH39" i="8"/>
  <c r="AG68" i="8" s="1"/>
  <c r="BS68" i="8" s="1"/>
  <c r="X40" i="8"/>
  <c r="BQ11" i="8"/>
  <c r="BR12" i="8"/>
  <c r="BB38" i="8"/>
  <c r="AH67" i="8" s="1"/>
  <c r="BT67" i="8" s="1"/>
  <c r="BU67" i="8" s="1"/>
  <c r="AI67" i="8" s="1"/>
  <c r="CG69" i="8"/>
  <c r="BA69" i="8" s="1"/>
  <c r="AL40" i="8"/>
  <c r="BE69" i="8" s="1"/>
  <c r="CI69" i="8" s="1"/>
  <c r="AV40" i="8"/>
  <c r="AB41" i="8"/>
  <c r="AW40" i="8"/>
  <c r="AM40" i="8"/>
  <c r="BK69" i="8" s="1"/>
  <c r="CM69" i="8" s="1"/>
  <c r="AC41" i="8"/>
  <c r="BC42" i="8" l="1"/>
  <c r="AN71" i="8" s="1"/>
  <c r="BX71" i="8" s="1"/>
  <c r="BG40" i="8"/>
  <c r="BL69" i="8" s="1"/>
  <c r="CN69" i="8" s="1"/>
  <c r="BD39" i="8"/>
  <c r="AT68" i="8" s="1"/>
  <c r="CB68" i="8" s="1"/>
  <c r="BA38" i="8"/>
  <c r="AB67" i="8" s="1"/>
  <c r="BP67" i="8" s="1"/>
  <c r="BQ67" i="8" s="1"/>
  <c r="AC67" i="8" s="1"/>
  <c r="AR40" i="8"/>
  <c r="AH40" i="8"/>
  <c r="AG69" i="8" s="1"/>
  <c r="BS69" i="8" s="1"/>
  <c r="X41" i="8"/>
  <c r="AQ39" i="8"/>
  <c r="AG39" i="8"/>
  <c r="AA68" i="8" s="1"/>
  <c r="BO68" i="8" s="1"/>
  <c r="W40" i="8"/>
  <c r="AW41" i="8"/>
  <c r="AM41" i="8"/>
  <c r="BK70" i="8" s="1"/>
  <c r="CM70" i="8" s="1"/>
  <c r="AC42" i="8"/>
  <c r="BB39" i="8"/>
  <c r="AH68" i="8" s="1"/>
  <c r="BT68" i="8" s="1"/>
  <c r="BU68" i="8" s="1"/>
  <c r="AI68" i="8" s="1"/>
  <c r="AT40" i="8"/>
  <c r="AJ40" i="8"/>
  <c r="AS69" i="8" s="1"/>
  <c r="CA69" i="8" s="1"/>
  <c r="Z41" i="8"/>
  <c r="CO69" i="8"/>
  <c r="BM69" i="8" s="1"/>
  <c r="CC68" i="8"/>
  <c r="AU68" i="8" s="1"/>
  <c r="BF40" i="8"/>
  <c r="BF69" i="8" s="1"/>
  <c r="CJ69" i="8" s="1"/>
  <c r="CK69" i="8" s="1"/>
  <c r="BG69" i="8" s="1"/>
  <c r="BY71" i="8"/>
  <c r="AO71" i="8" s="1"/>
  <c r="AU42" i="8"/>
  <c r="AK42" i="8"/>
  <c r="AY71" i="8" s="1"/>
  <c r="CE71" i="8" s="1"/>
  <c r="BE42" i="8"/>
  <c r="AZ71" i="8" s="1"/>
  <c r="CF71" i="8" s="1"/>
  <c r="AA43" i="8"/>
  <c r="AI43" i="8"/>
  <c r="AM72" i="8" s="1"/>
  <c r="BW72" i="8" s="1"/>
  <c r="AS43" i="8"/>
  <c r="Y44" i="8"/>
  <c r="AL41" i="8"/>
  <c r="BE70" i="8" s="1"/>
  <c r="CI70" i="8" s="1"/>
  <c r="AV41" i="8"/>
  <c r="AB42" i="8"/>
  <c r="BR13" i="8"/>
  <c r="BQ12" i="8"/>
  <c r="CG70" i="8"/>
  <c r="BA70" i="8" s="1"/>
  <c r="BD40" i="8" l="1"/>
  <c r="AT69" i="8" s="1"/>
  <c r="CB69" i="8" s="1"/>
  <c r="BA39" i="8"/>
  <c r="AB68" i="8" s="1"/>
  <c r="BP68" i="8" s="1"/>
  <c r="BF41" i="8"/>
  <c r="BF70" i="8" s="1"/>
  <c r="CJ70" i="8" s="1"/>
  <c r="CK70" i="8" s="1"/>
  <c r="BG70" i="8" s="1"/>
  <c r="BB40" i="8"/>
  <c r="AH69" i="8" s="1"/>
  <c r="BT69" i="8" s="1"/>
  <c r="BU69" i="8" s="1"/>
  <c r="AI69" i="8" s="1"/>
  <c r="BG41" i="8"/>
  <c r="BL70" i="8" s="1"/>
  <c r="CN70" i="8" s="1"/>
  <c r="CO70" i="8" s="1"/>
  <c r="BM70" i="8" s="1"/>
  <c r="CG71" i="8"/>
  <c r="BA71" i="8" s="1"/>
  <c r="AS44" i="8"/>
  <c r="AI44" i="8"/>
  <c r="AM73" i="8" s="1"/>
  <c r="BW73" i="8" s="1"/>
  <c r="Y45" i="8"/>
  <c r="BQ68" i="8"/>
  <c r="AC68" i="8" s="1"/>
  <c r="AW42" i="8"/>
  <c r="AM42" i="8"/>
  <c r="BK71" i="8" s="1"/>
  <c r="CM71" i="8" s="1"/>
  <c r="AC43" i="8"/>
  <c r="AR41" i="8"/>
  <c r="AH41" i="8"/>
  <c r="AG70" i="8" s="1"/>
  <c r="BS70" i="8" s="1"/>
  <c r="X42" i="8"/>
  <c r="BC43" i="8"/>
  <c r="AN72" i="8" s="1"/>
  <c r="BX72" i="8" s="1"/>
  <c r="BY72" i="8" s="1"/>
  <c r="AO72" i="8" s="1"/>
  <c r="BR14" i="8"/>
  <c r="BQ13" i="8"/>
  <c r="AV42" i="8"/>
  <c r="AL42" i="8"/>
  <c r="BE71" i="8" s="1"/>
  <c r="CI71" i="8" s="1"/>
  <c r="AB43" i="8"/>
  <c r="AU43" i="8"/>
  <c r="AK43" i="8"/>
  <c r="AY72" i="8" s="1"/>
  <c r="CE72" i="8" s="1"/>
  <c r="BE43" i="8"/>
  <c r="AZ72" i="8" s="1"/>
  <c r="CF72" i="8" s="1"/>
  <c r="AA44" i="8"/>
  <c r="AT41" i="8"/>
  <c r="AJ41" i="8"/>
  <c r="AS70" i="8" s="1"/>
  <c r="CA70" i="8" s="1"/>
  <c r="Z42" i="8"/>
  <c r="CC69" i="8"/>
  <c r="AU69" i="8" s="1"/>
  <c r="AQ40" i="8"/>
  <c r="AG40" i="8"/>
  <c r="AA69" i="8" s="1"/>
  <c r="BO69" i="8" s="1"/>
  <c r="W41" i="8"/>
  <c r="BG42" i="8" l="1"/>
  <c r="BL71" i="8" s="1"/>
  <c r="CN71" i="8" s="1"/>
  <c r="BB41" i="8"/>
  <c r="AH70" i="8" s="1"/>
  <c r="BT70" i="8" s="1"/>
  <c r="BU70" i="8" s="1"/>
  <c r="AI70" i="8" s="1"/>
  <c r="BA40" i="8"/>
  <c r="AB69" i="8" s="1"/>
  <c r="BP69" i="8" s="1"/>
  <c r="BQ69" i="8" s="1"/>
  <c r="AC69" i="8" s="1"/>
  <c r="BC44" i="8"/>
  <c r="AN73" i="8" s="1"/>
  <c r="BX73" i="8" s="1"/>
  <c r="BY73" i="8" s="1"/>
  <c r="AO73" i="8" s="1"/>
  <c r="BF42" i="8"/>
  <c r="BF71" i="8" s="1"/>
  <c r="CJ71" i="8" s="1"/>
  <c r="CK71" i="8" s="1"/>
  <c r="BG71" i="8" s="1"/>
  <c r="BD41" i="8"/>
  <c r="AT70" i="8" s="1"/>
  <c r="CB70" i="8" s="1"/>
  <c r="CC70" i="8" s="1"/>
  <c r="AU70" i="8" s="1"/>
  <c r="AQ41" i="8"/>
  <c r="AG41" i="8"/>
  <c r="AA70" i="8" s="1"/>
  <c r="BO70" i="8" s="1"/>
  <c r="W42" i="8"/>
  <c r="AU44" i="8"/>
  <c r="BE44" i="8"/>
  <c r="AZ73" i="8" s="1"/>
  <c r="CF73" i="8" s="1"/>
  <c r="AK44" i="8"/>
  <c r="AY73" i="8" s="1"/>
  <c r="CE73" i="8" s="1"/>
  <c r="AA45" i="8"/>
  <c r="AR42" i="8"/>
  <c r="AH42" i="8"/>
  <c r="AG71" i="8" s="1"/>
  <c r="BS71" i="8" s="1"/>
  <c r="X43" i="8"/>
  <c r="CO71" i="8"/>
  <c r="BM71" i="8" s="1"/>
  <c r="AT42" i="8"/>
  <c r="AJ42" i="8"/>
  <c r="AS71" i="8" s="1"/>
  <c r="CA71" i="8" s="1"/>
  <c r="Z43" i="8"/>
  <c r="AV43" i="8"/>
  <c r="AL43" i="8"/>
  <c r="BE72" i="8" s="1"/>
  <c r="CI72" i="8" s="1"/>
  <c r="AB44" i="8"/>
  <c r="AS45" i="8"/>
  <c r="AI45" i="8"/>
  <c r="AM74" i="8" s="1"/>
  <c r="BW74" i="8" s="1"/>
  <c r="Y46" i="8"/>
  <c r="BR15" i="8"/>
  <c r="BQ14" i="8"/>
  <c r="AM43" i="8"/>
  <c r="BK72" i="8" s="1"/>
  <c r="CM72" i="8" s="1"/>
  <c r="AW43" i="8"/>
  <c r="AC44" i="8"/>
  <c r="CG72" i="8"/>
  <c r="BA72" i="8" s="1"/>
  <c r="BG43" i="8" l="1"/>
  <c r="BL72" i="8" s="1"/>
  <c r="CN72" i="8" s="1"/>
  <c r="CO72" i="8" s="1"/>
  <c r="BM72" i="8" s="1"/>
  <c r="CG73" i="8"/>
  <c r="BA73" i="8" s="1"/>
  <c r="BC45" i="8"/>
  <c r="AN74" i="8" s="1"/>
  <c r="BX74" i="8" s="1"/>
  <c r="BY74" i="8" s="1"/>
  <c r="AO74" i="8" s="1"/>
  <c r="BF43" i="8"/>
  <c r="BF72" i="8" s="1"/>
  <c r="CJ72" i="8" s="1"/>
  <c r="CK72" i="8" s="1"/>
  <c r="BG72" i="8" s="1"/>
  <c r="BA41" i="8"/>
  <c r="AB70" i="8" s="1"/>
  <c r="BP70" i="8" s="1"/>
  <c r="BQ70" i="8" s="1"/>
  <c r="AC70" i="8" s="1"/>
  <c r="BB42" i="8"/>
  <c r="AH71" i="8" s="1"/>
  <c r="BT71" i="8" s="1"/>
  <c r="BU71" i="8" s="1"/>
  <c r="AI71" i="8" s="1"/>
  <c r="BD42" i="8"/>
  <c r="AT71" i="8" s="1"/>
  <c r="CB71" i="8" s="1"/>
  <c r="CC71" i="8" s="1"/>
  <c r="AU71" i="8" s="1"/>
  <c r="AU45" i="8"/>
  <c r="BE45" i="8"/>
  <c r="AZ74" i="8" s="1"/>
  <c r="CF74" i="8" s="1"/>
  <c r="AK45" i="8"/>
  <c r="AY74" i="8" s="1"/>
  <c r="CE74" i="8" s="1"/>
  <c r="AA46" i="8"/>
  <c r="BR16" i="8"/>
  <c r="BQ15" i="8"/>
  <c r="AV44" i="8"/>
  <c r="AL44" i="8"/>
  <c r="BE73" i="8" s="1"/>
  <c r="CI73" i="8" s="1"/>
  <c r="AB45" i="8"/>
  <c r="AR43" i="8"/>
  <c r="AH43" i="8"/>
  <c r="AG72" i="8" s="1"/>
  <c r="BS72" i="8" s="1"/>
  <c r="X44" i="8"/>
  <c r="AQ42" i="8"/>
  <c r="AG42" i="8"/>
  <c r="AA71" i="8" s="1"/>
  <c r="BO71" i="8" s="1"/>
  <c r="W43" i="8"/>
  <c r="AW44" i="8"/>
  <c r="AM44" i="8"/>
  <c r="BK73" i="8" s="1"/>
  <c r="CM73" i="8" s="1"/>
  <c r="AC45" i="8"/>
  <c r="AS46" i="8"/>
  <c r="AI46" i="8"/>
  <c r="AM75" i="8" s="1"/>
  <c r="BW75" i="8" s="1"/>
  <c r="Y47" i="8"/>
  <c r="AT43" i="8"/>
  <c r="AJ43" i="8"/>
  <c r="AS72" i="8" s="1"/>
  <c r="CA72" i="8" s="1"/>
  <c r="Z44" i="8"/>
  <c r="CG74" i="8" l="1"/>
  <c r="BA74" i="8" s="1"/>
  <c r="BD43" i="8"/>
  <c r="AT72" i="8" s="1"/>
  <c r="CB72" i="8" s="1"/>
  <c r="BG44" i="8"/>
  <c r="BL73" i="8" s="1"/>
  <c r="CN73" i="8" s="1"/>
  <c r="CO73" i="8" s="1"/>
  <c r="BM73" i="8" s="1"/>
  <c r="BB43" i="8"/>
  <c r="AH72" i="8" s="1"/>
  <c r="BT72" i="8" s="1"/>
  <c r="BU72" i="8" s="1"/>
  <c r="AI72" i="8" s="1"/>
  <c r="BA42" i="8"/>
  <c r="AB71" i="8" s="1"/>
  <c r="BP71" i="8" s="1"/>
  <c r="BQ71" i="8" s="1"/>
  <c r="AC71" i="8" s="1"/>
  <c r="BC46" i="8"/>
  <c r="AN75" i="8" s="1"/>
  <c r="BX75" i="8" s="1"/>
  <c r="BY75" i="8" s="1"/>
  <c r="AO75" i="8" s="1"/>
  <c r="BF44" i="8"/>
  <c r="BF73" i="8" s="1"/>
  <c r="CJ73" i="8" s="1"/>
  <c r="CK73" i="8" s="1"/>
  <c r="BG73" i="8" s="1"/>
  <c r="BR17" i="8"/>
  <c r="BQ16" i="8"/>
  <c r="AR44" i="8"/>
  <c r="AH44" i="8"/>
  <c r="AG73" i="8" s="1"/>
  <c r="BS73" i="8" s="1"/>
  <c r="X45" i="8"/>
  <c r="AS47" i="8"/>
  <c r="AI47" i="8"/>
  <c r="AM76" i="8" s="1"/>
  <c r="BW76" i="8" s="1"/>
  <c r="Y48" i="8"/>
  <c r="AK46" i="8"/>
  <c r="AY75" i="8" s="1"/>
  <c r="CE75" i="8" s="1"/>
  <c r="AU46" i="8"/>
  <c r="BE46" i="8"/>
  <c r="AZ75" i="8" s="1"/>
  <c r="CF75" i="8" s="1"/>
  <c r="AA47" i="8"/>
  <c r="AG43" i="8"/>
  <c r="AA72" i="8" s="1"/>
  <c r="BO72" i="8" s="1"/>
  <c r="AQ43" i="8"/>
  <c r="W44" i="8"/>
  <c r="AL45" i="8"/>
  <c r="BE74" i="8" s="1"/>
  <c r="CI74" i="8" s="1"/>
  <c r="AV45" i="8"/>
  <c r="AB46" i="8"/>
  <c r="AT44" i="8"/>
  <c r="AJ44" i="8"/>
  <c r="AS73" i="8" s="1"/>
  <c r="CA73" i="8" s="1"/>
  <c r="Z45" i="8"/>
  <c r="AW45" i="8"/>
  <c r="AM45" i="8"/>
  <c r="BK74" i="8" s="1"/>
  <c r="CM74" i="8" s="1"/>
  <c r="AC46" i="8"/>
  <c r="CC72" i="8"/>
  <c r="AU72" i="8" s="1"/>
  <c r="BA43" i="8" l="1"/>
  <c r="AB72" i="8" s="1"/>
  <c r="BP72" i="8" s="1"/>
  <c r="BB44" i="8"/>
  <c r="AH73" i="8" s="1"/>
  <c r="BT73" i="8" s="1"/>
  <c r="BU73" i="8" s="1"/>
  <c r="AI73" i="8" s="1"/>
  <c r="BF45" i="8"/>
  <c r="BF74" i="8" s="1"/>
  <c r="CJ74" i="8" s="1"/>
  <c r="CK74" i="8" s="1"/>
  <c r="BG74" i="8" s="1"/>
  <c r="CG75" i="8"/>
  <c r="BA75" i="8" s="1"/>
  <c r="BC47" i="8"/>
  <c r="AN76" i="8" s="1"/>
  <c r="BX76" i="8" s="1"/>
  <c r="BY76" i="8" s="1"/>
  <c r="AO76" i="8" s="1"/>
  <c r="BG45" i="8"/>
  <c r="BL74" i="8" s="1"/>
  <c r="CN74" i="8" s="1"/>
  <c r="CO74" i="8" s="1"/>
  <c r="BM74" i="8" s="1"/>
  <c r="BD44" i="8"/>
  <c r="AT73" i="8" s="1"/>
  <c r="CB73" i="8" s="1"/>
  <c r="CC73" i="8" s="1"/>
  <c r="AU73" i="8" s="1"/>
  <c r="AR45" i="8"/>
  <c r="AH45" i="8"/>
  <c r="AG74" i="8" s="1"/>
  <c r="BS74" i="8" s="1"/>
  <c r="X46" i="8"/>
  <c r="AT45" i="8"/>
  <c r="AJ45" i="8"/>
  <c r="AS74" i="8" s="1"/>
  <c r="CA74" i="8" s="1"/>
  <c r="Z46" i="8"/>
  <c r="AS48" i="8"/>
  <c r="AI48" i="8"/>
  <c r="AM77" i="8" s="1"/>
  <c r="BW77" i="8" s="1"/>
  <c r="Y49" i="8"/>
  <c r="AQ44" i="8"/>
  <c r="AG44" i="8"/>
  <c r="AA73" i="8" s="1"/>
  <c r="BO73" i="8" s="1"/>
  <c r="W45" i="8"/>
  <c r="AW46" i="8"/>
  <c r="AM46" i="8"/>
  <c r="BK75" i="8" s="1"/>
  <c r="CM75" i="8" s="1"/>
  <c r="AC47" i="8"/>
  <c r="BQ17" i="8"/>
  <c r="BR18" i="8"/>
  <c r="AU47" i="8"/>
  <c r="BE47" i="8"/>
  <c r="AZ76" i="8" s="1"/>
  <c r="CF76" i="8" s="1"/>
  <c r="AK47" i="8"/>
  <c r="AY76" i="8" s="1"/>
  <c r="CE76" i="8" s="1"/>
  <c r="AA48" i="8"/>
  <c r="AV46" i="8"/>
  <c r="AL46" i="8"/>
  <c r="BE75" i="8" s="1"/>
  <c r="CI75" i="8" s="1"/>
  <c r="AB47" i="8"/>
  <c r="BQ72" i="8"/>
  <c r="AC72" i="8" s="1"/>
  <c r="BD45" i="8" l="1"/>
  <c r="AT74" i="8" s="1"/>
  <c r="CB74" i="8" s="1"/>
  <c r="CC74" i="8" s="1"/>
  <c r="AU74" i="8" s="1"/>
  <c r="BF46" i="8"/>
  <c r="BF75" i="8" s="1"/>
  <c r="CJ75" i="8" s="1"/>
  <c r="BB45" i="8"/>
  <c r="AH74" i="8" s="1"/>
  <c r="BT74" i="8" s="1"/>
  <c r="BU74" i="8" s="1"/>
  <c r="AI74" i="8" s="1"/>
  <c r="BG46" i="8"/>
  <c r="BL75" i="8" s="1"/>
  <c r="CN75" i="8" s="1"/>
  <c r="CO75" i="8" s="1"/>
  <c r="BM75" i="8" s="1"/>
  <c r="CG76" i="8"/>
  <c r="BA76" i="8" s="1"/>
  <c r="BC48" i="8"/>
  <c r="AN77" i="8" s="1"/>
  <c r="BX77" i="8" s="1"/>
  <c r="BY77" i="8" s="1"/>
  <c r="AO77" i="8" s="1"/>
  <c r="AS49" i="8"/>
  <c r="AI49" i="8"/>
  <c r="AM78" i="8" s="1"/>
  <c r="BW78" i="8" s="1"/>
  <c r="Y50" i="8"/>
  <c r="AW47" i="8"/>
  <c r="AM47" i="8"/>
  <c r="BK76" i="8" s="1"/>
  <c r="CM76" i="8" s="1"/>
  <c r="AC48" i="8"/>
  <c r="AH46" i="8"/>
  <c r="AG75" i="8" s="1"/>
  <c r="BS75" i="8" s="1"/>
  <c r="AR46" i="8"/>
  <c r="X47" i="8"/>
  <c r="AG45" i="8"/>
  <c r="AA74" i="8" s="1"/>
  <c r="BO74" i="8" s="1"/>
  <c r="AQ45" i="8"/>
  <c r="W46" i="8"/>
  <c r="BA44" i="8"/>
  <c r="AB73" i="8" s="1"/>
  <c r="BP73" i="8" s="1"/>
  <c r="BQ73" i="8" s="1"/>
  <c r="AC73" i="8" s="1"/>
  <c r="AU48" i="8"/>
  <c r="AK48" i="8"/>
  <c r="AY77" i="8" s="1"/>
  <c r="CE77" i="8" s="1"/>
  <c r="AA49" i="8"/>
  <c r="AL47" i="8"/>
  <c r="BE76" i="8" s="1"/>
  <c r="CI76" i="8" s="1"/>
  <c r="AV47" i="8"/>
  <c r="AB48" i="8"/>
  <c r="BR19" i="8"/>
  <c r="BQ18" i="8"/>
  <c r="CK75" i="8"/>
  <c r="BG75" i="8" s="1"/>
  <c r="AT46" i="8"/>
  <c r="AJ46" i="8"/>
  <c r="AS75" i="8" s="1"/>
  <c r="CA75" i="8" s="1"/>
  <c r="Z47" i="8"/>
  <c r="BF47" i="8" l="1"/>
  <c r="BF76" i="8" s="1"/>
  <c r="CJ76" i="8" s="1"/>
  <c r="CK76" i="8" s="1"/>
  <c r="BG76" i="8" s="1"/>
  <c r="BE48" i="8"/>
  <c r="AZ77" i="8" s="1"/>
  <c r="CF77" i="8" s="1"/>
  <c r="BA45" i="8"/>
  <c r="AB74" i="8" s="1"/>
  <c r="BP74" i="8" s="1"/>
  <c r="BQ74" i="8" s="1"/>
  <c r="AC74" i="8" s="1"/>
  <c r="BG47" i="8"/>
  <c r="BL76" i="8" s="1"/>
  <c r="CN76" i="8" s="1"/>
  <c r="CO76" i="8" s="1"/>
  <c r="BM76" i="8" s="1"/>
  <c r="BC49" i="8"/>
  <c r="AN78" i="8" s="1"/>
  <c r="BX78" i="8" s="1"/>
  <c r="BY78" i="8" s="1"/>
  <c r="AO78" i="8" s="1"/>
  <c r="BD46" i="8"/>
  <c r="AT75" i="8" s="1"/>
  <c r="CB75" i="8" s="1"/>
  <c r="CC75" i="8" s="1"/>
  <c r="AU75" i="8" s="1"/>
  <c r="AW48" i="8"/>
  <c r="AM48" i="8"/>
  <c r="BK77" i="8" s="1"/>
  <c r="CM77" i="8" s="1"/>
  <c r="AC49" i="8"/>
  <c r="AU49" i="8"/>
  <c r="AK49" i="8"/>
  <c r="AY78" i="8" s="1"/>
  <c r="CE78" i="8" s="1"/>
  <c r="AA50" i="8"/>
  <c r="BQ19" i="8"/>
  <c r="BR20" i="8"/>
  <c r="AV48" i="8"/>
  <c r="AB49" i="8"/>
  <c r="AL48" i="8"/>
  <c r="BE77" i="8" s="1"/>
  <c r="CI77" i="8" s="1"/>
  <c r="AH47" i="8"/>
  <c r="AG76" i="8" s="1"/>
  <c r="BS76" i="8" s="1"/>
  <c r="AR47" i="8"/>
  <c r="X48" i="8"/>
  <c r="AT47" i="8"/>
  <c r="AJ47" i="8"/>
  <c r="AS76" i="8" s="1"/>
  <c r="CA76" i="8" s="1"/>
  <c r="Z48" i="8"/>
  <c r="BB46" i="8"/>
  <c r="AH75" i="8" s="1"/>
  <c r="BT75" i="8" s="1"/>
  <c r="BU75" i="8" s="1"/>
  <c r="AI75" i="8" s="1"/>
  <c r="AS50" i="8"/>
  <c r="AI50" i="8"/>
  <c r="AM79" i="8" s="1"/>
  <c r="BW79" i="8" s="1"/>
  <c r="Y51" i="8"/>
  <c r="AQ46" i="8"/>
  <c r="AG46" i="8"/>
  <c r="AA75" i="8" s="1"/>
  <c r="BO75" i="8" s="1"/>
  <c r="W47" i="8"/>
  <c r="CG77" i="8"/>
  <c r="BA77" i="8" s="1"/>
  <c r="BF48" i="8" l="1"/>
  <c r="BF77" i="8" s="1"/>
  <c r="CJ77" i="8" s="1"/>
  <c r="BE49" i="8"/>
  <c r="AZ78" i="8" s="1"/>
  <c r="CF78" i="8" s="1"/>
  <c r="CG78" i="8" s="1"/>
  <c r="BA78" i="8" s="1"/>
  <c r="BC50" i="8"/>
  <c r="AN79" i="8" s="1"/>
  <c r="BX79" i="8" s="1"/>
  <c r="BG48" i="8"/>
  <c r="BL77" i="8" s="1"/>
  <c r="CN77" i="8" s="1"/>
  <c r="CO77" i="8" s="1"/>
  <c r="BM77" i="8" s="1"/>
  <c r="BA46" i="8"/>
  <c r="AB75" i="8" s="1"/>
  <c r="BP75" i="8" s="1"/>
  <c r="BQ75" i="8" s="1"/>
  <c r="AC75" i="8" s="1"/>
  <c r="AU50" i="8"/>
  <c r="AK50" i="8"/>
  <c r="AY79" i="8" s="1"/>
  <c r="CE79" i="8" s="1"/>
  <c r="AA51" i="8"/>
  <c r="AT48" i="8"/>
  <c r="AJ48" i="8"/>
  <c r="AS77" i="8" s="1"/>
  <c r="CA77" i="8" s="1"/>
  <c r="Z49" i="8"/>
  <c r="AV49" i="8"/>
  <c r="AL49" i="8"/>
  <c r="BE78" i="8" s="1"/>
  <c r="CI78" i="8" s="1"/>
  <c r="AB50" i="8"/>
  <c r="BD47" i="8"/>
  <c r="AT76" i="8" s="1"/>
  <c r="CB76" i="8" s="1"/>
  <c r="CC76" i="8" s="1"/>
  <c r="AU76" i="8" s="1"/>
  <c r="AS51" i="8"/>
  <c r="AI51" i="8"/>
  <c r="AM80" i="8" s="1"/>
  <c r="BW80" i="8" s="1"/>
  <c r="Y52" i="8"/>
  <c r="AQ47" i="8"/>
  <c r="AG47" i="8"/>
  <c r="AA76" i="8" s="1"/>
  <c r="BO76" i="8" s="1"/>
  <c r="W48" i="8"/>
  <c r="AH48" i="8"/>
  <c r="AG77" i="8" s="1"/>
  <c r="BS77" i="8" s="1"/>
  <c r="AR48" i="8"/>
  <c r="X49" i="8"/>
  <c r="AW49" i="8"/>
  <c r="AM49" i="8"/>
  <c r="BK78" i="8" s="1"/>
  <c r="CM78" i="8" s="1"/>
  <c r="AC50" i="8"/>
  <c r="BY79" i="8"/>
  <c r="AO79" i="8" s="1"/>
  <c r="BB47" i="8"/>
  <c r="AH76" i="8" s="1"/>
  <c r="BT76" i="8" s="1"/>
  <c r="BU76" i="8" s="1"/>
  <c r="AI76" i="8" s="1"/>
  <c r="BR21" i="8"/>
  <c r="BQ20" i="8"/>
  <c r="CK77" i="8"/>
  <c r="BG77" i="8" s="1"/>
  <c r="BD48" i="8" l="1"/>
  <c r="AT77" i="8" s="1"/>
  <c r="CB77" i="8" s="1"/>
  <c r="BB48" i="8"/>
  <c r="AH77" i="8" s="1"/>
  <c r="BT77" i="8" s="1"/>
  <c r="BC51" i="8"/>
  <c r="AN80" i="8" s="1"/>
  <c r="BX80" i="8" s="1"/>
  <c r="BY80" i="8" s="1"/>
  <c r="AO80" i="8" s="1"/>
  <c r="BE50" i="8"/>
  <c r="AZ79" i="8" s="1"/>
  <c r="CF79" i="8" s="1"/>
  <c r="CG79" i="8" s="1"/>
  <c r="BA79" i="8" s="1"/>
  <c r="BF49" i="8"/>
  <c r="BF78" i="8" s="1"/>
  <c r="CJ78" i="8" s="1"/>
  <c r="CK78" i="8" s="1"/>
  <c r="BG78" i="8" s="1"/>
  <c r="BA47" i="8"/>
  <c r="AB76" i="8" s="1"/>
  <c r="BP76" i="8" s="1"/>
  <c r="BQ76" i="8" s="1"/>
  <c r="AC76" i="8" s="1"/>
  <c r="BG49" i="8"/>
  <c r="BL78" i="8" s="1"/>
  <c r="CN78" i="8" s="1"/>
  <c r="CO78" i="8" s="1"/>
  <c r="BM78" i="8" s="1"/>
  <c r="AW50" i="8"/>
  <c r="AM50" i="8"/>
  <c r="BK79" i="8" s="1"/>
  <c r="CM79" i="8" s="1"/>
  <c r="AC51" i="8"/>
  <c r="AQ48" i="8"/>
  <c r="AG48" i="8"/>
  <c r="AA77" i="8" s="1"/>
  <c r="BO77" i="8" s="1"/>
  <c r="W49" i="8"/>
  <c r="AU51" i="8"/>
  <c r="AK51" i="8"/>
  <c r="AY80" i="8" s="1"/>
  <c r="CE80" i="8" s="1"/>
  <c r="AA52" i="8"/>
  <c r="AV50" i="8"/>
  <c r="AL50" i="8"/>
  <c r="BE79" i="8" s="1"/>
  <c r="CI79" i="8" s="1"/>
  <c r="AB51" i="8"/>
  <c r="AT49" i="8"/>
  <c r="AJ49" i="8"/>
  <c r="AS78" i="8" s="1"/>
  <c r="CA78" i="8" s="1"/>
  <c r="Z50" i="8"/>
  <c r="AR49" i="8"/>
  <c r="AH49" i="8"/>
  <c r="AG78" i="8" s="1"/>
  <c r="BS78" i="8" s="1"/>
  <c r="X50" i="8"/>
  <c r="AS52" i="8"/>
  <c r="AI52" i="8"/>
  <c r="AM81" i="8" s="1"/>
  <c r="BR22" i="8"/>
  <c r="BQ21" i="8"/>
  <c r="BU77" i="8"/>
  <c r="AI77" i="8" s="1"/>
  <c r="CC77" i="8"/>
  <c r="AU77" i="8" s="1"/>
  <c r="BB49" i="8" l="1"/>
  <c r="AH78" i="8" s="1"/>
  <c r="BT78" i="8" s="1"/>
  <c r="BU78" i="8" s="1"/>
  <c r="AI78" i="8" s="1"/>
  <c r="BF50" i="8"/>
  <c r="BF79" i="8" s="1"/>
  <c r="CJ79" i="8" s="1"/>
  <c r="CK79" i="8" s="1"/>
  <c r="BG79" i="8" s="1"/>
  <c r="BE51" i="8"/>
  <c r="AZ80" i="8" s="1"/>
  <c r="CF80" i="8" s="1"/>
  <c r="BG50" i="8"/>
  <c r="BL79" i="8" s="1"/>
  <c r="CN79" i="8" s="1"/>
  <c r="CO79" i="8" s="1"/>
  <c r="BM79" i="8" s="1"/>
  <c r="BD49" i="8"/>
  <c r="AT78" i="8" s="1"/>
  <c r="CB78" i="8" s="1"/>
  <c r="CC78" i="8" s="1"/>
  <c r="AU78" i="8" s="1"/>
  <c r="BC52" i="8"/>
  <c r="AN81" i="8" s="1"/>
  <c r="AQ49" i="8"/>
  <c r="AG49" i="8"/>
  <c r="AA78" i="8" s="1"/>
  <c r="BO78" i="8" s="1"/>
  <c r="W50" i="8"/>
  <c r="BA48" i="8"/>
  <c r="AB77" i="8" s="1"/>
  <c r="BP77" i="8" s="1"/>
  <c r="BQ77" i="8" s="1"/>
  <c r="AC77" i="8" s="1"/>
  <c r="AH50" i="8"/>
  <c r="AG79" i="8" s="1"/>
  <c r="BS79" i="8" s="1"/>
  <c r="AR50" i="8"/>
  <c r="X51" i="8"/>
  <c r="AU52" i="8"/>
  <c r="AK52" i="8"/>
  <c r="AY81" i="8" s="1"/>
  <c r="AW51" i="8"/>
  <c r="AM51" i="8"/>
  <c r="BK80" i="8" s="1"/>
  <c r="CM80" i="8" s="1"/>
  <c r="AC52" i="8"/>
  <c r="CG80" i="8"/>
  <c r="BA80" i="8" s="1"/>
  <c r="AV51" i="8"/>
  <c r="AL51" i="8"/>
  <c r="BE80" i="8" s="1"/>
  <c r="CI80" i="8" s="1"/>
  <c r="AB52" i="8"/>
  <c r="BQ22" i="8"/>
  <c r="BR23" i="8"/>
  <c r="AT50" i="8"/>
  <c r="AJ50" i="8"/>
  <c r="AS79" i="8" s="1"/>
  <c r="CA79" i="8" s="1"/>
  <c r="Z51" i="8"/>
  <c r="BF51" i="8" l="1"/>
  <c r="BF80" i="8" s="1"/>
  <c r="CJ80" i="8" s="1"/>
  <c r="CK80" i="8" s="1"/>
  <c r="BG80" i="8" s="1"/>
  <c r="BE52" i="8"/>
  <c r="AZ81" i="8" s="1"/>
  <c r="BB50" i="8"/>
  <c r="AH79" i="8" s="1"/>
  <c r="BT79" i="8" s="1"/>
  <c r="BU79" i="8" s="1"/>
  <c r="AI79" i="8" s="1"/>
  <c r="BA49" i="8"/>
  <c r="AB78" i="8" s="1"/>
  <c r="BP78" i="8" s="1"/>
  <c r="BQ78" i="8" s="1"/>
  <c r="AC78" i="8" s="1"/>
  <c r="BD50" i="8"/>
  <c r="AT79" i="8" s="1"/>
  <c r="CB79" i="8" s="1"/>
  <c r="CC79" i="8" s="1"/>
  <c r="AU79" i="8" s="1"/>
  <c r="BG51" i="8"/>
  <c r="BL80" i="8" s="1"/>
  <c r="CN80" i="8" s="1"/>
  <c r="CO80" i="8" s="1"/>
  <c r="BM80" i="8" s="1"/>
  <c r="AG50" i="8"/>
  <c r="AA79" i="8" s="1"/>
  <c r="BO79" i="8" s="1"/>
  <c r="AQ50" i="8"/>
  <c r="W51" i="8"/>
  <c r="BR24" i="8"/>
  <c r="BQ23" i="8"/>
  <c r="AW52" i="8"/>
  <c r="AM52" i="8"/>
  <c r="BK81" i="8" s="1"/>
  <c r="AR51" i="8"/>
  <c r="AH51" i="8"/>
  <c r="AG80" i="8" s="1"/>
  <c r="BS80" i="8" s="1"/>
  <c r="X52" i="8"/>
  <c r="AT51" i="8"/>
  <c r="AJ51" i="8"/>
  <c r="AS80" i="8" s="1"/>
  <c r="CA80" i="8" s="1"/>
  <c r="Z52" i="8"/>
  <c r="AV52" i="8"/>
  <c r="AL52" i="8"/>
  <c r="BE81" i="8" s="1"/>
  <c r="BB51" i="8" l="1"/>
  <c r="AH80" i="8" s="1"/>
  <c r="BT80" i="8" s="1"/>
  <c r="BU80" i="8" s="1"/>
  <c r="AI80" i="8" s="1"/>
  <c r="BG52" i="8"/>
  <c r="BL81" i="8" s="1"/>
  <c r="BD51" i="8"/>
  <c r="AT80" i="8" s="1"/>
  <c r="CB80" i="8" s="1"/>
  <c r="CC80" i="8" s="1"/>
  <c r="AU80" i="8" s="1"/>
  <c r="BF52" i="8"/>
  <c r="BF81" i="8" s="1"/>
  <c r="BA50" i="8"/>
  <c r="AB79" i="8" s="1"/>
  <c r="BP79" i="8" s="1"/>
  <c r="BQ79" i="8" s="1"/>
  <c r="AC79" i="8" s="1"/>
  <c r="AR52" i="8"/>
  <c r="AH52" i="8"/>
  <c r="AG81" i="8" s="1"/>
  <c r="BQ24" i="8"/>
  <c r="BR25" i="8"/>
  <c r="AJ52" i="8"/>
  <c r="AS81" i="8" s="1"/>
  <c r="AT52" i="8"/>
  <c r="AQ51" i="8"/>
  <c r="AG51" i="8"/>
  <c r="AA80" i="8" s="1"/>
  <c r="BO80" i="8" s="1"/>
  <c r="W52" i="8"/>
  <c r="BD52" i="8" l="1"/>
  <c r="AT81" i="8" s="1"/>
  <c r="BB52" i="8"/>
  <c r="AH81" i="8" s="1"/>
  <c r="BA51" i="8"/>
  <c r="AB80" i="8" s="1"/>
  <c r="BP80" i="8" s="1"/>
  <c r="BQ80" i="8" s="1"/>
  <c r="AC80" i="8" s="1"/>
  <c r="AQ52" i="8"/>
  <c r="AG52" i="8"/>
  <c r="AA81" i="8" s="1"/>
  <c r="BR26" i="8"/>
  <c r="BQ26" i="8" s="1"/>
  <c r="BQ25" i="8"/>
  <c r="BA52" i="8" l="1"/>
  <c r="AB81" i="8" s="1"/>
</calcChain>
</file>

<file path=xl/sharedStrings.xml><?xml version="1.0" encoding="utf-8"?>
<sst xmlns="http://schemas.openxmlformats.org/spreadsheetml/2006/main" count="1422" uniqueCount="269">
  <si>
    <t>Tol</t>
  </si>
  <si>
    <t>best</t>
  </si>
  <si>
    <t>mean</t>
  </si>
  <si>
    <t>std dev</t>
  </si>
  <si>
    <t>Author</t>
  </si>
  <si>
    <t>Cline</t>
  </si>
  <si>
    <t>Fankhauser</t>
  </si>
  <si>
    <t>Hope &amp; Maul</t>
  </si>
  <si>
    <t>weight</t>
  </si>
  <si>
    <t>combined</t>
  </si>
  <si>
    <t>peer-reviewed study</t>
  </si>
  <si>
    <t>impact independently estimated</t>
  </si>
  <si>
    <t>method for marginal impacts</t>
  </si>
  <si>
    <t>dynamic impact model</t>
  </si>
  <si>
    <t>scenarios of climate and economy</t>
  </si>
  <si>
    <t>age of study</t>
  </si>
  <si>
    <t>Plambeck &amp; Hope</t>
  </si>
  <si>
    <t>Ayres &amp; Walter</t>
  </si>
  <si>
    <t>Nordhaus &amp; Yang</t>
  </si>
  <si>
    <t>Nordhaus &amp; Popp</t>
  </si>
  <si>
    <t>Nordhaus</t>
  </si>
  <si>
    <t>Peck and Teisberg</t>
  </si>
  <si>
    <t>Reilly and Richards</t>
  </si>
  <si>
    <t>Maddison</t>
  </si>
  <si>
    <t>Tol &amp; Downing</t>
  </si>
  <si>
    <t>Eyre et al.</t>
  </si>
  <si>
    <t>Downing et al.</t>
  </si>
  <si>
    <t>Nordhaus &amp; Boyer</t>
  </si>
  <si>
    <t>Hohmeyer</t>
  </si>
  <si>
    <t xml:space="preserve">Tol </t>
  </si>
  <si>
    <t>Azar and Sterner</t>
  </si>
  <si>
    <t>PRTP</t>
  </si>
  <si>
    <t>CDR</t>
  </si>
  <si>
    <t>EW</t>
  </si>
  <si>
    <t>Schauer</t>
  </si>
  <si>
    <t>Roughgarden and Schneider</t>
  </si>
  <si>
    <t>Clarkson and Deyes</t>
  </si>
  <si>
    <t>Pearce</t>
  </si>
  <si>
    <t>Mendelsohn</t>
  </si>
  <si>
    <t>Newell and Pizer</t>
  </si>
  <si>
    <t>Azar</t>
  </si>
  <si>
    <t>Link and Tol</t>
  </si>
  <si>
    <t>NA</t>
  </si>
  <si>
    <t>Manne</t>
  </si>
  <si>
    <t>Uzawa</t>
  </si>
  <si>
    <t>Guo, Cameron, Tol, Anthoff</t>
  </si>
  <si>
    <t>Ceronsky, Anthoff, Cameron, Tol</t>
  </si>
  <si>
    <t>PRTP=1</t>
  </si>
  <si>
    <t>PRTP=3</t>
  </si>
  <si>
    <t>PRTP=0</t>
  </si>
  <si>
    <t>Hope</t>
  </si>
  <si>
    <t>Wahba, Hope</t>
  </si>
  <si>
    <t>Stern et al.</t>
  </si>
  <si>
    <t>&lt; 1995</t>
  </si>
  <si>
    <t>1996-2001</t>
  </si>
  <si>
    <t>&gt; 2001</t>
  </si>
  <si>
    <t>Mean</t>
  </si>
  <si>
    <t>Other</t>
  </si>
  <si>
    <t>Stern and Taylor</t>
  </si>
  <si>
    <t>stdev</t>
  </si>
  <si>
    <t>squared</t>
  </si>
  <si>
    <t>Sohngen</t>
  </si>
  <si>
    <t>Kemfert and Schill</t>
  </si>
  <si>
    <t>Anthoff et al.</t>
  </si>
  <si>
    <t>Narita et al.</t>
  </si>
  <si>
    <t>Anthoff and Tol</t>
  </si>
  <si>
    <t>EPA &amp; NHTSA</t>
  </si>
  <si>
    <t>EWinPaper</t>
  </si>
  <si>
    <t>MeaninPaper</t>
  </si>
  <si>
    <t>Pigou</t>
  </si>
  <si>
    <t>RefMan</t>
  </si>
  <si>
    <t>RM6620</t>
  </si>
  <si>
    <t>RM748</t>
  </si>
  <si>
    <t>RM755</t>
  </si>
  <si>
    <t>RM758</t>
  </si>
  <si>
    <t>RM1893</t>
  </si>
  <si>
    <t>RM2693</t>
  </si>
  <si>
    <t>RM4686</t>
  </si>
  <si>
    <t>RM8087</t>
  </si>
  <si>
    <t>RM9672</t>
  </si>
  <si>
    <t>dollar</t>
  </si>
  <si>
    <t>Cai, Judd, Lontzek</t>
  </si>
  <si>
    <t>emission</t>
  </si>
  <si>
    <t>publ</t>
  </si>
  <si>
    <t>RM9673</t>
  </si>
  <si>
    <t>RM76</t>
  </si>
  <si>
    <t>RM6621</t>
  </si>
  <si>
    <t>RM6622</t>
  </si>
  <si>
    <t>RM5708</t>
  </si>
  <si>
    <t>RM7322</t>
  </si>
  <si>
    <t>Hohmeyer &amp; Gaertner</t>
  </si>
  <si>
    <t>RM1584</t>
  </si>
  <si>
    <t>RM2625</t>
  </si>
  <si>
    <t>RM8641</t>
  </si>
  <si>
    <t>RM6623</t>
  </si>
  <si>
    <t>RM2626</t>
  </si>
  <si>
    <t>RM789</t>
  </si>
  <si>
    <t>RM827</t>
  </si>
  <si>
    <t>RM295</t>
  </si>
  <si>
    <t>RM1761</t>
  </si>
  <si>
    <t>RM7321</t>
  </si>
  <si>
    <t>RM1826</t>
  </si>
  <si>
    <t>RM1851</t>
  </si>
  <si>
    <t>RM6845</t>
  </si>
  <si>
    <t>RM6860</t>
  </si>
  <si>
    <t>RM6970</t>
  </si>
  <si>
    <t>RM6506</t>
  </si>
  <si>
    <t>RM6971</t>
  </si>
  <si>
    <t>RM7917</t>
  </si>
  <si>
    <t>RM7919</t>
  </si>
  <si>
    <t>RM9674</t>
  </si>
  <si>
    <t>Ackerman &amp; Stanton</t>
  </si>
  <si>
    <t>RM9020</t>
  </si>
  <si>
    <t>Ackerman &amp; Munitz</t>
  </si>
  <si>
    <t>RM9622</t>
  </si>
  <si>
    <t>Year</t>
  </si>
  <si>
    <t>Jan.</t>
  </si>
  <si>
    <t>Feb.</t>
  </si>
  <si>
    <t>Mar.</t>
  </si>
  <si>
    <t>Apr.</t>
  </si>
  <si>
    <t>May</t>
  </si>
  <si>
    <t>June</t>
  </si>
  <si>
    <t>July</t>
  </si>
  <si>
    <t>Aug.</t>
  </si>
  <si>
    <t>Sep.</t>
  </si>
  <si>
    <t>Oct.</t>
  </si>
  <si>
    <t>Nov.</t>
  </si>
  <si>
    <t>Dec.</t>
  </si>
  <si>
    <t>Avg.</t>
  </si>
  <si>
    <t>CPI</t>
  </si>
  <si>
    <t>RM8199</t>
  </si>
  <si>
    <t>RM8198</t>
  </si>
  <si>
    <t>Waldhoff et al.</t>
  </si>
  <si>
    <t>RM9663</t>
  </si>
  <si>
    <t>RM9664</t>
  </si>
  <si>
    <t>RM9675</t>
  </si>
  <si>
    <t>RM9676</t>
  </si>
  <si>
    <t>Parry</t>
  </si>
  <si>
    <t>RM779</t>
  </si>
  <si>
    <t>RM8702</t>
  </si>
  <si>
    <t>RM8406</t>
  </si>
  <si>
    <t>RM8197</t>
  </si>
  <si>
    <t>RM8214</t>
  </si>
  <si>
    <t>RM8448</t>
  </si>
  <si>
    <t>RM9618</t>
  </si>
  <si>
    <t>RM8461</t>
  </si>
  <si>
    <t>RM8463</t>
  </si>
  <si>
    <t>RM2412</t>
  </si>
  <si>
    <t>RM6968</t>
  </si>
  <si>
    <t>RM6068</t>
  </si>
  <si>
    <t>RM7087</t>
  </si>
  <si>
    <t>RM8134</t>
  </si>
  <si>
    <t>Ceronsky et al.</t>
  </si>
  <si>
    <t>RM9677</t>
  </si>
  <si>
    <t>RM6360</t>
  </si>
  <si>
    <t>RM9678</t>
  </si>
  <si>
    <t>RM6343</t>
  </si>
  <si>
    <t>RM5893</t>
  </si>
  <si>
    <t>RM6061</t>
  </si>
  <si>
    <t>RM7085</t>
  </si>
  <si>
    <t>RM6606</t>
  </si>
  <si>
    <t>RM5894</t>
  </si>
  <si>
    <t>estimates</t>
  </si>
  <si>
    <t>papers</t>
  </si>
  <si>
    <t>RM9680</t>
  </si>
  <si>
    <t>RM9681</t>
  </si>
  <si>
    <t>Penner et al.</t>
  </si>
  <si>
    <t>RM9625</t>
  </si>
  <si>
    <t>Marten &amp; Newbold</t>
  </si>
  <si>
    <t>RM9683</t>
  </si>
  <si>
    <t>SCC</t>
  </si>
  <si>
    <t>RM4149</t>
  </si>
  <si>
    <t>RM9679</t>
  </si>
  <si>
    <t>RM4722</t>
  </si>
  <si>
    <t>RM4648</t>
  </si>
  <si>
    <t>RM6349</t>
  </si>
  <si>
    <t>Johnson &amp; Hope</t>
  </si>
  <si>
    <t>RM9733</t>
  </si>
  <si>
    <t>Botzen &amp; vd Bergh</t>
  </si>
  <si>
    <t>RM9734</t>
  </si>
  <si>
    <t>Kopp et al.</t>
  </si>
  <si>
    <t>RM9735</t>
  </si>
  <si>
    <t>Pycroft</t>
  </si>
  <si>
    <t>RM9736</t>
  </si>
  <si>
    <t>est/pap</t>
  </si>
  <si>
    <t>rec mean</t>
  </si>
  <si>
    <t>sq mean</t>
  </si>
  <si>
    <t>RM????</t>
  </si>
  <si>
    <t>Hope &amp; Hope</t>
  </si>
  <si>
    <t>RM9922</t>
  </si>
  <si>
    <t>RM9923</t>
  </si>
  <si>
    <t>Anthoff &amp; Tol</t>
  </si>
  <si>
    <t>RM9924</t>
  </si>
  <si>
    <t>IAWGSCC</t>
  </si>
  <si>
    <t>RM9925</t>
  </si>
  <si>
    <t>Shindell</t>
  </si>
  <si>
    <t>Pottier</t>
  </si>
  <si>
    <t>none</t>
  </si>
  <si>
    <t>Ploeg</t>
  </si>
  <si>
    <t>Howarth</t>
  </si>
  <si>
    <t>Moyer</t>
  </si>
  <si>
    <t>JensenTraeger</t>
  </si>
  <si>
    <t>CrostTraeger</t>
  </si>
  <si>
    <t>Weitzman</t>
  </si>
  <si>
    <t>DietzStern</t>
  </si>
  <si>
    <t>year</t>
  </si>
  <si>
    <t>qual weight</t>
  </si>
  <si>
    <t>MooreDiaz</t>
  </si>
  <si>
    <t>Waldhof</t>
  </si>
  <si>
    <t>Rezai</t>
  </si>
  <si>
    <t>Foley</t>
  </si>
  <si>
    <t>Ploeg, Zeeuw</t>
  </si>
  <si>
    <t>Marten</t>
  </si>
  <si>
    <t>Newbold</t>
  </si>
  <si>
    <t>Bijgaart</t>
  </si>
  <si>
    <t>Marten and Newbold</t>
  </si>
  <si>
    <t>Lontzek</t>
  </si>
  <si>
    <t>Lemoine Traeger</t>
  </si>
  <si>
    <t>Lemoine</t>
  </si>
  <si>
    <t>RezaiPloeg</t>
  </si>
  <si>
    <t>HealMillner</t>
  </si>
  <si>
    <t>Perrissin Fabert</t>
  </si>
  <si>
    <t>all</t>
  </si>
  <si>
    <t>All</t>
  </si>
  <si>
    <t>N</t>
  </si>
  <si>
    <t>Previous</t>
  </si>
  <si>
    <t>Same</t>
  </si>
  <si>
    <t>Years</t>
  </si>
  <si>
    <t>-</t>
  </si>
  <si>
    <t>PRTP=2</t>
  </si>
  <si>
    <t>PRTP=1.5</t>
  </si>
  <si>
    <t>PRTP=0.1</t>
  </si>
  <si>
    <t>stderr</t>
  </si>
  <si>
    <t>mean^2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</si>
  <si>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</si>
  <si>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</si>
  <si>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</si>
  <si>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</si>
  <si>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</si>
  <si>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</si>
  <si>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</si>
  <si>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</si>
  <si>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</si>
  <si>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</si>
  <si>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</si>
  <si>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</si>
  <si>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</si>
  <si>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</si>
  <si>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</si>
  <si>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</si>
  <si>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</si>
  <si>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</si>
  <si>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</si>
  <si>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</si>
  <si>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</si>
  <si>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</si>
  <si>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</si>
  <si>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</si>
  <si>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</si>
  <si>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GDP</t>
  </si>
  <si>
    <t>world</t>
  </si>
  <si>
    <t>CO2</t>
  </si>
  <si>
    <t>emissions</t>
  </si>
  <si>
    <t>2000$</t>
  </si>
  <si>
    <t>2010$</t>
  </si>
  <si>
    <t>tC</t>
  </si>
  <si>
    <t>ktCO2</t>
  </si>
  <si>
    <t>censor</t>
  </si>
  <si>
    <t>Haraden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</si>
</sst>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"/>
    <numFmt numFmtId="165" formatCode="0.000"/>
    <numFmt numFmtId="166" formatCode="0.0000"/>
    <numFmt numFmtId="167" formatCode="0.00000000"/>
    <numFmt numFmtId="168" formatCode="0.0%"/>
  </numFmts>
  <fonts count="9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2"/>
      <color theme="1"/>
      <name val="Calibri"/>
      <family val="2"/>
      <scheme val="minor"/>
    </font>
    <font>
      <i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0" fontId="7" fillId="0" borderId="0"/>
    <xf numFmtId="0" fontId="1" fillId="0" borderId="0"/>
    <xf numFmtId="9" fontId="1" fillId="0" borderId="0" applyFont="0" applyFill="0" applyBorder="0" applyAlignment="0" applyProtection="0"/>
  </cellStyleXfs>
  <cellXfs count="41">
    <xf numFmtId="0" fontId="0" fillId="0" borderId="0" xfId="0"/>
    <xf numFmtId="164" fontId="0" fillId="0" borderId="0" xfId="0" applyNumberFormat="1"/>
    <xf numFmtId="164" fontId="3" fillId="0" borderId="0" xfId="0" applyNumberFormat="1" applyFont="1"/>
    <xf numFmtId="164" fontId="4" fillId="0" borderId="0" xfId="0" applyNumberFormat="1" applyFont="1"/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2" fontId="0" fillId="0" borderId="0" xfId="0" applyNumberFormat="1"/>
    <xf numFmtId="166" fontId="0" fillId="0" borderId="0" xfId="0" applyNumberFormat="1"/>
    <xf numFmtId="164" fontId="0" fillId="0" borderId="0" xfId="0" quotePrefix="1" applyNumberFormat="1"/>
    <xf numFmtId="167" fontId="0" fillId="0" borderId="0" xfId="0" applyNumberFormat="1"/>
    <xf numFmtId="164" fontId="2" fillId="0" borderId="0" xfId="0" applyNumberFormat="1" applyFont="1"/>
    <xf numFmtId="167" fontId="2" fillId="0" borderId="0" xfId="0" applyNumberFormat="1" applyFont="1"/>
    <xf numFmtId="1" fontId="4" fillId="0" borderId="0" xfId="0" applyNumberFormat="1" applyFont="1"/>
    <xf numFmtId="165" fontId="0" fillId="0" borderId="0" xfId="0" applyNumberFormat="1"/>
    <xf numFmtId="10" fontId="0" fillId="0" borderId="0" xfId="0" applyNumberFormat="1"/>
    <xf numFmtId="1" fontId="2" fillId="0" borderId="0" xfId="0" applyNumberFormat="1" applyFont="1"/>
    <xf numFmtId="0" fontId="2" fillId="0" borderId="0" xfId="0" applyFont="1"/>
    <xf numFmtId="1" fontId="5" fillId="0" borderId="0" xfId="0" applyNumberFormat="1" applyFont="1"/>
    <xf numFmtId="0" fontId="2" fillId="0" borderId="0" xfId="0" applyNumberFormat="1" applyFont="1"/>
    <xf numFmtId="168" fontId="0" fillId="0" borderId="0" xfId="0" applyNumberFormat="1"/>
    <xf numFmtId="1" fontId="3" fillId="0" borderId="0" xfId="0" applyNumberFormat="1" applyFont="1"/>
    <xf numFmtId="0" fontId="6" fillId="0" borderId="0" xfId="1" applyFont="1"/>
    <xf numFmtId="0" fontId="5" fillId="0" borderId="0" xfId="1" applyFont="1"/>
    <xf numFmtId="0" fontId="2" fillId="0" borderId="0" xfId="1" applyFont="1"/>
    <xf numFmtId="164" fontId="5" fillId="0" borderId="0" xfId="1" applyNumberFormat="1" applyFont="1"/>
    <xf numFmtId="164" fontId="2" fillId="0" borderId="0" xfId="1" applyNumberFormat="1" applyFont="1"/>
    <xf numFmtId="2" fontId="1" fillId="0" borderId="0" xfId="2" applyNumberFormat="1"/>
    <xf numFmtId="2" fontId="1" fillId="0" borderId="0" xfId="2" applyNumberFormat="1"/>
    <xf numFmtId="2" fontId="1" fillId="0" borderId="0" xfId="2" applyNumberFormat="1"/>
    <xf numFmtId="2" fontId="1" fillId="0" borderId="0" xfId="2" applyNumberFormat="1"/>
    <xf numFmtId="0" fontId="1" fillId="0" borderId="0" xfId="2"/>
    <xf numFmtId="0" fontId="1" fillId="0" borderId="0" xfId="2"/>
    <xf numFmtId="0" fontId="1" fillId="0" borderId="0" xfId="2"/>
    <xf numFmtId="0" fontId="1" fillId="0" borderId="0" xfId="2"/>
    <xf numFmtId="2" fontId="2" fillId="0" borderId="0" xfId="0" applyNumberFormat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8" fillId="0" borderId="2" xfId="0" applyFont="1" applyFill="1" applyBorder="1" applyAlignment="1">
      <alignment horizontal="center"/>
    </xf>
    <xf numFmtId="0" fontId="8" fillId="0" borderId="2" xfId="0" applyFont="1" applyFill="1" applyBorder="1" applyAlignment="1">
      <alignment horizontal="centerContinuous"/>
    </xf>
    <xf numFmtId="164" fontId="6" fillId="0" borderId="0" xfId="1" applyNumberFormat="1" applyFont="1"/>
  </cellXfs>
  <cellStyles count="4">
    <cellStyle name="Normal" xfId="0" builtinId="0"/>
    <cellStyle name="Normal 2" xfId="1"/>
    <cellStyle name="Normal 3" xfId="2"/>
    <cellStyle name="Percent 2" xfId="3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3.xml"/><Relationship Id="rId13" Type="http://schemas.openxmlformats.org/officeDocument/2006/relationships/worksheet" Target="worksheets/sheet5.xml"/><Relationship Id="rId18" Type="http://schemas.openxmlformats.org/officeDocument/2006/relationships/calcChain" Target="calcChain.xml"/><Relationship Id="rId3" Type="http://schemas.openxmlformats.org/officeDocument/2006/relationships/chartsheet" Target="chartsheets/sheet3.xml"/><Relationship Id="rId7" Type="http://schemas.openxmlformats.org/officeDocument/2006/relationships/worksheet" Target="worksheets/sheet2.xml"/><Relationship Id="rId12" Type="http://schemas.openxmlformats.org/officeDocument/2006/relationships/worksheet" Target="worksheets/sheet4.xml"/><Relationship Id="rId17" Type="http://schemas.openxmlformats.org/officeDocument/2006/relationships/sharedStrings" Target="sharedStrings.xml"/><Relationship Id="rId2" Type="http://schemas.openxmlformats.org/officeDocument/2006/relationships/chartsheet" Target="chartsheets/sheet2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1.xml"/><Relationship Id="rId11" Type="http://schemas.openxmlformats.org/officeDocument/2006/relationships/chartsheet" Target="chartsheets/sheet8.xml"/><Relationship Id="rId5" Type="http://schemas.openxmlformats.org/officeDocument/2006/relationships/chartsheet" Target="chartsheets/sheet5.xml"/><Relationship Id="rId15" Type="http://schemas.openxmlformats.org/officeDocument/2006/relationships/theme" Target="theme/theme1.xml"/><Relationship Id="rId10" Type="http://schemas.openxmlformats.org/officeDocument/2006/relationships/chartsheet" Target="chartsheets/sheet7.xml"/><Relationship Id="rId4" Type="http://schemas.openxmlformats.org/officeDocument/2006/relationships/chartsheet" Target="chartsheets/sheet4.xml"/><Relationship Id="rId9" Type="http://schemas.openxmlformats.org/officeDocument/2006/relationships/chartsheet" Target="chartsheets/sheet6.xml"/><Relationship Id="rId14" Type="http://schemas.openxmlformats.org/officeDocument/2006/relationships/worksheet" Target="worksheets/sheet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Data!$M$4:$M$1216</c:f>
              <c:numCache>
                <c:formatCode>0.00</c:formatCode>
                <c:ptCount val="1213"/>
                <c:pt idx="0">
                  <c:v>1.1000000000000001</c:v>
                </c:pt>
                <c:pt idx="1">
                  <c:v>1.1000000000000001</c:v>
                </c:pt>
                <c:pt idx="2">
                  <c:v>3.1</c:v>
                </c:pt>
                <c:pt idx="3">
                  <c:v>0.19375000000000001</c:v>
                </c:pt>
                <c:pt idx="4">
                  <c:v>0.38750000000000001</c:v>
                </c:pt>
                <c:pt idx="5">
                  <c:v>0.19375000000000001</c:v>
                </c:pt>
                <c:pt idx="6">
                  <c:v>0.38750000000000001</c:v>
                </c:pt>
                <c:pt idx="7">
                  <c:v>0.77500000000000002</c:v>
                </c:pt>
                <c:pt idx="8">
                  <c:v>0.38750000000000001</c:v>
                </c:pt>
                <c:pt idx="9">
                  <c:v>0.19375000000000001</c:v>
                </c:pt>
                <c:pt idx="10">
                  <c:v>0.38750000000000001</c:v>
                </c:pt>
                <c:pt idx="11">
                  <c:v>0.19375000000000001</c:v>
                </c:pt>
                <c:pt idx="12">
                  <c:v>3.2</c:v>
                </c:pt>
                <c:pt idx="13">
                  <c:v>4.2</c:v>
                </c:pt>
                <c:pt idx="14">
                  <c:v>4.7</c:v>
                </c:pt>
                <c:pt idx="15">
                  <c:v>3.2</c:v>
                </c:pt>
                <c:pt idx="16">
                  <c:v>0.57499999999999996</c:v>
                </c:pt>
                <c:pt idx="17">
                  <c:v>1.1499999999999999</c:v>
                </c:pt>
                <c:pt idx="18">
                  <c:v>0.57499999999999996</c:v>
                </c:pt>
                <c:pt idx="19">
                  <c:v>2.2000000000000002</c:v>
                </c:pt>
                <c:pt idx="20">
                  <c:v>2.946428571428571E-2</c:v>
                </c:pt>
                <c:pt idx="21">
                  <c:v>2.946428571428571E-2</c:v>
                </c:pt>
                <c:pt idx="22">
                  <c:v>5.892857142857142E-2</c:v>
                </c:pt>
                <c:pt idx="23">
                  <c:v>5.892857142857142E-2</c:v>
                </c:pt>
                <c:pt idx="24">
                  <c:v>5.892857142857142E-2</c:v>
                </c:pt>
                <c:pt idx="25">
                  <c:v>5.892857142857142E-2</c:v>
                </c:pt>
                <c:pt idx="26">
                  <c:v>2.946428571428571E-2</c:v>
                </c:pt>
                <c:pt idx="27">
                  <c:v>2.946428571428571E-2</c:v>
                </c:pt>
                <c:pt idx="28">
                  <c:v>2.946428571428571E-2</c:v>
                </c:pt>
                <c:pt idx="29">
                  <c:v>2.946428571428571E-2</c:v>
                </c:pt>
                <c:pt idx="30">
                  <c:v>2.946428571428571E-2</c:v>
                </c:pt>
                <c:pt idx="31">
                  <c:v>2.946428571428571E-2</c:v>
                </c:pt>
                <c:pt idx="32">
                  <c:v>5.892857142857142E-2</c:v>
                </c:pt>
                <c:pt idx="33">
                  <c:v>5.892857142857142E-2</c:v>
                </c:pt>
                <c:pt idx="34">
                  <c:v>5.892857142857142E-2</c:v>
                </c:pt>
                <c:pt idx="35">
                  <c:v>5.892857142857142E-2</c:v>
                </c:pt>
                <c:pt idx="36">
                  <c:v>2.946428571428571E-2</c:v>
                </c:pt>
                <c:pt idx="37">
                  <c:v>2.946428571428571E-2</c:v>
                </c:pt>
                <c:pt idx="38">
                  <c:v>2.946428571428571E-2</c:v>
                </c:pt>
                <c:pt idx="39">
                  <c:v>2.946428571428571E-2</c:v>
                </c:pt>
                <c:pt idx="40">
                  <c:v>5.892857142857142E-2</c:v>
                </c:pt>
                <c:pt idx="41">
                  <c:v>5.892857142857142E-2</c:v>
                </c:pt>
                <c:pt idx="42">
                  <c:v>0.11785714285714284</c:v>
                </c:pt>
                <c:pt idx="43">
                  <c:v>0.11785714285714284</c:v>
                </c:pt>
                <c:pt idx="44">
                  <c:v>0.11785714285714284</c:v>
                </c:pt>
                <c:pt idx="45">
                  <c:v>0.11785714285714284</c:v>
                </c:pt>
                <c:pt idx="46">
                  <c:v>5.892857142857142E-2</c:v>
                </c:pt>
                <c:pt idx="47">
                  <c:v>5.892857142857142E-2</c:v>
                </c:pt>
                <c:pt idx="48">
                  <c:v>5.892857142857142E-2</c:v>
                </c:pt>
                <c:pt idx="49">
                  <c:v>5.892857142857142E-2</c:v>
                </c:pt>
                <c:pt idx="50">
                  <c:v>5.892857142857142E-2</c:v>
                </c:pt>
                <c:pt idx="51">
                  <c:v>5.892857142857142E-2</c:v>
                </c:pt>
                <c:pt idx="52">
                  <c:v>0.11785714285714284</c:v>
                </c:pt>
                <c:pt idx="53">
                  <c:v>0.11785714285714284</c:v>
                </c:pt>
                <c:pt idx="54">
                  <c:v>0.11785714285714284</c:v>
                </c:pt>
                <c:pt idx="55">
                  <c:v>0.11785714285714284</c:v>
                </c:pt>
                <c:pt idx="56">
                  <c:v>5.892857142857142E-2</c:v>
                </c:pt>
                <c:pt idx="57">
                  <c:v>5.892857142857142E-2</c:v>
                </c:pt>
                <c:pt idx="58">
                  <c:v>5.892857142857142E-2</c:v>
                </c:pt>
                <c:pt idx="59">
                  <c:v>5.892857142857142E-2</c:v>
                </c:pt>
                <c:pt idx="60">
                  <c:v>2.946428571428571E-2</c:v>
                </c:pt>
                <c:pt idx="61">
                  <c:v>2.946428571428571E-2</c:v>
                </c:pt>
                <c:pt idx="62">
                  <c:v>5.892857142857142E-2</c:v>
                </c:pt>
                <c:pt idx="63">
                  <c:v>5.892857142857142E-2</c:v>
                </c:pt>
                <c:pt idx="64">
                  <c:v>5.892857142857142E-2</c:v>
                </c:pt>
                <c:pt idx="65">
                  <c:v>5.892857142857142E-2</c:v>
                </c:pt>
                <c:pt idx="66">
                  <c:v>2.946428571428571E-2</c:v>
                </c:pt>
                <c:pt idx="67">
                  <c:v>2.946428571428571E-2</c:v>
                </c:pt>
                <c:pt idx="68">
                  <c:v>2.946428571428571E-2</c:v>
                </c:pt>
                <c:pt idx="69">
                  <c:v>2.946428571428571E-2</c:v>
                </c:pt>
                <c:pt idx="70">
                  <c:v>2.946428571428571E-2</c:v>
                </c:pt>
                <c:pt idx="71">
                  <c:v>2.946428571428571E-2</c:v>
                </c:pt>
                <c:pt idx="72">
                  <c:v>5.892857142857142E-2</c:v>
                </c:pt>
                <c:pt idx="73">
                  <c:v>5.892857142857142E-2</c:v>
                </c:pt>
                <c:pt idx="74">
                  <c:v>5.892857142857142E-2</c:v>
                </c:pt>
                <c:pt idx="75">
                  <c:v>5.892857142857142E-2</c:v>
                </c:pt>
                <c:pt idx="76">
                  <c:v>2.946428571428571E-2</c:v>
                </c:pt>
                <c:pt idx="77">
                  <c:v>2.946428571428571E-2</c:v>
                </c:pt>
                <c:pt idx="78">
                  <c:v>2.946428571428571E-2</c:v>
                </c:pt>
                <c:pt idx="79">
                  <c:v>2.946428571428571E-2</c:v>
                </c:pt>
                <c:pt idx="80">
                  <c:v>4.3</c:v>
                </c:pt>
                <c:pt idx="81">
                  <c:v>2.15</c:v>
                </c:pt>
                <c:pt idx="82">
                  <c:v>8.269230769230769E-2</c:v>
                </c:pt>
                <c:pt idx="83">
                  <c:v>8.269230769230769E-2</c:v>
                </c:pt>
                <c:pt idx="84">
                  <c:v>8.269230769230769E-2</c:v>
                </c:pt>
                <c:pt idx="85">
                  <c:v>8.269230769230769E-2</c:v>
                </c:pt>
                <c:pt idx="86">
                  <c:v>8.269230769230769E-2</c:v>
                </c:pt>
                <c:pt idx="87">
                  <c:v>8.269230769230769E-2</c:v>
                </c:pt>
                <c:pt idx="88">
                  <c:v>8.269230769230769E-2</c:v>
                </c:pt>
                <c:pt idx="89">
                  <c:v>8.269230769230769E-2</c:v>
                </c:pt>
                <c:pt idx="90">
                  <c:v>8.269230769230769E-2</c:v>
                </c:pt>
                <c:pt idx="91">
                  <c:v>8.269230769230769E-2</c:v>
                </c:pt>
                <c:pt idx="92">
                  <c:v>8.269230769230769E-2</c:v>
                </c:pt>
                <c:pt idx="93">
                  <c:v>8.269230769230769E-2</c:v>
                </c:pt>
                <c:pt idx="94">
                  <c:v>8.269230769230769E-2</c:v>
                </c:pt>
                <c:pt idx="95">
                  <c:v>8.269230769230769E-2</c:v>
                </c:pt>
                <c:pt idx="96">
                  <c:v>8.269230769230769E-2</c:v>
                </c:pt>
                <c:pt idx="97">
                  <c:v>8.269230769230769E-2</c:v>
                </c:pt>
                <c:pt idx="98">
                  <c:v>8.269230769230769E-2</c:v>
                </c:pt>
                <c:pt idx="99">
                  <c:v>8.269230769230769E-2</c:v>
                </c:pt>
                <c:pt idx="100">
                  <c:v>8.269230769230769E-2</c:v>
                </c:pt>
                <c:pt idx="101">
                  <c:v>8.269230769230769E-2</c:v>
                </c:pt>
                <c:pt idx="102">
                  <c:v>8.269230769230769E-2</c:v>
                </c:pt>
                <c:pt idx="103">
                  <c:v>8.269230769230769E-2</c:v>
                </c:pt>
                <c:pt idx="104">
                  <c:v>8.269230769230769E-2</c:v>
                </c:pt>
                <c:pt idx="105">
                  <c:v>8.269230769230769E-2</c:v>
                </c:pt>
                <c:pt idx="106">
                  <c:v>8.269230769230769E-2</c:v>
                </c:pt>
                <c:pt idx="107">
                  <c:v>8.269230769230769E-2</c:v>
                </c:pt>
                <c:pt idx="108">
                  <c:v>0.66</c:v>
                </c:pt>
                <c:pt idx="109">
                  <c:v>0.66</c:v>
                </c:pt>
                <c:pt idx="110">
                  <c:v>0.33</c:v>
                </c:pt>
                <c:pt idx="111">
                  <c:v>0.33</c:v>
                </c:pt>
                <c:pt idx="112">
                  <c:v>0.33</c:v>
                </c:pt>
                <c:pt idx="113">
                  <c:v>0.33</c:v>
                </c:pt>
                <c:pt idx="114">
                  <c:v>0.33</c:v>
                </c:pt>
                <c:pt idx="115">
                  <c:v>0.33</c:v>
                </c:pt>
                <c:pt idx="116">
                  <c:v>5.4</c:v>
                </c:pt>
                <c:pt idx="117">
                  <c:v>4.4000000000000004</c:v>
                </c:pt>
                <c:pt idx="118">
                  <c:v>0.6</c:v>
                </c:pt>
                <c:pt idx="119">
                  <c:v>1.2</c:v>
                </c:pt>
                <c:pt idx="120">
                  <c:v>0.6</c:v>
                </c:pt>
                <c:pt idx="121">
                  <c:v>4.5</c:v>
                </c:pt>
                <c:pt idx="122">
                  <c:v>0.7</c:v>
                </c:pt>
                <c:pt idx="123">
                  <c:v>0.35</c:v>
                </c:pt>
                <c:pt idx="124">
                  <c:v>0.7</c:v>
                </c:pt>
                <c:pt idx="125">
                  <c:v>0.7</c:v>
                </c:pt>
                <c:pt idx="126">
                  <c:v>1.4</c:v>
                </c:pt>
                <c:pt idx="127">
                  <c:v>0.7</c:v>
                </c:pt>
                <c:pt idx="128">
                  <c:v>0.7</c:v>
                </c:pt>
                <c:pt idx="129">
                  <c:v>0.35</c:v>
                </c:pt>
                <c:pt idx="130">
                  <c:v>2.75</c:v>
                </c:pt>
                <c:pt idx="131">
                  <c:v>2.75</c:v>
                </c:pt>
                <c:pt idx="132">
                  <c:v>0.20444444444444443</c:v>
                </c:pt>
                <c:pt idx="133">
                  <c:v>0.40888888888888886</c:v>
                </c:pt>
                <c:pt idx="134">
                  <c:v>0.15333333333333332</c:v>
                </c:pt>
                <c:pt idx="135">
                  <c:v>0.30666666666666664</c:v>
                </c:pt>
                <c:pt idx="136">
                  <c:v>0.10222222222222221</c:v>
                </c:pt>
                <c:pt idx="137">
                  <c:v>0.20444444444444443</c:v>
                </c:pt>
                <c:pt idx="138">
                  <c:v>5.1111111111111107E-2</c:v>
                </c:pt>
                <c:pt idx="139">
                  <c:v>0.10222222222222221</c:v>
                </c:pt>
                <c:pt idx="140">
                  <c:v>0.40888888888888886</c:v>
                </c:pt>
                <c:pt idx="141">
                  <c:v>0.81777777777777771</c:v>
                </c:pt>
                <c:pt idx="142">
                  <c:v>0.30666666666666664</c:v>
                </c:pt>
                <c:pt idx="143">
                  <c:v>0.61333333333333329</c:v>
                </c:pt>
                <c:pt idx="144">
                  <c:v>0.20444444444444443</c:v>
                </c:pt>
                <c:pt idx="145">
                  <c:v>0.40888888888888886</c:v>
                </c:pt>
                <c:pt idx="146">
                  <c:v>0.10222222222222221</c:v>
                </c:pt>
                <c:pt idx="147">
                  <c:v>0.20444444444444443</c:v>
                </c:pt>
                <c:pt idx="148">
                  <c:v>2.2999999999999998</c:v>
                </c:pt>
                <c:pt idx="149">
                  <c:v>2.2999999999999998</c:v>
                </c:pt>
                <c:pt idx="150">
                  <c:v>2.6</c:v>
                </c:pt>
                <c:pt idx="151">
                  <c:v>0.45999999999999996</c:v>
                </c:pt>
                <c:pt idx="152">
                  <c:v>4.5999999999999996</c:v>
                </c:pt>
                <c:pt idx="153">
                  <c:v>0.45999999999999996</c:v>
                </c:pt>
                <c:pt idx="154">
                  <c:v>0.45999999999999996</c:v>
                </c:pt>
                <c:pt idx="155">
                  <c:v>3.36</c:v>
                </c:pt>
                <c:pt idx="156">
                  <c:v>0.45999999999999996</c:v>
                </c:pt>
                <c:pt idx="157">
                  <c:v>5.6</c:v>
                </c:pt>
                <c:pt idx="158">
                  <c:v>4.2300000000000004</c:v>
                </c:pt>
                <c:pt idx="159">
                  <c:v>0.47000000000000003</c:v>
                </c:pt>
                <c:pt idx="160">
                  <c:v>2.4500000000000002</c:v>
                </c:pt>
                <c:pt idx="161">
                  <c:v>2.4500000000000002</c:v>
                </c:pt>
                <c:pt idx="162">
                  <c:v>2.4500000000000002</c:v>
                </c:pt>
                <c:pt idx="163">
                  <c:v>2.4500000000000002</c:v>
                </c:pt>
                <c:pt idx="164">
                  <c:v>1.7250000000000001</c:v>
                </c:pt>
                <c:pt idx="165">
                  <c:v>0.34500000000000003</c:v>
                </c:pt>
                <c:pt idx="166">
                  <c:v>0.34500000000000003</c:v>
                </c:pt>
                <c:pt idx="167">
                  <c:v>0.34500000000000003</c:v>
                </c:pt>
                <c:pt idx="168">
                  <c:v>0.34500000000000003</c:v>
                </c:pt>
                <c:pt idx="169">
                  <c:v>0.34500000000000003</c:v>
                </c:pt>
                <c:pt idx="170">
                  <c:v>0.34500000000000003</c:v>
                </c:pt>
                <c:pt idx="171">
                  <c:v>6.900000000000002E-2</c:v>
                </c:pt>
                <c:pt idx="172">
                  <c:v>6.900000000000002E-2</c:v>
                </c:pt>
                <c:pt idx="173">
                  <c:v>6.900000000000002E-2</c:v>
                </c:pt>
                <c:pt idx="174">
                  <c:v>6.900000000000002E-2</c:v>
                </c:pt>
                <c:pt idx="175">
                  <c:v>6.900000000000002E-2</c:v>
                </c:pt>
                <c:pt idx="176">
                  <c:v>0.34500000000000003</c:v>
                </c:pt>
                <c:pt idx="177">
                  <c:v>6.900000000000002E-2</c:v>
                </c:pt>
                <c:pt idx="178">
                  <c:v>6.900000000000002E-2</c:v>
                </c:pt>
                <c:pt idx="179">
                  <c:v>6.900000000000002E-2</c:v>
                </c:pt>
                <c:pt idx="180">
                  <c:v>6.900000000000002E-2</c:v>
                </c:pt>
                <c:pt idx="181">
                  <c:v>6.900000000000002E-2</c:v>
                </c:pt>
                <c:pt idx="182">
                  <c:v>0.69000000000000006</c:v>
                </c:pt>
                <c:pt idx="183">
                  <c:v>0.13800000000000004</c:v>
                </c:pt>
                <c:pt idx="184">
                  <c:v>0.13800000000000004</c:v>
                </c:pt>
                <c:pt idx="185">
                  <c:v>0.13800000000000004</c:v>
                </c:pt>
                <c:pt idx="186">
                  <c:v>0.13800000000000004</c:v>
                </c:pt>
                <c:pt idx="187">
                  <c:v>0.13800000000000004</c:v>
                </c:pt>
                <c:pt idx="188">
                  <c:v>0.34500000000000003</c:v>
                </c:pt>
                <c:pt idx="189">
                  <c:v>6.900000000000002E-2</c:v>
                </c:pt>
                <c:pt idx="190">
                  <c:v>6.900000000000002E-2</c:v>
                </c:pt>
                <c:pt idx="191">
                  <c:v>6.900000000000002E-2</c:v>
                </c:pt>
                <c:pt idx="192">
                  <c:v>6.900000000000002E-2</c:v>
                </c:pt>
                <c:pt idx="193">
                  <c:v>6.900000000000002E-2</c:v>
                </c:pt>
                <c:pt idx="194">
                  <c:v>5.9</c:v>
                </c:pt>
                <c:pt idx="195">
                  <c:v>5</c:v>
                </c:pt>
                <c:pt idx="196">
                  <c:v>0.51</c:v>
                </c:pt>
                <c:pt idx="197">
                  <c:v>0.51</c:v>
                </c:pt>
                <c:pt idx="198">
                  <c:v>5.0999999999999996</c:v>
                </c:pt>
                <c:pt idx="199">
                  <c:v>4.08</c:v>
                </c:pt>
                <c:pt idx="200">
                  <c:v>4.2</c:v>
                </c:pt>
                <c:pt idx="201">
                  <c:v>0.62500000000000011</c:v>
                </c:pt>
                <c:pt idx="202">
                  <c:v>1.2500000000000002</c:v>
                </c:pt>
                <c:pt idx="203">
                  <c:v>1.2500000000000002</c:v>
                </c:pt>
                <c:pt idx="204">
                  <c:v>2.5000000000000004</c:v>
                </c:pt>
                <c:pt idx="205">
                  <c:v>0.62500000000000011</c:v>
                </c:pt>
                <c:pt idx="206">
                  <c:v>1.2500000000000002</c:v>
                </c:pt>
                <c:pt idx="207">
                  <c:v>0.53</c:v>
                </c:pt>
                <c:pt idx="208">
                  <c:v>1.06</c:v>
                </c:pt>
                <c:pt idx="209">
                  <c:v>1.06</c:v>
                </c:pt>
                <c:pt idx="210">
                  <c:v>0.26500000000000001</c:v>
                </c:pt>
                <c:pt idx="211">
                  <c:v>0.53</c:v>
                </c:pt>
                <c:pt idx="212">
                  <c:v>0.53</c:v>
                </c:pt>
                <c:pt idx="213">
                  <c:v>0.26500000000000001</c:v>
                </c:pt>
                <c:pt idx="214">
                  <c:v>0.53</c:v>
                </c:pt>
                <c:pt idx="215">
                  <c:v>0.53</c:v>
                </c:pt>
                <c:pt idx="216">
                  <c:v>5.3</c:v>
                </c:pt>
                <c:pt idx="217">
                  <c:v>3.3</c:v>
                </c:pt>
                <c:pt idx="218">
                  <c:v>1.2210000000000001</c:v>
                </c:pt>
                <c:pt idx="219">
                  <c:v>1.2210000000000001</c:v>
                </c:pt>
                <c:pt idx="220">
                  <c:v>1.2210000000000001</c:v>
                </c:pt>
                <c:pt idx="221">
                  <c:v>1.2210000000000001</c:v>
                </c:pt>
                <c:pt idx="222">
                  <c:v>1.2210000000000001</c:v>
                </c:pt>
                <c:pt idx="223">
                  <c:v>1.2210000000000001</c:v>
                </c:pt>
                <c:pt idx="224">
                  <c:v>1.2333333333333335E-2</c:v>
                </c:pt>
                <c:pt idx="225">
                  <c:v>1.2333333333333335E-2</c:v>
                </c:pt>
                <c:pt idx="226">
                  <c:v>1.2333333333333335E-2</c:v>
                </c:pt>
                <c:pt idx="227">
                  <c:v>1.2333333333333335E-2</c:v>
                </c:pt>
                <c:pt idx="228">
                  <c:v>1.2333333333333335E-2</c:v>
                </c:pt>
                <c:pt idx="229">
                  <c:v>1.2333333333333335E-2</c:v>
                </c:pt>
                <c:pt idx="230">
                  <c:v>2.2000000000000002</c:v>
                </c:pt>
                <c:pt idx="231">
                  <c:v>2.2000000000000002</c:v>
                </c:pt>
                <c:pt idx="232">
                  <c:v>1.0352941176470589</c:v>
                </c:pt>
                <c:pt idx="233">
                  <c:v>5.1764705882352942E-2</c:v>
                </c:pt>
                <c:pt idx="234">
                  <c:v>5.1764705882352942E-2</c:v>
                </c:pt>
                <c:pt idx="235">
                  <c:v>1.0352941176470589</c:v>
                </c:pt>
                <c:pt idx="236">
                  <c:v>1.0352941176470589</c:v>
                </c:pt>
                <c:pt idx="237">
                  <c:v>1.0352941176470589</c:v>
                </c:pt>
                <c:pt idx="238">
                  <c:v>5.1764705882352942E-2</c:v>
                </c:pt>
                <c:pt idx="239">
                  <c:v>5.1764705882352942E-2</c:v>
                </c:pt>
                <c:pt idx="240">
                  <c:v>5.1764705882352942E-2</c:v>
                </c:pt>
                <c:pt idx="241">
                  <c:v>0.22000000000000003</c:v>
                </c:pt>
                <c:pt idx="242">
                  <c:v>4.18</c:v>
                </c:pt>
                <c:pt idx="243">
                  <c:v>1.3299999999999998</c:v>
                </c:pt>
                <c:pt idx="244">
                  <c:v>1.3299999999999998</c:v>
                </c:pt>
                <c:pt idx="245">
                  <c:v>1.3299999999999998</c:v>
                </c:pt>
                <c:pt idx="246">
                  <c:v>1.3299999999999998</c:v>
                </c:pt>
                <c:pt idx="247">
                  <c:v>6.9999999999999993E-3</c:v>
                </c:pt>
                <c:pt idx="248">
                  <c:v>6.9999999999999993E-3</c:v>
                </c:pt>
                <c:pt idx="249">
                  <c:v>6.9999999999999993E-3</c:v>
                </c:pt>
                <c:pt idx="250">
                  <c:v>6.9999999999999993E-3</c:v>
                </c:pt>
                <c:pt idx="251">
                  <c:v>6.9999999999999993E-3</c:v>
                </c:pt>
                <c:pt idx="252">
                  <c:v>6.9999999999999993E-3</c:v>
                </c:pt>
                <c:pt idx="253">
                  <c:v>6.9999999999999993E-3</c:v>
                </c:pt>
                <c:pt idx="254">
                  <c:v>6.9999999999999993E-3</c:v>
                </c:pt>
                <c:pt idx="255">
                  <c:v>6.9999999999999993E-3</c:v>
                </c:pt>
                <c:pt idx="256">
                  <c:v>6.9999999999999993E-3</c:v>
                </c:pt>
                <c:pt idx="257">
                  <c:v>6.9999999999999993E-3</c:v>
                </c:pt>
                <c:pt idx="258">
                  <c:v>6.9999999999999993E-3</c:v>
                </c:pt>
                <c:pt idx="259">
                  <c:v>6.9999999999999993E-3</c:v>
                </c:pt>
                <c:pt idx="260">
                  <c:v>6.9999999999999993E-3</c:v>
                </c:pt>
                <c:pt idx="261">
                  <c:v>6.9999999999999993E-3</c:v>
                </c:pt>
                <c:pt idx="262">
                  <c:v>6.9999999999999993E-3</c:v>
                </c:pt>
                <c:pt idx="263">
                  <c:v>6.9999999999999993E-3</c:v>
                </c:pt>
                <c:pt idx="264">
                  <c:v>6.9999999999999993E-3</c:v>
                </c:pt>
                <c:pt idx="265">
                  <c:v>6.9999999999999993E-3</c:v>
                </c:pt>
                <c:pt idx="266">
                  <c:v>6.9999999999999993E-3</c:v>
                </c:pt>
                <c:pt idx="267">
                  <c:v>6.9999999999999993E-3</c:v>
                </c:pt>
                <c:pt idx="268">
                  <c:v>6.9999999999999993E-3</c:v>
                </c:pt>
                <c:pt idx="269">
                  <c:v>6.9999999999999993E-3</c:v>
                </c:pt>
                <c:pt idx="270">
                  <c:v>6.9999999999999993E-3</c:v>
                </c:pt>
                <c:pt idx="271">
                  <c:v>6.9999999999999993E-3</c:v>
                </c:pt>
                <c:pt idx="272">
                  <c:v>6.9999999999999993E-3</c:v>
                </c:pt>
                <c:pt idx="273">
                  <c:v>6.9999999999999993E-3</c:v>
                </c:pt>
                <c:pt idx="274">
                  <c:v>6.9999999999999993E-3</c:v>
                </c:pt>
                <c:pt idx="275">
                  <c:v>6.9999999999999993E-3</c:v>
                </c:pt>
                <c:pt idx="276">
                  <c:v>6.9999999999999993E-3</c:v>
                </c:pt>
                <c:pt idx="277">
                  <c:v>6.9999999999999993E-3</c:v>
                </c:pt>
                <c:pt idx="278">
                  <c:v>6.9999999999999993E-3</c:v>
                </c:pt>
                <c:pt idx="279">
                  <c:v>6.9999999999999993E-3</c:v>
                </c:pt>
                <c:pt idx="280">
                  <c:v>6.9999999999999993E-3</c:v>
                </c:pt>
                <c:pt idx="281">
                  <c:v>6.9999999999999993E-3</c:v>
                </c:pt>
                <c:pt idx="282">
                  <c:v>6.9999999999999993E-3</c:v>
                </c:pt>
                <c:pt idx="283">
                  <c:v>6.9999999999999993E-3</c:v>
                </c:pt>
                <c:pt idx="284">
                  <c:v>6.9999999999999993E-3</c:v>
                </c:pt>
                <c:pt idx="285">
                  <c:v>6.9999999999999993E-3</c:v>
                </c:pt>
                <c:pt idx="286">
                  <c:v>6.9999999999999993E-3</c:v>
                </c:pt>
                <c:pt idx="287">
                  <c:v>0.82521645021645018</c:v>
                </c:pt>
                <c:pt idx="288">
                  <c:v>8.252164502164502E-3</c:v>
                </c:pt>
                <c:pt idx="289">
                  <c:v>8.252164502164501E-2</c:v>
                </c:pt>
                <c:pt idx="290">
                  <c:v>8.252164502164502E-3</c:v>
                </c:pt>
                <c:pt idx="291">
                  <c:v>8.252164502164502E-4</c:v>
                </c:pt>
                <c:pt idx="292">
                  <c:v>8.252164502164501E-2</c:v>
                </c:pt>
                <c:pt idx="293">
                  <c:v>8.252164502164502E-3</c:v>
                </c:pt>
                <c:pt idx="294">
                  <c:v>8.252164502164502E-4</c:v>
                </c:pt>
                <c:pt idx="295">
                  <c:v>0.82521645021645018</c:v>
                </c:pt>
                <c:pt idx="296">
                  <c:v>8.252164502164502E-3</c:v>
                </c:pt>
                <c:pt idx="297">
                  <c:v>8.252164502164501E-2</c:v>
                </c:pt>
                <c:pt idx="298">
                  <c:v>8.252164502164502E-3</c:v>
                </c:pt>
                <c:pt idx="299">
                  <c:v>8.252164502164502E-4</c:v>
                </c:pt>
                <c:pt idx="300">
                  <c:v>8.252164502164501E-2</c:v>
                </c:pt>
                <c:pt idx="301">
                  <c:v>8.252164502164502E-3</c:v>
                </c:pt>
                <c:pt idx="302">
                  <c:v>8.252164502164502E-4</c:v>
                </c:pt>
                <c:pt idx="303">
                  <c:v>0.82521645021645018</c:v>
                </c:pt>
                <c:pt idx="304">
                  <c:v>8.252164502164502E-3</c:v>
                </c:pt>
                <c:pt idx="305">
                  <c:v>8.252164502164501E-2</c:v>
                </c:pt>
                <c:pt idx="306">
                  <c:v>8.252164502164502E-3</c:v>
                </c:pt>
                <c:pt idx="307">
                  <c:v>8.252164502164502E-4</c:v>
                </c:pt>
                <c:pt idx="308">
                  <c:v>8.252164502164501E-2</c:v>
                </c:pt>
                <c:pt idx="309">
                  <c:v>8.252164502164502E-3</c:v>
                </c:pt>
                <c:pt idx="310">
                  <c:v>8.252164502164502E-4</c:v>
                </c:pt>
                <c:pt idx="311">
                  <c:v>0.82521645021645018</c:v>
                </c:pt>
                <c:pt idx="312">
                  <c:v>8.252164502164502E-3</c:v>
                </c:pt>
                <c:pt idx="313">
                  <c:v>8.252164502164501E-2</c:v>
                </c:pt>
                <c:pt idx="314">
                  <c:v>8.252164502164502E-3</c:v>
                </c:pt>
                <c:pt idx="315">
                  <c:v>8.252164502164502E-4</c:v>
                </c:pt>
                <c:pt idx="316">
                  <c:v>8.252164502164501E-2</c:v>
                </c:pt>
                <c:pt idx="317">
                  <c:v>8.252164502164502E-3</c:v>
                </c:pt>
                <c:pt idx="318">
                  <c:v>8.252164502164502E-4</c:v>
                </c:pt>
                <c:pt idx="319">
                  <c:v>0.82521645021645018</c:v>
                </c:pt>
                <c:pt idx="320">
                  <c:v>8.252164502164502E-3</c:v>
                </c:pt>
                <c:pt idx="321">
                  <c:v>8.252164502164501E-2</c:v>
                </c:pt>
                <c:pt idx="322">
                  <c:v>8.252164502164502E-3</c:v>
                </c:pt>
                <c:pt idx="323">
                  <c:v>8.252164502164502E-4</c:v>
                </c:pt>
                <c:pt idx="324">
                  <c:v>8.252164502164501E-2</c:v>
                </c:pt>
                <c:pt idx="325">
                  <c:v>8.252164502164502E-3</c:v>
                </c:pt>
                <c:pt idx="326">
                  <c:v>8.252164502164502E-4</c:v>
                </c:pt>
                <c:pt idx="327">
                  <c:v>0.82521645021645018</c:v>
                </c:pt>
                <c:pt idx="328">
                  <c:v>8.252164502164502E-3</c:v>
                </c:pt>
                <c:pt idx="329">
                  <c:v>8.252164502164501E-2</c:v>
                </c:pt>
                <c:pt idx="330">
                  <c:v>8.252164502164502E-3</c:v>
                </c:pt>
                <c:pt idx="331">
                  <c:v>8.252164502164502E-4</c:v>
                </c:pt>
                <c:pt idx="332">
                  <c:v>8.252164502164501E-2</c:v>
                </c:pt>
                <c:pt idx="333">
                  <c:v>8.252164502164502E-3</c:v>
                </c:pt>
                <c:pt idx="334">
                  <c:v>8.252164502164502E-4</c:v>
                </c:pt>
                <c:pt idx="335">
                  <c:v>0.10476190476190475</c:v>
                </c:pt>
                <c:pt idx="336">
                  <c:v>0.10476190476190475</c:v>
                </c:pt>
                <c:pt idx="337">
                  <c:v>0.10476190476190475</c:v>
                </c:pt>
                <c:pt idx="338">
                  <c:v>0.94285714285714273</c:v>
                </c:pt>
                <c:pt idx="339">
                  <c:v>5.2380952380952375E-2</c:v>
                </c:pt>
                <c:pt idx="340">
                  <c:v>0.94285714285714273</c:v>
                </c:pt>
                <c:pt idx="341">
                  <c:v>5.2380952380952375E-2</c:v>
                </c:pt>
                <c:pt idx="342">
                  <c:v>1.4142857142857141</c:v>
                </c:pt>
                <c:pt idx="343">
                  <c:v>5.2380952380952375E-2</c:v>
                </c:pt>
                <c:pt idx="344">
                  <c:v>0.23571428571428568</c:v>
                </c:pt>
                <c:pt idx="345">
                  <c:v>0.23571428571428568</c:v>
                </c:pt>
                <c:pt idx="346">
                  <c:v>0.23571428571428568</c:v>
                </c:pt>
                <c:pt idx="347">
                  <c:v>0.23571428571428568</c:v>
                </c:pt>
                <c:pt idx="348">
                  <c:v>0.23571428571428568</c:v>
                </c:pt>
                <c:pt idx="349">
                  <c:v>0.23571428571428568</c:v>
                </c:pt>
                <c:pt idx="350">
                  <c:v>1.4142857142857141</c:v>
                </c:pt>
                <c:pt idx="351">
                  <c:v>1.1199999999999999</c:v>
                </c:pt>
                <c:pt idx="352">
                  <c:v>1.1199999999999999</c:v>
                </c:pt>
                <c:pt idx="353">
                  <c:v>0.55999999999999994</c:v>
                </c:pt>
                <c:pt idx="354">
                  <c:v>0.55999999999999994</c:v>
                </c:pt>
                <c:pt idx="355">
                  <c:v>0.55999999999999994</c:v>
                </c:pt>
                <c:pt idx="356">
                  <c:v>0.55999999999999994</c:v>
                </c:pt>
                <c:pt idx="357">
                  <c:v>0.55999999999999994</c:v>
                </c:pt>
                <c:pt idx="358">
                  <c:v>0.55999999999999994</c:v>
                </c:pt>
                <c:pt idx="359">
                  <c:v>5.6</c:v>
                </c:pt>
                <c:pt idx="360">
                  <c:v>0.75</c:v>
                </c:pt>
                <c:pt idx="361">
                  <c:v>0.75</c:v>
                </c:pt>
                <c:pt idx="362">
                  <c:v>0.75</c:v>
                </c:pt>
                <c:pt idx="363">
                  <c:v>0.75</c:v>
                </c:pt>
                <c:pt idx="364">
                  <c:v>0.75</c:v>
                </c:pt>
                <c:pt idx="365">
                  <c:v>0.75</c:v>
                </c:pt>
                <c:pt idx="366">
                  <c:v>5.6</c:v>
                </c:pt>
                <c:pt idx="367">
                  <c:v>5.5</c:v>
                </c:pt>
                <c:pt idx="368">
                  <c:v>2.5</c:v>
                </c:pt>
                <c:pt idx="369">
                  <c:v>4.5999999999999996</c:v>
                </c:pt>
                <c:pt idx="370">
                  <c:v>2.85</c:v>
                </c:pt>
                <c:pt idx="371">
                  <c:v>2.85</c:v>
                </c:pt>
                <c:pt idx="372">
                  <c:v>1.1599999999999999</c:v>
                </c:pt>
                <c:pt idx="373">
                  <c:v>4.0599999999999996</c:v>
                </c:pt>
                <c:pt idx="374">
                  <c:v>5.7999999999999996E-2</c:v>
                </c:pt>
                <c:pt idx="375">
                  <c:v>0.52200000000000002</c:v>
                </c:pt>
                <c:pt idx="376">
                  <c:v>1.1599999999999999</c:v>
                </c:pt>
                <c:pt idx="377">
                  <c:v>1.1599999999999999</c:v>
                </c:pt>
                <c:pt idx="378">
                  <c:v>1.1599999999999999</c:v>
                </c:pt>
                <c:pt idx="379">
                  <c:v>1.1599999999999999</c:v>
                </c:pt>
                <c:pt idx="380">
                  <c:v>1.1599999999999999</c:v>
                </c:pt>
                <c:pt idx="381">
                  <c:v>0.57999999999999996</c:v>
                </c:pt>
                <c:pt idx="382">
                  <c:v>0.57999999999999996</c:v>
                </c:pt>
                <c:pt idx="383">
                  <c:v>0.57999999999999996</c:v>
                </c:pt>
                <c:pt idx="384">
                  <c:v>0.57999999999999996</c:v>
                </c:pt>
                <c:pt idx="385">
                  <c:v>0.57999999999999996</c:v>
                </c:pt>
                <c:pt idx="386">
                  <c:v>0.57999999999999996</c:v>
                </c:pt>
                <c:pt idx="387">
                  <c:v>0.57999999999999996</c:v>
                </c:pt>
                <c:pt idx="388">
                  <c:v>0.57999999999999996</c:v>
                </c:pt>
                <c:pt idx="389">
                  <c:v>0.57999999999999996</c:v>
                </c:pt>
                <c:pt idx="390">
                  <c:v>0.57999999999999996</c:v>
                </c:pt>
                <c:pt idx="391">
                  <c:v>0.5</c:v>
                </c:pt>
                <c:pt idx="392">
                  <c:v>4</c:v>
                </c:pt>
                <c:pt idx="393">
                  <c:v>0.5</c:v>
                </c:pt>
                <c:pt idx="394">
                  <c:v>5</c:v>
                </c:pt>
                <c:pt idx="395">
                  <c:v>6</c:v>
                </c:pt>
                <c:pt idx="396">
                  <c:v>0.20909090909090911</c:v>
                </c:pt>
                <c:pt idx="397">
                  <c:v>0.20909090909090911</c:v>
                </c:pt>
                <c:pt idx="398">
                  <c:v>0.20909090909090911</c:v>
                </c:pt>
                <c:pt idx="399">
                  <c:v>0.20909090909090911</c:v>
                </c:pt>
                <c:pt idx="400">
                  <c:v>0.20909090909090911</c:v>
                </c:pt>
                <c:pt idx="401">
                  <c:v>0.20909090909090911</c:v>
                </c:pt>
                <c:pt idx="402">
                  <c:v>0.20909090909090911</c:v>
                </c:pt>
                <c:pt idx="403">
                  <c:v>0.20909090909090911</c:v>
                </c:pt>
                <c:pt idx="404">
                  <c:v>0.20909090909090911</c:v>
                </c:pt>
                <c:pt idx="405">
                  <c:v>0.20909090909090911</c:v>
                </c:pt>
                <c:pt idx="406">
                  <c:v>0.20909090909090911</c:v>
                </c:pt>
                <c:pt idx="407">
                  <c:v>0.20909090909090911</c:v>
                </c:pt>
                <c:pt idx="408">
                  <c:v>0.20909090909090911</c:v>
                </c:pt>
                <c:pt idx="409">
                  <c:v>0.20909090909090911</c:v>
                </c:pt>
                <c:pt idx="410">
                  <c:v>0.20909090909090911</c:v>
                </c:pt>
                <c:pt idx="411">
                  <c:v>0.20909090909090911</c:v>
                </c:pt>
                <c:pt idx="412">
                  <c:v>0.20909090909090911</c:v>
                </c:pt>
                <c:pt idx="413">
                  <c:v>0.20909090909090911</c:v>
                </c:pt>
                <c:pt idx="414">
                  <c:v>0.20909090909090911</c:v>
                </c:pt>
                <c:pt idx="415">
                  <c:v>0.20909090909090911</c:v>
                </c:pt>
                <c:pt idx="416">
                  <c:v>0.20909090909090911</c:v>
                </c:pt>
                <c:pt idx="417">
                  <c:v>0.20909090909090911</c:v>
                </c:pt>
                <c:pt idx="418">
                  <c:v>0.20909090909090911</c:v>
                </c:pt>
                <c:pt idx="419">
                  <c:v>0.20909090909090911</c:v>
                </c:pt>
                <c:pt idx="420">
                  <c:v>0.20909090909090911</c:v>
                </c:pt>
                <c:pt idx="421">
                  <c:v>0.20909090909090911</c:v>
                </c:pt>
                <c:pt idx="422">
                  <c:v>0.20909090909090911</c:v>
                </c:pt>
                <c:pt idx="423">
                  <c:v>0.20909090909090911</c:v>
                </c:pt>
                <c:pt idx="424">
                  <c:v>0.20909090909090911</c:v>
                </c:pt>
                <c:pt idx="425">
                  <c:v>0.20909090909090911</c:v>
                </c:pt>
                <c:pt idx="426">
                  <c:v>0.20909090909090911</c:v>
                </c:pt>
                <c:pt idx="427">
                  <c:v>0.20909090909090911</c:v>
                </c:pt>
                <c:pt idx="428">
                  <c:v>0.20909090909090911</c:v>
                </c:pt>
                <c:pt idx="429">
                  <c:v>1.7250000000000001</c:v>
                </c:pt>
                <c:pt idx="430">
                  <c:v>1.7250000000000001</c:v>
                </c:pt>
                <c:pt idx="431">
                  <c:v>1.7250000000000001</c:v>
                </c:pt>
                <c:pt idx="432">
                  <c:v>1.7250000000000001</c:v>
                </c:pt>
                <c:pt idx="433">
                  <c:v>0.17250000000000001</c:v>
                </c:pt>
                <c:pt idx="434">
                  <c:v>0.17250000000000001</c:v>
                </c:pt>
                <c:pt idx="435">
                  <c:v>0.17250000000000001</c:v>
                </c:pt>
                <c:pt idx="436">
                  <c:v>0.17250000000000001</c:v>
                </c:pt>
                <c:pt idx="437">
                  <c:v>0.17250000000000001</c:v>
                </c:pt>
                <c:pt idx="438">
                  <c:v>0.17250000000000001</c:v>
                </c:pt>
                <c:pt idx="439">
                  <c:v>0.17250000000000001</c:v>
                </c:pt>
                <c:pt idx="440">
                  <c:v>0.17250000000000001</c:v>
                </c:pt>
                <c:pt idx="441">
                  <c:v>1.3800000000000001</c:v>
                </c:pt>
                <c:pt idx="442">
                  <c:v>1.3800000000000001</c:v>
                </c:pt>
                <c:pt idx="443">
                  <c:v>1.3800000000000001</c:v>
                </c:pt>
                <c:pt idx="444">
                  <c:v>1.3800000000000001</c:v>
                </c:pt>
                <c:pt idx="445">
                  <c:v>2.2999999999999998</c:v>
                </c:pt>
                <c:pt idx="446">
                  <c:v>2.2999999999999998</c:v>
                </c:pt>
                <c:pt idx="447">
                  <c:v>2.2999999999999998</c:v>
                </c:pt>
                <c:pt idx="448">
                  <c:v>2.333333333333333</c:v>
                </c:pt>
                <c:pt idx="449">
                  <c:v>2.333333333333333</c:v>
                </c:pt>
                <c:pt idx="450">
                  <c:v>2.333333333333333</c:v>
                </c:pt>
                <c:pt idx="451">
                  <c:v>0.32222222222222219</c:v>
                </c:pt>
                <c:pt idx="452">
                  <c:v>0.64444444444444438</c:v>
                </c:pt>
                <c:pt idx="453">
                  <c:v>0.96666666666666656</c:v>
                </c:pt>
                <c:pt idx="454">
                  <c:v>0.64444444444444438</c:v>
                </c:pt>
                <c:pt idx="455">
                  <c:v>0.32222222222222219</c:v>
                </c:pt>
                <c:pt idx="456">
                  <c:v>0.82352941176470584</c:v>
                </c:pt>
                <c:pt idx="457">
                  <c:v>0.82352941176470584</c:v>
                </c:pt>
                <c:pt idx="458">
                  <c:v>0.41176470588235292</c:v>
                </c:pt>
                <c:pt idx="459">
                  <c:v>0.41176470588235292</c:v>
                </c:pt>
                <c:pt idx="460">
                  <c:v>0.41176470588235292</c:v>
                </c:pt>
                <c:pt idx="461">
                  <c:v>0.41176470588235292</c:v>
                </c:pt>
                <c:pt idx="462">
                  <c:v>0.41176470588235292</c:v>
                </c:pt>
                <c:pt idx="463">
                  <c:v>0.41176470588235292</c:v>
                </c:pt>
                <c:pt idx="464">
                  <c:v>0.41176470588235292</c:v>
                </c:pt>
                <c:pt idx="465">
                  <c:v>0.41176470588235292</c:v>
                </c:pt>
                <c:pt idx="466">
                  <c:v>0.41176470588235292</c:v>
                </c:pt>
                <c:pt idx="467">
                  <c:v>0.41176470588235292</c:v>
                </c:pt>
                <c:pt idx="468">
                  <c:v>0.41176470588235292</c:v>
                </c:pt>
                <c:pt idx="469">
                  <c:v>0.41176470588235292</c:v>
                </c:pt>
                <c:pt idx="470">
                  <c:v>0.20588235294117646</c:v>
                </c:pt>
                <c:pt idx="471">
                  <c:v>0.20588235294117646</c:v>
                </c:pt>
                <c:pt idx="472">
                  <c:v>6</c:v>
                </c:pt>
                <c:pt idx="473">
                  <c:v>5.58</c:v>
                </c:pt>
                <c:pt idx="474">
                  <c:v>0.62000000000000011</c:v>
                </c:pt>
                <c:pt idx="475">
                  <c:v>2.0999999999999996</c:v>
                </c:pt>
                <c:pt idx="476">
                  <c:v>2.0999999999999996</c:v>
                </c:pt>
                <c:pt idx="477">
                  <c:v>2.0999999999999996</c:v>
                </c:pt>
                <c:pt idx="478">
                  <c:v>0.65</c:v>
                </c:pt>
                <c:pt idx="479">
                  <c:v>5.8500000000000005</c:v>
                </c:pt>
                <c:pt idx="480">
                  <c:v>3.05</c:v>
                </c:pt>
                <c:pt idx="481">
                  <c:v>3.05</c:v>
                </c:pt>
                <c:pt idx="482">
                  <c:v>2.2962962962962963E-2</c:v>
                </c:pt>
                <c:pt idx="483">
                  <c:v>0.43629629629629624</c:v>
                </c:pt>
                <c:pt idx="484">
                  <c:v>1.1481481481481481E-2</c:v>
                </c:pt>
                <c:pt idx="485">
                  <c:v>0.21814814814814812</c:v>
                </c:pt>
                <c:pt idx="486">
                  <c:v>4.5925925925925926E-2</c:v>
                </c:pt>
                <c:pt idx="487">
                  <c:v>0.87259259259259248</c:v>
                </c:pt>
                <c:pt idx="488">
                  <c:v>2.2962962962962963E-2</c:v>
                </c:pt>
                <c:pt idx="489">
                  <c:v>0.43629629629629624</c:v>
                </c:pt>
                <c:pt idx="490">
                  <c:v>4.5925925925925926E-2</c:v>
                </c:pt>
                <c:pt idx="491">
                  <c:v>0.87259259259259248</c:v>
                </c:pt>
                <c:pt idx="492">
                  <c:v>2.2962962962962963E-2</c:v>
                </c:pt>
                <c:pt idx="493">
                  <c:v>0.43629629629629624</c:v>
                </c:pt>
                <c:pt idx="494">
                  <c:v>9.1851851851851851E-2</c:v>
                </c:pt>
                <c:pt idx="495">
                  <c:v>1.745185185185185</c:v>
                </c:pt>
                <c:pt idx="496">
                  <c:v>4.5925925925925926E-2</c:v>
                </c:pt>
                <c:pt idx="497">
                  <c:v>0.87259259259259248</c:v>
                </c:pt>
                <c:pt idx="498">
                  <c:v>0.12400000000000001</c:v>
                </c:pt>
                <c:pt idx="499">
                  <c:v>3.0379999999999998</c:v>
                </c:pt>
                <c:pt idx="500">
                  <c:v>3.0379999999999998</c:v>
                </c:pt>
                <c:pt idx="501">
                  <c:v>0.35882352941176465</c:v>
                </c:pt>
                <c:pt idx="502">
                  <c:v>0.35882352941176465</c:v>
                </c:pt>
                <c:pt idx="503">
                  <c:v>0.35882352941176465</c:v>
                </c:pt>
                <c:pt idx="504">
                  <c:v>0.35882352941176465</c:v>
                </c:pt>
                <c:pt idx="505">
                  <c:v>0.35882352941176465</c:v>
                </c:pt>
                <c:pt idx="506">
                  <c:v>0.35882352941176465</c:v>
                </c:pt>
                <c:pt idx="507">
                  <c:v>0.35882352941176465</c:v>
                </c:pt>
                <c:pt idx="508">
                  <c:v>0.35882352941176465</c:v>
                </c:pt>
                <c:pt idx="509">
                  <c:v>0.35882352941176465</c:v>
                </c:pt>
                <c:pt idx="510">
                  <c:v>0.17941176470588233</c:v>
                </c:pt>
                <c:pt idx="511">
                  <c:v>0.17941176470588233</c:v>
                </c:pt>
                <c:pt idx="512">
                  <c:v>0.17941176470588233</c:v>
                </c:pt>
                <c:pt idx="513">
                  <c:v>0.17941176470588233</c:v>
                </c:pt>
                <c:pt idx="514">
                  <c:v>0.17941176470588233</c:v>
                </c:pt>
                <c:pt idx="515">
                  <c:v>0.17941176470588233</c:v>
                </c:pt>
                <c:pt idx="516">
                  <c:v>0.35882352941176465</c:v>
                </c:pt>
                <c:pt idx="517">
                  <c:v>0.35882352941176465</c:v>
                </c:pt>
                <c:pt idx="518">
                  <c:v>0.35882352941176465</c:v>
                </c:pt>
                <c:pt idx="519">
                  <c:v>0.17941176470588233</c:v>
                </c:pt>
                <c:pt idx="520">
                  <c:v>0.17941176470588233</c:v>
                </c:pt>
                <c:pt idx="521">
                  <c:v>0.17941176470588233</c:v>
                </c:pt>
                <c:pt idx="522">
                  <c:v>0.17941176470588233</c:v>
                </c:pt>
                <c:pt idx="523">
                  <c:v>0.55454545454545456</c:v>
                </c:pt>
                <c:pt idx="524">
                  <c:v>0.27727272727272728</c:v>
                </c:pt>
                <c:pt idx="525">
                  <c:v>0.27727272727272728</c:v>
                </c:pt>
                <c:pt idx="526">
                  <c:v>0.27727272727272728</c:v>
                </c:pt>
                <c:pt idx="527">
                  <c:v>0.27727272727272728</c:v>
                </c:pt>
                <c:pt idx="528">
                  <c:v>0.55454545454545456</c:v>
                </c:pt>
                <c:pt idx="529">
                  <c:v>0.55454545454545456</c:v>
                </c:pt>
                <c:pt idx="530">
                  <c:v>0.55454545454545456</c:v>
                </c:pt>
                <c:pt idx="531">
                  <c:v>0.55454545454545456</c:v>
                </c:pt>
                <c:pt idx="532">
                  <c:v>0.55454545454545456</c:v>
                </c:pt>
                <c:pt idx="533">
                  <c:v>0.55454545454545456</c:v>
                </c:pt>
                <c:pt idx="534">
                  <c:v>0.55454545454545456</c:v>
                </c:pt>
                <c:pt idx="535">
                  <c:v>0.55454545454545456</c:v>
                </c:pt>
                <c:pt idx="536">
                  <c:v>0.6777777777777777</c:v>
                </c:pt>
                <c:pt idx="537">
                  <c:v>0.6777777777777777</c:v>
                </c:pt>
                <c:pt idx="538">
                  <c:v>0.6777777777777777</c:v>
                </c:pt>
                <c:pt idx="539">
                  <c:v>0.6777777777777777</c:v>
                </c:pt>
                <c:pt idx="540">
                  <c:v>0.6777777777777777</c:v>
                </c:pt>
                <c:pt idx="541">
                  <c:v>0.6777777777777777</c:v>
                </c:pt>
                <c:pt idx="542">
                  <c:v>0.6777777777777777</c:v>
                </c:pt>
                <c:pt idx="543">
                  <c:v>0.6777777777777777</c:v>
                </c:pt>
                <c:pt idx="544">
                  <c:v>0.6777777777777777</c:v>
                </c:pt>
                <c:pt idx="545">
                  <c:v>7.2</c:v>
                </c:pt>
                <c:pt idx="546">
                  <c:v>5.2</c:v>
                </c:pt>
                <c:pt idx="547">
                  <c:v>0.13777777777777778</c:v>
                </c:pt>
                <c:pt idx="548">
                  <c:v>0.13777777777777778</c:v>
                </c:pt>
                <c:pt idx="549">
                  <c:v>0.13777777777777778</c:v>
                </c:pt>
                <c:pt idx="550">
                  <c:v>0.13777777777777778</c:v>
                </c:pt>
                <c:pt idx="551">
                  <c:v>0.13777777777777778</c:v>
                </c:pt>
                <c:pt idx="552">
                  <c:v>0.13777777777777778</c:v>
                </c:pt>
                <c:pt idx="553">
                  <c:v>0.13777777777777778</c:v>
                </c:pt>
                <c:pt idx="554">
                  <c:v>0.13777777777777778</c:v>
                </c:pt>
                <c:pt idx="555">
                  <c:v>0.13777777777777778</c:v>
                </c:pt>
                <c:pt idx="556">
                  <c:v>0.13777777777777778</c:v>
                </c:pt>
                <c:pt idx="557">
                  <c:v>0.13777777777777778</c:v>
                </c:pt>
                <c:pt idx="558">
                  <c:v>0.13777777777777778</c:v>
                </c:pt>
                <c:pt idx="559">
                  <c:v>0.13777777777777778</c:v>
                </c:pt>
                <c:pt idx="560">
                  <c:v>0.13777777777777778</c:v>
                </c:pt>
                <c:pt idx="561">
                  <c:v>0.13777777777777778</c:v>
                </c:pt>
                <c:pt idx="562">
                  <c:v>0.13777777777777778</c:v>
                </c:pt>
                <c:pt idx="563">
                  <c:v>0.13777777777777778</c:v>
                </c:pt>
                <c:pt idx="564">
                  <c:v>0.13777777777777778</c:v>
                </c:pt>
                <c:pt idx="565">
                  <c:v>0.13777777777777778</c:v>
                </c:pt>
                <c:pt idx="566">
                  <c:v>0.13777777777777778</c:v>
                </c:pt>
                <c:pt idx="567">
                  <c:v>0.13777777777777778</c:v>
                </c:pt>
                <c:pt idx="568">
                  <c:v>0.13777777777777778</c:v>
                </c:pt>
                <c:pt idx="569">
                  <c:v>0.13777777777777778</c:v>
                </c:pt>
                <c:pt idx="570">
                  <c:v>0.13777777777777778</c:v>
                </c:pt>
                <c:pt idx="571">
                  <c:v>0.13777777777777778</c:v>
                </c:pt>
                <c:pt idx="572">
                  <c:v>0.13777777777777778</c:v>
                </c:pt>
                <c:pt idx="573">
                  <c:v>0.13777777777777778</c:v>
                </c:pt>
                <c:pt idx="574">
                  <c:v>0.13777777777777778</c:v>
                </c:pt>
                <c:pt idx="575">
                  <c:v>0.13777777777777778</c:v>
                </c:pt>
                <c:pt idx="576">
                  <c:v>0.13777777777777778</c:v>
                </c:pt>
                <c:pt idx="577">
                  <c:v>0.13777777777777778</c:v>
                </c:pt>
                <c:pt idx="578">
                  <c:v>0.13777777777777778</c:v>
                </c:pt>
                <c:pt idx="579">
                  <c:v>0.13777777777777778</c:v>
                </c:pt>
                <c:pt idx="580">
                  <c:v>0.13777777777777778</c:v>
                </c:pt>
                <c:pt idx="581">
                  <c:v>0.13777777777777778</c:v>
                </c:pt>
                <c:pt idx="582">
                  <c:v>0.13777777777777778</c:v>
                </c:pt>
                <c:pt idx="583">
                  <c:v>0.13777777777777778</c:v>
                </c:pt>
                <c:pt idx="584">
                  <c:v>0.13777777777777778</c:v>
                </c:pt>
                <c:pt idx="585">
                  <c:v>0.13777777777777778</c:v>
                </c:pt>
                <c:pt idx="586">
                  <c:v>0.13777777777777778</c:v>
                </c:pt>
                <c:pt idx="587">
                  <c:v>0.13777777777777778</c:v>
                </c:pt>
                <c:pt idx="588">
                  <c:v>0.13777777777777778</c:v>
                </c:pt>
                <c:pt idx="589">
                  <c:v>0.13777777777777778</c:v>
                </c:pt>
                <c:pt idx="590">
                  <c:v>0.13777777777777778</c:v>
                </c:pt>
                <c:pt idx="591">
                  <c:v>0.13777777777777778</c:v>
                </c:pt>
                <c:pt idx="592">
                  <c:v>0.72093023255813959</c:v>
                </c:pt>
                <c:pt idx="593">
                  <c:v>0.72093023255813959</c:v>
                </c:pt>
                <c:pt idx="594">
                  <c:v>0.72093023255813959</c:v>
                </c:pt>
                <c:pt idx="595">
                  <c:v>7.2093023255813959E-2</c:v>
                </c:pt>
                <c:pt idx="596">
                  <c:v>7.2093023255813959E-2</c:v>
                </c:pt>
                <c:pt idx="597">
                  <c:v>7.2093023255813959E-2</c:v>
                </c:pt>
                <c:pt idx="598">
                  <c:v>0.72093023255813959</c:v>
                </c:pt>
                <c:pt idx="599">
                  <c:v>0.72093023255813959</c:v>
                </c:pt>
                <c:pt idx="600">
                  <c:v>7.2093023255813959E-2</c:v>
                </c:pt>
                <c:pt idx="601">
                  <c:v>7.2093023255813959E-2</c:v>
                </c:pt>
                <c:pt idx="602">
                  <c:v>7.2093023255813959E-2</c:v>
                </c:pt>
                <c:pt idx="603">
                  <c:v>0.72093023255813959</c:v>
                </c:pt>
                <c:pt idx="604">
                  <c:v>0.72093023255813959</c:v>
                </c:pt>
                <c:pt idx="605">
                  <c:v>0.72093023255813959</c:v>
                </c:pt>
                <c:pt idx="606">
                  <c:v>0.62000000000000011</c:v>
                </c:pt>
                <c:pt idx="607">
                  <c:v>5.58</c:v>
                </c:pt>
                <c:pt idx="608">
                  <c:v>4.3055555555555555E-2</c:v>
                </c:pt>
                <c:pt idx="609">
                  <c:v>4.3055555555555555E-2</c:v>
                </c:pt>
                <c:pt idx="610">
                  <c:v>4.3055555555555555E-2</c:v>
                </c:pt>
                <c:pt idx="611">
                  <c:v>4.3055555555555555E-2</c:v>
                </c:pt>
                <c:pt idx="612">
                  <c:v>4.3055555555555555E-2</c:v>
                </c:pt>
                <c:pt idx="613">
                  <c:v>4.3055555555555555E-2</c:v>
                </c:pt>
                <c:pt idx="614">
                  <c:v>4.3055555555555555E-2</c:v>
                </c:pt>
                <c:pt idx="615">
                  <c:v>4.3055555555555555E-2</c:v>
                </c:pt>
                <c:pt idx="616">
                  <c:v>4.3055555555555555E-2</c:v>
                </c:pt>
                <c:pt idx="617">
                  <c:v>4.3055555555555555E-2</c:v>
                </c:pt>
                <c:pt idx="618">
                  <c:v>4.3055555555555555E-2</c:v>
                </c:pt>
                <c:pt idx="619">
                  <c:v>4.3055555555555555E-2</c:v>
                </c:pt>
                <c:pt idx="620">
                  <c:v>4.3055555555555555E-2</c:v>
                </c:pt>
                <c:pt idx="621">
                  <c:v>4.3055555555555555E-2</c:v>
                </c:pt>
                <c:pt idx="622">
                  <c:v>4.3055555555555555E-2</c:v>
                </c:pt>
                <c:pt idx="623">
                  <c:v>4.3055555555555555E-2</c:v>
                </c:pt>
                <c:pt idx="624">
                  <c:v>4.3055555555555555E-2</c:v>
                </c:pt>
                <c:pt idx="625">
                  <c:v>4.3055555555555555E-2</c:v>
                </c:pt>
                <c:pt idx="626">
                  <c:v>4.3055555555555555E-2</c:v>
                </c:pt>
                <c:pt idx="627">
                  <c:v>4.3055555555555555E-2</c:v>
                </c:pt>
                <c:pt idx="628">
                  <c:v>4.3055555555555555E-2</c:v>
                </c:pt>
                <c:pt idx="629">
                  <c:v>4.3055555555555555E-2</c:v>
                </c:pt>
                <c:pt idx="630">
                  <c:v>4.3055555555555555E-2</c:v>
                </c:pt>
                <c:pt idx="631">
                  <c:v>4.3055555555555555E-2</c:v>
                </c:pt>
                <c:pt idx="632">
                  <c:v>4.3055555555555555E-2</c:v>
                </c:pt>
                <c:pt idx="633">
                  <c:v>4.3055555555555555E-2</c:v>
                </c:pt>
                <c:pt idx="634">
                  <c:v>4.3055555555555555E-2</c:v>
                </c:pt>
                <c:pt idx="635">
                  <c:v>4.3055555555555555E-2</c:v>
                </c:pt>
                <c:pt idx="636">
                  <c:v>4.3055555555555555E-2</c:v>
                </c:pt>
                <c:pt idx="637">
                  <c:v>4.3055555555555555E-2</c:v>
                </c:pt>
                <c:pt idx="638">
                  <c:v>4.3055555555555555E-2</c:v>
                </c:pt>
                <c:pt idx="639">
                  <c:v>4.3055555555555555E-2</c:v>
                </c:pt>
                <c:pt idx="640">
                  <c:v>4.3055555555555555E-2</c:v>
                </c:pt>
                <c:pt idx="641">
                  <c:v>4.3055555555555555E-2</c:v>
                </c:pt>
                <c:pt idx="642">
                  <c:v>4.3055555555555555E-2</c:v>
                </c:pt>
                <c:pt idx="643">
                  <c:v>4.3055555555555555E-2</c:v>
                </c:pt>
                <c:pt idx="644">
                  <c:v>4.3055555555555555E-2</c:v>
                </c:pt>
                <c:pt idx="645">
                  <c:v>4.3055555555555555E-2</c:v>
                </c:pt>
                <c:pt idx="646">
                  <c:v>4.3055555555555555E-2</c:v>
                </c:pt>
                <c:pt idx="647">
                  <c:v>4.3055555555555555E-2</c:v>
                </c:pt>
                <c:pt idx="648">
                  <c:v>4.3055555555555555E-2</c:v>
                </c:pt>
                <c:pt idx="649">
                  <c:v>4.3055555555555555E-2</c:v>
                </c:pt>
                <c:pt idx="650">
                  <c:v>4.3055555555555555E-2</c:v>
                </c:pt>
                <c:pt idx="651">
                  <c:v>4.3055555555555555E-2</c:v>
                </c:pt>
                <c:pt idx="652">
                  <c:v>4.3055555555555555E-2</c:v>
                </c:pt>
                <c:pt idx="653">
                  <c:v>4.3055555555555555E-2</c:v>
                </c:pt>
                <c:pt idx="654">
                  <c:v>4.3055555555555555E-2</c:v>
                </c:pt>
                <c:pt idx="655">
                  <c:v>4.3055555555555555E-2</c:v>
                </c:pt>
                <c:pt idx="656">
                  <c:v>4.3055555555555555E-2</c:v>
                </c:pt>
                <c:pt idx="657">
                  <c:v>4.3055555555555555E-2</c:v>
                </c:pt>
                <c:pt idx="658">
                  <c:v>4.3055555555555555E-2</c:v>
                </c:pt>
                <c:pt idx="659">
                  <c:v>4.3055555555555555E-2</c:v>
                </c:pt>
                <c:pt idx="660">
                  <c:v>4.3055555555555555E-2</c:v>
                </c:pt>
                <c:pt idx="661">
                  <c:v>4.3055555555555555E-2</c:v>
                </c:pt>
                <c:pt idx="662">
                  <c:v>4.3055555555555555E-2</c:v>
                </c:pt>
                <c:pt idx="663">
                  <c:v>4.3055555555555555E-2</c:v>
                </c:pt>
                <c:pt idx="664">
                  <c:v>4.3055555555555555E-2</c:v>
                </c:pt>
                <c:pt idx="665">
                  <c:v>4.3055555555555555E-2</c:v>
                </c:pt>
                <c:pt idx="666">
                  <c:v>4.3055555555555555E-2</c:v>
                </c:pt>
                <c:pt idx="667">
                  <c:v>4.3055555555555555E-2</c:v>
                </c:pt>
                <c:pt idx="668">
                  <c:v>4.3055555555555555E-2</c:v>
                </c:pt>
                <c:pt idx="669">
                  <c:v>4.3055555555555555E-2</c:v>
                </c:pt>
                <c:pt idx="670">
                  <c:v>4.3055555555555555E-2</c:v>
                </c:pt>
                <c:pt idx="671">
                  <c:v>4.3055555555555555E-2</c:v>
                </c:pt>
                <c:pt idx="672">
                  <c:v>4.3055555555555555E-2</c:v>
                </c:pt>
                <c:pt idx="673">
                  <c:v>4.3055555555555555E-2</c:v>
                </c:pt>
                <c:pt idx="674">
                  <c:v>4.3055555555555555E-2</c:v>
                </c:pt>
                <c:pt idx="675">
                  <c:v>4.3055555555555555E-2</c:v>
                </c:pt>
                <c:pt idx="676">
                  <c:v>4.3055555555555555E-2</c:v>
                </c:pt>
                <c:pt idx="677">
                  <c:v>4.3055555555555555E-2</c:v>
                </c:pt>
                <c:pt idx="678">
                  <c:v>4.3055555555555555E-2</c:v>
                </c:pt>
                <c:pt idx="679">
                  <c:v>4.3055555555555555E-2</c:v>
                </c:pt>
                <c:pt idx="680">
                  <c:v>4.3055555555555555E-2</c:v>
                </c:pt>
                <c:pt idx="681">
                  <c:v>4.3055555555555555E-2</c:v>
                </c:pt>
                <c:pt idx="682">
                  <c:v>4.3055555555555555E-2</c:v>
                </c:pt>
                <c:pt idx="683">
                  <c:v>4.3055555555555555E-2</c:v>
                </c:pt>
                <c:pt idx="684">
                  <c:v>4.3055555555555555E-2</c:v>
                </c:pt>
                <c:pt idx="685">
                  <c:v>4.3055555555555555E-2</c:v>
                </c:pt>
                <c:pt idx="686">
                  <c:v>4.3055555555555555E-2</c:v>
                </c:pt>
                <c:pt idx="687">
                  <c:v>4.3055555555555555E-2</c:v>
                </c:pt>
                <c:pt idx="688">
                  <c:v>4.3055555555555555E-2</c:v>
                </c:pt>
                <c:pt idx="689">
                  <c:v>4.3055555555555555E-2</c:v>
                </c:pt>
                <c:pt idx="690">
                  <c:v>4.3055555555555555E-2</c:v>
                </c:pt>
                <c:pt idx="691">
                  <c:v>4.3055555555555555E-2</c:v>
                </c:pt>
                <c:pt idx="692">
                  <c:v>4.3055555555555555E-2</c:v>
                </c:pt>
                <c:pt idx="693">
                  <c:v>4.3055555555555555E-2</c:v>
                </c:pt>
                <c:pt idx="694">
                  <c:v>4.3055555555555555E-2</c:v>
                </c:pt>
                <c:pt idx="695">
                  <c:v>4.3055555555555555E-2</c:v>
                </c:pt>
                <c:pt idx="696">
                  <c:v>4.3055555555555555E-2</c:v>
                </c:pt>
                <c:pt idx="697">
                  <c:v>4.3055555555555555E-2</c:v>
                </c:pt>
                <c:pt idx="698">
                  <c:v>4.3055555555555555E-2</c:v>
                </c:pt>
                <c:pt idx="699">
                  <c:v>4.3055555555555555E-2</c:v>
                </c:pt>
                <c:pt idx="700">
                  <c:v>4.3055555555555555E-2</c:v>
                </c:pt>
                <c:pt idx="701">
                  <c:v>4.3055555555555555E-2</c:v>
                </c:pt>
                <c:pt idx="702">
                  <c:v>4.3055555555555555E-2</c:v>
                </c:pt>
                <c:pt idx="703">
                  <c:v>4.3055555555555555E-2</c:v>
                </c:pt>
                <c:pt idx="704">
                  <c:v>4.3055555555555555E-2</c:v>
                </c:pt>
                <c:pt idx="705">
                  <c:v>4.3055555555555555E-2</c:v>
                </c:pt>
                <c:pt idx="706">
                  <c:v>4.3055555555555555E-2</c:v>
                </c:pt>
                <c:pt idx="707">
                  <c:v>4.3055555555555555E-2</c:v>
                </c:pt>
                <c:pt idx="708">
                  <c:v>4.3055555555555555E-2</c:v>
                </c:pt>
                <c:pt idx="709">
                  <c:v>4.3055555555555555E-2</c:v>
                </c:pt>
                <c:pt idx="710">
                  <c:v>4.3055555555555555E-2</c:v>
                </c:pt>
                <c:pt idx="711">
                  <c:v>4.3055555555555555E-2</c:v>
                </c:pt>
                <c:pt idx="712">
                  <c:v>4.3055555555555555E-2</c:v>
                </c:pt>
                <c:pt idx="713">
                  <c:v>4.3055555555555555E-2</c:v>
                </c:pt>
                <c:pt idx="714">
                  <c:v>4.3055555555555555E-2</c:v>
                </c:pt>
                <c:pt idx="715">
                  <c:v>4.3055555555555555E-2</c:v>
                </c:pt>
                <c:pt idx="716">
                  <c:v>4.3055555555555555E-2</c:v>
                </c:pt>
                <c:pt idx="717">
                  <c:v>4.3055555555555555E-2</c:v>
                </c:pt>
                <c:pt idx="718">
                  <c:v>4.3055555555555555E-2</c:v>
                </c:pt>
                <c:pt idx="719">
                  <c:v>4.3055555555555555E-2</c:v>
                </c:pt>
                <c:pt idx="720">
                  <c:v>4.3055555555555555E-2</c:v>
                </c:pt>
                <c:pt idx="721">
                  <c:v>4.3055555555555555E-2</c:v>
                </c:pt>
                <c:pt idx="722">
                  <c:v>4.3055555555555555E-2</c:v>
                </c:pt>
                <c:pt idx="723">
                  <c:v>4.3055555555555555E-2</c:v>
                </c:pt>
                <c:pt idx="724">
                  <c:v>4.3055555555555555E-2</c:v>
                </c:pt>
                <c:pt idx="725">
                  <c:v>4.3055555555555555E-2</c:v>
                </c:pt>
                <c:pt idx="726">
                  <c:v>4.3055555555555555E-2</c:v>
                </c:pt>
                <c:pt idx="727">
                  <c:v>4.3055555555555555E-2</c:v>
                </c:pt>
                <c:pt idx="728">
                  <c:v>4.3055555555555555E-2</c:v>
                </c:pt>
                <c:pt idx="729">
                  <c:v>4.3055555555555555E-2</c:v>
                </c:pt>
                <c:pt idx="730">
                  <c:v>4.3055555555555555E-2</c:v>
                </c:pt>
                <c:pt idx="731">
                  <c:v>4.3055555555555555E-2</c:v>
                </c:pt>
                <c:pt idx="732">
                  <c:v>4.3055555555555555E-2</c:v>
                </c:pt>
                <c:pt idx="733">
                  <c:v>4.3055555555555555E-2</c:v>
                </c:pt>
                <c:pt idx="734">
                  <c:v>4.3055555555555555E-2</c:v>
                </c:pt>
                <c:pt idx="735">
                  <c:v>4.3055555555555555E-2</c:v>
                </c:pt>
                <c:pt idx="736">
                  <c:v>4.3055555555555555E-2</c:v>
                </c:pt>
                <c:pt idx="737">
                  <c:v>4.3055555555555555E-2</c:v>
                </c:pt>
                <c:pt idx="738">
                  <c:v>4.3055555555555555E-2</c:v>
                </c:pt>
                <c:pt idx="739">
                  <c:v>4.3055555555555555E-2</c:v>
                </c:pt>
                <c:pt idx="740">
                  <c:v>4.3055555555555555E-2</c:v>
                </c:pt>
                <c:pt idx="741">
                  <c:v>4.3055555555555555E-2</c:v>
                </c:pt>
                <c:pt idx="742">
                  <c:v>4.3055555555555555E-2</c:v>
                </c:pt>
                <c:pt idx="743">
                  <c:v>4.3055555555555555E-2</c:v>
                </c:pt>
                <c:pt idx="744">
                  <c:v>4.3055555555555555E-2</c:v>
                </c:pt>
                <c:pt idx="745">
                  <c:v>4.3055555555555555E-2</c:v>
                </c:pt>
                <c:pt idx="746">
                  <c:v>4.3055555555555555E-2</c:v>
                </c:pt>
                <c:pt idx="747">
                  <c:v>4.3055555555555555E-2</c:v>
                </c:pt>
                <c:pt idx="748">
                  <c:v>4.3055555555555555E-2</c:v>
                </c:pt>
                <c:pt idx="749">
                  <c:v>4.3055555555555555E-2</c:v>
                </c:pt>
                <c:pt idx="750">
                  <c:v>4.3055555555555555E-2</c:v>
                </c:pt>
                <c:pt idx="751">
                  <c:v>4.3055555555555555E-2</c:v>
                </c:pt>
                <c:pt idx="752">
                  <c:v>0.55454545454545456</c:v>
                </c:pt>
                <c:pt idx="753">
                  <c:v>0.55454545454545456</c:v>
                </c:pt>
                <c:pt idx="754">
                  <c:v>0.55454545454545456</c:v>
                </c:pt>
                <c:pt idx="755">
                  <c:v>0.55454545454545456</c:v>
                </c:pt>
                <c:pt idx="756">
                  <c:v>0.55454545454545456</c:v>
                </c:pt>
                <c:pt idx="757">
                  <c:v>0.55454545454545456</c:v>
                </c:pt>
                <c:pt idx="758">
                  <c:v>0.55454545454545456</c:v>
                </c:pt>
                <c:pt idx="759">
                  <c:v>0.55454545454545456</c:v>
                </c:pt>
                <c:pt idx="760">
                  <c:v>0.55454545454545456</c:v>
                </c:pt>
                <c:pt idx="761">
                  <c:v>0.55454545454545456</c:v>
                </c:pt>
                <c:pt idx="762">
                  <c:v>0.55454545454545456</c:v>
                </c:pt>
                <c:pt idx="763">
                  <c:v>5.04</c:v>
                </c:pt>
                <c:pt idx="764">
                  <c:v>0.63</c:v>
                </c:pt>
                <c:pt idx="765">
                  <c:v>0.63</c:v>
                </c:pt>
                <c:pt idx="766">
                  <c:v>6.3E-2</c:v>
                </c:pt>
                <c:pt idx="767">
                  <c:v>6.3E-2</c:v>
                </c:pt>
                <c:pt idx="768">
                  <c:v>6.3E-2</c:v>
                </c:pt>
                <c:pt idx="769">
                  <c:v>6.3E-2</c:v>
                </c:pt>
                <c:pt idx="770">
                  <c:v>6.3E-2</c:v>
                </c:pt>
                <c:pt idx="771">
                  <c:v>6.3E-2</c:v>
                </c:pt>
                <c:pt idx="772">
                  <c:v>6.3E-2</c:v>
                </c:pt>
                <c:pt idx="773">
                  <c:v>6.3E-2</c:v>
                </c:pt>
                <c:pt idx="774">
                  <c:v>5.7960000000000003</c:v>
                </c:pt>
                <c:pt idx="775">
                  <c:v>0.66363636363636369</c:v>
                </c:pt>
                <c:pt idx="776">
                  <c:v>0.66363636363636369</c:v>
                </c:pt>
                <c:pt idx="777">
                  <c:v>0.66363636363636369</c:v>
                </c:pt>
                <c:pt idx="778">
                  <c:v>0.66363636363636369</c:v>
                </c:pt>
                <c:pt idx="779">
                  <c:v>0.66363636363636369</c:v>
                </c:pt>
                <c:pt idx="780">
                  <c:v>0.66363636363636369</c:v>
                </c:pt>
                <c:pt idx="781">
                  <c:v>0.66363636363636369</c:v>
                </c:pt>
                <c:pt idx="782">
                  <c:v>0.66363636363636369</c:v>
                </c:pt>
                <c:pt idx="783">
                  <c:v>0.66363636363636369</c:v>
                </c:pt>
                <c:pt idx="784">
                  <c:v>0.66363636363636369</c:v>
                </c:pt>
                <c:pt idx="785">
                  <c:v>0.66363636363636369</c:v>
                </c:pt>
                <c:pt idx="786">
                  <c:v>2.0999999999999996</c:v>
                </c:pt>
                <c:pt idx="787">
                  <c:v>2.0999999999999996</c:v>
                </c:pt>
                <c:pt idx="788">
                  <c:v>2.0999999999999996</c:v>
                </c:pt>
                <c:pt idx="789">
                  <c:v>2.1666666666666665</c:v>
                </c:pt>
                <c:pt idx="790">
                  <c:v>2.1666666666666665</c:v>
                </c:pt>
                <c:pt idx="791">
                  <c:v>2.1666666666666665</c:v>
                </c:pt>
                <c:pt idx="792">
                  <c:v>0.8125</c:v>
                </c:pt>
                <c:pt idx="793">
                  <c:v>0.8125</c:v>
                </c:pt>
                <c:pt idx="794">
                  <c:v>0.8125</c:v>
                </c:pt>
                <c:pt idx="795">
                  <c:v>0.8125</c:v>
                </c:pt>
                <c:pt idx="796">
                  <c:v>0.8125</c:v>
                </c:pt>
                <c:pt idx="797">
                  <c:v>0.8125</c:v>
                </c:pt>
                <c:pt idx="798">
                  <c:v>0.8125</c:v>
                </c:pt>
                <c:pt idx="799">
                  <c:v>0.8125</c:v>
                </c:pt>
                <c:pt idx="800">
                  <c:v>0.22857142857142856</c:v>
                </c:pt>
                <c:pt idx="801">
                  <c:v>0.22857142857142856</c:v>
                </c:pt>
                <c:pt idx="802">
                  <c:v>0.22857142857142856</c:v>
                </c:pt>
                <c:pt idx="803">
                  <c:v>0.22857142857142856</c:v>
                </c:pt>
                <c:pt idx="804">
                  <c:v>0.22857142857142856</c:v>
                </c:pt>
                <c:pt idx="805">
                  <c:v>0.22857142857142856</c:v>
                </c:pt>
                <c:pt idx="806">
                  <c:v>0.22857142857142856</c:v>
                </c:pt>
                <c:pt idx="807">
                  <c:v>0.22857142857142856</c:v>
                </c:pt>
                <c:pt idx="808">
                  <c:v>0.22857142857142856</c:v>
                </c:pt>
                <c:pt idx="809">
                  <c:v>0.22857142857142856</c:v>
                </c:pt>
                <c:pt idx="810">
                  <c:v>0.22857142857142856</c:v>
                </c:pt>
                <c:pt idx="811">
                  <c:v>0.22857142857142856</c:v>
                </c:pt>
                <c:pt idx="812">
                  <c:v>0.22857142857142856</c:v>
                </c:pt>
                <c:pt idx="813">
                  <c:v>0.22857142857142856</c:v>
                </c:pt>
                <c:pt idx="814">
                  <c:v>0.22857142857142856</c:v>
                </c:pt>
                <c:pt idx="815">
                  <c:v>0.22857142857142856</c:v>
                </c:pt>
                <c:pt idx="816">
                  <c:v>0.22857142857142856</c:v>
                </c:pt>
                <c:pt idx="817">
                  <c:v>0.22857142857142856</c:v>
                </c:pt>
                <c:pt idx="818">
                  <c:v>0.22857142857142856</c:v>
                </c:pt>
                <c:pt idx="819">
                  <c:v>0.22857142857142856</c:v>
                </c:pt>
                <c:pt idx="820">
                  <c:v>0.22857142857142856</c:v>
                </c:pt>
                <c:pt idx="821">
                  <c:v>0.22857142857142856</c:v>
                </c:pt>
                <c:pt idx="822">
                  <c:v>0.22857142857142856</c:v>
                </c:pt>
                <c:pt idx="823">
                  <c:v>0.22857142857142856</c:v>
                </c:pt>
                <c:pt idx="824">
                  <c:v>0.22857142857142856</c:v>
                </c:pt>
                <c:pt idx="825">
                  <c:v>0.22857142857142856</c:v>
                </c:pt>
                <c:pt idx="826">
                  <c:v>0.22857142857142856</c:v>
                </c:pt>
                <c:pt idx="827">
                  <c:v>0.22857142857142856</c:v>
                </c:pt>
                <c:pt idx="828">
                  <c:v>0.37647058823529411</c:v>
                </c:pt>
                <c:pt idx="829">
                  <c:v>1.5058823529411764</c:v>
                </c:pt>
                <c:pt idx="830">
                  <c:v>3.0117647058823529</c:v>
                </c:pt>
                <c:pt idx="831">
                  <c:v>0.75294117647058822</c:v>
                </c:pt>
                <c:pt idx="832">
                  <c:v>0.75294117647058822</c:v>
                </c:pt>
                <c:pt idx="833">
                  <c:v>0.85333333333333339</c:v>
                </c:pt>
                <c:pt idx="834">
                  <c:v>0.42666666666666669</c:v>
                </c:pt>
                <c:pt idx="835">
                  <c:v>1.2800000000000002</c:v>
                </c:pt>
                <c:pt idx="836">
                  <c:v>1.7066666666666668</c:v>
                </c:pt>
                <c:pt idx="837">
                  <c:v>2.1333333333333333</c:v>
                </c:pt>
                <c:pt idx="838">
                  <c:v>0.8078895463510849</c:v>
                </c:pt>
                <c:pt idx="839">
                  <c:v>0.40394477317554245</c:v>
                </c:pt>
                <c:pt idx="840">
                  <c:v>0.40394477317554245</c:v>
                </c:pt>
                <c:pt idx="841">
                  <c:v>0.20197238658777122</c:v>
                </c:pt>
                <c:pt idx="842">
                  <c:v>0.10098619329388561</c:v>
                </c:pt>
                <c:pt idx="843">
                  <c:v>5.0493096646942806E-2</c:v>
                </c:pt>
                <c:pt idx="844">
                  <c:v>0.40394477317554245</c:v>
                </c:pt>
                <c:pt idx="845">
                  <c:v>0.20197238658777122</c:v>
                </c:pt>
                <c:pt idx="846">
                  <c:v>0.20197238658777122</c:v>
                </c:pt>
                <c:pt idx="847">
                  <c:v>0.10098619329388561</c:v>
                </c:pt>
                <c:pt idx="848">
                  <c:v>5.0493096646942806E-2</c:v>
                </c:pt>
                <c:pt idx="849">
                  <c:v>2.5246548323471403E-2</c:v>
                </c:pt>
                <c:pt idx="850">
                  <c:v>0.40394477317554245</c:v>
                </c:pt>
                <c:pt idx="851">
                  <c:v>0.20197238658777122</c:v>
                </c:pt>
                <c:pt idx="852">
                  <c:v>0.20197238658777122</c:v>
                </c:pt>
                <c:pt idx="853">
                  <c:v>0.10098619329388561</c:v>
                </c:pt>
                <c:pt idx="854">
                  <c:v>5.0493096646942806E-2</c:v>
                </c:pt>
                <c:pt idx="855">
                  <c:v>2.5246548323471403E-2</c:v>
                </c:pt>
                <c:pt idx="856">
                  <c:v>0.20197238658777122</c:v>
                </c:pt>
                <c:pt idx="857">
                  <c:v>0.10098619329388561</c:v>
                </c:pt>
                <c:pt idx="858">
                  <c:v>0.10098619329388561</c:v>
                </c:pt>
                <c:pt idx="859">
                  <c:v>5.0493096646942806E-2</c:v>
                </c:pt>
                <c:pt idx="860">
                  <c:v>2.5246548323471403E-2</c:v>
                </c:pt>
                <c:pt idx="861">
                  <c:v>1.2623274161735702E-2</c:v>
                </c:pt>
                <c:pt idx="862">
                  <c:v>0.8078895463510849</c:v>
                </c:pt>
                <c:pt idx="863">
                  <c:v>0.40394477317554245</c:v>
                </c:pt>
                <c:pt idx="864">
                  <c:v>0.40394477317554245</c:v>
                </c:pt>
                <c:pt idx="865">
                  <c:v>0.20197238658777122</c:v>
                </c:pt>
                <c:pt idx="866">
                  <c:v>0.10098619329388561</c:v>
                </c:pt>
                <c:pt idx="867">
                  <c:v>5.0493096646942806E-2</c:v>
                </c:pt>
                <c:pt idx="868">
                  <c:v>0.3938461538461539</c:v>
                </c:pt>
                <c:pt idx="869">
                  <c:v>0.7876923076923078</c:v>
                </c:pt>
                <c:pt idx="870">
                  <c:v>0.19692307692307695</c:v>
                </c:pt>
                <c:pt idx="871">
                  <c:v>9.8461538461538475E-2</c:v>
                </c:pt>
                <c:pt idx="872">
                  <c:v>0.19692307692307695</c:v>
                </c:pt>
                <c:pt idx="873">
                  <c:v>1.5753846153846156</c:v>
                </c:pt>
                <c:pt idx="874">
                  <c:v>3.1507692307692312</c:v>
                </c:pt>
                <c:pt idx="875">
                  <c:v>0.10158730158730159</c:v>
                </c:pt>
                <c:pt idx="876">
                  <c:v>0.40634920634920635</c:v>
                </c:pt>
                <c:pt idx="877">
                  <c:v>0.40634920634920635</c:v>
                </c:pt>
                <c:pt idx="878">
                  <c:v>0.40634920634920635</c:v>
                </c:pt>
                <c:pt idx="879">
                  <c:v>0.40634920634920635</c:v>
                </c:pt>
                <c:pt idx="880">
                  <c:v>0.20317460317460317</c:v>
                </c:pt>
                <c:pt idx="881">
                  <c:v>0.20317460317460317</c:v>
                </c:pt>
                <c:pt idx="882">
                  <c:v>0.20317460317460317</c:v>
                </c:pt>
                <c:pt idx="883">
                  <c:v>0.8126984126984127</c:v>
                </c:pt>
                <c:pt idx="884">
                  <c:v>0.8126984126984127</c:v>
                </c:pt>
                <c:pt idx="885">
                  <c:v>0.8126984126984127</c:v>
                </c:pt>
                <c:pt idx="886">
                  <c:v>0.8126984126984127</c:v>
                </c:pt>
                <c:pt idx="887">
                  <c:v>0.40634920634920635</c:v>
                </c:pt>
                <c:pt idx="888">
                  <c:v>0.40634920634920635</c:v>
                </c:pt>
                <c:pt idx="889">
                  <c:v>0.39374999999999999</c:v>
                </c:pt>
                <c:pt idx="890">
                  <c:v>0.78749999999999998</c:v>
                </c:pt>
                <c:pt idx="891">
                  <c:v>1.1812499999999999</c:v>
                </c:pt>
                <c:pt idx="892">
                  <c:v>1.575</c:v>
                </c:pt>
                <c:pt idx="893">
                  <c:v>1.1812499999999999</c:v>
                </c:pt>
                <c:pt idx="894">
                  <c:v>0.78749999999999998</c:v>
                </c:pt>
                <c:pt idx="895">
                  <c:v>0.39374999999999999</c:v>
                </c:pt>
                <c:pt idx="896">
                  <c:v>0.10655737704918034</c:v>
                </c:pt>
                <c:pt idx="897">
                  <c:v>0.21311475409836067</c:v>
                </c:pt>
                <c:pt idx="898">
                  <c:v>0.21311475409836067</c:v>
                </c:pt>
                <c:pt idx="899">
                  <c:v>0.21311475409836067</c:v>
                </c:pt>
                <c:pt idx="900">
                  <c:v>0.21311475409836067</c:v>
                </c:pt>
                <c:pt idx="901">
                  <c:v>0.42622950819672134</c:v>
                </c:pt>
                <c:pt idx="902">
                  <c:v>0.42622950819672134</c:v>
                </c:pt>
                <c:pt idx="903">
                  <c:v>0.42622950819672134</c:v>
                </c:pt>
                <c:pt idx="904">
                  <c:v>0.42622950819672134</c:v>
                </c:pt>
                <c:pt idx="905">
                  <c:v>0.42622950819672134</c:v>
                </c:pt>
                <c:pt idx="906">
                  <c:v>0.42622950819672134</c:v>
                </c:pt>
                <c:pt idx="907">
                  <c:v>0.42622950819672134</c:v>
                </c:pt>
                <c:pt idx="908">
                  <c:v>0.85245901639344268</c:v>
                </c:pt>
                <c:pt idx="909">
                  <c:v>0.85245901639344268</c:v>
                </c:pt>
                <c:pt idx="910">
                  <c:v>0.85245901639344268</c:v>
                </c:pt>
                <c:pt idx="911">
                  <c:v>1.3684210526315788</c:v>
                </c:pt>
                <c:pt idx="912">
                  <c:v>0.34210526315789469</c:v>
                </c:pt>
                <c:pt idx="913">
                  <c:v>0.68421052631578938</c:v>
                </c:pt>
                <c:pt idx="914">
                  <c:v>0.68421052631578938</c:v>
                </c:pt>
                <c:pt idx="915">
                  <c:v>0.34210526315789469</c:v>
                </c:pt>
                <c:pt idx="916">
                  <c:v>0.34210526315789469</c:v>
                </c:pt>
                <c:pt idx="917">
                  <c:v>0.34210526315789469</c:v>
                </c:pt>
                <c:pt idx="918">
                  <c:v>0.34210526315789469</c:v>
                </c:pt>
                <c:pt idx="919">
                  <c:v>0.34210526315789469</c:v>
                </c:pt>
                <c:pt idx="920">
                  <c:v>0.34210526315789469</c:v>
                </c:pt>
                <c:pt idx="921">
                  <c:v>0.34210526315789469</c:v>
                </c:pt>
                <c:pt idx="922">
                  <c:v>0.34210526315789469</c:v>
                </c:pt>
                <c:pt idx="923">
                  <c:v>0.34210526315789469</c:v>
                </c:pt>
                <c:pt idx="924">
                  <c:v>0.34210526315789469</c:v>
                </c:pt>
                <c:pt idx="925">
                  <c:v>0.82222222222222219</c:v>
                </c:pt>
                <c:pt idx="926">
                  <c:v>0.20555555555555555</c:v>
                </c:pt>
                <c:pt idx="927">
                  <c:v>0.20555555555555555</c:v>
                </c:pt>
                <c:pt idx="928">
                  <c:v>0.20555555555555555</c:v>
                </c:pt>
                <c:pt idx="929">
                  <c:v>0.20555555555555555</c:v>
                </c:pt>
                <c:pt idx="930">
                  <c:v>0.82222222222222219</c:v>
                </c:pt>
                <c:pt idx="931">
                  <c:v>0.82222222222222219</c:v>
                </c:pt>
                <c:pt idx="932">
                  <c:v>0.82222222222222219</c:v>
                </c:pt>
                <c:pt idx="933">
                  <c:v>0.82222222222222219</c:v>
                </c:pt>
                <c:pt idx="934">
                  <c:v>0.82222222222222219</c:v>
                </c:pt>
                <c:pt idx="935">
                  <c:v>0.82222222222222219</c:v>
                </c:pt>
                <c:pt idx="936">
                  <c:v>0.82222222222222219</c:v>
                </c:pt>
                <c:pt idx="937">
                  <c:v>2.6</c:v>
                </c:pt>
                <c:pt idx="938">
                  <c:v>2.6</c:v>
                </c:pt>
                <c:pt idx="939">
                  <c:v>3.15</c:v>
                </c:pt>
                <c:pt idx="940">
                  <c:v>3.15</c:v>
                </c:pt>
                <c:pt idx="941">
                  <c:v>1.1777777777777776</c:v>
                </c:pt>
                <c:pt idx="942">
                  <c:v>2.3555555555555552</c:v>
                </c:pt>
                <c:pt idx="943">
                  <c:v>0.5888888888888888</c:v>
                </c:pt>
                <c:pt idx="944">
                  <c:v>1.1777777777777776</c:v>
                </c:pt>
                <c:pt idx="945">
                  <c:v>1.2941176470588236</c:v>
                </c:pt>
                <c:pt idx="946">
                  <c:v>1.2941176470588236</c:v>
                </c:pt>
                <c:pt idx="947">
                  <c:v>0.3235294117647059</c:v>
                </c:pt>
                <c:pt idx="948">
                  <c:v>0.3235294117647059</c:v>
                </c:pt>
                <c:pt idx="949">
                  <c:v>0.3235294117647059</c:v>
                </c:pt>
                <c:pt idx="950">
                  <c:v>0.3235294117647059</c:v>
                </c:pt>
                <c:pt idx="951">
                  <c:v>0.3235294117647059</c:v>
                </c:pt>
                <c:pt idx="952">
                  <c:v>0.3235294117647059</c:v>
                </c:pt>
                <c:pt idx="953">
                  <c:v>0.3235294117647059</c:v>
                </c:pt>
                <c:pt idx="954">
                  <c:v>0.3235294117647059</c:v>
                </c:pt>
                <c:pt idx="955">
                  <c:v>0.3235294117647059</c:v>
                </c:pt>
                <c:pt idx="956">
                  <c:v>0.45714285714285713</c:v>
                </c:pt>
                <c:pt idx="957">
                  <c:v>0.91428571428571426</c:v>
                </c:pt>
                <c:pt idx="958">
                  <c:v>0.45714285714285713</c:v>
                </c:pt>
                <c:pt idx="959">
                  <c:v>0.45714285714285713</c:v>
                </c:pt>
                <c:pt idx="960">
                  <c:v>0.22857142857142856</c:v>
                </c:pt>
                <c:pt idx="961">
                  <c:v>0.45714285714285713</c:v>
                </c:pt>
                <c:pt idx="962">
                  <c:v>0.45714285714285713</c:v>
                </c:pt>
                <c:pt idx="963">
                  <c:v>0.11428571428571428</c:v>
                </c:pt>
                <c:pt idx="964">
                  <c:v>0.11428571428571428</c:v>
                </c:pt>
                <c:pt idx="965">
                  <c:v>0.11428571428571428</c:v>
                </c:pt>
                <c:pt idx="966">
                  <c:v>0.11428571428571428</c:v>
                </c:pt>
                <c:pt idx="967">
                  <c:v>0.11428571428571428</c:v>
                </c:pt>
                <c:pt idx="968">
                  <c:v>0.11428571428571428</c:v>
                </c:pt>
                <c:pt idx="969">
                  <c:v>0.11428571428571428</c:v>
                </c:pt>
                <c:pt idx="970">
                  <c:v>0.11428571428571428</c:v>
                </c:pt>
                <c:pt idx="971">
                  <c:v>0.11428571428571428</c:v>
                </c:pt>
                <c:pt idx="972">
                  <c:v>0.11428571428571428</c:v>
                </c:pt>
                <c:pt idx="973">
                  <c:v>0.11428571428571428</c:v>
                </c:pt>
                <c:pt idx="974">
                  <c:v>0.11428571428571428</c:v>
                </c:pt>
                <c:pt idx="975">
                  <c:v>0.11428571428571428</c:v>
                </c:pt>
                <c:pt idx="976">
                  <c:v>0.11428571428571428</c:v>
                </c:pt>
                <c:pt idx="977">
                  <c:v>0.22857142857142856</c:v>
                </c:pt>
                <c:pt idx="978">
                  <c:v>0.22857142857142856</c:v>
                </c:pt>
                <c:pt idx="979">
                  <c:v>0.22857142857142856</c:v>
                </c:pt>
                <c:pt idx="980">
                  <c:v>0.22857142857142856</c:v>
                </c:pt>
                <c:pt idx="981">
                  <c:v>0.11428571428571428</c:v>
                </c:pt>
                <c:pt idx="982">
                  <c:v>0.11428571428571428</c:v>
                </c:pt>
                <c:pt idx="983">
                  <c:v>0.11428571428571428</c:v>
                </c:pt>
                <c:pt idx="984">
                  <c:v>0.11428571428571428</c:v>
                </c:pt>
                <c:pt idx="985">
                  <c:v>0.67200000000000004</c:v>
                </c:pt>
                <c:pt idx="986">
                  <c:v>8.4000000000000005E-2</c:v>
                </c:pt>
                <c:pt idx="987">
                  <c:v>0.16800000000000001</c:v>
                </c:pt>
                <c:pt idx="988">
                  <c:v>0.33600000000000002</c:v>
                </c:pt>
                <c:pt idx="989">
                  <c:v>0.33600000000000002</c:v>
                </c:pt>
                <c:pt idx="990">
                  <c:v>0.16800000000000001</c:v>
                </c:pt>
                <c:pt idx="991">
                  <c:v>0.16800000000000001</c:v>
                </c:pt>
                <c:pt idx="992">
                  <c:v>8.4000000000000005E-2</c:v>
                </c:pt>
                <c:pt idx="993">
                  <c:v>0.42</c:v>
                </c:pt>
                <c:pt idx="994">
                  <c:v>8.4000000000000005E-2</c:v>
                </c:pt>
                <c:pt idx="995">
                  <c:v>0.16800000000000001</c:v>
                </c:pt>
                <c:pt idx="996">
                  <c:v>0.252</c:v>
                </c:pt>
                <c:pt idx="997">
                  <c:v>0.33600000000000002</c:v>
                </c:pt>
                <c:pt idx="998">
                  <c:v>0.42</c:v>
                </c:pt>
                <c:pt idx="999">
                  <c:v>0.67200000000000004</c:v>
                </c:pt>
                <c:pt idx="1000">
                  <c:v>0.33600000000000002</c:v>
                </c:pt>
                <c:pt idx="1001">
                  <c:v>0.33600000000000002</c:v>
                </c:pt>
                <c:pt idx="1002">
                  <c:v>0.16800000000000001</c:v>
                </c:pt>
                <c:pt idx="1003">
                  <c:v>0.33600000000000002</c:v>
                </c:pt>
                <c:pt idx="1004">
                  <c:v>0.33600000000000002</c:v>
                </c:pt>
                <c:pt idx="1005">
                  <c:v>0.16800000000000001</c:v>
                </c:pt>
                <c:pt idx="1006">
                  <c:v>0.16800000000000001</c:v>
                </c:pt>
                <c:pt idx="1007">
                  <c:v>8.4000000000000005E-2</c:v>
                </c:pt>
                <c:pt idx="1008">
                  <c:v>0.21142857142857144</c:v>
                </c:pt>
                <c:pt idx="1009">
                  <c:v>0.21142857142857144</c:v>
                </c:pt>
                <c:pt idx="1010">
                  <c:v>0.21142857142857144</c:v>
                </c:pt>
                <c:pt idx="1011">
                  <c:v>0.21142857142857144</c:v>
                </c:pt>
                <c:pt idx="1012">
                  <c:v>0.21142857142857144</c:v>
                </c:pt>
                <c:pt idx="1013">
                  <c:v>0.21142857142857144</c:v>
                </c:pt>
                <c:pt idx="1014">
                  <c:v>0.21142857142857144</c:v>
                </c:pt>
                <c:pt idx="1015">
                  <c:v>0.21142857142857144</c:v>
                </c:pt>
                <c:pt idx="1016">
                  <c:v>0.21142857142857144</c:v>
                </c:pt>
                <c:pt idx="1017">
                  <c:v>0.21142857142857144</c:v>
                </c:pt>
                <c:pt idx="1018">
                  <c:v>0.21142857142857144</c:v>
                </c:pt>
                <c:pt idx="1019">
                  <c:v>0.21142857142857144</c:v>
                </c:pt>
                <c:pt idx="1020">
                  <c:v>0.21142857142857144</c:v>
                </c:pt>
                <c:pt idx="1021">
                  <c:v>0.21142857142857144</c:v>
                </c:pt>
                <c:pt idx="1022">
                  <c:v>0.21142857142857144</c:v>
                </c:pt>
                <c:pt idx="1023">
                  <c:v>0.21142857142857144</c:v>
                </c:pt>
                <c:pt idx="1024">
                  <c:v>0.21142857142857144</c:v>
                </c:pt>
                <c:pt idx="1025">
                  <c:v>0.21142857142857144</c:v>
                </c:pt>
                <c:pt idx="1026">
                  <c:v>0.21142857142857144</c:v>
                </c:pt>
                <c:pt idx="1027">
                  <c:v>0.21142857142857144</c:v>
                </c:pt>
                <c:pt idx="1028">
                  <c:v>0.21142857142857144</c:v>
                </c:pt>
                <c:pt idx="1029">
                  <c:v>0.21142857142857144</c:v>
                </c:pt>
                <c:pt idx="1030">
                  <c:v>0.21142857142857144</c:v>
                </c:pt>
                <c:pt idx="1031">
                  <c:v>0.21142857142857144</c:v>
                </c:pt>
                <c:pt idx="1032">
                  <c:v>0.21142857142857144</c:v>
                </c:pt>
                <c:pt idx="1033">
                  <c:v>0.21142857142857144</c:v>
                </c:pt>
                <c:pt idx="1034">
                  <c:v>0.21142857142857144</c:v>
                </c:pt>
                <c:pt idx="1035">
                  <c:v>0.21142857142857144</c:v>
                </c:pt>
                <c:pt idx="1036">
                  <c:v>0.21142857142857144</c:v>
                </c:pt>
                <c:pt idx="1037">
                  <c:v>0.21142857142857144</c:v>
                </c:pt>
                <c:pt idx="1038">
                  <c:v>0.21142857142857144</c:v>
                </c:pt>
                <c:pt idx="1039">
                  <c:v>0.21142857142857144</c:v>
                </c:pt>
                <c:pt idx="1040">
                  <c:v>0.21142857142857144</c:v>
                </c:pt>
                <c:pt idx="1041">
                  <c:v>0.21142857142857144</c:v>
                </c:pt>
                <c:pt idx="1042">
                  <c:v>0.21142857142857144</c:v>
                </c:pt>
                <c:pt idx="1043">
                  <c:v>0.16153846153846152</c:v>
                </c:pt>
                <c:pt idx="1044">
                  <c:v>0.16153846153846152</c:v>
                </c:pt>
                <c:pt idx="1045">
                  <c:v>0.16153846153846152</c:v>
                </c:pt>
                <c:pt idx="1046">
                  <c:v>0.64615384615384608</c:v>
                </c:pt>
                <c:pt idx="1047">
                  <c:v>0.32307692307692304</c:v>
                </c:pt>
                <c:pt idx="1048">
                  <c:v>0.16153846153846152</c:v>
                </c:pt>
                <c:pt idx="1049">
                  <c:v>0.16153846153846152</c:v>
                </c:pt>
                <c:pt idx="1050">
                  <c:v>0.16153846153846152</c:v>
                </c:pt>
                <c:pt idx="1051">
                  <c:v>0.16153846153846152</c:v>
                </c:pt>
                <c:pt idx="1052">
                  <c:v>0.16153846153846152</c:v>
                </c:pt>
                <c:pt idx="1053">
                  <c:v>0.16153846153846152</c:v>
                </c:pt>
                <c:pt idx="1054">
                  <c:v>0.16153846153846152</c:v>
                </c:pt>
                <c:pt idx="1055">
                  <c:v>0.16153846153846152</c:v>
                </c:pt>
                <c:pt idx="1056">
                  <c:v>0.16153846153846152</c:v>
                </c:pt>
                <c:pt idx="1057">
                  <c:v>0.16153846153846152</c:v>
                </c:pt>
                <c:pt idx="1058">
                  <c:v>0.16153846153846152</c:v>
                </c:pt>
                <c:pt idx="1059">
                  <c:v>0.16153846153846152</c:v>
                </c:pt>
                <c:pt idx="1060">
                  <c:v>0.16153846153846152</c:v>
                </c:pt>
                <c:pt idx="1061">
                  <c:v>0.16153846153846152</c:v>
                </c:pt>
                <c:pt idx="1062">
                  <c:v>0.16153846153846152</c:v>
                </c:pt>
                <c:pt idx="1063">
                  <c:v>0.16153846153846152</c:v>
                </c:pt>
                <c:pt idx="1064">
                  <c:v>0.16153846153846152</c:v>
                </c:pt>
                <c:pt idx="1065">
                  <c:v>0.16153846153846152</c:v>
                </c:pt>
                <c:pt idx="1066">
                  <c:v>0.16153846153846152</c:v>
                </c:pt>
                <c:pt idx="1067">
                  <c:v>0.16153846153846152</c:v>
                </c:pt>
                <c:pt idx="1068">
                  <c:v>0.16153846153846152</c:v>
                </c:pt>
                <c:pt idx="1069">
                  <c:v>0.16153846153846152</c:v>
                </c:pt>
                <c:pt idx="1070">
                  <c:v>0.16153846153846152</c:v>
                </c:pt>
                <c:pt idx="1071">
                  <c:v>0.16153846153846152</c:v>
                </c:pt>
                <c:pt idx="1072">
                  <c:v>0.16153846153846152</c:v>
                </c:pt>
                <c:pt idx="1073">
                  <c:v>0.16153846153846152</c:v>
                </c:pt>
                <c:pt idx="1074">
                  <c:v>0.16153846153846152</c:v>
                </c:pt>
                <c:pt idx="1075">
                  <c:v>0.16153846153846152</c:v>
                </c:pt>
                <c:pt idx="1076">
                  <c:v>0.16153846153846152</c:v>
                </c:pt>
                <c:pt idx="1077">
                  <c:v>0.16153846153846152</c:v>
                </c:pt>
                <c:pt idx="1078">
                  <c:v>0.40769230769230769</c:v>
                </c:pt>
                <c:pt idx="1079">
                  <c:v>0.40769230769230769</c:v>
                </c:pt>
                <c:pt idx="1080">
                  <c:v>0.40769230769230769</c:v>
                </c:pt>
                <c:pt idx="1081">
                  <c:v>0.40769230769230769</c:v>
                </c:pt>
                <c:pt idx="1082">
                  <c:v>0.40769230769230769</c:v>
                </c:pt>
                <c:pt idx="1083">
                  <c:v>1.6307692307692307</c:v>
                </c:pt>
                <c:pt idx="1084">
                  <c:v>0.40769230769230769</c:v>
                </c:pt>
                <c:pt idx="1085">
                  <c:v>0.40769230769230769</c:v>
                </c:pt>
                <c:pt idx="1086">
                  <c:v>0.40769230769230769</c:v>
                </c:pt>
                <c:pt idx="1087">
                  <c:v>0.40769230769230769</c:v>
                </c:pt>
                <c:pt idx="1088">
                  <c:v>0.32903225806451608</c:v>
                </c:pt>
                <c:pt idx="1089">
                  <c:v>0.65806451612903216</c:v>
                </c:pt>
                <c:pt idx="1090">
                  <c:v>0.32903225806451608</c:v>
                </c:pt>
                <c:pt idx="1091">
                  <c:v>0.16451612903225804</c:v>
                </c:pt>
                <c:pt idx="1092">
                  <c:v>0.16451612903225804</c:v>
                </c:pt>
                <c:pt idx="1093">
                  <c:v>0.16451612903225804</c:v>
                </c:pt>
                <c:pt idx="1094">
                  <c:v>0.16451612903225804</c:v>
                </c:pt>
                <c:pt idx="1095">
                  <c:v>0.16451612903225804</c:v>
                </c:pt>
                <c:pt idx="1096">
                  <c:v>0.16451612903225804</c:v>
                </c:pt>
                <c:pt idx="1097">
                  <c:v>0.16451612903225804</c:v>
                </c:pt>
                <c:pt idx="1098">
                  <c:v>0.16451612903225804</c:v>
                </c:pt>
                <c:pt idx="1099">
                  <c:v>0.16451612903225804</c:v>
                </c:pt>
                <c:pt idx="1100">
                  <c:v>0.16451612903225804</c:v>
                </c:pt>
                <c:pt idx="1101">
                  <c:v>0.16451612903225804</c:v>
                </c:pt>
                <c:pt idx="1102">
                  <c:v>0.16451612903225804</c:v>
                </c:pt>
                <c:pt idx="1103">
                  <c:v>0.16451612903225804</c:v>
                </c:pt>
                <c:pt idx="1104">
                  <c:v>0.16451612903225804</c:v>
                </c:pt>
                <c:pt idx="1105">
                  <c:v>0.16451612903225804</c:v>
                </c:pt>
                <c:pt idx="1106">
                  <c:v>0.16451612903225804</c:v>
                </c:pt>
                <c:pt idx="1107">
                  <c:v>0.16451612903225804</c:v>
                </c:pt>
                <c:pt idx="1108">
                  <c:v>0.16451612903225804</c:v>
                </c:pt>
                <c:pt idx="1109">
                  <c:v>0.16451612903225804</c:v>
                </c:pt>
                <c:pt idx="1110">
                  <c:v>0.16451612903225804</c:v>
                </c:pt>
                <c:pt idx="1111">
                  <c:v>0.16451612903225804</c:v>
                </c:pt>
                <c:pt idx="1112">
                  <c:v>0.16451612903225804</c:v>
                </c:pt>
                <c:pt idx="1113">
                  <c:v>0.16451612903225804</c:v>
                </c:pt>
                <c:pt idx="1114">
                  <c:v>0.33684210526315789</c:v>
                </c:pt>
                <c:pt idx="1115">
                  <c:v>0.67368421052631577</c:v>
                </c:pt>
                <c:pt idx="1116">
                  <c:v>0.67368421052631577</c:v>
                </c:pt>
                <c:pt idx="1117">
                  <c:v>0.67368421052631577</c:v>
                </c:pt>
                <c:pt idx="1118">
                  <c:v>0.67368421052631577</c:v>
                </c:pt>
                <c:pt idx="1119">
                  <c:v>0.67368421052631577</c:v>
                </c:pt>
                <c:pt idx="1120">
                  <c:v>1.3473684210526315</c:v>
                </c:pt>
                <c:pt idx="1121">
                  <c:v>1.3473684210526315</c:v>
                </c:pt>
                <c:pt idx="1122">
                  <c:v>8.461538461538462E-2</c:v>
                </c:pt>
                <c:pt idx="1123">
                  <c:v>8.461538461538462E-2</c:v>
                </c:pt>
                <c:pt idx="1124">
                  <c:v>0.25384615384615383</c:v>
                </c:pt>
                <c:pt idx="1125">
                  <c:v>0.33846153846153848</c:v>
                </c:pt>
                <c:pt idx="1126">
                  <c:v>0.42307692307692313</c:v>
                </c:pt>
                <c:pt idx="1127">
                  <c:v>0.50769230769230766</c:v>
                </c:pt>
                <c:pt idx="1128">
                  <c:v>0.42307692307692313</c:v>
                </c:pt>
                <c:pt idx="1129">
                  <c:v>8.461538461538462E-2</c:v>
                </c:pt>
                <c:pt idx="1130">
                  <c:v>0.25384615384615383</c:v>
                </c:pt>
                <c:pt idx="1131">
                  <c:v>0.50769230769230766</c:v>
                </c:pt>
                <c:pt idx="1132">
                  <c:v>0.25384615384615383</c:v>
                </c:pt>
                <c:pt idx="1133">
                  <c:v>0.16923076923076924</c:v>
                </c:pt>
                <c:pt idx="1134">
                  <c:v>8.461538461538462E-2</c:v>
                </c:pt>
                <c:pt idx="1135">
                  <c:v>8.461538461538462E-2</c:v>
                </c:pt>
                <c:pt idx="1136">
                  <c:v>0.25384615384615383</c:v>
                </c:pt>
                <c:pt idx="1137">
                  <c:v>0.33846153846153848</c:v>
                </c:pt>
                <c:pt idx="1138">
                  <c:v>0.42307692307692313</c:v>
                </c:pt>
                <c:pt idx="1139">
                  <c:v>0.50769230769230766</c:v>
                </c:pt>
                <c:pt idx="1140">
                  <c:v>0.42307692307692313</c:v>
                </c:pt>
                <c:pt idx="1141">
                  <c:v>1.9636363636363638</c:v>
                </c:pt>
                <c:pt idx="1142">
                  <c:v>0.49090909090909096</c:v>
                </c:pt>
                <c:pt idx="1143">
                  <c:v>0.49090909090909096</c:v>
                </c:pt>
                <c:pt idx="1144">
                  <c:v>0.49090909090909096</c:v>
                </c:pt>
                <c:pt idx="1145">
                  <c:v>0.49090909090909096</c:v>
                </c:pt>
                <c:pt idx="1146">
                  <c:v>0.49090909090909096</c:v>
                </c:pt>
                <c:pt idx="1147">
                  <c:v>0.49090909090909096</c:v>
                </c:pt>
                <c:pt idx="1148">
                  <c:v>0.49090909090909096</c:v>
                </c:pt>
                <c:pt idx="1149">
                  <c:v>2.0915032679738564E-2</c:v>
                </c:pt>
                <c:pt idx="1150">
                  <c:v>2.7189542483660137E-2</c:v>
                </c:pt>
                <c:pt idx="1151">
                  <c:v>3.3464052287581703E-2</c:v>
                </c:pt>
                <c:pt idx="1152">
                  <c:v>3.9738562091503275E-2</c:v>
                </c:pt>
                <c:pt idx="1153">
                  <c:v>4.6013071895424841E-2</c:v>
                </c:pt>
                <c:pt idx="1154">
                  <c:v>5.2287581699346414E-2</c:v>
                </c:pt>
                <c:pt idx="1155">
                  <c:v>5.8562091503267966E-2</c:v>
                </c:pt>
                <c:pt idx="1156">
                  <c:v>6.4836601307189531E-2</c:v>
                </c:pt>
                <c:pt idx="1157">
                  <c:v>7.1111111111111111E-2</c:v>
                </c:pt>
                <c:pt idx="1158">
                  <c:v>7.7385620915032663E-2</c:v>
                </c:pt>
                <c:pt idx="1159">
                  <c:v>8.3660130718954256E-2</c:v>
                </c:pt>
                <c:pt idx="1160">
                  <c:v>7.7385620915032691E-2</c:v>
                </c:pt>
                <c:pt idx="1161">
                  <c:v>7.1111111111111111E-2</c:v>
                </c:pt>
                <c:pt idx="1162">
                  <c:v>6.4836601307189559E-2</c:v>
                </c:pt>
                <c:pt idx="1163">
                  <c:v>5.8562091503267993E-2</c:v>
                </c:pt>
                <c:pt idx="1164">
                  <c:v>5.2287581699346421E-2</c:v>
                </c:pt>
                <c:pt idx="1165">
                  <c:v>4.6013071895424862E-2</c:v>
                </c:pt>
                <c:pt idx="1166">
                  <c:v>3.9738562091503289E-2</c:v>
                </c:pt>
                <c:pt idx="1167">
                  <c:v>3.3464052287581723E-2</c:v>
                </c:pt>
                <c:pt idx="1168">
                  <c:v>2.7189542483660151E-2</c:v>
                </c:pt>
                <c:pt idx="1169">
                  <c:v>2.0915032679738564E-2</c:v>
                </c:pt>
                <c:pt idx="1170">
                  <c:v>8.3660130718954256E-2</c:v>
                </c:pt>
                <c:pt idx="1171">
                  <c:v>0.10875816993464055</c:v>
                </c:pt>
                <c:pt idx="1172">
                  <c:v>0.13385620915032681</c:v>
                </c:pt>
                <c:pt idx="1173">
                  <c:v>0.1589542483660131</c:v>
                </c:pt>
                <c:pt idx="1174">
                  <c:v>0.18405228758169936</c:v>
                </c:pt>
                <c:pt idx="1175">
                  <c:v>0.20915032679738566</c:v>
                </c:pt>
                <c:pt idx="1176">
                  <c:v>0.23424836601307186</c:v>
                </c:pt>
                <c:pt idx="1177">
                  <c:v>0.25934640522875813</c:v>
                </c:pt>
                <c:pt idx="1178">
                  <c:v>0.28444444444444444</c:v>
                </c:pt>
                <c:pt idx="1179">
                  <c:v>0.30954248366013065</c:v>
                </c:pt>
                <c:pt idx="1180">
                  <c:v>0.33464052287581703</c:v>
                </c:pt>
                <c:pt idx="1181">
                  <c:v>0.30954248366013076</c:v>
                </c:pt>
                <c:pt idx="1182">
                  <c:v>0.28444444444444444</c:v>
                </c:pt>
                <c:pt idx="1183">
                  <c:v>0.25934640522875824</c:v>
                </c:pt>
                <c:pt idx="1184">
                  <c:v>0.23424836601307197</c:v>
                </c:pt>
                <c:pt idx="1185">
                  <c:v>0.20915032679738568</c:v>
                </c:pt>
                <c:pt idx="1186">
                  <c:v>0.18405228758169945</c:v>
                </c:pt>
                <c:pt idx="1187">
                  <c:v>0.15895424836601316</c:v>
                </c:pt>
                <c:pt idx="1188">
                  <c:v>0.13385620915032689</c:v>
                </c:pt>
                <c:pt idx="1189">
                  <c:v>0.1087581699346406</c:v>
                </c:pt>
                <c:pt idx="1190">
                  <c:v>8.3660130718954256E-2</c:v>
                </c:pt>
                <c:pt idx="1191">
                  <c:v>2.0915032679738564E-2</c:v>
                </c:pt>
                <c:pt idx="1192">
                  <c:v>2.7189542483660137E-2</c:v>
                </c:pt>
                <c:pt idx="1193">
                  <c:v>3.3464052287581703E-2</c:v>
                </c:pt>
                <c:pt idx="1194">
                  <c:v>3.9738562091503275E-2</c:v>
                </c:pt>
                <c:pt idx="1195">
                  <c:v>4.6013071895424841E-2</c:v>
                </c:pt>
                <c:pt idx="1196">
                  <c:v>5.2287581699346414E-2</c:v>
                </c:pt>
                <c:pt idx="1197">
                  <c:v>5.8562091503267966E-2</c:v>
                </c:pt>
                <c:pt idx="1198">
                  <c:v>6.4836601307189531E-2</c:v>
                </c:pt>
                <c:pt idx="1199">
                  <c:v>7.1111111111111111E-2</c:v>
                </c:pt>
                <c:pt idx="1200">
                  <c:v>7.7385620915032663E-2</c:v>
                </c:pt>
                <c:pt idx="1201">
                  <c:v>8.3660130718954256E-2</c:v>
                </c:pt>
                <c:pt idx="1202">
                  <c:v>7.7385620915032691E-2</c:v>
                </c:pt>
                <c:pt idx="1203">
                  <c:v>7.1111111111111111E-2</c:v>
                </c:pt>
                <c:pt idx="1204">
                  <c:v>6.4836601307189559E-2</c:v>
                </c:pt>
                <c:pt idx="1205">
                  <c:v>5.8562091503267993E-2</c:v>
                </c:pt>
                <c:pt idx="1206">
                  <c:v>5.2287581699346421E-2</c:v>
                </c:pt>
                <c:pt idx="1207">
                  <c:v>4.6013071895424862E-2</c:v>
                </c:pt>
                <c:pt idx="1208">
                  <c:v>3.9738562091503289E-2</c:v>
                </c:pt>
                <c:pt idx="1209">
                  <c:v>3.3464052287581723E-2</c:v>
                </c:pt>
                <c:pt idx="1210">
                  <c:v>2.7189542483660151E-2</c:v>
                </c:pt>
                <c:pt idx="1211">
                  <c:v>2.0915032679738564E-2</c:v>
                </c:pt>
                <c:pt idx="1212">
                  <c:v>3.4</c:v>
                </c:pt>
              </c:numCache>
            </c:numRef>
          </c:xVal>
          <c:yVal>
            <c:numRef>
              <c:f>Data!$O$4:$O$1216</c:f>
              <c:numCache>
                <c:formatCode>0.0</c:formatCode>
                <c:ptCount val="1213"/>
                <c:pt idx="0">
                  <c:v>1065.5367929456841</c:v>
                </c:pt>
                <c:pt idx="1">
                  <c:v>152.21954184938343</c:v>
                </c:pt>
                <c:pt idx="2">
                  <c:v>282.92625291050393</c:v>
                </c:pt>
                <c:pt idx="3">
                  <c:v>574.03560359749611</c:v>
                </c:pt>
                <c:pt idx="4">
                  <c:v>287.01780179874805</c:v>
                </c:pt>
                <c:pt idx="5">
                  <c:v>71.73268689177084</c:v>
                </c:pt>
                <c:pt idx="6">
                  <c:v>127.53444938888869</c:v>
                </c:pt>
                <c:pt idx="7">
                  <c:v>63.81075181027672</c:v>
                </c:pt>
                <c:pt idx="8">
                  <c:v>15.93092439465299</c:v>
                </c:pt>
                <c:pt idx="9">
                  <c:v>21.241232526203987</c:v>
                </c:pt>
                <c:pt idx="10">
                  <c:v>10.620616263101994</c:v>
                </c:pt>
                <c:pt idx="11">
                  <c:v>2.6986811816078835</c:v>
                </c:pt>
                <c:pt idx="12">
                  <c:v>44.129645206691066</c:v>
                </c:pt>
                <c:pt idx="13">
                  <c:v>154.08599004664367</c:v>
                </c:pt>
                <c:pt idx="14">
                  <c:v>157.70476717600803</c:v>
                </c:pt>
                <c:pt idx="15">
                  <c:v>3754.1645428224019</c:v>
                </c:pt>
                <c:pt idx="16">
                  <c:v>4.4587055194554539</c:v>
                </c:pt>
                <c:pt idx="17">
                  <c:v>7.1821310529606759</c:v>
                </c:pt>
                <c:pt idx="18">
                  <c:v>21.160775384226422</c:v>
                </c:pt>
                <c:pt idx="19">
                  <c:v>40.176551896931038</c:v>
                </c:pt>
                <c:pt idx="20">
                  <c:v>1.5851284473467744E-2</c:v>
                </c:pt>
                <c:pt idx="21">
                  <c:v>9.5107706840806452E-2</c:v>
                </c:pt>
                <c:pt idx="22">
                  <c:v>2.3776926710201613E-2</c:v>
                </c:pt>
                <c:pt idx="23">
                  <c:v>0.14266156026120969</c:v>
                </c:pt>
                <c:pt idx="24">
                  <c:v>4.7553853420403226E-2</c:v>
                </c:pt>
                <c:pt idx="25">
                  <c:v>0.28532312052241937</c:v>
                </c:pt>
                <c:pt idx="26">
                  <c:v>8.7182064604072587E-2</c:v>
                </c:pt>
                <c:pt idx="27">
                  <c:v>0.52309238762443544</c:v>
                </c:pt>
                <c:pt idx="28">
                  <c:v>0.21399234039181453</c:v>
                </c:pt>
                <c:pt idx="29">
                  <c:v>1.2839540423508873</c:v>
                </c:pt>
                <c:pt idx="30">
                  <c:v>3.1702568946935489E-2</c:v>
                </c:pt>
                <c:pt idx="31">
                  <c:v>0.1902154136816129</c:v>
                </c:pt>
                <c:pt idx="32">
                  <c:v>4.7553853420403226E-2</c:v>
                </c:pt>
                <c:pt idx="33">
                  <c:v>0.28532312052241937</c:v>
                </c:pt>
                <c:pt idx="34">
                  <c:v>8.7182064604072587E-2</c:v>
                </c:pt>
                <c:pt idx="35">
                  <c:v>0.52309238762443544</c:v>
                </c:pt>
                <c:pt idx="36">
                  <c:v>0.16643848697141131</c:v>
                </c:pt>
                <c:pt idx="37">
                  <c:v>0.9986309218284678</c:v>
                </c:pt>
                <c:pt idx="38">
                  <c:v>0.43591032302036292</c:v>
                </c:pt>
                <c:pt idx="39">
                  <c:v>2.6154619381221775</c:v>
                </c:pt>
                <c:pt idx="40">
                  <c:v>3.9628211183669361E-2</c:v>
                </c:pt>
                <c:pt idx="41">
                  <c:v>0.23776926710201612</c:v>
                </c:pt>
                <c:pt idx="42">
                  <c:v>5.5479495657137098E-2</c:v>
                </c:pt>
                <c:pt idx="43">
                  <c:v>0.33287697394282262</c:v>
                </c:pt>
                <c:pt idx="44">
                  <c:v>0.1109589913142742</c:v>
                </c:pt>
                <c:pt idx="45">
                  <c:v>0.66575394788564524</c:v>
                </c:pt>
                <c:pt idx="46">
                  <c:v>0.20606669815508064</c:v>
                </c:pt>
                <c:pt idx="47">
                  <c:v>1.2364001889304839</c:v>
                </c:pt>
                <c:pt idx="48">
                  <c:v>0.54686931433463715</c:v>
                </c:pt>
                <c:pt idx="49">
                  <c:v>3.2812158860078227</c:v>
                </c:pt>
                <c:pt idx="50">
                  <c:v>0.16643848697141131</c:v>
                </c:pt>
                <c:pt idx="51">
                  <c:v>0.9986309218284678</c:v>
                </c:pt>
                <c:pt idx="52">
                  <c:v>0.24569490933875002</c:v>
                </c:pt>
                <c:pt idx="53">
                  <c:v>1.4741694560324998</c:v>
                </c:pt>
                <c:pt idx="54">
                  <c:v>0.49138981867750003</c:v>
                </c:pt>
                <c:pt idx="55">
                  <c:v>2.9483389120649997</c:v>
                </c:pt>
                <c:pt idx="56">
                  <c:v>0.93522578393459677</c:v>
                </c:pt>
                <c:pt idx="57">
                  <c:v>5.6113547036075806</c:v>
                </c:pt>
                <c:pt idx="58">
                  <c:v>2.4490234511507665</c:v>
                </c:pt>
                <c:pt idx="59">
                  <c:v>14.694140706904598</c:v>
                </c:pt>
                <c:pt idx="60">
                  <c:v>0.72915908577951627</c:v>
                </c:pt>
                <c:pt idx="61">
                  <c:v>4.3749545146770972</c:v>
                </c:pt>
                <c:pt idx="62">
                  <c:v>1.109589913142742</c:v>
                </c:pt>
                <c:pt idx="63">
                  <c:v>6.6575394788564513</c:v>
                </c:pt>
                <c:pt idx="64">
                  <c:v>2.1874772573385486</c:v>
                </c:pt>
                <c:pt idx="65">
                  <c:v>13.124863544031291</c:v>
                </c:pt>
                <c:pt idx="66">
                  <c:v>4.4542109370444356</c:v>
                </c:pt>
                <c:pt idx="67">
                  <c:v>25.0133268991321</c:v>
                </c:pt>
                <c:pt idx="68">
                  <c:v>10.873981148798872</c:v>
                </c:pt>
                <c:pt idx="69">
                  <c:v>65.243886892793228</c:v>
                </c:pt>
                <c:pt idx="70">
                  <c:v>72.757395733216939</c:v>
                </c:pt>
                <c:pt idx="71">
                  <c:v>436.70288724403633</c:v>
                </c:pt>
                <c:pt idx="72">
                  <c:v>109.37386286692744</c:v>
                </c:pt>
                <c:pt idx="73">
                  <c:v>656.08466435682988</c:v>
                </c:pt>
                <c:pt idx="74">
                  <c:v>218.58921288912015</c:v>
                </c:pt>
                <c:pt idx="75">
                  <c:v>1311.297508067619</c:v>
                </c:pt>
                <c:pt idx="76">
                  <c:v>416.80952522983432</c:v>
                </c:pt>
                <c:pt idx="77">
                  <c:v>2500.6193821119036</c:v>
                </c:pt>
                <c:pt idx="78">
                  <c:v>1087.5566277246219</c:v>
                </c:pt>
                <c:pt idx="79">
                  <c:v>6525.1019970806292</c:v>
                </c:pt>
                <c:pt idx="80">
                  <c:v>11.871031590650512</c:v>
                </c:pt>
                <c:pt idx="81">
                  <c:v>23.742063181301024</c:v>
                </c:pt>
                <c:pt idx="82">
                  <c:v>28.394272714827164</c:v>
                </c:pt>
                <c:pt idx="83">
                  <c:v>28.785019587049558</c:v>
                </c:pt>
                <c:pt idx="84">
                  <c:v>29.827011246309265</c:v>
                </c:pt>
                <c:pt idx="85">
                  <c:v>28.394272714827164</c:v>
                </c:pt>
                <c:pt idx="86">
                  <c:v>28.785019587049558</c:v>
                </c:pt>
                <c:pt idx="87">
                  <c:v>4.4284645518537777</c:v>
                </c:pt>
                <c:pt idx="88">
                  <c:v>7.1636926574105226</c:v>
                </c:pt>
                <c:pt idx="89">
                  <c:v>15.629874888895687</c:v>
                </c:pt>
                <c:pt idx="90">
                  <c:v>13.936638442598651</c:v>
                </c:pt>
                <c:pt idx="91">
                  <c:v>24.877550864825636</c:v>
                </c:pt>
                <c:pt idx="92">
                  <c:v>25.007799822233096</c:v>
                </c:pt>
                <c:pt idx="93">
                  <c:v>22.663318588898743</c:v>
                </c:pt>
                <c:pt idx="94">
                  <c:v>29.696762288901802</c:v>
                </c:pt>
                <c:pt idx="95">
                  <c:v>28.394272714827164</c:v>
                </c:pt>
                <c:pt idx="96">
                  <c:v>29.045517501864481</c:v>
                </c:pt>
                <c:pt idx="97">
                  <c:v>29.045517501864481</c:v>
                </c:pt>
                <c:pt idx="98">
                  <c:v>29.175766459271944</c:v>
                </c:pt>
                <c:pt idx="99">
                  <c:v>75.023399466699303</c:v>
                </c:pt>
                <c:pt idx="100">
                  <c:v>51.578587133355768</c:v>
                </c:pt>
                <c:pt idx="101">
                  <c:v>42.330911157425817</c:v>
                </c:pt>
                <c:pt idx="102">
                  <c:v>67.599208894473847</c:v>
                </c:pt>
                <c:pt idx="103">
                  <c:v>32.301741437051085</c:v>
                </c:pt>
                <c:pt idx="104">
                  <c:v>32.692488309273479</c:v>
                </c:pt>
                <c:pt idx="105">
                  <c:v>36.860454946312331</c:v>
                </c:pt>
                <c:pt idx="106">
                  <c:v>16.411368633340469</c:v>
                </c:pt>
                <c:pt idx="107">
                  <c:v>58.481781875951356</c:v>
                </c:pt>
                <c:pt idx="108">
                  <c:v>32.210731777416207</c:v>
                </c:pt>
                <c:pt idx="109">
                  <c:v>47.903139566413849</c:v>
                </c:pt>
                <c:pt idx="110">
                  <c:v>115.62826791892998</c:v>
                </c:pt>
                <c:pt idx="111">
                  <c:v>99.109943930511406</c:v>
                </c:pt>
                <c:pt idx="112">
                  <c:v>18.170156387260427</c:v>
                </c:pt>
                <c:pt idx="113">
                  <c:v>31.384815577995276</c:v>
                </c:pt>
                <c:pt idx="114">
                  <c:v>42.121726170467348</c:v>
                </c:pt>
                <c:pt idx="115">
                  <c:v>50.380888164676627</c:v>
                </c:pt>
                <c:pt idx="116">
                  <c:v>46.86605628100358</c:v>
                </c:pt>
                <c:pt idx="117">
                  <c:v>11.65148024910456</c:v>
                </c:pt>
                <c:pt idx="118">
                  <c:v>112.62493628467206</c:v>
                </c:pt>
                <c:pt idx="119">
                  <c:v>450.49974513868824</c:v>
                </c:pt>
                <c:pt idx="120">
                  <c:v>1126.2493628467205</c:v>
                </c:pt>
                <c:pt idx="121">
                  <c:v>31.947414103450058</c:v>
                </c:pt>
                <c:pt idx="122">
                  <c:v>6.7574961770803235</c:v>
                </c:pt>
                <c:pt idx="123">
                  <c:v>11.262493628467205</c:v>
                </c:pt>
                <c:pt idx="124">
                  <c:v>18.019989805547528</c:v>
                </c:pt>
                <c:pt idx="125">
                  <c:v>18.019989805547528</c:v>
                </c:pt>
                <c:pt idx="126">
                  <c:v>47.302473239562268</c:v>
                </c:pt>
                <c:pt idx="127">
                  <c:v>103.61494138189829</c:v>
                </c:pt>
                <c:pt idx="128">
                  <c:v>991.09943930511417</c:v>
                </c:pt>
                <c:pt idx="129">
                  <c:v>72.079959222190112</c:v>
                </c:pt>
                <c:pt idx="130">
                  <c:v>18.632669458936146</c:v>
                </c:pt>
                <c:pt idx="131">
                  <c:v>253.40610664051212</c:v>
                </c:pt>
                <c:pt idx="132">
                  <c:v>191.46239168394251</c:v>
                </c:pt>
                <c:pt idx="133">
                  <c:v>450.49974513868824</c:v>
                </c:pt>
                <c:pt idx="134">
                  <c:v>168.93740442700809</c:v>
                </c:pt>
                <c:pt idx="135">
                  <c:v>315.34982159708176</c:v>
                </c:pt>
                <c:pt idx="136">
                  <c:v>72.079959222190112</c:v>
                </c:pt>
                <c:pt idx="137">
                  <c:v>74.332457947883555</c:v>
                </c:pt>
                <c:pt idx="138">
                  <c:v>29.282483434014736</c:v>
                </c:pt>
                <c:pt idx="139">
                  <c:v>29.282483434014736</c:v>
                </c:pt>
                <c:pt idx="140">
                  <c:v>585.64966868029467</c:v>
                </c:pt>
                <c:pt idx="141">
                  <c:v>1328.9742481591302</c:v>
                </c:pt>
                <c:pt idx="142">
                  <c:v>518.0747069094914</c:v>
                </c:pt>
                <c:pt idx="143">
                  <c:v>923.5244775343109</c:v>
                </c:pt>
                <c:pt idx="144">
                  <c:v>213.98737894087688</c:v>
                </c:pt>
                <c:pt idx="145">
                  <c:v>220.74487511795721</c:v>
                </c:pt>
                <c:pt idx="146">
                  <c:v>87.847450302044194</c:v>
                </c:pt>
                <c:pt idx="147">
                  <c:v>87.847450302044194</c:v>
                </c:pt>
                <c:pt idx="148">
                  <c:v>111.69963093770028</c:v>
                </c:pt>
                <c:pt idx="149">
                  <c:v>38.240416922211907</c:v>
                </c:pt>
                <c:pt idx="150">
                  <c:v>1671.7122151786623</c:v>
                </c:pt>
                <c:pt idx="151">
                  <c:v>15.767491079854087</c:v>
                </c:pt>
                <c:pt idx="152">
                  <c:v>54.059969416642588</c:v>
                </c:pt>
                <c:pt idx="153">
                  <c:v>20.27248853124097</c:v>
                </c:pt>
                <c:pt idx="154">
                  <c:v>42.797475788175376</c:v>
                </c:pt>
                <c:pt idx="155">
                  <c:v>11.262493628467205</c:v>
                </c:pt>
                <c:pt idx="156">
                  <c:v>65.322463045109799</c:v>
                </c:pt>
                <c:pt idx="157">
                  <c:v>11.999665855604118</c:v>
                </c:pt>
                <c:pt idx="158">
                  <c:v>22.56479976724264</c:v>
                </c:pt>
                <c:pt idx="159">
                  <c:v>12.115979256466192</c:v>
                </c:pt>
                <c:pt idx="160">
                  <c:v>304.6569365900155</c:v>
                </c:pt>
                <c:pt idx="161">
                  <c:v>125.44697389000639</c:v>
                </c:pt>
                <c:pt idx="162">
                  <c:v>286.73594032001461</c:v>
                </c:pt>
                <c:pt idx="163">
                  <c:v>132.61537239800677</c:v>
                </c:pt>
                <c:pt idx="164">
                  <c:v>99.751715831189358</c:v>
                </c:pt>
                <c:pt idx="165">
                  <c:v>103.07677302556235</c:v>
                </c:pt>
                <c:pt idx="166">
                  <c:v>38.238157735289256</c:v>
                </c:pt>
                <c:pt idx="167">
                  <c:v>109.72688741430829</c:v>
                </c:pt>
                <c:pt idx="168">
                  <c:v>108.06435881712181</c:v>
                </c:pt>
                <c:pt idx="169">
                  <c:v>93.10160144244341</c:v>
                </c:pt>
                <c:pt idx="170">
                  <c:v>527.02156530811715</c:v>
                </c:pt>
                <c:pt idx="171">
                  <c:v>403.9944491163169</c:v>
                </c:pt>
                <c:pt idx="172">
                  <c:v>236.07906080048147</c:v>
                </c:pt>
                <c:pt idx="173">
                  <c:v>598.51029498713615</c:v>
                </c:pt>
                <c:pt idx="174">
                  <c:v>578.55995182089828</c:v>
                </c:pt>
                <c:pt idx="175">
                  <c:v>478.80823598970892</c:v>
                </c:pt>
                <c:pt idx="176">
                  <c:v>284.29239011888967</c:v>
                </c:pt>
                <c:pt idx="177">
                  <c:v>285.95491871607618</c:v>
                </c:pt>
                <c:pt idx="178">
                  <c:v>121.36458759461372</c:v>
                </c:pt>
                <c:pt idx="179">
                  <c:v>319.20549065980595</c:v>
                </c:pt>
                <c:pt idx="180">
                  <c:v>310.89284767387352</c:v>
                </c:pt>
                <c:pt idx="181">
                  <c:v>259.35446116109233</c:v>
                </c:pt>
                <c:pt idx="182">
                  <c:v>43.225743526848724</c:v>
                </c:pt>
                <c:pt idx="183">
                  <c:v>43.225743526848724</c:v>
                </c:pt>
                <c:pt idx="184">
                  <c:v>14.962757374678404</c:v>
                </c:pt>
                <c:pt idx="185">
                  <c:v>46.550800721221705</c:v>
                </c:pt>
                <c:pt idx="186">
                  <c:v>46.550800721221705</c:v>
                </c:pt>
                <c:pt idx="187">
                  <c:v>41.563214929662237</c:v>
                </c:pt>
                <c:pt idx="188">
                  <c:v>9.9751715831189358</c:v>
                </c:pt>
                <c:pt idx="189">
                  <c:v>9.9751715831189358</c:v>
                </c:pt>
                <c:pt idx="190">
                  <c:v>3.3250571943729788</c:v>
                </c:pt>
                <c:pt idx="191">
                  <c:v>9.9751715831189358</c:v>
                </c:pt>
                <c:pt idx="192">
                  <c:v>9.9751715831189358</c:v>
                </c:pt>
                <c:pt idx="193">
                  <c:v>9.9751715831189358</c:v>
                </c:pt>
                <c:pt idx="194">
                  <c:v>84.463259671901923</c:v>
                </c:pt>
                <c:pt idx="195">
                  <c:v>12.328877586942637</c:v>
                </c:pt>
                <c:pt idx="196">
                  <c:v>46.773800264702388</c:v>
                </c:pt>
                <c:pt idx="197">
                  <c:v>6.2723486945003195</c:v>
                </c:pt>
                <c:pt idx="198">
                  <c:v>82.078162916604185</c:v>
                </c:pt>
                <c:pt idx="199">
                  <c:v>9.1397080977004652</c:v>
                </c:pt>
                <c:pt idx="200">
                  <c:v>149.34372740092297</c:v>
                </c:pt>
                <c:pt idx="201">
                  <c:v>30.692281705166849</c:v>
                </c:pt>
                <c:pt idx="202">
                  <c:v>24.831443992622432</c:v>
                </c:pt>
                <c:pt idx="203">
                  <c:v>5.8608377125444244</c:v>
                </c:pt>
                <c:pt idx="204">
                  <c:v>10.179349711261368</c:v>
                </c:pt>
                <c:pt idx="205">
                  <c:v>-10.179349711261368</c:v>
                </c:pt>
                <c:pt idx="206">
                  <c:v>-0.77116285691374009</c:v>
                </c:pt>
                <c:pt idx="207">
                  <c:v>11.728549323648457</c:v>
                </c:pt>
                <c:pt idx="208">
                  <c:v>21.332065320364091</c:v>
                </c:pt>
                <c:pt idx="209">
                  <c:v>13.322324318848072</c:v>
                </c:pt>
                <c:pt idx="210">
                  <c:v>44.400936725240584</c:v>
                </c:pt>
                <c:pt idx="211">
                  <c:v>69.145315176352568</c:v>
                </c:pt>
                <c:pt idx="212">
                  <c:v>47.649785753916724</c:v>
                </c:pt>
                <c:pt idx="213">
                  <c:v>3.0240858883274764</c:v>
                </c:pt>
                <c:pt idx="214">
                  <c:v>5.884707674583197</c:v>
                </c:pt>
                <c:pt idx="215">
                  <c:v>3.6575092838555285</c:v>
                </c:pt>
                <c:pt idx="216">
                  <c:v>38.010308287591222</c:v>
                </c:pt>
                <c:pt idx="217">
                  <c:v>236.44864032835778</c:v>
                </c:pt>
                <c:pt idx="218">
                  <c:v>131.33975917773265</c:v>
                </c:pt>
                <c:pt idx="219">
                  <c:v>282.62986152170316</c:v>
                </c:pt>
                <c:pt idx="220">
                  <c:v>41.89572064909953</c:v>
                </c:pt>
                <c:pt idx="221">
                  <c:v>156.44394099524865</c:v>
                </c:pt>
                <c:pt idx="222">
                  <c:v>8.4788958456510954</c:v>
                </c:pt>
                <c:pt idx="223">
                  <c:v>74.980039733110672</c:v>
                </c:pt>
                <c:pt idx="224">
                  <c:v>125.68716194729858</c:v>
                </c:pt>
                <c:pt idx="225">
                  <c:v>278.97229860789292</c:v>
                </c:pt>
                <c:pt idx="226">
                  <c:v>40.565697771350337</c:v>
                </c:pt>
                <c:pt idx="227">
                  <c:v>155.6126766966554</c:v>
                </c:pt>
                <c:pt idx="228">
                  <c:v>8.3126429859324471</c:v>
                </c:pt>
                <c:pt idx="229">
                  <c:v>74.813786873392019</c:v>
                </c:pt>
                <c:pt idx="230">
                  <c:v>72.079959222190112</c:v>
                </c:pt>
                <c:pt idx="231">
                  <c:v>1328.9742481591302</c:v>
                </c:pt>
                <c:pt idx="232">
                  <c:v>267.47395442858601</c:v>
                </c:pt>
                <c:pt idx="233">
                  <c:v>809.27848090503903</c:v>
                </c:pt>
                <c:pt idx="234">
                  <c:v>57.548691975469445</c:v>
                </c:pt>
                <c:pt idx="235">
                  <c:v>119.8825266938954</c:v>
                </c:pt>
                <c:pt idx="236">
                  <c:v>59.9412633469477</c:v>
                </c:pt>
                <c:pt idx="237">
                  <c:v>34.632729933792007</c:v>
                </c:pt>
                <c:pt idx="238">
                  <c:v>451.55751721367267</c:v>
                </c:pt>
                <c:pt idx="239">
                  <c:v>185.15190233834957</c:v>
                </c:pt>
                <c:pt idx="240">
                  <c:v>95.906021355116323</c:v>
                </c:pt>
                <c:pt idx="241">
                  <c:v>441.41003172686584</c:v>
                </c:pt>
                <c:pt idx="242">
                  <c:v>17.656401269074635</c:v>
                </c:pt>
                <c:pt idx="243">
                  <c:v>96.426658636816384</c:v>
                </c:pt>
                <c:pt idx="244">
                  <c:v>18.287814569051381</c:v>
                </c:pt>
                <c:pt idx="245">
                  <c:v>-3.8238157735289251</c:v>
                </c:pt>
                <c:pt idx="246">
                  <c:v>29.925514749356807</c:v>
                </c:pt>
                <c:pt idx="247">
                  <c:v>89.776544248070422</c:v>
                </c:pt>
                <c:pt idx="248">
                  <c:v>18.287814569051381</c:v>
                </c:pt>
                <c:pt idx="249">
                  <c:v>-4.1563214929662236</c:v>
                </c:pt>
                <c:pt idx="250">
                  <c:v>28.262986152170317</c:v>
                </c:pt>
                <c:pt idx="251">
                  <c:v>89.776544248070422</c:v>
                </c:pt>
                <c:pt idx="252">
                  <c:v>21.612871763424362</c:v>
                </c:pt>
                <c:pt idx="253">
                  <c:v>-0.14131493076085161</c:v>
                </c:pt>
                <c:pt idx="254">
                  <c:v>33.250571943729788</c:v>
                </c:pt>
                <c:pt idx="255">
                  <c:v>89.776544248070422</c:v>
                </c:pt>
                <c:pt idx="256">
                  <c:v>16.625285971864894</c:v>
                </c:pt>
                <c:pt idx="257">
                  <c:v>-4.1563214929662236</c:v>
                </c:pt>
                <c:pt idx="258">
                  <c:v>28.262986152170317</c:v>
                </c:pt>
                <c:pt idx="259">
                  <c:v>91.439072845256916</c:v>
                </c:pt>
                <c:pt idx="260">
                  <c:v>18.287814569051381</c:v>
                </c:pt>
                <c:pt idx="261">
                  <c:v>-4.1563214929662236</c:v>
                </c:pt>
                <c:pt idx="262">
                  <c:v>29.925514749356807</c:v>
                </c:pt>
                <c:pt idx="263">
                  <c:v>96.426658636816384</c:v>
                </c:pt>
                <c:pt idx="264">
                  <c:v>19.950343166237872</c:v>
                </c:pt>
                <c:pt idx="265">
                  <c:v>-3.8238157735289251</c:v>
                </c:pt>
                <c:pt idx="266">
                  <c:v>29.925514749356807</c:v>
                </c:pt>
                <c:pt idx="267">
                  <c:v>121.36458759461372</c:v>
                </c:pt>
                <c:pt idx="268">
                  <c:v>26.60045755498383</c:v>
                </c:pt>
                <c:pt idx="269">
                  <c:v>-2.6600457554983832</c:v>
                </c:pt>
                <c:pt idx="270">
                  <c:v>39.900686332475743</c:v>
                </c:pt>
                <c:pt idx="271">
                  <c:v>156.27768813553001</c:v>
                </c:pt>
                <c:pt idx="272">
                  <c:v>34.913100540916275</c:v>
                </c:pt>
                <c:pt idx="273">
                  <c:v>-1.2302711619180022</c:v>
                </c:pt>
                <c:pt idx="274">
                  <c:v>49.875857915594679</c:v>
                </c:pt>
                <c:pt idx="275">
                  <c:v>548.63443707154147</c:v>
                </c:pt>
                <c:pt idx="276">
                  <c:v>147.96504514959756</c:v>
                </c:pt>
                <c:pt idx="277">
                  <c:v>28.262986152170317</c:v>
                </c:pt>
                <c:pt idx="278">
                  <c:v>166.25285971864895</c:v>
                </c:pt>
                <c:pt idx="279">
                  <c:v>2493.792895779734</c:v>
                </c:pt>
                <c:pt idx="280">
                  <c:v>598.51029498713615</c:v>
                </c:pt>
                <c:pt idx="281">
                  <c:v>124.6896447889867</c:v>
                </c:pt>
                <c:pt idx="282">
                  <c:v>448.88272124035211</c:v>
                </c:pt>
                <c:pt idx="283">
                  <c:v>3990.0686332475743</c:v>
                </c:pt>
                <c:pt idx="284">
                  <c:v>964.26658636816376</c:v>
                </c:pt>
                <c:pt idx="285">
                  <c:v>199.50343166237872</c:v>
                </c:pt>
                <c:pt idx="286">
                  <c:v>598.51029498713615</c:v>
                </c:pt>
                <c:pt idx="287">
                  <c:v>553</c:v>
                </c:pt>
                <c:pt idx="288">
                  <c:v>536</c:v>
                </c:pt>
                <c:pt idx="289">
                  <c:v>578</c:v>
                </c:pt>
                <c:pt idx="290">
                  <c:v>711</c:v>
                </c:pt>
                <c:pt idx="291">
                  <c:v>1021</c:v>
                </c:pt>
                <c:pt idx="292">
                  <c:v>831</c:v>
                </c:pt>
                <c:pt idx="293">
                  <c:v>1608</c:v>
                </c:pt>
                <c:pt idx="294">
                  <c:v>1879</c:v>
                </c:pt>
                <c:pt idx="295">
                  <c:v>359</c:v>
                </c:pt>
                <c:pt idx="296">
                  <c:v>341</c:v>
                </c:pt>
                <c:pt idx="297">
                  <c:v>367</c:v>
                </c:pt>
                <c:pt idx="298">
                  <c:v>423</c:v>
                </c:pt>
                <c:pt idx="299">
                  <c:v>583</c:v>
                </c:pt>
                <c:pt idx="300">
                  <c:v>722</c:v>
                </c:pt>
                <c:pt idx="301">
                  <c:v>1426</c:v>
                </c:pt>
                <c:pt idx="302">
                  <c:v>1670</c:v>
                </c:pt>
                <c:pt idx="303">
                  <c:v>108</c:v>
                </c:pt>
                <c:pt idx="304">
                  <c:v>105</c:v>
                </c:pt>
                <c:pt idx="305">
                  <c:v>112</c:v>
                </c:pt>
                <c:pt idx="306">
                  <c:v>135</c:v>
                </c:pt>
                <c:pt idx="307">
                  <c:v>187</c:v>
                </c:pt>
                <c:pt idx="308">
                  <c:v>155</c:v>
                </c:pt>
                <c:pt idx="309">
                  <c:v>258</c:v>
                </c:pt>
                <c:pt idx="310">
                  <c:v>290</c:v>
                </c:pt>
                <c:pt idx="311">
                  <c:v>85</c:v>
                </c:pt>
                <c:pt idx="312">
                  <c:v>81</c:v>
                </c:pt>
                <c:pt idx="313">
                  <c:v>87</c:v>
                </c:pt>
                <c:pt idx="314">
                  <c:v>99</c:v>
                </c:pt>
                <c:pt idx="315">
                  <c:v>131</c:v>
                </c:pt>
                <c:pt idx="316">
                  <c:v>145</c:v>
                </c:pt>
                <c:pt idx="317">
                  <c:v>236</c:v>
                </c:pt>
                <c:pt idx="318">
                  <c:v>265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11</c:v>
                </c:pt>
                <c:pt idx="323">
                  <c:v>15</c:v>
                </c:pt>
                <c:pt idx="324">
                  <c:v>12</c:v>
                </c:pt>
                <c:pt idx="325">
                  <c:v>18</c:v>
                </c:pt>
                <c:pt idx="326">
                  <c:v>19</c:v>
                </c:pt>
                <c:pt idx="327">
                  <c:v>5</c:v>
                </c:pt>
                <c:pt idx="328">
                  <c:v>4</c:v>
                </c:pt>
                <c:pt idx="329">
                  <c:v>5</c:v>
                </c:pt>
                <c:pt idx="330">
                  <c:v>6</c:v>
                </c:pt>
                <c:pt idx="331">
                  <c:v>10</c:v>
                </c:pt>
                <c:pt idx="332">
                  <c:v>9</c:v>
                </c:pt>
                <c:pt idx="333">
                  <c:v>14</c:v>
                </c:pt>
                <c:pt idx="334">
                  <c:v>15</c:v>
                </c:pt>
                <c:pt idx="335">
                  <c:v>96.426658636816384</c:v>
                </c:pt>
                <c:pt idx="336">
                  <c:v>18.287814569051381</c:v>
                </c:pt>
                <c:pt idx="337">
                  <c:v>-3.8238157735289251</c:v>
                </c:pt>
                <c:pt idx="338">
                  <c:v>29.925514749356807</c:v>
                </c:pt>
                <c:pt idx="339">
                  <c:v>10.972688741430829</c:v>
                </c:pt>
                <c:pt idx="340">
                  <c:v>146.30251655241105</c:v>
                </c:pt>
                <c:pt idx="341">
                  <c:v>3.491310054091628</c:v>
                </c:pt>
                <c:pt idx="342">
                  <c:v>146.30251655241105</c:v>
                </c:pt>
                <c:pt idx="343">
                  <c:v>3.491310054091628</c:v>
                </c:pt>
                <c:pt idx="344">
                  <c:v>307.56779047950056</c:v>
                </c:pt>
                <c:pt idx="345">
                  <c:v>48.213329318408192</c:v>
                </c:pt>
                <c:pt idx="346">
                  <c:v>-2.1612871763424364</c:v>
                </c:pt>
                <c:pt idx="347">
                  <c:v>141.31493076085158</c:v>
                </c:pt>
                <c:pt idx="348">
                  <c:v>24.93792895779734</c:v>
                </c:pt>
                <c:pt idx="349">
                  <c:v>-3.491310054091628</c:v>
                </c:pt>
                <c:pt idx="350">
                  <c:v>58.188500901527128</c:v>
                </c:pt>
                <c:pt idx="351">
                  <c:v>27.955968676034839</c:v>
                </c:pt>
                <c:pt idx="352">
                  <c:v>20.599134813920408</c:v>
                </c:pt>
                <c:pt idx="353">
                  <c:v>69.154238303875658</c:v>
                </c:pt>
                <c:pt idx="354">
                  <c:v>213.34818200131849</c:v>
                </c:pt>
                <c:pt idx="355">
                  <c:v>44.141003172686588</c:v>
                </c:pt>
                <c:pt idx="356">
                  <c:v>133.89437629048265</c:v>
                </c:pt>
                <c:pt idx="357">
                  <c:v>42.669636400263698</c:v>
                </c:pt>
                <c:pt idx="358">
                  <c:v>30.898702220880612</c:v>
                </c:pt>
                <c:pt idx="359">
                  <c:v>27.955968676034839</c:v>
                </c:pt>
                <c:pt idx="360">
                  <c:v>63.268771214184113</c:v>
                </c:pt>
                <c:pt idx="361">
                  <c:v>51.497837034801016</c:v>
                </c:pt>
                <c:pt idx="362">
                  <c:v>45.612369945109471</c:v>
                </c:pt>
                <c:pt idx="363">
                  <c:v>67.682871531452776</c:v>
                </c:pt>
                <c:pt idx="364">
                  <c:v>54.440570579646788</c:v>
                </c:pt>
                <c:pt idx="365">
                  <c:v>47.083736717532361</c:v>
                </c:pt>
                <c:pt idx="366">
                  <c:v>27.955968676034839</c:v>
                </c:pt>
                <c:pt idx="367">
                  <c:v>30.898702220880612</c:v>
                </c:pt>
                <c:pt idx="368">
                  <c:v>74.671863700461486</c:v>
                </c:pt>
                <c:pt idx="369">
                  <c:v>462.00916654078628</c:v>
                </c:pt>
                <c:pt idx="370">
                  <c:v>134.87528747209791</c:v>
                </c:pt>
                <c:pt idx="371">
                  <c:v>161.8503449665175</c:v>
                </c:pt>
                <c:pt idx="372">
                  <c:v>33.819341167042261</c:v>
                </c:pt>
                <c:pt idx="373">
                  <c:v>32.856512948763474</c:v>
                </c:pt>
                <c:pt idx="374">
                  <c:v>272.23967871832593</c:v>
                </c:pt>
                <c:pt idx="375">
                  <c:v>33.638810876114988</c:v>
                </c:pt>
                <c:pt idx="376">
                  <c:v>20.599134813920408</c:v>
                </c:pt>
                <c:pt idx="377">
                  <c:v>19.127768041497522</c:v>
                </c:pt>
                <c:pt idx="378">
                  <c:v>19.127768041497522</c:v>
                </c:pt>
                <c:pt idx="379">
                  <c:v>19.127768041497522</c:v>
                </c:pt>
                <c:pt idx="380">
                  <c:v>17.656401269074635</c:v>
                </c:pt>
                <c:pt idx="381">
                  <c:v>23.54186835876618</c:v>
                </c:pt>
                <c:pt idx="382">
                  <c:v>85.339272800527397</c:v>
                </c:pt>
                <c:pt idx="383">
                  <c:v>114.76660824898512</c:v>
                </c:pt>
                <c:pt idx="384">
                  <c:v>95.63884020748759</c:v>
                </c:pt>
                <c:pt idx="385">
                  <c:v>36.784169310572153</c:v>
                </c:pt>
                <c:pt idx="386">
                  <c:v>101.52430729717915</c:v>
                </c:pt>
                <c:pt idx="387">
                  <c:v>91.224739890218942</c:v>
                </c:pt>
                <c:pt idx="388">
                  <c:v>301.63018834669168</c:v>
                </c:pt>
                <c:pt idx="389">
                  <c:v>297.21608802942302</c:v>
                </c:pt>
                <c:pt idx="390">
                  <c:v>1199.1639195246523</c:v>
                </c:pt>
                <c:pt idx="391">
                  <c:v>60.36006194347658</c:v>
                </c:pt>
                <c:pt idx="392">
                  <c:v>88.218552071235024</c:v>
                </c:pt>
                <c:pt idx="393">
                  <c:v>213.58175764614791</c:v>
                </c:pt>
                <c:pt idx="394">
                  <c:v>29.598896876600101</c:v>
                </c:pt>
                <c:pt idx="395">
                  <c:v>2.8616272965879266</c:v>
                </c:pt>
                <c:pt idx="396">
                  <c:v>71.969926509186351</c:v>
                </c:pt>
                <c:pt idx="397">
                  <c:v>12.591160104986878</c:v>
                </c:pt>
                <c:pt idx="398">
                  <c:v>-8.4418005249343846</c:v>
                </c:pt>
                <c:pt idx="399">
                  <c:v>105.7371286089239</c:v>
                </c:pt>
                <c:pt idx="400">
                  <c:v>37.630398950131237</c:v>
                </c:pt>
                <c:pt idx="401">
                  <c:v>159.53572178477691</c:v>
                </c:pt>
                <c:pt idx="402">
                  <c:v>18.743658792650919</c:v>
                </c:pt>
                <c:pt idx="403">
                  <c:v>99.870792650918631</c:v>
                </c:pt>
                <c:pt idx="404">
                  <c:v>21.46220472440945</c:v>
                </c:pt>
                <c:pt idx="405">
                  <c:v>5.0078477690288716</c:v>
                </c:pt>
                <c:pt idx="406">
                  <c:v>31.1917375328084</c:v>
                </c:pt>
                <c:pt idx="407">
                  <c:v>-2.2893018372703415</c:v>
                </c:pt>
                <c:pt idx="408">
                  <c:v>18.171333333333333</c:v>
                </c:pt>
                <c:pt idx="409">
                  <c:v>-3.7201154855643046</c:v>
                </c:pt>
                <c:pt idx="410">
                  <c:v>-5.4370918635170602</c:v>
                </c:pt>
                <c:pt idx="411">
                  <c:v>-3.4339527559055116</c:v>
                </c:pt>
                <c:pt idx="412">
                  <c:v>-7.5833123359580048</c:v>
                </c:pt>
                <c:pt idx="413">
                  <c:v>-4.4355223097112866</c:v>
                </c:pt>
                <c:pt idx="414">
                  <c:v>105.1648031496063</c:v>
                </c:pt>
                <c:pt idx="415">
                  <c:v>37.487317585301838</c:v>
                </c:pt>
                <c:pt idx="416">
                  <c:v>184.00263517060367</c:v>
                </c:pt>
                <c:pt idx="417">
                  <c:v>17.455926509186352</c:v>
                </c:pt>
                <c:pt idx="418">
                  <c:v>92.859805774278229</c:v>
                </c:pt>
                <c:pt idx="419">
                  <c:v>24.466913385826775</c:v>
                </c:pt>
                <c:pt idx="420">
                  <c:v>4.8647664041994751</c:v>
                </c:pt>
                <c:pt idx="421">
                  <c:v>39.490456692913391</c:v>
                </c:pt>
                <c:pt idx="422">
                  <c:v>-3.2908713910761151</c:v>
                </c:pt>
                <c:pt idx="423">
                  <c:v>18.171333333333333</c:v>
                </c:pt>
                <c:pt idx="424">
                  <c:v>-4.1493595800524936</c:v>
                </c:pt>
                <c:pt idx="425">
                  <c:v>-6.4386614173228347</c:v>
                </c:pt>
                <c:pt idx="426">
                  <c:v>-2.7185459317585301</c:v>
                </c:pt>
                <c:pt idx="427">
                  <c:v>-9.4433700787401573</c:v>
                </c:pt>
                <c:pt idx="428">
                  <c:v>-4.1493595800524936</c:v>
                </c:pt>
                <c:pt idx="429">
                  <c:v>-2.6899296587926509</c:v>
                </c:pt>
                <c:pt idx="430">
                  <c:v>-0.50078477690288714</c:v>
                </c:pt>
                <c:pt idx="431">
                  <c:v>12.820090288713912</c:v>
                </c:pt>
                <c:pt idx="432">
                  <c:v>63.456585301837272</c:v>
                </c:pt>
                <c:pt idx="433">
                  <c:v>-1.0015695538057743</c:v>
                </c:pt>
                <c:pt idx="434">
                  <c:v>18.028251968503938</c:v>
                </c:pt>
                <c:pt idx="435">
                  <c:v>300.61394750656166</c:v>
                </c:pt>
                <c:pt idx="436">
                  <c:v>88.138120734908142</c:v>
                </c:pt>
                <c:pt idx="437">
                  <c:v>58.23411548556431</c:v>
                </c:pt>
                <c:pt idx="438">
                  <c:v>83.988761154855652</c:v>
                </c:pt>
                <c:pt idx="439">
                  <c:v>325.93934908136487</c:v>
                </c:pt>
                <c:pt idx="440">
                  <c:v>167.9775223097113</c:v>
                </c:pt>
                <c:pt idx="441">
                  <c:v>-0.57232545931758538</c:v>
                </c:pt>
                <c:pt idx="442">
                  <c:v>18.886740157480315</c:v>
                </c:pt>
                <c:pt idx="443">
                  <c:v>294.03220472440944</c:v>
                </c:pt>
                <c:pt idx="444">
                  <c:v>86.850388451443578</c:v>
                </c:pt>
                <c:pt idx="445">
                  <c:v>122.08009749103942</c:v>
                </c:pt>
                <c:pt idx="446">
                  <c:v>10.149150230414746</c:v>
                </c:pt>
                <c:pt idx="447">
                  <c:v>-3.3160589861751153</c:v>
                </c:pt>
                <c:pt idx="448">
                  <c:v>160.81211305683561</c:v>
                </c:pt>
                <c:pt idx="449">
                  <c:v>24.57456507936508</c:v>
                </c:pt>
                <c:pt idx="450">
                  <c:v>1.1276833589349717</c:v>
                </c:pt>
                <c:pt idx="451">
                  <c:v>20.168704714558849</c:v>
                </c:pt>
                <c:pt idx="452">
                  <c:v>40.337409429117699</c:v>
                </c:pt>
                <c:pt idx="453">
                  <c:v>80.674818858235398</c:v>
                </c:pt>
                <c:pt idx="454">
                  <c:v>137.14719205900019</c:v>
                </c:pt>
                <c:pt idx="455">
                  <c:v>225.88949280305911</c:v>
                </c:pt>
                <c:pt idx="456">
                  <c:v>22.263460367454069</c:v>
                </c:pt>
                <c:pt idx="457">
                  <c:v>39.86246824146982</c:v>
                </c:pt>
                <c:pt idx="458">
                  <c:v>145.21327716535433</c:v>
                </c:pt>
                <c:pt idx="459">
                  <c:v>260.5797816272966</c:v>
                </c:pt>
                <c:pt idx="460">
                  <c:v>0.94433700787401587</c:v>
                </c:pt>
                <c:pt idx="461">
                  <c:v>1.6597438320209974</c:v>
                </c:pt>
                <c:pt idx="462">
                  <c:v>79.939558530183731</c:v>
                </c:pt>
                <c:pt idx="463">
                  <c:v>102.67518740157482</c:v>
                </c:pt>
                <c:pt idx="464">
                  <c:v>6.6532834645669299</c:v>
                </c:pt>
                <c:pt idx="465">
                  <c:v>18.529036745406824</c:v>
                </c:pt>
                <c:pt idx="466">
                  <c:v>2.1319123359580052</c:v>
                </c:pt>
                <c:pt idx="467">
                  <c:v>10.387707086614173</c:v>
                </c:pt>
                <c:pt idx="468">
                  <c:v>22.263460367454069</c:v>
                </c:pt>
                <c:pt idx="469">
                  <c:v>27.714860367454069</c:v>
                </c:pt>
                <c:pt idx="470">
                  <c:v>22.263460367454069</c:v>
                </c:pt>
                <c:pt idx="471">
                  <c:v>64.54400367454069</c:v>
                </c:pt>
                <c:pt idx="472">
                  <c:v>32.267375320020477</c:v>
                </c:pt>
                <c:pt idx="473">
                  <c:v>33.145360819831012</c:v>
                </c:pt>
                <c:pt idx="474">
                  <c:v>42.467493550408477</c:v>
                </c:pt>
                <c:pt idx="475">
                  <c:v>33.808268036227631</c:v>
                </c:pt>
                <c:pt idx="476">
                  <c:v>35.160598757676738</c:v>
                </c:pt>
                <c:pt idx="477">
                  <c:v>48.170020298017135</c:v>
                </c:pt>
                <c:pt idx="478">
                  <c:v>44.169744513539179</c:v>
                </c:pt>
                <c:pt idx="479">
                  <c:v>66.916561170375431</c:v>
                </c:pt>
                <c:pt idx="480">
                  <c:v>115.68645621159868</c:v>
                </c:pt>
                <c:pt idx="481">
                  <c:v>59.945690888914022</c:v>
                </c:pt>
                <c:pt idx="482">
                  <c:v>277.64169343403654</c:v>
                </c:pt>
                <c:pt idx="483">
                  <c:v>124.0974235803648</c:v>
                </c:pt>
                <c:pt idx="484">
                  <c:v>58.893692546613806</c:v>
                </c:pt>
                <c:pt idx="485">
                  <c:v>29.446846273306903</c:v>
                </c:pt>
                <c:pt idx="486">
                  <c:v>500.59638664621735</c:v>
                </c:pt>
                <c:pt idx="487">
                  <c:v>253.45321256667728</c:v>
                </c:pt>
                <c:pt idx="488">
                  <c:v>120.94240433679622</c:v>
                </c:pt>
                <c:pt idx="489">
                  <c:v>65.203731033750998</c:v>
                </c:pt>
                <c:pt idx="490">
                  <c:v>933.88569609630463</c:v>
                </c:pt>
                <c:pt idx="491">
                  <c:v>432.23763636889777</c:v>
                </c:pt>
                <c:pt idx="492">
                  <c:v>210.33461623790646</c:v>
                </c:pt>
                <c:pt idx="493">
                  <c:v>80.978827251593984</c:v>
                </c:pt>
                <c:pt idx="494">
                  <c:v>938.09238842106276</c:v>
                </c:pt>
                <c:pt idx="495">
                  <c:v>467.99452112934188</c:v>
                </c:pt>
                <c:pt idx="496">
                  <c:v>227.16138553693898</c:v>
                </c:pt>
                <c:pt idx="497">
                  <c:v>100.96061579419509</c:v>
                </c:pt>
                <c:pt idx="498">
                  <c:v>6.5316313364055292</c:v>
                </c:pt>
                <c:pt idx="499">
                  <c:v>18.098759651817716</c:v>
                </c:pt>
                <c:pt idx="500">
                  <c:v>20.074996825396823</c:v>
                </c:pt>
                <c:pt idx="501">
                  <c:v>1.7653941780655935</c:v>
                </c:pt>
                <c:pt idx="502">
                  <c:v>40.219130522847735</c:v>
                </c:pt>
                <c:pt idx="503">
                  <c:v>246.88971212045143</c:v>
                </c:pt>
                <c:pt idx="504">
                  <c:v>-3.0396636599776006</c:v>
                </c:pt>
                <c:pt idx="505">
                  <c:v>2.0574142676704286</c:v>
                </c:pt>
                <c:pt idx="506">
                  <c:v>10.738375113195978</c:v>
                </c:pt>
                <c:pt idx="507">
                  <c:v>60.26232758208868</c:v>
                </c:pt>
                <c:pt idx="508">
                  <c:v>77.119850936549611</c:v>
                </c:pt>
                <c:pt idx="509">
                  <c:v>2495.4444020776809</c:v>
                </c:pt>
                <c:pt idx="510">
                  <c:v>0.93977374291010529</c:v>
                </c:pt>
                <c:pt idx="511">
                  <c:v>3.8759030074823553</c:v>
                </c:pt>
                <c:pt idx="512">
                  <c:v>15.264686502070923</c:v>
                </c:pt>
                <c:pt idx="513">
                  <c:v>85.614980815962994</c:v>
                </c:pt>
                <c:pt idx="514">
                  <c:v>70.084821505160406</c:v>
                </c:pt>
                <c:pt idx="515">
                  <c:v>2004.3197059240947</c:v>
                </c:pt>
                <c:pt idx="516">
                  <c:v>121.45380999473821</c:v>
                </c:pt>
                <c:pt idx="517">
                  <c:v>16.061104928265927</c:v>
                </c:pt>
                <c:pt idx="518">
                  <c:v>38.626293670457727</c:v>
                </c:pt>
                <c:pt idx="519">
                  <c:v>3.198947345216602</c:v>
                </c:pt>
                <c:pt idx="520">
                  <c:v>99.552303274375575</c:v>
                </c:pt>
                <c:pt idx="521">
                  <c:v>6.8359248248404567</c:v>
                </c:pt>
                <c:pt idx="522">
                  <c:v>69.022930270233729</c:v>
                </c:pt>
                <c:pt idx="523">
                  <c:v>38.936011947311336</c:v>
                </c:pt>
                <c:pt idx="524">
                  <c:v>68.138020907794825</c:v>
                </c:pt>
                <c:pt idx="525">
                  <c:v>34.069010453897413</c:v>
                </c:pt>
                <c:pt idx="526">
                  <c:v>14.60100448024175</c:v>
                </c:pt>
                <c:pt idx="527">
                  <c:v>87.606026881450504</c:v>
                </c:pt>
                <c:pt idx="528">
                  <c:v>248.21707616410978</c:v>
                </c:pt>
                <c:pt idx="529">
                  <c:v>1.4601004480241748</c:v>
                </c:pt>
                <c:pt idx="530">
                  <c:v>121.67503733534791</c:v>
                </c:pt>
                <c:pt idx="531">
                  <c:v>9.7340029868278339</c:v>
                </c:pt>
                <c:pt idx="532">
                  <c:v>14.60100448024175</c:v>
                </c:pt>
                <c:pt idx="533">
                  <c:v>38.936011947311336</c:v>
                </c:pt>
                <c:pt idx="534">
                  <c:v>58.404017920967</c:v>
                </c:pt>
                <c:pt idx="535">
                  <c:v>38.936011947311336</c:v>
                </c:pt>
                <c:pt idx="536">
                  <c:v>23.866005504976972</c:v>
                </c:pt>
                <c:pt idx="537">
                  <c:v>378.13946875738816</c:v>
                </c:pt>
                <c:pt idx="538">
                  <c:v>151.00093360657286</c:v>
                </c:pt>
                <c:pt idx="539">
                  <c:v>222.78478108761595</c:v>
                </c:pt>
                <c:pt idx="540">
                  <c:v>91.428835327186519</c:v>
                </c:pt>
                <c:pt idx="541">
                  <c:v>38.281179019106553</c:v>
                </c:pt>
                <c:pt idx="542">
                  <c:v>12.862157583049322</c:v>
                </c:pt>
                <c:pt idx="543">
                  <c:v>3.4113255922019361</c:v>
                </c:pt>
                <c:pt idx="544">
                  <c:v>-1.0486175944900893</c:v>
                </c:pt>
                <c:pt idx="545">
                  <c:v>44.884606942252525</c:v>
                </c:pt>
                <c:pt idx="546">
                  <c:v>91.51312335883901</c:v>
                </c:pt>
                <c:pt idx="547">
                  <c:v>21.033461623790647</c:v>
                </c:pt>
                <c:pt idx="548">
                  <c:v>44.170269409960355</c:v>
                </c:pt>
                <c:pt idx="549">
                  <c:v>211.38628931909599</c:v>
                </c:pt>
                <c:pt idx="550">
                  <c:v>25.240153948548773</c:v>
                </c:pt>
                <c:pt idx="551">
                  <c:v>52.583654059476615</c:v>
                </c:pt>
                <c:pt idx="552">
                  <c:v>216.64465472504367</c:v>
                </c:pt>
                <c:pt idx="553">
                  <c:v>11.568403893084856</c:v>
                </c:pt>
                <c:pt idx="554">
                  <c:v>28.395173192117372</c:v>
                </c:pt>
                <c:pt idx="555">
                  <c:v>135.66582747344967</c:v>
                </c:pt>
                <c:pt idx="556">
                  <c:v>11.568403893084856</c:v>
                </c:pt>
                <c:pt idx="557">
                  <c:v>29.446846273306903</c:v>
                </c:pt>
                <c:pt idx="558">
                  <c:v>134.61415439226013</c:v>
                </c:pt>
                <c:pt idx="559">
                  <c:v>12.620076974274387</c:v>
                </c:pt>
                <c:pt idx="560">
                  <c:v>31.550192435685968</c:v>
                </c:pt>
                <c:pt idx="561">
                  <c:v>145.13088520415545</c:v>
                </c:pt>
                <c:pt idx="562">
                  <c:v>11.568403893084856</c:v>
                </c:pt>
                <c:pt idx="563">
                  <c:v>27.343500110927838</c:v>
                </c:pt>
                <c:pt idx="564">
                  <c:v>124.0974235803648</c:v>
                </c:pt>
                <c:pt idx="565">
                  <c:v>14.723423136653452</c:v>
                </c:pt>
                <c:pt idx="566">
                  <c:v>32.601865516875499</c:v>
                </c:pt>
                <c:pt idx="567">
                  <c:v>136.7175005546392</c:v>
                </c:pt>
                <c:pt idx="568">
                  <c:v>5.2583654059476617</c:v>
                </c:pt>
                <c:pt idx="569">
                  <c:v>15.775096217842984</c:v>
                </c:pt>
                <c:pt idx="570">
                  <c:v>67.307077196130066</c:v>
                </c:pt>
                <c:pt idx="571">
                  <c:v>6.3100384871371933</c:v>
                </c:pt>
                <c:pt idx="572">
                  <c:v>18.930115461411582</c:v>
                </c:pt>
                <c:pt idx="573">
                  <c:v>75.720461845646327</c:v>
                </c:pt>
                <c:pt idx="574">
                  <c:v>7.3617115683267258</c:v>
                </c:pt>
                <c:pt idx="575">
                  <c:v>19.981788542601112</c:v>
                </c:pt>
                <c:pt idx="576">
                  <c:v>80.978827251593984</c:v>
                </c:pt>
                <c:pt idx="577">
                  <c:v>2.1033461623790646</c:v>
                </c:pt>
                <c:pt idx="578">
                  <c:v>6.3100384871371933</c:v>
                </c:pt>
                <c:pt idx="579">
                  <c:v>22.085134704980177</c:v>
                </c:pt>
                <c:pt idx="580">
                  <c:v>3.1550192435685966</c:v>
                </c:pt>
                <c:pt idx="581">
                  <c:v>8.4133846495162583</c:v>
                </c:pt>
                <c:pt idx="582">
                  <c:v>34.705211679254568</c:v>
                </c:pt>
                <c:pt idx="583">
                  <c:v>0</c:v>
                </c:pt>
                <c:pt idx="584">
                  <c:v>3.1550192435685966</c:v>
                </c:pt>
                <c:pt idx="585">
                  <c:v>7.3617115683267258</c:v>
                </c:pt>
                <c:pt idx="586">
                  <c:v>1.0516730811895323</c:v>
                </c:pt>
                <c:pt idx="587">
                  <c:v>6.3100384871371933</c:v>
                </c:pt>
                <c:pt idx="588">
                  <c:v>13.671750055463919</c:v>
                </c:pt>
                <c:pt idx="589">
                  <c:v>1.0516730811895323</c:v>
                </c:pt>
                <c:pt idx="590">
                  <c:v>6.3100384871371933</c:v>
                </c:pt>
                <c:pt idx="591">
                  <c:v>13.671750055463919</c:v>
                </c:pt>
                <c:pt idx="592">
                  <c:v>279.74503959641561</c:v>
                </c:pt>
                <c:pt idx="593">
                  <c:v>128.30411590512293</c:v>
                </c:pt>
                <c:pt idx="594">
                  <c:v>65.203731033750998</c:v>
                </c:pt>
                <c:pt idx="595">
                  <c:v>36.808557841633629</c:v>
                </c:pt>
                <c:pt idx="596">
                  <c:v>22.085134704980177</c:v>
                </c:pt>
                <c:pt idx="597">
                  <c:v>5.2583654059476617</c:v>
                </c:pt>
                <c:pt idx="598">
                  <c:v>57.842019465424279</c:v>
                </c:pt>
                <c:pt idx="599">
                  <c:v>184.04278920816816</c:v>
                </c:pt>
                <c:pt idx="600">
                  <c:v>14.723423136653452</c:v>
                </c:pt>
                <c:pt idx="601">
                  <c:v>6.3100384871371933</c:v>
                </c:pt>
                <c:pt idx="602">
                  <c:v>-1.4723423136653451</c:v>
                </c:pt>
                <c:pt idx="603">
                  <c:v>152.49259677248219</c:v>
                </c:pt>
                <c:pt idx="604">
                  <c:v>73.617115683267258</c:v>
                </c:pt>
                <c:pt idx="605">
                  <c:v>1.0516730811895323</c:v>
                </c:pt>
                <c:pt idx="606">
                  <c:v>43.399706823466232</c:v>
                </c:pt>
                <c:pt idx="607">
                  <c:v>43.896887235763693</c:v>
                </c:pt>
                <c:pt idx="608">
                  <c:v>38.324323447929608</c:v>
                </c:pt>
                <c:pt idx="609">
                  <c:v>40.395908499169046</c:v>
                </c:pt>
                <c:pt idx="610">
                  <c:v>37.288530922309889</c:v>
                </c:pt>
                <c:pt idx="611">
                  <c:v>50.75383375536623</c:v>
                </c:pt>
                <c:pt idx="612">
                  <c:v>26.930605666112697</c:v>
                </c:pt>
                <c:pt idx="613">
                  <c:v>50.75383375536623</c:v>
                </c:pt>
                <c:pt idx="614">
                  <c:v>31.07377576859157</c:v>
                </c:pt>
                <c:pt idx="615">
                  <c:v>40.395908499169046</c:v>
                </c:pt>
                <c:pt idx="616">
                  <c:v>43.503286076028203</c:v>
                </c:pt>
                <c:pt idx="617">
                  <c:v>65.254929114042298</c:v>
                </c:pt>
                <c:pt idx="618">
                  <c:v>36.25273839669017</c:v>
                </c:pt>
                <c:pt idx="619">
                  <c:v>34.181153345450724</c:v>
                </c:pt>
                <c:pt idx="620">
                  <c:v>48.682248704126799</c:v>
                </c:pt>
                <c:pt idx="621">
                  <c:v>23.823228089253536</c:v>
                </c:pt>
                <c:pt idx="622">
                  <c:v>45.574871127267635</c:v>
                </c:pt>
                <c:pt idx="623">
                  <c:v>43.503286076028203</c:v>
                </c:pt>
                <c:pt idx="624">
                  <c:v>49.718041229746518</c:v>
                </c:pt>
                <c:pt idx="625">
                  <c:v>38.324323447929608</c:v>
                </c:pt>
                <c:pt idx="626">
                  <c:v>46.610663652887361</c:v>
                </c:pt>
                <c:pt idx="627">
                  <c:v>50.75383375536623</c:v>
                </c:pt>
                <c:pt idx="628">
                  <c:v>44.539078601647923</c:v>
                </c:pt>
                <c:pt idx="629">
                  <c:v>72.505476793380339</c:v>
                </c:pt>
                <c:pt idx="630">
                  <c:v>46.610663652887361</c:v>
                </c:pt>
                <c:pt idx="631">
                  <c:v>88.042364677676119</c:v>
                </c:pt>
                <c:pt idx="632">
                  <c:v>35.21694587107045</c:v>
                </c:pt>
                <c:pt idx="633">
                  <c:v>49.718041229746518</c:v>
                </c:pt>
                <c:pt idx="634">
                  <c:v>63.183344062802867</c:v>
                </c:pt>
                <c:pt idx="635">
                  <c:v>101.50766751073246</c:v>
                </c:pt>
                <c:pt idx="636">
                  <c:v>49.718041229746518</c:v>
                </c:pt>
                <c:pt idx="637">
                  <c:v>45.574871127267635</c:v>
                </c:pt>
                <c:pt idx="638">
                  <c:v>78.720231947098654</c:v>
                </c:pt>
                <c:pt idx="639">
                  <c:v>48.682248704126799</c:v>
                </c:pt>
                <c:pt idx="640">
                  <c:v>84.934987100816954</c:v>
                </c:pt>
                <c:pt idx="641">
                  <c:v>78.720231947098654</c:v>
                </c:pt>
                <c:pt idx="642">
                  <c:v>93.221327305774722</c:v>
                </c:pt>
                <c:pt idx="643">
                  <c:v>87.006572152056407</c:v>
                </c:pt>
                <c:pt idx="644">
                  <c:v>53.861211332225395</c:v>
                </c:pt>
                <c:pt idx="645">
                  <c:v>60.075966485943709</c:v>
                </c:pt>
                <c:pt idx="646">
                  <c:v>49.718041229746518</c:v>
                </c:pt>
                <c:pt idx="647">
                  <c:v>92.185534780154995</c:v>
                </c:pt>
                <c:pt idx="648">
                  <c:v>67.32651416528175</c:v>
                </c:pt>
                <c:pt idx="649">
                  <c:v>134.6530283305635</c:v>
                </c:pt>
                <c:pt idx="650">
                  <c:v>37.288530922309889</c:v>
                </c:pt>
                <c:pt idx="651">
                  <c:v>56.968588909084552</c:v>
                </c:pt>
                <c:pt idx="652">
                  <c:v>93.221327305774722</c:v>
                </c:pt>
                <c:pt idx="653">
                  <c:v>143.97516106114097</c:v>
                </c:pt>
                <c:pt idx="654">
                  <c:v>59.040173960323983</c:v>
                </c:pt>
                <c:pt idx="655">
                  <c:v>53.861211332225395</c:v>
                </c:pt>
                <c:pt idx="656">
                  <c:v>107.72242266445079</c:v>
                </c:pt>
                <c:pt idx="657">
                  <c:v>75.612854370239489</c:v>
                </c:pt>
                <c:pt idx="658">
                  <c:v>152.26150126609872</c:v>
                </c:pt>
                <c:pt idx="659">
                  <c:v>134.6530283305635</c:v>
                </c:pt>
                <c:pt idx="660">
                  <c:v>156.4046713685776</c:v>
                </c:pt>
                <c:pt idx="661">
                  <c:v>160.54784147105644</c:v>
                </c:pt>
                <c:pt idx="662">
                  <c:v>75.612854370239489</c:v>
                </c:pt>
                <c:pt idx="663">
                  <c:v>89.078157203295845</c:v>
                </c:pt>
                <c:pt idx="664">
                  <c:v>65.254929114042298</c:v>
                </c:pt>
                <c:pt idx="665">
                  <c:v>178.15631440659169</c:v>
                </c:pt>
                <c:pt idx="666">
                  <c:v>178.15631440659169</c:v>
                </c:pt>
                <c:pt idx="667">
                  <c:v>408.10225509416932</c:v>
                </c:pt>
                <c:pt idx="668">
                  <c:v>44.539078601647923</c:v>
                </c:pt>
                <c:pt idx="669">
                  <c:v>79.756024472718366</c:v>
                </c:pt>
                <c:pt idx="670">
                  <c:v>397.74432983797215</c:v>
                </c:pt>
                <c:pt idx="671">
                  <c:v>435.03286076028201</c:v>
                </c:pt>
                <c:pt idx="672">
                  <c:v>87.006572152056407</c:v>
                </c:pt>
                <c:pt idx="673">
                  <c:v>75.612854370239489</c:v>
                </c:pt>
                <c:pt idx="674">
                  <c:v>226.83856311071847</c:v>
                </c:pt>
                <c:pt idx="675">
                  <c:v>226.83856311071847</c:v>
                </c:pt>
                <c:pt idx="676">
                  <c:v>1044.0788658246768</c:v>
                </c:pt>
                <c:pt idx="677">
                  <c:v>743.69903339495829</c:v>
                </c:pt>
                <c:pt idx="678">
                  <c:v>748.87799602305688</c:v>
                </c:pt>
                <c:pt idx="679">
                  <c:v>804.81079240652173</c:v>
                </c:pt>
                <c:pt idx="680">
                  <c:v>35.21694587107045</c:v>
                </c:pt>
                <c:pt idx="681">
                  <c:v>36.25273839669017</c:v>
                </c:pt>
                <c:pt idx="682">
                  <c:v>34.181153345450724</c:v>
                </c:pt>
                <c:pt idx="683">
                  <c:v>53.861211332225395</c:v>
                </c:pt>
                <c:pt idx="684">
                  <c:v>24.859020614873259</c:v>
                </c:pt>
                <c:pt idx="685">
                  <c:v>66.290721639662024</c:v>
                </c:pt>
                <c:pt idx="686">
                  <c:v>27.966398191732413</c:v>
                </c:pt>
                <c:pt idx="687">
                  <c:v>36.25273839669017</c:v>
                </c:pt>
                <c:pt idx="688">
                  <c:v>43.503286076028203</c:v>
                </c:pt>
                <c:pt idx="689">
                  <c:v>51.789626280985956</c:v>
                </c:pt>
                <c:pt idx="690">
                  <c:v>33.145360819831012</c:v>
                </c:pt>
                <c:pt idx="691">
                  <c:v>30.037983242971855</c:v>
                </c:pt>
                <c:pt idx="692">
                  <c:v>45.574871127267635</c:v>
                </c:pt>
                <c:pt idx="693">
                  <c:v>20.715850512394383</c:v>
                </c:pt>
                <c:pt idx="694">
                  <c:v>40.395908499169046</c:v>
                </c:pt>
                <c:pt idx="695">
                  <c:v>37.288530922309889</c:v>
                </c:pt>
                <c:pt idx="696">
                  <c:v>44.539078601647923</c:v>
                </c:pt>
                <c:pt idx="697">
                  <c:v>32.109568294211293</c:v>
                </c:pt>
                <c:pt idx="698">
                  <c:v>42.467493550408477</c:v>
                </c:pt>
                <c:pt idx="699">
                  <c:v>43.503286076028203</c:v>
                </c:pt>
                <c:pt idx="700">
                  <c:v>39.360115973549327</c:v>
                </c:pt>
                <c:pt idx="701">
                  <c:v>74.577061844619777</c:v>
                </c:pt>
                <c:pt idx="702">
                  <c:v>41.431701024788765</c:v>
                </c:pt>
                <c:pt idx="703">
                  <c:v>110.82980024130995</c:v>
                </c:pt>
                <c:pt idx="704">
                  <c:v>31.07377576859157</c:v>
                </c:pt>
                <c:pt idx="705">
                  <c:v>43.503286076028203</c:v>
                </c:pt>
                <c:pt idx="706">
                  <c:v>55.932796383464826</c:v>
                </c:pt>
                <c:pt idx="707">
                  <c:v>65.254929114042298</c:v>
                </c:pt>
                <c:pt idx="708">
                  <c:v>43.503286076028203</c:v>
                </c:pt>
                <c:pt idx="709">
                  <c:v>39.360115973549327</c:v>
                </c:pt>
                <c:pt idx="710">
                  <c:v>70.433891742140901</c:v>
                </c:pt>
                <c:pt idx="711">
                  <c:v>42.467493550408477</c:v>
                </c:pt>
                <c:pt idx="712">
                  <c:v>63.183344062802867</c:v>
                </c:pt>
                <c:pt idx="713">
                  <c:v>56.968588909084552</c:v>
                </c:pt>
                <c:pt idx="714">
                  <c:v>71.469684267760613</c:v>
                </c:pt>
                <c:pt idx="715">
                  <c:v>64.219136588422586</c:v>
                </c:pt>
                <c:pt idx="716">
                  <c:v>47.646456178507073</c:v>
                </c:pt>
                <c:pt idx="717">
                  <c:v>48.682248704126799</c:v>
                </c:pt>
                <c:pt idx="718">
                  <c:v>43.503286076028203</c:v>
                </c:pt>
                <c:pt idx="719">
                  <c:v>92.185534780154995</c:v>
                </c:pt>
                <c:pt idx="720">
                  <c:v>60.075966485943709</c:v>
                </c:pt>
                <c:pt idx="721">
                  <c:v>155.36887884295788</c:v>
                </c:pt>
                <c:pt idx="722">
                  <c:v>33.145360819831012</c:v>
                </c:pt>
                <c:pt idx="723">
                  <c:v>48.682248704126799</c:v>
                </c:pt>
                <c:pt idx="724">
                  <c:v>66.290721639662024</c:v>
                </c:pt>
                <c:pt idx="725">
                  <c:v>75.612854370239489</c:v>
                </c:pt>
                <c:pt idx="726">
                  <c:v>50.75383375536623</c:v>
                </c:pt>
                <c:pt idx="727">
                  <c:v>46.610663652887361</c:v>
                </c:pt>
                <c:pt idx="728">
                  <c:v>92.185534780154995</c:v>
                </c:pt>
                <c:pt idx="729">
                  <c:v>63.183344062802867</c:v>
                </c:pt>
                <c:pt idx="730">
                  <c:v>93.221327305774722</c:v>
                </c:pt>
                <c:pt idx="731">
                  <c:v>87.006572152056407</c:v>
                </c:pt>
                <c:pt idx="732">
                  <c:v>107.72242266445079</c:v>
                </c:pt>
                <c:pt idx="733">
                  <c:v>107.72242266445079</c:v>
                </c:pt>
                <c:pt idx="734">
                  <c:v>62.147551537183141</c:v>
                </c:pt>
                <c:pt idx="735">
                  <c:v>64.219136588422586</c:v>
                </c:pt>
                <c:pt idx="736">
                  <c:v>54.897003857845114</c:v>
                </c:pt>
                <c:pt idx="737">
                  <c:v>148.11833116361981</c:v>
                </c:pt>
                <c:pt idx="738">
                  <c:v>148.11833116361981</c:v>
                </c:pt>
                <c:pt idx="739">
                  <c:v>327.31043809583122</c:v>
                </c:pt>
                <c:pt idx="740">
                  <c:v>38.324323447929608</c:v>
                </c:pt>
                <c:pt idx="741">
                  <c:v>65.254929114042298</c:v>
                </c:pt>
                <c:pt idx="742">
                  <c:v>100.47187498511275</c:v>
                </c:pt>
                <c:pt idx="743">
                  <c:v>108.7582151900705</c:v>
                </c:pt>
                <c:pt idx="744">
                  <c:v>70.433891742140901</c:v>
                </c:pt>
                <c:pt idx="745">
                  <c:v>62.147551537183141</c:v>
                </c:pt>
                <c:pt idx="746">
                  <c:v>168.8341816760142</c:v>
                </c:pt>
                <c:pt idx="747">
                  <c:v>168.8341816760142</c:v>
                </c:pt>
                <c:pt idx="748">
                  <c:v>449.53395611895809</c:v>
                </c:pt>
                <c:pt idx="749">
                  <c:v>713.6610501519865</c:v>
                </c:pt>
                <c:pt idx="750">
                  <c:v>524.11101796357786</c:v>
                </c:pt>
                <c:pt idx="751">
                  <c:v>575.90064424456386</c:v>
                </c:pt>
                <c:pt idx="752">
                  <c:v>423.89276597568244</c:v>
                </c:pt>
                <c:pt idx="753">
                  <c:v>544.41129747857258</c:v>
                </c:pt>
                <c:pt idx="754">
                  <c:v>606.7484689455847</c:v>
                </c:pt>
                <c:pt idx="755">
                  <c:v>781.29254905321864</c:v>
                </c:pt>
                <c:pt idx="756">
                  <c:v>315.8416687661948</c:v>
                </c:pt>
                <c:pt idx="757">
                  <c:v>411.42533168228005</c:v>
                </c:pt>
                <c:pt idx="758">
                  <c:v>390.64627452660932</c:v>
                </c:pt>
                <c:pt idx="759">
                  <c:v>473.76250314929217</c:v>
                </c:pt>
                <c:pt idx="760">
                  <c:v>561.03454320310914</c:v>
                </c:pt>
                <c:pt idx="761">
                  <c:v>610.90428037671882</c:v>
                </c:pt>
                <c:pt idx="762">
                  <c:v>905.96689198724289</c:v>
                </c:pt>
                <c:pt idx="763">
                  <c:v>438.04729817374971</c:v>
                </c:pt>
                <c:pt idx="764">
                  <c:v>564.9581976446492</c:v>
                </c:pt>
                <c:pt idx="765">
                  <c:v>433.95339819081755</c:v>
                </c:pt>
                <c:pt idx="766">
                  <c:v>418.57508534564306</c:v>
                </c:pt>
                <c:pt idx="767">
                  <c:v>170.53059032600274</c:v>
                </c:pt>
                <c:pt idx="768">
                  <c:v>180.58467908902691</c:v>
                </c:pt>
                <c:pt idx="769">
                  <c:v>67.719254658385097</c:v>
                </c:pt>
                <c:pt idx="770">
                  <c:v>69.596299709848097</c:v>
                </c:pt>
                <c:pt idx="771">
                  <c:v>298.85469875405357</c:v>
                </c:pt>
                <c:pt idx="772">
                  <c:v>229.25839904420548</c:v>
                </c:pt>
                <c:pt idx="773">
                  <c:v>290.66689878818909</c:v>
                </c:pt>
                <c:pt idx="774">
                  <c:v>433.95339819081755</c:v>
                </c:pt>
                <c:pt idx="775">
                  <c:v>496.48724688996595</c:v>
                </c:pt>
                <c:pt idx="776">
                  <c:v>193.19783655447154</c:v>
                </c:pt>
                <c:pt idx="777">
                  <c:v>82.389486189873224</c:v>
                </c:pt>
                <c:pt idx="778">
                  <c:v>136.93087474379445</c:v>
                </c:pt>
                <c:pt idx="779">
                  <c:v>59.890665649864339</c:v>
                </c:pt>
                <c:pt idx="780">
                  <c:v>26.89239552451799</c:v>
                </c:pt>
                <c:pt idx="781">
                  <c:v>13.300187717456575</c:v>
                </c:pt>
                <c:pt idx="782">
                  <c:v>5.1368988489577792</c:v>
                </c:pt>
                <c:pt idx="783">
                  <c:v>0.942428470997422</c:v>
                </c:pt>
                <c:pt idx="784">
                  <c:v>68.226511844038725</c:v>
                </c:pt>
                <c:pt idx="785">
                  <c:v>436.60985488053808</c:v>
                </c:pt>
                <c:pt idx="786">
                  <c:v>11.707629727900636</c:v>
                </c:pt>
                <c:pt idx="787">
                  <c:v>37.074160805018685</c:v>
                </c:pt>
                <c:pt idx="788">
                  <c:v>56.586877018186414</c:v>
                </c:pt>
                <c:pt idx="789">
                  <c:v>38.56134631028285</c:v>
                </c:pt>
                <c:pt idx="790">
                  <c:v>123.39630819290511</c:v>
                </c:pt>
                <c:pt idx="791">
                  <c:v>258.36102027889507</c:v>
                </c:pt>
                <c:pt idx="792">
                  <c:v>73.706513674350319</c:v>
                </c:pt>
                <c:pt idx="793">
                  <c:v>68.441762697611011</c:v>
                </c:pt>
                <c:pt idx="794">
                  <c:v>68.441762697611011</c:v>
                </c:pt>
                <c:pt idx="795">
                  <c:v>73.706513674350319</c:v>
                </c:pt>
                <c:pt idx="796">
                  <c:v>73.706513674350319</c:v>
                </c:pt>
                <c:pt idx="797">
                  <c:v>31.588505860435856</c:v>
                </c:pt>
                <c:pt idx="798">
                  <c:v>42.118007813914467</c:v>
                </c:pt>
                <c:pt idx="799">
                  <c:v>47.382758790653781</c:v>
                </c:pt>
                <c:pt idx="800">
                  <c:v>25</c:v>
                </c:pt>
                <c:pt idx="801">
                  <c:v>95</c:v>
                </c:pt>
                <c:pt idx="802">
                  <c:v>29.3</c:v>
                </c:pt>
                <c:pt idx="803">
                  <c:v>215.9</c:v>
                </c:pt>
                <c:pt idx="804">
                  <c:v>27.6</c:v>
                </c:pt>
                <c:pt idx="805">
                  <c:v>27.7</c:v>
                </c:pt>
                <c:pt idx="806">
                  <c:v>27.8</c:v>
                </c:pt>
                <c:pt idx="807">
                  <c:v>27.9</c:v>
                </c:pt>
                <c:pt idx="808">
                  <c:v>27.9</c:v>
                </c:pt>
                <c:pt idx="809">
                  <c:v>198.6</c:v>
                </c:pt>
                <c:pt idx="810">
                  <c:v>184.8</c:v>
                </c:pt>
                <c:pt idx="811">
                  <c:v>209.2</c:v>
                </c:pt>
                <c:pt idx="812">
                  <c:v>213.4</c:v>
                </c:pt>
                <c:pt idx="813">
                  <c:v>215.5</c:v>
                </c:pt>
                <c:pt idx="814">
                  <c:v>25</c:v>
                </c:pt>
                <c:pt idx="815">
                  <c:v>95</c:v>
                </c:pt>
                <c:pt idx="816">
                  <c:v>29.3</c:v>
                </c:pt>
                <c:pt idx="817">
                  <c:v>215.9</c:v>
                </c:pt>
                <c:pt idx="818">
                  <c:v>27.6</c:v>
                </c:pt>
                <c:pt idx="819">
                  <c:v>28.1</c:v>
                </c:pt>
                <c:pt idx="820">
                  <c:v>27.4</c:v>
                </c:pt>
                <c:pt idx="821">
                  <c:v>27.4</c:v>
                </c:pt>
                <c:pt idx="822">
                  <c:v>27.4</c:v>
                </c:pt>
                <c:pt idx="823">
                  <c:v>198.6</c:v>
                </c:pt>
                <c:pt idx="824">
                  <c:v>191.9</c:v>
                </c:pt>
                <c:pt idx="825">
                  <c:v>200.4</c:v>
                </c:pt>
                <c:pt idx="826">
                  <c:v>202.8</c:v>
                </c:pt>
                <c:pt idx="827">
                  <c:v>204.3</c:v>
                </c:pt>
                <c:pt idx="828">
                  <c:v>40.938999829322405</c:v>
                </c:pt>
                <c:pt idx="829">
                  <c:v>105213.22956135857</c:v>
                </c:pt>
                <c:pt idx="830">
                  <c:v>18.422549923195081</c:v>
                </c:pt>
                <c:pt idx="831">
                  <c:v>6918.6909711554872</c:v>
                </c:pt>
                <c:pt idx="832">
                  <c:v>180.13159924901859</c:v>
                </c:pt>
                <c:pt idx="833">
                  <c:v>423.89276597568244</c:v>
                </c:pt>
                <c:pt idx="834">
                  <c:v>369.86721737093859</c:v>
                </c:pt>
                <c:pt idx="835">
                  <c:v>619.21590323898704</c:v>
                </c:pt>
                <c:pt idx="836">
                  <c:v>669.08564041259683</c:v>
                </c:pt>
                <c:pt idx="837">
                  <c:v>947.52500629858434</c:v>
                </c:pt>
                <c:pt idx="838">
                  <c:v>131.1085774549617</c:v>
                </c:pt>
                <c:pt idx="839">
                  <c:v>196.66286618244254</c:v>
                </c:pt>
                <c:pt idx="840">
                  <c:v>424.17480941311135</c:v>
                </c:pt>
                <c:pt idx="841">
                  <c:v>616.98154096452561</c:v>
                </c:pt>
                <c:pt idx="842">
                  <c:v>964.03365775707118</c:v>
                </c:pt>
                <c:pt idx="843">
                  <c:v>1233.9630819290512</c:v>
                </c:pt>
                <c:pt idx="844">
                  <c:v>96.40336577570713</c:v>
                </c:pt>
                <c:pt idx="845">
                  <c:v>131.1085774549617</c:v>
                </c:pt>
                <c:pt idx="846">
                  <c:v>254.50488564786681</c:v>
                </c:pt>
                <c:pt idx="847">
                  <c:v>370.18892457871539</c:v>
                </c:pt>
                <c:pt idx="848">
                  <c:v>616.98154096452561</c:v>
                </c:pt>
                <c:pt idx="849">
                  <c:v>886.91096513650564</c:v>
                </c:pt>
                <c:pt idx="850">
                  <c:v>61.698154096452555</c:v>
                </c:pt>
                <c:pt idx="851">
                  <c:v>80.978827251593984</c:v>
                </c:pt>
                <c:pt idx="852">
                  <c:v>158.10151987215968</c:v>
                </c:pt>
                <c:pt idx="853">
                  <c:v>273.7855588030082</c:v>
                </c:pt>
                <c:pt idx="854">
                  <c:v>771.22692620565704</c:v>
                </c:pt>
                <c:pt idx="855">
                  <c:v>2352.2421249272538</c:v>
                </c:pt>
                <c:pt idx="856">
                  <c:v>462.73615572339423</c:v>
                </c:pt>
                <c:pt idx="857">
                  <c:v>1041.156350377637</c:v>
                </c:pt>
                <c:pt idx="858">
                  <c:v>2969.2236658917795</c:v>
                </c:pt>
                <c:pt idx="859">
                  <c:v>5012.9750203367712</c:v>
                </c:pt>
                <c:pt idx="860">
                  <c:v>9640.3365775707116</c:v>
                </c:pt>
                <c:pt idx="861">
                  <c:v>14653.311597907485</c:v>
                </c:pt>
                <c:pt idx="862">
                  <c:v>111.82790429982026</c:v>
                </c:pt>
                <c:pt idx="863">
                  <c:v>131.1085774549617</c:v>
                </c:pt>
                <c:pt idx="864">
                  <c:v>289.21009732712139</c:v>
                </c:pt>
                <c:pt idx="865">
                  <c:v>578.42019465424278</c:v>
                </c:pt>
                <c:pt idx="866">
                  <c:v>4241.7480941311142</c:v>
                </c:pt>
                <c:pt idx="867">
                  <c:v>14653.311597907485</c:v>
                </c:pt>
                <c:pt idx="868">
                  <c:v>38.435716501599366</c:v>
                </c:pt>
                <c:pt idx="869">
                  <c:v>45.586547478641116</c:v>
                </c:pt>
                <c:pt idx="870">
                  <c:v>31.284885524557627</c:v>
                </c:pt>
                <c:pt idx="871">
                  <c:v>30.391031652427408</c:v>
                </c:pt>
                <c:pt idx="872">
                  <c:v>75.977579131068524</c:v>
                </c:pt>
                <c:pt idx="873">
                  <c:v>63.463624921245469</c:v>
                </c:pt>
                <c:pt idx="874">
                  <c:v>50.055816839292206</c:v>
                </c:pt>
                <c:pt idx="875">
                  <c:v>39.306877245803065</c:v>
                </c:pt>
                <c:pt idx="876">
                  <c:v>38.452379914372564</c:v>
                </c:pt>
                <c:pt idx="877">
                  <c:v>37.597882582942063</c:v>
                </c:pt>
                <c:pt idx="878">
                  <c:v>41.015871908664067</c:v>
                </c:pt>
                <c:pt idx="879">
                  <c:v>43.579363902955571</c:v>
                </c:pt>
                <c:pt idx="880">
                  <c:v>40.161374577233559</c:v>
                </c:pt>
                <c:pt idx="881">
                  <c:v>41.870369240094568</c:v>
                </c:pt>
                <c:pt idx="882">
                  <c:v>107.66666376024318</c:v>
                </c:pt>
                <c:pt idx="883">
                  <c:v>105.95766909738217</c:v>
                </c:pt>
                <c:pt idx="884">
                  <c:v>105.10317176595167</c:v>
                </c:pt>
                <c:pt idx="885">
                  <c:v>111.93915041739568</c:v>
                </c:pt>
                <c:pt idx="886">
                  <c:v>117.92063173740918</c:v>
                </c:pt>
                <c:pt idx="887">
                  <c:v>111.08465308596517</c:v>
                </c:pt>
                <c:pt idx="888">
                  <c:v>115.35713974311768</c:v>
                </c:pt>
                <c:pt idx="889">
                  <c:v>951.57012732881287</c:v>
                </c:pt>
                <c:pt idx="890">
                  <c:v>815.63153771041107</c:v>
                </c:pt>
                <c:pt idx="891">
                  <c:v>654.6516289517773</c:v>
                </c:pt>
                <c:pt idx="892">
                  <c:v>500.8263828046384</c:v>
                </c:pt>
                <c:pt idx="893">
                  <c:v>329.11448012876235</c:v>
                </c:pt>
                <c:pt idx="894">
                  <c:v>160.97990875863374</c:v>
                </c:pt>
                <c:pt idx="895">
                  <c:v>3.5773313057474168</c:v>
                </c:pt>
                <c:pt idx="896">
                  <c:v>45.989188137515526</c:v>
                </c:pt>
                <c:pt idx="897">
                  <c:v>78.720231947098654</c:v>
                </c:pt>
                <c:pt idx="898">
                  <c:v>94.257119831394448</c:v>
                </c:pt>
                <c:pt idx="899">
                  <c:v>203.01533502146492</c:v>
                </c:pt>
                <c:pt idx="900">
                  <c:v>184.37106956030999</c:v>
                </c:pt>
                <c:pt idx="901">
                  <c:v>122.22351802312686</c:v>
                </c:pt>
                <c:pt idx="902">
                  <c:v>137.76040590742264</c:v>
                </c:pt>
                <c:pt idx="903">
                  <c:v>280.69977444294386</c:v>
                </c:pt>
                <c:pt idx="904">
                  <c:v>241.33965846939458</c:v>
                </c:pt>
                <c:pt idx="905">
                  <c:v>72.505476793380339</c:v>
                </c:pt>
                <c:pt idx="906">
                  <c:v>104.61504508759162</c:v>
                </c:pt>
                <c:pt idx="907">
                  <c:v>237.19648836691567</c:v>
                </c:pt>
                <c:pt idx="908">
                  <c:v>113.9371778181691</c:v>
                </c:pt>
                <c:pt idx="909">
                  <c:v>152.26150126609872</c:v>
                </c:pt>
                <c:pt idx="910">
                  <c:v>340.77574092888756</c:v>
                </c:pt>
                <c:pt idx="911">
                  <c:v>228.68178698383454</c:v>
                </c:pt>
                <c:pt idx="912">
                  <c:v>34.233730174051182</c:v>
                </c:pt>
                <c:pt idx="913">
                  <c:v>150.6084799744622</c:v>
                </c:pt>
                <c:pt idx="914">
                  <c:v>244.53502662130509</c:v>
                </c:pt>
                <c:pt idx="915">
                  <c:v>75.041521571032916</c:v>
                </c:pt>
                <c:pt idx="916">
                  <c:v>129.75592556453651</c:v>
                </c:pt>
                <c:pt idx="917">
                  <c:v>61.959524120007401</c:v>
                </c:pt>
                <c:pt idx="918">
                  <c:v>150.6084799744622</c:v>
                </c:pt>
                <c:pt idx="919">
                  <c:v>141.45870312014787</c:v>
                </c:pt>
                <c:pt idx="920">
                  <c:v>870.11502524478351</c:v>
                </c:pt>
                <c:pt idx="921">
                  <c:v>318.12803377695985</c:v>
                </c:pt>
                <c:pt idx="922">
                  <c:v>386.04422462707691</c:v>
                </c:pt>
                <c:pt idx="923">
                  <c:v>244.53497483167882</c:v>
                </c:pt>
                <c:pt idx="924">
                  <c:v>2459.5090321420098</c:v>
                </c:pt>
                <c:pt idx="925">
                  <c:v>34.625690288713912</c:v>
                </c:pt>
                <c:pt idx="926">
                  <c:v>62.955800524934382</c:v>
                </c:pt>
                <c:pt idx="927">
                  <c:v>27.280846894138232</c:v>
                </c:pt>
                <c:pt idx="928">
                  <c:v>13.115791776027995</c:v>
                </c:pt>
                <c:pt idx="929">
                  <c:v>57.709483814523189</c:v>
                </c:pt>
                <c:pt idx="930">
                  <c:v>146.89686789151358</c:v>
                </c:pt>
                <c:pt idx="931">
                  <c:v>1.5738950131233593</c:v>
                </c:pt>
                <c:pt idx="932">
                  <c:v>73.44843394575679</c:v>
                </c:pt>
                <c:pt idx="933">
                  <c:v>10.492633420822397</c:v>
                </c:pt>
                <c:pt idx="934">
                  <c:v>14.165055118110237</c:v>
                </c:pt>
                <c:pt idx="935">
                  <c:v>29.379373578302712</c:v>
                </c:pt>
                <c:pt idx="936">
                  <c:v>34.101058617672791</c:v>
                </c:pt>
                <c:pt idx="937">
                  <c:v>75</c:v>
                </c:pt>
                <c:pt idx="938">
                  <c:v>37.5</c:v>
                </c:pt>
                <c:pt idx="939">
                  <c:v>200</c:v>
                </c:pt>
                <c:pt idx="940">
                  <c:v>1500</c:v>
                </c:pt>
                <c:pt idx="941">
                  <c:v>293</c:v>
                </c:pt>
                <c:pt idx="942">
                  <c:v>52</c:v>
                </c:pt>
                <c:pt idx="943">
                  <c:v>47.029411764705884</c:v>
                </c:pt>
                <c:pt idx="944">
                  <c:v>263.00787401574803</c:v>
                </c:pt>
                <c:pt idx="945">
                  <c:v>82.133333333333326</c:v>
                </c:pt>
                <c:pt idx="946">
                  <c:v>208.63333333333333</c:v>
                </c:pt>
                <c:pt idx="947">
                  <c:v>80.666666666666671</c:v>
                </c:pt>
                <c:pt idx="948">
                  <c:v>187</c:v>
                </c:pt>
                <c:pt idx="949">
                  <c:v>201.66666666666666</c:v>
                </c:pt>
                <c:pt idx="950">
                  <c:v>260.33333333333331</c:v>
                </c:pt>
                <c:pt idx="951">
                  <c:v>99</c:v>
                </c:pt>
                <c:pt idx="952">
                  <c:v>62.333333333333336</c:v>
                </c:pt>
                <c:pt idx="953">
                  <c:v>97.166666666666671</c:v>
                </c:pt>
                <c:pt idx="954">
                  <c:v>110</c:v>
                </c:pt>
                <c:pt idx="955">
                  <c:v>146.66666666666666</c:v>
                </c:pt>
                <c:pt idx="956">
                  <c:v>70.641050247264843</c:v>
                </c:pt>
                <c:pt idx="957">
                  <c:v>67.222934912719751</c:v>
                </c:pt>
                <c:pt idx="958">
                  <c:v>180.78032213816164</c:v>
                </c:pt>
                <c:pt idx="959">
                  <c:v>94.947648181807594</c:v>
                </c:pt>
                <c:pt idx="960">
                  <c:v>341.05195226905278</c:v>
                </c:pt>
                <c:pt idx="961">
                  <c:v>78.616652694536668</c:v>
                </c:pt>
                <c:pt idx="962">
                  <c:v>24.306597934542744</c:v>
                </c:pt>
                <c:pt idx="963">
                  <c:v>39.49822164363195</c:v>
                </c:pt>
                <c:pt idx="964">
                  <c:v>56.209007723630094</c:v>
                </c:pt>
                <c:pt idx="965">
                  <c:v>46.714242905449332</c:v>
                </c:pt>
                <c:pt idx="966">
                  <c:v>70.261259654537611</c:v>
                </c:pt>
                <c:pt idx="967">
                  <c:v>70.641050247264843</c:v>
                </c:pt>
                <c:pt idx="968">
                  <c:v>63.804819578174694</c:v>
                </c:pt>
                <c:pt idx="969">
                  <c:v>97.98597292362544</c:v>
                </c:pt>
                <c:pt idx="970">
                  <c:v>79.756024472718366</c:v>
                </c:pt>
                <c:pt idx="971">
                  <c:v>118.11487433816865</c:v>
                </c:pt>
                <c:pt idx="972">
                  <c:v>189.89529636361519</c:v>
                </c:pt>
                <c:pt idx="973">
                  <c:v>152.67581827634658</c:v>
                </c:pt>
                <c:pt idx="974">
                  <c:v>175.46325383998041</c:v>
                </c:pt>
                <c:pt idx="975">
                  <c:v>275.34817972724198</c:v>
                </c:pt>
                <c:pt idx="976">
                  <c:v>220.27854378179356</c:v>
                </c:pt>
                <c:pt idx="977">
                  <c:v>474.73824090903793</c:v>
                </c:pt>
                <c:pt idx="978">
                  <c:v>205.08692007270437</c:v>
                </c:pt>
                <c:pt idx="979">
                  <c:v>91.149742254535269</c:v>
                </c:pt>
                <c:pt idx="980">
                  <c:v>72.160212618173773</c:v>
                </c:pt>
                <c:pt idx="981">
                  <c:v>5677.8693612720936</c:v>
                </c:pt>
                <c:pt idx="982">
                  <c:v>3972.6095999268291</c:v>
                </c:pt>
                <c:pt idx="983">
                  <c:v>748.18746767264383</c:v>
                </c:pt>
                <c:pt idx="984">
                  <c:v>125.33089559998602</c:v>
                </c:pt>
                <c:pt idx="985">
                  <c:v>39.049378215863406</c:v>
                </c:pt>
                <c:pt idx="986">
                  <c:v>8.9492474213543733</c:v>
                </c:pt>
                <c:pt idx="987">
                  <c:v>23.253542200162691</c:v>
                </c:pt>
                <c:pt idx="988">
                  <c:v>36.604907855400874</c:v>
                </c:pt>
                <c:pt idx="989">
                  <c:v>48.071131114011159</c:v>
                </c:pt>
                <c:pt idx="990">
                  <c:v>57.766149153811739</c:v>
                </c:pt>
                <c:pt idx="991">
                  <c:v>65.979983881976111</c:v>
                </c:pt>
                <c:pt idx="992">
                  <c:v>39.078136200716841</c:v>
                </c:pt>
                <c:pt idx="993">
                  <c:v>56.968588909084552</c:v>
                </c:pt>
                <c:pt idx="994">
                  <c:v>1572.3330538907335</c:v>
                </c:pt>
                <c:pt idx="995">
                  <c:v>394.63695226111298</c:v>
                </c:pt>
                <c:pt idx="996">
                  <c:v>129.47406570246488</c:v>
                </c:pt>
                <c:pt idx="997">
                  <c:v>89.078157203295845</c:v>
                </c:pt>
                <c:pt idx="998">
                  <c:v>53.861211332225395</c:v>
                </c:pt>
                <c:pt idx="999">
                  <c:v>43.503286076028203</c:v>
                </c:pt>
                <c:pt idx="1000">
                  <c:v>95.292912357014146</c:v>
                </c:pt>
                <c:pt idx="1001">
                  <c:v>82.86340204957753</c:v>
                </c:pt>
                <c:pt idx="1002">
                  <c:v>362.52738396690165</c:v>
                </c:pt>
                <c:pt idx="1003">
                  <c:v>105.65083761321135</c:v>
                </c:pt>
                <c:pt idx="1004">
                  <c:v>45.574871127267635</c:v>
                </c:pt>
                <c:pt idx="1005">
                  <c:v>108.7582151900705</c:v>
                </c:pt>
                <c:pt idx="1006">
                  <c:v>570.72168161646528</c:v>
                </c:pt>
                <c:pt idx="1007">
                  <c:v>5282.5418806605676</c:v>
                </c:pt>
                <c:pt idx="1008">
                  <c:v>50.08263828046384</c:v>
                </c:pt>
                <c:pt idx="1009">
                  <c:v>160.97990875863374</c:v>
                </c:pt>
                <c:pt idx="1010">
                  <c:v>121.62926439541219</c:v>
                </c:pt>
                <c:pt idx="1011">
                  <c:v>454.32107582992194</c:v>
                </c:pt>
                <c:pt idx="1012">
                  <c:v>71.546626114948339</c:v>
                </c:pt>
                <c:pt idx="1013">
                  <c:v>64.39196350345351</c:v>
                </c:pt>
                <c:pt idx="1014">
                  <c:v>214.63987834484502</c:v>
                </c:pt>
                <c:pt idx="1015">
                  <c:v>132.3612583126544</c:v>
                </c:pt>
                <c:pt idx="1016">
                  <c:v>500.8263828046384</c:v>
                </c:pt>
                <c:pt idx="1017">
                  <c:v>71.546626114948339</c:v>
                </c:pt>
                <c:pt idx="1018">
                  <c:v>64.39196350345351</c:v>
                </c:pt>
                <c:pt idx="1019">
                  <c:v>218.21720965059242</c:v>
                </c:pt>
                <c:pt idx="1020">
                  <c:v>132.3612583126544</c:v>
                </c:pt>
                <c:pt idx="1021">
                  <c:v>504.40371411038575</c:v>
                </c:pt>
                <c:pt idx="1022">
                  <c:v>75.12395742069576</c:v>
                </c:pt>
                <c:pt idx="1023">
                  <c:v>60.814632197706096</c:v>
                </c:pt>
                <c:pt idx="1024">
                  <c:v>207.48521573335017</c:v>
                </c:pt>
                <c:pt idx="1025">
                  <c:v>128.78392700690702</c:v>
                </c:pt>
                <c:pt idx="1026">
                  <c:v>486.51705758164877</c:v>
                </c:pt>
                <c:pt idx="1027">
                  <c:v>71.546626114948339</c:v>
                </c:pt>
                <c:pt idx="1028">
                  <c:v>25.04131914023192</c:v>
                </c:pt>
                <c:pt idx="1029">
                  <c:v>78.701288726443181</c:v>
                </c:pt>
                <c:pt idx="1030">
                  <c:v>64.39196350345351</c:v>
                </c:pt>
                <c:pt idx="1031">
                  <c:v>232.52653487358211</c:v>
                </c:pt>
                <c:pt idx="1032">
                  <c:v>39.350644363221591</c:v>
                </c:pt>
                <c:pt idx="1033">
                  <c:v>60.814632197706096</c:v>
                </c:pt>
                <c:pt idx="1034">
                  <c:v>178.86656528737086</c:v>
                </c:pt>
                <c:pt idx="1035">
                  <c:v>143.09325222989668</c:v>
                </c:pt>
                <c:pt idx="1036">
                  <c:v>490.09438888739612</c:v>
                </c:pt>
                <c:pt idx="1037">
                  <c:v>89.43328264368543</c:v>
                </c:pt>
                <c:pt idx="1038">
                  <c:v>21.463987834484502</c:v>
                </c:pt>
                <c:pt idx="1039">
                  <c:v>71.546626114948339</c:v>
                </c:pt>
                <c:pt idx="1040">
                  <c:v>53.659969586211254</c:v>
                </c:pt>
                <c:pt idx="1041">
                  <c:v>225.37187226208727</c:v>
                </c:pt>
                <c:pt idx="1042">
                  <c:v>39.350644363221591</c:v>
                </c:pt>
                <c:pt idx="1043">
                  <c:v>36.839687494541337</c:v>
                </c:pt>
                <c:pt idx="1044">
                  <c:v>56.968588909084552</c:v>
                </c:pt>
                <c:pt idx="1045">
                  <c:v>60.766494836356841</c:v>
                </c:pt>
                <c:pt idx="1046">
                  <c:v>417.76965199995334</c:v>
                </c:pt>
                <c:pt idx="1047">
                  <c:v>94.947648181807594</c:v>
                </c:pt>
                <c:pt idx="1048">
                  <c:v>47.130441284746432</c:v>
                </c:pt>
                <c:pt idx="1049">
                  <c:v>64.076217926453026</c:v>
                </c:pt>
                <c:pt idx="1050">
                  <c:v>43.423552644373117</c:v>
                </c:pt>
                <c:pt idx="1051">
                  <c:v>66.723995526719676</c:v>
                </c:pt>
                <c:pt idx="1052">
                  <c:v>52.161218725253079</c:v>
                </c:pt>
                <c:pt idx="1053">
                  <c:v>53.643974181402399</c:v>
                </c:pt>
                <c:pt idx="1054">
                  <c:v>33.361997763359838</c:v>
                </c:pt>
                <c:pt idx="1055">
                  <c:v>75.726439367626284</c:v>
                </c:pt>
                <c:pt idx="1056">
                  <c:v>18.534443201866573</c:v>
                </c:pt>
                <c:pt idx="1057">
                  <c:v>64.076217926453026</c:v>
                </c:pt>
                <c:pt idx="1058">
                  <c:v>27.00733152271987</c:v>
                </c:pt>
                <c:pt idx="1059">
                  <c:v>150.39376769514593</c:v>
                </c:pt>
                <c:pt idx="1060">
                  <c:v>29.655109122986524</c:v>
                </c:pt>
                <c:pt idx="1061">
                  <c:v>104.85199297055946</c:v>
                </c:pt>
                <c:pt idx="1062">
                  <c:v>5736.8514672444171</c:v>
                </c:pt>
                <c:pt idx="1063">
                  <c:v>750.20365340888532</c:v>
                </c:pt>
                <c:pt idx="1064">
                  <c:v>92.672216009332885</c:v>
                </c:pt>
                <c:pt idx="1065">
                  <c:v>33.538516270044276</c:v>
                </c:pt>
                <c:pt idx="1066">
                  <c:v>485.42589338221984</c:v>
                </c:pt>
                <c:pt idx="1067">
                  <c:v>158.86665601599921</c:v>
                </c:pt>
                <c:pt idx="1068">
                  <c:v>48.542589338221987</c:v>
                </c:pt>
                <c:pt idx="1069">
                  <c:v>22.506109602266559</c:v>
                </c:pt>
                <c:pt idx="1070">
                  <c:v>136.80184268044377</c:v>
                </c:pt>
                <c:pt idx="1071">
                  <c:v>70.607402673777415</c:v>
                </c:pt>
                <c:pt idx="1072">
                  <c:v>30.008146136355411</c:v>
                </c:pt>
                <c:pt idx="1073">
                  <c:v>16.327961868311032</c:v>
                </c:pt>
                <c:pt idx="1074">
                  <c:v>66.194440006666341</c:v>
                </c:pt>
                <c:pt idx="1075">
                  <c:v>41.481849070844241</c:v>
                </c:pt>
                <c:pt idx="1076">
                  <c:v>20.740924535422121</c:v>
                </c:pt>
                <c:pt idx="1077">
                  <c:v>12.35629546791105</c:v>
                </c:pt>
                <c:pt idx="1078">
                  <c:v>77.872023894622671</c:v>
                </c:pt>
                <c:pt idx="1079">
                  <c:v>77.385323745281283</c:v>
                </c:pt>
                <c:pt idx="1080">
                  <c:v>92.473028374864427</c:v>
                </c:pt>
                <c:pt idx="1081">
                  <c:v>103.66713180971644</c:v>
                </c:pt>
                <c:pt idx="1082">
                  <c:v>95.879929420254157</c:v>
                </c:pt>
                <c:pt idx="1083">
                  <c:v>153.31054704253839</c:v>
                </c:pt>
                <c:pt idx="1084">
                  <c:v>1537.9724719187977</c:v>
                </c:pt>
                <c:pt idx="1085">
                  <c:v>236.04957243057498</c:v>
                </c:pt>
                <c:pt idx="1086">
                  <c:v>107.56073300444758</c:v>
                </c:pt>
                <c:pt idx="1087">
                  <c:v>63.271019414380916</c:v>
                </c:pt>
                <c:pt idx="1088">
                  <c:v>44.207624993449606</c:v>
                </c:pt>
                <c:pt idx="1089">
                  <c:v>41.545638202606931</c:v>
                </c:pt>
                <c:pt idx="1090">
                  <c:v>143.15688496590138</c:v>
                </c:pt>
                <c:pt idx="1091">
                  <c:v>298.670774762446</c:v>
                </c:pt>
                <c:pt idx="1092">
                  <c:v>101.37301448240191</c:v>
                </c:pt>
                <c:pt idx="1093">
                  <c:v>129.32905474887812</c:v>
                </c:pt>
                <c:pt idx="1094">
                  <c:v>9065.256184223781</c:v>
                </c:pt>
                <c:pt idx="1095">
                  <c:v>970.5375965056769</c:v>
                </c:pt>
                <c:pt idx="1096">
                  <c:v>162.6194265222959</c:v>
                </c:pt>
                <c:pt idx="1097">
                  <c:v>78.720231947098654</c:v>
                </c:pt>
                <c:pt idx="1098">
                  <c:v>1351.7092459337332</c:v>
                </c:pt>
                <c:pt idx="1099">
                  <c:v>213.37326027766213</c:v>
                </c:pt>
                <c:pt idx="1100">
                  <c:v>77.684439421478942</c:v>
                </c:pt>
                <c:pt idx="1101">
                  <c:v>31.07377576859157</c:v>
                </c:pt>
                <c:pt idx="1102">
                  <c:v>641.15557335860603</c:v>
                </c:pt>
                <c:pt idx="1103">
                  <c:v>123.25931054874657</c:v>
                </c:pt>
                <c:pt idx="1104">
                  <c:v>49.718041229746518</c:v>
                </c:pt>
                <c:pt idx="1105">
                  <c:v>22.787435563633817</c:v>
                </c:pt>
                <c:pt idx="1106">
                  <c:v>130.5098582280846</c:v>
                </c:pt>
                <c:pt idx="1107">
                  <c:v>38.324323447929608</c:v>
                </c:pt>
                <c:pt idx="1108">
                  <c:v>19.680057986774663</c:v>
                </c:pt>
                <c:pt idx="1109">
                  <c:v>10.357925256197191</c:v>
                </c:pt>
                <c:pt idx="1110">
                  <c:v>20.715850512394383</c:v>
                </c:pt>
                <c:pt idx="1111">
                  <c:v>42.467493550408477</c:v>
                </c:pt>
                <c:pt idx="1112">
                  <c:v>85.970779626436681</c:v>
                </c:pt>
                <c:pt idx="1113">
                  <c:v>138.79619843304235</c:v>
                </c:pt>
                <c:pt idx="1114">
                  <c:v>37.979059272723035</c:v>
                </c:pt>
                <c:pt idx="1115">
                  <c:v>51.271730018176093</c:v>
                </c:pt>
                <c:pt idx="1116">
                  <c:v>53.170682981812249</c:v>
                </c:pt>
                <c:pt idx="1117">
                  <c:v>62.665447799993011</c:v>
                </c:pt>
                <c:pt idx="1118">
                  <c:v>56.968588909084552</c:v>
                </c:pt>
                <c:pt idx="1119">
                  <c:v>53.170682981812249</c:v>
                </c:pt>
                <c:pt idx="1120">
                  <c:v>45.574871127267635</c:v>
                </c:pt>
                <c:pt idx="1121">
                  <c:v>45.574871127267635</c:v>
                </c:pt>
                <c:pt idx="1122">
                  <c:v>30.567785942451401</c:v>
                </c:pt>
                <c:pt idx="1123">
                  <c:v>32.159303245521834</c:v>
                </c:pt>
                <c:pt idx="1124">
                  <c:v>36.03790474920428</c:v>
                </c:pt>
                <c:pt idx="1125">
                  <c:v>45.03305091810256</c:v>
                </c:pt>
                <c:pt idx="1126">
                  <c:v>64.106427612455406</c:v>
                </c:pt>
                <c:pt idx="1127">
                  <c:v>93.482126523244034</c:v>
                </c:pt>
                <c:pt idx="1128">
                  <c:v>295.90626443171953</c:v>
                </c:pt>
                <c:pt idx="1129">
                  <c:v>73.633775992432902</c:v>
                </c:pt>
                <c:pt idx="1130">
                  <c:v>74.620195069784401</c:v>
                </c:pt>
                <c:pt idx="1131">
                  <c:v>94.824423931068154</c:v>
                </c:pt>
                <c:pt idx="1132">
                  <c:v>145.16745498291255</c:v>
                </c:pt>
                <c:pt idx="1133">
                  <c:v>197.82786155225671</c:v>
                </c:pt>
                <c:pt idx="1134">
                  <c:v>333.13945021069708</c:v>
                </c:pt>
                <c:pt idx="1135">
                  <c:v>0.51596967628142287</c:v>
                </c:pt>
                <c:pt idx="1136">
                  <c:v>0.74594453898196278</c:v>
                </c:pt>
                <c:pt idx="1137">
                  <c:v>1.85188437004198</c:v>
                </c:pt>
                <c:pt idx="1138">
                  <c:v>9.856368625662542</c:v>
                </c:pt>
                <c:pt idx="1139">
                  <c:v>84.789971164778507</c:v>
                </c:pt>
                <c:pt idx="1140">
                  <c:v>237.91468314653727</c:v>
                </c:pt>
                <c:pt idx="1141">
                  <c:v>75.16215332823262</c:v>
                </c:pt>
                <c:pt idx="1142">
                  <c:v>0.48240335387164857</c:v>
                </c:pt>
                <c:pt idx="1143">
                  <c:v>69.698007646878764</c:v>
                </c:pt>
                <c:pt idx="1144">
                  <c:v>67.156113051478158</c:v>
                </c:pt>
                <c:pt idx="1145">
                  <c:v>70.505105565856326</c:v>
                </c:pt>
                <c:pt idx="1146">
                  <c:v>140.68551656660674</c:v>
                </c:pt>
                <c:pt idx="1147">
                  <c:v>73.464464602107398</c:v>
                </c:pt>
                <c:pt idx="1148">
                  <c:v>39.427197191432818</c:v>
                </c:pt>
                <c:pt idx="1149">
                  <c:v>116.40344499579349</c:v>
                </c:pt>
                <c:pt idx="1150">
                  <c:v>94.382824817924146</c:v>
                </c:pt>
                <c:pt idx="1151">
                  <c:v>77.011002233160355</c:v>
                </c:pt>
                <c:pt idx="1152">
                  <c:v>63.309283011374873</c:v>
                </c:pt>
                <c:pt idx="1153">
                  <c:v>52.054299364908239</c:v>
                </c:pt>
                <c:pt idx="1154">
                  <c:v>43.490724851292249</c:v>
                </c:pt>
                <c:pt idx="1155">
                  <c:v>36.639865240399509</c:v>
                </c:pt>
                <c:pt idx="1156">
                  <c:v>30.767699859634373</c:v>
                </c:pt>
                <c:pt idx="1157">
                  <c:v>26.608249381592287</c:v>
                </c:pt>
                <c:pt idx="1158">
                  <c:v>22.693472461082123</c:v>
                </c:pt>
                <c:pt idx="1159">
                  <c:v>19.757389770699554</c:v>
                </c:pt>
                <c:pt idx="1160">
                  <c:v>17.55532775291265</c:v>
                </c:pt>
                <c:pt idx="1161">
                  <c:v>15.353265735125644</c:v>
                </c:pt>
                <c:pt idx="1162">
                  <c:v>13.640550832402486</c:v>
                </c:pt>
                <c:pt idx="1163">
                  <c:v>12.172509487211151</c:v>
                </c:pt>
                <c:pt idx="1164">
                  <c:v>10.704468142019817</c:v>
                </c:pt>
                <c:pt idx="1165">
                  <c:v>9.4811003543604908</c:v>
                </c:pt>
                <c:pt idx="1166">
                  <c:v>8.9917532392967257</c:v>
                </c:pt>
                <c:pt idx="1167">
                  <c:v>8.0130590091691865</c:v>
                </c:pt>
                <c:pt idx="1168">
                  <c:v>7.2790383365735183</c:v>
                </c:pt>
                <c:pt idx="1169">
                  <c:v>6.7896912215097531</c:v>
                </c:pt>
                <c:pt idx="1170">
                  <c:v>71.383510409927027</c:v>
                </c:pt>
                <c:pt idx="1171">
                  <c:v>56.947770515545891</c:v>
                </c:pt>
                <c:pt idx="1172">
                  <c:v>46.182133984142993</c:v>
                </c:pt>
                <c:pt idx="1173">
                  <c:v>38.107906585590854</c:v>
                </c:pt>
                <c:pt idx="1174">
                  <c:v>31.746394089761857</c:v>
                </c:pt>
                <c:pt idx="1175">
                  <c:v>26.363575824060462</c:v>
                </c:pt>
                <c:pt idx="1176">
                  <c:v>22.448798903550298</c:v>
                </c:pt>
                <c:pt idx="1177">
                  <c:v>19.757389770699554</c:v>
                </c:pt>
                <c:pt idx="1178">
                  <c:v>17.065980637848803</c:v>
                </c:pt>
                <c:pt idx="1179">
                  <c:v>14.619245062529977</c:v>
                </c:pt>
                <c:pt idx="1180">
                  <c:v>12.661856602274899</c:v>
                </c:pt>
                <c:pt idx="1181">
                  <c:v>11.683162372147406</c:v>
                </c:pt>
                <c:pt idx="1182">
                  <c:v>10.459794584487993</c:v>
                </c:pt>
                <c:pt idx="1183">
                  <c:v>9.4811003543604908</c:v>
                </c:pt>
                <c:pt idx="1184">
                  <c:v>8.5024061242329516</c:v>
                </c:pt>
                <c:pt idx="1185">
                  <c:v>7.5237118941054213</c:v>
                </c:pt>
                <c:pt idx="1186">
                  <c:v>7.2790383365735183</c:v>
                </c:pt>
                <c:pt idx="1187">
                  <c:v>6.300344106445988</c:v>
                </c:pt>
                <c:pt idx="1188">
                  <c:v>5.8109969913822228</c:v>
                </c:pt>
                <c:pt idx="1189">
                  <c:v>5.0769763187865742</c:v>
                </c:pt>
                <c:pt idx="1190">
                  <c:v>5.3216498763184479</c:v>
                </c:pt>
                <c:pt idx="1191">
                  <c:v>25.629555151464793</c:v>
                </c:pt>
                <c:pt idx="1192">
                  <c:v>22.693472461082123</c:v>
                </c:pt>
                <c:pt idx="1193">
                  <c:v>19.512716213167728</c:v>
                </c:pt>
                <c:pt idx="1194">
                  <c:v>17.310654195380728</c:v>
                </c:pt>
                <c:pt idx="1195">
                  <c:v>15.597939292657568</c:v>
                </c:pt>
                <c:pt idx="1196">
                  <c:v>13.885224389934312</c:v>
                </c:pt>
                <c:pt idx="1197">
                  <c:v>12.172509487211151</c:v>
                </c:pt>
                <c:pt idx="1198">
                  <c:v>11.193815257083662</c:v>
                </c:pt>
                <c:pt idx="1199">
                  <c:v>9.9704474694242471</c:v>
                </c:pt>
                <c:pt idx="1200">
                  <c:v>8.9917532392967257</c:v>
                </c:pt>
                <c:pt idx="1201">
                  <c:v>8.0130590091691865</c:v>
                </c:pt>
                <c:pt idx="1202">
                  <c:v>7.7683854516372834</c:v>
                </c:pt>
                <c:pt idx="1203">
                  <c:v>7.0343647790416552</c:v>
                </c:pt>
                <c:pt idx="1204">
                  <c:v>6.300344106445988</c:v>
                </c:pt>
                <c:pt idx="1205">
                  <c:v>6.0556705489141054</c:v>
                </c:pt>
                <c:pt idx="1206">
                  <c:v>5.5663234338503393</c:v>
                </c:pt>
                <c:pt idx="1207">
                  <c:v>5.0769763187865742</c:v>
                </c:pt>
                <c:pt idx="1208">
                  <c:v>4.587629203722809</c:v>
                </c:pt>
                <c:pt idx="1209">
                  <c:v>4.0982820886590243</c:v>
                </c:pt>
                <c:pt idx="1210">
                  <c:v>3.853608531127152</c:v>
                </c:pt>
                <c:pt idx="1211">
                  <c:v>3.853608531127152</c:v>
                </c:pt>
                <c:pt idx="1212">
                  <c:v>3.1344604034599923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533128"/>
        <c:axId val="584265816"/>
      </c:scatterChart>
      <c:valAx>
        <c:axId val="357533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Weight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584265816"/>
        <c:crosses val="autoZero"/>
        <c:crossBetween val="midCat"/>
      </c:valAx>
      <c:valAx>
        <c:axId val="5842658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Marginal damage cost</a:t>
                </a:r>
                <a:r>
                  <a:rPr lang="en-US" b="0" baseline="0"/>
                  <a:t> ($/tC)</a:t>
                </a:r>
                <a:endParaRPr lang="en-US" b="0"/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5753312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Times New Roman" pitchFamily="18" charset="0"/>
          <a:cs typeface="Times New Roman" pitchFamily="18" charset="0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Data!$E$4:$E$1216</c:f>
              <c:numCache>
                <c:formatCode>0</c:formatCode>
                <c:ptCount val="1213"/>
                <c:pt idx="0">
                  <c:v>1982</c:v>
                </c:pt>
                <c:pt idx="1">
                  <c:v>1982</c:v>
                </c:pt>
                <c:pt idx="2">
                  <c:v>1991</c:v>
                </c:pt>
                <c:pt idx="3">
                  <c:v>1991</c:v>
                </c:pt>
                <c:pt idx="4">
                  <c:v>1991</c:v>
                </c:pt>
                <c:pt idx="5">
                  <c:v>1991</c:v>
                </c:pt>
                <c:pt idx="6">
                  <c:v>1991</c:v>
                </c:pt>
                <c:pt idx="7">
                  <c:v>1991</c:v>
                </c:pt>
                <c:pt idx="8">
                  <c:v>1991</c:v>
                </c:pt>
                <c:pt idx="9">
                  <c:v>1991</c:v>
                </c:pt>
                <c:pt idx="10">
                  <c:v>1991</c:v>
                </c:pt>
                <c:pt idx="11">
                  <c:v>1991</c:v>
                </c:pt>
                <c:pt idx="12">
                  <c:v>1992</c:v>
                </c:pt>
                <c:pt idx="13">
                  <c:v>1992</c:v>
                </c:pt>
                <c:pt idx="14">
                  <c:v>1997</c:v>
                </c:pt>
                <c:pt idx="15">
                  <c:v>1992</c:v>
                </c:pt>
                <c:pt idx="16">
                  <c:v>1993</c:v>
                </c:pt>
                <c:pt idx="17">
                  <c:v>1993</c:v>
                </c:pt>
                <c:pt idx="18">
                  <c:v>1993</c:v>
                </c:pt>
                <c:pt idx="19">
                  <c:v>1992</c:v>
                </c:pt>
                <c:pt idx="20">
                  <c:v>1993</c:v>
                </c:pt>
                <c:pt idx="21">
                  <c:v>1993</c:v>
                </c:pt>
                <c:pt idx="22">
                  <c:v>1993</c:v>
                </c:pt>
                <c:pt idx="23">
                  <c:v>1993</c:v>
                </c:pt>
                <c:pt idx="24">
                  <c:v>1993</c:v>
                </c:pt>
                <c:pt idx="25">
                  <c:v>1993</c:v>
                </c:pt>
                <c:pt idx="26">
                  <c:v>1993</c:v>
                </c:pt>
                <c:pt idx="27">
                  <c:v>1993</c:v>
                </c:pt>
                <c:pt idx="28">
                  <c:v>1993</c:v>
                </c:pt>
                <c:pt idx="29">
                  <c:v>1993</c:v>
                </c:pt>
                <c:pt idx="30">
                  <c:v>1993</c:v>
                </c:pt>
                <c:pt idx="31">
                  <c:v>1993</c:v>
                </c:pt>
                <c:pt idx="32">
                  <c:v>1993</c:v>
                </c:pt>
                <c:pt idx="33">
                  <c:v>1993</c:v>
                </c:pt>
                <c:pt idx="34">
                  <c:v>1993</c:v>
                </c:pt>
                <c:pt idx="35">
                  <c:v>1993</c:v>
                </c:pt>
                <c:pt idx="36">
                  <c:v>1993</c:v>
                </c:pt>
                <c:pt idx="37">
                  <c:v>1993</c:v>
                </c:pt>
                <c:pt idx="38">
                  <c:v>1993</c:v>
                </c:pt>
                <c:pt idx="39">
                  <c:v>1993</c:v>
                </c:pt>
                <c:pt idx="40">
                  <c:v>1993</c:v>
                </c:pt>
                <c:pt idx="41">
                  <c:v>1993</c:v>
                </c:pt>
                <c:pt idx="42">
                  <c:v>1993</c:v>
                </c:pt>
                <c:pt idx="43">
                  <c:v>1993</c:v>
                </c:pt>
                <c:pt idx="44">
                  <c:v>1993</c:v>
                </c:pt>
                <c:pt idx="45">
                  <c:v>1993</c:v>
                </c:pt>
                <c:pt idx="46">
                  <c:v>1993</c:v>
                </c:pt>
                <c:pt idx="47">
                  <c:v>1993</c:v>
                </c:pt>
                <c:pt idx="48">
                  <c:v>1993</c:v>
                </c:pt>
                <c:pt idx="49">
                  <c:v>1993</c:v>
                </c:pt>
                <c:pt idx="50">
                  <c:v>1993</c:v>
                </c:pt>
                <c:pt idx="51">
                  <c:v>1993</c:v>
                </c:pt>
                <c:pt idx="52">
                  <c:v>1993</c:v>
                </c:pt>
                <c:pt idx="53">
                  <c:v>1993</c:v>
                </c:pt>
                <c:pt idx="54">
                  <c:v>1993</c:v>
                </c:pt>
                <c:pt idx="55">
                  <c:v>1993</c:v>
                </c:pt>
                <c:pt idx="56">
                  <c:v>1993</c:v>
                </c:pt>
                <c:pt idx="57">
                  <c:v>1993</c:v>
                </c:pt>
                <c:pt idx="58">
                  <c:v>1993</c:v>
                </c:pt>
                <c:pt idx="59">
                  <c:v>1993</c:v>
                </c:pt>
                <c:pt idx="60">
                  <c:v>1993</c:v>
                </c:pt>
                <c:pt idx="61">
                  <c:v>1993</c:v>
                </c:pt>
                <c:pt idx="62">
                  <c:v>1993</c:v>
                </c:pt>
                <c:pt idx="63">
                  <c:v>1993</c:v>
                </c:pt>
                <c:pt idx="64">
                  <c:v>1993</c:v>
                </c:pt>
                <c:pt idx="65">
                  <c:v>1993</c:v>
                </c:pt>
                <c:pt idx="66">
                  <c:v>1993</c:v>
                </c:pt>
                <c:pt idx="67">
                  <c:v>1993</c:v>
                </c:pt>
                <c:pt idx="68">
                  <c:v>1993</c:v>
                </c:pt>
                <c:pt idx="69">
                  <c:v>1993</c:v>
                </c:pt>
                <c:pt idx="70">
                  <c:v>1993</c:v>
                </c:pt>
                <c:pt idx="71">
                  <c:v>1993</c:v>
                </c:pt>
                <c:pt idx="72">
                  <c:v>1993</c:v>
                </c:pt>
                <c:pt idx="73">
                  <c:v>1993</c:v>
                </c:pt>
                <c:pt idx="74">
                  <c:v>1993</c:v>
                </c:pt>
                <c:pt idx="75">
                  <c:v>1993</c:v>
                </c:pt>
                <c:pt idx="76">
                  <c:v>1993</c:v>
                </c:pt>
                <c:pt idx="77">
                  <c:v>1993</c:v>
                </c:pt>
                <c:pt idx="78">
                  <c:v>1993</c:v>
                </c:pt>
                <c:pt idx="79">
                  <c:v>1993</c:v>
                </c:pt>
                <c:pt idx="80">
                  <c:v>1993</c:v>
                </c:pt>
                <c:pt idx="81">
                  <c:v>1993</c:v>
                </c:pt>
                <c:pt idx="82">
                  <c:v>1993</c:v>
                </c:pt>
                <c:pt idx="83">
                  <c:v>1993</c:v>
                </c:pt>
                <c:pt idx="84">
                  <c:v>1993</c:v>
                </c:pt>
                <c:pt idx="85">
                  <c:v>1993</c:v>
                </c:pt>
                <c:pt idx="86">
                  <c:v>1993</c:v>
                </c:pt>
                <c:pt idx="87">
                  <c:v>1993</c:v>
                </c:pt>
                <c:pt idx="88">
                  <c:v>1993</c:v>
                </c:pt>
                <c:pt idx="89">
                  <c:v>1993</c:v>
                </c:pt>
                <c:pt idx="90">
                  <c:v>1993</c:v>
                </c:pt>
                <c:pt idx="91">
                  <c:v>1993</c:v>
                </c:pt>
                <c:pt idx="92">
                  <c:v>1993</c:v>
                </c:pt>
                <c:pt idx="93">
                  <c:v>1993</c:v>
                </c:pt>
                <c:pt idx="94">
                  <c:v>1993</c:v>
                </c:pt>
                <c:pt idx="95">
                  <c:v>1993</c:v>
                </c:pt>
                <c:pt idx="96">
                  <c:v>1993</c:v>
                </c:pt>
                <c:pt idx="97">
                  <c:v>1993</c:v>
                </c:pt>
                <c:pt idx="98">
                  <c:v>1993</c:v>
                </c:pt>
                <c:pt idx="99">
                  <c:v>1993</c:v>
                </c:pt>
                <c:pt idx="100">
                  <c:v>1993</c:v>
                </c:pt>
                <c:pt idx="101">
                  <c:v>1993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1993</c:v>
                </c:pt>
                <c:pt idx="106">
                  <c:v>1993</c:v>
                </c:pt>
                <c:pt idx="107">
                  <c:v>1993</c:v>
                </c:pt>
                <c:pt idx="108">
                  <c:v>1993</c:v>
                </c:pt>
                <c:pt idx="109">
                  <c:v>1993</c:v>
                </c:pt>
                <c:pt idx="110">
                  <c:v>1993</c:v>
                </c:pt>
                <c:pt idx="111">
                  <c:v>1993</c:v>
                </c:pt>
                <c:pt idx="112">
                  <c:v>1993</c:v>
                </c:pt>
                <c:pt idx="113">
                  <c:v>1993</c:v>
                </c:pt>
                <c:pt idx="114">
                  <c:v>1993</c:v>
                </c:pt>
                <c:pt idx="115">
                  <c:v>1993</c:v>
                </c:pt>
                <c:pt idx="116">
                  <c:v>1994</c:v>
                </c:pt>
                <c:pt idx="117">
                  <c:v>1994</c:v>
                </c:pt>
                <c:pt idx="118">
                  <c:v>1994</c:v>
                </c:pt>
                <c:pt idx="119">
                  <c:v>1994</c:v>
                </c:pt>
                <c:pt idx="120">
                  <c:v>1994</c:v>
                </c:pt>
                <c:pt idx="121">
                  <c:v>1995</c:v>
                </c:pt>
                <c:pt idx="122">
                  <c:v>1996</c:v>
                </c:pt>
                <c:pt idx="123">
                  <c:v>1996</c:v>
                </c:pt>
                <c:pt idx="124">
                  <c:v>1996</c:v>
                </c:pt>
                <c:pt idx="125">
                  <c:v>1996</c:v>
                </c:pt>
                <c:pt idx="126">
                  <c:v>1996</c:v>
                </c:pt>
                <c:pt idx="127">
                  <c:v>1996</c:v>
                </c:pt>
                <c:pt idx="128">
                  <c:v>1996</c:v>
                </c:pt>
                <c:pt idx="129">
                  <c:v>1996</c:v>
                </c:pt>
                <c:pt idx="130">
                  <c:v>1995</c:v>
                </c:pt>
                <c:pt idx="131">
                  <c:v>1995</c:v>
                </c:pt>
                <c:pt idx="132">
                  <c:v>1996</c:v>
                </c:pt>
                <c:pt idx="133">
                  <c:v>1996</c:v>
                </c:pt>
                <c:pt idx="134">
                  <c:v>1996</c:v>
                </c:pt>
                <c:pt idx="135">
                  <c:v>1996</c:v>
                </c:pt>
                <c:pt idx="136">
                  <c:v>1996</c:v>
                </c:pt>
                <c:pt idx="137">
                  <c:v>1996</c:v>
                </c:pt>
                <c:pt idx="138">
                  <c:v>1996</c:v>
                </c:pt>
                <c:pt idx="139">
                  <c:v>1996</c:v>
                </c:pt>
                <c:pt idx="140">
                  <c:v>1996</c:v>
                </c:pt>
                <c:pt idx="141">
                  <c:v>1996</c:v>
                </c:pt>
                <c:pt idx="142">
                  <c:v>1996</c:v>
                </c:pt>
                <c:pt idx="143">
                  <c:v>1996</c:v>
                </c:pt>
                <c:pt idx="144">
                  <c:v>1996</c:v>
                </c:pt>
                <c:pt idx="145">
                  <c:v>1996</c:v>
                </c:pt>
                <c:pt idx="146">
                  <c:v>1996</c:v>
                </c:pt>
                <c:pt idx="147">
                  <c:v>1996</c:v>
                </c:pt>
                <c:pt idx="148">
                  <c:v>1996</c:v>
                </c:pt>
                <c:pt idx="149">
                  <c:v>1996</c:v>
                </c:pt>
                <c:pt idx="150">
                  <c:v>1996</c:v>
                </c:pt>
                <c:pt idx="151">
                  <c:v>1996</c:v>
                </c:pt>
                <c:pt idx="152">
                  <c:v>1996</c:v>
                </c:pt>
                <c:pt idx="153">
                  <c:v>1996</c:v>
                </c:pt>
                <c:pt idx="154">
                  <c:v>1996</c:v>
                </c:pt>
                <c:pt idx="155">
                  <c:v>1996</c:v>
                </c:pt>
                <c:pt idx="156">
                  <c:v>1996</c:v>
                </c:pt>
                <c:pt idx="157">
                  <c:v>1996</c:v>
                </c:pt>
                <c:pt idx="158">
                  <c:v>1997</c:v>
                </c:pt>
                <c:pt idx="159">
                  <c:v>1997</c:v>
                </c:pt>
                <c:pt idx="160">
                  <c:v>1999</c:v>
                </c:pt>
                <c:pt idx="161">
                  <c:v>1999</c:v>
                </c:pt>
                <c:pt idx="162">
                  <c:v>1999</c:v>
                </c:pt>
                <c:pt idx="163">
                  <c:v>1999</c:v>
                </c:pt>
                <c:pt idx="164">
                  <c:v>1999</c:v>
                </c:pt>
                <c:pt idx="165">
                  <c:v>1999</c:v>
                </c:pt>
                <c:pt idx="166">
                  <c:v>1999</c:v>
                </c:pt>
                <c:pt idx="167">
                  <c:v>1999</c:v>
                </c:pt>
                <c:pt idx="168">
                  <c:v>1999</c:v>
                </c:pt>
                <c:pt idx="169">
                  <c:v>1999</c:v>
                </c:pt>
                <c:pt idx="170">
                  <c:v>1999</c:v>
                </c:pt>
                <c:pt idx="171">
                  <c:v>1999</c:v>
                </c:pt>
                <c:pt idx="172">
                  <c:v>1999</c:v>
                </c:pt>
                <c:pt idx="173">
                  <c:v>1999</c:v>
                </c:pt>
                <c:pt idx="174">
                  <c:v>1999</c:v>
                </c:pt>
                <c:pt idx="175">
                  <c:v>1999</c:v>
                </c:pt>
                <c:pt idx="176">
                  <c:v>1999</c:v>
                </c:pt>
                <c:pt idx="177">
                  <c:v>1999</c:v>
                </c:pt>
                <c:pt idx="178">
                  <c:v>1999</c:v>
                </c:pt>
                <c:pt idx="179">
                  <c:v>1999</c:v>
                </c:pt>
                <c:pt idx="180">
                  <c:v>1999</c:v>
                </c:pt>
                <c:pt idx="181">
                  <c:v>1999</c:v>
                </c:pt>
                <c:pt idx="182">
                  <c:v>1999</c:v>
                </c:pt>
                <c:pt idx="183">
                  <c:v>1999</c:v>
                </c:pt>
                <c:pt idx="184">
                  <c:v>1999</c:v>
                </c:pt>
                <c:pt idx="185">
                  <c:v>1999</c:v>
                </c:pt>
                <c:pt idx="186">
                  <c:v>1999</c:v>
                </c:pt>
                <c:pt idx="187">
                  <c:v>1999</c:v>
                </c:pt>
                <c:pt idx="188">
                  <c:v>1999</c:v>
                </c:pt>
                <c:pt idx="189">
                  <c:v>1999</c:v>
                </c:pt>
                <c:pt idx="190">
                  <c:v>1999</c:v>
                </c:pt>
                <c:pt idx="191">
                  <c:v>1999</c:v>
                </c:pt>
                <c:pt idx="192">
                  <c:v>1999</c:v>
                </c:pt>
                <c:pt idx="193">
                  <c:v>1999</c:v>
                </c:pt>
                <c:pt idx="194">
                  <c:v>1999</c:v>
                </c:pt>
                <c:pt idx="195">
                  <c:v>2000</c:v>
                </c:pt>
                <c:pt idx="196">
                  <c:v>2001</c:v>
                </c:pt>
                <c:pt idx="197">
                  <c:v>2001</c:v>
                </c:pt>
                <c:pt idx="198">
                  <c:v>2001</c:v>
                </c:pt>
                <c:pt idx="199">
                  <c:v>2001</c:v>
                </c:pt>
                <c:pt idx="200">
                  <c:v>2002</c:v>
                </c:pt>
                <c:pt idx="201">
                  <c:v>2005</c:v>
                </c:pt>
                <c:pt idx="202">
                  <c:v>2005</c:v>
                </c:pt>
                <c:pt idx="203">
                  <c:v>2005</c:v>
                </c:pt>
                <c:pt idx="204">
                  <c:v>2005</c:v>
                </c:pt>
                <c:pt idx="205">
                  <c:v>2005</c:v>
                </c:pt>
                <c:pt idx="206">
                  <c:v>2005</c:v>
                </c:pt>
                <c:pt idx="207">
                  <c:v>2003</c:v>
                </c:pt>
                <c:pt idx="208">
                  <c:v>2003</c:v>
                </c:pt>
                <c:pt idx="209">
                  <c:v>2003</c:v>
                </c:pt>
                <c:pt idx="210">
                  <c:v>2003</c:v>
                </c:pt>
                <c:pt idx="211">
                  <c:v>2003</c:v>
                </c:pt>
                <c:pt idx="212">
                  <c:v>2003</c:v>
                </c:pt>
                <c:pt idx="213">
                  <c:v>2003</c:v>
                </c:pt>
                <c:pt idx="214">
                  <c:v>2003</c:v>
                </c:pt>
                <c:pt idx="215">
                  <c:v>2003</c:v>
                </c:pt>
                <c:pt idx="216">
                  <c:v>2003</c:v>
                </c:pt>
                <c:pt idx="217">
                  <c:v>2003</c:v>
                </c:pt>
                <c:pt idx="218">
                  <c:v>2004</c:v>
                </c:pt>
                <c:pt idx="219">
                  <c:v>2004</c:v>
                </c:pt>
                <c:pt idx="220">
                  <c:v>2004</c:v>
                </c:pt>
                <c:pt idx="221">
                  <c:v>2004</c:v>
                </c:pt>
                <c:pt idx="222">
                  <c:v>2004</c:v>
                </c:pt>
                <c:pt idx="223">
                  <c:v>2004</c:v>
                </c:pt>
                <c:pt idx="224">
                  <c:v>2004</c:v>
                </c:pt>
                <c:pt idx="225">
                  <c:v>2004</c:v>
                </c:pt>
                <c:pt idx="226">
                  <c:v>2004</c:v>
                </c:pt>
                <c:pt idx="227">
                  <c:v>2004</c:v>
                </c:pt>
                <c:pt idx="228">
                  <c:v>2004</c:v>
                </c:pt>
                <c:pt idx="229">
                  <c:v>2004</c:v>
                </c:pt>
                <c:pt idx="230">
                  <c:v>2004</c:v>
                </c:pt>
                <c:pt idx="231">
                  <c:v>2004</c:v>
                </c:pt>
                <c:pt idx="232">
                  <c:v>2004</c:v>
                </c:pt>
                <c:pt idx="233">
                  <c:v>2004</c:v>
                </c:pt>
                <c:pt idx="234">
                  <c:v>2004</c:v>
                </c:pt>
                <c:pt idx="235">
                  <c:v>2004</c:v>
                </c:pt>
                <c:pt idx="236">
                  <c:v>2004</c:v>
                </c:pt>
                <c:pt idx="237">
                  <c:v>2004</c:v>
                </c:pt>
                <c:pt idx="238">
                  <c:v>2004</c:v>
                </c:pt>
                <c:pt idx="239">
                  <c:v>2004</c:v>
                </c:pt>
                <c:pt idx="240">
                  <c:v>2004</c:v>
                </c:pt>
                <c:pt idx="241">
                  <c:v>2004</c:v>
                </c:pt>
                <c:pt idx="242">
                  <c:v>2004</c:v>
                </c:pt>
                <c:pt idx="243">
                  <c:v>2006</c:v>
                </c:pt>
                <c:pt idx="244">
                  <c:v>2006</c:v>
                </c:pt>
                <c:pt idx="245">
                  <c:v>2006</c:v>
                </c:pt>
                <c:pt idx="246">
                  <c:v>2006</c:v>
                </c:pt>
                <c:pt idx="247">
                  <c:v>2006</c:v>
                </c:pt>
                <c:pt idx="248">
                  <c:v>2006</c:v>
                </c:pt>
                <c:pt idx="249">
                  <c:v>2006</c:v>
                </c:pt>
                <c:pt idx="250">
                  <c:v>2006</c:v>
                </c:pt>
                <c:pt idx="251">
                  <c:v>2006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2006</c:v>
                </c:pt>
                <c:pt idx="257">
                  <c:v>2006</c:v>
                </c:pt>
                <c:pt idx="258">
                  <c:v>2006</c:v>
                </c:pt>
                <c:pt idx="259">
                  <c:v>2006</c:v>
                </c:pt>
                <c:pt idx="260">
                  <c:v>2006</c:v>
                </c:pt>
                <c:pt idx="261">
                  <c:v>2006</c:v>
                </c:pt>
                <c:pt idx="262">
                  <c:v>2006</c:v>
                </c:pt>
                <c:pt idx="263">
                  <c:v>2006</c:v>
                </c:pt>
                <c:pt idx="264">
                  <c:v>2006</c:v>
                </c:pt>
                <c:pt idx="265">
                  <c:v>2006</c:v>
                </c:pt>
                <c:pt idx="266">
                  <c:v>2006</c:v>
                </c:pt>
                <c:pt idx="267">
                  <c:v>2006</c:v>
                </c:pt>
                <c:pt idx="268">
                  <c:v>2006</c:v>
                </c:pt>
                <c:pt idx="269">
                  <c:v>2006</c:v>
                </c:pt>
                <c:pt idx="270">
                  <c:v>2006</c:v>
                </c:pt>
                <c:pt idx="271">
                  <c:v>2006</c:v>
                </c:pt>
                <c:pt idx="272">
                  <c:v>2006</c:v>
                </c:pt>
                <c:pt idx="273">
                  <c:v>2006</c:v>
                </c:pt>
                <c:pt idx="274">
                  <c:v>2006</c:v>
                </c:pt>
                <c:pt idx="275">
                  <c:v>2006</c:v>
                </c:pt>
                <c:pt idx="276">
                  <c:v>2006</c:v>
                </c:pt>
                <c:pt idx="277">
                  <c:v>2006</c:v>
                </c:pt>
                <c:pt idx="278">
                  <c:v>2006</c:v>
                </c:pt>
                <c:pt idx="279">
                  <c:v>2006</c:v>
                </c:pt>
                <c:pt idx="280">
                  <c:v>2006</c:v>
                </c:pt>
                <c:pt idx="281">
                  <c:v>2006</c:v>
                </c:pt>
                <c:pt idx="282">
                  <c:v>2006</c:v>
                </c:pt>
                <c:pt idx="283">
                  <c:v>2006</c:v>
                </c:pt>
                <c:pt idx="284">
                  <c:v>2006</c:v>
                </c:pt>
                <c:pt idx="285">
                  <c:v>2006</c:v>
                </c:pt>
                <c:pt idx="286">
                  <c:v>2006</c:v>
                </c:pt>
                <c:pt idx="287">
                  <c:v>2011</c:v>
                </c:pt>
                <c:pt idx="288">
                  <c:v>2011</c:v>
                </c:pt>
                <c:pt idx="289">
                  <c:v>2011</c:v>
                </c:pt>
                <c:pt idx="290">
                  <c:v>2011</c:v>
                </c:pt>
                <c:pt idx="291">
                  <c:v>2011</c:v>
                </c:pt>
                <c:pt idx="292">
                  <c:v>2011</c:v>
                </c:pt>
                <c:pt idx="293">
                  <c:v>2011</c:v>
                </c:pt>
                <c:pt idx="294">
                  <c:v>2011</c:v>
                </c:pt>
                <c:pt idx="295">
                  <c:v>2011</c:v>
                </c:pt>
                <c:pt idx="296">
                  <c:v>2011</c:v>
                </c:pt>
                <c:pt idx="297">
                  <c:v>2011</c:v>
                </c:pt>
                <c:pt idx="298">
                  <c:v>2011</c:v>
                </c:pt>
                <c:pt idx="299">
                  <c:v>2011</c:v>
                </c:pt>
                <c:pt idx="300">
                  <c:v>2011</c:v>
                </c:pt>
                <c:pt idx="301">
                  <c:v>2011</c:v>
                </c:pt>
                <c:pt idx="302">
                  <c:v>2011</c:v>
                </c:pt>
                <c:pt idx="303">
                  <c:v>2011</c:v>
                </c:pt>
                <c:pt idx="304">
                  <c:v>2011</c:v>
                </c:pt>
                <c:pt idx="305">
                  <c:v>2011</c:v>
                </c:pt>
                <c:pt idx="306">
                  <c:v>2011</c:v>
                </c:pt>
                <c:pt idx="307">
                  <c:v>2011</c:v>
                </c:pt>
                <c:pt idx="308">
                  <c:v>2011</c:v>
                </c:pt>
                <c:pt idx="309">
                  <c:v>2011</c:v>
                </c:pt>
                <c:pt idx="310">
                  <c:v>2011</c:v>
                </c:pt>
                <c:pt idx="311">
                  <c:v>2011</c:v>
                </c:pt>
                <c:pt idx="312">
                  <c:v>2011</c:v>
                </c:pt>
                <c:pt idx="313">
                  <c:v>2011</c:v>
                </c:pt>
                <c:pt idx="314">
                  <c:v>2011</c:v>
                </c:pt>
                <c:pt idx="315">
                  <c:v>2011</c:v>
                </c:pt>
                <c:pt idx="316">
                  <c:v>2011</c:v>
                </c:pt>
                <c:pt idx="317">
                  <c:v>2011</c:v>
                </c:pt>
                <c:pt idx="318">
                  <c:v>2011</c:v>
                </c:pt>
                <c:pt idx="319">
                  <c:v>2011</c:v>
                </c:pt>
                <c:pt idx="320">
                  <c:v>2011</c:v>
                </c:pt>
                <c:pt idx="321">
                  <c:v>2011</c:v>
                </c:pt>
                <c:pt idx="322">
                  <c:v>2011</c:v>
                </c:pt>
                <c:pt idx="323">
                  <c:v>2011</c:v>
                </c:pt>
                <c:pt idx="324">
                  <c:v>2011</c:v>
                </c:pt>
                <c:pt idx="325">
                  <c:v>2011</c:v>
                </c:pt>
                <c:pt idx="326">
                  <c:v>2011</c:v>
                </c:pt>
                <c:pt idx="327">
                  <c:v>2011</c:v>
                </c:pt>
                <c:pt idx="328">
                  <c:v>2011</c:v>
                </c:pt>
                <c:pt idx="329">
                  <c:v>2011</c:v>
                </c:pt>
                <c:pt idx="330">
                  <c:v>2011</c:v>
                </c:pt>
                <c:pt idx="331">
                  <c:v>2011</c:v>
                </c:pt>
                <c:pt idx="332">
                  <c:v>2011</c:v>
                </c:pt>
                <c:pt idx="333">
                  <c:v>2011</c:v>
                </c:pt>
                <c:pt idx="334">
                  <c:v>2011</c:v>
                </c:pt>
                <c:pt idx="335">
                  <c:v>2006</c:v>
                </c:pt>
                <c:pt idx="336">
                  <c:v>2006</c:v>
                </c:pt>
                <c:pt idx="337">
                  <c:v>2006</c:v>
                </c:pt>
                <c:pt idx="338">
                  <c:v>2006</c:v>
                </c:pt>
                <c:pt idx="339">
                  <c:v>2006</c:v>
                </c:pt>
                <c:pt idx="340">
                  <c:v>2006</c:v>
                </c:pt>
                <c:pt idx="341">
                  <c:v>2006</c:v>
                </c:pt>
                <c:pt idx="342">
                  <c:v>2006</c:v>
                </c:pt>
                <c:pt idx="343">
                  <c:v>2006</c:v>
                </c:pt>
                <c:pt idx="344">
                  <c:v>2006</c:v>
                </c:pt>
                <c:pt idx="345">
                  <c:v>2006</c:v>
                </c:pt>
                <c:pt idx="346">
                  <c:v>2006</c:v>
                </c:pt>
                <c:pt idx="347">
                  <c:v>2006</c:v>
                </c:pt>
                <c:pt idx="348">
                  <c:v>2006</c:v>
                </c:pt>
                <c:pt idx="349">
                  <c:v>2006</c:v>
                </c:pt>
                <c:pt idx="350">
                  <c:v>2006</c:v>
                </c:pt>
                <c:pt idx="351">
                  <c:v>2006</c:v>
                </c:pt>
                <c:pt idx="352">
                  <c:v>2006</c:v>
                </c:pt>
                <c:pt idx="353">
                  <c:v>2006</c:v>
                </c:pt>
                <c:pt idx="354">
                  <c:v>2006</c:v>
                </c:pt>
                <c:pt idx="355">
                  <c:v>2006</c:v>
                </c:pt>
                <c:pt idx="356">
                  <c:v>2006</c:v>
                </c:pt>
                <c:pt idx="357">
                  <c:v>2006</c:v>
                </c:pt>
                <c:pt idx="358">
                  <c:v>2006</c:v>
                </c:pt>
                <c:pt idx="359">
                  <c:v>2006</c:v>
                </c:pt>
                <c:pt idx="360">
                  <c:v>2005</c:v>
                </c:pt>
                <c:pt idx="361">
                  <c:v>2005</c:v>
                </c:pt>
                <c:pt idx="362">
                  <c:v>2005</c:v>
                </c:pt>
                <c:pt idx="363">
                  <c:v>2005</c:v>
                </c:pt>
                <c:pt idx="364">
                  <c:v>2005</c:v>
                </c:pt>
                <c:pt idx="365">
                  <c:v>2005</c:v>
                </c:pt>
                <c:pt idx="366">
                  <c:v>2006</c:v>
                </c:pt>
                <c:pt idx="367">
                  <c:v>2005</c:v>
                </c:pt>
                <c:pt idx="368">
                  <c:v>2005</c:v>
                </c:pt>
                <c:pt idx="369">
                  <c:v>2006</c:v>
                </c:pt>
                <c:pt idx="370">
                  <c:v>2007</c:v>
                </c:pt>
                <c:pt idx="371">
                  <c:v>2007</c:v>
                </c:pt>
                <c:pt idx="372">
                  <c:v>2008</c:v>
                </c:pt>
                <c:pt idx="373">
                  <c:v>2008</c:v>
                </c:pt>
                <c:pt idx="374">
                  <c:v>2008</c:v>
                </c:pt>
                <c:pt idx="375">
                  <c:v>2008</c:v>
                </c:pt>
                <c:pt idx="376">
                  <c:v>2008</c:v>
                </c:pt>
                <c:pt idx="377">
                  <c:v>2008</c:v>
                </c:pt>
                <c:pt idx="378">
                  <c:v>2008</c:v>
                </c:pt>
                <c:pt idx="379">
                  <c:v>2008</c:v>
                </c:pt>
                <c:pt idx="380">
                  <c:v>2008</c:v>
                </c:pt>
                <c:pt idx="381">
                  <c:v>2008</c:v>
                </c:pt>
                <c:pt idx="382">
                  <c:v>2008</c:v>
                </c:pt>
                <c:pt idx="383">
                  <c:v>2008</c:v>
                </c:pt>
                <c:pt idx="384">
                  <c:v>2008</c:v>
                </c:pt>
                <c:pt idx="385">
                  <c:v>2008</c:v>
                </c:pt>
                <c:pt idx="386">
                  <c:v>2008</c:v>
                </c:pt>
                <c:pt idx="387">
                  <c:v>2008</c:v>
                </c:pt>
                <c:pt idx="388">
                  <c:v>2008</c:v>
                </c:pt>
                <c:pt idx="389">
                  <c:v>2008</c:v>
                </c:pt>
                <c:pt idx="390">
                  <c:v>2008</c:v>
                </c:pt>
                <c:pt idx="391">
                  <c:v>2010</c:v>
                </c:pt>
                <c:pt idx="392">
                  <c:v>2010</c:v>
                </c:pt>
                <c:pt idx="393">
                  <c:v>2010</c:v>
                </c:pt>
                <c:pt idx="394">
                  <c:v>2010</c:v>
                </c:pt>
                <c:pt idx="395">
                  <c:v>2010</c:v>
                </c:pt>
                <c:pt idx="396">
                  <c:v>2009</c:v>
                </c:pt>
                <c:pt idx="397">
                  <c:v>2009</c:v>
                </c:pt>
                <c:pt idx="398">
                  <c:v>2009</c:v>
                </c:pt>
                <c:pt idx="399">
                  <c:v>2009</c:v>
                </c:pt>
                <c:pt idx="400">
                  <c:v>2009</c:v>
                </c:pt>
                <c:pt idx="401">
                  <c:v>2009</c:v>
                </c:pt>
                <c:pt idx="402">
                  <c:v>2009</c:v>
                </c:pt>
                <c:pt idx="403">
                  <c:v>2009</c:v>
                </c:pt>
                <c:pt idx="404">
                  <c:v>2009</c:v>
                </c:pt>
                <c:pt idx="405">
                  <c:v>2009</c:v>
                </c:pt>
                <c:pt idx="406">
                  <c:v>2009</c:v>
                </c:pt>
                <c:pt idx="407">
                  <c:v>2009</c:v>
                </c:pt>
                <c:pt idx="408">
                  <c:v>2009</c:v>
                </c:pt>
                <c:pt idx="409">
                  <c:v>2009</c:v>
                </c:pt>
                <c:pt idx="410">
                  <c:v>2009</c:v>
                </c:pt>
                <c:pt idx="411">
                  <c:v>2009</c:v>
                </c:pt>
                <c:pt idx="412">
                  <c:v>2009</c:v>
                </c:pt>
                <c:pt idx="413">
                  <c:v>2009</c:v>
                </c:pt>
                <c:pt idx="414">
                  <c:v>2009</c:v>
                </c:pt>
                <c:pt idx="415">
                  <c:v>2009</c:v>
                </c:pt>
                <c:pt idx="416">
                  <c:v>2009</c:v>
                </c:pt>
                <c:pt idx="417">
                  <c:v>2009</c:v>
                </c:pt>
                <c:pt idx="418">
                  <c:v>2009</c:v>
                </c:pt>
                <c:pt idx="419">
                  <c:v>2009</c:v>
                </c:pt>
                <c:pt idx="420">
                  <c:v>2009</c:v>
                </c:pt>
                <c:pt idx="421">
                  <c:v>2009</c:v>
                </c:pt>
                <c:pt idx="422">
                  <c:v>2009</c:v>
                </c:pt>
                <c:pt idx="423">
                  <c:v>2009</c:v>
                </c:pt>
                <c:pt idx="424">
                  <c:v>2009</c:v>
                </c:pt>
                <c:pt idx="425">
                  <c:v>2009</c:v>
                </c:pt>
                <c:pt idx="426">
                  <c:v>2009</c:v>
                </c:pt>
                <c:pt idx="427">
                  <c:v>2009</c:v>
                </c:pt>
                <c:pt idx="428">
                  <c:v>2009</c:v>
                </c:pt>
                <c:pt idx="429">
                  <c:v>2009</c:v>
                </c:pt>
                <c:pt idx="430">
                  <c:v>2009</c:v>
                </c:pt>
                <c:pt idx="431">
                  <c:v>2009</c:v>
                </c:pt>
                <c:pt idx="432">
                  <c:v>2009</c:v>
                </c:pt>
                <c:pt idx="433">
                  <c:v>2009</c:v>
                </c:pt>
                <c:pt idx="434">
                  <c:v>2009</c:v>
                </c:pt>
                <c:pt idx="435">
                  <c:v>2009</c:v>
                </c:pt>
                <c:pt idx="436">
                  <c:v>2009</c:v>
                </c:pt>
                <c:pt idx="437">
                  <c:v>2009</c:v>
                </c:pt>
                <c:pt idx="438">
                  <c:v>2009</c:v>
                </c:pt>
                <c:pt idx="439">
                  <c:v>2009</c:v>
                </c:pt>
                <c:pt idx="440">
                  <c:v>2009</c:v>
                </c:pt>
                <c:pt idx="441">
                  <c:v>2009</c:v>
                </c:pt>
                <c:pt idx="442">
                  <c:v>2009</c:v>
                </c:pt>
                <c:pt idx="443">
                  <c:v>2009</c:v>
                </c:pt>
                <c:pt idx="444">
                  <c:v>2009</c:v>
                </c:pt>
                <c:pt idx="445">
                  <c:v>2009</c:v>
                </c:pt>
                <c:pt idx="446">
                  <c:v>2009</c:v>
                </c:pt>
                <c:pt idx="447">
                  <c:v>2009</c:v>
                </c:pt>
                <c:pt idx="448">
                  <c:v>2010</c:v>
                </c:pt>
                <c:pt idx="449">
                  <c:v>2010</c:v>
                </c:pt>
                <c:pt idx="450">
                  <c:v>2010</c:v>
                </c:pt>
                <c:pt idx="451">
                  <c:v>2009</c:v>
                </c:pt>
                <c:pt idx="452">
                  <c:v>2009</c:v>
                </c:pt>
                <c:pt idx="453">
                  <c:v>2009</c:v>
                </c:pt>
                <c:pt idx="454">
                  <c:v>2009</c:v>
                </c:pt>
                <c:pt idx="455">
                  <c:v>2009</c:v>
                </c:pt>
                <c:pt idx="456">
                  <c:v>2010</c:v>
                </c:pt>
                <c:pt idx="457">
                  <c:v>2010</c:v>
                </c:pt>
                <c:pt idx="458">
                  <c:v>2010</c:v>
                </c:pt>
                <c:pt idx="459">
                  <c:v>2010</c:v>
                </c:pt>
                <c:pt idx="460">
                  <c:v>2010</c:v>
                </c:pt>
                <c:pt idx="461">
                  <c:v>2010</c:v>
                </c:pt>
                <c:pt idx="462">
                  <c:v>2010</c:v>
                </c:pt>
                <c:pt idx="463">
                  <c:v>2010</c:v>
                </c:pt>
                <c:pt idx="464">
                  <c:v>2010</c:v>
                </c:pt>
                <c:pt idx="465">
                  <c:v>2010</c:v>
                </c:pt>
                <c:pt idx="466">
                  <c:v>2010</c:v>
                </c:pt>
                <c:pt idx="467">
                  <c:v>2010</c:v>
                </c:pt>
                <c:pt idx="468">
                  <c:v>2010</c:v>
                </c:pt>
                <c:pt idx="469">
                  <c:v>2010</c:v>
                </c:pt>
                <c:pt idx="470">
                  <c:v>2010</c:v>
                </c:pt>
                <c:pt idx="471">
                  <c:v>2010</c:v>
                </c:pt>
                <c:pt idx="472">
                  <c:v>2010</c:v>
                </c:pt>
                <c:pt idx="473">
                  <c:v>2012</c:v>
                </c:pt>
                <c:pt idx="474">
                  <c:v>2012</c:v>
                </c:pt>
                <c:pt idx="475">
                  <c:v>2013</c:v>
                </c:pt>
                <c:pt idx="476">
                  <c:v>2013</c:v>
                </c:pt>
                <c:pt idx="477">
                  <c:v>2013</c:v>
                </c:pt>
                <c:pt idx="478">
                  <c:v>2015</c:v>
                </c:pt>
                <c:pt idx="479">
                  <c:v>2015</c:v>
                </c:pt>
                <c:pt idx="480">
                  <c:v>2011</c:v>
                </c:pt>
                <c:pt idx="481">
                  <c:v>2011</c:v>
                </c:pt>
                <c:pt idx="482">
                  <c:v>2012</c:v>
                </c:pt>
                <c:pt idx="483">
                  <c:v>2012</c:v>
                </c:pt>
                <c:pt idx="484">
                  <c:v>2012</c:v>
                </c:pt>
                <c:pt idx="485">
                  <c:v>2012</c:v>
                </c:pt>
                <c:pt idx="486">
                  <c:v>2012</c:v>
                </c:pt>
                <c:pt idx="487">
                  <c:v>2012</c:v>
                </c:pt>
                <c:pt idx="488">
                  <c:v>2012</c:v>
                </c:pt>
                <c:pt idx="489">
                  <c:v>2012</c:v>
                </c:pt>
                <c:pt idx="490">
                  <c:v>2012</c:v>
                </c:pt>
                <c:pt idx="491">
                  <c:v>2012</c:v>
                </c:pt>
                <c:pt idx="492">
                  <c:v>2012</c:v>
                </c:pt>
                <c:pt idx="493">
                  <c:v>2012</c:v>
                </c:pt>
                <c:pt idx="494">
                  <c:v>2012</c:v>
                </c:pt>
                <c:pt idx="495">
                  <c:v>2012</c:v>
                </c:pt>
                <c:pt idx="496">
                  <c:v>2012</c:v>
                </c:pt>
                <c:pt idx="497">
                  <c:v>2012</c:v>
                </c:pt>
                <c:pt idx="498">
                  <c:v>2012</c:v>
                </c:pt>
                <c:pt idx="499">
                  <c:v>2012</c:v>
                </c:pt>
                <c:pt idx="500">
                  <c:v>2012</c:v>
                </c:pt>
                <c:pt idx="501">
                  <c:v>2011</c:v>
                </c:pt>
                <c:pt idx="502">
                  <c:v>2011</c:v>
                </c:pt>
                <c:pt idx="503">
                  <c:v>2011</c:v>
                </c:pt>
                <c:pt idx="504">
                  <c:v>2011</c:v>
                </c:pt>
                <c:pt idx="505">
                  <c:v>2011</c:v>
                </c:pt>
                <c:pt idx="506">
                  <c:v>2011</c:v>
                </c:pt>
                <c:pt idx="507">
                  <c:v>2011</c:v>
                </c:pt>
                <c:pt idx="508">
                  <c:v>2011</c:v>
                </c:pt>
                <c:pt idx="509">
                  <c:v>2011</c:v>
                </c:pt>
                <c:pt idx="510">
                  <c:v>2011</c:v>
                </c:pt>
                <c:pt idx="511">
                  <c:v>2011</c:v>
                </c:pt>
                <c:pt idx="512">
                  <c:v>2011</c:v>
                </c:pt>
                <c:pt idx="513">
                  <c:v>2011</c:v>
                </c:pt>
                <c:pt idx="514">
                  <c:v>2011</c:v>
                </c:pt>
                <c:pt idx="515">
                  <c:v>2011</c:v>
                </c:pt>
                <c:pt idx="516">
                  <c:v>2011</c:v>
                </c:pt>
                <c:pt idx="517">
                  <c:v>2011</c:v>
                </c:pt>
                <c:pt idx="518">
                  <c:v>2011</c:v>
                </c:pt>
                <c:pt idx="519">
                  <c:v>2011</c:v>
                </c:pt>
                <c:pt idx="520">
                  <c:v>2011</c:v>
                </c:pt>
                <c:pt idx="521">
                  <c:v>2011</c:v>
                </c:pt>
                <c:pt idx="522">
                  <c:v>2011</c:v>
                </c:pt>
                <c:pt idx="523">
                  <c:v>2011</c:v>
                </c:pt>
                <c:pt idx="524">
                  <c:v>2011</c:v>
                </c:pt>
                <c:pt idx="525">
                  <c:v>2011</c:v>
                </c:pt>
                <c:pt idx="526">
                  <c:v>2011</c:v>
                </c:pt>
                <c:pt idx="527">
                  <c:v>2011</c:v>
                </c:pt>
                <c:pt idx="528">
                  <c:v>2011</c:v>
                </c:pt>
                <c:pt idx="529">
                  <c:v>2011</c:v>
                </c:pt>
                <c:pt idx="530">
                  <c:v>2011</c:v>
                </c:pt>
                <c:pt idx="531">
                  <c:v>2011</c:v>
                </c:pt>
                <c:pt idx="532">
                  <c:v>2011</c:v>
                </c:pt>
                <c:pt idx="533">
                  <c:v>2011</c:v>
                </c:pt>
                <c:pt idx="534">
                  <c:v>2011</c:v>
                </c:pt>
                <c:pt idx="535">
                  <c:v>2011</c:v>
                </c:pt>
                <c:pt idx="536">
                  <c:v>2011</c:v>
                </c:pt>
                <c:pt idx="537">
                  <c:v>2011</c:v>
                </c:pt>
                <c:pt idx="538">
                  <c:v>2011</c:v>
                </c:pt>
                <c:pt idx="539">
                  <c:v>2011</c:v>
                </c:pt>
                <c:pt idx="540">
                  <c:v>2011</c:v>
                </c:pt>
                <c:pt idx="541">
                  <c:v>2011</c:v>
                </c:pt>
                <c:pt idx="542">
                  <c:v>2011</c:v>
                </c:pt>
                <c:pt idx="543">
                  <c:v>2011</c:v>
                </c:pt>
                <c:pt idx="544">
                  <c:v>2011</c:v>
                </c:pt>
                <c:pt idx="545">
                  <c:v>2012</c:v>
                </c:pt>
                <c:pt idx="546">
                  <c:v>2012</c:v>
                </c:pt>
                <c:pt idx="547">
                  <c:v>2012</c:v>
                </c:pt>
                <c:pt idx="548">
                  <c:v>2012</c:v>
                </c:pt>
                <c:pt idx="549">
                  <c:v>2012</c:v>
                </c:pt>
                <c:pt idx="550">
                  <c:v>2012</c:v>
                </c:pt>
                <c:pt idx="551">
                  <c:v>2012</c:v>
                </c:pt>
                <c:pt idx="552">
                  <c:v>2012</c:v>
                </c:pt>
                <c:pt idx="553">
                  <c:v>2012</c:v>
                </c:pt>
                <c:pt idx="554">
                  <c:v>2012</c:v>
                </c:pt>
                <c:pt idx="555">
                  <c:v>2012</c:v>
                </c:pt>
                <c:pt idx="556">
                  <c:v>2012</c:v>
                </c:pt>
                <c:pt idx="557">
                  <c:v>2012</c:v>
                </c:pt>
                <c:pt idx="558">
                  <c:v>2012</c:v>
                </c:pt>
                <c:pt idx="559">
                  <c:v>2012</c:v>
                </c:pt>
                <c:pt idx="560">
                  <c:v>2012</c:v>
                </c:pt>
                <c:pt idx="561">
                  <c:v>2012</c:v>
                </c:pt>
                <c:pt idx="562">
                  <c:v>2012</c:v>
                </c:pt>
                <c:pt idx="563">
                  <c:v>2012</c:v>
                </c:pt>
                <c:pt idx="564">
                  <c:v>2012</c:v>
                </c:pt>
                <c:pt idx="565">
                  <c:v>2012</c:v>
                </c:pt>
                <c:pt idx="566">
                  <c:v>2012</c:v>
                </c:pt>
                <c:pt idx="567">
                  <c:v>2012</c:v>
                </c:pt>
                <c:pt idx="568">
                  <c:v>2012</c:v>
                </c:pt>
                <c:pt idx="569">
                  <c:v>2012</c:v>
                </c:pt>
                <c:pt idx="570">
                  <c:v>2012</c:v>
                </c:pt>
                <c:pt idx="571">
                  <c:v>2012</c:v>
                </c:pt>
                <c:pt idx="572">
                  <c:v>2012</c:v>
                </c:pt>
                <c:pt idx="573">
                  <c:v>2012</c:v>
                </c:pt>
                <c:pt idx="574">
                  <c:v>2012</c:v>
                </c:pt>
                <c:pt idx="575">
                  <c:v>2012</c:v>
                </c:pt>
                <c:pt idx="576">
                  <c:v>2012</c:v>
                </c:pt>
                <c:pt idx="577">
                  <c:v>2012</c:v>
                </c:pt>
                <c:pt idx="578">
                  <c:v>2012</c:v>
                </c:pt>
                <c:pt idx="579">
                  <c:v>2012</c:v>
                </c:pt>
                <c:pt idx="580">
                  <c:v>2012</c:v>
                </c:pt>
                <c:pt idx="581">
                  <c:v>2012</c:v>
                </c:pt>
                <c:pt idx="582">
                  <c:v>2012</c:v>
                </c:pt>
                <c:pt idx="583">
                  <c:v>2012</c:v>
                </c:pt>
                <c:pt idx="584">
                  <c:v>2012</c:v>
                </c:pt>
                <c:pt idx="585">
                  <c:v>2012</c:v>
                </c:pt>
                <c:pt idx="586">
                  <c:v>2012</c:v>
                </c:pt>
                <c:pt idx="587">
                  <c:v>2012</c:v>
                </c:pt>
                <c:pt idx="588">
                  <c:v>2012</c:v>
                </c:pt>
                <c:pt idx="589">
                  <c:v>2012</c:v>
                </c:pt>
                <c:pt idx="590">
                  <c:v>2012</c:v>
                </c:pt>
                <c:pt idx="591">
                  <c:v>2012</c:v>
                </c:pt>
                <c:pt idx="592">
                  <c:v>2012</c:v>
                </c:pt>
                <c:pt idx="593">
                  <c:v>2012</c:v>
                </c:pt>
                <c:pt idx="594">
                  <c:v>2012</c:v>
                </c:pt>
                <c:pt idx="595">
                  <c:v>2012</c:v>
                </c:pt>
                <c:pt idx="596">
                  <c:v>2012</c:v>
                </c:pt>
                <c:pt idx="597">
                  <c:v>2012</c:v>
                </c:pt>
                <c:pt idx="598">
                  <c:v>2012</c:v>
                </c:pt>
                <c:pt idx="599">
                  <c:v>2012</c:v>
                </c:pt>
                <c:pt idx="600">
                  <c:v>2012</c:v>
                </c:pt>
                <c:pt idx="601">
                  <c:v>2012</c:v>
                </c:pt>
                <c:pt idx="602">
                  <c:v>2012</c:v>
                </c:pt>
                <c:pt idx="603">
                  <c:v>2012</c:v>
                </c:pt>
                <c:pt idx="604">
                  <c:v>2012</c:v>
                </c:pt>
                <c:pt idx="605">
                  <c:v>2012</c:v>
                </c:pt>
                <c:pt idx="606">
                  <c:v>2012</c:v>
                </c:pt>
                <c:pt idx="607">
                  <c:v>2012</c:v>
                </c:pt>
                <c:pt idx="608">
                  <c:v>2012</c:v>
                </c:pt>
                <c:pt idx="609">
                  <c:v>2012</c:v>
                </c:pt>
                <c:pt idx="610">
                  <c:v>2012</c:v>
                </c:pt>
                <c:pt idx="611">
                  <c:v>2012</c:v>
                </c:pt>
                <c:pt idx="612">
                  <c:v>2012</c:v>
                </c:pt>
                <c:pt idx="613">
                  <c:v>2012</c:v>
                </c:pt>
                <c:pt idx="614">
                  <c:v>2012</c:v>
                </c:pt>
                <c:pt idx="615">
                  <c:v>2012</c:v>
                </c:pt>
                <c:pt idx="616">
                  <c:v>2012</c:v>
                </c:pt>
                <c:pt idx="617">
                  <c:v>2012</c:v>
                </c:pt>
                <c:pt idx="618">
                  <c:v>2012</c:v>
                </c:pt>
                <c:pt idx="619">
                  <c:v>2012</c:v>
                </c:pt>
                <c:pt idx="620">
                  <c:v>2012</c:v>
                </c:pt>
                <c:pt idx="621">
                  <c:v>2012</c:v>
                </c:pt>
                <c:pt idx="622">
                  <c:v>2012</c:v>
                </c:pt>
                <c:pt idx="623">
                  <c:v>2012</c:v>
                </c:pt>
                <c:pt idx="624">
                  <c:v>2012</c:v>
                </c:pt>
                <c:pt idx="625">
                  <c:v>2012</c:v>
                </c:pt>
                <c:pt idx="626">
                  <c:v>2012</c:v>
                </c:pt>
                <c:pt idx="627">
                  <c:v>2012</c:v>
                </c:pt>
                <c:pt idx="628">
                  <c:v>2012</c:v>
                </c:pt>
                <c:pt idx="629">
                  <c:v>2012</c:v>
                </c:pt>
                <c:pt idx="630">
                  <c:v>2012</c:v>
                </c:pt>
                <c:pt idx="631">
                  <c:v>2012</c:v>
                </c:pt>
                <c:pt idx="632">
                  <c:v>2012</c:v>
                </c:pt>
                <c:pt idx="633">
                  <c:v>2012</c:v>
                </c:pt>
                <c:pt idx="634">
                  <c:v>2012</c:v>
                </c:pt>
                <c:pt idx="635">
                  <c:v>2012</c:v>
                </c:pt>
                <c:pt idx="636">
                  <c:v>2012</c:v>
                </c:pt>
                <c:pt idx="637">
                  <c:v>2012</c:v>
                </c:pt>
                <c:pt idx="638">
                  <c:v>2012</c:v>
                </c:pt>
                <c:pt idx="639">
                  <c:v>2012</c:v>
                </c:pt>
                <c:pt idx="640">
                  <c:v>2012</c:v>
                </c:pt>
                <c:pt idx="641">
                  <c:v>2012</c:v>
                </c:pt>
                <c:pt idx="642">
                  <c:v>2012</c:v>
                </c:pt>
                <c:pt idx="643">
                  <c:v>2012</c:v>
                </c:pt>
                <c:pt idx="644">
                  <c:v>2012</c:v>
                </c:pt>
                <c:pt idx="645">
                  <c:v>2012</c:v>
                </c:pt>
                <c:pt idx="646">
                  <c:v>2012</c:v>
                </c:pt>
                <c:pt idx="647">
                  <c:v>2012</c:v>
                </c:pt>
                <c:pt idx="648">
                  <c:v>2012</c:v>
                </c:pt>
                <c:pt idx="649">
                  <c:v>2012</c:v>
                </c:pt>
                <c:pt idx="650">
                  <c:v>2012</c:v>
                </c:pt>
                <c:pt idx="651">
                  <c:v>2012</c:v>
                </c:pt>
                <c:pt idx="652">
                  <c:v>2012</c:v>
                </c:pt>
                <c:pt idx="653">
                  <c:v>2012</c:v>
                </c:pt>
                <c:pt idx="654">
                  <c:v>2012</c:v>
                </c:pt>
                <c:pt idx="655">
                  <c:v>2012</c:v>
                </c:pt>
                <c:pt idx="656">
                  <c:v>2012</c:v>
                </c:pt>
                <c:pt idx="657">
                  <c:v>2012</c:v>
                </c:pt>
                <c:pt idx="658">
                  <c:v>2012</c:v>
                </c:pt>
                <c:pt idx="659">
                  <c:v>2012</c:v>
                </c:pt>
                <c:pt idx="660">
                  <c:v>2012</c:v>
                </c:pt>
                <c:pt idx="661">
                  <c:v>2012</c:v>
                </c:pt>
                <c:pt idx="662">
                  <c:v>2012</c:v>
                </c:pt>
                <c:pt idx="663">
                  <c:v>2012</c:v>
                </c:pt>
                <c:pt idx="664">
                  <c:v>2012</c:v>
                </c:pt>
                <c:pt idx="665">
                  <c:v>2012</c:v>
                </c:pt>
                <c:pt idx="666">
                  <c:v>2012</c:v>
                </c:pt>
                <c:pt idx="667">
                  <c:v>2012</c:v>
                </c:pt>
                <c:pt idx="668">
                  <c:v>2012</c:v>
                </c:pt>
                <c:pt idx="669">
                  <c:v>2012</c:v>
                </c:pt>
                <c:pt idx="670">
                  <c:v>2012</c:v>
                </c:pt>
                <c:pt idx="671">
                  <c:v>2012</c:v>
                </c:pt>
                <c:pt idx="672">
                  <c:v>2012</c:v>
                </c:pt>
                <c:pt idx="673">
                  <c:v>2012</c:v>
                </c:pt>
                <c:pt idx="674">
                  <c:v>2012</c:v>
                </c:pt>
                <c:pt idx="675">
                  <c:v>2012</c:v>
                </c:pt>
                <c:pt idx="676">
                  <c:v>2012</c:v>
                </c:pt>
                <c:pt idx="677">
                  <c:v>2012</c:v>
                </c:pt>
                <c:pt idx="678">
                  <c:v>2012</c:v>
                </c:pt>
                <c:pt idx="679">
                  <c:v>2012</c:v>
                </c:pt>
                <c:pt idx="680">
                  <c:v>2012</c:v>
                </c:pt>
                <c:pt idx="681">
                  <c:v>2012</c:v>
                </c:pt>
                <c:pt idx="682">
                  <c:v>2012</c:v>
                </c:pt>
                <c:pt idx="683">
                  <c:v>2012</c:v>
                </c:pt>
                <c:pt idx="684">
                  <c:v>2012</c:v>
                </c:pt>
                <c:pt idx="685">
                  <c:v>2012</c:v>
                </c:pt>
                <c:pt idx="686">
                  <c:v>2012</c:v>
                </c:pt>
                <c:pt idx="687">
                  <c:v>2012</c:v>
                </c:pt>
                <c:pt idx="688">
                  <c:v>2012</c:v>
                </c:pt>
                <c:pt idx="689">
                  <c:v>2012</c:v>
                </c:pt>
                <c:pt idx="690">
                  <c:v>2012</c:v>
                </c:pt>
                <c:pt idx="691">
                  <c:v>2012</c:v>
                </c:pt>
                <c:pt idx="692">
                  <c:v>2012</c:v>
                </c:pt>
                <c:pt idx="693">
                  <c:v>2012</c:v>
                </c:pt>
                <c:pt idx="694">
                  <c:v>2012</c:v>
                </c:pt>
                <c:pt idx="695">
                  <c:v>2012</c:v>
                </c:pt>
                <c:pt idx="696">
                  <c:v>2012</c:v>
                </c:pt>
                <c:pt idx="697">
                  <c:v>2012</c:v>
                </c:pt>
                <c:pt idx="698">
                  <c:v>2012</c:v>
                </c:pt>
                <c:pt idx="699">
                  <c:v>2012</c:v>
                </c:pt>
                <c:pt idx="700">
                  <c:v>2012</c:v>
                </c:pt>
                <c:pt idx="701">
                  <c:v>2012</c:v>
                </c:pt>
                <c:pt idx="702">
                  <c:v>2012</c:v>
                </c:pt>
                <c:pt idx="703">
                  <c:v>2012</c:v>
                </c:pt>
                <c:pt idx="704">
                  <c:v>2012</c:v>
                </c:pt>
                <c:pt idx="705">
                  <c:v>2012</c:v>
                </c:pt>
                <c:pt idx="706">
                  <c:v>2012</c:v>
                </c:pt>
                <c:pt idx="707">
                  <c:v>2012</c:v>
                </c:pt>
                <c:pt idx="708">
                  <c:v>2012</c:v>
                </c:pt>
                <c:pt idx="709">
                  <c:v>2012</c:v>
                </c:pt>
                <c:pt idx="710">
                  <c:v>2012</c:v>
                </c:pt>
                <c:pt idx="711">
                  <c:v>2012</c:v>
                </c:pt>
                <c:pt idx="712">
                  <c:v>2012</c:v>
                </c:pt>
                <c:pt idx="713">
                  <c:v>2012</c:v>
                </c:pt>
                <c:pt idx="714">
                  <c:v>2012</c:v>
                </c:pt>
                <c:pt idx="715">
                  <c:v>2012</c:v>
                </c:pt>
                <c:pt idx="716">
                  <c:v>2012</c:v>
                </c:pt>
                <c:pt idx="717">
                  <c:v>2012</c:v>
                </c:pt>
                <c:pt idx="718">
                  <c:v>2012</c:v>
                </c:pt>
                <c:pt idx="719">
                  <c:v>2012</c:v>
                </c:pt>
                <c:pt idx="720">
                  <c:v>2012</c:v>
                </c:pt>
                <c:pt idx="721">
                  <c:v>2012</c:v>
                </c:pt>
                <c:pt idx="722">
                  <c:v>2012</c:v>
                </c:pt>
                <c:pt idx="723">
                  <c:v>2012</c:v>
                </c:pt>
                <c:pt idx="724">
                  <c:v>2012</c:v>
                </c:pt>
                <c:pt idx="725">
                  <c:v>2012</c:v>
                </c:pt>
                <c:pt idx="726">
                  <c:v>2012</c:v>
                </c:pt>
                <c:pt idx="727">
                  <c:v>2012</c:v>
                </c:pt>
                <c:pt idx="728">
                  <c:v>2012</c:v>
                </c:pt>
                <c:pt idx="729">
                  <c:v>2012</c:v>
                </c:pt>
                <c:pt idx="730">
                  <c:v>2012</c:v>
                </c:pt>
                <c:pt idx="731">
                  <c:v>2012</c:v>
                </c:pt>
                <c:pt idx="732">
                  <c:v>2012</c:v>
                </c:pt>
                <c:pt idx="733">
                  <c:v>2012</c:v>
                </c:pt>
                <c:pt idx="734">
                  <c:v>2012</c:v>
                </c:pt>
                <c:pt idx="735">
                  <c:v>2012</c:v>
                </c:pt>
                <c:pt idx="736">
                  <c:v>2012</c:v>
                </c:pt>
                <c:pt idx="737">
                  <c:v>2012</c:v>
                </c:pt>
                <c:pt idx="738">
                  <c:v>2012</c:v>
                </c:pt>
                <c:pt idx="739">
                  <c:v>2012</c:v>
                </c:pt>
                <c:pt idx="740">
                  <c:v>2012</c:v>
                </c:pt>
                <c:pt idx="741">
                  <c:v>2012</c:v>
                </c:pt>
                <c:pt idx="742">
                  <c:v>2012</c:v>
                </c:pt>
                <c:pt idx="743">
                  <c:v>2012</c:v>
                </c:pt>
                <c:pt idx="744">
                  <c:v>2012</c:v>
                </c:pt>
                <c:pt idx="745">
                  <c:v>2012</c:v>
                </c:pt>
                <c:pt idx="746">
                  <c:v>2012</c:v>
                </c:pt>
                <c:pt idx="747">
                  <c:v>2012</c:v>
                </c:pt>
                <c:pt idx="748">
                  <c:v>2012</c:v>
                </c:pt>
                <c:pt idx="749">
                  <c:v>2012</c:v>
                </c:pt>
                <c:pt idx="750">
                  <c:v>2012</c:v>
                </c:pt>
                <c:pt idx="751">
                  <c:v>2012</c:v>
                </c:pt>
                <c:pt idx="752">
                  <c:v>2011</c:v>
                </c:pt>
                <c:pt idx="753">
                  <c:v>2011</c:v>
                </c:pt>
                <c:pt idx="754">
                  <c:v>2011</c:v>
                </c:pt>
                <c:pt idx="755">
                  <c:v>2011</c:v>
                </c:pt>
                <c:pt idx="756">
                  <c:v>2011</c:v>
                </c:pt>
                <c:pt idx="757">
                  <c:v>2011</c:v>
                </c:pt>
                <c:pt idx="758">
                  <c:v>2011</c:v>
                </c:pt>
                <c:pt idx="759">
                  <c:v>2011</c:v>
                </c:pt>
                <c:pt idx="760">
                  <c:v>2011</c:v>
                </c:pt>
                <c:pt idx="761">
                  <c:v>2011</c:v>
                </c:pt>
                <c:pt idx="762">
                  <c:v>2011</c:v>
                </c:pt>
                <c:pt idx="763">
                  <c:v>2013</c:v>
                </c:pt>
                <c:pt idx="764">
                  <c:v>2013</c:v>
                </c:pt>
                <c:pt idx="765">
                  <c:v>2013</c:v>
                </c:pt>
                <c:pt idx="766">
                  <c:v>2013</c:v>
                </c:pt>
                <c:pt idx="767">
                  <c:v>2013</c:v>
                </c:pt>
                <c:pt idx="768">
                  <c:v>2013</c:v>
                </c:pt>
                <c:pt idx="769">
                  <c:v>2013</c:v>
                </c:pt>
                <c:pt idx="770">
                  <c:v>2013</c:v>
                </c:pt>
                <c:pt idx="771">
                  <c:v>2013</c:v>
                </c:pt>
                <c:pt idx="772">
                  <c:v>2013</c:v>
                </c:pt>
                <c:pt idx="773">
                  <c:v>2013</c:v>
                </c:pt>
                <c:pt idx="774">
                  <c:v>2013</c:v>
                </c:pt>
                <c:pt idx="775">
                  <c:v>2013</c:v>
                </c:pt>
                <c:pt idx="776">
                  <c:v>2013</c:v>
                </c:pt>
                <c:pt idx="777">
                  <c:v>2013</c:v>
                </c:pt>
                <c:pt idx="778">
                  <c:v>2013</c:v>
                </c:pt>
                <c:pt idx="779">
                  <c:v>2013</c:v>
                </c:pt>
                <c:pt idx="780">
                  <c:v>2013</c:v>
                </c:pt>
                <c:pt idx="781">
                  <c:v>2013</c:v>
                </c:pt>
                <c:pt idx="782">
                  <c:v>2013</c:v>
                </c:pt>
                <c:pt idx="783">
                  <c:v>2013</c:v>
                </c:pt>
                <c:pt idx="784">
                  <c:v>2013</c:v>
                </c:pt>
                <c:pt idx="785">
                  <c:v>2013</c:v>
                </c:pt>
                <c:pt idx="786">
                  <c:v>2013</c:v>
                </c:pt>
                <c:pt idx="787">
                  <c:v>2013</c:v>
                </c:pt>
                <c:pt idx="788">
                  <c:v>2013</c:v>
                </c:pt>
                <c:pt idx="789">
                  <c:v>2015</c:v>
                </c:pt>
                <c:pt idx="790">
                  <c:v>2015</c:v>
                </c:pt>
                <c:pt idx="791">
                  <c:v>2015</c:v>
                </c:pt>
                <c:pt idx="792">
                  <c:v>2015</c:v>
                </c:pt>
                <c:pt idx="793">
                  <c:v>2015</c:v>
                </c:pt>
                <c:pt idx="794">
                  <c:v>2015</c:v>
                </c:pt>
                <c:pt idx="795">
                  <c:v>2015</c:v>
                </c:pt>
                <c:pt idx="796">
                  <c:v>2015</c:v>
                </c:pt>
                <c:pt idx="797">
                  <c:v>2015</c:v>
                </c:pt>
                <c:pt idx="798">
                  <c:v>2015</c:v>
                </c:pt>
                <c:pt idx="799">
                  <c:v>2015</c:v>
                </c:pt>
                <c:pt idx="800">
                  <c:v>2014</c:v>
                </c:pt>
                <c:pt idx="801">
                  <c:v>2014</c:v>
                </c:pt>
                <c:pt idx="802">
                  <c:v>2014</c:v>
                </c:pt>
                <c:pt idx="803">
                  <c:v>2014</c:v>
                </c:pt>
                <c:pt idx="804">
                  <c:v>2014</c:v>
                </c:pt>
                <c:pt idx="805">
                  <c:v>2014</c:v>
                </c:pt>
                <c:pt idx="806">
                  <c:v>2014</c:v>
                </c:pt>
                <c:pt idx="807">
                  <c:v>2014</c:v>
                </c:pt>
                <c:pt idx="808">
                  <c:v>2014</c:v>
                </c:pt>
                <c:pt idx="809">
                  <c:v>2014</c:v>
                </c:pt>
                <c:pt idx="810">
                  <c:v>2014</c:v>
                </c:pt>
                <c:pt idx="811">
                  <c:v>2014</c:v>
                </c:pt>
                <c:pt idx="812">
                  <c:v>2014</c:v>
                </c:pt>
                <c:pt idx="813">
                  <c:v>2014</c:v>
                </c:pt>
                <c:pt idx="814">
                  <c:v>2014</c:v>
                </c:pt>
                <c:pt idx="815">
                  <c:v>2014</c:v>
                </c:pt>
                <c:pt idx="816">
                  <c:v>2014</c:v>
                </c:pt>
                <c:pt idx="817">
                  <c:v>2014</c:v>
                </c:pt>
                <c:pt idx="818">
                  <c:v>2014</c:v>
                </c:pt>
                <c:pt idx="819">
                  <c:v>2014</c:v>
                </c:pt>
                <c:pt idx="820">
                  <c:v>2014</c:v>
                </c:pt>
                <c:pt idx="821">
                  <c:v>2014</c:v>
                </c:pt>
                <c:pt idx="822">
                  <c:v>2014</c:v>
                </c:pt>
                <c:pt idx="823">
                  <c:v>2014</c:v>
                </c:pt>
                <c:pt idx="824">
                  <c:v>2014</c:v>
                </c:pt>
                <c:pt idx="825">
                  <c:v>2014</c:v>
                </c:pt>
                <c:pt idx="826">
                  <c:v>2014</c:v>
                </c:pt>
                <c:pt idx="827">
                  <c:v>2014</c:v>
                </c:pt>
                <c:pt idx="828">
                  <c:v>2014</c:v>
                </c:pt>
                <c:pt idx="829">
                  <c:v>2014</c:v>
                </c:pt>
                <c:pt idx="830">
                  <c:v>2014</c:v>
                </c:pt>
                <c:pt idx="831">
                  <c:v>2014</c:v>
                </c:pt>
                <c:pt idx="832">
                  <c:v>2014</c:v>
                </c:pt>
                <c:pt idx="833">
                  <c:v>2014</c:v>
                </c:pt>
                <c:pt idx="834">
                  <c:v>2014</c:v>
                </c:pt>
                <c:pt idx="835">
                  <c:v>2014</c:v>
                </c:pt>
                <c:pt idx="836">
                  <c:v>2014</c:v>
                </c:pt>
                <c:pt idx="837">
                  <c:v>2014</c:v>
                </c:pt>
                <c:pt idx="838">
                  <c:v>2014</c:v>
                </c:pt>
                <c:pt idx="839">
                  <c:v>2014</c:v>
                </c:pt>
                <c:pt idx="840">
                  <c:v>2014</c:v>
                </c:pt>
                <c:pt idx="841">
                  <c:v>2014</c:v>
                </c:pt>
                <c:pt idx="842">
                  <c:v>2014</c:v>
                </c:pt>
                <c:pt idx="843">
                  <c:v>2014</c:v>
                </c:pt>
                <c:pt idx="844">
                  <c:v>2014</c:v>
                </c:pt>
                <c:pt idx="845">
                  <c:v>2014</c:v>
                </c:pt>
                <c:pt idx="846">
                  <c:v>2014</c:v>
                </c:pt>
                <c:pt idx="847">
                  <c:v>2014</c:v>
                </c:pt>
                <c:pt idx="848">
                  <c:v>2014</c:v>
                </c:pt>
                <c:pt idx="849">
                  <c:v>2014</c:v>
                </c:pt>
                <c:pt idx="850">
                  <c:v>2014</c:v>
                </c:pt>
                <c:pt idx="851">
                  <c:v>2014</c:v>
                </c:pt>
                <c:pt idx="852">
                  <c:v>2014</c:v>
                </c:pt>
                <c:pt idx="853">
                  <c:v>2014</c:v>
                </c:pt>
                <c:pt idx="854">
                  <c:v>2014</c:v>
                </c:pt>
                <c:pt idx="855">
                  <c:v>2014</c:v>
                </c:pt>
                <c:pt idx="856">
                  <c:v>2014</c:v>
                </c:pt>
                <c:pt idx="857">
                  <c:v>2014</c:v>
                </c:pt>
                <c:pt idx="858">
                  <c:v>2014</c:v>
                </c:pt>
                <c:pt idx="859">
                  <c:v>2014</c:v>
                </c:pt>
                <c:pt idx="860">
                  <c:v>2014</c:v>
                </c:pt>
                <c:pt idx="861">
                  <c:v>2014</c:v>
                </c:pt>
                <c:pt idx="862">
                  <c:v>2014</c:v>
                </c:pt>
                <c:pt idx="863">
                  <c:v>2014</c:v>
                </c:pt>
                <c:pt idx="864">
                  <c:v>2014</c:v>
                </c:pt>
                <c:pt idx="865">
                  <c:v>2014</c:v>
                </c:pt>
                <c:pt idx="866">
                  <c:v>2014</c:v>
                </c:pt>
                <c:pt idx="867">
                  <c:v>2014</c:v>
                </c:pt>
                <c:pt idx="868">
                  <c:v>2014</c:v>
                </c:pt>
                <c:pt idx="869">
                  <c:v>2014</c:v>
                </c:pt>
                <c:pt idx="870">
                  <c:v>2014</c:v>
                </c:pt>
                <c:pt idx="871">
                  <c:v>2014</c:v>
                </c:pt>
                <c:pt idx="872">
                  <c:v>2014</c:v>
                </c:pt>
                <c:pt idx="873">
                  <c:v>2014</c:v>
                </c:pt>
                <c:pt idx="874">
                  <c:v>2014</c:v>
                </c:pt>
                <c:pt idx="875">
                  <c:v>2014</c:v>
                </c:pt>
                <c:pt idx="876">
                  <c:v>2014</c:v>
                </c:pt>
                <c:pt idx="877">
                  <c:v>2014</c:v>
                </c:pt>
                <c:pt idx="878">
                  <c:v>2014</c:v>
                </c:pt>
                <c:pt idx="879">
                  <c:v>2014</c:v>
                </c:pt>
                <c:pt idx="880">
                  <c:v>2014</c:v>
                </c:pt>
                <c:pt idx="881">
                  <c:v>2014</c:v>
                </c:pt>
                <c:pt idx="882">
                  <c:v>2014</c:v>
                </c:pt>
                <c:pt idx="883">
                  <c:v>2014</c:v>
                </c:pt>
                <c:pt idx="884">
                  <c:v>2014</c:v>
                </c:pt>
                <c:pt idx="885">
                  <c:v>2014</c:v>
                </c:pt>
                <c:pt idx="886">
                  <c:v>2014</c:v>
                </c:pt>
                <c:pt idx="887">
                  <c:v>2014</c:v>
                </c:pt>
                <c:pt idx="888">
                  <c:v>2014</c:v>
                </c:pt>
                <c:pt idx="889">
                  <c:v>2013</c:v>
                </c:pt>
                <c:pt idx="890">
                  <c:v>2013</c:v>
                </c:pt>
                <c:pt idx="891">
                  <c:v>2013</c:v>
                </c:pt>
                <c:pt idx="892">
                  <c:v>2013</c:v>
                </c:pt>
                <c:pt idx="893">
                  <c:v>2013</c:v>
                </c:pt>
                <c:pt idx="894">
                  <c:v>2013</c:v>
                </c:pt>
                <c:pt idx="895">
                  <c:v>2013</c:v>
                </c:pt>
                <c:pt idx="896">
                  <c:v>2015</c:v>
                </c:pt>
                <c:pt idx="897">
                  <c:v>2015</c:v>
                </c:pt>
                <c:pt idx="898">
                  <c:v>2015</c:v>
                </c:pt>
                <c:pt idx="899">
                  <c:v>2015</c:v>
                </c:pt>
                <c:pt idx="900">
                  <c:v>2015</c:v>
                </c:pt>
                <c:pt idx="901">
                  <c:v>2015</c:v>
                </c:pt>
                <c:pt idx="902">
                  <c:v>2015</c:v>
                </c:pt>
                <c:pt idx="903">
                  <c:v>2015</c:v>
                </c:pt>
                <c:pt idx="904">
                  <c:v>2015</c:v>
                </c:pt>
                <c:pt idx="905">
                  <c:v>2015</c:v>
                </c:pt>
                <c:pt idx="906">
                  <c:v>2015</c:v>
                </c:pt>
                <c:pt idx="907">
                  <c:v>2015</c:v>
                </c:pt>
                <c:pt idx="908">
                  <c:v>2015</c:v>
                </c:pt>
                <c:pt idx="909">
                  <c:v>2015</c:v>
                </c:pt>
                <c:pt idx="910">
                  <c:v>2015</c:v>
                </c:pt>
                <c:pt idx="911">
                  <c:v>2015</c:v>
                </c:pt>
                <c:pt idx="912">
                  <c:v>2015</c:v>
                </c:pt>
                <c:pt idx="913">
                  <c:v>2015</c:v>
                </c:pt>
                <c:pt idx="914">
                  <c:v>2015</c:v>
                </c:pt>
                <c:pt idx="915">
                  <c:v>2015</c:v>
                </c:pt>
                <c:pt idx="916">
                  <c:v>2015</c:v>
                </c:pt>
                <c:pt idx="917">
                  <c:v>2015</c:v>
                </c:pt>
                <c:pt idx="918">
                  <c:v>2015</c:v>
                </c:pt>
                <c:pt idx="919">
                  <c:v>2015</c:v>
                </c:pt>
                <c:pt idx="920">
                  <c:v>2015</c:v>
                </c:pt>
                <c:pt idx="921">
                  <c:v>2015</c:v>
                </c:pt>
                <c:pt idx="922">
                  <c:v>2015</c:v>
                </c:pt>
                <c:pt idx="923">
                  <c:v>2015</c:v>
                </c:pt>
                <c:pt idx="924">
                  <c:v>2015</c:v>
                </c:pt>
                <c:pt idx="925">
                  <c:v>2014</c:v>
                </c:pt>
                <c:pt idx="926">
                  <c:v>2014</c:v>
                </c:pt>
                <c:pt idx="927">
                  <c:v>2014</c:v>
                </c:pt>
                <c:pt idx="928">
                  <c:v>2014</c:v>
                </c:pt>
                <c:pt idx="929">
                  <c:v>2014</c:v>
                </c:pt>
                <c:pt idx="930">
                  <c:v>2014</c:v>
                </c:pt>
                <c:pt idx="931">
                  <c:v>2014</c:v>
                </c:pt>
                <c:pt idx="932">
                  <c:v>2014</c:v>
                </c:pt>
                <c:pt idx="933">
                  <c:v>2014</c:v>
                </c:pt>
                <c:pt idx="934">
                  <c:v>2014</c:v>
                </c:pt>
                <c:pt idx="935">
                  <c:v>2014</c:v>
                </c:pt>
                <c:pt idx="936">
                  <c:v>2014</c:v>
                </c:pt>
                <c:pt idx="937">
                  <c:v>2012</c:v>
                </c:pt>
                <c:pt idx="938">
                  <c:v>2012</c:v>
                </c:pt>
                <c:pt idx="939">
                  <c:v>2013</c:v>
                </c:pt>
                <c:pt idx="940">
                  <c:v>2013</c:v>
                </c:pt>
                <c:pt idx="941">
                  <c:v>2013</c:v>
                </c:pt>
                <c:pt idx="942">
                  <c:v>2013</c:v>
                </c:pt>
                <c:pt idx="943">
                  <c:v>2013</c:v>
                </c:pt>
                <c:pt idx="944">
                  <c:v>2013</c:v>
                </c:pt>
                <c:pt idx="945">
                  <c:v>2015</c:v>
                </c:pt>
                <c:pt idx="946">
                  <c:v>2015</c:v>
                </c:pt>
                <c:pt idx="947">
                  <c:v>2015</c:v>
                </c:pt>
                <c:pt idx="948">
                  <c:v>2015</c:v>
                </c:pt>
                <c:pt idx="949">
                  <c:v>2015</c:v>
                </c:pt>
                <c:pt idx="950">
                  <c:v>2015</c:v>
                </c:pt>
                <c:pt idx="951">
                  <c:v>2015</c:v>
                </c:pt>
                <c:pt idx="952">
                  <c:v>2015</c:v>
                </c:pt>
                <c:pt idx="953">
                  <c:v>2015</c:v>
                </c:pt>
                <c:pt idx="954">
                  <c:v>2015</c:v>
                </c:pt>
                <c:pt idx="955">
                  <c:v>2015</c:v>
                </c:pt>
                <c:pt idx="956">
                  <c:v>2014</c:v>
                </c:pt>
                <c:pt idx="957">
                  <c:v>2014</c:v>
                </c:pt>
                <c:pt idx="958">
                  <c:v>2014</c:v>
                </c:pt>
                <c:pt idx="959">
                  <c:v>2014</c:v>
                </c:pt>
                <c:pt idx="960">
                  <c:v>2014</c:v>
                </c:pt>
                <c:pt idx="961">
                  <c:v>2014</c:v>
                </c:pt>
                <c:pt idx="962">
                  <c:v>2014</c:v>
                </c:pt>
                <c:pt idx="963">
                  <c:v>2014</c:v>
                </c:pt>
                <c:pt idx="964">
                  <c:v>2014</c:v>
                </c:pt>
                <c:pt idx="965">
                  <c:v>2014</c:v>
                </c:pt>
                <c:pt idx="966">
                  <c:v>2014</c:v>
                </c:pt>
                <c:pt idx="967">
                  <c:v>2014</c:v>
                </c:pt>
                <c:pt idx="968">
                  <c:v>2014</c:v>
                </c:pt>
                <c:pt idx="969">
                  <c:v>2014</c:v>
                </c:pt>
                <c:pt idx="970">
                  <c:v>2014</c:v>
                </c:pt>
                <c:pt idx="971">
                  <c:v>2014</c:v>
                </c:pt>
                <c:pt idx="972">
                  <c:v>2014</c:v>
                </c:pt>
                <c:pt idx="973">
                  <c:v>2014</c:v>
                </c:pt>
                <c:pt idx="974">
                  <c:v>2014</c:v>
                </c:pt>
                <c:pt idx="975">
                  <c:v>2014</c:v>
                </c:pt>
                <c:pt idx="976">
                  <c:v>2014</c:v>
                </c:pt>
                <c:pt idx="977">
                  <c:v>2014</c:v>
                </c:pt>
                <c:pt idx="978">
                  <c:v>2014</c:v>
                </c:pt>
                <c:pt idx="979">
                  <c:v>2014</c:v>
                </c:pt>
                <c:pt idx="980">
                  <c:v>2014</c:v>
                </c:pt>
                <c:pt idx="981">
                  <c:v>2014</c:v>
                </c:pt>
                <c:pt idx="982">
                  <c:v>2014</c:v>
                </c:pt>
                <c:pt idx="983">
                  <c:v>2014</c:v>
                </c:pt>
                <c:pt idx="984">
                  <c:v>2014</c:v>
                </c:pt>
                <c:pt idx="985">
                  <c:v>2013</c:v>
                </c:pt>
                <c:pt idx="986">
                  <c:v>2013</c:v>
                </c:pt>
                <c:pt idx="987">
                  <c:v>2013</c:v>
                </c:pt>
                <c:pt idx="988">
                  <c:v>2013</c:v>
                </c:pt>
                <c:pt idx="989">
                  <c:v>2013</c:v>
                </c:pt>
                <c:pt idx="990">
                  <c:v>2013</c:v>
                </c:pt>
                <c:pt idx="991">
                  <c:v>2013</c:v>
                </c:pt>
                <c:pt idx="992">
                  <c:v>2013</c:v>
                </c:pt>
                <c:pt idx="993">
                  <c:v>2013</c:v>
                </c:pt>
                <c:pt idx="994">
                  <c:v>2013</c:v>
                </c:pt>
                <c:pt idx="995">
                  <c:v>2013</c:v>
                </c:pt>
                <c:pt idx="996">
                  <c:v>2013</c:v>
                </c:pt>
                <c:pt idx="997">
                  <c:v>2013</c:v>
                </c:pt>
                <c:pt idx="998">
                  <c:v>2013</c:v>
                </c:pt>
                <c:pt idx="999">
                  <c:v>2013</c:v>
                </c:pt>
                <c:pt idx="1000">
                  <c:v>2013</c:v>
                </c:pt>
                <c:pt idx="1001">
                  <c:v>2013</c:v>
                </c:pt>
                <c:pt idx="1002">
                  <c:v>2013</c:v>
                </c:pt>
                <c:pt idx="1003">
                  <c:v>2013</c:v>
                </c:pt>
                <c:pt idx="1004">
                  <c:v>2013</c:v>
                </c:pt>
                <c:pt idx="1005">
                  <c:v>2013</c:v>
                </c:pt>
                <c:pt idx="1006">
                  <c:v>2013</c:v>
                </c:pt>
                <c:pt idx="1007">
                  <c:v>2013</c:v>
                </c:pt>
                <c:pt idx="1008">
                  <c:v>2014</c:v>
                </c:pt>
                <c:pt idx="1009">
                  <c:v>2014</c:v>
                </c:pt>
                <c:pt idx="1010">
                  <c:v>2014</c:v>
                </c:pt>
                <c:pt idx="1011">
                  <c:v>2014</c:v>
                </c:pt>
                <c:pt idx="1012">
                  <c:v>2014</c:v>
                </c:pt>
                <c:pt idx="1013">
                  <c:v>2014</c:v>
                </c:pt>
                <c:pt idx="1014">
                  <c:v>2014</c:v>
                </c:pt>
                <c:pt idx="1015">
                  <c:v>2014</c:v>
                </c:pt>
                <c:pt idx="1016">
                  <c:v>2014</c:v>
                </c:pt>
                <c:pt idx="1017">
                  <c:v>2014</c:v>
                </c:pt>
                <c:pt idx="1018">
                  <c:v>2014</c:v>
                </c:pt>
                <c:pt idx="1019">
                  <c:v>2014</c:v>
                </c:pt>
                <c:pt idx="1020">
                  <c:v>2014</c:v>
                </c:pt>
                <c:pt idx="1021">
                  <c:v>2014</c:v>
                </c:pt>
                <c:pt idx="1022">
                  <c:v>2014</c:v>
                </c:pt>
                <c:pt idx="1023">
                  <c:v>2014</c:v>
                </c:pt>
                <c:pt idx="1024">
                  <c:v>2014</c:v>
                </c:pt>
                <c:pt idx="1025">
                  <c:v>2014</c:v>
                </c:pt>
                <c:pt idx="1026">
                  <c:v>2014</c:v>
                </c:pt>
                <c:pt idx="1027">
                  <c:v>2014</c:v>
                </c:pt>
                <c:pt idx="1028">
                  <c:v>2014</c:v>
                </c:pt>
                <c:pt idx="1029">
                  <c:v>2014</c:v>
                </c:pt>
                <c:pt idx="1030">
                  <c:v>2014</c:v>
                </c:pt>
                <c:pt idx="1031">
                  <c:v>2014</c:v>
                </c:pt>
                <c:pt idx="1032">
                  <c:v>2014</c:v>
                </c:pt>
                <c:pt idx="1033">
                  <c:v>2014</c:v>
                </c:pt>
                <c:pt idx="1034">
                  <c:v>2014</c:v>
                </c:pt>
                <c:pt idx="1035">
                  <c:v>2014</c:v>
                </c:pt>
                <c:pt idx="1036">
                  <c:v>2014</c:v>
                </c:pt>
                <c:pt idx="1037">
                  <c:v>2014</c:v>
                </c:pt>
                <c:pt idx="1038">
                  <c:v>2014</c:v>
                </c:pt>
                <c:pt idx="1039">
                  <c:v>2014</c:v>
                </c:pt>
                <c:pt idx="1040">
                  <c:v>2014</c:v>
                </c:pt>
                <c:pt idx="1041">
                  <c:v>2014</c:v>
                </c:pt>
                <c:pt idx="1042">
                  <c:v>2014</c:v>
                </c:pt>
                <c:pt idx="1043">
                  <c:v>2013</c:v>
                </c:pt>
                <c:pt idx="1044">
                  <c:v>2013</c:v>
                </c:pt>
                <c:pt idx="1045">
                  <c:v>2013</c:v>
                </c:pt>
                <c:pt idx="1046">
                  <c:v>2013</c:v>
                </c:pt>
                <c:pt idx="1047">
                  <c:v>2013</c:v>
                </c:pt>
                <c:pt idx="1048">
                  <c:v>2013</c:v>
                </c:pt>
                <c:pt idx="1049">
                  <c:v>2013</c:v>
                </c:pt>
                <c:pt idx="1050">
                  <c:v>2013</c:v>
                </c:pt>
                <c:pt idx="1051">
                  <c:v>2013</c:v>
                </c:pt>
                <c:pt idx="1052">
                  <c:v>2013</c:v>
                </c:pt>
                <c:pt idx="1053">
                  <c:v>2013</c:v>
                </c:pt>
                <c:pt idx="1054">
                  <c:v>2013</c:v>
                </c:pt>
                <c:pt idx="1055">
                  <c:v>2013</c:v>
                </c:pt>
                <c:pt idx="1056">
                  <c:v>2013</c:v>
                </c:pt>
                <c:pt idx="1057">
                  <c:v>2013</c:v>
                </c:pt>
                <c:pt idx="1058">
                  <c:v>2013</c:v>
                </c:pt>
                <c:pt idx="1059">
                  <c:v>2013</c:v>
                </c:pt>
                <c:pt idx="1060">
                  <c:v>2013</c:v>
                </c:pt>
                <c:pt idx="1061">
                  <c:v>2013</c:v>
                </c:pt>
                <c:pt idx="1062">
                  <c:v>2013</c:v>
                </c:pt>
                <c:pt idx="1063">
                  <c:v>2013</c:v>
                </c:pt>
                <c:pt idx="1064">
                  <c:v>2013</c:v>
                </c:pt>
                <c:pt idx="1065">
                  <c:v>2013</c:v>
                </c:pt>
                <c:pt idx="1066">
                  <c:v>2013</c:v>
                </c:pt>
                <c:pt idx="1067">
                  <c:v>2013</c:v>
                </c:pt>
                <c:pt idx="1068">
                  <c:v>2013</c:v>
                </c:pt>
                <c:pt idx="1069">
                  <c:v>2013</c:v>
                </c:pt>
                <c:pt idx="1070">
                  <c:v>2013</c:v>
                </c:pt>
                <c:pt idx="1071">
                  <c:v>2013</c:v>
                </c:pt>
                <c:pt idx="1072">
                  <c:v>2013</c:v>
                </c:pt>
                <c:pt idx="1073">
                  <c:v>2013</c:v>
                </c:pt>
                <c:pt idx="1074">
                  <c:v>2013</c:v>
                </c:pt>
                <c:pt idx="1075">
                  <c:v>2013</c:v>
                </c:pt>
                <c:pt idx="1076">
                  <c:v>2013</c:v>
                </c:pt>
                <c:pt idx="1077">
                  <c:v>2013</c:v>
                </c:pt>
                <c:pt idx="1078">
                  <c:v>2013</c:v>
                </c:pt>
                <c:pt idx="1079">
                  <c:v>2013</c:v>
                </c:pt>
                <c:pt idx="1080">
                  <c:v>2013</c:v>
                </c:pt>
                <c:pt idx="1081">
                  <c:v>2013</c:v>
                </c:pt>
                <c:pt idx="1082">
                  <c:v>2013</c:v>
                </c:pt>
                <c:pt idx="1083">
                  <c:v>2013</c:v>
                </c:pt>
                <c:pt idx="1084">
                  <c:v>2013</c:v>
                </c:pt>
                <c:pt idx="1085">
                  <c:v>2013</c:v>
                </c:pt>
                <c:pt idx="1086">
                  <c:v>2013</c:v>
                </c:pt>
                <c:pt idx="1087">
                  <c:v>2013</c:v>
                </c:pt>
                <c:pt idx="1088">
                  <c:v>2011</c:v>
                </c:pt>
                <c:pt idx="1089">
                  <c:v>2011</c:v>
                </c:pt>
                <c:pt idx="1090">
                  <c:v>2011</c:v>
                </c:pt>
                <c:pt idx="1091">
                  <c:v>2011</c:v>
                </c:pt>
                <c:pt idx="1092">
                  <c:v>2011</c:v>
                </c:pt>
                <c:pt idx="1093">
                  <c:v>2011</c:v>
                </c:pt>
                <c:pt idx="1094">
                  <c:v>2011</c:v>
                </c:pt>
                <c:pt idx="1095">
                  <c:v>2011</c:v>
                </c:pt>
                <c:pt idx="1096">
                  <c:v>2011</c:v>
                </c:pt>
                <c:pt idx="1097">
                  <c:v>2011</c:v>
                </c:pt>
                <c:pt idx="1098">
                  <c:v>2011</c:v>
                </c:pt>
                <c:pt idx="1099">
                  <c:v>2011</c:v>
                </c:pt>
                <c:pt idx="1100">
                  <c:v>2011</c:v>
                </c:pt>
                <c:pt idx="1101">
                  <c:v>2011</c:v>
                </c:pt>
                <c:pt idx="1102">
                  <c:v>2011</c:v>
                </c:pt>
                <c:pt idx="1103">
                  <c:v>2011</c:v>
                </c:pt>
                <c:pt idx="1104">
                  <c:v>2011</c:v>
                </c:pt>
                <c:pt idx="1105">
                  <c:v>2011</c:v>
                </c:pt>
                <c:pt idx="1106">
                  <c:v>2011</c:v>
                </c:pt>
                <c:pt idx="1107">
                  <c:v>2011</c:v>
                </c:pt>
                <c:pt idx="1108">
                  <c:v>2011</c:v>
                </c:pt>
                <c:pt idx="1109">
                  <c:v>2011</c:v>
                </c:pt>
                <c:pt idx="1110">
                  <c:v>2011</c:v>
                </c:pt>
                <c:pt idx="1111">
                  <c:v>2011</c:v>
                </c:pt>
                <c:pt idx="1112">
                  <c:v>2011</c:v>
                </c:pt>
                <c:pt idx="1113">
                  <c:v>2011</c:v>
                </c:pt>
                <c:pt idx="1114">
                  <c:v>2014</c:v>
                </c:pt>
                <c:pt idx="1115">
                  <c:v>2014</c:v>
                </c:pt>
                <c:pt idx="1116">
                  <c:v>2014</c:v>
                </c:pt>
                <c:pt idx="1117">
                  <c:v>2014</c:v>
                </c:pt>
                <c:pt idx="1118">
                  <c:v>2014</c:v>
                </c:pt>
                <c:pt idx="1119">
                  <c:v>2014</c:v>
                </c:pt>
                <c:pt idx="1120">
                  <c:v>2014</c:v>
                </c:pt>
                <c:pt idx="1121">
                  <c:v>2014</c:v>
                </c:pt>
                <c:pt idx="1122">
                  <c:v>2015</c:v>
                </c:pt>
                <c:pt idx="1123">
                  <c:v>2015</c:v>
                </c:pt>
                <c:pt idx="1124">
                  <c:v>2015</c:v>
                </c:pt>
                <c:pt idx="1125">
                  <c:v>2015</c:v>
                </c:pt>
                <c:pt idx="1126">
                  <c:v>2015</c:v>
                </c:pt>
                <c:pt idx="1127">
                  <c:v>2015</c:v>
                </c:pt>
                <c:pt idx="1128">
                  <c:v>2015</c:v>
                </c:pt>
                <c:pt idx="1129">
                  <c:v>2015</c:v>
                </c:pt>
                <c:pt idx="1130">
                  <c:v>2015</c:v>
                </c:pt>
                <c:pt idx="1131">
                  <c:v>2015</c:v>
                </c:pt>
                <c:pt idx="1132">
                  <c:v>2015</c:v>
                </c:pt>
                <c:pt idx="1133">
                  <c:v>2015</c:v>
                </c:pt>
                <c:pt idx="1134">
                  <c:v>2015</c:v>
                </c:pt>
                <c:pt idx="1135">
                  <c:v>2015</c:v>
                </c:pt>
                <c:pt idx="1136">
                  <c:v>2015</c:v>
                </c:pt>
                <c:pt idx="1137">
                  <c:v>2015</c:v>
                </c:pt>
                <c:pt idx="1138">
                  <c:v>2015</c:v>
                </c:pt>
                <c:pt idx="1139">
                  <c:v>2015</c:v>
                </c:pt>
                <c:pt idx="1140">
                  <c:v>2015</c:v>
                </c:pt>
                <c:pt idx="1141">
                  <c:v>2014</c:v>
                </c:pt>
                <c:pt idx="1142">
                  <c:v>2014</c:v>
                </c:pt>
                <c:pt idx="1143">
                  <c:v>2014</c:v>
                </c:pt>
                <c:pt idx="1144">
                  <c:v>2014</c:v>
                </c:pt>
                <c:pt idx="1145">
                  <c:v>2014</c:v>
                </c:pt>
                <c:pt idx="1146">
                  <c:v>2014</c:v>
                </c:pt>
                <c:pt idx="1147">
                  <c:v>2014</c:v>
                </c:pt>
                <c:pt idx="1148">
                  <c:v>2014</c:v>
                </c:pt>
                <c:pt idx="1149">
                  <c:v>2014</c:v>
                </c:pt>
                <c:pt idx="1150">
                  <c:v>2014</c:v>
                </c:pt>
                <c:pt idx="1151">
                  <c:v>2014</c:v>
                </c:pt>
                <c:pt idx="1152">
                  <c:v>2014</c:v>
                </c:pt>
                <c:pt idx="1153">
                  <c:v>2014</c:v>
                </c:pt>
                <c:pt idx="1154">
                  <c:v>2014</c:v>
                </c:pt>
                <c:pt idx="1155">
                  <c:v>2014</c:v>
                </c:pt>
                <c:pt idx="1156">
                  <c:v>2014</c:v>
                </c:pt>
                <c:pt idx="1157">
                  <c:v>2014</c:v>
                </c:pt>
                <c:pt idx="1158">
                  <c:v>2014</c:v>
                </c:pt>
                <c:pt idx="1159">
                  <c:v>2014</c:v>
                </c:pt>
                <c:pt idx="1160">
                  <c:v>2014</c:v>
                </c:pt>
                <c:pt idx="1161">
                  <c:v>2014</c:v>
                </c:pt>
                <c:pt idx="1162">
                  <c:v>2014</c:v>
                </c:pt>
                <c:pt idx="1163">
                  <c:v>2014</c:v>
                </c:pt>
                <c:pt idx="1164">
                  <c:v>2014</c:v>
                </c:pt>
                <c:pt idx="1165">
                  <c:v>2014</c:v>
                </c:pt>
                <c:pt idx="1166">
                  <c:v>2014</c:v>
                </c:pt>
                <c:pt idx="1167">
                  <c:v>2014</c:v>
                </c:pt>
                <c:pt idx="1168">
                  <c:v>2014</c:v>
                </c:pt>
                <c:pt idx="1169">
                  <c:v>2014</c:v>
                </c:pt>
                <c:pt idx="1170">
                  <c:v>2014</c:v>
                </c:pt>
                <c:pt idx="1171">
                  <c:v>2014</c:v>
                </c:pt>
                <c:pt idx="1172">
                  <c:v>2014</c:v>
                </c:pt>
                <c:pt idx="1173">
                  <c:v>2014</c:v>
                </c:pt>
                <c:pt idx="1174">
                  <c:v>2014</c:v>
                </c:pt>
                <c:pt idx="1175">
                  <c:v>2014</c:v>
                </c:pt>
                <c:pt idx="1176">
                  <c:v>2014</c:v>
                </c:pt>
                <c:pt idx="1177">
                  <c:v>2014</c:v>
                </c:pt>
                <c:pt idx="1178">
                  <c:v>2014</c:v>
                </c:pt>
                <c:pt idx="1179">
                  <c:v>2014</c:v>
                </c:pt>
                <c:pt idx="1180">
                  <c:v>2014</c:v>
                </c:pt>
                <c:pt idx="1181">
                  <c:v>2014</c:v>
                </c:pt>
                <c:pt idx="1182">
                  <c:v>2014</c:v>
                </c:pt>
                <c:pt idx="1183">
                  <c:v>2014</c:v>
                </c:pt>
                <c:pt idx="1184">
                  <c:v>2014</c:v>
                </c:pt>
                <c:pt idx="1185">
                  <c:v>2014</c:v>
                </c:pt>
                <c:pt idx="1186">
                  <c:v>2014</c:v>
                </c:pt>
                <c:pt idx="1187">
                  <c:v>2014</c:v>
                </c:pt>
                <c:pt idx="1188">
                  <c:v>2014</c:v>
                </c:pt>
                <c:pt idx="1189">
                  <c:v>2014</c:v>
                </c:pt>
                <c:pt idx="1190">
                  <c:v>2014</c:v>
                </c:pt>
                <c:pt idx="1191">
                  <c:v>2014</c:v>
                </c:pt>
                <c:pt idx="1192">
                  <c:v>2014</c:v>
                </c:pt>
                <c:pt idx="1193">
                  <c:v>2014</c:v>
                </c:pt>
                <c:pt idx="1194">
                  <c:v>2014</c:v>
                </c:pt>
                <c:pt idx="1195">
                  <c:v>2014</c:v>
                </c:pt>
                <c:pt idx="1196">
                  <c:v>2014</c:v>
                </c:pt>
                <c:pt idx="1197">
                  <c:v>2014</c:v>
                </c:pt>
                <c:pt idx="1198">
                  <c:v>2014</c:v>
                </c:pt>
                <c:pt idx="1199">
                  <c:v>2014</c:v>
                </c:pt>
                <c:pt idx="1200">
                  <c:v>2014</c:v>
                </c:pt>
                <c:pt idx="1201">
                  <c:v>2014</c:v>
                </c:pt>
                <c:pt idx="1202">
                  <c:v>2014</c:v>
                </c:pt>
                <c:pt idx="1203">
                  <c:v>2014</c:v>
                </c:pt>
                <c:pt idx="1204">
                  <c:v>2014</c:v>
                </c:pt>
                <c:pt idx="1205">
                  <c:v>2014</c:v>
                </c:pt>
                <c:pt idx="1206">
                  <c:v>2014</c:v>
                </c:pt>
                <c:pt idx="1207">
                  <c:v>2014</c:v>
                </c:pt>
                <c:pt idx="1208">
                  <c:v>2014</c:v>
                </c:pt>
                <c:pt idx="1209">
                  <c:v>2014</c:v>
                </c:pt>
                <c:pt idx="1210">
                  <c:v>2014</c:v>
                </c:pt>
                <c:pt idx="1211">
                  <c:v>2014</c:v>
                </c:pt>
                <c:pt idx="1212">
                  <c:v>2004</c:v>
                </c:pt>
              </c:numCache>
            </c:numRef>
          </c:xVal>
          <c:yVal>
            <c:numRef>
              <c:f>Data!$O$4:$O$1216</c:f>
              <c:numCache>
                <c:formatCode>0.0</c:formatCode>
                <c:ptCount val="1213"/>
                <c:pt idx="0">
                  <c:v>1065.5367929456841</c:v>
                </c:pt>
                <c:pt idx="1">
                  <c:v>152.21954184938343</c:v>
                </c:pt>
                <c:pt idx="2">
                  <c:v>282.92625291050393</c:v>
                </c:pt>
                <c:pt idx="3">
                  <c:v>574.03560359749611</c:v>
                </c:pt>
                <c:pt idx="4">
                  <c:v>287.01780179874805</c:v>
                </c:pt>
                <c:pt idx="5">
                  <c:v>71.73268689177084</c:v>
                </c:pt>
                <c:pt idx="6">
                  <c:v>127.53444938888869</c:v>
                </c:pt>
                <c:pt idx="7">
                  <c:v>63.81075181027672</c:v>
                </c:pt>
                <c:pt idx="8">
                  <c:v>15.93092439465299</c:v>
                </c:pt>
                <c:pt idx="9">
                  <c:v>21.241232526203987</c:v>
                </c:pt>
                <c:pt idx="10">
                  <c:v>10.620616263101994</c:v>
                </c:pt>
                <c:pt idx="11">
                  <c:v>2.6986811816078835</c:v>
                </c:pt>
                <c:pt idx="12">
                  <c:v>44.129645206691066</c:v>
                </c:pt>
                <c:pt idx="13">
                  <c:v>154.08599004664367</c:v>
                </c:pt>
                <c:pt idx="14">
                  <c:v>157.70476717600803</c:v>
                </c:pt>
                <c:pt idx="15">
                  <c:v>3754.1645428224019</c:v>
                </c:pt>
                <c:pt idx="16">
                  <c:v>4.4587055194554539</c:v>
                </c:pt>
                <c:pt idx="17">
                  <c:v>7.1821310529606759</c:v>
                </c:pt>
                <c:pt idx="18">
                  <c:v>21.160775384226422</c:v>
                </c:pt>
                <c:pt idx="19">
                  <c:v>40.176551896931038</c:v>
                </c:pt>
                <c:pt idx="20">
                  <c:v>1.5851284473467744E-2</c:v>
                </c:pt>
                <c:pt idx="21">
                  <c:v>9.5107706840806452E-2</c:v>
                </c:pt>
                <c:pt idx="22">
                  <c:v>2.3776926710201613E-2</c:v>
                </c:pt>
                <c:pt idx="23">
                  <c:v>0.14266156026120969</c:v>
                </c:pt>
                <c:pt idx="24">
                  <c:v>4.7553853420403226E-2</c:v>
                </c:pt>
                <c:pt idx="25">
                  <c:v>0.28532312052241937</c:v>
                </c:pt>
                <c:pt idx="26">
                  <c:v>8.7182064604072587E-2</c:v>
                </c:pt>
                <c:pt idx="27">
                  <c:v>0.52309238762443544</c:v>
                </c:pt>
                <c:pt idx="28">
                  <c:v>0.21399234039181453</c:v>
                </c:pt>
                <c:pt idx="29">
                  <c:v>1.2839540423508873</c:v>
                </c:pt>
                <c:pt idx="30">
                  <c:v>3.1702568946935489E-2</c:v>
                </c:pt>
                <c:pt idx="31">
                  <c:v>0.1902154136816129</c:v>
                </c:pt>
                <c:pt idx="32">
                  <c:v>4.7553853420403226E-2</c:v>
                </c:pt>
                <c:pt idx="33">
                  <c:v>0.28532312052241937</c:v>
                </c:pt>
                <c:pt idx="34">
                  <c:v>8.7182064604072587E-2</c:v>
                </c:pt>
                <c:pt idx="35">
                  <c:v>0.52309238762443544</c:v>
                </c:pt>
                <c:pt idx="36">
                  <c:v>0.16643848697141131</c:v>
                </c:pt>
                <c:pt idx="37">
                  <c:v>0.9986309218284678</c:v>
                </c:pt>
                <c:pt idx="38">
                  <c:v>0.43591032302036292</c:v>
                </c:pt>
                <c:pt idx="39">
                  <c:v>2.6154619381221775</c:v>
                </c:pt>
                <c:pt idx="40">
                  <c:v>3.9628211183669361E-2</c:v>
                </c:pt>
                <c:pt idx="41">
                  <c:v>0.23776926710201612</c:v>
                </c:pt>
                <c:pt idx="42">
                  <c:v>5.5479495657137098E-2</c:v>
                </c:pt>
                <c:pt idx="43">
                  <c:v>0.33287697394282262</c:v>
                </c:pt>
                <c:pt idx="44">
                  <c:v>0.1109589913142742</c:v>
                </c:pt>
                <c:pt idx="45">
                  <c:v>0.66575394788564524</c:v>
                </c:pt>
                <c:pt idx="46">
                  <c:v>0.20606669815508064</c:v>
                </c:pt>
                <c:pt idx="47">
                  <c:v>1.2364001889304839</c:v>
                </c:pt>
                <c:pt idx="48">
                  <c:v>0.54686931433463715</c:v>
                </c:pt>
                <c:pt idx="49">
                  <c:v>3.2812158860078227</c:v>
                </c:pt>
                <c:pt idx="50">
                  <c:v>0.16643848697141131</c:v>
                </c:pt>
                <c:pt idx="51">
                  <c:v>0.9986309218284678</c:v>
                </c:pt>
                <c:pt idx="52">
                  <c:v>0.24569490933875002</c:v>
                </c:pt>
                <c:pt idx="53">
                  <c:v>1.4741694560324998</c:v>
                </c:pt>
                <c:pt idx="54">
                  <c:v>0.49138981867750003</c:v>
                </c:pt>
                <c:pt idx="55">
                  <c:v>2.9483389120649997</c:v>
                </c:pt>
                <c:pt idx="56">
                  <c:v>0.93522578393459677</c:v>
                </c:pt>
                <c:pt idx="57">
                  <c:v>5.6113547036075806</c:v>
                </c:pt>
                <c:pt idx="58">
                  <c:v>2.4490234511507665</c:v>
                </c:pt>
                <c:pt idx="59">
                  <c:v>14.694140706904598</c:v>
                </c:pt>
                <c:pt idx="60">
                  <c:v>0.72915908577951627</c:v>
                </c:pt>
                <c:pt idx="61">
                  <c:v>4.3749545146770972</c:v>
                </c:pt>
                <c:pt idx="62">
                  <c:v>1.109589913142742</c:v>
                </c:pt>
                <c:pt idx="63">
                  <c:v>6.6575394788564513</c:v>
                </c:pt>
                <c:pt idx="64">
                  <c:v>2.1874772573385486</c:v>
                </c:pt>
                <c:pt idx="65">
                  <c:v>13.124863544031291</c:v>
                </c:pt>
                <c:pt idx="66">
                  <c:v>4.4542109370444356</c:v>
                </c:pt>
                <c:pt idx="67">
                  <c:v>25.0133268991321</c:v>
                </c:pt>
                <c:pt idx="68">
                  <c:v>10.873981148798872</c:v>
                </c:pt>
                <c:pt idx="69">
                  <c:v>65.243886892793228</c:v>
                </c:pt>
                <c:pt idx="70">
                  <c:v>72.757395733216939</c:v>
                </c:pt>
                <c:pt idx="71">
                  <c:v>436.70288724403633</c:v>
                </c:pt>
                <c:pt idx="72">
                  <c:v>109.37386286692744</c:v>
                </c:pt>
                <c:pt idx="73">
                  <c:v>656.08466435682988</c:v>
                </c:pt>
                <c:pt idx="74">
                  <c:v>218.58921288912015</c:v>
                </c:pt>
                <c:pt idx="75">
                  <c:v>1311.297508067619</c:v>
                </c:pt>
                <c:pt idx="76">
                  <c:v>416.80952522983432</c:v>
                </c:pt>
                <c:pt idx="77">
                  <c:v>2500.6193821119036</c:v>
                </c:pt>
                <c:pt idx="78">
                  <c:v>1087.5566277246219</c:v>
                </c:pt>
                <c:pt idx="79">
                  <c:v>6525.1019970806292</c:v>
                </c:pt>
                <c:pt idx="80">
                  <c:v>11.871031590650512</c:v>
                </c:pt>
                <c:pt idx="81">
                  <c:v>23.742063181301024</c:v>
                </c:pt>
                <c:pt idx="82">
                  <c:v>28.394272714827164</c:v>
                </c:pt>
                <c:pt idx="83">
                  <c:v>28.785019587049558</c:v>
                </c:pt>
                <c:pt idx="84">
                  <c:v>29.827011246309265</c:v>
                </c:pt>
                <c:pt idx="85">
                  <c:v>28.394272714827164</c:v>
                </c:pt>
                <c:pt idx="86">
                  <c:v>28.785019587049558</c:v>
                </c:pt>
                <c:pt idx="87">
                  <c:v>4.4284645518537777</c:v>
                </c:pt>
                <c:pt idx="88">
                  <c:v>7.1636926574105226</c:v>
                </c:pt>
                <c:pt idx="89">
                  <c:v>15.629874888895687</c:v>
                </c:pt>
                <c:pt idx="90">
                  <c:v>13.936638442598651</c:v>
                </c:pt>
                <c:pt idx="91">
                  <c:v>24.877550864825636</c:v>
                </c:pt>
                <c:pt idx="92">
                  <c:v>25.007799822233096</c:v>
                </c:pt>
                <c:pt idx="93">
                  <c:v>22.663318588898743</c:v>
                </c:pt>
                <c:pt idx="94">
                  <c:v>29.696762288901802</c:v>
                </c:pt>
                <c:pt idx="95">
                  <c:v>28.394272714827164</c:v>
                </c:pt>
                <c:pt idx="96">
                  <c:v>29.045517501864481</c:v>
                </c:pt>
                <c:pt idx="97">
                  <c:v>29.045517501864481</c:v>
                </c:pt>
                <c:pt idx="98">
                  <c:v>29.175766459271944</c:v>
                </c:pt>
                <c:pt idx="99">
                  <c:v>75.023399466699303</c:v>
                </c:pt>
                <c:pt idx="100">
                  <c:v>51.578587133355768</c:v>
                </c:pt>
                <c:pt idx="101">
                  <c:v>42.330911157425817</c:v>
                </c:pt>
                <c:pt idx="102">
                  <c:v>67.599208894473847</c:v>
                </c:pt>
                <c:pt idx="103">
                  <c:v>32.301741437051085</c:v>
                </c:pt>
                <c:pt idx="104">
                  <c:v>32.692488309273479</c:v>
                </c:pt>
                <c:pt idx="105">
                  <c:v>36.860454946312331</c:v>
                </c:pt>
                <c:pt idx="106">
                  <c:v>16.411368633340469</c:v>
                </c:pt>
                <c:pt idx="107">
                  <c:v>58.481781875951356</c:v>
                </c:pt>
                <c:pt idx="108">
                  <c:v>32.210731777416207</c:v>
                </c:pt>
                <c:pt idx="109">
                  <c:v>47.903139566413849</c:v>
                </c:pt>
                <c:pt idx="110">
                  <c:v>115.62826791892998</c:v>
                </c:pt>
                <c:pt idx="111">
                  <c:v>99.109943930511406</c:v>
                </c:pt>
                <c:pt idx="112">
                  <c:v>18.170156387260427</c:v>
                </c:pt>
                <c:pt idx="113">
                  <c:v>31.384815577995276</c:v>
                </c:pt>
                <c:pt idx="114">
                  <c:v>42.121726170467348</c:v>
                </c:pt>
                <c:pt idx="115">
                  <c:v>50.380888164676627</c:v>
                </c:pt>
                <c:pt idx="116">
                  <c:v>46.86605628100358</c:v>
                </c:pt>
                <c:pt idx="117">
                  <c:v>11.65148024910456</c:v>
                </c:pt>
                <c:pt idx="118">
                  <c:v>112.62493628467206</c:v>
                </c:pt>
                <c:pt idx="119">
                  <c:v>450.49974513868824</c:v>
                </c:pt>
                <c:pt idx="120">
                  <c:v>1126.2493628467205</c:v>
                </c:pt>
                <c:pt idx="121">
                  <c:v>31.947414103450058</c:v>
                </c:pt>
                <c:pt idx="122">
                  <c:v>6.7574961770803235</c:v>
                </c:pt>
                <c:pt idx="123">
                  <c:v>11.262493628467205</c:v>
                </c:pt>
                <c:pt idx="124">
                  <c:v>18.019989805547528</c:v>
                </c:pt>
                <c:pt idx="125">
                  <c:v>18.019989805547528</c:v>
                </c:pt>
                <c:pt idx="126">
                  <c:v>47.302473239562268</c:v>
                </c:pt>
                <c:pt idx="127">
                  <c:v>103.61494138189829</c:v>
                </c:pt>
                <c:pt idx="128">
                  <c:v>991.09943930511417</c:v>
                </c:pt>
                <c:pt idx="129">
                  <c:v>72.079959222190112</c:v>
                </c:pt>
                <c:pt idx="130">
                  <c:v>18.632669458936146</c:v>
                </c:pt>
                <c:pt idx="131">
                  <c:v>253.40610664051212</c:v>
                </c:pt>
                <c:pt idx="132">
                  <c:v>191.46239168394251</c:v>
                </c:pt>
                <c:pt idx="133">
                  <c:v>450.49974513868824</c:v>
                </c:pt>
                <c:pt idx="134">
                  <c:v>168.93740442700809</c:v>
                </c:pt>
                <c:pt idx="135">
                  <c:v>315.34982159708176</c:v>
                </c:pt>
                <c:pt idx="136">
                  <c:v>72.079959222190112</c:v>
                </c:pt>
                <c:pt idx="137">
                  <c:v>74.332457947883555</c:v>
                </c:pt>
                <c:pt idx="138">
                  <c:v>29.282483434014736</c:v>
                </c:pt>
                <c:pt idx="139">
                  <c:v>29.282483434014736</c:v>
                </c:pt>
                <c:pt idx="140">
                  <c:v>585.64966868029467</c:v>
                </c:pt>
                <c:pt idx="141">
                  <c:v>1328.9742481591302</c:v>
                </c:pt>
                <c:pt idx="142">
                  <c:v>518.0747069094914</c:v>
                </c:pt>
                <c:pt idx="143">
                  <c:v>923.5244775343109</c:v>
                </c:pt>
                <c:pt idx="144">
                  <c:v>213.98737894087688</c:v>
                </c:pt>
                <c:pt idx="145">
                  <c:v>220.74487511795721</c:v>
                </c:pt>
                <c:pt idx="146">
                  <c:v>87.847450302044194</c:v>
                </c:pt>
                <c:pt idx="147">
                  <c:v>87.847450302044194</c:v>
                </c:pt>
                <c:pt idx="148">
                  <c:v>111.69963093770028</c:v>
                </c:pt>
                <c:pt idx="149">
                  <c:v>38.240416922211907</c:v>
                </c:pt>
                <c:pt idx="150">
                  <c:v>1671.7122151786623</c:v>
                </c:pt>
                <c:pt idx="151">
                  <c:v>15.767491079854087</c:v>
                </c:pt>
                <c:pt idx="152">
                  <c:v>54.059969416642588</c:v>
                </c:pt>
                <c:pt idx="153">
                  <c:v>20.27248853124097</c:v>
                </c:pt>
                <c:pt idx="154">
                  <c:v>42.797475788175376</c:v>
                </c:pt>
                <c:pt idx="155">
                  <c:v>11.262493628467205</c:v>
                </c:pt>
                <c:pt idx="156">
                  <c:v>65.322463045109799</c:v>
                </c:pt>
                <c:pt idx="157">
                  <c:v>11.999665855604118</c:v>
                </c:pt>
                <c:pt idx="158">
                  <c:v>22.56479976724264</c:v>
                </c:pt>
                <c:pt idx="159">
                  <c:v>12.115979256466192</c:v>
                </c:pt>
                <c:pt idx="160">
                  <c:v>304.6569365900155</c:v>
                </c:pt>
                <c:pt idx="161">
                  <c:v>125.44697389000639</c:v>
                </c:pt>
                <c:pt idx="162">
                  <c:v>286.73594032001461</c:v>
                </c:pt>
                <c:pt idx="163">
                  <c:v>132.61537239800677</c:v>
                </c:pt>
                <c:pt idx="164">
                  <c:v>99.751715831189358</c:v>
                </c:pt>
                <c:pt idx="165">
                  <c:v>103.07677302556235</c:v>
                </c:pt>
                <c:pt idx="166">
                  <c:v>38.238157735289256</c:v>
                </c:pt>
                <c:pt idx="167">
                  <c:v>109.72688741430829</c:v>
                </c:pt>
                <c:pt idx="168">
                  <c:v>108.06435881712181</c:v>
                </c:pt>
                <c:pt idx="169">
                  <c:v>93.10160144244341</c:v>
                </c:pt>
                <c:pt idx="170">
                  <c:v>527.02156530811715</c:v>
                </c:pt>
                <c:pt idx="171">
                  <c:v>403.9944491163169</c:v>
                </c:pt>
                <c:pt idx="172">
                  <c:v>236.07906080048147</c:v>
                </c:pt>
                <c:pt idx="173">
                  <c:v>598.51029498713615</c:v>
                </c:pt>
                <c:pt idx="174">
                  <c:v>578.55995182089828</c:v>
                </c:pt>
                <c:pt idx="175">
                  <c:v>478.80823598970892</c:v>
                </c:pt>
                <c:pt idx="176">
                  <c:v>284.29239011888967</c:v>
                </c:pt>
                <c:pt idx="177">
                  <c:v>285.95491871607618</c:v>
                </c:pt>
                <c:pt idx="178">
                  <c:v>121.36458759461372</c:v>
                </c:pt>
                <c:pt idx="179">
                  <c:v>319.20549065980595</c:v>
                </c:pt>
                <c:pt idx="180">
                  <c:v>310.89284767387352</c:v>
                </c:pt>
                <c:pt idx="181">
                  <c:v>259.35446116109233</c:v>
                </c:pt>
                <c:pt idx="182">
                  <c:v>43.225743526848724</c:v>
                </c:pt>
                <c:pt idx="183">
                  <c:v>43.225743526848724</c:v>
                </c:pt>
                <c:pt idx="184">
                  <c:v>14.962757374678404</c:v>
                </c:pt>
                <c:pt idx="185">
                  <c:v>46.550800721221705</c:v>
                </c:pt>
                <c:pt idx="186">
                  <c:v>46.550800721221705</c:v>
                </c:pt>
                <c:pt idx="187">
                  <c:v>41.563214929662237</c:v>
                </c:pt>
                <c:pt idx="188">
                  <c:v>9.9751715831189358</c:v>
                </c:pt>
                <c:pt idx="189">
                  <c:v>9.9751715831189358</c:v>
                </c:pt>
                <c:pt idx="190">
                  <c:v>3.3250571943729788</c:v>
                </c:pt>
                <c:pt idx="191">
                  <c:v>9.9751715831189358</c:v>
                </c:pt>
                <c:pt idx="192">
                  <c:v>9.9751715831189358</c:v>
                </c:pt>
                <c:pt idx="193">
                  <c:v>9.9751715831189358</c:v>
                </c:pt>
                <c:pt idx="194">
                  <c:v>84.463259671901923</c:v>
                </c:pt>
                <c:pt idx="195">
                  <c:v>12.328877586942637</c:v>
                </c:pt>
                <c:pt idx="196">
                  <c:v>46.773800264702388</c:v>
                </c:pt>
                <c:pt idx="197">
                  <c:v>6.2723486945003195</c:v>
                </c:pt>
                <c:pt idx="198">
                  <c:v>82.078162916604185</c:v>
                </c:pt>
                <c:pt idx="199">
                  <c:v>9.1397080977004652</c:v>
                </c:pt>
                <c:pt idx="200">
                  <c:v>149.34372740092297</c:v>
                </c:pt>
                <c:pt idx="201">
                  <c:v>30.692281705166849</c:v>
                </c:pt>
                <c:pt idx="202">
                  <c:v>24.831443992622432</c:v>
                </c:pt>
                <c:pt idx="203">
                  <c:v>5.8608377125444244</c:v>
                </c:pt>
                <c:pt idx="204">
                  <c:v>10.179349711261368</c:v>
                </c:pt>
                <c:pt idx="205">
                  <c:v>-10.179349711261368</c:v>
                </c:pt>
                <c:pt idx="206">
                  <c:v>-0.77116285691374009</c:v>
                </c:pt>
                <c:pt idx="207">
                  <c:v>11.728549323648457</c:v>
                </c:pt>
                <c:pt idx="208">
                  <c:v>21.332065320364091</c:v>
                </c:pt>
                <c:pt idx="209">
                  <c:v>13.322324318848072</c:v>
                </c:pt>
                <c:pt idx="210">
                  <c:v>44.400936725240584</c:v>
                </c:pt>
                <c:pt idx="211">
                  <c:v>69.145315176352568</c:v>
                </c:pt>
                <c:pt idx="212">
                  <c:v>47.649785753916724</c:v>
                </c:pt>
                <c:pt idx="213">
                  <c:v>3.0240858883274764</c:v>
                </c:pt>
                <c:pt idx="214">
                  <c:v>5.884707674583197</c:v>
                </c:pt>
                <c:pt idx="215">
                  <c:v>3.6575092838555285</c:v>
                </c:pt>
                <c:pt idx="216">
                  <c:v>38.010308287591222</c:v>
                </c:pt>
                <c:pt idx="217">
                  <c:v>236.44864032835778</c:v>
                </c:pt>
                <c:pt idx="218">
                  <c:v>131.33975917773265</c:v>
                </c:pt>
                <c:pt idx="219">
                  <c:v>282.62986152170316</c:v>
                </c:pt>
                <c:pt idx="220">
                  <c:v>41.89572064909953</c:v>
                </c:pt>
                <c:pt idx="221">
                  <c:v>156.44394099524865</c:v>
                </c:pt>
                <c:pt idx="222">
                  <c:v>8.4788958456510954</c:v>
                </c:pt>
                <c:pt idx="223">
                  <c:v>74.980039733110672</c:v>
                </c:pt>
                <c:pt idx="224">
                  <c:v>125.68716194729858</c:v>
                </c:pt>
                <c:pt idx="225">
                  <c:v>278.97229860789292</c:v>
                </c:pt>
                <c:pt idx="226">
                  <c:v>40.565697771350337</c:v>
                </c:pt>
                <c:pt idx="227">
                  <c:v>155.6126766966554</c:v>
                </c:pt>
                <c:pt idx="228">
                  <c:v>8.3126429859324471</c:v>
                </c:pt>
                <c:pt idx="229">
                  <c:v>74.813786873392019</c:v>
                </c:pt>
                <c:pt idx="230">
                  <c:v>72.079959222190112</c:v>
                </c:pt>
                <c:pt idx="231">
                  <c:v>1328.9742481591302</c:v>
                </c:pt>
                <c:pt idx="232">
                  <c:v>267.47395442858601</c:v>
                </c:pt>
                <c:pt idx="233">
                  <c:v>809.27848090503903</c:v>
                </c:pt>
                <c:pt idx="234">
                  <c:v>57.548691975469445</c:v>
                </c:pt>
                <c:pt idx="235">
                  <c:v>119.8825266938954</c:v>
                </c:pt>
                <c:pt idx="236">
                  <c:v>59.9412633469477</c:v>
                </c:pt>
                <c:pt idx="237">
                  <c:v>34.632729933792007</c:v>
                </c:pt>
                <c:pt idx="238">
                  <c:v>451.55751721367267</c:v>
                </c:pt>
                <c:pt idx="239">
                  <c:v>185.15190233834957</c:v>
                </c:pt>
                <c:pt idx="240">
                  <c:v>95.906021355116323</c:v>
                </c:pt>
                <c:pt idx="241">
                  <c:v>441.41003172686584</c:v>
                </c:pt>
                <c:pt idx="242">
                  <c:v>17.656401269074635</c:v>
                </c:pt>
                <c:pt idx="243">
                  <c:v>96.426658636816384</c:v>
                </c:pt>
                <c:pt idx="244">
                  <c:v>18.287814569051381</c:v>
                </c:pt>
                <c:pt idx="245">
                  <c:v>-3.8238157735289251</c:v>
                </c:pt>
                <c:pt idx="246">
                  <c:v>29.925514749356807</c:v>
                </c:pt>
                <c:pt idx="247">
                  <c:v>89.776544248070422</c:v>
                </c:pt>
                <c:pt idx="248">
                  <c:v>18.287814569051381</c:v>
                </c:pt>
                <c:pt idx="249">
                  <c:v>-4.1563214929662236</c:v>
                </c:pt>
                <c:pt idx="250">
                  <c:v>28.262986152170317</c:v>
                </c:pt>
                <c:pt idx="251">
                  <c:v>89.776544248070422</c:v>
                </c:pt>
                <c:pt idx="252">
                  <c:v>21.612871763424362</c:v>
                </c:pt>
                <c:pt idx="253">
                  <c:v>-0.14131493076085161</c:v>
                </c:pt>
                <c:pt idx="254">
                  <c:v>33.250571943729788</c:v>
                </c:pt>
                <c:pt idx="255">
                  <c:v>89.776544248070422</c:v>
                </c:pt>
                <c:pt idx="256">
                  <c:v>16.625285971864894</c:v>
                </c:pt>
                <c:pt idx="257">
                  <c:v>-4.1563214929662236</c:v>
                </c:pt>
                <c:pt idx="258">
                  <c:v>28.262986152170317</c:v>
                </c:pt>
                <c:pt idx="259">
                  <c:v>91.439072845256916</c:v>
                </c:pt>
                <c:pt idx="260">
                  <c:v>18.287814569051381</c:v>
                </c:pt>
                <c:pt idx="261">
                  <c:v>-4.1563214929662236</c:v>
                </c:pt>
                <c:pt idx="262">
                  <c:v>29.925514749356807</c:v>
                </c:pt>
                <c:pt idx="263">
                  <c:v>96.426658636816384</c:v>
                </c:pt>
                <c:pt idx="264">
                  <c:v>19.950343166237872</c:v>
                </c:pt>
                <c:pt idx="265">
                  <c:v>-3.8238157735289251</c:v>
                </c:pt>
                <c:pt idx="266">
                  <c:v>29.925514749356807</c:v>
                </c:pt>
                <c:pt idx="267">
                  <c:v>121.36458759461372</c:v>
                </c:pt>
                <c:pt idx="268">
                  <c:v>26.60045755498383</c:v>
                </c:pt>
                <c:pt idx="269">
                  <c:v>-2.6600457554983832</c:v>
                </c:pt>
                <c:pt idx="270">
                  <c:v>39.900686332475743</c:v>
                </c:pt>
                <c:pt idx="271">
                  <c:v>156.27768813553001</c:v>
                </c:pt>
                <c:pt idx="272">
                  <c:v>34.913100540916275</c:v>
                </c:pt>
                <c:pt idx="273">
                  <c:v>-1.2302711619180022</c:v>
                </c:pt>
                <c:pt idx="274">
                  <c:v>49.875857915594679</c:v>
                </c:pt>
                <c:pt idx="275">
                  <c:v>548.63443707154147</c:v>
                </c:pt>
                <c:pt idx="276">
                  <c:v>147.96504514959756</c:v>
                </c:pt>
                <c:pt idx="277">
                  <c:v>28.262986152170317</c:v>
                </c:pt>
                <c:pt idx="278">
                  <c:v>166.25285971864895</c:v>
                </c:pt>
                <c:pt idx="279">
                  <c:v>2493.792895779734</c:v>
                </c:pt>
                <c:pt idx="280">
                  <c:v>598.51029498713615</c:v>
                </c:pt>
                <c:pt idx="281">
                  <c:v>124.6896447889867</c:v>
                </c:pt>
                <c:pt idx="282">
                  <c:v>448.88272124035211</c:v>
                </c:pt>
                <c:pt idx="283">
                  <c:v>3990.0686332475743</c:v>
                </c:pt>
                <c:pt idx="284">
                  <c:v>964.26658636816376</c:v>
                </c:pt>
                <c:pt idx="285">
                  <c:v>199.50343166237872</c:v>
                </c:pt>
                <c:pt idx="286">
                  <c:v>598.51029498713615</c:v>
                </c:pt>
                <c:pt idx="287">
                  <c:v>553</c:v>
                </c:pt>
                <c:pt idx="288">
                  <c:v>536</c:v>
                </c:pt>
                <c:pt idx="289">
                  <c:v>578</c:v>
                </c:pt>
                <c:pt idx="290">
                  <c:v>711</c:v>
                </c:pt>
                <c:pt idx="291">
                  <c:v>1021</c:v>
                </c:pt>
                <c:pt idx="292">
                  <c:v>831</c:v>
                </c:pt>
                <c:pt idx="293">
                  <c:v>1608</c:v>
                </c:pt>
                <c:pt idx="294">
                  <c:v>1879</c:v>
                </c:pt>
                <c:pt idx="295">
                  <c:v>359</c:v>
                </c:pt>
                <c:pt idx="296">
                  <c:v>341</c:v>
                </c:pt>
                <c:pt idx="297">
                  <c:v>367</c:v>
                </c:pt>
                <c:pt idx="298">
                  <c:v>423</c:v>
                </c:pt>
                <c:pt idx="299">
                  <c:v>583</c:v>
                </c:pt>
                <c:pt idx="300">
                  <c:v>722</c:v>
                </c:pt>
                <c:pt idx="301">
                  <c:v>1426</c:v>
                </c:pt>
                <c:pt idx="302">
                  <c:v>1670</c:v>
                </c:pt>
                <c:pt idx="303">
                  <c:v>108</c:v>
                </c:pt>
                <c:pt idx="304">
                  <c:v>105</c:v>
                </c:pt>
                <c:pt idx="305">
                  <c:v>112</c:v>
                </c:pt>
                <c:pt idx="306">
                  <c:v>135</c:v>
                </c:pt>
                <c:pt idx="307">
                  <c:v>187</c:v>
                </c:pt>
                <c:pt idx="308">
                  <c:v>155</c:v>
                </c:pt>
                <c:pt idx="309">
                  <c:v>258</c:v>
                </c:pt>
                <c:pt idx="310">
                  <c:v>290</c:v>
                </c:pt>
                <c:pt idx="311">
                  <c:v>85</c:v>
                </c:pt>
                <c:pt idx="312">
                  <c:v>81</c:v>
                </c:pt>
                <c:pt idx="313">
                  <c:v>87</c:v>
                </c:pt>
                <c:pt idx="314">
                  <c:v>99</c:v>
                </c:pt>
                <c:pt idx="315">
                  <c:v>131</c:v>
                </c:pt>
                <c:pt idx="316">
                  <c:v>145</c:v>
                </c:pt>
                <c:pt idx="317">
                  <c:v>236</c:v>
                </c:pt>
                <c:pt idx="318">
                  <c:v>265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11</c:v>
                </c:pt>
                <c:pt idx="323">
                  <c:v>15</c:v>
                </c:pt>
                <c:pt idx="324">
                  <c:v>12</c:v>
                </c:pt>
                <c:pt idx="325">
                  <c:v>18</c:v>
                </c:pt>
                <c:pt idx="326">
                  <c:v>19</c:v>
                </c:pt>
                <c:pt idx="327">
                  <c:v>5</c:v>
                </c:pt>
                <c:pt idx="328">
                  <c:v>4</c:v>
                </c:pt>
                <c:pt idx="329">
                  <c:v>5</c:v>
                </c:pt>
                <c:pt idx="330">
                  <c:v>6</c:v>
                </c:pt>
                <c:pt idx="331">
                  <c:v>10</c:v>
                </c:pt>
                <c:pt idx="332">
                  <c:v>9</c:v>
                </c:pt>
                <c:pt idx="333">
                  <c:v>14</c:v>
                </c:pt>
                <c:pt idx="334">
                  <c:v>15</c:v>
                </c:pt>
                <c:pt idx="335">
                  <c:v>96.426658636816384</c:v>
                </c:pt>
                <c:pt idx="336">
                  <c:v>18.287814569051381</c:v>
                </c:pt>
                <c:pt idx="337">
                  <c:v>-3.8238157735289251</c:v>
                </c:pt>
                <c:pt idx="338">
                  <c:v>29.925514749356807</c:v>
                </c:pt>
                <c:pt idx="339">
                  <c:v>10.972688741430829</c:v>
                </c:pt>
                <c:pt idx="340">
                  <c:v>146.30251655241105</c:v>
                </c:pt>
                <c:pt idx="341">
                  <c:v>3.491310054091628</c:v>
                </c:pt>
                <c:pt idx="342">
                  <c:v>146.30251655241105</c:v>
                </c:pt>
                <c:pt idx="343">
                  <c:v>3.491310054091628</c:v>
                </c:pt>
                <c:pt idx="344">
                  <c:v>307.56779047950056</c:v>
                </c:pt>
                <c:pt idx="345">
                  <c:v>48.213329318408192</c:v>
                </c:pt>
                <c:pt idx="346">
                  <c:v>-2.1612871763424364</c:v>
                </c:pt>
                <c:pt idx="347">
                  <c:v>141.31493076085158</c:v>
                </c:pt>
                <c:pt idx="348">
                  <c:v>24.93792895779734</c:v>
                </c:pt>
                <c:pt idx="349">
                  <c:v>-3.491310054091628</c:v>
                </c:pt>
                <c:pt idx="350">
                  <c:v>58.188500901527128</c:v>
                </c:pt>
                <c:pt idx="351">
                  <c:v>27.955968676034839</c:v>
                </c:pt>
                <c:pt idx="352">
                  <c:v>20.599134813920408</c:v>
                </c:pt>
                <c:pt idx="353">
                  <c:v>69.154238303875658</c:v>
                </c:pt>
                <c:pt idx="354">
                  <c:v>213.34818200131849</c:v>
                </c:pt>
                <c:pt idx="355">
                  <c:v>44.141003172686588</c:v>
                </c:pt>
                <c:pt idx="356">
                  <c:v>133.89437629048265</c:v>
                </c:pt>
                <c:pt idx="357">
                  <c:v>42.669636400263698</c:v>
                </c:pt>
                <c:pt idx="358">
                  <c:v>30.898702220880612</c:v>
                </c:pt>
                <c:pt idx="359">
                  <c:v>27.955968676034839</c:v>
                </c:pt>
                <c:pt idx="360">
                  <c:v>63.268771214184113</c:v>
                </c:pt>
                <c:pt idx="361">
                  <c:v>51.497837034801016</c:v>
                </c:pt>
                <c:pt idx="362">
                  <c:v>45.612369945109471</c:v>
                </c:pt>
                <c:pt idx="363">
                  <c:v>67.682871531452776</c:v>
                </c:pt>
                <c:pt idx="364">
                  <c:v>54.440570579646788</c:v>
                </c:pt>
                <c:pt idx="365">
                  <c:v>47.083736717532361</c:v>
                </c:pt>
                <c:pt idx="366">
                  <c:v>27.955968676034839</c:v>
                </c:pt>
                <c:pt idx="367">
                  <c:v>30.898702220880612</c:v>
                </c:pt>
                <c:pt idx="368">
                  <c:v>74.671863700461486</c:v>
                </c:pt>
                <c:pt idx="369">
                  <c:v>462.00916654078628</c:v>
                </c:pt>
                <c:pt idx="370">
                  <c:v>134.87528747209791</c:v>
                </c:pt>
                <c:pt idx="371">
                  <c:v>161.8503449665175</c:v>
                </c:pt>
                <c:pt idx="372">
                  <c:v>33.819341167042261</c:v>
                </c:pt>
                <c:pt idx="373">
                  <c:v>32.856512948763474</c:v>
                </c:pt>
                <c:pt idx="374">
                  <c:v>272.23967871832593</c:v>
                </c:pt>
                <c:pt idx="375">
                  <c:v>33.638810876114988</c:v>
                </c:pt>
                <c:pt idx="376">
                  <c:v>20.599134813920408</c:v>
                </c:pt>
                <c:pt idx="377">
                  <c:v>19.127768041497522</c:v>
                </c:pt>
                <c:pt idx="378">
                  <c:v>19.127768041497522</c:v>
                </c:pt>
                <c:pt idx="379">
                  <c:v>19.127768041497522</c:v>
                </c:pt>
                <c:pt idx="380">
                  <c:v>17.656401269074635</c:v>
                </c:pt>
                <c:pt idx="381">
                  <c:v>23.54186835876618</c:v>
                </c:pt>
                <c:pt idx="382">
                  <c:v>85.339272800527397</c:v>
                </c:pt>
                <c:pt idx="383">
                  <c:v>114.76660824898512</c:v>
                </c:pt>
                <c:pt idx="384">
                  <c:v>95.63884020748759</c:v>
                </c:pt>
                <c:pt idx="385">
                  <c:v>36.784169310572153</c:v>
                </c:pt>
                <c:pt idx="386">
                  <c:v>101.52430729717915</c:v>
                </c:pt>
                <c:pt idx="387">
                  <c:v>91.224739890218942</c:v>
                </c:pt>
                <c:pt idx="388">
                  <c:v>301.63018834669168</c:v>
                </c:pt>
                <c:pt idx="389">
                  <c:v>297.21608802942302</c:v>
                </c:pt>
                <c:pt idx="390">
                  <c:v>1199.1639195246523</c:v>
                </c:pt>
                <c:pt idx="391">
                  <c:v>60.36006194347658</c:v>
                </c:pt>
                <c:pt idx="392">
                  <c:v>88.218552071235024</c:v>
                </c:pt>
                <c:pt idx="393">
                  <c:v>213.58175764614791</c:v>
                </c:pt>
                <c:pt idx="394">
                  <c:v>29.598896876600101</c:v>
                </c:pt>
                <c:pt idx="395">
                  <c:v>2.8616272965879266</c:v>
                </c:pt>
                <c:pt idx="396">
                  <c:v>71.969926509186351</c:v>
                </c:pt>
                <c:pt idx="397">
                  <c:v>12.591160104986878</c:v>
                </c:pt>
                <c:pt idx="398">
                  <c:v>-8.4418005249343846</c:v>
                </c:pt>
                <c:pt idx="399">
                  <c:v>105.7371286089239</c:v>
                </c:pt>
                <c:pt idx="400">
                  <c:v>37.630398950131237</c:v>
                </c:pt>
                <c:pt idx="401">
                  <c:v>159.53572178477691</c:v>
                </c:pt>
                <c:pt idx="402">
                  <c:v>18.743658792650919</c:v>
                </c:pt>
                <c:pt idx="403">
                  <c:v>99.870792650918631</c:v>
                </c:pt>
                <c:pt idx="404">
                  <c:v>21.46220472440945</c:v>
                </c:pt>
                <c:pt idx="405">
                  <c:v>5.0078477690288716</c:v>
                </c:pt>
                <c:pt idx="406">
                  <c:v>31.1917375328084</c:v>
                </c:pt>
                <c:pt idx="407">
                  <c:v>-2.2893018372703415</c:v>
                </c:pt>
                <c:pt idx="408">
                  <c:v>18.171333333333333</c:v>
                </c:pt>
                <c:pt idx="409">
                  <c:v>-3.7201154855643046</c:v>
                </c:pt>
                <c:pt idx="410">
                  <c:v>-5.4370918635170602</c:v>
                </c:pt>
                <c:pt idx="411">
                  <c:v>-3.4339527559055116</c:v>
                </c:pt>
                <c:pt idx="412">
                  <c:v>-7.5833123359580048</c:v>
                </c:pt>
                <c:pt idx="413">
                  <c:v>-4.4355223097112866</c:v>
                </c:pt>
                <c:pt idx="414">
                  <c:v>105.1648031496063</c:v>
                </c:pt>
                <c:pt idx="415">
                  <c:v>37.487317585301838</c:v>
                </c:pt>
                <c:pt idx="416">
                  <c:v>184.00263517060367</c:v>
                </c:pt>
                <c:pt idx="417">
                  <c:v>17.455926509186352</c:v>
                </c:pt>
                <c:pt idx="418">
                  <c:v>92.859805774278229</c:v>
                </c:pt>
                <c:pt idx="419">
                  <c:v>24.466913385826775</c:v>
                </c:pt>
                <c:pt idx="420">
                  <c:v>4.8647664041994751</c:v>
                </c:pt>
                <c:pt idx="421">
                  <c:v>39.490456692913391</c:v>
                </c:pt>
                <c:pt idx="422">
                  <c:v>-3.2908713910761151</c:v>
                </c:pt>
                <c:pt idx="423">
                  <c:v>18.171333333333333</c:v>
                </c:pt>
                <c:pt idx="424">
                  <c:v>-4.1493595800524936</c:v>
                </c:pt>
                <c:pt idx="425">
                  <c:v>-6.4386614173228347</c:v>
                </c:pt>
                <c:pt idx="426">
                  <c:v>-2.7185459317585301</c:v>
                </c:pt>
                <c:pt idx="427">
                  <c:v>-9.4433700787401573</c:v>
                </c:pt>
                <c:pt idx="428">
                  <c:v>-4.1493595800524936</c:v>
                </c:pt>
                <c:pt idx="429">
                  <c:v>-2.6899296587926509</c:v>
                </c:pt>
                <c:pt idx="430">
                  <c:v>-0.50078477690288714</c:v>
                </c:pt>
                <c:pt idx="431">
                  <c:v>12.820090288713912</c:v>
                </c:pt>
                <c:pt idx="432">
                  <c:v>63.456585301837272</c:v>
                </c:pt>
                <c:pt idx="433">
                  <c:v>-1.0015695538057743</c:v>
                </c:pt>
                <c:pt idx="434">
                  <c:v>18.028251968503938</c:v>
                </c:pt>
                <c:pt idx="435">
                  <c:v>300.61394750656166</c:v>
                </c:pt>
                <c:pt idx="436">
                  <c:v>88.138120734908142</c:v>
                </c:pt>
                <c:pt idx="437">
                  <c:v>58.23411548556431</c:v>
                </c:pt>
                <c:pt idx="438">
                  <c:v>83.988761154855652</c:v>
                </c:pt>
                <c:pt idx="439">
                  <c:v>325.93934908136487</c:v>
                </c:pt>
                <c:pt idx="440">
                  <c:v>167.9775223097113</c:v>
                </c:pt>
                <c:pt idx="441">
                  <c:v>-0.57232545931758538</c:v>
                </c:pt>
                <c:pt idx="442">
                  <c:v>18.886740157480315</c:v>
                </c:pt>
                <c:pt idx="443">
                  <c:v>294.03220472440944</c:v>
                </c:pt>
                <c:pt idx="444">
                  <c:v>86.850388451443578</c:v>
                </c:pt>
                <c:pt idx="445">
                  <c:v>122.08009749103942</c:v>
                </c:pt>
                <c:pt idx="446">
                  <c:v>10.149150230414746</c:v>
                </c:pt>
                <c:pt idx="447">
                  <c:v>-3.3160589861751153</c:v>
                </c:pt>
                <c:pt idx="448">
                  <c:v>160.81211305683561</c:v>
                </c:pt>
                <c:pt idx="449">
                  <c:v>24.57456507936508</c:v>
                </c:pt>
                <c:pt idx="450">
                  <c:v>1.1276833589349717</c:v>
                </c:pt>
                <c:pt idx="451">
                  <c:v>20.168704714558849</c:v>
                </c:pt>
                <c:pt idx="452">
                  <c:v>40.337409429117699</c:v>
                </c:pt>
                <c:pt idx="453">
                  <c:v>80.674818858235398</c:v>
                </c:pt>
                <c:pt idx="454">
                  <c:v>137.14719205900019</c:v>
                </c:pt>
                <c:pt idx="455">
                  <c:v>225.88949280305911</c:v>
                </c:pt>
                <c:pt idx="456">
                  <c:v>22.263460367454069</c:v>
                </c:pt>
                <c:pt idx="457">
                  <c:v>39.86246824146982</c:v>
                </c:pt>
                <c:pt idx="458">
                  <c:v>145.21327716535433</c:v>
                </c:pt>
                <c:pt idx="459">
                  <c:v>260.5797816272966</c:v>
                </c:pt>
                <c:pt idx="460">
                  <c:v>0.94433700787401587</c:v>
                </c:pt>
                <c:pt idx="461">
                  <c:v>1.6597438320209974</c:v>
                </c:pt>
                <c:pt idx="462">
                  <c:v>79.939558530183731</c:v>
                </c:pt>
                <c:pt idx="463">
                  <c:v>102.67518740157482</c:v>
                </c:pt>
                <c:pt idx="464">
                  <c:v>6.6532834645669299</c:v>
                </c:pt>
                <c:pt idx="465">
                  <c:v>18.529036745406824</c:v>
                </c:pt>
                <c:pt idx="466">
                  <c:v>2.1319123359580052</c:v>
                </c:pt>
                <c:pt idx="467">
                  <c:v>10.387707086614173</c:v>
                </c:pt>
                <c:pt idx="468">
                  <c:v>22.263460367454069</c:v>
                </c:pt>
                <c:pt idx="469">
                  <c:v>27.714860367454069</c:v>
                </c:pt>
                <c:pt idx="470">
                  <c:v>22.263460367454069</c:v>
                </c:pt>
                <c:pt idx="471">
                  <c:v>64.54400367454069</c:v>
                </c:pt>
                <c:pt idx="472">
                  <c:v>32.267375320020477</c:v>
                </c:pt>
                <c:pt idx="473">
                  <c:v>33.145360819831012</c:v>
                </c:pt>
                <c:pt idx="474">
                  <c:v>42.467493550408477</c:v>
                </c:pt>
                <c:pt idx="475">
                  <c:v>33.808268036227631</c:v>
                </c:pt>
                <c:pt idx="476">
                  <c:v>35.160598757676738</c:v>
                </c:pt>
                <c:pt idx="477">
                  <c:v>48.170020298017135</c:v>
                </c:pt>
                <c:pt idx="478">
                  <c:v>44.169744513539179</c:v>
                </c:pt>
                <c:pt idx="479">
                  <c:v>66.916561170375431</c:v>
                </c:pt>
                <c:pt idx="480">
                  <c:v>115.68645621159868</c:v>
                </c:pt>
                <c:pt idx="481">
                  <c:v>59.945690888914022</c:v>
                </c:pt>
                <c:pt idx="482">
                  <c:v>277.64169343403654</c:v>
                </c:pt>
                <c:pt idx="483">
                  <c:v>124.0974235803648</c:v>
                </c:pt>
                <c:pt idx="484">
                  <c:v>58.893692546613806</c:v>
                </c:pt>
                <c:pt idx="485">
                  <c:v>29.446846273306903</c:v>
                </c:pt>
                <c:pt idx="486">
                  <c:v>500.59638664621735</c:v>
                </c:pt>
                <c:pt idx="487">
                  <c:v>253.45321256667728</c:v>
                </c:pt>
                <c:pt idx="488">
                  <c:v>120.94240433679622</c:v>
                </c:pt>
                <c:pt idx="489">
                  <c:v>65.203731033750998</c:v>
                </c:pt>
                <c:pt idx="490">
                  <c:v>933.88569609630463</c:v>
                </c:pt>
                <c:pt idx="491">
                  <c:v>432.23763636889777</c:v>
                </c:pt>
                <c:pt idx="492">
                  <c:v>210.33461623790646</c:v>
                </c:pt>
                <c:pt idx="493">
                  <c:v>80.978827251593984</c:v>
                </c:pt>
                <c:pt idx="494">
                  <c:v>938.09238842106276</c:v>
                </c:pt>
                <c:pt idx="495">
                  <c:v>467.99452112934188</c:v>
                </c:pt>
                <c:pt idx="496">
                  <c:v>227.16138553693898</c:v>
                </c:pt>
                <c:pt idx="497">
                  <c:v>100.96061579419509</c:v>
                </c:pt>
                <c:pt idx="498">
                  <c:v>6.5316313364055292</c:v>
                </c:pt>
                <c:pt idx="499">
                  <c:v>18.098759651817716</c:v>
                </c:pt>
                <c:pt idx="500">
                  <c:v>20.074996825396823</c:v>
                </c:pt>
                <c:pt idx="501">
                  <c:v>1.7653941780655935</c:v>
                </c:pt>
                <c:pt idx="502">
                  <c:v>40.219130522847735</c:v>
                </c:pt>
                <c:pt idx="503">
                  <c:v>246.88971212045143</c:v>
                </c:pt>
                <c:pt idx="504">
                  <c:v>-3.0396636599776006</c:v>
                </c:pt>
                <c:pt idx="505">
                  <c:v>2.0574142676704286</c:v>
                </c:pt>
                <c:pt idx="506">
                  <c:v>10.738375113195978</c:v>
                </c:pt>
                <c:pt idx="507">
                  <c:v>60.26232758208868</c:v>
                </c:pt>
                <c:pt idx="508">
                  <c:v>77.119850936549611</c:v>
                </c:pt>
                <c:pt idx="509">
                  <c:v>2495.4444020776809</c:v>
                </c:pt>
                <c:pt idx="510">
                  <c:v>0.93977374291010529</c:v>
                </c:pt>
                <c:pt idx="511">
                  <c:v>3.8759030074823553</c:v>
                </c:pt>
                <c:pt idx="512">
                  <c:v>15.264686502070923</c:v>
                </c:pt>
                <c:pt idx="513">
                  <c:v>85.614980815962994</c:v>
                </c:pt>
                <c:pt idx="514">
                  <c:v>70.084821505160406</c:v>
                </c:pt>
                <c:pt idx="515">
                  <c:v>2004.3197059240947</c:v>
                </c:pt>
                <c:pt idx="516">
                  <c:v>121.45380999473821</c:v>
                </c:pt>
                <c:pt idx="517">
                  <c:v>16.061104928265927</c:v>
                </c:pt>
                <c:pt idx="518">
                  <c:v>38.626293670457727</c:v>
                </c:pt>
                <c:pt idx="519">
                  <c:v>3.198947345216602</c:v>
                </c:pt>
                <c:pt idx="520">
                  <c:v>99.552303274375575</c:v>
                </c:pt>
                <c:pt idx="521">
                  <c:v>6.8359248248404567</c:v>
                </c:pt>
                <c:pt idx="522">
                  <c:v>69.022930270233729</c:v>
                </c:pt>
                <c:pt idx="523">
                  <c:v>38.936011947311336</c:v>
                </c:pt>
                <c:pt idx="524">
                  <c:v>68.138020907794825</c:v>
                </c:pt>
                <c:pt idx="525">
                  <c:v>34.069010453897413</c:v>
                </c:pt>
                <c:pt idx="526">
                  <c:v>14.60100448024175</c:v>
                </c:pt>
                <c:pt idx="527">
                  <c:v>87.606026881450504</c:v>
                </c:pt>
                <c:pt idx="528">
                  <c:v>248.21707616410978</c:v>
                </c:pt>
                <c:pt idx="529">
                  <c:v>1.4601004480241748</c:v>
                </c:pt>
                <c:pt idx="530">
                  <c:v>121.67503733534791</c:v>
                </c:pt>
                <c:pt idx="531">
                  <c:v>9.7340029868278339</c:v>
                </c:pt>
                <c:pt idx="532">
                  <c:v>14.60100448024175</c:v>
                </c:pt>
                <c:pt idx="533">
                  <c:v>38.936011947311336</c:v>
                </c:pt>
                <c:pt idx="534">
                  <c:v>58.404017920967</c:v>
                </c:pt>
                <c:pt idx="535">
                  <c:v>38.936011947311336</c:v>
                </c:pt>
                <c:pt idx="536">
                  <c:v>23.866005504976972</c:v>
                </c:pt>
                <c:pt idx="537">
                  <c:v>378.13946875738816</c:v>
                </c:pt>
                <c:pt idx="538">
                  <c:v>151.00093360657286</c:v>
                </c:pt>
                <c:pt idx="539">
                  <c:v>222.78478108761595</c:v>
                </c:pt>
                <c:pt idx="540">
                  <c:v>91.428835327186519</c:v>
                </c:pt>
                <c:pt idx="541">
                  <c:v>38.281179019106553</c:v>
                </c:pt>
                <c:pt idx="542">
                  <c:v>12.862157583049322</c:v>
                </c:pt>
                <c:pt idx="543">
                  <c:v>3.4113255922019361</c:v>
                </c:pt>
                <c:pt idx="544">
                  <c:v>-1.0486175944900893</c:v>
                </c:pt>
                <c:pt idx="545">
                  <c:v>44.884606942252525</c:v>
                </c:pt>
                <c:pt idx="546">
                  <c:v>91.51312335883901</c:v>
                </c:pt>
                <c:pt idx="547">
                  <c:v>21.033461623790647</c:v>
                </c:pt>
                <c:pt idx="548">
                  <c:v>44.170269409960355</c:v>
                </c:pt>
                <c:pt idx="549">
                  <c:v>211.38628931909599</c:v>
                </c:pt>
                <c:pt idx="550">
                  <c:v>25.240153948548773</c:v>
                </c:pt>
                <c:pt idx="551">
                  <c:v>52.583654059476615</c:v>
                </c:pt>
                <c:pt idx="552">
                  <c:v>216.64465472504367</c:v>
                </c:pt>
                <c:pt idx="553">
                  <c:v>11.568403893084856</c:v>
                </c:pt>
                <c:pt idx="554">
                  <c:v>28.395173192117372</c:v>
                </c:pt>
                <c:pt idx="555">
                  <c:v>135.66582747344967</c:v>
                </c:pt>
                <c:pt idx="556">
                  <c:v>11.568403893084856</c:v>
                </c:pt>
                <c:pt idx="557">
                  <c:v>29.446846273306903</c:v>
                </c:pt>
                <c:pt idx="558">
                  <c:v>134.61415439226013</c:v>
                </c:pt>
                <c:pt idx="559">
                  <c:v>12.620076974274387</c:v>
                </c:pt>
                <c:pt idx="560">
                  <c:v>31.550192435685968</c:v>
                </c:pt>
                <c:pt idx="561">
                  <c:v>145.13088520415545</c:v>
                </c:pt>
                <c:pt idx="562">
                  <c:v>11.568403893084856</c:v>
                </c:pt>
                <c:pt idx="563">
                  <c:v>27.343500110927838</c:v>
                </c:pt>
                <c:pt idx="564">
                  <c:v>124.0974235803648</c:v>
                </c:pt>
                <c:pt idx="565">
                  <c:v>14.723423136653452</c:v>
                </c:pt>
                <c:pt idx="566">
                  <c:v>32.601865516875499</c:v>
                </c:pt>
                <c:pt idx="567">
                  <c:v>136.7175005546392</c:v>
                </c:pt>
                <c:pt idx="568">
                  <c:v>5.2583654059476617</c:v>
                </c:pt>
                <c:pt idx="569">
                  <c:v>15.775096217842984</c:v>
                </c:pt>
                <c:pt idx="570">
                  <c:v>67.307077196130066</c:v>
                </c:pt>
                <c:pt idx="571">
                  <c:v>6.3100384871371933</c:v>
                </c:pt>
                <c:pt idx="572">
                  <c:v>18.930115461411582</c:v>
                </c:pt>
                <c:pt idx="573">
                  <c:v>75.720461845646327</c:v>
                </c:pt>
                <c:pt idx="574">
                  <c:v>7.3617115683267258</c:v>
                </c:pt>
                <c:pt idx="575">
                  <c:v>19.981788542601112</c:v>
                </c:pt>
                <c:pt idx="576">
                  <c:v>80.978827251593984</c:v>
                </c:pt>
                <c:pt idx="577">
                  <c:v>2.1033461623790646</c:v>
                </c:pt>
                <c:pt idx="578">
                  <c:v>6.3100384871371933</c:v>
                </c:pt>
                <c:pt idx="579">
                  <c:v>22.085134704980177</c:v>
                </c:pt>
                <c:pt idx="580">
                  <c:v>3.1550192435685966</c:v>
                </c:pt>
                <c:pt idx="581">
                  <c:v>8.4133846495162583</c:v>
                </c:pt>
                <c:pt idx="582">
                  <c:v>34.705211679254568</c:v>
                </c:pt>
                <c:pt idx="583">
                  <c:v>0</c:v>
                </c:pt>
                <c:pt idx="584">
                  <c:v>3.1550192435685966</c:v>
                </c:pt>
                <c:pt idx="585">
                  <c:v>7.3617115683267258</c:v>
                </c:pt>
                <c:pt idx="586">
                  <c:v>1.0516730811895323</c:v>
                </c:pt>
                <c:pt idx="587">
                  <c:v>6.3100384871371933</c:v>
                </c:pt>
                <c:pt idx="588">
                  <c:v>13.671750055463919</c:v>
                </c:pt>
                <c:pt idx="589">
                  <c:v>1.0516730811895323</c:v>
                </c:pt>
                <c:pt idx="590">
                  <c:v>6.3100384871371933</c:v>
                </c:pt>
                <c:pt idx="591">
                  <c:v>13.671750055463919</c:v>
                </c:pt>
                <c:pt idx="592">
                  <c:v>279.74503959641561</c:v>
                </c:pt>
                <c:pt idx="593">
                  <c:v>128.30411590512293</c:v>
                </c:pt>
                <c:pt idx="594">
                  <c:v>65.203731033750998</c:v>
                </c:pt>
                <c:pt idx="595">
                  <c:v>36.808557841633629</c:v>
                </c:pt>
                <c:pt idx="596">
                  <c:v>22.085134704980177</c:v>
                </c:pt>
                <c:pt idx="597">
                  <c:v>5.2583654059476617</c:v>
                </c:pt>
                <c:pt idx="598">
                  <c:v>57.842019465424279</c:v>
                </c:pt>
                <c:pt idx="599">
                  <c:v>184.04278920816816</c:v>
                </c:pt>
                <c:pt idx="600">
                  <c:v>14.723423136653452</c:v>
                </c:pt>
                <c:pt idx="601">
                  <c:v>6.3100384871371933</c:v>
                </c:pt>
                <c:pt idx="602">
                  <c:v>-1.4723423136653451</c:v>
                </c:pt>
                <c:pt idx="603">
                  <c:v>152.49259677248219</c:v>
                </c:pt>
                <c:pt idx="604">
                  <c:v>73.617115683267258</c:v>
                </c:pt>
                <c:pt idx="605">
                  <c:v>1.0516730811895323</c:v>
                </c:pt>
                <c:pt idx="606">
                  <c:v>43.399706823466232</c:v>
                </c:pt>
                <c:pt idx="607">
                  <c:v>43.896887235763693</c:v>
                </c:pt>
                <c:pt idx="608">
                  <c:v>38.324323447929608</c:v>
                </c:pt>
                <c:pt idx="609">
                  <c:v>40.395908499169046</c:v>
                </c:pt>
                <c:pt idx="610">
                  <c:v>37.288530922309889</c:v>
                </c:pt>
                <c:pt idx="611">
                  <c:v>50.75383375536623</c:v>
                </c:pt>
                <c:pt idx="612">
                  <c:v>26.930605666112697</c:v>
                </c:pt>
                <c:pt idx="613">
                  <c:v>50.75383375536623</c:v>
                </c:pt>
                <c:pt idx="614">
                  <c:v>31.07377576859157</c:v>
                </c:pt>
                <c:pt idx="615">
                  <c:v>40.395908499169046</c:v>
                </c:pt>
                <c:pt idx="616">
                  <c:v>43.503286076028203</c:v>
                </c:pt>
                <c:pt idx="617">
                  <c:v>65.254929114042298</c:v>
                </c:pt>
                <c:pt idx="618">
                  <c:v>36.25273839669017</c:v>
                </c:pt>
                <c:pt idx="619">
                  <c:v>34.181153345450724</c:v>
                </c:pt>
                <c:pt idx="620">
                  <c:v>48.682248704126799</c:v>
                </c:pt>
                <c:pt idx="621">
                  <c:v>23.823228089253536</c:v>
                </c:pt>
                <c:pt idx="622">
                  <c:v>45.574871127267635</c:v>
                </c:pt>
                <c:pt idx="623">
                  <c:v>43.503286076028203</c:v>
                </c:pt>
                <c:pt idx="624">
                  <c:v>49.718041229746518</c:v>
                </c:pt>
                <c:pt idx="625">
                  <c:v>38.324323447929608</c:v>
                </c:pt>
                <c:pt idx="626">
                  <c:v>46.610663652887361</c:v>
                </c:pt>
                <c:pt idx="627">
                  <c:v>50.75383375536623</c:v>
                </c:pt>
                <c:pt idx="628">
                  <c:v>44.539078601647923</c:v>
                </c:pt>
                <c:pt idx="629">
                  <c:v>72.505476793380339</c:v>
                </c:pt>
                <c:pt idx="630">
                  <c:v>46.610663652887361</c:v>
                </c:pt>
                <c:pt idx="631">
                  <c:v>88.042364677676119</c:v>
                </c:pt>
                <c:pt idx="632">
                  <c:v>35.21694587107045</c:v>
                </c:pt>
                <c:pt idx="633">
                  <c:v>49.718041229746518</c:v>
                </c:pt>
                <c:pt idx="634">
                  <c:v>63.183344062802867</c:v>
                </c:pt>
                <c:pt idx="635">
                  <c:v>101.50766751073246</c:v>
                </c:pt>
                <c:pt idx="636">
                  <c:v>49.718041229746518</c:v>
                </c:pt>
                <c:pt idx="637">
                  <c:v>45.574871127267635</c:v>
                </c:pt>
                <c:pt idx="638">
                  <c:v>78.720231947098654</c:v>
                </c:pt>
                <c:pt idx="639">
                  <c:v>48.682248704126799</c:v>
                </c:pt>
                <c:pt idx="640">
                  <c:v>84.934987100816954</c:v>
                </c:pt>
                <c:pt idx="641">
                  <c:v>78.720231947098654</c:v>
                </c:pt>
                <c:pt idx="642">
                  <c:v>93.221327305774722</c:v>
                </c:pt>
                <c:pt idx="643">
                  <c:v>87.006572152056407</c:v>
                </c:pt>
                <c:pt idx="644">
                  <c:v>53.861211332225395</c:v>
                </c:pt>
                <c:pt idx="645">
                  <c:v>60.075966485943709</c:v>
                </c:pt>
                <c:pt idx="646">
                  <c:v>49.718041229746518</c:v>
                </c:pt>
                <c:pt idx="647">
                  <c:v>92.185534780154995</c:v>
                </c:pt>
                <c:pt idx="648">
                  <c:v>67.32651416528175</c:v>
                </c:pt>
                <c:pt idx="649">
                  <c:v>134.6530283305635</c:v>
                </c:pt>
                <c:pt idx="650">
                  <c:v>37.288530922309889</c:v>
                </c:pt>
                <c:pt idx="651">
                  <c:v>56.968588909084552</c:v>
                </c:pt>
                <c:pt idx="652">
                  <c:v>93.221327305774722</c:v>
                </c:pt>
                <c:pt idx="653">
                  <c:v>143.97516106114097</c:v>
                </c:pt>
                <c:pt idx="654">
                  <c:v>59.040173960323983</c:v>
                </c:pt>
                <c:pt idx="655">
                  <c:v>53.861211332225395</c:v>
                </c:pt>
                <c:pt idx="656">
                  <c:v>107.72242266445079</c:v>
                </c:pt>
                <c:pt idx="657">
                  <c:v>75.612854370239489</c:v>
                </c:pt>
                <c:pt idx="658">
                  <c:v>152.26150126609872</c:v>
                </c:pt>
                <c:pt idx="659">
                  <c:v>134.6530283305635</c:v>
                </c:pt>
                <c:pt idx="660">
                  <c:v>156.4046713685776</c:v>
                </c:pt>
                <c:pt idx="661">
                  <c:v>160.54784147105644</c:v>
                </c:pt>
                <c:pt idx="662">
                  <c:v>75.612854370239489</c:v>
                </c:pt>
                <c:pt idx="663">
                  <c:v>89.078157203295845</c:v>
                </c:pt>
                <c:pt idx="664">
                  <c:v>65.254929114042298</c:v>
                </c:pt>
                <c:pt idx="665">
                  <c:v>178.15631440659169</c:v>
                </c:pt>
                <c:pt idx="666">
                  <c:v>178.15631440659169</c:v>
                </c:pt>
                <c:pt idx="667">
                  <c:v>408.10225509416932</c:v>
                </c:pt>
                <c:pt idx="668">
                  <c:v>44.539078601647923</c:v>
                </c:pt>
                <c:pt idx="669">
                  <c:v>79.756024472718366</c:v>
                </c:pt>
                <c:pt idx="670">
                  <c:v>397.74432983797215</c:v>
                </c:pt>
                <c:pt idx="671">
                  <c:v>435.03286076028201</c:v>
                </c:pt>
                <c:pt idx="672">
                  <c:v>87.006572152056407</c:v>
                </c:pt>
                <c:pt idx="673">
                  <c:v>75.612854370239489</c:v>
                </c:pt>
                <c:pt idx="674">
                  <c:v>226.83856311071847</c:v>
                </c:pt>
                <c:pt idx="675">
                  <c:v>226.83856311071847</c:v>
                </c:pt>
                <c:pt idx="676">
                  <c:v>1044.0788658246768</c:v>
                </c:pt>
                <c:pt idx="677">
                  <c:v>743.69903339495829</c:v>
                </c:pt>
                <c:pt idx="678">
                  <c:v>748.87799602305688</c:v>
                </c:pt>
                <c:pt idx="679">
                  <c:v>804.81079240652173</c:v>
                </c:pt>
                <c:pt idx="680">
                  <c:v>35.21694587107045</c:v>
                </c:pt>
                <c:pt idx="681">
                  <c:v>36.25273839669017</c:v>
                </c:pt>
                <c:pt idx="682">
                  <c:v>34.181153345450724</c:v>
                </c:pt>
                <c:pt idx="683">
                  <c:v>53.861211332225395</c:v>
                </c:pt>
                <c:pt idx="684">
                  <c:v>24.859020614873259</c:v>
                </c:pt>
                <c:pt idx="685">
                  <c:v>66.290721639662024</c:v>
                </c:pt>
                <c:pt idx="686">
                  <c:v>27.966398191732413</c:v>
                </c:pt>
                <c:pt idx="687">
                  <c:v>36.25273839669017</c:v>
                </c:pt>
                <c:pt idx="688">
                  <c:v>43.503286076028203</c:v>
                </c:pt>
                <c:pt idx="689">
                  <c:v>51.789626280985956</c:v>
                </c:pt>
                <c:pt idx="690">
                  <c:v>33.145360819831012</c:v>
                </c:pt>
                <c:pt idx="691">
                  <c:v>30.037983242971855</c:v>
                </c:pt>
                <c:pt idx="692">
                  <c:v>45.574871127267635</c:v>
                </c:pt>
                <c:pt idx="693">
                  <c:v>20.715850512394383</c:v>
                </c:pt>
                <c:pt idx="694">
                  <c:v>40.395908499169046</c:v>
                </c:pt>
                <c:pt idx="695">
                  <c:v>37.288530922309889</c:v>
                </c:pt>
                <c:pt idx="696">
                  <c:v>44.539078601647923</c:v>
                </c:pt>
                <c:pt idx="697">
                  <c:v>32.109568294211293</c:v>
                </c:pt>
                <c:pt idx="698">
                  <c:v>42.467493550408477</c:v>
                </c:pt>
                <c:pt idx="699">
                  <c:v>43.503286076028203</c:v>
                </c:pt>
                <c:pt idx="700">
                  <c:v>39.360115973549327</c:v>
                </c:pt>
                <c:pt idx="701">
                  <c:v>74.577061844619777</c:v>
                </c:pt>
                <c:pt idx="702">
                  <c:v>41.431701024788765</c:v>
                </c:pt>
                <c:pt idx="703">
                  <c:v>110.82980024130995</c:v>
                </c:pt>
                <c:pt idx="704">
                  <c:v>31.07377576859157</c:v>
                </c:pt>
                <c:pt idx="705">
                  <c:v>43.503286076028203</c:v>
                </c:pt>
                <c:pt idx="706">
                  <c:v>55.932796383464826</c:v>
                </c:pt>
                <c:pt idx="707">
                  <c:v>65.254929114042298</c:v>
                </c:pt>
                <c:pt idx="708">
                  <c:v>43.503286076028203</c:v>
                </c:pt>
                <c:pt idx="709">
                  <c:v>39.360115973549327</c:v>
                </c:pt>
                <c:pt idx="710">
                  <c:v>70.433891742140901</c:v>
                </c:pt>
                <c:pt idx="711">
                  <c:v>42.467493550408477</c:v>
                </c:pt>
                <c:pt idx="712">
                  <c:v>63.183344062802867</c:v>
                </c:pt>
                <c:pt idx="713">
                  <c:v>56.968588909084552</c:v>
                </c:pt>
                <c:pt idx="714">
                  <c:v>71.469684267760613</c:v>
                </c:pt>
                <c:pt idx="715">
                  <c:v>64.219136588422586</c:v>
                </c:pt>
                <c:pt idx="716">
                  <c:v>47.646456178507073</c:v>
                </c:pt>
                <c:pt idx="717">
                  <c:v>48.682248704126799</c:v>
                </c:pt>
                <c:pt idx="718">
                  <c:v>43.503286076028203</c:v>
                </c:pt>
                <c:pt idx="719">
                  <c:v>92.185534780154995</c:v>
                </c:pt>
                <c:pt idx="720">
                  <c:v>60.075966485943709</c:v>
                </c:pt>
                <c:pt idx="721">
                  <c:v>155.36887884295788</c:v>
                </c:pt>
                <c:pt idx="722">
                  <c:v>33.145360819831012</c:v>
                </c:pt>
                <c:pt idx="723">
                  <c:v>48.682248704126799</c:v>
                </c:pt>
                <c:pt idx="724">
                  <c:v>66.290721639662024</c:v>
                </c:pt>
                <c:pt idx="725">
                  <c:v>75.612854370239489</c:v>
                </c:pt>
                <c:pt idx="726">
                  <c:v>50.75383375536623</c:v>
                </c:pt>
                <c:pt idx="727">
                  <c:v>46.610663652887361</c:v>
                </c:pt>
                <c:pt idx="728">
                  <c:v>92.185534780154995</c:v>
                </c:pt>
                <c:pt idx="729">
                  <c:v>63.183344062802867</c:v>
                </c:pt>
                <c:pt idx="730">
                  <c:v>93.221327305774722</c:v>
                </c:pt>
                <c:pt idx="731">
                  <c:v>87.006572152056407</c:v>
                </c:pt>
                <c:pt idx="732">
                  <c:v>107.72242266445079</c:v>
                </c:pt>
                <c:pt idx="733">
                  <c:v>107.72242266445079</c:v>
                </c:pt>
                <c:pt idx="734">
                  <c:v>62.147551537183141</c:v>
                </c:pt>
                <c:pt idx="735">
                  <c:v>64.219136588422586</c:v>
                </c:pt>
                <c:pt idx="736">
                  <c:v>54.897003857845114</c:v>
                </c:pt>
                <c:pt idx="737">
                  <c:v>148.11833116361981</c:v>
                </c:pt>
                <c:pt idx="738">
                  <c:v>148.11833116361981</c:v>
                </c:pt>
                <c:pt idx="739">
                  <c:v>327.31043809583122</c:v>
                </c:pt>
                <c:pt idx="740">
                  <c:v>38.324323447929608</c:v>
                </c:pt>
                <c:pt idx="741">
                  <c:v>65.254929114042298</c:v>
                </c:pt>
                <c:pt idx="742">
                  <c:v>100.47187498511275</c:v>
                </c:pt>
                <c:pt idx="743">
                  <c:v>108.7582151900705</c:v>
                </c:pt>
                <c:pt idx="744">
                  <c:v>70.433891742140901</c:v>
                </c:pt>
                <c:pt idx="745">
                  <c:v>62.147551537183141</c:v>
                </c:pt>
                <c:pt idx="746">
                  <c:v>168.8341816760142</c:v>
                </c:pt>
                <c:pt idx="747">
                  <c:v>168.8341816760142</c:v>
                </c:pt>
                <c:pt idx="748">
                  <c:v>449.53395611895809</c:v>
                </c:pt>
                <c:pt idx="749">
                  <c:v>713.6610501519865</c:v>
                </c:pt>
                <c:pt idx="750">
                  <c:v>524.11101796357786</c:v>
                </c:pt>
                <c:pt idx="751">
                  <c:v>575.90064424456386</c:v>
                </c:pt>
                <c:pt idx="752">
                  <c:v>423.89276597568244</c:v>
                </c:pt>
                <c:pt idx="753">
                  <c:v>544.41129747857258</c:v>
                </c:pt>
                <c:pt idx="754">
                  <c:v>606.7484689455847</c:v>
                </c:pt>
                <c:pt idx="755">
                  <c:v>781.29254905321864</c:v>
                </c:pt>
                <c:pt idx="756">
                  <c:v>315.8416687661948</c:v>
                </c:pt>
                <c:pt idx="757">
                  <c:v>411.42533168228005</c:v>
                </c:pt>
                <c:pt idx="758">
                  <c:v>390.64627452660932</c:v>
                </c:pt>
                <c:pt idx="759">
                  <c:v>473.76250314929217</c:v>
                </c:pt>
                <c:pt idx="760">
                  <c:v>561.03454320310914</c:v>
                </c:pt>
                <c:pt idx="761">
                  <c:v>610.90428037671882</c:v>
                </c:pt>
                <c:pt idx="762">
                  <c:v>905.96689198724289</c:v>
                </c:pt>
                <c:pt idx="763">
                  <c:v>438.04729817374971</c:v>
                </c:pt>
                <c:pt idx="764">
                  <c:v>564.9581976446492</c:v>
                </c:pt>
                <c:pt idx="765">
                  <c:v>433.95339819081755</c:v>
                </c:pt>
                <c:pt idx="766">
                  <c:v>418.57508534564306</c:v>
                </c:pt>
                <c:pt idx="767">
                  <c:v>170.53059032600274</c:v>
                </c:pt>
                <c:pt idx="768">
                  <c:v>180.58467908902691</c:v>
                </c:pt>
                <c:pt idx="769">
                  <c:v>67.719254658385097</c:v>
                </c:pt>
                <c:pt idx="770">
                  <c:v>69.596299709848097</c:v>
                </c:pt>
                <c:pt idx="771">
                  <c:v>298.85469875405357</c:v>
                </c:pt>
                <c:pt idx="772">
                  <c:v>229.25839904420548</c:v>
                </c:pt>
                <c:pt idx="773">
                  <c:v>290.66689878818909</c:v>
                </c:pt>
                <c:pt idx="774">
                  <c:v>433.95339819081755</c:v>
                </c:pt>
                <c:pt idx="775">
                  <c:v>496.48724688996595</c:v>
                </c:pt>
                <c:pt idx="776">
                  <c:v>193.19783655447154</c:v>
                </c:pt>
                <c:pt idx="777">
                  <c:v>82.389486189873224</c:v>
                </c:pt>
                <c:pt idx="778">
                  <c:v>136.93087474379445</c:v>
                </c:pt>
                <c:pt idx="779">
                  <c:v>59.890665649864339</c:v>
                </c:pt>
                <c:pt idx="780">
                  <c:v>26.89239552451799</c:v>
                </c:pt>
                <c:pt idx="781">
                  <c:v>13.300187717456575</c:v>
                </c:pt>
                <c:pt idx="782">
                  <c:v>5.1368988489577792</c:v>
                </c:pt>
                <c:pt idx="783">
                  <c:v>0.942428470997422</c:v>
                </c:pt>
                <c:pt idx="784">
                  <c:v>68.226511844038725</c:v>
                </c:pt>
                <c:pt idx="785">
                  <c:v>436.60985488053808</c:v>
                </c:pt>
                <c:pt idx="786">
                  <c:v>11.707629727900636</c:v>
                </c:pt>
                <c:pt idx="787">
                  <c:v>37.074160805018685</c:v>
                </c:pt>
                <c:pt idx="788">
                  <c:v>56.586877018186414</c:v>
                </c:pt>
                <c:pt idx="789">
                  <c:v>38.56134631028285</c:v>
                </c:pt>
                <c:pt idx="790">
                  <c:v>123.39630819290511</c:v>
                </c:pt>
                <c:pt idx="791">
                  <c:v>258.36102027889507</c:v>
                </c:pt>
                <c:pt idx="792">
                  <c:v>73.706513674350319</c:v>
                </c:pt>
                <c:pt idx="793">
                  <c:v>68.441762697611011</c:v>
                </c:pt>
                <c:pt idx="794">
                  <c:v>68.441762697611011</c:v>
                </c:pt>
                <c:pt idx="795">
                  <c:v>73.706513674350319</c:v>
                </c:pt>
                <c:pt idx="796">
                  <c:v>73.706513674350319</c:v>
                </c:pt>
                <c:pt idx="797">
                  <c:v>31.588505860435856</c:v>
                </c:pt>
                <c:pt idx="798">
                  <c:v>42.118007813914467</c:v>
                </c:pt>
                <c:pt idx="799">
                  <c:v>47.382758790653781</c:v>
                </c:pt>
                <c:pt idx="800">
                  <c:v>25</c:v>
                </c:pt>
                <c:pt idx="801">
                  <c:v>95</c:v>
                </c:pt>
                <c:pt idx="802">
                  <c:v>29.3</c:v>
                </c:pt>
                <c:pt idx="803">
                  <c:v>215.9</c:v>
                </c:pt>
                <c:pt idx="804">
                  <c:v>27.6</c:v>
                </c:pt>
                <c:pt idx="805">
                  <c:v>27.7</c:v>
                </c:pt>
                <c:pt idx="806">
                  <c:v>27.8</c:v>
                </c:pt>
                <c:pt idx="807">
                  <c:v>27.9</c:v>
                </c:pt>
                <c:pt idx="808">
                  <c:v>27.9</c:v>
                </c:pt>
                <c:pt idx="809">
                  <c:v>198.6</c:v>
                </c:pt>
                <c:pt idx="810">
                  <c:v>184.8</c:v>
                </c:pt>
                <c:pt idx="811">
                  <c:v>209.2</c:v>
                </c:pt>
                <c:pt idx="812">
                  <c:v>213.4</c:v>
                </c:pt>
                <c:pt idx="813">
                  <c:v>215.5</c:v>
                </c:pt>
                <c:pt idx="814">
                  <c:v>25</c:v>
                </c:pt>
                <c:pt idx="815">
                  <c:v>95</c:v>
                </c:pt>
                <c:pt idx="816">
                  <c:v>29.3</c:v>
                </c:pt>
                <c:pt idx="817">
                  <c:v>215.9</c:v>
                </c:pt>
                <c:pt idx="818">
                  <c:v>27.6</c:v>
                </c:pt>
                <c:pt idx="819">
                  <c:v>28.1</c:v>
                </c:pt>
                <c:pt idx="820">
                  <c:v>27.4</c:v>
                </c:pt>
                <c:pt idx="821">
                  <c:v>27.4</c:v>
                </c:pt>
                <c:pt idx="822">
                  <c:v>27.4</c:v>
                </c:pt>
                <c:pt idx="823">
                  <c:v>198.6</c:v>
                </c:pt>
                <c:pt idx="824">
                  <c:v>191.9</c:v>
                </c:pt>
                <c:pt idx="825">
                  <c:v>200.4</c:v>
                </c:pt>
                <c:pt idx="826">
                  <c:v>202.8</c:v>
                </c:pt>
                <c:pt idx="827">
                  <c:v>204.3</c:v>
                </c:pt>
                <c:pt idx="828">
                  <c:v>40.938999829322405</c:v>
                </c:pt>
                <c:pt idx="829">
                  <c:v>105213.22956135857</c:v>
                </c:pt>
                <c:pt idx="830">
                  <c:v>18.422549923195081</c:v>
                </c:pt>
                <c:pt idx="831">
                  <c:v>6918.6909711554872</c:v>
                </c:pt>
                <c:pt idx="832">
                  <c:v>180.13159924901859</c:v>
                </c:pt>
                <c:pt idx="833">
                  <c:v>423.89276597568244</c:v>
                </c:pt>
                <c:pt idx="834">
                  <c:v>369.86721737093859</c:v>
                </c:pt>
                <c:pt idx="835">
                  <c:v>619.21590323898704</c:v>
                </c:pt>
                <c:pt idx="836">
                  <c:v>669.08564041259683</c:v>
                </c:pt>
                <c:pt idx="837">
                  <c:v>947.52500629858434</c:v>
                </c:pt>
                <c:pt idx="838">
                  <c:v>131.1085774549617</c:v>
                </c:pt>
                <c:pt idx="839">
                  <c:v>196.66286618244254</c:v>
                </c:pt>
                <c:pt idx="840">
                  <c:v>424.17480941311135</c:v>
                </c:pt>
                <c:pt idx="841">
                  <c:v>616.98154096452561</c:v>
                </c:pt>
                <c:pt idx="842">
                  <c:v>964.03365775707118</c:v>
                </c:pt>
                <c:pt idx="843">
                  <c:v>1233.9630819290512</c:v>
                </c:pt>
                <c:pt idx="844">
                  <c:v>96.40336577570713</c:v>
                </c:pt>
                <c:pt idx="845">
                  <c:v>131.1085774549617</c:v>
                </c:pt>
                <c:pt idx="846">
                  <c:v>254.50488564786681</c:v>
                </c:pt>
                <c:pt idx="847">
                  <c:v>370.18892457871539</c:v>
                </c:pt>
                <c:pt idx="848">
                  <c:v>616.98154096452561</c:v>
                </c:pt>
                <c:pt idx="849">
                  <c:v>886.91096513650564</c:v>
                </c:pt>
                <c:pt idx="850">
                  <c:v>61.698154096452555</c:v>
                </c:pt>
                <c:pt idx="851">
                  <c:v>80.978827251593984</c:v>
                </c:pt>
                <c:pt idx="852">
                  <c:v>158.10151987215968</c:v>
                </c:pt>
                <c:pt idx="853">
                  <c:v>273.7855588030082</c:v>
                </c:pt>
                <c:pt idx="854">
                  <c:v>771.22692620565704</c:v>
                </c:pt>
                <c:pt idx="855">
                  <c:v>2352.2421249272538</c:v>
                </c:pt>
                <c:pt idx="856">
                  <c:v>462.73615572339423</c:v>
                </c:pt>
                <c:pt idx="857">
                  <c:v>1041.156350377637</c:v>
                </c:pt>
                <c:pt idx="858">
                  <c:v>2969.2236658917795</c:v>
                </c:pt>
                <c:pt idx="859">
                  <c:v>5012.9750203367712</c:v>
                </c:pt>
                <c:pt idx="860">
                  <c:v>9640.3365775707116</c:v>
                </c:pt>
                <c:pt idx="861">
                  <c:v>14653.311597907485</c:v>
                </c:pt>
                <c:pt idx="862">
                  <c:v>111.82790429982026</c:v>
                </c:pt>
                <c:pt idx="863">
                  <c:v>131.1085774549617</c:v>
                </c:pt>
                <c:pt idx="864">
                  <c:v>289.21009732712139</c:v>
                </c:pt>
                <c:pt idx="865">
                  <c:v>578.42019465424278</c:v>
                </c:pt>
                <c:pt idx="866">
                  <c:v>4241.7480941311142</c:v>
                </c:pt>
                <c:pt idx="867">
                  <c:v>14653.311597907485</c:v>
                </c:pt>
                <c:pt idx="868">
                  <c:v>38.435716501599366</c:v>
                </c:pt>
                <c:pt idx="869">
                  <c:v>45.586547478641116</c:v>
                </c:pt>
                <c:pt idx="870">
                  <c:v>31.284885524557627</c:v>
                </c:pt>
                <c:pt idx="871">
                  <c:v>30.391031652427408</c:v>
                </c:pt>
                <c:pt idx="872">
                  <c:v>75.977579131068524</c:v>
                </c:pt>
                <c:pt idx="873">
                  <c:v>63.463624921245469</c:v>
                </c:pt>
                <c:pt idx="874">
                  <c:v>50.055816839292206</c:v>
                </c:pt>
                <c:pt idx="875">
                  <c:v>39.306877245803065</c:v>
                </c:pt>
                <c:pt idx="876">
                  <c:v>38.452379914372564</c:v>
                </c:pt>
                <c:pt idx="877">
                  <c:v>37.597882582942063</c:v>
                </c:pt>
                <c:pt idx="878">
                  <c:v>41.015871908664067</c:v>
                </c:pt>
                <c:pt idx="879">
                  <c:v>43.579363902955571</c:v>
                </c:pt>
                <c:pt idx="880">
                  <c:v>40.161374577233559</c:v>
                </c:pt>
                <c:pt idx="881">
                  <c:v>41.870369240094568</c:v>
                </c:pt>
                <c:pt idx="882">
                  <c:v>107.66666376024318</c:v>
                </c:pt>
                <c:pt idx="883">
                  <c:v>105.95766909738217</c:v>
                </c:pt>
                <c:pt idx="884">
                  <c:v>105.10317176595167</c:v>
                </c:pt>
                <c:pt idx="885">
                  <c:v>111.93915041739568</c:v>
                </c:pt>
                <c:pt idx="886">
                  <c:v>117.92063173740918</c:v>
                </c:pt>
                <c:pt idx="887">
                  <c:v>111.08465308596517</c:v>
                </c:pt>
                <c:pt idx="888">
                  <c:v>115.35713974311768</c:v>
                </c:pt>
                <c:pt idx="889">
                  <c:v>951.57012732881287</c:v>
                </c:pt>
                <c:pt idx="890">
                  <c:v>815.63153771041107</c:v>
                </c:pt>
                <c:pt idx="891">
                  <c:v>654.6516289517773</c:v>
                </c:pt>
                <c:pt idx="892">
                  <c:v>500.8263828046384</c:v>
                </c:pt>
                <c:pt idx="893">
                  <c:v>329.11448012876235</c:v>
                </c:pt>
                <c:pt idx="894">
                  <c:v>160.97990875863374</c:v>
                </c:pt>
                <c:pt idx="895">
                  <c:v>3.5773313057474168</c:v>
                </c:pt>
                <c:pt idx="896">
                  <c:v>45.989188137515526</c:v>
                </c:pt>
                <c:pt idx="897">
                  <c:v>78.720231947098654</c:v>
                </c:pt>
                <c:pt idx="898">
                  <c:v>94.257119831394448</c:v>
                </c:pt>
                <c:pt idx="899">
                  <c:v>203.01533502146492</c:v>
                </c:pt>
                <c:pt idx="900">
                  <c:v>184.37106956030999</c:v>
                </c:pt>
                <c:pt idx="901">
                  <c:v>122.22351802312686</c:v>
                </c:pt>
                <c:pt idx="902">
                  <c:v>137.76040590742264</c:v>
                </c:pt>
                <c:pt idx="903">
                  <c:v>280.69977444294386</c:v>
                </c:pt>
                <c:pt idx="904">
                  <c:v>241.33965846939458</c:v>
                </c:pt>
                <c:pt idx="905">
                  <c:v>72.505476793380339</c:v>
                </c:pt>
                <c:pt idx="906">
                  <c:v>104.61504508759162</c:v>
                </c:pt>
                <c:pt idx="907">
                  <c:v>237.19648836691567</c:v>
                </c:pt>
                <c:pt idx="908">
                  <c:v>113.9371778181691</c:v>
                </c:pt>
                <c:pt idx="909">
                  <c:v>152.26150126609872</c:v>
                </c:pt>
                <c:pt idx="910">
                  <c:v>340.77574092888756</c:v>
                </c:pt>
                <c:pt idx="911">
                  <c:v>228.68178698383454</c:v>
                </c:pt>
                <c:pt idx="912">
                  <c:v>34.233730174051182</c:v>
                </c:pt>
                <c:pt idx="913">
                  <c:v>150.6084799744622</c:v>
                </c:pt>
                <c:pt idx="914">
                  <c:v>244.53502662130509</c:v>
                </c:pt>
                <c:pt idx="915">
                  <c:v>75.041521571032916</c:v>
                </c:pt>
                <c:pt idx="916">
                  <c:v>129.75592556453651</c:v>
                </c:pt>
                <c:pt idx="917">
                  <c:v>61.959524120007401</c:v>
                </c:pt>
                <c:pt idx="918">
                  <c:v>150.6084799744622</c:v>
                </c:pt>
                <c:pt idx="919">
                  <c:v>141.45870312014787</c:v>
                </c:pt>
                <c:pt idx="920">
                  <c:v>870.11502524478351</c:v>
                </c:pt>
                <c:pt idx="921">
                  <c:v>318.12803377695985</c:v>
                </c:pt>
                <c:pt idx="922">
                  <c:v>386.04422462707691</c:v>
                </c:pt>
                <c:pt idx="923">
                  <c:v>244.53497483167882</c:v>
                </c:pt>
                <c:pt idx="924">
                  <c:v>2459.5090321420098</c:v>
                </c:pt>
                <c:pt idx="925">
                  <c:v>34.625690288713912</c:v>
                </c:pt>
                <c:pt idx="926">
                  <c:v>62.955800524934382</c:v>
                </c:pt>
                <c:pt idx="927">
                  <c:v>27.280846894138232</c:v>
                </c:pt>
                <c:pt idx="928">
                  <c:v>13.115791776027995</c:v>
                </c:pt>
                <c:pt idx="929">
                  <c:v>57.709483814523189</c:v>
                </c:pt>
                <c:pt idx="930">
                  <c:v>146.89686789151358</c:v>
                </c:pt>
                <c:pt idx="931">
                  <c:v>1.5738950131233593</c:v>
                </c:pt>
                <c:pt idx="932">
                  <c:v>73.44843394575679</c:v>
                </c:pt>
                <c:pt idx="933">
                  <c:v>10.492633420822397</c:v>
                </c:pt>
                <c:pt idx="934">
                  <c:v>14.165055118110237</c:v>
                </c:pt>
                <c:pt idx="935">
                  <c:v>29.379373578302712</c:v>
                </c:pt>
                <c:pt idx="936">
                  <c:v>34.101058617672791</c:v>
                </c:pt>
                <c:pt idx="937">
                  <c:v>75</c:v>
                </c:pt>
                <c:pt idx="938">
                  <c:v>37.5</c:v>
                </c:pt>
                <c:pt idx="939">
                  <c:v>200</c:v>
                </c:pt>
                <c:pt idx="940">
                  <c:v>1500</c:v>
                </c:pt>
                <c:pt idx="941">
                  <c:v>293</c:v>
                </c:pt>
                <c:pt idx="942">
                  <c:v>52</c:v>
                </c:pt>
                <c:pt idx="943">
                  <c:v>47.029411764705884</c:v>
                </c:pt>
                <c:pt idx="944">
                  <c:v>263.00787401574803</c:v>
                </c:pt>
                <c:pt idx="945">
                  <c:v>82.133333333333326</c:v>
                </c:pt>
                <c:pt idx="946">
                  <c:v>208.63333333333333</c:v>
                </c:pt>
                <c:pt idx="947">
                  <c:v>80.666666666666671</c:v>
                </c:pt>
                <c:pt idx="948">
                  <c:v>187</c:v>
                </c:pt>
                <c:pt idx="949">
                  <c:v>201.66666666666666</c:v>
                </c:pt>
                <c:pt idx="950">
                  <c:v>260.33333333333331</c:v>
                </c:pt>
                <c:pt idx="951">
                  <c:v>99</c:v>
                </c:pt>
                <c:pt idx="952">
                  <c:v>62.333333333333336</c:v>
                </c:pt>
                <c:pt idx="953">
                  <c:v>97.166666666666671</c:v>
                </c:pt>
                <c:pt idx="954">
                  <c:v>110</c:v>
                </c:pt>
                <c:pt idx="955">
                  <c:v>146.66666666666666</c:v>
                </c:pt>
                <c:pt idx="956">
                  <c:v>70.641050247264843</c:v>
                </c:pt>
                <c:pt idx="957">
                  <c:v>67.222934912719751</c:v>
                </c:pt>
                <c:pt idx="958">
                  <c:v>180.78032213816164</c:v>
                </c:pt>
                <c:pt idx="959">
                  <c:v>94.947648181807594</c:v>
                </c:pt>
                <c:pt idx="960">
                  <c:v>341.05195226905278</c:v>
                </c:pt>
                <c:pt idx="961">
                  <c:v>78.616652694536668</c:v>
                </c:pt>
                <c:pt idx="962">
                  <c:v>24.306597934542744</c:v>
                </c:pt>
                <c:pt idx="963">
                  <c:v>39.49822164363195</c:v>
                </c:pt>
                <c:pt idx="964">
                  <c:v>56.209007723630094</c:v>
                </c:pt>
                <c:pt idx="965">
                  <c:v>46.714242905449332</c:v>
                </c:pt>
                <c:pt idx="966">
                  <c:v>70.261259654537611</c:v>
                </c:pt>
                <c:pt idx="967">
                  <c:v>70.641050247264843</c:v>
                </c:pt>
                <c:pt idx="968">
                  <c:v>63.804819578174694</c:v>
                </c:pt>
                <c:pt idx="969">
                  <c:v>97.98597292362544</c:v>
                </c:pt>
                <c:pt idx="970">
                  <c:v>79.756024472718366</c:v>
                </c:pt>
                <c:pt idx="971">
                  <c:v>118.11487433816865</c:v>
                </c:pt>
                <c:pt idx="972">
                  <c:v>189.89529636361519</c:v>
                </c:pt>
                <c:pt idx="973">
                  <c:v>152.67581827634658</c:v>
                </c:pt>
                <c:pt idx="974">
                  <c:v>175.46325383998041</c:v>
                </c:pt>
                <c:pt idx="975">
                  <c:v>275.34817972724198</c:v>
                </c:pt>
                <c:pt idx="976">
                  <c:v>220.27854378179356</c:v>
                </c:pt>
                <c:pt idx="977">
                  <c:v>474.73824090903793</c:v>
                </c:pt>
                <c:pt idx="978">
                  <c:v>205.08692007270437</c:v>
                </c:pt>
                <c:pt idx="979">
                  <c:v>91.149742254535269</c:v>
                </c:pt>
                <c:pt idx="980">
                  <c:v>72.160212618173773</c:v>
                </c:pt>
                <c:pt idx="981">
                  <c:v>5677.8693612720936</c:v>
                </c:pt>
                <c:pt idx="982">
                  <c:v>3972.6095999268291</c:v>
                </c:pt>
                <c:pt idx="983">
                  <c:v>748.18746767264383</c:v>
                </c:pt>
                <c:pt idx="984">
                  <c:v>125.33089559998602</c:v>
                </c:pt>
                <c:pt idx="985">
                  <c:v>39.049378215863406</c:v>
                </c:pt>
                <c:pt idx="986">
                  <c:v>8.9492474213543733</c:v>
                </c:pt>
                <c:pt idx="987">
                  <c:v>23.253542200162691</c:v>
                </c:pt>
                <c:pt idx="988">
                  <c:v>36.604907855400874</c:v>
                </c:pt>
                <c:pt idx="989">
                  <c:v>48.071131114011159</c:v>
                </c:pt>
                <c:pt idx="990">
                  <c:v>57.766149153811739</c:v>
                </c:pt>
                <c:pt idx="991">
                  <c:v>65.979983881976111</c:v>
                </c:pt>
                <c:pt idx="992">
                  <c:v>39.078136200716841</c:v>
                </c:pt>
                <c:pt idx="993">
                  <c:v>56.968588909084552</c:v>
                </c:pt>
                <c:pt idx="994">
                  <c:v>1572.3330538907335</c:v>
                </c:pt>
                <c:pt idx="995">
                  <c:v>394.63695226111298</c:v>
                </c:pt>
                <c:pt idx="996">
                  <c:v>129.47406570246488</c:v>
                </c:pt>
                <c:pt idx="997">
                  <c:v>89.078157203295845</c:v>
                </c:pt>
                <c:pt idx="998">
                  <c:v>53.861211332225395</c:v>
                </c:pt>
                <c:pt idx="999">
                  <c:v>43.503286076028203</c:v>
                </c:pt>
                <c:pt idx="1000">
                  <c:v>95.292912357014146</c:v>
                </c:pt>
                <c:pt idx="1001">
                  <c:v>82.86340204957753</c:v>
                </c:pt>
                <c:pt idx="1002">
                  <c:v>362.52738396690165</c:v>
                </c:pt>
                <c:pt idx="1003">
                  <c:v>105.65083761321135</c:v>
                </c:pt>
                <c:pt idx="1004">
                  <c:v>45.574871127267635</c:v>
                </c:pt>
                <c:pt idx="1005">
                  <c:v>108.7582151900705</c:v>
                </c:pt>
                <c:pt idx="1006">
                  <c:v>570.72168161646528</c:v>
                </c:pt>
                <c:pt idx="1007">
                  <c:v>5282.5418806605676</c:v>
                </c:pt>
                <c:pt idx="1008">
                  <c:v>50.08263828046384</c:v>
                </c:pt>
                <c:pt idx="1009">
                  <c:v>160.97990875863374</c:v>
                </c:pt>
                <c:pt idx="1010">
                  <c:v>121.62926439541219</c:v>
                </c:pt>
                <c:pt idx="1011">
                  <c:v>454.32107582992194</c:v>
                </c:pt>
                <c:pt idx="1012">
                  <c:v>71.546626114948339</c:v>
                </c:pt>
                <c:pt idx="1013">
                  <c:v>64.39196350345351</c:v>
                </c:pt>
                <c:pt idx="1014">
                  <c:v>214.63987834484502</c:v>
                </c:pt>
                <c:pt idx="1015">
                  <c:v>132.3612583126544</c:v>
                </c:pt>
                <c:pt idx="1016">
                  <c:v>500.8263828046384</c:v>
                </c:pt>
                <c:pt idx="1017">
                  <c:v>71.546626114948339</c:v>
                </c:pt>
                <c:pt idx="1018">
                  <c:v>64.39196350345351</c:v>
                </c:pt>
                <c:pt idx="1019">
                  <c:v>218.21720965059242</c:v>
                </c:pt>
                <c:pt idx="1020">
                  <c:v>132.3612583126544</c:v>
                </c:pt>
                <c:pt idx="1021">
                  <c:v>504.40371411038575</c:v>
                </c:pt>
                <c:pt idx="1022">
                  <c:v>75.12395742069576</c:v>
                </c:pt>
                <c:pt idx="1023">
                  <c:v>60.814632197706096</c:v>
                </c:pt>
                <c:pt idx="1024">
                  <c:v>207.48521573335017</c:v>
                </c:pt>
                <c:pt idx="1025">
                  <c:v>128.78392700690702</c:v>
                </c:pt>
                <c:pt idx="1026">
                  <c:v>486.51705758164877</c:v>
                </c:pt>
                <c:pt idx="1027">
                  <c:v>71.546626114948339</c:v>
                </c:pt>
                <c:pt idx="1028">
                  <c:v>25.04131914023192</c:v>
                </c:pt>
                <c:pt idx="1029">
                  <c:v>78.701288726443181</c:v>
                </c:pt>
                <c:pt idx="1030">
                  <c:v>64.39196350345351</c:v>
                </c:pt>
                <c:pt idx="1031">
                  <c:v>232.52653487358211</c:v>
                </c:pt>
                <c:pt idx="1032">
                  <c:v>39.350644363221591</c:v>
                </c:pt>
                <c:pt idx="1033">
                  <c:v>60.814632197706096</c:v>
                </c:pt>
                <c:pt idx="1034">
                  <c:v>178.86656528737086</c:v>
                </c:pt>
                <c:pt idx="1035">
                  <c:v>143.09325222989668</c:v>
                </c:pt>
                <c:pt idx="1036">
                  <c:v>490.09438888739612</c:v>
                </c:pt>
                <c:pt idx="1037">
                  <c:v>89.43328264368543</c:v>
                </c:pt>
                <c:pt idx="1038">
                  <c:v>21.463987834484502</c:v>
                </c:pt>
                <c:pt idx="1039">
                  <c:v>71.546626114948339</c:v>
                </c:pt>
                <c:pt idx="1040">
                  <c:v>53.659969586211254</c:v>
                </c:pt>
                <c:pt idx="1041">
                  <c:v>225.37187226208727</c:v>
                </c:pt>
                <c:pt idx="1042">
                  <c:v>39.350644363221591</c:v>
                </c:pt>
                <c:pt idx="1043">
                  <c:v>36.839687494541337</c:v>
                </c:pt>
                <c:pt idx="1044">
                  <c:v>56.968588909084552</c:v>
                </c:pt>
                <c:pt idx="1045">
                  <c:v>60.766494836356841</c:v>
                </c:pt>
                <c:pt idx="1046">
                  <c:v>417.76965199995334</c:v>
                </c:pt>
                <c:pt idx="1047">
                  <c:v>94.947648181807594</c:v>
                </c:pt>
                <c:pt idx="1048">
                  <c:v>47.130441284746432</c:v>
                </c:pt>
                <c:pt idx="1049">
                  <c:v>64.076217926453026</c:v>
                </c:pt>
                <c:pt idx="1050">
                  <c:v>43.423552644373117</c:v>
                </c:pt>
                <c:pt idx="1051">
                  <c:v>66.723995526719676</c:v>
                </c:pt>
                <c:pt idx="1052">
                  <c:v>52.161218725253079</c:v>
                </c:pt>
                <c:pt idx="1053">
                  <c:v>53.643974181402399</c:v>
                </c:pt>
                <c:pt idx="1054">
                  <c:v>33.361997763359838</c:v>
                </c:pt>
                <c:pt idx="1055">
                  <c:v>75.726439367626284</c:v>
                </c:pt>
                <c:pt idx="1056">
                  <c:v>18.534443201866573</c:v>
                </c:pt>
                <c:pt idx="1057">
                  <c:v>64.076217926453026</c:v>
                </c:pt>
                <c:pt idx="1058">
                  <c:v>27.00733152271987</c:v>
                </c:pt>
                <c:pt idx="1059">
                  <c:v>150.39376769514593</c:v>
                </c:pt>
                <c:pt idx="1060">
                  <c:v>29.655109122986524</c:v>
                </c:pt>
                <c:pt idx="1061">
                  <c:v>104.85199297055946</c:v>
                </c:pt>
                <c:pt idx="1062">
                  <c:v>5736.8514672444171</c:v>
                </c:pt>
                <c:pt idx="1063">
                  <c:v>750.20365340888532</c:v>
                </c:pt>
                <c:pt idx="1064">
                  <c:v>92.672216009332885</c:v>
                </c:pt>
                <c:pt idx="1065">
                  <c:v>33.538516270044276</c:v>
                </c:pt>
                <c:pt idx="1066">
                  <c:v>485.42589338221984</c:v>
                </c:pt>
                <c:pt idx="1067">
                  <c:v>158.86665601599921</c:v>
                </c:pt>
                <c:pt idx="1068">
                  <c:v>48.542589338221987</c:v>
                </c:pt>
                <c:pt idx="1069">
                  <c:v>22.506109602266559</c:v>
                </c:pt>
                <c:pt idx="1070">
                  <c:v>136.80184268044377</c:v>
                </c:pt>
                <c:pt idx="1071">
                  <c:v>70.607402673777415</c:v>
                </c:pt>
                <c:pt idx="1072">
                  <c:v>30.008146136355411</c:v>
                </c:pt>
                <c:pt idx="1073">
                  <c:v>16.327961868311032</c:v>
                </c:pt>
                <c:pt idx="1074">
                  <c:v>66.194440006666341</c:v>
                </c:pt>
                <c:pt idx="1075">
                  <c:v>41.481849070844241</c:v>
                </c:pt>
                <c:pt idx="1076">
                  <c:v>20.740924535422121</c:v>
                </c:pt>
                <c:pt idx="1077">
                  <c:v>12.35629546791105</c:v>
                </c:pt>
                <c:pt idx="1078">
                  <c:v>77.872023894622671</c:v>
                </c:pt>
                <c:pt idx="1079">
                  <c:v>77.385323745281283</c:v>
                </c:pt>
                <c:pt idx="1080">
                  <c:v>92.473028374864427</c:v>
                </c:pt>
                <c:pt idx="1081">
                  <c:v>103.66713180971644</c:v>
                </c:pt>
                <c:pt idx="1082">
                  <c:v>95.879929420254157</c:v>
                </c:pt>
                <c:pt idx="1083">
                  <c:v>153.31054704253839</c:v>
                </c:pt>
                <c:pt idx="1084">
                  <c:v>1537.9724719187977</c:v>
                </c:pt>
                <c:pt idx="1085">
                  <c:v>236.04957243057498</c:v>
                </c:pt>
                <c:pt idx="1086">
                  <c:v>107.56073300444758</c:v>
                </c:pt>
                <c:pt idx="1087">
                  <c:v>63.271019414380916</c:v>
                </c:pt>
                <c:pt idx="1088">
                  <c:v>44.207624993449606</c:v>
                </c:pt>
                <c:pt idx="1089">
                  <c:v>41.545638202606931</c:v>
                </c:pt>
                <c:pt idx="1090">
                  <c:v>143.15688496590138</c:v>
                </c:pt>
                <c:pt idx="1091">
                  <c:v>298.670774762446</c:v>
                </c:pt>
                <c:pt idx="1092">
                  <c:v>101.37301448240191</c:v>
                </c:pt>
                <c:pt idx="1093">
                  <c:v>129.32905474887812</c:v>
                </c:pt>
                <c:pt idx="1094">
                  <c:v>9065.256184223781</c:v>
                </c:pt>
                <c:pt idx="1095">
                  <c:v>970.5375965056769</c:v>
                </c:pt>
                <c:pt idx="1096">
                  <c:v>162.6194265222959</c:v>
                </c:pt>
                <c:pt idx="1097">
                  <c:v>78.720231947098654</c:v>
                </c:pt>
                <c:pt idx="1098">
                  <c:v>1351.7092459337332</c:v>
                </c:pt>
                <c:pt idx="1099">
                  <c:v>213.37326027766213</c:v>
                </c:pt>
                <c:pt idx="1100">
                  <c:v>77.684439421478942</c:v>
                </c:pt>
                <c:pt idx="1101">
                  <c:v>31.07377576859157</c:v>
                </c:pt>
                <c:pt idx="1102">
                  <c:v>641.15557335860603</c:v>
                </c:pt>
                <c:pt idx="1103">
                  <c:v>123.25931054874657</c:v>
                </c:pt>
                <c:pt idx="1104">
                  <c:v>49.718041229746518</c:v>
                </c:pt>
                <c:pt idx="1105">
                  <c:v>22.787435563633817</c:v>
                </c:pt>
                <c:pt idx="1106">
                  <c:v>130.5098582280846</c:v>
                </c:pt>
                <c:pt idx="1107">
                  <c:v>38.324323447929608</c:v>
                </c:pt>
                <c:pt idx="1108">
                  <c:v>19.680057986774663</c:v>
                </c:pt>
                <c:pt idx="1109">
                  <c:v>10.357925256197191</c:v>
                </c:pt>
                <c:pt idx="1110">
                  <c:v>20.715850512394383</c:v>
                </c:pt>
                <c:pt idx="1111">
                  <c:v>42.467493550408477</c:v>
                </c:pt>
                <c:pt idx="1112">
                  <c:v>85.970779626436681</c:v>
                </c:pt>
                <c:pt idx="1113">
                  <c:v>138.79619843304235</c:v>
                </c:pt>
                <c:pt idx="1114">
                  <c:v>37.979059272723035</c:v>
                </c:pt>
                <c:pt idx="1115">
                  <c:v>51.271730018176093</c:v>
                </c:pt>
                <c:pt idx="1116">
                  <c:v>53.170682981812249</c:v>
                </c:pt>
                <c:pt idx="1117">
                  <c:v>62.665447799993011</c:v>
                </c:pt>
                <c:pt idx="1118">
                  <c:v>56.968588909084552</c:v>
                </c:pt>
                <c:pt idx="1119">
                  <c:v>53.170682981812249</c:v>
                </c:pt>
                <c:pt idx="1120">
                  <c:v>45.574871127267635</c:v>
                </c:pt>
                <c:pt idx="1121">
                  <c:v>45.574871127267635</c:v>
                </c:pt>
                <c:pt idx="1122">
                  <c:v>30.567785942451401</c:v>
                </c:pt>
                <c:pt idx="1123">
                  <c:v>32.159303245521834</c:v>
                </c:pt>
                <c:pt idx="1124">
                  <c:v>36.03790474920428</c:v>
                </c:pt>
                <c:pt idx="1125">
                  <c:v>45.03305091810256</c:v>
                </c:pt>
                <c:pt idx="1126">
                  <c:v>64.106427612455406</c:v>
                </c:pt>
                <c:pt idx="1127">
                  <c:v>93.482126523244034</c:v>
                </c:pt>
                <c:pt idx="1128">
                  <c:v>295.90626443171953</c:v>
                </c:pt>
                <c:pt idx="1129">
                  <c:v>73.633775992432902</c:v>
                </c:pt>
                <c:pt idx="1130">
                  <c:v>74.620195069784401</c:v>
                </c:pt>
                <c:pt idx="1131">
                  <c:v>94.824423931068154</c:v>
                </c:pt>
                <c:pt idx="1132">
                  <c:v>145.16745498291255</c:v>
                </c:pt>
                <c:pt idx="1133">
                  <c:v>197.82786155225671</c:v>
                </c:pt>
                <c:pt idx="1134">
                  <c:v>333.13945021069708</c:v>
                </c:pt>
                <c:pt idx="1135">
                  <c:v>0.51596967628142287</c:v>
                </c:pt>
                <c:pt idx="1136">
                  <c:v>0.74594453898196278</c:v>
                </c:pt>
                <c:pt idx="1137">
                  <c:v>1.85188437004198</c:v>
                </c:pt>
                <c:pt idx="1138">
                  <c:v>9.856368625662542</c:v>
                </c:pt>
                <c:pt idx="1139">
                  <c:v>84.789971164778507</c:v>
                </c:pt>
                <c:pt idx="1140">
                  <c:v>237.91468314653727</c:v>
                </c:pt>
                <c:pt idx="1141">
                  <c:v>75.16215332823262</c:v>
                </c:pt>
                <c:pt idx="1142">
                  <c:v>0.48240335387164857</c:v>
                </c:pt>
                <c:pt idx="1143">
                  <c:v>69.698007646878764</c:v>
                </c:pt>
                <c:pt idx="1144">
                  <c:v>67.156113051478158</c:v>
                </c:pt>
                <c:pt idx="1145">
                  <c:v>70.505105565856326</c:v>
                </c:pt>
                <c:pt idx="1146">
                  <c:v>140.68551656660674</c:v>
                </c:pt>
                <c:pt idx="1147">
                  <c:v>73.464464602107398</c:v>
                </c:pt>
                <c:pt idx="1148">
                  <c:v>39.427197191432818</c:v>
                </c:pt>
                <c:pt idx="1149">
                  <c:v>116.40344499579349</c:v>
                </c:pt>
                <c:pt idx="1150">
                  <c:v>94.382824817924146</c:v>
                </c:pt>
                <c:pt idx="1151">
                  <c:v>77.011002233160355</c:v>
                </c:pt>
                <c:pt idx="1152">
                  <c:v>63.309283011374873</c:v>
                </c:pt>
                <c:pt idx="1153">
                  <c:v>52.054299364908239</c:v>
                </c:pt>
                <c:pt idx="1154">
                  <c:v>43.490724851292249</c:v>
                </c:pt>
                <c:pt idx="1155">
                  <c:v>36.639865240399509</c:v>
                </c:pt>
                <c:pt idx="1156">
                  <c:v>30.767699859634373</c:v>
                </c:pt>
                <c:pt idx="1157">
                  <c:v>26.608249381592287</c:v>
                </c:pt>
                <c:pt idx="1158">
                  <c:v>22.693472461082123</c:v>
                </c:pt>
                <c:pt idx="1159">
                  <c:v>19.757389770699554</c:v>
                </c:pt>
                <c:pt idx="1160">
                  <c:v>17.55532775291265</c:v>
                </c:pt>
                <c:pt idx="1161">
                  <c:v>15.353265735125644</c:v>
                </c:pt>
                <c:pt idx="1162">
                  <c:v>13.640550832402486</c:v>
                </c:pt>
                <c:pt idx="1163">
                  <c:v>12.172509487211151</c:v>
                </c:pt>
                <c:pt idx="1164">
                  <c:v>10.704468142019817</c:v>
                </c:pt>
                <c:pt idx="1165">
                  <c:v>9.4811003543604908</c:v>
                </c:pt>
                <c:pt idx="1166">
                  <c:v>8.9917532392967257</c:v>
                </c:pt>
                <c:pt idx="1167">
                  <c:v>8.0130590091691865</c:v>
                </c:pt>
                <c:pt idx="1168">
                  <c:v>7.2790383365735183</c:v>
                </c:pt>
                <c:pt idx="1169">
                  <c:v>6.7896912215097531</c:v>
                </c:pt>
                <c:pt idx="1170">
                  <c:v>71.383510409927027</c:v>
                </c:pt>
                <c:pt idx="1171">
                  <c:v>56.947770515545891</c:v>
                </c:pt>
                <c:pt idx="1172">
                  <c:v>46.182133984142993</c:v>
                </c:pt>
                <c:pt idx="1173">
                  <c:v>38.107906585590854</c:v>
                </c:pt>
                <c:pt idx="1174">
                  <c:v>31.746394089761857</c:v>
                </c:pt>
                <c:pt idx="1175">
                  <c:v>26.363575824060462</c:v>
                </c:pt>
                <c:pt idx="1176">
                  <c:v>22.448798903550298</c:v>
                </c:pt>
                <c:pt idx="1177">
                  <c:v>19.757389770699554</c:v>
                </c:pt>
                <c:pt idx="1178">
                  <c:v>17.065980637848803</c:v>
                </c:pt>
                <c:pt idx="1179">
                  <c:v>14.619245062529977</c:v>
                </c:pt>
                <c:pt idx="1180">
                  <c:v>12.661856602274899</c:v>
                </c:pt>
                <c:pt idx="1181">
                  <c:v>11.683162372147406</c:v>
                </c:pt>
                <c:pt idx="1182">
                  <c:v>10.459794584487993</c:v>
                </c:pt>
                <c:pt idx="1183">
                  <c:v>9.4811003543604908</c:v>
                </c:pt>
                <c:pt idx="1184">
                  <c:v>8.5024061242329516</c:v>
                </c:pt>
                <c:pt idx="1185">
                  <c:v>7.5237118941054213</c:v>
                </c:pt>
                <c:pt idx="1186">
                  <c:v>7.2790383365735183</c:v>
                </c:pt>
                <c:pt idx="1187">
                  <c:v>6.300344106445988</c:v>
                </c:pt>
                <c:pt idx="1188">
                  <c:v>5.8109969913822228</c:v>
                </c:pt>
                <c:pt idx="1189">
                  <c:v>5.0769763187865742</c:v>
                </c:pt>
                <c:pt idx="1190">
                  <c:v>5.3216498763184479</c:v>
                </c:pt>
                <c:pt idx="1191">
                  <c:v>25.629555151464793</c:v>
                </c:pt>
                <c:pt idx="1192">
                  <c:v>22.693472461082123</c:v>
                </c:pt>
                <c:pt idx="1193">
                  <c:v>19.512716213167728</c:v>
                </c:pt>
                <c:pt idx="1194">
                  <c:v>17.310654195380728</c:v>
                </c:pt>
                <c:pt idx="1195">
                  <c:v>15.597939292657568</c:v>
                </c:pt>
                <c:pt idx="1196">
                  <c:v>13.885224389934312</c:v>
                </c:pt>
                <c:pt idx="1197">
                  <c:v>12.172509487211151</c:v>
                </c:pt>
                <c:pt idx="1198">
                  <c:v>11.193815257083662</c:v>
                </c:pt>
                <c:pt idx="1199">
                  <c:v>9.9704474694242471</c:v>
                </c:pt>
                <c:pt idx="1200">
                  <c:v>8.9917532392967257</c:v>
                </c:pt>
                <c:pt idx="1201">
                  <c:v>8.0130590091691865</c:v>
                </c:pt>
                <c:pt idx="1202">
                  <c:v>7.7683854516372834</c:v>
                </c:pt>
                <c:pt idx="1203">
                  <c:v>7.0343647790416552</c:v>
                </c:pt>
                <c:pt idx="1204">
                  <c:v>6.300344106445988</c:v>
                </c:pt>
                <c:pt idx="1205">
                  <c:v>6.0556705489141054</c:v>
                </c:pt>
                <c:pt idx="1206">
                  <c:v>5.5663234338503393</c:v>
                </c:pt>
                <c:pt idx="1207">
                  <c:v>5.0769763187865742</c:v>
                </c:pt>
                <c:pt idx="1208">
                  <c:v>4.587629203722809</c:v>
                </c:pt>
                <c:pt idx="1209">
                  <c:v>4.0982820886590243</c:v>
                </c:pt>
                <c:pt idx="1210">
                  <c:v>3.853608531127152</c:v>
                </c:pt>
                <c:pt idx="1211">
                  <c:v>3.853608531127152</c:v>
                </c:pt>
                <c:pt idx="1212">
                  <c:v>3.1344604034599923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527600"/>
        <c:axId val="511527992"/>
      </c:scatterChart>
      <c:valAx>
        <c:axId val="511527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Year</a:t>
                </a:r>
                <a:r>
                  <a:rPr lang="en-US" b="0" baseline="0"/>
                  <a:t> of publication</a:t>
                </a:r>
                <a:endParaRPr lang="en-US" b="0"/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511527992"/>
        <c:crosses val="autoZero"/>
        <c:crossBetween val="midCat"/>
      </c:valAx>
      <c:valAx>
        <c:axId val="5115279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Marginal</a:t>
                </a:r>
                <a:r>
                  <a:rPr lang="en-US" baseline="0"/>
                  <a:t> damage cost ($/tC)</a:t>
                </a:r>
                <a:endParaRPr lang="en-US"/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51152760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Times New Roman" pitchFamily="18" charset="0"/>
          <a:cs typeface="Times New Roman" pitchFamily="18" charset="0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ubbleChart>
        <c:varyColors val="0"/>
        <c:ser>
          <c:idx val="0"/>
          <c:order val="0"/>
          <c:spPr>
            <a:solidFill>
              <a:srgbClr val="4F81BD">
                <a:alpha val="70000"/>
              </a:srgbClr>
            </a:solidFill>
            <a:ln>
              <a:solidFill>
                <a:schemeClr val="accent1"/>
              </a:solidFill>
            </a:ln>
          </c:spPr>
          <c:invertIfNegative val="0"/>
          <c:xVal>
            <c:numRef>
              <c:f>Data!$E$4:$E$1216</c:f>
              <c:numCache>
                <c:formatCode>0</c:formatCode>
                <c:ptCount val="1213"/>
                <c:pt idx="0">
                  <c:v>1982</c:v>
                </c:pt>
                <c:pt idx="1">
                  <c:v>1982</c:v>
                </c:pt>
                <c:pt idx="2">
                  <c:v>1991</c:v>
                </c:pt>
                <c:pt idx="3">
                  <c:v>1991</c:v>
                </c:pt>
                <c:pt idx="4">
                  <c:v>1991</c:v>
                </c:pt>
                <c:pt idx="5">
                  <c:v>1991</c:v>
                </c:pt>
                <c:pt idx="6">
                  <c:v>1991</c:v>
                </c:pt>
                <c:pt idx="7">
                  <c:v>1991</c:v>
                </c:pt>
                <c:pt idx="8">
                  <c:v>1991</c:v>
                </c:pt>
                <c:pt idx="9">
                  <c:v>1991</c:v>
                </c:pt>
                <c:pt idx="10">
                  <c:v>1991</c:v>
                </c:pt>
                <c:pt idx="11">
                  <c:v>1991</c:v>
                </c:pt>
                <c:pt idx="12">
                  <c:v>1992</c:v>
                </c:pt>
                <c:pt idx="13">
                  <c:v>1992</c:v>
                </c:pt>
                <c:pt idx="14">
                  <c:v>1997</c:v>
                </c:pt>
                <c:pt idx="15">
                  <c:v>1992</c:v>
                </c:pt>
                <c:pt idx="16">
                  <c:v>1993</c:v>
                </c:pt>
                <c:pt idx="17">
                  <c:v>1993</c:v>
                </c:pt>
                <c:pt idx="18">
                  <c:v>1993</c:v>
                </c:pt>
                <c:pt idx="19">
                  <c:v>1992</c:v>
                </c:pt>
                <c:pt idx="20">
                  <c:v>1993</c:v>
                </c:pt>
                <c:pt idx="21">
                  <c:v>1993</c:v>
                </c:pt>
                <c:pt idx="22">
                  <c:v>1993</c:v>
                </c:pt>
                <c:pt idx="23">
                  <c:v>1993</c:v>
                </c:pt>
                <c:pt idx="24">
                  <c:v>1993</c:v>
                </c:pt>
                <c:pt idx="25">
                  <c:v>1993</c:v>
                </c:pt>
                <c:pt idx="26">
                  <c:v>1993</c:v>
                </c:pt>
                <c:pt idx="27">
                  <c:v>1993</c:v>
                </c:pt>
                <c:pt idx="28">
                  <c:v>1993</c:v>
                </c:pt>
                <c:pt idx="29">
                  <c:v>1993</c:v>
                </c:pt>
                <c:pt idx="30">
                  <c:v>1993</c:v>
                </c:pt>
                <c:pt idx="31">
                  <c:v>1993</c:v>
                </c:pt>
                <c:pt idx="32">
                  <c:v>1993</c:v>
                </c:pt>
                <c:pt idx="33">
                  <c:v>1993</c:v>
                </c:pt>
                <c:pt idx="34">
                  <c:v>1993</c:v>
                </c:pt>
                <c:pt idx="35">
                  <c:v>1993</c:v>
                </c:pt>
                <c:pt idx="36">
                  <c:v>1993</c:v>
                </c:pt>
                <c:pt idx="37">
                  <c:v>1993</c:v>
                </c:pt>
                <c:pt idx="38">
                  <c:v>1993</c:v>
                </c:pt>
                <c:pt idx="39">
                  <c:v>1993</c:v>
                </c:pt>
                <c:pt idx="40">
                  <c:v>1993</c:v>
                </c:pt>
                <c:pt idx="41">
                  <c:v>1993</c:v>
                </c:pt>
                <c:pt idx="42">
                  <c:v>1993</c:v>
                </c:pt>
                <c:pt idx="43">
                  <c:v>1993</c:v>
                </c:pt>
                <c:pt idx="44">
                  <c:v>1993</c:v>
                </c:pt>
                <c:pt idx="45">
                  <c:v>1993</c:v>
                </c:pt>
                <c:pt idx="46">
                  <c:v>1993</c:v>
                </c:pt>
                <c:pt idx="47">
                  <c:v>1993</c:v>
                </c:pt>
                <c:pt idx="48">
                  <c:v>1993</c:v>
                </c:pt>
                <c:pt idx="49">
                  <c:v>1993</c:v>
                </c:pt>
                <c:pt idx="50">
                  <c:v>1993</c:v>
                </c:pt>
                <c:pt idx="51">
                  <c:v>1993</c:v>
                </c:pt>
                <c:pt idx="52">
                  <c:v>1993</c:v>
                </c:pt>
                <c:pt idx="53">
                  <c:v>1993</c:v>
                </c:pt>
                <c:pt idx="54">
                  <c:v>1993</c:v>
                </c:pt>
                <c:pt idx="55">
                  <c:v>1993</c:v>
                </c:pt>
                <c:pt idx="56">
                  <c:v>1993</c:v>
                </c:pt>
                <c:pt idx="57">
                  <c:v>1993</c:v>
                </c:pt>
                <c:pt idx="58">
                  <c:v>1993</c:v>
                </c:pt>
                <c:pt idx="59">
                  <c:v>1993</c:v>
                </c:pt>
                <c:pt idx="60">
                  <c:v>1993</c:v>
                </c:pt>
                <c:pt idx="61">
                  <c:v>1993</c:v>
                </c:pt>
                <c:pt idx="62">
                  <c:v>1993</c:v>
                </c:pt>
                <c:pt idx="63">
                  <c:v>1993</c:v>
                </c:pt>
                <c:pt idx="64">
                  <c:v>1993</c:v>
                </c:pt>
                <c:pt idx="65">
                  <c:v>1993</c:v>
                </c:pt>
                <c:pt idx="66">
                  <c:v>1993</c:v>
                </c:pt>
                <c:pt idx="67">
                  <c:v>1993</c:v>
                </c:pt>
                <c:pt idx="68">
                  <c:v>1993</c:v>
                </c:pt>
                <c:pt idx="69">
                  <c:v>1993</c:v>
                </c:pt>
                <c:pt idx="70">
                  <c:v>1993</c:v>
                </c:pt>
                <c:pt idx="71">
                  <c:v>1993</c:v>
                </c:pt>
                <c:pt idx="72">
                  <c:v>1993</c:v>
                </c:pt>
                <c:pt idx="73">
                  <c:v>1993</c:v>
                </c:pt>
                <c:pt idx="74">
                  <c:v>1993</c:v>
                </c:pt>
                <c:pt idx="75">
                  <c:v>1993</c:v>
                </c:pt>
                <c:pt idx="76">
                  <c:v>1993</c:v>
                </c:pt>
                <c:pt idx="77">
                  <c:v>1993</c:v>
                </c:pt>
                <c:pt idx="78">
                  <c:v>1993</c:v>
                </c:pt>
                <c:pt idx="79">
                  <c:v>1993</c:v>
                </c:pt>
                <c:pt idx="80">
                  <c:v>1993</c:v>
                </c:pt>
                <c:pt idx="81">
                  <c:v>1993</c:v>
                </c:pt>
                <c:pt idx="82">
                  <c:v>1993</c:v>
                </c:pt>
                <c:pt idx="83">
                  <c:v>1993</c:v>
                </c:pt>
                <c:pt idx="84">
                  <c:v>1993</c:v>
                </c:pt>
                <c:pt idx="85">
                  <c:v>1993</c:v>
                </c:pt>
                <c:pt idx="86">
                  <c:v>1993</c:v>
                </c:pt>
                <c:pt idx="87">
                  <c:v>1993</c:v>
                </c:pt>
                <c:pt idx="88">
                  <c:v>1993</c:v>
                </c:pt>
                <c:pt idx="89">
                  <c:v>1993</c:v>
                </c:pt>
                <c:pt idx="90">
                  <c:v>1993</c:v>
                </c:pt>
                <c:pt idx="91">
                  <c:v>1993</c:v>
                </c:pt>
                <c:pt idx="92">
                  <c:v>1993</c:v>
                </c:pt>
                <c:pt idx="93">
                  <c:v>1993</c:v>
                </c:pt>
                <c:pt idx="94">
                  <c:v>1993</c:v>
                </c:pt>
                <c:pt idx="95">
                  <c:v>1993</c:v>
                </c:pt>
                <c:pt idx="96">
                  <c:v>1993</c:v>
                </c:pt>
                <c:pt idx="97">
                  <c:v>1993</c:v>
                </c:pt>
                <c:pt idx="98">
                  <c:v>1993</c:v>
                </c:pt>
                <c:pt idx="99">
                  <c:v>1993</c:v>
                </c:pt>
                <c:pt idx="100">
                  <c:v>1993</c:v>
                </c:pt>
                <c:pt idx="101">
                  <c:v>1993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1993</c:v>
                </c:pt>
                <c:pt idx="106">
                  <c:v>1993</c:v>
                </c:pt>
                <c:pt idx="107">
                  <c:v>1993</c:v>
                </c:pt>
                <c:pt idx="108">
                  <c:v>1993</c:v>
                </c:pt>
                <c:pt idx="109">
                  <c:v>1993</c:v>
                </c:pt>
                <c:pt idx="110">
                  <c:v>1993</c:v>
                </c:pt>
                <c:pt idx="111">
                  <c:v>1993</c:v>
                </c:pt>
                <c:pt idx="112">
                  <c:v>1993</c:v>
                </c:pt>
                <c:pt idx="113">
                  <c:v>1993</c:v>
                </c:pt>
                <c:pt idx="114">
                  <c:v>1993</c:v>
                </c:pt>
                <c:pt idx="115">
                  <c:v>1993</c:v>
                </c:pt>
                <c:pt idx="116">
                  <c:v>1994</c:v>
                </c:pt>
                <c:pt idx="117">
                  <c:v>1994</c:v>
                </c:pt>
                <c:pt idx="118">
                  <c:v>1994</c:v>
                </c:pt>
                <c:pt idx="119">
                  <c:v>1994</c:v>
                </c:pt>
                <c:pt idx="120">
                  <c:v>1994</c:v>
                </c:pt>
                <c:pt idx="121">
                  <c:v>1995</c:v>
                </c:pt>
                <c:pt idx="122">
                  <c:v>1996</c:v>
                </c:pt>
                <c:pt idx="123">
                  <c:v>1996</c:v>
                </c:pt>
                <c:pt idx="124">
                  <c:v>1996</c:v>
                </c:pt>
                <c:pt idx="125">
                  <c:v>1996</c:v>
                </c:pt>
                <c:pt idx="126">
                  <c:v>1996</c:v>
                </c:pt>
                <c:pt idx="127">
                  <c:v>1996</c:v>
                </c:pt>
                <c:pt idx="128">
                  <c:v>1996</c:v>
                </c:pt>
                <c:pt idx="129">
                  <c:v>1996</c:v>
                </c:pt>
                <c:pt idx="130">
                  <c:v>1995</c:v>
                </c:pt>
                <c:pt idx="131">
                  <c:v>1995</c:v>
                </c:pt>
                <c:pt idx="132">
                  <c:v>1996</c:v>
                </c:pt>
                <c:pt idx="133">
                  <c:v>1996</c:v>
                </c:pt>
                <c:pt idx="134">
                  <c:v>1996</c:v>
                </c:pt>
                <c:pt idx="135">
                  <c:v>1996</c:v>
                </c:pt>
                <c:pt idx="136">
                  <c:v>1996</c:v>
                </c:pt>
                <c:pt idx="137">
                  <c:v>1996</c:v>
                </c:pt>
                <c:pt idx="138">
                  <c:v>1996</c:v>
                </c:pt>
                <c:pt idx="139">
                  <c:v>1996</c:v>
                </c:pt>
                <c:pt idx="140">
                  <c:v>1996</c:v>
                </c:pt>
                <c:pt idx="141">
                  <c:v>1996</c:v>
                </c:pt>
                <c:pt idx="142">
                  <c:v>1996</c:v>
                </c:pt>
                <c:pt idx="143">
                  <c:v>1996</c:v>
                </c:pt>
                <c:pt idx="144">
                  <c:v>1996</c:v>
                </c:pt>
                <c:pt idx="145">
                  <c:v>1996</c:v>
                </c:pt>
                <c:pt idx="146">
                  <c:v>1996</c:v>
                </c:pt>
                <c:pt idx="147">
                  <c:v>1996</c:v>
                </c:pt>
                <c:pt idx="148">
                  <c:v>1996</c:v>
                </c:pt>
                <c:pt idx="149">
                  <c:v>1996</c:v>
                </c:pt>
                <c:pt idx="150">
                  <c:v>1996</c:v>
                </c:pt>
                <c:pt idx="151">
                  <c:v>1996</c:v>
                </c:pt>
                <c:pt idx="152">
                  <c:v>1996</c:v>
                </c:pt>
                <c:pt idx="153">
                  <c:v>1996</c:v>
                </c:pt>
                <c:pt idx="154">
                  <c:v>1996</c:v>
                </c:pt>
                <c:pt idx="155">
                  <c:v>1996</c:v>
                </c:pt>
                <c:pt idx="156">
                  <c:v>1996</c:v>
                </c:pt>
                <c:pt idx="157">
                  <c:v>1996</c:v>
                </c:pt>
                <c:pt idx="158">
                  <c:v>1997</c:v>
                </c:pt>
                <c:pt idx="159">
                  <c:v>1997</c:v>
                </c:pt>
                <c:pt idx="160">
                  <c:v>1999</c:v>
                </c:pt>
                <c:pt idx="161">
                  <c:v>1999</c:v>
                </c:pt>
                <c:pt idx="162">
                  <c:v>1999</c:v>
                </c:pt>
                <c:pt idx="163">
                  <c:v>1999</c:v>
                </c:pt>
                <c:pt idx="164">
                  <c:v>1999</c:v>
                </c:pt>
                <c:pt idx="165">
                  <c:v>1999</c:v>
                </c:pt>
                <c:pt idx="166">
                  <c:v>1999</c:v>
                </c:pt>
                <c:pt idx="167">
                  <c:v>1999</c:v>
                </c:pt>
                <c:pt idx="168">
                  <c:v>1999</c:v>
                </c:pt>
                <c:pt idx="169">
                  <c:v>1999</c:v>
                </c:pt>
                <c:pt idx="170">
                  <c:v>1999</c:v>
                </c:pt>
                <c:pt idx="171">
                  <c:v>1999</c:v>
                </c:pt>
                <c:pt idx="172">
                  <c:v>1999</c:v>
                </c:pt>
                <c:pt idx="173">
                  <c:v>1999</c:v>
                </c:pt>
                <c:pt idx="174">
                  <c:v>1999</c:v>
                </c:pt>
                <c:pt idx="175">
                  <c:v>1999</c:v>
                </c:pt>
                <c:pt idx="176">
                  <c:v>1999</c:v>
                </c:pt>
                <c:pt idx="177">
                  <c:v>1999</c:v>
                </c:pt>
                <c:pt idx="178">
                  <c:v>1999</c:v>
                </c:pt>
                <c:pt idx="179">
                  <c:v>1999</c:v>
                </c:pt>
                <c:pt idx="180">
                  <c:v>1999</c:v>
                </c:pt>
                <c:pt idx="181">
                  <c:v>1999</c:v>
                </c:pt>
                <c:pt idx="182">
                  <c:v>1999</c:v>
                </c:pt>
                <c:pt idx="183">
                  <c:v>1999</c:v>
                </c:pt>
                <c:pt idx="184">
                  <c:v>1999</c:v>
                </c:pt>
                <c:pt idx="185">
                  <c:v>1999</c:v>
                </c:pt>
                <c:pt idx="186">
                  <c:v>1999</c:v>
                </c:pt>
                <c:pt idx="187">
                  <c:v>1999</c:v>
                </c:pt>
                <c:pt idx="188">
                  <c:v>1999</c:v>
                </c:pt>
                <c:pt idx="189">
                  <c:v>1999</c:v>
                </c:pt>
                <c:pt idx="190">
                  <c:v>1999</c:v>
                </c:pt>
                <c:pt idx="191">
                  <c:v>1999</c:v>
                </c:pt>
                <c:pt idx="192">
                  <c:v>1999</c:v>
                </c:pt>
                <c:pt idx="193">
                  <c:v>1999</c:v>
                </c:pt>
                <c:pt idx="194">
                  <c:v>1999</c:v>
                </c:pt>
                <c:pt idx="195">
                  <c:v>2000</c:v>
                </c:pt>
                <c:pt idx="196">
                  <c:v>2001</c:v>
                </c:pt>
                <c:pt idx="197">
                  <c:v>2001</c:v>
                </c:pt>
                <c:pt idx="198">
                  <c:v>2001</c:v>
                </c:pt>
                <c:pt idx="199">
                  <c:v>2001</c:v>
                </c:pt>
                <c:pt idx="200">
                  <c:v>2002</c:v>
                </c:pt>
                <c:pt idx="201">
                  <c:v>2005</c:v>
                </c:pt>
                <c:pt idx="202">
                  <c:v>2005</c:v>
                </c:pt>
                <c:pt idx="203">
                  <c:v>2005</c:v>
                </c:pt>
                <c:pt idx="204">
                  <c:v>2005</c:v>
                </c:pt>
                <c:pt idx="205">
                  <c:v>2005</c:v>
                </c:pt>
                <c:pt idx="206">
                  <c:v>2005</c:v>
                </c:pt>
                <c:pt idx="207">
                  <c:v>2003</c:v>
                </c:pt>
                <c:pt idx="208">
                  <c:v>2003</c:v>
                </c:pt>
                <c:pt idx="209">
                  <c:v>2003</c:v>
                </c:pt>
                <c:pt idx="210">
                  <c:v>2003</c:v>
                </c:pt>
                <c:pt idx="211">
                  <c:v>2003</c:v>
                </c:pt>
                <c:pt idx="212">
                  <c:v>2003</c:v>
                </c:pt>
                <c:pt idx="213">
                  <c:v>2003</c:v>
                </c:pt>
                <c:pt idx="214">
                  <c:v>2003</c:v>
                </c:pt>
                <c:pt idx="215">
                  <c:v>2003</c:v>
                </c:pt>
                <c:pt idx="216">
                  <c:v>2003</c:v>
                </c:pt>
                <c:pt idx="217">
                  <c:v>2003</c:v>
                </c:pt>
                <c:pt idx="218">
                  <c:v>2004</c:v>
                </c:pt>
                <c:pt idx="219">
                  <c:v>2004</c:v>
                </c:pt>
                <c:pt idx="220">
                  <c:v>2004</c:v>
                </c:pt>
                <c:pt idx="221">
                  <c:v>2004</c:v>
                </c:pt>
                <c:pt idx="222">
                  <c:v>2004</c:v>
                </c:pt>
                <c:pt idx="223">
                  <c:v>2004</c:v>
                </c:pt>
                <c:pt idx="224">
                  <c:v>2004</c:v>
                </c:pt>
                <c:pt idx="225">
                  <c:v>2004</c:v>
                </c:pt>
                <c:pt idx="226">
                  <c:v>2004</c:v>
                </c:pt>
                <c:pt idx="227">
                  <c:v>2004</c:v>
                </c:pt>
                <c:pt idx="228">
                  <c:v>2004</c:v>
                </c:pt>
                <c:pt idx="229">
                  <c:v>2004</c:v>
                </c:pt>
                <c:pt idx="230">
                  <c:v>2004</c:v>
                </c:pt>
                <c:pt idx="231">
                  <c:v>2004</c:v>
                </c:pt>
                <c:pt idx="232">
                  <c:v>2004</c:v>
                </c:pt>
                <c:pt idx="233">
                  <c:v>2004</c:v>
                </c:pt>
                <c:pt idx="234">
                  <c:v>2004</c:v>
                </c:pt>
                <c:pt idx="235">
                  <c:v>2004</c:v>
                </c:pt>
                <c:pt idx="236">
                  <c:v>2004</c:v>
                </c:pt>
                <c:pt idx="237">
                  <c:v>2004</c:v>
                </c:pt>
                <c:pt idx="238">
                  <c:v>2004</c:v>
                </c:pt>
                <c:pt idx="239">
                  <c:v>2004</c:v>
                </c:pt>
                <c:pt idx="240">
                  <c:v>2004</c:v>
                </c:pt>
                <c:pt idx="241">
                  <c:v>2004</c:v>
                </c:pt>
                <c:pt idx="242">
                  <c:v>2004</c:v>
                </c:pt>
                <c:pt idx="243">
                  <c:v>2006</c:v>
                </c:pt>
                <c:pt idx="244">
                  <c:v>2006</c:v>
                </c:pt>
                <c:pt idx="245">
                  <c:v>2006</c:v>
                </c:pt>
                <c:pt idx="246">
                  <c:v>2006</c:v>
                </c:pt>
                <c:pt idx="247">
                  <c:v>2006</c:v>
                </c:pt>
                <c:pt idx="248">
                  <c:v>2006</c:v>
                </c:pt>
                <c:pt idx="249">
                  <c:v>2006</c:v>
                </c:pt>
                <c:pt idx="250">
                  <c:v>2006</c:v>
                </c:pt>
                <c:pt idx="251">
                  <c:v>2006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2006</c:v>
                </c:pt>
                <c:pt idx="257">
                  <c:v>2006</c:v>
                </c:pt>
                <c:pt idx="258">
                  <c:v>2006</c:v>
                </c:pt>
                <c:pt idx="259">
                  <c:v>2006</c:v>
                </c:pt>
                <c:pt idx="260">
                  <c:v>2006</c:v>
                </c:pt>
                <c:pt idx="261">
                  <c:v>2006</c:v>
                </c:pt>
                <c:pt idx="262">
                  <c:v>2006</c:v>
                </c:pt>
                <c:pt idx="263">
                  <c:v>2006</c:v>
                </c:pt>
                <c:pt idx="264">
                  <c:v>2006</c:v>
                </c:pt>
                <c:pt idx="265">
                  <c:v>2006</c:v>
                </c:pt>
                <c:pt idx="266">
                  <c:v>2006</c:v>
                </c:pt>
                <c:pt idx="267">
                  <c:v>2006</c:v>
                </c:pt>
                <c:pt idx="268">
                  <c:v>2006</c:v>
                </c:pt>
                <c:pt idx="269">
                  <c:v>2006</c:v>
                </c:pt>
                <c:pt idx="270">
                  <c:v>2006</c:v>
                </c:pt>
                <c:pt idx="271">
                  <c:v>2006</c:v>
                </c:pt>
                <c:pt idx="272">
                  <c:v>2006</c:v>
                </c:pt>
                <c:pt idx="273">
                  <c:v>2006</c:v>
                </c:pt>
                <c:pt idx="274">
                  <c:v>2006</c:v>
                </c:pt>
                <c:pt idx="275">
                  <c:v>2006</c:v>
                </c:pt>
                <c:pt idx="276">
                  <c:v>2006</c:v>
                </c:pt>
                <c:pt idx="277">
                  <c:v>2006</c:v>
                </c:pt>
                <c:pt idx="278">
                  <c:v>2006</c:v>
                </c:pt>
                <c:pt idx="279">
                  <c:v>2006</c:v>
                </c:pt>
                <c:pt idx="280">
                  <c:v>2006</c:v>
                </c:pt>
                <c:pt idx="281">
                  <c:v>2006</c:v>
                </c:pt>
                <c:pt idx="282">
                  <c:v>2006</c:v>
                </c:pt>
                <c:pt idx="283">
                  <c:v>2006</c:v>
                </c:pt>
                <c:pt idx="284">
                  <c:v>2006</c:v>
                </c:pt>
                <c:pt idx="285">
                  <c:v>2006</c:v>
                </c:pt>
                <c:pt idx="286">
                  <c:v>2006</c:v>
                </c:pt>
                <c:pt idx="287">
                  <c:v>2011</c:v>
                </c:pt>
                <c:pt idx="288">
                  <c:v>2011</c:v>
                </c:pt>
                <c:pt idx="289">
                  <c:v>2011</c:v>
                </c:pt>
                <c:pt idx="290">
                  <c:v>2011</c:v>
                </c:pt>
                <c:pt idx="291">
                  <c:v>2011</c:v>
                </c:pt>
                <c:pt idx="292">
                  <c:v>2011</c:v>
                </c:pt>
                <c:pt idx="293">
                  <c:v>2011</c:v>
                </c:pt>
                <c:pt idx="294">
                  <c:v>2011</c:v>
                </c:pt>
                <c:pt idx="295">
                  <c:v>2011</c:v>
                </c:pt>
                <c:pt idx="296">
                  <c:v>2011</c:v>
                </c:pt>
                <c:pt idx="297">
                  <c:v>2011</c:v>
                </c:pt>
                <c:pt idx="298">
                  <c:v>2011</c:v>
                </c:pt>
                <c:pt idx="299">
                  <c:v>2011</c:v>
                </c:pt>
                <c:pt idx="300">
                  <c:v>2011</c:v>
                </c:pt>
                <c:pt idx="301">
                  <c:v>2011</c:v>
                </c:pt>
                <c:pt idx="302">
                  <c:v>2011</c:v>
                </c:pt>
                <c:pt idx="303">
                  <c:v>2011</c:v>
                </c:pt>
                <c:pt idx="304">
                  <c:v>2011</c:v>
                </c:pt>
                <c:pt idx="305">
                  <c:v>2011</c:v>
                </c:pt>
                <c:pt idx="306">
                  <c:v>2011</c:v>
                </c:pt>
                <c:pt idx="307">
                  <c:v>2011</c:v>
                </c:pt>
                <c:pt idx="308">
                  <c:v>2011</c:v>
                </c:pt>
                <c:pt idx="309">
                  <c:v>2011</c:v>
                </c:pt>
                <c:pt idx="310">
                  <c:v>2011</c:v>
                </c:pt>
                <c:pt idx="311">
                  <c:v>2011</c:v>
                </c:pt>
                <c:pt idx="312">
                  <c:v>2011</c:v>
                </c:pt>
                <c:pt idx="313">
                  <c:v>2011</c:v>
                </c:pt>
                <c:pt idx="314">
                  <c:v>2011</c:v>
                </c:pt>
                <c:pt idx="315">
                  <c:v>2011</c:v>
                </c:pt>
                <c:pt idx="316">
                  <c:v>2011</c:v>
                </c:pt>
                <c:pt idx="317">
                  <c:v>2011</c:v>
                </c:pt>
                <c:pt idx="318">
                  <c:v>2011</c:v>
                </c:pt>
                <c:pt idx="319">
                  <c:v>2011</c:v>
                </c:pt>
                <c:pt idx="320">
                  <c:v>2011</c:v>
                </c:pt>
                <c:pt idx="321">
                  <c:v>2011</c:v>
                </c:pt>
                <c:pt idx="322">
                  <c:v>2011</c:v>
                </c:pt>
                <c:pt idx="323">
                  <c:v>2011</c:v>
                </c:pt>
                <c:pt idx="324">
                  <c:v>2011</c:v>
                </c:pt>
                <c:pt idx="325">
                  <c:v>2011</c:v>
                </c:pt>
                <c:pt idx="326">
                  <c:v>2011</c:v>
                </c:pt>
                <c:pt idx="327">
                  <c:v>2011</c:v>
                </c:pt>
                <c:pt idx="328">
                  <c:v>2011</c:v>
                </c:pt>
                <c:pt idx="329">
                  <c:v>2011</c:v>
                </c:pt>
                <c:pt idx="330">
                  <c:v>2011</c:v>
                </c:pt>
                <c:pt idx="331">
                  <c:v>2011</c:v>
                </c:pt>
                <c:pt idx="332">
                  <c:v>2011</c:v>
                </c:pt>
                <c:pt idx="333">
                  <c:v>2011</c:v>
                </c:pt>
                <c:pt idx="334">
                  <c:v>2011</c:v>
                </c:pt>
                <c:pt idx="335">
                  <c:v>2006</c:v>
                </c:pt>
                <c:pt idx="336">
                  <c:v>2006</c:v>
                </c:pt>
                <c:pt idx="337">
                  <c:v>2006</c:v>
                </c:pt>
                <c:pt idx="338">
                  <c:v>2006</c:v>
                </c:pt>
                <c:pt idx="339">
                  <c:v>2006</c:v>
                </c:pt>
                <c:pt idx="340">
                  <c:v>2006</c:v>
                </c:pt>
                <c:pt idx="341">
                  <c:v>2006</c:v>
                </c:pt>
                <c:pt idx="342">
                  <c:v>2006</c:v>
                </c:pt>
                <c:pt idx="343">
                  <c:v>2006</c:v>
                </c:pt>
                <c:pt idx="344">
                  <c:v>2006</c:v>
                </c:pt>
                <c:pt idx="345">
                  <c:v>2006</c:v>
                </c:pt>
                <c:pt idx="346">
                  <c:v>2006</c:v>
                </c:pt>
                <c:pt idx="347">
                  <c:v>2006</c:v>
                </c:pt>
                <c:pt idx="348">
                  <c:v>2006</c:v>
                </c:pt>
                <c:pt idx="349">
                  <c:v>2006</c:v>
                </c:pt>
                <c:pt idx="350">
                  <c:v>2006</c:v>
                </c:pt>
                <c:pt idx="351">
                  <c:v>2006</c:v>
                </c:pt>
                <c:pt idx="352">
                  <c:v>2006</c:v>
                </c:pt>
                <c:pt idx="353">
                  <c:v>2006</c:v>
                </c:pt>
                <c:pt idx="354">
                  <c:v>2006</c:v>
                </c:pt>
                <c:pt idx="355">
                  <c:v>2006</c:v>
                </c:pt>
                <c:pt idx="356">
                  <c:v>2006</c:v>
                </c:pt>
                <c:pt idx="357">
                  <c:v>2006</c:v>
                </c:pt>
                <c:pt idx="358">
                  <c:v>2006</c:v>
                </c:pt>
                <c:pt idx="359">
                  <c:v>2006</c:v>
                </c:pt>
                <c:pt idx="360">
                  <c:v>2005</c:v>
                </c:pt>
                <c:pt idx="361">
                  <c:v>2005</c:v>
                </c:pt>
                <c:pt idx="362">
                  <c:v>2005</c:v>
                </c:pt>
                <c:pt idx="363">
                  <c:v>2005</c:v>
                </c:pt>
                <c:pt idx="364">
                  <c:v>2005</c:v>
                </c:pt>
                <c:pt idx="365">
                  <c:v>2005</c:v>
                </c:pt>
                <c:pt idx="366">
                  <c:v>2006</c:v>
                </c:pt>
                <c:pt idx="367">
                  <c:v>2005</c:v>
                </c:pt>
                <c:pt idx="368">
                  <c:v>2005</c:v>
                </c:pt>
                <c:pt idx="369">
                  <c:v>2006</c:v>
                </c:pt>
                <c:pt idx="370">
                  <c:v>2007</c:v>
                </c:pt>
                <c:pt idx="371">
                  <c:v>2007</c:v>
                </c:pt>
                <c:pt idx="372">
                  <c:v>2008</c:v>
                </c:pt>
                <c:pt idx="373">
                  <c:v>2008</c:v>
                </c:pt>
                <c:pt idx="374">
                  <c:v>2008</c:v>
                </c:pt>
                <c:pt idx="375">
                  <c:v>2008</c:v>
                </c:pt>
                <c:pt idx="376">
                  <c:v>2008</c:v>
                </c:pt>
                <c:pt idx="377">
                  <c:v>2008</c:v>
                </c:pt>
                <c:pt idx="378">
                  <c:v>2008</c:v>
                </c:pt>
                <c:pt idx="379">
                  <c:v>2008</c:v>
                </c:pt>
                <c:pt idx="380">
                  <c:v>2008</c:v>
                </c:pt>
                <c:pt idx="381">
                  <c:v>2008</c:v>
                </c:pt>
                <c:pt idx="382">
                  <c:v>2008</c:v>
                </c:pt>
                <c:pt idx="383">
                  <c:v>2008</c:v>
                </c:pt>
                <c:pt idx="384">
                  <c:v>2008</c:v>
                </c:pt>
                <c:pt idx="385">
                  <c:v>2008</c:v>
                </c:pt>
                <c:pt idx="386">
                  <c:v>2008</c:v>
                </c:pt>
                <c:pt idx="387">
                  <c:v>2008</c:v>
                </c:pt>
                <c:pt idx="388">
                  <c:v>2008</c:v>
                </c:pt>
                <c:pt idx="389">
                  <c:v>2008</c:v>
                </c:pt>
                <c:pt idx="390">
                  <c:v>2008</c:v>
                </c:pt>
                <c:pt idx="391">
                  <c:v>2010</c:v>
                </c:pt>
                <c:pt idx="392">
                  <c:v>2010</c:v>
                </c:pt>
                <c:pt idx="393">
                  <c:v>2010</c:v>
                </c:pt>
                <c:pt idx="394">
                  <c:v>2010</c:v>
                </c:pt>
                <c:pt idx="395">
                  <c:v>2010</c:v>
                </c:pt>
                <c:pt idx="396">
                  <c:v>2009</c:v>
                </c:pt>
                <c:pt idx="397">
                  <c:v>2009</c:v>
                </c:pt>
                <c:pt idx="398">
                  <c:v>2009</c:v>
                </c:pt>
                <c:pt idx="399">
                  <c:v>2009</c:v>
                </c:pt>
                <c:pt idx="400">
                  <c:v>2009</c:v>
                </c:pt>
                <c:pt idx="401">
                  <c:v>2009</c:v>
                </c:pt>
                <c:pt idx="402">
                  <c:v>2009</c:v>
                </c:pt>
                <c:pt idx="403">
                  <c:v>2009</c:v>
                </c:pt>
                <c:pt idx="404">
                  <c:v>2009</c:v>
                </c:pt>
                <c:pt idx="405">
                  <c:v>2009</c:v>
                </c:pt>
                <c:pt idx="406">
                  <c:v>2009</c:v>
                </c:pt>
                <c:pt idx="407">
                  <c:v>2009</c:v>
                </c:pt>
                <c:pt idx="408">
                  <c:v>2009</c:v>
                </c:pt>
                <c:pt idx="409">
                  <c:v>2009</c:v>
                </c:pt>
                <c:pt idx="410">
                  <c:v>2009</c:v>
                </c:pt>
                <c:pt idx="411">
                  <c:v>2009</c:v>
                </c:pt>
                <c:pt idx="412">
                  <c:v>2009</c:v>
                </c:pt>
                <c:pt idx="413">
                  <c:v>2009</c:v>
                </c:pt>
                <c:pt idx="414">
                  <c:v>2009</c:v>
                </c:pt>
                <c:pt idx="415">
                  <c:v>2009</c:v>
                </c:pt>
                <c:pt idx="416">
                  <c:v>2009</c:v>
                </c:pt>
                <c:pt idx="417">
                  <c:v>2009</c:v>
                </c:pt>
                <c:pt idx="418">
                  <c:v>2009</c:v>
                </c:pt>
                <c:pt idx="419">
                  <c:v>2009</c:v>
                </c:pt>
                <c:pt idx="420">
                  <c:v>2009</c:v>
                </c:pt>
                <c:pt idx="421">
                  <c:v>2009</c:v>
                </c:pt>
                <c:pt idx="422">
                  <c:v>2009</c:v>
                </c:pt>
                <c:pt idx="423">
                  <c:v>2009</c:v>
                </c:pt>
                <c:pt idx="424">
                  <c:v>2009</c:v>
                </c:pt>
                <c:pt idx="425">
                  <c:v>2009</c:v>
                </c:pt>
                <c:pt idx="426">
                  <c:v>2009</c:v>
                </c:pt>
                <c:pt idx="427">
                  <c:v>2009</c:v>
                </c:pt>
                <c:pt idx="428">
                  <c:v>2009</c:v>
                </c:pt>
                <c:pt idx="429">
                  <c:v>2009</c:v>
                </c:pt>
                <c:pt idx="430">
                  <c:v>2009</c:v>
                </c:pt>
                <c:pt idx="431">
                  <c:v>2009</c:v>
                </c:pt>
                <c:pt idx="432">
                  <c:v>2009</c:v>
                </c:pt>
                <c:pt idx="433">
                  <c:v>2009</c:v>
                </c:pt>
                <c:pt idx="434">
                  <c:v>2009</c:v>
                </c:pt>
                <c:pt idx="435">
                  <c:v>2009</c:v>
                </c:pt>
                <c:pt idx="436">
                  <c:v>2009</c:v>
                </c:pt>
                <c:pt idx="437">
                  <c:v>2009</c:v>
                </c:pt>
                <c:pt idx="438">
                  <c:v>2009</c:v>
                </c:pt>
                <c:pt idx="439">
                  <c:v>2009</c:v>
                </c:pt>
                <c:pt idx="440">
                  <c:v>2009</c:v>
                </c:pt>
                <c:pt idx="441">
                  <c:v>2009</c:v>
                </c:pt>
                <c:pt idx="442">
                  <c:v>2009</c:v>
                </c:pt>
                <c:pt idx="443">
                  <c:v>2009</c:v>
                </c:pt>
                <c:pt idx="444">
                  <c:v>2009</c:v>
                </c:pt>
                <c:pt idx="445">
                  <c:v>2009</c:v>
                </c:pt>
                <c:pt idx="446">
                  <c:v>2009</c:v>
                </c:pt>
                <c:pt idx="447">
                  <c:v>2009</c:v>
                </c:pt>
                <c:pt idx="448">
                  <c:v>2010</c:v>
                </c:pt>
                <c:pt idx="449">
                  <c:v>2010</c:v>
                </c:pt>
                <c:pt idx="450">
                  <c:v>2010</c:v>
                </c:pt>
                <c:pt idx="451">
                  <c:v>2009</c:v>
                </c:pt>
                <c:pt idx="452">
                  <c:v>2009</c:v>
                </c:pt>
                <c:pt idx="453">
                  <c:v>2009</c:v>
                </c:pt>
                <c:pt idx="454">
                  <c:v>2009</c:v>
                </c:pt>
                <c:pt idx="455">
                  <c:v>2009</c:v>
                </c:pt>
                <c:pt idx="456">
                  <c:v>2010</c:v>
                </c:pt>
                <c:pt idx="457">
                  <c:v>2010</c:v>
                </c:pt>
                <c:pt idx="458">
                  <c:v>2010</c:v>
                </c:pt>
                <c:pt idx="459">
                  <c:v>2010</c:v>
                </c:pt>
                <c:pt idx="460">
                  <c:v>2010</c:v>
                </c:pt>
                <c:pt idx="461">
                  <c:v>2010</c:v>
                </c:pt>
                <c:pt idx="462">
                  <c:v>2010</c:v>
                </c:pt>
                <c:pt idx="463">
                  <c:v>2010</c:v>
                </c:pt>
                <c:pt idx="464">
                  <c:v>2010</c:v>
                </c:pt>
                <c:pt idx="465">
                  <c:v>2010</c:v>
                </c:pt>
                <c:pt idx="466">
                  <c:v>2010</c:v>
                </c:pt>
                <c:pt idx="467">
                  <c:v>2010</c:v>
                </c:pt>
                <c:pt idx="468">
                  <c:v>2010</c:v>
                </c:pt>
                <c:pt idx="469">
                  <c:v>2010</c:v>
                </c:pt>
                <c:pt idx="470">
                  <c:v>2010</c:v>
                </c:pt>
                <c:pt idx="471">
                  <c:v>2010</c:v>
                </c:pt>
                <c:pt idx="472">
                  <c:v>2010</c:v>
                </c:pt>
                <c:pt idx="473">
                  <c:v>2012</c:v>
                </c:pt>
                <c:pt idx="474">
                  <c:v>2012</c:v>
                </c:pt>
                <c:pt idx="475">
                  <c:v>2013</c:v>
                </c:pt>
                <c:pt idx="476">
                  <c:v>2013</c:v>
                </c:pt>
                <c:pt idx="477">
                  <c:v>2013</c:v>
                </c:pt>
                <c:pt idx="478">
                  <c:v>2015</c:v>
                </c:pt>
                <c:pt idx="479">
                  <c:v>2015</c:v>
                </c:pt>
                <c:pt idx="480">
                  <c:v>2011</c:v>
                </c:pt>
                <c:pt idx="481">
                  <c:v>2011</c:v>
                </c:pt>
                <c:pt idx="482">
                  <c:v>2012</c:v>
                </c:pt>
                <c:pt idx="483">
                  <c:v>2012</c:v>
                </c:pt>
                <c:pt idx="484">
                  <c:v>2012</c:v>
                </c:pt>
                <c:pt idx="485">
                  <c:v>2012</c:v>
                </c:pt>
                <c:pt idx="486">
                  <c:v>2012</c:v>
                </c:pt>
                <c:pt idx="487">
                  <c:v>2012</c:v>
                </c:pt>
                <c:pt idx="488">
                  <c:v>2012</c:v>
                </c:pt>
                <c:pt idx="489">
                  <c:v>2012</c:v>
                </c:pt>
                <c:pt idx="490">
                  <c:v>2012</c:v>
                </c:pt>
                <c:pt idx="491">
                  <c:v>2012</c:v>
                </c:pt>
                <c:pt idx="492">
                  <c:v>2012</c:v>
                </c:pt>
                <c:pt idx="493">
                  <c:v>2012</c:v>
                </c:pt>
                <c:pt idx="494">
                  <c:v>2012</c:v>
                </c:pt>
                <c:pt idx="495">
                  <c:v>2012</c:v>
                </c:pt>
                <c:pt idx="496">
                  <c:v>2012</c:v>
                </c:pt>
                <c:pt idx="497">
                  <c:v>2012</c:v>
                </c:pt>
                <c:pt idx="498">
                  <c:v>2012</c:v>
                </c:pt>
                <c:pt idx="499">
                  <c:v>2012</c:v>
                </c:pt>
                <c:pt idx="500">
                  <c:v>2012</c:v>
                </c:pt>
                <c:pt idx="501">
                  <c:v>2011</c:v>
                </c:pt>
                <c:pt idx="502">
                  <c:v>2011</c:v>
                </c:pt>
                <c:pt idx="503">
                  <c:v>2011</c:v>
                </c:pt>
                <c:pt idx="504">
                  <c:v>2011</c:v>
                </c:pt>
                <c:pt idx="505">
                  <c:v>2011</c:v>
                </c:pt>
                <c:pt idx="506">
                  <c:v>2011</c:v>
                </c:pt>
                <c:pt idx="507">
                  <c:v>2011</c:v>
                </c:pt>
                <c:pt idx="508">
                  <c:v>2011</c:v>
                </c:pt>
                <c:pt idx="509">
                  <c:v>2011</c:v>
                </c:pt>
                <c:pt idx="510">
                  <c:v>2011</c:v>
                </c:pt>
                <c:pt idx="511">
                  <c:v>2011</c:v>
                </c:pt>
                <c:pt idx="512">
                  <c:v>2011</c:v>
                </c:pt>
                <c:pt idx="513">
                  <c:v>2011</c:v>
                </c:pt>
                <c:pt idx="514">
                  <c:v>2011</c:v>
                </c:pt>
                <c:pt idx="515">
                  <c:v>2011</c:v>
                </c:pt>
                <c:pt idx="516">
                  <c:v>2011</c:v>
                </c:pt>
                <c:pt idx="517">
                  <c:v>2011</c:v>
                </c:pt>
                <c:pt idx="518">
                  <c:v>2011</c:v>
                </c:pt>
                <c:pt idx="519">
                  <c:v>2011</c:v>
                </c:pt>
                <c:pt idx="520">
                  <c:v>2011</c:v>
                </c:pt>
                <c:pt idx="521">
                  <c:v>2011</c:v>
                </c:pt>
                <c:pt idx="522">
                  <c:v>2011</c:v>
                </c:pt>
                <c:pt idx="523">
                  <c:v>2011</c:v>
                </c:pt>
                <c:pt idx="524">
                  <c:v>2011</c:v>
                </c:pt>
                <c:pt idx="525">
                  <c:v>2011</c:v>
                </c:pt>
                <c:pt idx="526">
                  <c:v>2011</c:v>
                </c:pt>
                <c:pt idx="527">
                  <c:v>2011</c:v>
                </c:pt>
                <c:pt idx="528">
                  <c:v>2011</c:v>
                </c:pt>
                <c:pt idx="529">
                  <c:v>2011</c:v>
                </c:pt>
                <c:pt idx="530">
                  <c:v>2011</c:v>
                </c:pt>
                <c:pt idx="531">
                  <c:v>2011</c:v>
                </c:pt>
                <c:pt idx="532">
                  <c:v>2011</c:v>
                </c:pt>
                <c:pt idx="533">
                  <c:v>2011</c:v>
                </c:pt>
                <c:pt idx="534">
                  <c:v>2011</c:v>
                </c:pt>
                <c:pt idx="535">
                  <c:v>2011</c:v>
                </c:pt>
                <c:pt idx="536">
                  <c:v>2011</c:v>
                </c:pt>
                <c:pt idx="537">
                  <c:v>2011</c:v>
                </c:pt>
                <c:pt idx="538">
                  <c:v>2011</c:v>
                </c:pt>
                <c:pt idx="539">
                  <c:v>2011</c:v>
                </c:pt>
                <c:pt idx="540">
                  <c:v>2011</c:v>
                </c:pt>
                <c:pt idx="541">
                  <c:v>2011</c:v>
                </c:pt>
                <c:pt idx="542">
                  <c:v>2011</c:v>
                </c:pt>
                <c:pt idx="543">
                  <c:v>2011</c:v>
                </c:pt>
                <c:pt idx="544">
                  <c:v>2011</c:v>
                </c:pt>
                <c:pt idx="545">
                  <c:v>2012</c:v>
                </c:pt>
                <c:pt idx="546">
                  <c:v>2012</c:v>
                </c:pt>
                <c:pt idx="547">
                  <c:v>2012</c:v>
                </c:pt>
                <c:pt idx="548">
                  <c:v>2012</c:v>
                </c:pt>
                <c:pt idx="549">
                  <c:v>2012</c:v>
                </c:pt>
                <c:pt idx="550">
                  <c:v>2012</c:v>
                </c:pt>
                <c:pt idx="551">
                  <c:v>2012</c:v>
                </c:pt>
                <c:pt idx="552">
                  <c:v>2012</c:v>
                </c:pt>
                <c:pt idx="553">
                  <c:v>2012</c:v>
                </c:pt>
                <c:pt idx="554">
                  <c:v>2012</c:v>
                </c:pt>
                <c:pt idx="555">
                  <c:v>2012</c:v>
                </c:pt>
                <c:pt idx="556">
                  <c:v>2012</c:v>
                </c:pt>
                <c:pt idx="557">
                  <c:v>2012</c:v>
                </c:pt>
                <c:pt idx="558">
                  <c:v>2012</c:v>
                </c:pt>
                <c:pt idx="559">
                  <c:v>2012</c:v>
                </c:pt>
                <c:pt idx="560">
                  <c:v>2012</c:v>
                </c:pt>
                <c:pt idx="561">
                  <c:v>2012</c:v>
                </c:pt>
                <c:pt idx="562">
                  <c:v>2012</c:v>
                </c:pt>
                <c:pt idx="563">
                  <c:v>2012</c:v>
                </c:pt>
                <c:pt idx="564">
                  <c:v>2012</c:v>
                </c:pt>
                <c:pt idx="565">
                  <c:v>2012</c:v>
                </c:pt>
                <c:pt idx="566">
                  <c:v>2012</c:v>
                </c:pt>
                <c:pt idx="567">
                  <c:v>2012</c:v>
                </c:pt>
                <c:pt idx="568">
                  <c:v>2012</c:v>
                </c:pt>
                <c:pt idx="569">
                  <c:v>2012</c:v>
                </c:pt>
                <c:pt idx="570">
                  <c:v>2012</c:v>
                </c:pt>
                <c:pt idx="571">
                  <c:v>2012</c:v>
                </c:pt>
                <c:pt idx="572">
                  <c:v>2012</c:v>
                </c:pt>
                <c:pt idx="573">
                  <c:v>2012</c:v>
                </c:pt>
                <c:pt idx="574">
                  <c:v>2012</c:v>
                </c:pt>
                <c:pt idx="575">
                  <c:v>2012</c:v>
                </c:pt>
                <c:pt idx="576">
                  <c:v>2012</c:v>
                </c:pt>
                <c:pt idx="577">
                  <c:v>2012</c:v>
                </c:pt>
                <c:pt idx="578">
                  <c:v>2012</c:v>
                </c:pt>
                <c:pt idx="579">
                  <c:v>2012</c:v>
                </c:pt>
                <c:pt idx="580">
                  <c:v>2012</c:v>
                </c:pt>
                <c:pt idx="581">
                  <c:v>2012</c:v>
                </c:pt>
                <c:pt idx="582">
                  <c:v>2012</c:v>
                </c:pt>
                <c:pt idx="583">
                  <c:v>2012</c:v>
                </c:pt>
                <c:pt idx="584">
                  <c:v>2012</c:v>
                </c:pt>
                <c:pt idx="585">
                  <c:v>2012</c:v>
                </c:pt>
                <c:pt idx="586">
                  <c:v>2012</c:v>
                </c:pt>
                <c:pt idx="587">
                  <c:v>2012</c:v>
                </c:pt>
                <c:pt idx="588">
                  <c:v>2012</c:v>
                </c:pt>
                <c:pt idx="589">
                  <c:v>2012</c:v>
                </c:pt>
                <c:pt idx="590">
                  <c:v>2012</c:v>
                </c:pt>
                <c:pt idx="591">
                  <c:v>2012</c:v>
                </c:pt>
                <c:pt idx="592">
                  <c:v>2012</c:v>
                </c:pt>
                <c:pt idx="593">
                  <c:v>2012</c:v>
                </c:pt>
                <c:pt idx="594">
                  <c:v>2012</c:v>
                </c:pt>
                <c:pt idx="595">
                  <c:v>2012</c:v>
                </c:pt>
                <c:pt idx="596">
                  <c:v>2012</c:v>
                </c:pt>
                <c:pt idx="597">
                  <c:v>2012</c:v>
                </c:pt>
                <c:pt idx="598">
                  <c:v>2012</c:v>
                </c:pt>
                <c:pt idx="599">
                  <c:v>2012</c:v>
                </c:pt>
                <c:pt idx="600">
                  <c:v>2012</c:v>
                </c:pt>
                <c:pt idx="601">
                  <c:v>2012</c:v>
                </c:pt>
                <c:pt idx="602">
                  <c:v>2012</c:v>
                </c:pt>
                <c:pt idx="603">
                  <c:v>2012</c:v>
                </c:pt>
                <c:pt idx="604">
                  <c:v>2012</c:v>
                </c:pt>
                <c:pt idx="605">
                  <c:v>2012</c:v>
                </c:pt>
                <c:pt idx="606">
                  <c:v>2012</c:v>
                </c:pt>
                <c:pt idx="607">
                  <c:v>2012</c:v>
                </c:pt>
                <c:pt idx="608">
                  <c:v>2012</c:v>
                </c:pt>
                <c:pt idx="609">
                  <c:v>2012</c:v>
                </c:pt>
                <c:pt idx="610">
                  <c:v>2012</c:v>
                </c:pt>
                <c:pt idx="611">
                  <c:v>2012</c:v>
                </c:pt>
                <c:pt idx="612">
                  <c:v>2012</c:v>
                </c:pt>
                <c:pt idx="613">
                  <c:v>2012</c:v>
                </c:pt>
                <c:pt idx="614">
                  <c:v>2012</c:v>
                </c:pt>
                <c:pt idx="615">
                  <c:v>2012</c:v>
                </c:pt>
                <c:pt idx="616">
                  <c:v>2012</c:v>
                </c:pt>
                <c:pt idx="617">
                  <c:v>2012</c:v>
                </c:pt>
                <c:pt idx="618">
                  <c:v>2012</c:v>
                </c:pt>
                <c:pt idx="619">
                  <c:v>2012</c:v>
                </c:pt>
                <c:pt idx="620">
                  <c:v>2012</c:v>
                </c:pt>
                <c:pt idx="621">
                  <c:v>2012</c:v>
                </c:pt>
                <c:pt idx="622">
                  <c:v>2012</c:v>
                </c:pt>
                <c:pt idx="623">
                  <c:v>2012</c:v>
                </c:pt>
                <c:pt idx="624">
                  <c:v>2012</c:v>
                </c:pt>
                <c:pt idx="625">
                  <c:v>2012</c:v>
                </c:pt>
                <c:pt idx="626">
                  <c:v>2012</c:v>
                </c:pt>
                <c:pt idx="627">
                  <c:v>2012</c:v>
                </c:pt>
                <c:pt idx="628">
                  <c:v>2012</c:v>
                </c:pt>
                <c:pt idx="629">
                  <c:v>2012</c:v>
                </c:pt>
                <c:pt idx="630">
                  <c:v>2012</c:v>
                </c:pt>
                <c:pt idx="631">
                  <c:v>2012</c:v>
                </c:pt>
                <c:pt idx="632">
                  <c:v>2012</c:v>
                </c:pt>
                <c:pt idx="633">
                  <c:v>2012</c:v>
                </c:pt>
                <c:pt idx="634">
                  <c:v>2012</c:v>
                </c:pt>
                <c:pt idx="635">
                  <c:v>2012</c:v>
                </c:pt>
                <c:pt idx="636">
                  <c:v>2012</c:v>
                </c:pt>
                <c:pt idx="637">
                  <c:v>2012</c:v>
                </c:pt>
                <c:pt idx="638">
                  <c:v>2012</c:v>
                </c:pt>
                <c:pt idx="639">
                  <c:v>2012</c:v>
                </c:pt>
                <c:pt idx="640">
                  <c:v>2012</c:v>
                </c:pt>
                <c:pt idx="641">
                  <c:v>2012</c:v>
                </c:pt>
                <c:pt idx="642">
                  <c:v>2012</c:v>
                </c:pt>
                <c:pt idx="643">
                  <c:v>2012</c:v>
                </c:pt>
                <c:pt idx="644">
                  <c:v>2012</c:v>
                </c:pt>
                <c:pt idx="645">
                  <c:v>2012</c:v>
                </c:pt>
                <c:pt idx="646">
                  <c:v>2012</c:v>
                </c:pt>
                <c:pt idx="647">
                  <c:v>2012</c:v>
                </c:pt>
                <c:pt idx="648">
                  <c:v>2012</c:v>
                </c:pt>
                <c:pt idx="649">
                  <c:v>2012</c:v>
                </c:pt>
                <c:pt idx="650">
                  <c:v>2012</c:v>
                </c:pt>
                <c:pt idx="651">
                  <c:v>2012</c:v>
                </c:pt>
                <c:pt idx="652">
                  <c:v>2012</c:v>
                </c:pt>
                <c:pt idx="653">
                  <c:v>2012</c:v>
                </c:pt>
                <c:pt idx="654">
                  <c:v>2012</c:v>
                </c:pt>
                <c:pt idx="655">
                  <c:v>2012</c:v>
                </c:pt>
                <c:pt idx="656">
                  <c:v>2012</c:v>
                </c:pt>
                <c:pt idx="657">
                  <c:v>2012</c:v>
                </c:pt>
                <c:pt idx="658">
                  <c:v>2012</c:v>
                </c:pt>
                <c:pt idx="659">
                  <c:v>2012</c:v>
                </c:pt>
                <c:pt idx="660">
                  <c:v>2012</c:v>
                </c:pt>
                <c:pt idx="661">
                  <c:v>2012</c:v>
                </c:pt>
                <c:pt idx="662">
                  <c:v>2012</c:v>
                </c:pt>
                <c:pt idx="663">
                  <c:v>2012</c:v>
                </c:pt>
                <c:pt idx="664">
                  <c:v>2012</c:v>
                </c:pt>
                <c:pt idx="665">
                  <c:v>2012</c:v>
                </c:pt>
                <c:pt idx="666">
                  <c:v>2012</c:v>
                </c:pt>
                <c:pt idx="667">
                  <c:v>2012</c:v>
                </c:pt>
                <c:pt idx="668">
                  <c:v>2012</c:v>
                </c:pt>
                <c:pt idx="669">
                  <c:v>2012</c:v>
                </c:pt>
                <c:pt idx="670">
                  <c:v>2012</c:v>
                </c:pt>
                <c:pt idx="671">
                  <c:v>2012</c:v>
                </c:pt>
                <c:pt idx="672">
                  <c:v>2012</c:v>
                </c:pt>
                <c:pt idx="673">
                  <c:v>2012</c:v>
                </c:pt>
                <c:pt idx="674">
                  <c:v>2012</c:v>
                </c:pt>
                <c:pt idx="675">
                  <c:v>2012</c:v>
                </c:pt>
                <c:pt idx="676">
                  <c:v>2012</c:v>
                </c:pt>
                <c:pt idx="677">
                  <c:v>2012</c:v>
                </c:pt>
                <c:pt idx="678">
                  <c:v>2012</c:v>
                </c:pt>
                <c:pt idx="679">
                  <c:v>2012</c:v>
                </c:pt>
                <c:pt idx="680">
                  <c:v>2012</c:v>
                </c:pt>
                <c:pt idx="681">
                  <c:v>2012</c:v>
                </c:pt>
                <c:pt idx="682">
                  <c:v>2012</c:v>
                </c:pt>
                <c:pt idx="683">
                  <c:v>2012</c:v>
                </c:pt>
                <c:pt idx="684">
                  <c:v>2012</c:v>
                </c:pt>
                <c:pt idx="685">
                  <c:v>2012</c:v>
                </c:pt>
                <c:pt idx="686">
                  <c:v>2012</c:v>
                </c:pt>
                <c:pt idx="687">
                  <c:v>2012</c:v>
                </c:pt>
                <c:pt idx="688">
                  <c:v>2012</c:v>
                </c:pt>
                <c:pt idx="689">
                  <c:v>2012</c:v>
                </c:pt>
                <c:pt idx="690">
                  <c:v>2012</c:v>
                </c:pt>
                <c:pt idx="691">
                  <c:v>2012</c:v>
                </c:pt>
                <c:pt idx="692">
                  <c:v>2012</c:v>
                </c:pt>
                <c:pt idx="693">
                  <c:v>2012</c:v>
                </c:pt>
                <c:pt idx="694">
                  <c:v>2012</c:v>
                </c:pt>
                <c:pt idx="695">
                  <c:v>2012</c:v>
                </c:pt>
                <c:pt idx="696">
                  <c:v>2012</c:v>
                </c:pt>
                <c:pt idx="697">
                  <c:v>2012</c:v>
                </c:pt>
                <c:pt idx="698">
                  <c:v>2012</c:v>
                </c:pt>
                <c:pt idx="699">
                  <c:v>2012</c:v>
                </c:pt>
                <c:pt idx="700">
                  <c:v>2012</c:v>
                </c:pt>
                <c:pt idx="701">
                  <c:v>2012</c:v>
                </c:pt>
                <c:pt idx="702">
                  <c:v>2012</c:v>
                </c:pt>
                <c:pt idx="703">
                  <c:v>2012</c:v>
                </c:pt>
                <c:pt idx="704">
                  <c:v>2012</c:v>
                </c:pt>
                <c:pt idx="705">
                  <c:v>2012</c:v>
                </c:pt>
                <c:pt idx="706">
                  <c:v>2012</c:v>
                </c:pt>
                <c:pt idx="707">
                  <c:v>2012</c:v>
                </c:pt>
                <c:pt idx="708">
                  <c:v>2012</c:v>
                </c:pt>
                <c:pt idx="709">
                  <c:v>2012</c:v>
                </c:pt>
                <c:pt idx="710">
                  <c:v>2012</c:v>
                </c:pt>
                <c:pt idx="711">
                  <c:v>2012</c:v>
                </c:pt>
                <c:pt idx="712">
                  <c:v>2012</c:v>
                </c:pt>
                <c:pt idx="713">
                  <c:v>2012</c:v>
                </c:pt>
                <c:pt idx="714">
                  <c:v>2012</c:v>
                </c:pt>
                <c:pt idx="715">
                  <c:v>2012</c:v>
                </c:pt>
                <c:pt idx="716">
                  <c:v>2012</c:v>
                </c:pt>
                <c:pt idx="717">
                  <c:v>2012</c:v>
                </c:pt>
                <c:pt idx="718">
                  <c:v>2012</c:v>
                </c:pt>
                <c:pt idx="719">
                  <c:v>2012</c:v>
                </c:pt>
                <c:pt idx="720">
                  <c:v>2012</c:v>
                </c:pt>
                <c:pt idx="721">
                  <c:v>2012</c:v>
                </c:pt>
                <c:pt idx="722">
                  <c:v>2012</c:v>
                </c:pt>
                <c:pt idx="723">
                  <c:v>2012</c:v>
                </c:pt>
                <c:pt idx="724">
                  <c:v>2012</c:v>
                </c:pt>
                <c:pt idx="725">
                  <c:v>2012</c:v>
                </c:pt>
                <c:pt idx="726">
                  <c:v>2012</c:v>
                </c:pt>
                <c:pt idx="727">
                  <c:v>2012</c:v>
                </c:pt>
                <c:pt idx="728">
                  <c:v>2012</c:v>
                </c:pt>
                <c:pt idx="729">
                  <c:v>2012</c:v>
                </c:pt>
                <c:pt idx="730">
                  <c:v>2012</c:v>
                </c:pt>
                <c:pt idx="731">
                  <c:v>2012</c:v>
                </c:pt>
                <c:pt idx="732">
                  <c:v>2012</c:v>
                </c:pt>
                <c:pt idx="733">
                  <c:v>2012</c:v>
                </c:pt>
                <c:pt idx="734">
                  <c:v>2012</c:v>
                </c:pt>
                <c:pt idx="735">
                  <c:v>2012</c:v>
                </c:pt>
                <c:pt idx="736">
                  <c:v>2012</c:v>
                </c:pt>
                <c:pt idx="737">
                  <c:v>2012</c:v>
                </c:pt>
                <c:pt idx="738">
                  <c:v>2012</c:v>
                </c:pt>
                <c:pt idx="739">
                  <c:v>2012</c:v>
                </c:pt>
                <c:pt idx="740">
                  <c:v>2012</c:v>
                </c:pt>
                <c:pt idx="741">
                  <c:v>2012</c:v>
                </c:pt>
                <c:pt idx="742">
                  <c:v>2012</c:v>
                </c:pt>
                <c:pt idx="743">
                  <c:v>2012</c:v>
                </c:pt>
                <c:pt idx="744">
                  <c:v>2012</c:v>
                </c:pt>
                <c:pt idx="745">
                  <c:v>2012</c:v>
                </c:pt>
                <c:pt idx="746">
                  <c:v>2012</c:v>
                </c:pt>
                <c:pt idx="747">
                  <c:v>2012</c:v>
                </c:pt>
                <c:pt idx="748">
                  <c:v>2012</c:v>
                </c:pt>
                <c:pt idx="749">
                  <c:v>2012</c:v>
                </c:pt>
                <c:pt idx="750">
                  <c:v>2012</c:v>
                </c:pt>
                <c:pt idx="751">
                  <c:v>2012</c:v>
                </c:pt>
                <c:pt idx="752">
                  <c:v>2011</c:v>
                </c:pt>
                <c:pt idx="753">
                  <c:v>2011</c:v>
                </c:pt>
                <c:pt idx="754">
                  <c:v>2011</c:v>
                </c:pt>
                <c:pt idx="755">
                  <c:v>2011</c:v>
                </c:pt>
                <c:pt idx="756">
                  <c:v>2011</c:v>
                </c:pt>
                <c:pt idx="757">
                  <c:v>2011</c:v>
                </c:pt>
                <c:pt idx="758">
                  <c:v>2011</c:v>
                </c:pt>
                <c:pt idx="759">
                  <c:v>2011</c:v>
                </c:pt>
                <c:pt idx="760">
                  <c:v>2011</c:v>
                </c:pt>
                <c:pt idx="761">
                  <c:v>2011</c:v>
                </c:pt>
                <c:pt idx="762">
                  <c:v>2011</c:v>
                </c:pt>
                <c:pt idx="763">
                  <c:v>2013</c:v>
                </c:pt>
                <c:pt idx="764">
                  <c:v>2013</c:v>
                </c:pt>
                <c:pt idx="765">
                  <c:v>2013</c:v>
                </c:pt>
                <c:pt idx="766">
                  <c:v>2013</c:v>
                </c:pt>
                <c:pt idx="767">
                  <c:v>2013</c:v>
                </c:pt>
                <c:pt idx="768">
                  <c:v>2013</c:v>
                </c:pt>
                <c:pt idx="769">
                  <c:v>2013</c:v>
                </c:pt>
                <c:pt idx="770">
                  <c:v>2013</c:v>
                </c:pt>
                <c:pt idx="771">
                  <c:v>2013</c:v>
                </c:pt>
                <c:pt idx="772">
                  <c:v>2013</c:v>
                </c:pt>
                <c:pt idx="773">
                  <c:v>2013</c:v>
                </c:pt>
                <c:pt idx="774">
                  <c:v>2013</c:v>
                </c:pt>
                <c:pt idx="775">
                  <c:v>2013</c:v>
                </c:pt>
                <c:pt idx="776">
                  <c:v>2013</c:v>
                </c:pt>
                <c:pt idx="777">
                  <c:v>2013</c:v>
                </c:pt>
                <c:pt idx="778">
                  <c:v>2013</c:v>
                </c:pt>
                <c:pt idx="779">
                  <c:v>2013</c:v>
                </c:pt>
                <c:pt idx="780">
                  <c:v>2013</c:v>
                </c:pt>
                <c:pt idx="781">
                  <c:v>2013</c:v>
                </c:pt>
                <c:pt idx="782">
                  <c:v>2013</c:v>
                </c:pt>
                <c:pt idx="783">
                  <c:v>2013</c:v>
                </c:pt>
                <c:pt idx="784">
                  <c:v>2013</c:v>
                </c:pt>
                <c:pt idx="785">
                  <c:v>2013</c:v>
                </c:pt>
                <c:pt idx="786">
                  <c:v>2013</c:v>
                </c:pt>
                <c:pt idx="787">
                  <c:v>2013</c:v>
                </c:pt>
                <c:pt idx="788">
                  <c:v>2013</c:v>
                </c:pt>
                <c:pt idx="789">
                  <c:v>2015</c:v>
                </c:pt>
                <c:pt idx="790">
                  <c:v>2015</c:v>
                </c:pt>
                <c:pt idx="791">
                  <c:v>2015</c:v>
                </c:pt>
                <c:pt idx="792">
                  <c:v>2015</c:v>
                </c:pt>
                <c:pt idx="793">
                  <c:v>2015</c:v>
                </c:pt>
                <c:pt idx="794">
                  <c:v>2015</c:v>
                </c:pt>
                <c:pt idx="795">
                  <c:v>2015</c:v>
                </c:pt>
                <c:pt idx="796">
                  <c:v>2015</c:v>
                </c:pt>
                <c:pt idx="797">
                  <c:v>2015</c:v>
                </c:pt>
                <c:pt idx="798">
                  <c:v>2015</c:v>
                </c:pt>
                <c:pt idx="799">
                  <c:v>2015</c:v>
                </c:pt>
                <c:pt idx="800">
                  <c:v>2014</c:v>
                </c:pt>
                <c:pt idx="801">
                  <c:v>2014</c:v>
                </c:pt>
                <c:pt idx="802">
                  <c:v>2014</c:v>
                </c:pt>
                <c:pt idx="803">
                  <c:v>2014</c:v>
                </c:pt>
                <c:pt idx="804">
                  <c:v>2014</c:v>
                </c:pt>
                <c:pt idx="805">
                  <c:v>2014</c:v>
                </c:pt>
                <c:pt idx="806">
                  <c:v>2014</c:v>
                </c:pt>
                <c:pt idx="807">
                  <c:v>2014</c:v>
                </c:pt>
                <c:pt idx="808">
                  <c:v>2014</c:v>
                </c:pt>
                <c:pt idx="809">
                  <c:v>2014</c:v>
                </c:pt>
                <c:pt idx="810">
                  <c:v>2014</c:v>
                </c:pt>
                <c:pt idx="811">
                  <c:v>2014</c:v>
                </c:pt>
                <c:pt idx="812">
                  <c:v>2014</c:v>
                </c:pt>
                <c:pt idx="813">
                  <c:v>2014</c:v>
                </c:pt>
                <c:pt idx="814">
                  <c:v>2014</c:v>
                </c:pt>
                <c:pt idx="815">
                  <c:v>2014</c:v>
                </c:pt>
                <c:pt idx="816">
                  <c:v>2014</c:v>
                </c:pt>
                <c:pt idx="817">
                  <c:v>2014</c:v>
                </c:pt>
                <c:pt idx="818">
                  <c:v>2014</c:v>
                </c:pt>
                <c:pt idx="819">
                  <c:v>2014</c:v>
                </c:pt>
                <c:pt idx="820">
                  <c:v>2014</c:v>
                </c:pt>
                <c:pt idx="821">
                  <c:v>2014</c:v>
                </c:pt>
                <c:pt idx="822">
                  <c:v>2014</c:v>
                </c:pt>
                <c:pt idx="823">
                  <c:v>2014</c:v>
                </c:pt>
                <c:pt idx="824">
                  <c:v>2014</c:v>
                </c:pt>
                <c:pt idx="825">
                  <c:v>2014</c:v>
                </c:pt>
                <c:pt idx="826">
                  <c:v>2014</c:v>
                </c:pt>
                <c:pt idx="827">
                  <c:v>2014</c:v>
                </c:pt>
                <c:pt idx="828">
                  <c:v>2014</c:v>
                </c:pt>
                <c:pt idx="829">
                  <c:v>2014</c:v>
                </c:pt>
                <c:pt idx="830">
                  <c:v>2014</c:v>
                </c:pt>
                <c:pt idx="831">
                  <c:v>2014</c:v>
                </c:pt>
                <c:pt idx="832">
                  <c:v>2014</c:v>
                </c:pt>
                <c:pt idx="833">
                  <c:v>2014</c:v>
                </c:pt>
                <c:pt idx="834">
                  <c:v>2014</c:v>
                </c:pt>
                <c:pt idx="835">
                  <c:v>2014</c:v>
                </c:pt>
                <c:pt idx="836">
                  <c:v>2014</c:v>
                </c:pt>
                <c:pt idx="837">
                  <c:v>2014</c:v>
                </c:pt>
                <c:pt idx="838">
                  <c:v>2014</c:v>
                </c:pt>
                <c:pt idx="839">
                  <c:v>2014</c:v>
                </c:pt>
                <c:pt idx="840">
                  <c:v>2014</c:v>
                </c:pt>
                <c:pt idx="841">
                  <c:v>2014</c:v>
                </c:pt>
                <c:pt idx="842">
                  <c:v>2014</c:v>
                </c:pt>
                <c:pt idx="843">
                  <c:v>2014</c:v>
                </c:pt>
                <c:pt idx="844">
                  <c:v>2014</c:v>
                </c:pt>
                <c:pt idx="845">
                  <c:v>2014</c:v>
                </c:pt>
                <c:pt idx="846">
                  <c:v>2014</c:v>
                </c:pt>
                <c:pt idx="847">
                  <c:v>2014</c:v>
                </c:pt>
                <c:pt idx="848">
                  <c:v>2014</c:v>
                </c:pt>
                <c:pt idx="849">
                  <c:v>2014</c:v>
                </c:pt>
                <c:pt idx="850">
                  <c:v>2014</c:v>
                </c:pt>
                <c:pt idx="851">
                  <c:v>2014</c:v>
                </c:pt>
                <c:pt idx="852">
                  <c:v>2014</c:v>
                </c:pt>
                <c:pt idx="853">
                  <c:v>2014</c:v>
                </c:pt>
                <c:pt idx="854">
                  <c:v>2014</c:v>
                </c:pt>
                <c:pt idx="855">
                  <c:v>2014</c:v>
                </c:pt>
                <c:pt idx="856">
                  <c:v>2014</c:v>
                </c:pt>
                <c:pt idx="857">
                  <c:v>2014</c:v>
                </c:pt>
                <c:pt idx="858">
                  <c:v>2014</c:v>
                </c:pt>
                <c:pt idx="859">
                  <c:v>2014</c:v>
                </c:pt>
                <c:pt idx="860">
                  <c:v>2014</c:v>
                </c:pt>
                <c:pt idx="861">
                  <c:v>2014</c:v>
                </c:pt>
                <c:pt idx="862">
                  <c:v>2014</c:v>
                </c:pt>
                <c:pt idx="863">
                  <c:v>2014</c:v>
                </c:pt>
                <c:pt idx="864">
                  <c:v>2014</c:v>
                </c:pt>
                <c:pt idx="865">
                  <c:v>2014</c:v>
                </c:pt>
                <c:pt idx="866">
                  <c:v>2014</c:v>
                </c:pt>
                <c:pt idx="867">
                  <c:v>2014</c:v>
                </c:pt>
                <c:pt idx="868">
                  <c:v>2014</c:v>
                </c:pt>
                <c:pt idx="869">
                  <c:v>2014</c:v>
                </c:pt>
                <c:pt idx="870">
                  <c:v>2014</c:v>
                </c:pt>
                <c:pt idx="871">
                  <c:v>2014</c:v>
                </c:pt>
                <c:pt idx="872">
                  <c:v>2014</c:v>
                </c:pt>
                <c:pt idx="873">
                  <c:v>2014</c:v>
                </c:pt>
                <c:pt idx="874">
                  <c:v>2014</c:v>
                </c:pt>
                <c:pt idx="875">
                  <c:v>2014</c:v>
                </c:pt>
                <c:pt idx="876">
                  <c:v>2014</c:v>
                </c:pt>
                <c:pt idx="877">
                  <c:v>2014</c:v>
                </c:pt>
                <c:pt idx="878">
                  <c:v>2014</c:v>
                </c:pt>
                <c:pt idx="879">
                  <c:v>2014</c:v>
                </c:pt>
                <c:pt idx="880">
                  <c:v>2014</c:v>
                </c:pt>
                <c:pt idx="881">
                  <c:v>2014</c:v>
                </c:pt>
                <c:pt idx="882">
                  <c:v>2014</c:v>
                </c:pt>
                <c:pt idx="883">
                  <c:v>2014</c:v>
                </c:pt>
                <c:pt idx="884">
                  <c:v>2014</c:v>
                </c:pt>
                <c:pt idx="885">
                  <c:v>2014</c:v>
                </c:pt>
                <c:pt idx="886">
                  <c:v>2014</c:v>
                </c:pt>
                <c:pt idx="887">
                  <c:v>2014</c:v>
                </c:pt>
                <c:pt idx="888">
                  <c:v>2014</c:v>
                </c:pt>
                <c:pt idx="889">
                  <c:v>2013</c:v>
                </c:pt>
                <c:pt idx="890">
                  <c:v>2013</c:v>
                </c:pt>
                <c:pt idx="891">
                  <c:v>2013</c:v>
                </c:pt>
                <c:pt idx="892">
                  <c:v>2013</c:v>
                </c:pt>
                <c:pt idx="893">
                  <c:v>2013</c:v>
                </c:pt>
                <c:pt idx="894">
                  <c:v>2013</c:v>
                </c:pt>
                <c:pt idx="895">
                  <c:v>2013</c:v>
                </c:pt>
                <c:pt idx="896">
                  <c:v>2015</c:v>
                </c:pt>
                <c:pt idx="897">
                  <c:v>2015</c:v>
                </c:pt>
                <c:pt idx="898">
                  <c:v>2015</c:v>
                </c:pt>
                <c:pt idx="899">
                  <c:v>2015</c:v>
                </c:pt>
                <c:pt idx="900">
                  <c:v>2015</c:v>
                </c:pt>
                <c:pt idx="901">
                  <c:v>2015</c:v>
                </c:pt>
                <c:pt idx="902">
                  <c:v>2015</c:v>
                </c:pt>
                <c:pt idx="903">
                  <c:v>2015</c:v>
                </c:pt>
                <c:pt idx="904">
                  <c:v>2015</c:v>
                </c:pt>
                <c:pt idx="905">
                  <c:v>2015</c:v>
                </c:pt>
                <c:pt idx="906">
                  <c:v>2015</c:v>
                </c:pt>
                <c:pt idx="907">
                  <c:v>2015</c:v>
                </c:pt>
                <c:pt idx="908">
                  <c:v>2015</c:v>
                </c:pt>
                <c:pt idx="909">
                  <c:v>2015</c:v>
                </c:pt>
                <c:pt idx="910">
                  <c:v>2015</c:v>
                </c:pt>
                <c:pt idx="911">
                  <c:v>2015</c:v>
                </c:pt>
                <c:pt idx="912">
                  <c:v>2015</c:v>
                </c:pt>
                <c:pt idx="913">
                  <c:v>2015</c:v>
                </c:pt>
                <c:pt idx="914">
                  <c:v>2015</c:v>
                </c:pt>
                <c:pt idx="915">
                  <c:v>2015</c:v>
                </c:pt>
                <c:pt idx="916">
                  <c:v>2015</c:v>
                </c:pt>
                <c:pt idx="917">
                  <c:v>2015</c:v>
                </c:pt>
                <c:pt idx="918">
                  <c:v>2015</c:v>
                </c:pt>
                <c:pt idx="919">
                  <c:v>2015</c:v>
                </c:pt>
                <c:pt idx="920">
                  <c:v>2015</c:v>
                </c:pt>
                <c:pt idx="921">
                  <c:v>2015</c:v>
                </c:pt>
                <c:pt idx="922">
                  <c:v>2015</c:v>
                </c:pt>
                <c:pt idx="923">
                  <c:v>2015</c:v>
                </c:pt>
                <c:pt idx="924">
                  <c:v>2015</c:v>
                </c:pt>
                <c:pt idx="925">
                  <c:v>2014</c:v>
                </c:pt>
                <c:pt idx="926">
                  <c:v>2014</c:v>
                </c:pt>
                <c:pt idx="927">
                  <c:v>2014</c:v>
                </c:pt>
                <c:pt idx="928">
                  <c:v>2014</c:v>
                </c:pt>
                <c:pt idx="929">
                  <c:v>2014</c:v>
                </c:pt>
                <c:pt idx="930">
                  <c:v>2014</c:v>
                </c:pt>
                <c:pt idx="931">
                  <c:v>2014</c:v>
                </c:pt>
                <c:pt idx="932">
                  <c:v>2014</c:v>
                </c:pt>
                <c:pt idx="933">
                  <c:v>2014</c:v>
                </c:pt>
                <c:pt idx="934">
                  <c:v>2014</c:v>
                </c:pt>
                <c:pt idx="935">
                  <c:v>2014</c:v>
                </c:pt>
                <c:pt idx="936">
                  <c:v>2014</c:v>
                </c:pt>
                <c:pt idx="937">
                  <c:v>2012</c:v>
                </c:pt>
                <c:pt idx="938">
                  <c:v>2012</c:v>
                </c:pt>
                <c:pt idx="939">
                  <c:v>2013</c:v>
                </c:pt>
                <c:pt idx="940">
                  <c:v>2013</c:v>
                </c:pt>
                <c:pt idx="941">
                  <c:v>2013</c:v>
                </c:pt>
                <c:pt idx="942">
                  <c:v>2013</c:v>
                </c:pt>
                <c:pt idx="943">
                  <c:v>2013</c:v>
                </c:pt>
                <c:pt idx="944">
                  <c:v>2013</c:v>
                </c:pt>
                <c:pt idx="945">
                  <c:v>2015</c:v>
                </c:pt>
                <c:pt idx="946">
                  <c:v>2015</c:v>
                </c:pt>
                <c:pt idx="947">
                  <c:v>2015</c:v>
                </c:pt>
                <c:pt idx="948">
                  <c:v>2015</c:v>
                </c:pt>
                <c:pt idx="949">
                  <c:v>2015</c:v>
                </c:pt>
                <c:pt idx="950">
                  <c:v>2015</c:v>
                </c:pt>
                <c:pt idx="951">
                  <c:v>2015</c:v>
                </c:pt>
                <c:pt idx="952">
                  <c:v>2015</c:v>
                </c:pt>
                <c:pt idx="953">
                  <c:v>2015</c:v>
                </c:pt>
                <c:pt idx="954">
                  <c:v>2015</c:v>
                </c:pt>
                <c:pt idx="955">
                  <c:v>2015</c:v>
                </c:pt>
                <c:pt idx="956">
                  <c:v>2014</c:v>
                </c:pt>
                <c:pt idx="957">
                  <c:v>2014</c:v>
                </c:pt>
                <c:pt idx="958">
                  <c:v>2014</c:v>
                </c:pt>
                <c:pt idx="959">
                  <c:v>2014</c:v>
                </c:pt>
                <c:pt idx="960">
                  <c:v>2014</c:v>
                </c:pt>
                <c:pt idx="961">
                  <c:v>2014</c:v>
                </c:pt>
                <c:pt idx="962">
                  <c:v>2014</c:v>
                </c:pt>
                <c:pt idx="963">
                  <c:v>2014</c:v>
                </c:pt>
                <c:pt idx="964">
                  <c:v>2014</c:v>
                </c:pt>
                <c:pt idx="965">
                  <c:v>2014</c:v>
                </c:pt>
                <c:pt idx="966">
                  <c:v>2014</c:v>
                </c:pt>
                <c:pt idx="967">
                  <c:v>2014</c:v>
                </c:pt>
                <c:pt idx="968">
                  <c:v>2014</c:v>
                </c:pt>
                <c:pt idx="969">
                  <c:v>2014</c:v>
                </c:pt>
                <c:pt idx="970">
                  <c:v>2014</c:v>
                </c:pt>
                <c:pt idx="971">
                  <c:v>2014</c:v>
                </c:pt>
                <c:pt idx="972">
                  <c:v>2014</c:v>
                </c:pt>
                <c:pt idx="973">
                  <c:v>2014</c:v>
                </c:pt>
                <c:pt idx="974">
                  <c:v>2014</c:v>
                </c:pt>
                <c:pt idx="975">
                  <c:v>2014</c:v>
                </c:pt>
                <c:pt idx="976">
                  <c:v>2014</c:v>
                </c:pt>
                <c:pt idx="977">
                  <c:v>2014</c:v>
                </c:pt>
                <c:pt idx="978">
                  <c:v>2014</c:v>
                </c:pt>
                <c:pt idx="979">
                  <c:v>2014</c:v>
                </c:pt>
                <c:pt idx="980">
                  <c:v>2014</c:v>
                </c:pt>
                <c:pt idx="981">
                  <c:v>2014</c:v>
                </c:pt>
                <c:pt idx="982">
                  <c:v>2014</c:v>
                </c:pt>
                <c:pt idx="983">
                  <c:v>2014</c:v>
                </c:pt>
                <c:pt idx="984">
                  <c:v>2014</c:v>
                </c:pt>
                <c:pt idx="985">
                  <c:v>2013</c:v>
                </c:pt>
                <c:pt idx="986">
                  <c:v>2013</c:v>
                </c:pt>
                <c:pt idx="987">
                  <c:v>2013</c:v>
                </c:pt>
                <c:pt idx="988">
                  <c:v>2013</c:v>
                </c:pt>
                <c:pt idx="989">
                  <c:v>2013</c:v>
                </c:pt>
                <c:pt idx="990">
                  <c:v>2013</c:v>
                </c:pt>
                <c:pt idx="991">
                  <c:v>2013</c:v>
                </c:pt>
                <c:pt idx="992">
                  <c:v>2013</c:v>
                </c:pt>
                <c:pt idx="993">
                  <c:v>2013</c:v>
                </c:pt>
                <c:pt idx="994">
                  <c:v>2013</c:v>
                </c:pt>
                <c:pt idx="995">
                  <c:v>2013</c:v>
                </c:pt>
                <c:pt idx="996">
                  <c:v>2013</c:v>
                </c:pt>
                <c:pt idx="997">
                  <c:v>2013</c:v>
                </c:pt>
                <c:pt idx="998">
                  <c:v>2013</c:v>
                </c:pt>
                <c:pt idx="999">
                  <c:v>2013</c:v>
                </c:pt>
                <c:pt idx="1000">
                  <c:v>2013</c:v>
                </c:pt>
                <c:pt idx="1001">
                  <c:v>2013</c:v>
                </c:pt>
                <c:pt idx="1002">
                  <c:v>2013</c:v>
                </c:pt>
                <c:pt idx="1003">
                  <c:v>2013</c:v>
                </c:pt>
                <c:pt idx="1004">
                  <c:v>2013</c:v>
                </c:pt>
                <c:pt idx="1005">
                  <c:v>2013</c:v>
                </c:pt>
                <c:pt idx="1006">
                  <c:v>2013</c:v>
                </c:pt>
                <c:pt idx="1007">
                  <c:v>2013</c:v>
                </c:pt>
                <c:pt idx="1008">
                  <c:v>2014</c:v>
                </c:pt>
                <c:pt idx="1009">
                  <c:v>2014</c:v>
                </c:pt>
                <c:pt idx="1010">
                  <c:v>2014</c:v>
                </c:pt>
                <c:pt idx="1011">
                  <c:v>2014</c:v>
                </c:pt>
                <c:pt idx="1012">
                  <c:v>2014</c:v>
                </c:pt>
                <c:pt idx="1013">
                  <c:v>2014</c:v>
                </c:pt>
                <c:pt idx="1014">
                  <c:v>2014</c:v>
                </c:pt>
                <c:pt idx="1015">
                  <c:v>2014</c:v>
                </c:pt>
                <c:pt idx="1016">
                  <c:v>2014</c:v>
                </c:pt>
                <c:pt idx="1017">
                  <c:v>2014</c:v>
                </c:pt>
                <c:pt idx="1018">
                  <c:v>2014</c:v>
                </c:pt>
                <c:pt idx="1019">
                  <c:v>2014</c:v>
                </c:pt>
                <c:pt idx="1020">
                  <c:v>2014</c:v>
                </c:pt>
                <c:pt idx="1021">
                  <c:v>2014</c:v>
                </c:pt>
                <c:pt idx="1022">
                  <c:v>2014</c:v>
                </c:pt>
                <c:pt idx="1023">
                  <c:v>2014</c:v>
                </c:pt>
                <c:pt idx="1024">
                  <c:v>2014</c:v>
                </c:pt>
                <c:pt idx="1025">
                  <c:v>2014</c:v>
                </c:pt>
                <c:pt idx="1026">
                  <c:v>2014</c:v>
                </c:pt>
                <c:pt idx="1027">
                  <c:v>2014</c:v>
                </c:pt>
                <c:pt idx="1028">
                  <c:v>2014</c:v>
                </c:pt>
                <c:pt idx="1029">
                  <c:v>2014</c:v>
                </c:pt>
                <c:pt idx="1030">
                  <c:v>2014</c:v>
                </c:pt>
                <c:pt idx="1031">
                  <c:v>2014</c:v>
                </c:pt>
                <c:pt idx="1032">
                  <c:v>2014</c:v>
                </c:pt>
                <c:pt idx="1033">
                  <c:v>2014</c:v>
                </c:pt>
                <c:pt idx="1034">
                  <c:v>2014</c:v>
                </c:pt>
                <c:pt idx="1035">
                  <c:v>2014</c:v>
                </c:pt>
                <c:pt idx="1036">
                  <c:v>2014</c:v>
                </c:pt>
                <c:pt idx="1037">
                  <c:v>2014</c:v>
                </c:pt>
                <c:pt idx="1038">
                  <c:v>2014</c:v>
                </c:pt>
                <c:pt idx="1039">
                  <c:v>2014</c:v>
                </c:pt>
                <c:pt idx="1040">
                  <c:v>2014</c:v>
                </c:pt>
                <c:pt idx="1041">
                  <c:v>2014</c:v>
                </c:pt>
                <c:pt idx="1042">
                  <c:v>2014</c:v>
                </c:pt>
                <c:pt idx="1043">
                  <c:v>2013</c:v>
                </c:pt>
                <c:pt idx="1044">
                  <c:v>2013</c:v>
                </c:pt>
                <c:pt idx="1045">
                  <c:v>2013</c:v>
                </c:pt>
                <c:pt idx="1046">
                  <c:v>2013</c:v>
                </c:pt>
                <c:pt idx="1047">
                  <c:v>2013</c:v>
                </c:pt>
                <c:pt idx="1048">
                  <c:v>2013</c:v>
                </c:pt>
                <c:pt idx="1049">
                  <c:v>2013</c:v>
                </c:pt>
                <c:pt idx="1050">
                  <c:v>2013</c:v>
                </c:pt>
                <c:pt idx="1051">
                  <c:v>2013</c:v>
                </c:pt>
                <c:pt idx="1052">
                  <c:v>2013</c:v>
                </c:pt>
                <c:pt idx="1053">
                  <c:v>2013</c:v>
                </c:pt>
                <c:pt idx="1054">
                  <c:v>2013</c:v>
                </c:pt>
                <c:pt idx="1055">
                  <c:v>2013</c:v>
                </c:pt>
                <c:pt idx="1056">
                  <c:v>2013</c:v>
                </c:pt>
                <c:pt idx="1057">
                  <c:v>2013</c:v>
                </c:pt>
                <c:pt idx="1058">
                  <c:v>2013</c:v>
                </c:pt>
                <c:pt idx="1059">
                  <c:v>2013</c:v>
                </c:pt>
                <c:pt idx="1060">
                  <c:v>2013</c:v>
                </c:pt>
                <c:pt idx="1061">
                  <c:v>2013</c:v>
                </c:pt>
                <c:pt idx="1062">
                  <c:v>2013</c:v>
                </c:pt>
                <c:pt idx="1063">
                  <c:v>2013</c:v>
                </c:pt>
                <c:pt idx="1064">
                  <c:v>2013</c:v>
                </c:pt>
                <c:pt idx="1065">
                  <c:v>2013</c:v>
                </c:pt>
                <c:pt idx="1066">
                  <c:v>2013</c:v>
                </c:pt>
                <c:pt idx="1067">
                  <c:v>2013</c:v>
                </c:pt>
                <c:pt idx="1068">
                  <c:v>2013</c:v>
                </c:pt>
                <c:pt idx="1069">
                  <c:v>2013</c:v>
                </c:pt>
                <c:pt idx="1070">
                  <c:v>2013</c:v>
                </c:pt>
                <c:pt idx="1071">
                  <c:v>2013</c:v>
                </c:pt>
                <c:pt idx="1072">
                  <c:v>2013</c:v>
                </c:pt>
                <c:pt idx="1073">
                  <c:v>2013</c:v>
                </c:pt>
                <c:pt idx="1074">
                  <c:v>2013</c:v>
                </c:pt>
                <c:pt idx="1075">
                  <c:v>2013</c:v>
                </c:pt>
                <c:pt idx="1076">
                  <c:v>2013</c:v>
                </c:pt>
                <c:pt idx="1077">
                  <c:v>2013</c:v>
                </c:pt>
                <c:pt idx="1078">
                  <c:v>2013</c:v>
                </c:pt>
                <c:pt idx="1079">
                  <c:v>2013</c:v>
                </c:pt>
                <c:pt idx="1080">
                  <c:v>2013</c:v>
                </c:pt>
                <c:pt idx="1081">
                  <c:v>2013</c:v>
                </c:pt>
                <c:pt idx="1082">
                  <c:v>2013</c:v>
                </c:pt>
                <c:pt idx="1083">
                  <c:v>2013</c:v>
                </c:pt>
                <c:pt idx="1084">
                  <c:v>2013</c:v>
                </c:pt>
                <c:pt idx="1085">
                  <c:v>2013</c:v>
                </c:pt>
                <c:pt idx="1086">
                  <c:v>2013</c:v>
                </c:pt>
                <c:pt idx="1087">
                  <c:v>2013</c:v>
                </c:pt>
                <c:pt idx="1088">
                  <c:v>2011</c:v>
                </c:pt>
                <c:pt idx="1089">
                  <c:v>2011</c:v>
                </c:pt>
                <c:pt idx="1090">
                  <c:v>2011</c:v>
                </c:pt>
                <c:pt idx="1091">
                  <c:v>2011</c:v>
                </c:pt>
                <c:pt idx="1092">
                  <c:v>2011</c:v>
                </c:pt>
                <c:pt idx="1093">
                  <c:v>2011</c:v>
                </c:pt>
                <c:pt idx="1094">
                  <c:v>2011</c:v>
                </c:pt>
                <c:pt idx="1095">
                  <c:v>2011</c:v>
                </c:pt>
                <c:pt idx="1096">
                  <c:v>2011</c:v>
                </c:pt>
                <c:pt idx="1097">
                  <c:v>2011</c:v>
                </c:pt>
                <c:pt idx="1098">
                  <c:v>2011</c:v>
                </c:pt>
                <c:pt idx="1099">
                  <c:v>2011</c:v>
                </c:pt>
                <c:pt idx="1100">
                  <c:v>2011</c:v>
                </c:pt>
                <c:pt idx="1101">
                  <c:v>2011</c:v>
                </c:pt>
                <c:pt idx="1102">
                  <c:v>2011</c:v>
                </c:pt>
                <c:pt idx="1103">
                  <c:v>2011</c:v>
                </c:pt>
                <c:pt idx="1104">
                  <c:v>2011</c:v>
                </c:pt>
                <c:pt idx="1105">
                  <c:v>2011</c:v>
                </c:pt>
                <c:pt idx="1106">
                  <c:v>2011</c:v>
                </c:pt>
                <c:pt idx="1107">
                  <c:v>2011</c:v>
                </c:pt>
                <c:pt idx="1108">
                  <c:v>2011</c:v>
                </c:pt>
                <c:pt idx="1109">
                  <c:v>2011</c:v>
                </c:pt>
                <c:pt idx="1110">
                  <c:v>2011</c:v>
                </c:pt>
                <c:pt idx="1111">
                  <c:v>2011</c:v>
                </c:pt>
                <c:pt idx="1112">
                  <c:v>2011</c:v>
                </c:pt>
                <c:pt idx="1113">
                  <c:v>2011</c:v>
                </c:pt>
                <c:pt idx="1114">
                  <c:v>2014</c:v>
                </c:pt>
                <c:pt idx="1115">
                  <c:v>2014</c:v>
                </c:pt>
                <c:pt idx="1116">
                  <c:v>2014</c:v>
                </c:pt>
                <c:pt idx="1117">
                  <c:v>2014</c:v>
                </c:pt>
                <c:pt idx="1118">
                  <c:v>2014</c:v>
                </c:pt>
                <c:pt idx="1119">
                  <c:v>2014</c:v>
                </c:pt>
                <c:pt idx="1120">
                  <c:v>2014</c:v>
                </c:pt>
                <c:pt idx="1121">
                  <c:v>2014</c:v>
                </c:pt>
                <c:pt idx="1122">
                  <c:v>2015</c:v>
                </c:pt>
                <c:pt idx="1123">
                  <c:v>2015</c:v>
                </c:pt>
                <c:pt idx="1124">
                  <c:v>2015</c:v>
                </c:pt>
                <c:pt idx="1125">
                  <c:v>2015</c:v>
                </c:pt>
                <c:pt idx="1126">
                  <c:v>2015</c:v>
                </c:pt>
                <c:pt idx="1127">
                  <c:v>2015</c:v>
                </c:pt>
                <c:pt idx="1128">
                  <c:v>2015</c:v>
                </c:pt>
                <c:pt idx="1129">
                  <c:v>2015</c:v>
                </c:pt>
                <c:pt idx="1130">
                  <c:v>2015</c:v>
                </c:pt>
                <c:pt idx="1131">
                  <c:v>2015</c:v>
                </c:pt>
                <c:pt idx="1132">
                  <c:v>2015</c:v>
                </c:pt>
                <c:pt idx="1133">
                  <c:v>2015</c:v>
                </c:pt>
                <c:pt idx="1134">
                  <c:v>2015</c:v>
                </c:pt>
                <c:pt idx="1135">
                  <c:v>2015</c:v>
                </c:pt>
                <c:pt idx="1136">
                  <c:v>2015</c:v>
                </c:pt>
                <c:pt idx="1137">
                  <c:v>2015</c:v>
                </c:pt>
                <c:pt idx="1138">
                  <c:v>2015</c:v>
                </c:pt>
                <c:pt idx="1139">
                  <c:v>2015</c:v>
                </c:pt>
                <c:pt idx="1140">
                  <c:v>2015</c:v>
                </c:pt>
                <c:pt idx="1141">
                  <c:v>2014</c:v>
                </c:pt>
                <c:pt idx="1142">
                  <c:v>2014</c:v>
                </c:pt>
                <c:pt idx="1143">
                  <c:v>2014</c:v>
                </c:pt>
                <c:pt idx="1144">
                  <c:v>2014</c:v>
                </c:pt>
                <c:pt idx="1145">
                  <c:v>2014</c:v>
                </c:pt>
                <c:pt idx="1146">
                  <c:v>2014</c:v>
                </c:pt>
                <c:pt idx="1147">
                  <c:v>2014</c:v>
                </c:pt>
                <c:pt idx="1148">
                  <c:v>2014</c:v>
                </c:pt>
                <c:pt idx="1149">
                  <c:v>2014</c:v>
                </c:pt>
                <c:pt idx="1150">
                  <c:v>2014</c:v>
                </c:pt>
                <c:pt idx="1151">
                  <c:v>2014</c:v>
                </c:pt>
                <c:pt idx="1152">
                  <c:v>2014</c:v>
                </c:pt>
                <c:pt idx="1153">
                  <c:v>2014</c:v>
                </c:pt>
                <c:pt idx="1154">
                  <c:v>2014</c:v>
                </c:pt>
                <c:pt idx="1155">
                  <c:v>2014</c:v>
                </c:pt>
                <c:pt idx="1156">
                  <c:v>2014</c:v>
                </c:pt>
                <c:pt idx="1157">
                  <c:v>2014</c:v>
                </c:pt>
                <c:pt idx="1158">
                  <c:v>2014</c:v>
                </c:pt>
                <c:pt idx="1159">
                  <c:v>2014</c:v>
                </c:pt>
                <c:pt idx="1160">
                  <c:v>2014</c:v>
                </c:pt>
                <c:pt idx="1161">
                  <c:v>2014</c:v>
                </c:pt>
                <c:pt idx="1162">
                  <c:v>2014</c:v>
                </c:pt>
                <c:pt idx="1163">
                  <c:v>2014</c:v>
                </c:pt>
                <c:pt idx="1164">
                  <c:v>2014</c:v>
                </c:pt>
                <c:pt idx="1165">
                  <c:v>2014</c:v>
                </c:pt>
                <c:pt idx="1166">
                  <c:v>2014</c:v>
                </c:pt>
                <c:pt idx="1167">
                  <c:v>2014</c:v>
                </c:pt>
                <c:pt idx="1168">
                  <c:v>2014</c:v>
                </c:pt>
                <c:pt idx="1169">
                  <c:v>2014</c:v>
                </c:pt>
                <c:pt idx="1170">
                  <c:v>2014</c:v>
                </c:pt>
                <c:pt idx="1171">
                  <c:v>2014</c:v>
                </c:pt>
                <c:pt idx="1172">
                  <c:v>2014</c:v>
                </c:pt>
                <c:pt idx="1173">
                  <c:v>2014</c:v>
                </c:pt>
                <c:pt idx="1174">
                  <c:v>2014</c:v>
                </c:pt>
                <c:pt idx="1175">
                  <c:v>2014</c:v>
                </c:pt>
                <c:pt idx="1176">
                  <c:v>2014</c:v>
                </c:pt>
                <c:pt idx="1177">
                  <c:v>2014</c:v>
                </c:pt>
                <c:pt idx="1178">
                  <c:v>2014</c:v>
                </c:pt>
                <c:pt idx="1179">
                  <c:v>2014</c:v>
                </c:pt>
                <c:pt idx="1180">
                  <c:v>2014</c:v>
                </c:pt>
                <c:pt idx="1181">
                  <c:v>2014</c:v>
                </c:pt>
                <c:pt idx="1182">
                  <c:v>2014</c:v>
                </c:pt>
                <c:pt idx="1183">
                  <c:v>2014</c:v>
                </c:pt>
                <c:pt idx="1184">
                  <c:v>2014</c:v>
                </c:pt>
                <c:pt idx="1185">
                  <c:v>2014</c:v>
                </c:pt>
                <c:pt idx="1186">
                  <c:v>2014</c:v>
                </c:pt>
                <c:pt idx="1187">
                  <c:v>2014</c:v>
                </c:pt>
                <c:pt idx="1188">
                  <c:v>2014</c:v>
                </c:pt>
                <c:pt idx="1189">
                  <c:v>2014</c:v>
                </c:pt>
                <c:pt idx="1190">
                  <c:v>2014</c:v>
                </c:pt>
                <c:pt idx="1191">
                  <c:v>2014</c:v>
                </c:pt>
                <c:pt idx="1192">
                  <c:v>2014</c:v>
                </c:pt>
                <c:pt idx="1193">
                  <c:v>2014</c:v>
                </c:pt>
                <c:pt idx="1194">
                  <c:v>2014</c:v>
                </c:pt>
                <c:pt idx="1195">
                  <c:v>2014</c:v>
                </c:pt>
                <c:pt idx="1196">
                  <c:v>2014</c:v>
                </c:pt>
                <c:pt idx="1197">
                  <c:v>2014</c:v>
                </c:pt>
                <c:pt idx="1198">
                  <c:v>2014</c:v>
                </c:pt>
                <c:pt idx="1199">
                  <c:v>2014</c:v>
                </c:pt>
                <c:pt idx="1200">
                  <c:v>2014</c:v>
                </c:pt>
                <c:pt idx="1201">
                  <c:v>2014</c:v>
                </c:pt>
                <c:pt idx="1202">
                  <c:v>2014</c:v>
                </c:pt>
                <c:pt idx="1203">
                  <c:v>2014</c:v>
                </c:pt>
                <c:pt idx="1204">
                  <c:v>2014</c:v>
                </c:pt>
                <c:pt idx="1205">
                  <c:v>2014</c:v>
                </c:pt>
                <c:pt idx="1206">
                  <c:v>2014</c:v>
                </c:pt>
                <c:pt idx="1207">
                  <c:v>2014</c:v>
                </c:pt>
                <c:pt idx="1208">
                  <c:v>2014</c:v>
                </c:pt>
                <c:pt idx="1209">
                  <c:v>2014</c:v>
                </c:pt>
                <c:pt idx="1210">
                  <c:v>2014</c:v>
                </c:pt>
                <c:pt idx="1211">
                  <c:v>2014</c:v>
                </c:pt>
                <c:pt idx="1212">
                  <c:v>2004</c:v>
                </c:pt>
              </c:numCache>
            </c:numRef>
          </c:xVal>
          <c:yVal>
            <c:numRef>
              <c:f>Data!$O$4:$O$1216</c:f>
              <c:numCache>
                <c:formatCode>0.0</c:formatCode>
                <c:ptCount val="1213"/>
                <c:pt idx="0">
                  <c:v>1065.5367929456841</c:v>
                </c:pt>
                <c:pt idx="1">
                  <c:v>152.21954184938343</c:v>
                </c:pt>
                <c:pt idx="2">
                  <c:v>282.92625291050393</c:v>
                </c:pt>
                <c:pt idx="3">
                  <c:v>574.03560359749611</c:v>
                </c:pt>
                <c:pt idx="4">
                  <c:v>287.01780179874805</c:v>
                </c:pt>
                <c:pt idx="5">
                  <c:v>71.73268689177084</c:v>
                </c:pt>
                <c:pt idx="6">
                  <c:v>127.53444938888869</c:v>
                </c:pt>
                <c:pt idx="7">
                  <c:v>63.81075181027672</c:v>
                </c:pt>
                <c:pt idx="8">
                  <c:v>15.93092439465299</c:v>
                </c:pt>
                <c:pt idx="9">
                  <c:v>21.241232526203987</c:v>
                </c:pt>
                <c:pt idx="10">
                  <c:v>10.620616263101994</c:v>
                </c:pt>
                <c:pt idx="11">
                  <c:v>2.6986811816078835</c:v>
                </c:pt>
                <c:pt idx="12">
                  <c:v>44.129645206691066</c:v>
                </c:pt>
                <c:pt idx="13">
                  <c:v>154.08599004664367</c:v>
                </c:pt>
                <c:pt idx="14">
                  <c:v>157.70476717600803</c:v>
                </c:pt>
                <c:pt idx="15">
                  <c:v>3754.1645428224019</c:v>
                </c:pt>
                <c:pt idx="16">
                  <c:v>4.4587055194554539</c:v>
                </c:pt>
                <c:pt idx="17">
                  <c:v>7.1821310529606759</c:v>
                </c:pt>
                <c:pt idx="18">
                  <c:v>21.160775384226422</c:v>
                </c:pt>
                <c:pt idx="19">
                  <c:v>40.176551896931038</c:v>
                </c:pt>
                <c:pt idx="20">
                  <c:v>1.5851284473467744E-2</c:v>
                </c:pt>
                <c:pt idx="21">
                  <c:v>9.5107706840806452E-2</c:v>
                </c:pt>
                <c:pt idx="22">
                  <c:v>2.3776926710201613E-2</c:v>
                </c:pt>
                <c:pt idx="23">
                  <c:v>0.14266156026120969</c:v>
                </c:pt>
                <c:pt idx="24">
                  <c:v>4.7553853420403226E-2</c:v>
                </c:pt>
                <c:pt idx="25">
                  <c:v>0.28532312052241937</c:v>
                </c:pt>
                <c:pt idx="26">
                  <c:v>8.7182064604072587E-2</c:v>
                </c:pt>
                <c:pt idx="27">
                  <c:v>0.52309238762443544</c:v>
                </c:pt>
                <c:pt idx="28">
                  <c:v>0.21399234039181453</c:v>
                </c:pt>
                <c:pt idx="29">
                  <c:v>1.2839540423508873</c:v>
                </c:pt>
                <c:pt idx="30">
                  <c:v>3.1702568946935489E-2</c:v>
                </c:pt>
                <c:pt idx="31">
                  <c:v>0.1902154136816129</c:v>
                </c:pt>
                <c:pt idx="32">
                  <c:v>4.7553853420403226E-2</c:v>
                </c:pt>
                <c:pt idx="33">
                  <c:v>0.28532312052241937</c:v>
                </c:pt>
                <c:pt idx="34">
                  <c:v>8.7182064604072587E-2</c:v>
                </c:pt>
                <c:pt idx="35">
                  <c:v>0.52309238762443544</c:v>
                </c:pt>
                <c:pt idx="36">
                  <c:v>0.16643848697141131</c:v>
                </c:pt>
                <c:pt idx="37">
                  <c:v>0.9986309218284678</c:v>
                </c:pt>
                <c:pt idx="38">
                  <c:v>0.43591032302036292</c:v>
                </c:pt>
                <c:pt idx="39">
                  <c:v>2.6154619381221775</c:v>
                </c:pt>
                <c:pt idx="40">
                  <c:v>3.9628211183669361E-2</c:v>
                </c:pt>
                <c:pt idx="41">
                  <c:v>0.23776926710201612</c:v>
                </c:pt>
                <c:pt idx="42">
                  <c:v>5.5479495657137098E-2</c:v>
                </c:pt>
                <c:pt idx="43">
                  <c:v>0.33287697394282262</c:v>
                </c:pt>
                <c:pt idx="44">
                  <c:v>0.1109589913142742</c:v>
                </c:pt>
                <c:pt idx="45">
                  <c:v>0.66575394788564524</c:v>
                </c:pt>
                <c:pt idx="46">
                  <c:v>0.20606669815508064</c:v>
                </c:pt>
                <c:pt idx="47">
                  <c:v>1.2364001889304839</c:v>
                </c:pt>
                <c:pt idx="48">
                  <c:v>0.54686931433463715</c:v>
                </c:pt>
                <c:pt idx="49">
                  <c:v>3.2812158860078227</c:v>
                </c:pt>
                <c:pt idx="50">
                  <c:v>0.16643848697141131</c:v>
                </c:pt>
                <c:pt idx="51">
                  <c:v>0.9986309218284678</c:v>
                </c:pt>
                <c:pt idx="52">
                  <c:v>0.24569490933875002</c:v>
                </c:pt>
                <c:pt idx="53">
                  <c:v>1.4741694560324998</c:v>
                </c:pt>
                <c:pt idx="54">
                  <c:v>0.49138981867750003</c:v>
                </c:pt>
                <c:pt idx="55">
                  <c:v>2.9483389120649997</c:v>
                </c:pt>
                <c:pt idx="56">
                  <c:v>0.93522578393459677</c:v>
                </c:pt>
                <c:pt idx="57">
                  <c:v>5.6113547036075806</c:v>
                </c:pt>
                <c:pt idx="58">
                  <c:v>2.4490234511507665</c:v>
                </c:pt>
                <c:pt idx="59">
                  <c:v>14.694140706904598</c:v>
                </c:pt>
                <c:pt idx="60">
                  <c:v>0.72915908577951627</c:v>
                </c:pt>
                <c:pt idx="61">
                  <c:v>4.3749545146770972</c:v>
                </c:pt>
                <c:pt idx="62">
                  <c:v>1.109589913142742</c:v>
                </c:pt>
                <c:pt idx="63">
                  <c:v>6.6575394788564513</c:v>
                </c:pt>
                <c:pt idx="64">
                  <c:v>2.1874772573385486</c:v>
                </c:pt>
                <c:pt idx="65">
                  <c:v>13.124863544031291</c:v>
                </c:pt>
                <c:pt idx="66">
                  <c:v>4.4542109370444356</c:v>
                </c:pt>
                <c:pt idx="67">
                  <c:v>25.0133268991321</c:v>
                </c:pt>
                <c:pt idx="68">
                  <c:v>10.873981148798872</c:v>
                </c:pt>
                <c:pt idx="69">
                  <c:v>65.243886892793228</c:v>
                </c:pt>
                <c:pt idx="70">
                  <c:v>72.757395733216939</c:v>
                </c:pt>
                <c:pt idx="71">
                  <c:v>436.70288724403633</c:v>
                </c:pt>
                <c:pt idx="72">
                  <c:v>109.37386286692744</c:v>
                </c:pt>
                <c:pt idx="73">
                  <c:v>656.08466435682988</c:v>
                </c:pt>
                <c:pt idx="74">
                  <c:v>218.58921288912015</c:v>
                </c:pt>
                <c:pt idx="75">
                  <c:v>1311.297508067619</c:v>
                </c:pt>
                <c:pt idx="76">
                  <c:v>416.80952522983432</c:v>
                </c:pt>
                <c:pt idx="77">
                  <c:v>2500.6193821119036</c:v>
                </c:pt>
                <c:pt idx="78">
                  <c:v>1087.5566277246219</c:v>
                </c:pt>
                <c:pt idx="79">
                  <c:v>6525.1019970806292</c:v>
                </c:pt>
                <c:pt idx="80">
                  <c:v>11.871031590650512</c:v>
                </c:pt>
                <c:pt idx="81">
                  <c:v>23.742063181301024</c:v>
                </c:pt>
                <c:pt idx="82">
                  <c:v>28.394272714827164</c:v>
                </c:pt>
                <c:pt idx="83">
                  <c:v>28.785019587049558</c:v>
                </c:pt>
                <c:pt idx="84">
                  <c:v>29.827011246309265</c:v>
                </c:pt>
                <c:pt idx="85">
                  <c:v>28.394272714827164</c:v>
                </c:pt>
                <c:pt idx="86">
                  <c:v>28.785019587049558</c:v>
                </c:pt>
                <c:pt idx="87">
                  <c:v>4.4284645518537777</c:v>
                </c:pt>
                <c:pt idx="88">
                  <c:v>7.1636926574105226</c:v>
                </c:pt>
                <c:pt idx="89">
                  <c:v>15.629874888895687</c:v>
                </c:pt>
                <c:pt idx="90">
                  <c:v>13.936638442598651</c:v>
                </c:pt>
                <c:pt idx="91">
                  <c:v>24.877550864825636</c:v>
                </c:pt>
                <c:pt idx="92">
                  <c:v>25.007799822233096</c:v>
                </c:pt>
                <c:pt idx="93">
                  <c:v>22.663318588898743</c:v>
                </c:pt>
                <c:pt idx="94">
                  <c:v>29.696762288901802</c:v>
                </c:pt>
                <c:pt idx="95">
                  <c:v>28.394272714827164</c:v>
                </c:pt>
                <c:pt idx="96">
                  <c:v>29.045517501864481</c:v>
                </c:pt>
                <c:pt idx="97">
                  <c:v>29.045517501864481</c:v>
                </c:pt>
                <c:pt idx="98">
                  <c:v>29.175766459271944</c:v>
                </c:pt>
                <c:pt idx="99">
                  <c:v>75.023399466699303</c:v>
                </c:pt>
                <c:pt idx="100">
                  <c:v>51.578587133355768</c:v>
                </c:pt>
                <c:pt idx="101">
                  <c:v>42.330911157425817</c:v>
                </c:pt>
                <c:pt idx="102">
                  <c:v>67.599208894473847</c:v>
                </c:pt>
                <c:pt idx="103">
                  <c:v>32.301741437051085</c:v>
                </c:pt>
                <c:pt idx="104">
                  <c:v>32.692488309273479</c:v>
                </c:pt>
                <c:pt idx="105">
                  <c:v>36.860454946312331</c:v>
                </c:pt>
                <c:pt idx="106">
                  <c:v>16.411368633340469</c:v>
                </c:pt>
                <c:pt idx="107">
                  <c:v>58.481781875951356</c:v>
                </c:pt>
                <c:pt idx="108">
                  <c:v>32.210731777416207</c:v>
                </c:pt>
                <c:pt idx="109">
                  <c:v>47.903139566413849</c:v>
                </c:pt>
                <c:pt idx="110">
                  <c:v>115.62826791892998</c:v>
                </c:pt>
                <c:pt idx="111">
                  <c:v>99.109943930511406</c:v>
                </c:pt>
                <c:pt idx="112">
                  <c:v>18.170156387260427</c:v>
                </c:pt>
                <c:pt idx="113">
                  <c:v>31.384815577995276</c:v>
                </c:pt>
                <c:pt idx="114">
                  <c:v>42.121726170467348</c:v>
                </c:pt>
                <c:pt idx="115">
                  <c:v>50.380888164676627</c:v>
                </c:pt>
                <c:pt idx="116">
                  <c:v>46.86605628100358</c:v>
                </c:pt>
                <c:pt idx="117">
                  <c:v>11.65148024910456</c:v>
                </c:pt>
                <c:pt idx="118">
                  <c:v>112.62493628467206</c:v>
                </c:pt>
                <c:pt idx="119">
                  <c:v>450.49974513868824</c:v>
                </c:pt>
                <c:pt idx="120">
                  <c:v>1126.2493628467205</c:v>
                </c:pt>
                <c:pt idx="121">
                  <c:v>31.947414103450058</c:v>
                </c:pt>
                <c:pt idx="122">
                  <c:v>6.7574961770803235</c:v>
                </c:pt>
                <c:pt idx="123">
                  <c:v>11.262493628467205</c:v>
                </c:pt>
                <c:pt idx="124">
                  <c:v>18.019989805547528</c:v>
                </c:pt>
                <c:pt idx="125">
                  <c:v>18.019989805547528</c:v>
                </c:pt>
                <c:pt idx="126">
                  <c:v>47.302473239562268</c:v>
                </c:pt>
                <c:pt idx="127">
                  <c:v>103.61494138189829</c:v>
                </c:pt>
                <c:pt idx="128">
                  <c:v>991.09943930511417</c:v>
                </c:pt>
                <c:pt idx="129">
                  <c:v>72.079959222190112</c:v>
                </c:pt>
                <c:pt idx="130">
                  <c:v>18.632669458936146</c:v>
                </c:pt>
                <c:pt idx="131">
                  <c:v>253.40610664051212</c:v>
                </c:pt>
                <c:pt idx="132">
                  <c:v>191.46239168394251</c:v>
                </c:pt>
                <c:pt idx="133">
                  <c:v>450.49974513868824</c:v>
                </c:pt>
                <c:pt idx="134">
                  <c:v>168.93740442700809</c:v>
                </c:pt>
                <c:pt idx="135">
                  <c:v>315.34982159708176</c:v>
                </c:pt>
                <c:pt idx="136">
                  <c:v>72.079959222190112</c:v>
                </c:pt>
                <c:pt idx="137">
                  <c:v>74.332457947883555</c:v>
                </c:pt>
                <c:pt idx="138">
                  <c:v>29.282483434014736</c:v>
                </c:pt>
                <c:pt idx="139">
                  <c:v>29.282483434014736</c:v>
                </c:pt>
                <c:pt idx="140">
                  <c:v>585.64966868029467</c:v>
                </c:pt>
                <c:pt idx="141">
                  <c:v>1328.9742481591302</c:v>
                </c:pt>
                <c:pt idx="142">
                  <c:v>518.0747069094914</c:v>
                </c:pt>
                <c:pt idx="143">
                  <c:v>923.5244775343109</c:v>
                </c:pt>
                <c:pt idx="144">
                  <c:v>213.98737894087688</c:v>
                </c:pt>
                <c:pt idx="145">
                  <c:v>220.74487511795721</c:v>
                </c:pt>
                <c:pt idx="146">
                  <c:v>87.847450302044194</c:v>
                </c:pt>
                <c:pt idx="147">
                  <c:v>87.847450302044194</c:v>
                </c:pt>
                <c:pt idx="148">
                  <c:v>111.69963093770028</c:v>
                </c:pt>
                <c:pt idx="149">
                  <c:v>38.240416922211907</c:v>
                </c:pt>
                <c:pt idx="150">
                  <c:v>1671.7122151786623</c:v>
                </c:pt>
                <c:pt idx="151">
                  <c:v>15.767491079854087</c:v>
                </c:pt>
                <c:pt idx="152">
                  <c:v>54.059969416642588</c:v>
                </c:pt>
                <c:pt idx="153">
                  <c:v>20.27248853124097</c:v>
                </c:pt>
                <c:pt idx="154">
                  <c:v>42.797475788175376</c:v>
                </c:pt>
                <c:pt idx="155">
                  <c:v>11.262493628467205</c:v>
                </c:pt>
                <c:pt idx="156">
                  <c:v>65.322463045109799</c:v>
                </c:pt>
                <c:pt idx="157">
                  <c:v>11.999665855604118</c:v>
                </c:pt>
                <c:pt idx="158">
                  <c:v>22.56479976724264</c:v>
                </c:pt>
                <c:pt idx="159">
                  <c:v>12.115979256466192</c:v>
                </c:pt>
                <c:pt idx="160">
                  <c:v>304.6569365900155</c:v>
                </c:pt>
                <c:pt idx="161">
                  <c:v>125.44697389000639</c:v>
                </c:pt>
                <c:pt idx="162">
                  <c:v>286.73594032001461</c:v>
                </c:pt>
                <c:pt idx="163">
                  <c:v>132.61537239800677</c:v>
                </c:pt>
                <c:pt idx="164">
                  <c:v>99.751715831189358</c:v>
                </c:pt>
                <c:pt idx="165">
                  <c:v>103.07677302556235</c:v>
                </c:pt>
                <c:pt idx="166">
                  <c:v>38.238157735289256</c:v>
                </c:pt>
                <c:pt idx="167">
                  <c:v>109.72688741430829</c:v>
                </c:pt>
                <c:pt idx="168">
                  <c:v>108.06435881712181</c:v>
                </c:pt>
                <c:pt idx="169">
                  <c:v>93.10160144244341</c:v>
                </c:pt>
                <c:pt idx="170">
                  <c:v>527.02156530811715</c:v>
                </c:pt>
                <c:pt idx="171">
                  <c:v>403.9944491163169</c:v>
                </c:pt>
                <c:pt idx="172">
                  <c:v>236.07906080048147</c:v>
                </c:pt>
                <c:pt idx="173">
                  <c:v>598.51029498713615</c:v>
                </c:pt>
                <c:pt idx="174">
                  <c:v>578.55995182089828</c:v>
                </c:pt>
                <c:pt idx="175">
                  <c:v>478.80823598970892</c:v>
                </c:pt>
                <c:pt idx="176">
                  <c:v>284.29239011888967</c:v>
                </c:pt>
                <c:pt idx="177">
                  <c:v>285.95491871607618</c:v>
                </c:pt>
                <c:pt idx="178">
                  <c:v>121.36458759461372</c:v>
                </c:pt>
                <c:pt idx="179">
                  <c:v>319.20549065980595</c:v>
                </c:pt>
                <c:pt idx="180">
                  <c:v>310.89284767387352</c:v>
                </c:pt>
                <c:pt idx="181">
                  <c:v>259.35446116109233</c:v>
                </c:pt>
                <c:pt idx="182">
                  <c:v>43.225743526848724</c:v>
                </c:pt>
                <c:pt idx="183">
                  <c:v>43.225743526848724</c:v>
                </c:pt>
                <c:pt idx="184">
                  <c:v>14.962757374678404</c:v>
                </c:pt>
                <c:pt idx="185">
                  <c:v>46.550800721221705</c:v>
                </c:pt>
                <c:pt idx="186">
                  <c:v>46.550800721221705</c:v>
                </c:pt>
                <c:pt idx="187">
                  <c:v>41.563214929662237</c:v>
                </c:pt>
                <c:pt idx="188">
                  <c:v>9.9751715831189358</c:v>
                </c:pt>
                <c:pt idx="189">
                  <c:v>9.9751715831189358</c:v>
                </c:pt>
                <c:pt idx="190">
                  <c:v>3.3250571943729788</c:v>
                </c:pt>
                <c:pt idx="191">
                  <c:v>9.9751715831189358</c:v>
                </c:pt>
                <c:pt idx="192">
                  <c:v>9.9751715831189358</c:v>
                </c:pt>
                <c:pt idx="193">
                  <c:v>9.9751715831189358</c:v>
                </c:pt>
                <c:pt idx="194">
                  <c:v>84.463259671901923</c:v>
                </c:pt>
                <c:pt idx="195">
                  <c:v>12.328877586942637</c:v>
                </c:pt>
                <c:pt idx="196">
                  <c:v>46.773800264702388</c:v>
                </c:pt>
                <c:pt idx="197">
                  <c:v>6.2723486945003195</c:v>
                </c:pt>
                <c:pt idx="198">
                  <c:v>82.078162916604185</c:v>
                </c:pt>
                <c:pt idx="199">
                  <c:v>9.1397080977004652</c:v>
                </c:pt>
                <c:pt idx="200">
                  <c:v>149.34372740092297</c:v>
                </c:pt>
                <c:pt idx="201">
                  <c:v>30.692281705166849</c:v>
                </c:pt>
                <c:pt idx="202">
                  <c:v>24.831443992622432</c:v>
                </c:pt>
                <c:pt idx="203">
                  <c:v>5.8608377125444244</c:v>
                </c:pt>
                <c:pt idx="204">
                  <c:v>10.179349711261368</c:v>
                </c:pt>
                <c:pt idx="205">
                  <c:v>-10.179349711261368</c:v>
                </c:pt>
                <c:pt idx="206">
                  <c:v>-0.77116285691374009</c:v>
                </c:pt>
                <c:pt idx="207">
                  <c:v>11.728549323648457</c:v>
                </c:pt>
                <c:pt idx="208">
                  <c:v>21.332065320364091</c:v>
                </c:pt>
                <c:pt idx="209">
                  <c:v>13.322324318848072</c:v>
                </c:pt>
                <c:pt idx="210">
                  <c:v>44.400936725240584</c:v>
                </c:pt>
                <c:pt idx="211">
                  <c:v>69.145315176352568</c:v>
                </c:pt>
                <c:pt idx="212">
                  <c:v>47.649785753916724</c:v>
                </c:pt>
                <c:pt idx="213">
                  <c:v>3.0240858883274764</c:v>
                </c:pt>
                <c:pt idx="214">
                  <c:v>5.884707674583197</c:v>
                </c:pt>
                <c:pt idx="215">
                  <c:v>3.6575092838555285</c:v>
                </c:pt>
                <c:pt idx="216">
                  <c:v>38.010308287591222</c:v>
                </c:pt>
                <c:pt idx="217">
                  <c:v>236.44864032835778</c:v>
                </c:pt>
                <c:pt idx="218">
                  <c:v>131.33975917773265</c:v>
                </c:pt>
                <c:pt idx="219">
                  <c:v>282.62986152170316</c:v>
                </c:pt>
                <c:pt idx="220">
                  <c:v>41.89572064909953</c:v>
                </c:pt>
                <c:pt idx="221">
                  <c:v>156.44394099524865</c:v>
                </c:pt>
                <c:pt idx="222">
                  <c:v>8.4788958456510954</c:v>
                </c:pt>
                <c:pt idx="223">
                  <c:v>74.980039733110672</c:v>
                </c:pt>
                <c:pt idx="224">
                  <c:v>125.68716194729858</c:v>
                </c:pt>
                <c:pt idx="225">
                  <c:v>278.97229860789292</c:v>
                </c:pt>
                <c:pt idx="226">
                  <c:v>40.565697771350337</c:v>
                </c:pt>
                <c:pt idx="227">
                  <c:v>155.6126766966554</c:v>
                </c:pt>
                <c:pt idx="228">
                  <c:v>8.3126429859324471</c:v>
                </c:pt>
                <c:pt idx="229">
                  <c:v>74.813786873392019</c:v>
                </c:pt>
                <c:pt idx="230">
                  <c:v>72.079959222190112</c:v>
                </c:pt>
                <c:pt idx="231">
                  <c:v>1328.9742481591302</c:v>
                </c:pt>
                <c:pt idx="232">
                  <c:v>267.47395442858601</c:v>
                </c:pt>
                <c:pt idx="233">
                  <c:v>809.27848090503903</c:v>
                </c:pt>
                <c:pt idx="234">
                  <c:v>57.548691975469445</c:v>
                </c:pt>
                <c:pt idx="235">
                  <c:v>119.8825266938954</c:v>
                </c:pt>
                <c:pt idx="236">
                  <c:v>59.9412633469477</c:v>
                </c:pt>
                <c:pt idx="237">
                  <c:v>34.632729933792007</c:v>
                </c:pt>
                <c:pt idx="238">
                  <c:v>451.55751721367267</c:v>
                </c:pt>
                <c:pt idx="239">
                  <c:v>185.15190233834957</c:v>
                </c:pt>
                <c:pt idx="240">
                  <c:v>95.906021355116323</c:v>
                </c:pt>
                <c:pt idx="241">
                  <c:v>441.41003172686584</c:v>
                </c:pt>
                <c:pt idx="242">
                  <c:v>17.656401269074635</c:v>
                </c:pt>
                <c:pt idx="243">
                  <c:v>96.426658636816384</c:v>
                </c:pt>
                <c:pt idx="244">
                  <c:v>18.287814569051381</c:v>
                </c:pt>
                <c:pt idx="245">
                  <c:v>-3.8238157735289251</c:v>
                </c:pt>
                <c:pt idx="246">
                  <c:v>29.925514749356807</c:v>
                </c:pt>
                <c:pt idx="247">
                  <c:v>89.776544248070422</c:v>
                </c:pt>
                <c:pt idx="248">
                  <c:v>18.287814569051381</c:v>
                </c:pt>
                <c:pt idx="249">
                  <c:v>-4.1563214929662236</c:v>
                </c:pt>
                <c:pt idx="250">
                  <c:v>28.262986152170317</c:v>
                </c:pt>
                <c:pt idx="251">
                  <c:v>89.776544248070422</c:v>
                </c:pt>
                <c:pt idx="252">
                  <c:v>21.612871763424362</c:v>
                </c:pt>
                <c:pt idx="253">
                  <c:v>-0.14131493076085161</c:v>
                </c:pt>
                <c:pt idx="254">
                  <c:v>33.250571943729788</c:v>
                </c:pt>
                <c:pt idx="255">
                  <c:v>89.776544248070422</c:v>
                </c:pt>
                <c:pt idx="256">
                  <c:v>16.625285971864894</c:v>
                </c:pt>
                <c:pt idx="257">
                  <c:v>-4.1563214929662236</c:v>
                </c:pt>
                <c:pt idx="258">
                  <c:v>28.262986152170317</c:v>
                </c:pt>
                <c:pt idx="259">
                  <c:v>91.439072845256916</c:v>
                </c:pt>
                <c:pt idx="260">
                  <c:v>18.287814569051381</c:v>
                </c:pt>
                <c:pt idx="261">
                  <c:v>-4.1563214929662236</c:v>
                </c:pt>
                <c:pt idx="262">
                  <c:v>29.925514749356807</c:v>
                </c:pt>
                <c:pt idx="263">
                  <c:v>96.426658636816384</c:v>
                </c:pt>
                <c:pt idx="264">
                  <c:v>19.950343166237872</c:v>
                </c:pt>
                <c:pt idx="265">
                  <c:v>-3.8238157735289251</c:v>
                </c:pt>
                <c:pt idx="266">
                  <c:v>29.925514749356807</c:v>
                </c:pt>
                <c:pt idx="267">
                  <c:v>121.36458759461372</c:v>
                </c:pt>
                <c:pt idx="268">
                  <c:v>26.60045755498383</c:v>
                </c:pt>
                <c:pt idx="269">
                  <c:v>-2.6600457554983832</c:v>
                </c:pt>
                <c:pt idx="270">
                  <c:v>39.900686332475743</c:v>
                </c:pt>
                <c:pt idx="271">
                  <c:v>156.27768813553001</c:v>
                </c:pt>
                <c:pt idx="272">
                  <c:v>34.913100540916275</c:v>
                </c:pt>
                <c:pt idx="273">
                  <c:v>-1.2302711619180022</c:v>
                </c:pt>
                <c:pt idx="274">
                  <c:v>49.875857915594679</c:v>
                </c:pt>
                <c:pt idx="275">
                  <c:v>548.63443707154147</c:v>
                </c:pt>
                <c:pt idx="276">
                  <c:v>147.96504514959756</c:v>
                </c:pt>
                <c:pt idx="277">
                  <c:v>28.262986152170317</c:v>
                </c:pt>
                <c:pt idx="278">
                  <c:v>166.25285971864895</c:v>
                </c:pt>
                <c:pt idx="279">
                  <c:v>2493.792895779734</c:v>
                </c:pt>
                <c:pt idx="280">
                  <c:v>598.51029498713615</c:v>
                </c:pt>
                <c:pt idx="281">
                  <c:v>124.6896447889867</c:v>
                </c:pt>
                <c:pt idx="282">
                  <c:v>448.88272124035211</c:v>
                </c:pt>
                <c:pt idx="283">
                  <c:v>3990.0686332475743</c:v>
                </c:pt>
                <c:pt idx="284">
                  <c:v>964.26658636816376</c:v>
                </c:pt>
                <c:pt idx="285">
                  <c:v>199.50343166237872</c:v>
                </c:pt>
                <c:pt idx="286">
                  <c:v>598.51029498713615</c:v>
                </c:pt>
                <c:pt idx="287">
                  <c:v>553</c:v>
                </c:pt>
                <c:pt idx="288">
                  <c:v>536</c:v>
                </c:pt>
                <c:pt idx="289">
                  <c:v>578</c:v>
                </c:pt>
                <c:pt idx="290">
                  <c:v>711</c:v>
                </c:pt>
                <c:pt idx="291">
                  <c:v>1021</c:v>
                </c:pt>
                <c:pt idx="292">
                  <c:v>831</c:v>
                </c:pt>
                <c:pt idx="293">
                  <c:v>1608</c:v>
                </c:pt>
                <c:pt idx="294">
                  <c:v>1879</c:v>
                </c:pt>
                <c:pt idx="295">
                  <c:v>359</c:v>
                </c:pt>
                <c:pt idx="296">
                  <c:v>341</c:v>
                </c:pt>
                <c:pt idx="297">
                  <c:v>367</c:v>
                </c:pt>
                <c:pt idx="298">
                  <c:v>423</c:v>
                </c:pt>
                <c:pt idx="299">
                  <c:v>583</c:v>
                </c:pt>
                <c:pt idx="300">
                  <c:v>722</c:v>
                </c:pt>
                <c:pt idx="301">
                  <c:v>1426</c:v>
                </c:pt>
                <c:pt idx="302">
                  <c:v>1670</c:v>
                </c:pt>
                <c:pt idx="303">
                  <c:v>108</c:v>
                </c:pt>
                <c:pt idx="304">
                  <c:v>105</c:v>
                </c:pt>
                <c:pt idx="305">
                  <c:v>112</c:v>
                </c:pt>
                <c:pt idx="306">
                  <c:v>135</c:v>
                </c:pt>
                <c:pt idx="307">
                  <c:v>187</c:v>
                </c:pt>
                <c:pt idx="308">
                  <c:v>155</c:v>
                </c:pt>
                <c:pt idx="309">
                  <c:v>258</c:v>
                </c:pt>
                <c:pt idx="310">
                  <c:v>290</c:v>
                </c:pt>
                <c:pt idx="311">
                  <c:v>85</c:v>
                </c:pt>
                <c:pt idx="312">
                  <c:v>81</c:v>
                </c:pt>
                <c:pt idx="313">
                  <c:v>87</c:v>
                </c:pt>
                <c:pt idx="314">
                  <c:v>99</c:v>
                </c:pt>
                <c:pt idx="315">
                  <c:v>131</c:v>
                </c:pt>
                <c:pt idx="316">
                  <c:v>145</c:v>
                </c:pt>
                <c:pt idx="317">
                  <c:v>236</c:v>
                </c:pt>
                <c:pt idx="318">
                  <c:v>265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11</c:v>
                </c:pt>
                <c:pt idx="323">
                  <c:v>15</c:v>
                </c:pt>
                <c:pt idx="324">
                  <c:v>12</c:v>
                </c:pt>
                <c:pt idx="325">
                  <c:v>18</c:v>
                </c:pt>
                <c:pt idx="326">
                  <c:v>19</c:v>
                </c:pt>
                <c:pt idx="327">
                  <c:v>5</c:v>
                </c:pt>
                <c:pt idx="328">
                  <c:v>4</c:v>
                </c:pt>
                <c:pt idx="329">
                  <c:v>5</c:v>
                </c:pt>
                <c:pt idx="330">
                  <c:v>6</c:v>
                </c:pt>
                <c:pt idx="331">
                  <c:v>10</c:v>
                </c:pt>
                <c:pt idx="332">
                  <c:v>9</c:v>
                </c:pt>
                <c:pt idx="333">
                  <c:v>14</c:v>
                </c:pt>
                <c:pt idx="334">
                  <c:v>15</c:v>
                </c:pt>
                <c:pt idx="335">
                  <c:v>96.426658636816384</c:v>
                </c:pt>
                <c:pt idx="336">
                  <c:v>18.287814569051381</c:v>
                </c:pt>
                <c:pt idx="337">
                  <c:v>-3.8238157735289251</c:v>
                </c:pt>
                <c:pt idx="338">
                  <c:v>29.925514749356807</c:v>
                </c:pt>
                <c:pt idx="339">
                  <c:v>10.972688741430829</c:v>
                </c:pt>
                <c:pt idx="340">
                  <c:v>146.30251655241105</c:v>
                </c:pt>
                <c:pt idx="341">
                  <c:v>3.491310054091628</c:v>
                </c:pt>
                <c:pt idx="342">
                  <c:v>146.30251655241105</c:v>
                </c:pt>
                <c:pt idx="343">
                  <c:v>3.491310054091628</c:v>
                </c:pt>
                <c:pt idx="344">
                  <c:v>307.56779047950056</c:v>
                </c:pt>
                <c:pt idx="345">
                  <c:v>48.213329318408192</c:v>
                </c:pt>
                <c:pt idx="346">
                  <c:v>-2.1612871763424364</c:v>
                </c:pt>
                <c:pt idx="347">
                  <c:v>141.31493076085158</c:v>
                </c:pt>
                <c:pt idx="348">
                  <c:v>24.93792895779734</c:v>
                </c:pt>
                <c:pt idx="349">
                  <c:v>-3.491310054091628</c:v>
                </c:pt>
                <c:pt idx="350">
                  <c:v>58.188500901527128</c:v>
                </c:pt>
                <c:pt idx="351">
                  <c:v>27.955968676034839</c:v>
                </c:pt>
                <c:pt idx="352">
                  <c:v>20.599134813920408</c:v>
                </c:pt>
                <c:pt idx="353">
                  <c:v>69.154238303875658</c:v>
                </c:pt>
                <c:pt idx="354">
                  <c:v>213.34818200131849</c:v>
                </c:pt>
                <c:pt idx="355">
                  <c:v>44.141003172686588</c:v>
                </c:pt>
                <c:pt idx="356">
                  <c:v>133.89437629048265</c:v>
                </c:pt>
                <c:pt idx="357">
                  <c:v>42.669636400263698</c:v>
                </c:pt>
                <c:pt idx="358">
                  <c:v>30.898702220880612</c:v>
                </c:pt>
                <c:pt idx="359">
                  <c:v>27.955968676034839</c:v>
                </c:pt>
                <c:pt idx="360">
                  <c:v>63.268771214184113</c:v>
                </c:pt>
                <c:pt idx="361">
                  <c:v>51.497837034801016</c:v>
                </c:pt>
                <c:pt idx="362">
                  <c:v>45.612369945109471</c:v>
                </c:pt>
                <c:pt idx="363">
                  <c:v>67.682871531452776</c:v>
                </c:pt>
                <c:pt idx="364">
                  <c:v>54.440570579646788</c:v>
                </c:pt>
                <c:pt idx="365">
                  <c:v>47.083736717532361</c:v>
                </c:pt>
                <c:pt idx="366">
                  <c:v>27.955968676034839</c:v>
                </c:pt>
                <c:pt idx="367">
                  <c:v>30.898702220880612</c:v>
                </c:pt>
                <c:pt idx="368">
                  <c:v>74.671863700461486</c:v>
                </c:pt>
                <c:pt idx="369">
                  <c:v>462.00916654078628</c:v>
                </c:pt>
                <c:pt idx="370">
                  <c:v>134.87528747209791</c:v>
                </c:pt>
                <c:pt idx="371">
                  <c:v>161.8503449665175</c:v>
                </c:pt>
                <c:pt idx="372">
                  <c:v>33.819341167042261</c:v>
                </c:pt>
                <c:pt idx="373">
                  <c:v>32.856512948763474</c:v>
                </c:pt>
                <c:pt idx="374">
                  <c:v>272.23967871832593</c:v>
                </c:pt>
                <c:pt idx="375">
                  <c:v>33.638810876114988</c:v>
                </c:pt>
                <c:pt idx="376">
                  <c:v>20.599134813920408</c:v>
                </c:pt>
                <c:pt idx="377">
                  <c:v>19.127768041497522</c:v>
                </c:pt>
                <c:pt idx="378">
                  <c:v>19.127768041497522</c:v>
                </c:pt>
                <c:pt idx="379">
                  <c:v>19.127768041497522</c:v>
                </c:pt>
                <c:pt idx="380">
                  <c:v>17.656401269074635</c:v>
                </c:pt>
                <c:pt idx="381">
                  <c:v>23.54186835876618</c:v>
                </c:pt>
                <c:pt idx="382">
                  <c:v>85.339272800527397</c:v>
                </c:pt>
                <c:pt idx="383">
                  <c:v>114.76660824898512</c:v>
                </c:pt>
                <c:pt idx="384">
                  <c:v>95.63884020748759</c:v>
                </c:pt>
                <c:pt idx="385">
                  <c:v>36.784169310572153</c:v>
                </c:pt>
                <c:pt idx="386">
                  <c:v>101.52430729717915</c:v>
                </c:pt>
                <c:pt idx="387">
                  <c:v>91.224739890218942</c:v>
                </c:pt>
                <c:pt idx="388">
                  <c:v>301.63018834669168</c:v>
                </c:pt>
                <c:pt idx="389">
                  <c:v>297.21608802942302</c:v>
                </c:pt>
                <c:pt idx="390">
                  <c:v>1199.1639195246523</c:v>
                </c:pt>
                <c:pt idx="391">
                  <c:v>60.36006194347658</c:v>
                </c:pt>
                <c:pt idx="392">
                  <c:v>88.218552071235024</c:v>
                </c:pt>
                <c:pt idx="393">
                  <c:v>213.58175764614791</c:v>
                </c:pt>
                <c:pt idx="394">
                  <c:v>29.598896876600101</c:v>
                </c:pt>
                <c:pt idx="395">
                  <c:v>2.8616272965879266</c:v>
                </c:pt>
                <c:pt idx="396">
                  <c:v>71.969926509186351</c:v>
                </c:pt>
                <c:pt idx="397">
                  <c:v>12.591160104986878</c:v>
                </c:pt>
                <c:pt idx="398">
                  <c:v>-8.4418005249343846</c:v>
                </c:pt>
                <c:pt idx="399">
                  <c:v>105.7371286089239</c:v>
                </c:pt>
                <c:pt idx="400">
                  <c:v>37.630398950131237</c:v>
                </c:pt>
                <c:pt idx="401">
                  <c:v>159.53572178477691</c:v>
                </c:pt>
                <c:pt idx="402">
                  <c:v>18.743658792650919</c:v>
                </c:pt>
                <c:pt idx="403">
                  <c:v>99.870792650918631</c:v>
                </c:pt>
                <c:pt idx="404">
                  <c:v>21.46220472440945</c:v>
                </c:pt>
                <c:pt idx="405">
                  <c:v>5.0078477690288716</c:v>
                </c:pt>
                <c:pt idx="406">
                  <c:v>31.1917375328084</c:v>
                </c:pt>
                <c:pt idx="407">
                  <c:v>-2.2893018372703415</c:v>
                </c:pt>
                <c:pt idx="408">
                  <c:v>18.171333333333333</c:v>
                </c:pt>
                <c:pt idx="409">
                  <c:v>-3.7201154855643046</c:v>
                </c:pt>
                <c:pt idx="410">
                  <c:v>-5.4370918635170602</c:v>
                </c:pt>
                <c:pt idx="411">
                  <c:v>-3.4339527559055116</c:v>
                </c:pt>
                <c:pt idx="412">
                  <c:v>-7.5833123359580048</c:v>
                </c:pt>
                <c:pt idx="413">
                  <c:v>-4.4355223097112866</c:v>
                </c:pt>
                <c:pt idx="414">
                  <c:v>105.1648031496063</c:v>
                </c:pt>
                <c:pt idx="415">
                  <c:v>37.487317585301838</c:v>
                </c:pt>
                <c:pt idx="416">
                  <c:v>184.00263517060367</c:v>
                </c:pt>
                <c:pt idx="417">
                  <c:v>17.455926509186352</c:v>
                </c:pt>
                <c:pt idx="418">
                  <c:v>92.859805774278229</c:v>
                </c:pt>
                <c:pt idx="419">
                  <c:v>24.466913385826775</c:v>
                </c:pt>
                <c:pt idx="420">
                  <c:v>4.8647664041994751</c:v>
                </c:pt>
                <c:pt idx="421">
                  <c:v>39.490456692913391</c:v>
                </c:pt>
                <c:pt idx="422">
                  <c:v>-3.2908713910761151</c:v>
                </c:pt>
                <c:pt idx="423">
                  <c:v>18.171333333333333</c:v>
                </c:pt>
                <c:pt idx="424">
                  <c:v>-4.1493595800524936</c:v>
                </c:pt>
                <c:pt idx="425">
                  <c:v>-6.4386614173228347</c:v>
                </c:pt>
                <c:pt idx="426">
                  <c:v>-2.7185459317585301</c:v>
                </c:pt>
                <c:pt idx="427">
                  <c:v>-9.4433700787401573</c:v>
                </c:pt>
                <c:pt idx="428">
                  <c:v>-4.1493595800524936</c:v>
                </c:pt>
                <c:pt idx="429">
                  <c:v>-2.6899296587926509</c:v>
                </c:pt>
                <c:pt idx="430">
                  <c:v>-0.50078477690288714</c:v>
                </c:pt>
                <c:pt idx="431">
                  <c:v>12.820090288713912</c:v>
                </c:pt>
                <c:pt idx="432">
                  <c:v>63.456585301837272</c:v>
                </c:pt>
                <c:pt idx="433">
                  <c:v>-1.0015695538057743</c:v>
                </c:pt>
                <c:pt idx="434">
                  <c:v>18.028251968503938</c:v>
                </c:pt>
                <c:pt idx="435">
                  <c:v>300.61394750656166</c:v>
                </c:pt>
                <c:pt idx="436">
                  <c:v>88.138120734908142</c:v>
                </c:pt>
                <c:pt idx="437">
                  <c:v>58.23411548556431</c:v>
                </c:pt>
                <c:pt idx="438">
                  <c:v>83.988761154855652</c:v>
                </c:pt>
                <c:pt idx="439">
                  <c:v>325.93934908136487</c:v>
                </c:pt>
                <c:pt idx="440">
                  <c:v>167.9775223097113</c:v>
                </c:pt>
                <c:pt idx="441">
                  <c:v>-0.57232545931758538</c:v>
                </c:pt>
                <c:pt idx="442">
                  <c:v>18.886740157480315</c:v>
                </c:pt>
                <c:pt idx="443">
                  <c:v>294.03220472440944</c:v>
                </c:pt>
                <c:pt idx="444">
                  <c:v>86.850388451443578</c:v>
                </c:pt>
                <c:pt idx="445">
                  <c:v>122.08009749103942</c:v>
                </c:pt>
                <c:pt idx="446">
                  <c:v>10.149150230414746</c:v>
                </c:pt>
                <c:pt idx="447">
                  <c:v>-3.3160589861751153</c:v>
                </c:pt>
                <c:pt idx="448">
                  <c:v>160.81211305683561</c:v>
                </c:pt>
                <c:pt idx="449">
                  <c:v>24.57456507936508</c:v>
                </c:pt>
                <c:pt idx="450">
                  <c:v>1.1276833589349717</c:v>
                </c:pt>
                <c:pt idx="451">
                  <c:v>20.168704714558849</c:v>
                </c:pt>
                <c:pt idx="452">
                  <c:v>40.337409429117699</c:v>
                </c:pt>
                <c:pt idx="453">
                  <c:v>80.674818858235398</c:v>
                </c:pt>
                <c:pt idx="454">
                  <c:v>137.14719205900019</c:v>
                </c:pt>
                <c:pt idx="455">
                  <c:v>225.88949280305911</c:v>
                </c:pt>
                <c:pt idx="456">
                  <c:v>22.263460367454069</c:v>
                </c:pt>
                <c:pt idx="457">
                  <c:v>39.86246824146982</c:v>
                </c:pt>
                <c:pt idx="458">
                  <c:v>145.21327716535433</c:v>
                </c:pt>
                <c:pt idx="459">
                  <c:v>260.5797816272966</c:v>
                </c:pt>
                <c:pt idx="460">
                  <c:v>0.94433700787401587</c:v>
                </c:pt>
                <c:pt idx="461">
                  <c:v>1.6597438320209974</c:v>
                </c:pt>
                <c:pt idx="462">
                  <c:v>79.939558530183731</c:v>
                </c:pt>
                <c:pt idx="463">
                  <c:v>102.67518740157482</c:v>
                </c:pt>
                <c:pt idx="464">
                  <c:v>6.6532834645669299</c:v>
                </c:pt>
                <c:pt idx="465">
                  <c:v>18.529036745406824</c:v>
                </c:pt>
                <c:pt idx="466">
                  <c:v>2.1319123359580052</c:v>
                </c:pt>
                <c:pt idx="467">
                  <c:v>10.387707086614173</c:v>
                </c:pt>
                <c:pt idx="468">
                  <c:v>22.263460367454069</c:v>
                </c:pt>
                <c:pt idx="469">
                  <c:v>27.714860367454069</c:v>
                </c:pt>
                <c:pt idx="470">
                  <c:v>22.263460367454069</c:v>
                </c:pt>
                <c:pt idx="471">
                  <c:v>64.54400367454069</c:v>
                </c:pt>
                <c:pt idx="472">
                  <c:v>32.267375320020477</c:v>
                </c:pt>
                <c:pt idx="473">
                  <c:v>33.145360819831012</c:v>
                </c:pt>
                <c:pt idx="474">
                  <c:v>42.467493550408477</c:v>
                </c:pt>
                <c:pt idx="475">
                  <c:v>33.808268036227631</c:v>
                </c:pt>
                <c:pt idx="476">
                  <c:v>35.160598757676738</c:v>
                </c:pt>
                <c:pt idx="477">
                  <c:v>48.170020298017135</c:v>
                </c:pt>
                <c:pt idx="478">
                  <c:v>44.169744513539179</c:v>
                </c:pt>
                <c:pt idx="479">
                  <c:v>66.916561170375431</c:v>
                </c:pt>
                <c:pt idx="480">
                  <c:v>115.68645621159868</c:v>
                </c:pt>
                <c:pt idx="481">
                  <c:v>59.945690888914022</c:v>
                </c:pt>
                <c:pt idx="482">
                  <c:v>277.64169343403654</c:v>
                </c:pt>
                <c:pt idx="483">
                  <c:v>124.0974235803648</c:v>
                </c:pt>
                <c:pt idx="484">
                  <c:v>58.893692546613806</c:v>
                </c:pt>
                <c:pt idx="485">
                  <c:v>29.446846273306903</c:v>
                </c:pt>
                <c:pt idx="486">
                  <c:v>500.59638664621735</c:v>
                </c:pt>
                <c:pt idx="487">
                  <c:v>253.45321256667728</c:v>
                </c:pt>
                <c:pt idx="488">
                  <c:v>120.94240433679622</c:v>
                </c:pt>
                <c:pt idx="489">
                  <c:v>65.203731033750998</c:v>
                </c:pt>
                <c:pt idx="490">
                  <c:v>933.88569609630463</c:v>
                </c:pt>
                <c:pt idx="491">
                  <c:v>432.23763636889777</c:v>
                </c:pt>
                <c:pt idx="492">
                  <c:v>210.33461623790646</c:v>
                </c:pt>
                <c:pt idx="493">
                  <c:v>80.978827251593984</c:v>
                </c:pt>
                <c:pt idx="494">
                  <c:v>938.09238842106276</c:v>
                </c:pt>
                <c:pt idx="495">
                  <c:v>467.99452112934188</c:v>
                </c:pt>
                <c:pt idx="496">
                  <c:v>227.16138553693898</c:v>
                </c:pt>
                <c:pt idx="497">
                  <c:v>100.96061579419509</c:v>
                </c:pt>
                <c:pt idx="498">
                  <c:v>6.5316313364055292</c:v>
                </c:pt>
                <c:pt idx="499">
                  <c:v>18.098759651817716</c:v>
                </c:pt>
                <c:pt idx="500">
                  <c:v>20.074996825396823</c:v>
                </c:pt>
                <c:pt idx="501">
                  <c:v>1.7653941780655935</c:v>
                </c:pt>
                <c:pt idx="502">
                  <c:v>40.219130522847735</c:v>
                </c:pt>
                <c:pt idx="503">
                  <c:v>246.88971212045143</c:v>
                </c:pt>
                <c:pt idx="504">
                  <c:v>-3.0396636599776006</c:v>
                </c:pt>
                <c:pt idx="505">
                  <c:v>2.0574142676704286</c:v>
                </c:pt>
                <c:pt idx="506">
                  <c:v>10.738375113195978</c:v>
                </c:pt>
                <c:pt idx="507">
                  <c:v>60.26232758208868</c:v>
                </c:pt>
                <c:pt idx="508">
                  <c:v>77.119850936549611</c:v>
                </c:pt>
                <c:pt idx="509">
                  <c:v>2495.4444020776809</c:v>
                </c:pt>
                <c:pt idx="510">
                  <c:v>0.93977374291010529</c:v>
                </c:pt>
                <c:pt idx="511">
                  <c:v>3.8759030074823553</c:v>
                </c:pt>
                <c:pt idx="512">
                  <c:v>15.264686502070923</c:v>
                </c:pt>
                <c:pt idx="513">
                  <c:v>85.614980815962994</c:v>
                </c:pt>
                <c:pt idx="514">
                  <c:v>70.084821505160406</c:v>
                </c:pt>
                <c:pt idx="515">
                  <c:v>2004.3197059240947</c:v>
                </c:pt>
                <c:pt idx="516">
                  <c:v>121.45380999473821</c:v>
                </c:pt>
                <c:pt idx="517">
                  <c:v>16.061104928265927</c:v>
                </c:pt>
                <c:pt idx="518">
                  <c:v>38.626293670457727</c:v>
                </c:pt>
                <c:pt idx="519">
                  <c:v>3.198947345216602</c:v>
                </c:pt>
                <c:pt idx="520">
                  <c:v>99.552303274375575</c:v>
                </c:pt>
                <c:pt idx="521">
                  <c:v>6.8359248248404567</c:v>
                </c:pt>
                <c:pt idx="522">
                  <c:v>69.022930270233729</c:v>
                </c:pt>
                <c:pt idx="523">
                  <c:v>38.936011947311336</c:v>
                </c:pt>
                <c:pt idx="524">
                  <c:v>68.138020907794825</c:v>
                </c:pt>
                <c:pt idx="525">
                  <c:v>34.069010453897413</c:v>
                </c:pt>
                <c:pt idx="526">
                  <c:v>14.60100448024175</c:v>
                </c:pt>
                <c:pt idx="527">
                  <c:v>87.606026881450504</c:v>
                </c:pt>
                <c:pt idx="528">
                  <c:v>248.21707616410978</c:v>
                </c:pt>
                <c:pt idx="529">
                  <c:v>1.4601004480241748</c:v>
                </c:pt>
                <c:pt idx="530">
                  <c:v>121.67503733534791</c:v>
                </c:pt>
                <c:pt idx="531">
                  <c:v>9.7340029868278339</c:v>
                </c:pt>
                <c:pt idx="532">
                  <c:v>14.60100448024175</c:v>
                </c:pt>
                <c:pt idx="533">
                  <c:v>38.936011947311336</c:v>
                </c:pt>
                <c:pt idx="534">
                  <c:v>58.404017920967</c:v>
                </c:pt>
                <c:pt idx="535">
                  <c:v>38.936011947311336</c:v>
                </c:pt>
                <c:pt idx="536">
                  <c:v>23.866005504976972</c:v>
                </c:pt>
                <c:pt idx="537">
                  <c:v>378.13946875738816</c:v>
                </c:pt>
                <c:pt idx="538">
                  <c:v>151.00093360657286</c:v>
                </c:pt>
                <c:pt idx="539">
                  <c:v>222.78478108761595</c:v>
                </c:pt>
                <c:pt idx="540">
                  <c:v>91.428835327186519</c:v>
                </c:pt>
                <c:pt idx="541">
                  <c:v>38.281179019106553</c:v>
                </c:pt>
                <c:pt idx="542">
                  <c:v>12.862157583049322</c:v>
                </c:pt>
                <c:pt idx="543">
                  <c:v>3.4113255922019361</c:v>
                </c:pt>
                <c:pt idx="544">
                  <c:v>-1.0486175944900893</c:v>
                </c:pt>
                <c:pt idx="545">
                  <c:v>44.884606942252525</c:v>
                </c:pt>
                <c:pt idx="546">
                  <c:v>91.51312335883901</c:v>
                </c:pt>
                <c:pt idx="547">
                  <c:v>21.033461623790647</c:v>
                </c:pt>
                <c:pt idx="548">
                  <c:v>44.170269409960355</c:v>
                </c:pt>
                <c:pt idx="549">
                  <c:v>211.38628931909599</c:v>
                </c:pt>
                <c:pt idx="550">
                  <c:v>25.240153948548773</c:v>
                </c:pt>
                <c:pt idx="551">
                  <c:v>52.583654059476615</c:v>
                </c:pt>
                <c:pt idx="552">
                  <c:v>216.64465472504367</c:v>
                </c:pt>
                <c:pt idx="553">
                  <c:v>11.568403893084856</c:v>
                </c:pt>
                <c:pt idx="554">
                  <c:v>28.395173192117372</c:v>
                </c:pt>
                <c:pt idx="555">
                  <c:v>135.66582747344967</c:v>
                </c:pt>
                <c:pt idx="556">
                  <c:v>11.568403893084856</c:v>
                </c:pt>
                <c:pt idx="557">
                  <c:v>29.446846273306903</c:v>
                </c:pt>
                <c:pt idx="558">
                  <c:v>134.61415439226013</c:v>
                </c:pt>
                <c:pt idx="559">
                  <c:v>12.620076974274387</c:v>
                </c:pt>
                <c:pt idx="560">
                  <c:v>31.550192435685968</c:v>
                </c:pt>
                <c:pt idx="561">
                  <c:v>145.13088520415545</c:v>
                </c:pt>
                <c:pt idx="562">
                  <c:v>11.568403893084856</c:v>
                </c:pt>
                <c:pt idx="563">
                  <c:v>27.343500110927838</c:v>
                </c:pt>
                <c:pt idx="564">
                  <c:v>124.0974235803648</c:v>
                </c:pt>
                <c:pt idx="565">
                  <c:v>14.723423136653452</c:v>
                </c:pt>
                <c:pt idx="566">
                  <c:v>32.601865516875499</c:v>
                </c:pt>
                <c:pt idx="567">
                  <c:v>136.7175005546392</c:v>
                </c:pt>
                <c:pt idx="568">
                  <c:v>5.2583654059476617</c:v>
                </c:pt>
                <c:pt idx="569">
                  <c:v>15.775096217842984</c:v>
                </c:pt>
                <c:pt idx="570">
                  <c:v>67.307077196130066</c:v>
                </c:pt>
                <c:pt idx="571">
                  <c:v>6.3100384871371933</c:v>
                </c:pt>
                <c:pt idx="572">
                  <c:v>18.930115461411582</c:v>
                </c:pt>
                <c:pt idx="573">
                  <c:v>75.720461845646327</c:v>
                </c:pt>
                <c:pt idx="574">
                  <c:v>7.3617115683267258</c:v>
                </c:pt>
                <c:pt idx="575">
                  <c:v>19.981788542601112</c:v>
                </c:pt>
                <c:pt idx="576">
                  <c:v>80.978827251593984</c:v>
                </c:pt>
                <c:pt idx="577">
                  <c:v>2.1033461623790646</c:v>
                </c:pt>
                <c:pt idx="578">
                  <c:v>6.3100384871371933</c:v>
                </c:pt>
                <c:pt idx="579">
                  <c:v>22.085134704980177</c:v>
                </c:pt>
                <c:pt idx="580">
                  <c:v>3.1550192435685966</c:v>
                </c:pt>
                <c:pt idx="581">
                  <c:v>8.4133846495162583</c:v>
                </c:pt>
                <c:pt idx="582">
                  <c:v>34.705211679254568</c:v>
                </c:pt>
                <c:pt idx="583">
                  <c:v>0</c:v>
                </c:pt>
                <c:pt idx="584">
                  <c:v>3.1550192435685966</c:v>
                </c:pt>
                <c:pt idx="585">
                  <c:v>7.3617115683267258</c:v>
                </c:pt>
                <c:pt idx="586">
                  <c:v>1.0516730811895323</c:v>
                </c:pt>
                <c:pt idx="587">
                  <c:v>6.3100384871371933</c:v>
                </c:pt>
                <c:pt idx="588">
                  <c:v>13.671750055463919</c:v>
                </c:pt>
                <c:pt idx="589">
                  <c:v>1.0516730811895323</c:v>
                </c:pt>
                <c:pt idx="590">
                  <c:v>6.3100384871371933</c:v>
                </c:pt>
                <c:pt idx="591">
                  <c:v>13.671750055463919</c:v>
                </c:pt>
                <c:pt idx="592">
                  <c:v>279.74503959641561</c:v>
                </c:pt>
                <c:pt idx="593">
                  <c:v>128.30411590512293</c:v>
                </c:pt>
                <c:pt idx="594">
                  <c:v>65.203731033750998</c:v>
                </c:pt>
                <c:pt idx="595">
                  <c:v>36.808557841633629</c:v>
                </c:pt>
                <c:pt idx="596">
                  <c:v>22.085134704980177</c:v>
                </c:pt>
                <c:pt idx="597">
                  <c:v>5.2583654059476617</c:v>
                </c:pt>
                <c:pt idx="598">
                  <c:v>57.842019465424279</c:v>
                </c:pt>
                <c:pt idx="599">
                  <c:v>184.04278920816816</c:v>
                </c:pt>
                <c:pt idx="600">
                  <c:v>14.723423136653452</c:v>
                </c:pt>
                <c:pt idx="601">
                  <c:v>6.3100384871371933</c:v>
                </c:pt>
                <c:pt idx="602">
                  <c:v>-1.4723423136653451</c:v>
                </c:pt>
                <c:pt idx="603">
                  <c:v>152.49259677248219</c:v>
                </c:pt>
                <c:pt idx="604">
                  <c:v>73.617115683267258</c:v>
                </c:pt>
                <c:pt idx="605">
                  <c:v>1.0516730811895323</c:v>
                </c:pt>
                <c:pt idx="606">
                  <c:v>43.399706823466232</c:v>
                </c:pt>
                <c:pt idx="607">
                  <c:v>43.896887235763693</c:v>
                </c:pt>
                <c:pt idx="608">
                  <c:v>38.324323447929608</c:v>
                </c:pt>
                <c:pt idx="609">
                  <c:v>40.395908499169046</c:v>
                </c:pt>
                <c:pt idx="610">
                  <c:v>37.288530922309889</c:v>
                </c:pt>
                <c:pt idx="611">
                  <c:v>50.75383375536623</c:v>
                </c:pt>
                <c:pt idx="612">
                  <c:v>26.930605666112697</c:v>
                </c:pt>
                <c:pt idx="613">
                  <c:v>50.75383375536623</c:v>
                </c:pt>
                <c:pt idx="614">
                  <c:v>31.07377576859157</c:v>
                </c:pt>
                <c:pt idx="615">
                  <c:v>40.395908499169046</c:v>
                </c:pt>
                <c:pt idx="616">
                  <c:v>43.503286076028203</c:v>
                </c:pt>
                <c:pt idx="617">
                  <c:v>65.254929114042298</c:v>
                </c:pt>
                <c:pt idx="618">
                  <c:v>36.25273839669017</c:v>
                </c:pt>
                <c:pt idx="619">
                  <c:v>34.181153345450724</c:v>
                </c:pt>
                <c:pt idx="620">
                  <c:v>48.682248704126799</c:v>
                </c:pt>
                <c:pt idx="621">
                  <c:v>23.823228089253536</c:v>
                </c:pt>
                <c:pt idx="622">
                  <c:v>45.574871127267635</c:v>
                </c:pt>
                <c:pt idx="623">
                  <c:v>43.503286076028203</c:v>
                </c:pt>
                <c:pt idx="624">
                  <c:v>49.718041229746518</c:v>
                </c:pt>
                <c:pt idx="625">
                  <c:v>38.324323447929608</c:v>
                </c:pt>
                <c:pt idx="626">
                  <c:v>46.610663652887361</c:v>
                </c:pt>
                <c:pt idx="627">
                  <c:v>50.75383375536623</c:v>
                </c:pt>
                <c:pt idx="628">
                  <c:v>44.539078601647923</c:v>
                </c:pt>
                <c:pt idx="629">
                  <c:v>72.505476793380339</c:v>
                </c:pt>
                <c:pt idx="630">
                  <c:v>46.610663652887361</c:v>
                </c:pt>
                <c:pt idx="631">
                  <c:v>88.042364677676119</c:v>
                </c:pt>
                <c:pt idx="632">
                  <c:v>35.21694587107045</c:v>
                </c:pt>
                <c:pt idx="633">
                  <c:v>49.718041229746518</c:v>
                </c:pt>
                <c:pt idx="634">
                  <c:v>63.183344062802867</c:v>
                </c:pt>
                <c:pt idx="635">
                  <c:v>101.50766751073246</c:v>
                </c:pt>
                <c:pt idx="636">
                  <c:v>49.718041229746518</c:v>
                </c:pt>
                <c:pt idx="637">
                  <c:v>45.574871127267635</c:v>
                </c:pt>
                <c:pt idx="638">
                  <c:v>78.720231947098654</c:v>
                </c:pt>
                <c:pt idx="639">
                  <c:v>48.682248704126799</c:v>
                </c:pt>
                <c:pt idx="640">
                  <c:v>84.934987100816954</c:v>
                </c:pt>
                <c:pt idx="641">
                  <c:v>78.720231947098654</c:v>
                </c:pt>
                <c:pt idx="642">
                  <c:v>93.221327305774722</c:v>
                </c:pt>
                <c:pt idx="643">
                  <c:v>87.006572152056407</c:v>
                </c:pt>
                <c:pt idx="644">
                  <c:v>53.861211332225395</c:v>
                </c:pt>
                <c:pt idx="645">
                  <c:v>60.075966485943709</c:v>
                </c:pt>
                <c:pt idx="646">
                  <c:v>49.718041229746518</c:v>
                </c:pt>
                <c:pt idx="647">
                  <c:v>92.185534780154995</c:v>
                </c:pt>
                <c:pt idx="648">
                  <c:v>67.32651416528175</c:v>
                </c:pt>
                <c:pt idx="649">
                  <c:v>134.6530283305635</c:v>
                </c:pt>
                <c:pt idx="650">
                  <c:v>37.288530922309889</c:v>
                </c:pt>
                <c:pt idx="651">
                  <c:v>56.968588909084552</c:v>
                </c:pt>
                <c:pt idx="652">
                  <c:v>93.221327305774722</c:v>
                </c:pt>
                <c:pt idx="653">
                  <c:v>143.97516106114097</c:v>
                </c:pt>
                <c:pt idx="654">
                  <c:v>59.040173960323983</c:v>
                </c:pt>
                <c:pt idx="655">
                  <c:v>53.861211332225395</c:v>
                </c:pt>
                <c:pt idx="656">
                  <c:v>107.72242266445079</c:v>
                </c:pt>
                <c:pt idx="657">
                  <c:v>75.612854370239489</c:v>
                </c:pt>
                <c:pt idx="658">
                  <c:v>152.26150126609872</c:v>
                </c:pt>
                <c:pt idx="659">
                  <c:v>134.6530283305635</c:v>
                </c:pt>
                <c:pt idx="660">
                  <c:v>156.4046713685776</c:v>
                </c:pt>
                <c:pt idx="661">
                  <c:v>160.54784147105644</c:v>
                </c:pt>
                <c:pt idx="662">
                  <c:v>75.612854370239489</c:v>
                </c:pt>
                <c:pt idx="663">
                  <c:v>89.078157203295845</c:v>
                </c:pt>
                <c:pt idx="664">
                  <c:v>65.254929114042298</c:v>
                </c:pt>
                <c:pt idx="665">
                  <c:v>178.15631440659169</c:v>
                </c:pt>
                <c:pt idx="666">
                  <c:v>178.15631440659169</c:v>
                </c:pt>
                <c:pt idx="667">
                  <c:v>408.10225509416932</c:v>
                </c:pt>
                <c:pt idx="668">
                  <c:v>44.539078601647923</c:v>
                </c:pt>
                <c:pt idx="669">
                  <c:v>79.756024472718366</c:v>
                </c:pt>
                <c:pt idx="670">
                  <c:v>397.74432983797215</c:v>
                </c:pt>
                <c:pt idx="671">
                  <c:v>435.03286076028201</c:v>
                </c:pt>
                <c:pt idx="672">
                  <c:v>87.006572152056407</c:v>
                </c:pt>
                <c:pt idx="673">
                  <c:v>75.612854370239489</c:v>
                </c:pt>
                <c:pt idx="674">
                  <c:v>226.83856311071847</c:v>
                </c:pt>
                <c:pt idx="675">
                  <c:v>226.83856311071847</c:v>
                </c:pt>
                <c:pt idx="676">
                  <c:v>1044.0788658246768</c:v>
                </c:pt>
                <c:pt idx="677">
                  <c:v>743.69903339495829</c:v>
                </c:pt>
                <c:pt idx="678">
                  <c:v>748.87799602305688</c:v>
                </c:pt>
                <c:pt idx="679">
                  <c:v>804.81079240652173</c:v>
                </c:pt>
                <c:pt idx="680">
                  <c:v>35.21694587107045</c:v>
                </c:pt>
                <c:pt idx="681">
                  <c:v>36.25273839669017</c:v>
                </c:pt>
                <c:pt idx="682">
                  <c:v>34.181153345450724</c:v>
                </c:pt>
                <c:pt idx="683">
                  <c:v>53.861211332225395</c:v>
                </c:pt>
                <c:pt idx="684">
                  <c:v>24.859020614873259</c:v>
                </c:pt>
                <c:pt idx="685">
                  <c:v>66.290721639662024</c:v>
                </c:pt>
                <c:pt idx="686">
                  <c:v>27.966398191732413</c:v>
                </c:pt>
                <c:pt idx="687">
                  <c:v>36.25273839669017</c:v>
                </c:pt>
                <c:pt idx="688">
                  <c:v>43.503286076028203</c:v>
                </c:pt>
                <c:pt idx="689">
                  <c:v>51.789626280985956</c:v>
                </c:pt>
                <c:pt idx="690">
                  <c:v>33.145360819831012</c:v>
                </c:pt>
                <c:pt idx="691">
                  <c:v>30.037983242971855</c:v>
                </c:pt>
                <c:pt idx="692">
                  <c:v>45.574871127267635</c:v>
                </c:pt>
                <c:pt idx="693">
                  <c:v>20.715850512394383</c:v>
                </c:pt>
                <c:pt idx="694">
                  <c:v>40.395908499169046</c:v>
                </c:pt>
                <c:pt idx="695">
                  <c:v>37.288530922309889</c:v>
                </c:pt>
                <c:pt idx="696">
                  <c:v>44.539078601647923</c:v>
                </c:pt>
                <c:pt idx="697">
                  <c:v>32.109568294211293</c:v>
                </c:pt>
                <c:pt idx="698">
                  <c:v>42.467493550408477</c:v>
                </c:pt>
                <c:pt idx="699">
                  <c:v>43.503286076028203</c:v>
                </c:pt>
                <c:pt idx="700">
                  <c:v>39.360115973549327</c:v>
                </c:pt>
                <c:pt idx="701">
                  <c:v>74.577061844619777</c:v>
                </c:pt>
                <c:pt idx="702">
                  <c:v>41.431701024788765</c:v>
                </c:pt>
                <c:pt idx="703">
                  <c:v>110.82980024130995</c:v>
                </c:pt>
                <c:pt idx="704">
                  <c:v>31.07377576859157</c:v>
                </c:pt>
                <c:pt idx="705">
                  <c:v>43.503286076028203</c:v>
                </c:pt>
                <c:pt idx="706">
                  <c:v>55.932796383464826</c:v>
                </c:pt>
                <c:pt idx="707">
                  <c:v>65.254929114042298</c:v>
                </c:pt>
                <c:pt idx="708">
                  <c:v>43.503286076028203</c:v>
                </c:pt>
                <c:pt idx="709">
                  <c:v>39.360115973549327</c:v>
                </c:pt>
                <c:pt idx="710">
                  <c:v>70.433891742140901</c:v>
                </c:pt>
                <c:pt idx="711">
                  <c:v>42.467493550408477</c:v>
                </c:pt>
                <c:pt idx="712">
                  <c:v>63.183344062802867</c:v>
                </c:pt>
                <c:pt idx="713">
                  <c:v>56.968588909084552</c:v>
                </c:pt>
                <c:pt idx="714">
                  <c:v>71.469684267760613</c:v>
                </c:pt>
                <c:pt idx="715">
                  <c:v>64.219136588422586</c:v>
                </c:pt>
                <c:pt idx="716">
                  <c:v>47.646456178507073</c:v>
                </c:pt>
                <c:pt idx="717">
                  <c:v>48.682248704126799</c:v>
                </c:pt>
                <c:pt idx="718">
                  <c:v>43.503286076028203</c:v>
                </c:pt>
                <c:pt idx="719">
                  <c:v>92.185534780154995</c:v>
                </c:pt>
                <c:pt idx="720">
                  <c:v>60.075966485943709</c:v>
                </c:pt>
                <c:pt idx="721">
                  <c:v>155.36887884295788</c:v>
                </c:pt>
                <c:pt idx="722">
                  <c:v>33.145360819831012</c:v>
                </c:pt>
                <c:pt idx="723">
                  <c:v>48.682248704126799</c:v>
                </c:pt>
                <c:pt idx="724">
                  <c:v>66.290721639662024</c:v>
                </c:pt>
                <c:pt idx="725">
                  <c:v>75.612854370239489</c:v>
                </c:pt>
                <c:pt idx="726">
                  <c:v>50.75383375536623</c:v>
                </c:pt>
                <c:pt idx="727">
                  <c:v>46.610663652887361</c:v>
                </c:pt>
                <c:pt idx="728">
                  <c:v>92.185534780154995</c:v>
                </c:pt>
                <c:pt idx="729">
                  <c:v>63.183344062802867</c:v>
                </c:pt>
                <c:pt idx="730">
                  <c:v>93.221327305774722</c:v>
                </c:pt>
                <c:pt idx="731">
                  <c:v>87.006572152056407</c:v>
                </c:pt>
                <c:pt idx="732">
                  <c:v>107.72242266445079</c:v>
                </c:pt>
                <c:pt idx="733">
                  <c:v>107.72242266445079</c:v>
                </c:pt>
                <c:pt idx="734">
                  <c:v>62.147551537183141</c:v>
                </c:pt>
                <c:pt idx="735">
                  <c:v>64.219136588422586</c:v>
                </c:pt>
                <c:pt idx="736">
                  <c:v>54.897003857845114</c:v>
                </c:pt>
                <c:pt idx="737">
                  <c:v>148.11833116361981</c:v>
                </c:pt>
                <c:pt idx="738">
                  <c:v>148.11833116361981</c:v>
                </c:pt>
                <c:pt idx="739">
                  <c:v>327.31043809583122</c:v>
                </c:pt>
                <c:pt idx="740">
                  <c:v>38.324323447929608</c:v>
                </c:pt>
                <c:pt idx="741">
                  <c:v>65.254929114042298</c:v>
                </c:pt>
                <c:pt idx="742">
                  <c:v>100.47187498511275</c:v>
                </c:pt>
                <c:pt idx="743">
                  <c:v>108.7582151900705</c:v>
                </c:pt>
                <c:pt idx="744">
                  <c:v>70.433891742140901</c:v>
                </c:pt>
                <c:pt idx="745">
                  <c:v>62.147551537183141</c:v>
                </c:pt>
                <c:pt idx="746">
                  <c:v>168.8341816760142</c:v>
                </c:pt>
                <c:pt idx="747">
                  <c:v>168.8341816760142</c:v>
                </c:pt>
                <c:pt idx="748">
                  <c:v>449.53395611895809</c:v>
                </c:pt>
                <c:pt idx="749">
                  <c:v>713.6610501519865</c:v>
                </c:pt>
                <c:pt idx="750">
                  <c:v>524.11101796357786</c:v>
                </c:pt>
                <c:pt idx="751">
                  <c:v>575.90064424456386</c:v>
                </c:pt>
                <c:pt idx="752">
                  <c:v>423.89276597568244</c:v>
                </c:pt>
                <c:pt idx="753">
                  <c:v>544.41129747857258</c:v>
                </c:pt>
                <c:pt idx="754">
                  <c:v>606.7484689455847</c:v>
                </c:pt>
                <c:pt idx="755">
                  <c:v>781.29254905321864</c:v>
                </c:pt>
                <c:pt idx="756">
                  <c:v>315.8416687661948</c:v>
                </c:pt>
                <c:pt idx="757">
                  <c:v>411.42533168228005</c:v>
                </c:pt>
                <c:pt idx="758">
                  <c:v>390.64627452660932</c:v>
                </c:pt>
                <c:pt idx="759">
                  <c:v>473.76250314929217</c:v>
                </c:pt>
                <c:pt idx="760">
                  <c:v>561.03454320310914</c:v>
                </c:pt>
                <c:pt idx="761">
                  <c:v>610.90428037671882</c:v>
                </c:pt>
                <c:pt idx="762">
                  <c:v>905.96689198724289</c:v>
                </c:pt>
                <c:pt idx="763">
                  <c:v>438.04729817374971</c:v>
                </c:pt>
                <c:pt idx="764">
                  <c:v>564.9581976446492</c:v>
                </c:pt>
                <c:pt idx="765">
                  <c:v>433.95339819081755</c:v>
                </c:pt>
                <c:pt idx="766">
                  <c:v>418.57508534564306</c:v>
                </c:pt>
                <c:pt idx="767">
                  <c:v>170.53059032600274</c:v>
                </c:pt>
                <c:pt idx="768">
                  <c:v>180.58467908902691</c:v>
                </c:pt>
                <c:pt idx="769">
                  <c:v>67.719254658385097</c:v>
                </c:pt>
                <c:pt idx="770">
                  <c:v>69.596299709848097</c:v>
                </c:pt>
                <c:pt idx="771">
                  <c:v>298.85469875405357</c:v>
                </c:pt>
                <c:pt idx="772">
                  <c:v>229.25839904420548</c:v>
                </c:pt>
                <c:pt idx="773">
                  <c:v>290.66689878818909</c:v>
                </c:pt>
                <c:pt idx="774">
                  <c:v>433.95339819081755</c:v>
                </c:pt>
                <c:pt idx="775">
                  <c:v>496.48724688996595</c:v>
                </c:pt>
                <c:pt idx="776">
                  <c:v>193.19783655447154</c:v>
                </c:pt>
                <c:pt idx="777">
                  <c:v>82.389486189873224</c:v>
                </c:pt>
                <c:pt idx="778">
                  <c:v>136.93087474379445</c:v>
                </c:pt>
                <c:pt idx="779">
                  <c:v>59.890665649864339</c:v>
                </c:pt>
                <c:pt idx="780">
                  <c:v>26.89239552451799</c:v>
                </c:pt>
                <c:pt idx="781">
                  <c:v>13.300187717456575</c:v>
                </c:pt>
                <c:pt idx="782">
                  <c:v>5.1368988489577792</c:v>
                </c:pt>
                <c:pt idx="783">
                  <c:v>0.942428470997422</c:v>
                </c:pt>
                <c:pt idx="784">
                  <c:v>68.226511844038725</c:v>
                </c:pt>
                <c:pt idx="785">
                  <c:v>436.60985488053808</c:v>
                </c:pt>
                <c:pt idx="786">
                  <c:v>11.707629727900636</c:v>
                </c:pt>
                <c:pt idx="787">
                  <c:v>37.074160805018685</c:v>
                </c:pt>
                <c:pt idx="788">
                  <c:v>56.586877018186414</c:v>
                </c:pt>
                <c:pt idx="789">
                  <c:v>38.56134631028285</c:v>
                </c:pt>
                <c:pt idx="790">
                  <c:v>123.39630819290511</c:v>
                </c:pt>
                <c:pt idx="791">
                  <c:v>258.36102027889507</c:v>
                </c:pt>
                <c:pt idx="792">
                  <c:v>73.706513674350319</c:v>
                </c:pt>
                <c:pt idx="793">
                  <c:v>68.441762697611011</c:v>
                </c:pt>
                <c:pt idx="794">
                  <c:v>68.441762697611011</c:v>
                </c:pt>
                <c:pt idx="795">
                  <c:v>73.706513674350319</c:v>
                </c:pt>
                <c:pt idx="796">
                  <c:v>73.706513674350319</c:v>
                </c:pt>
                <c:pt idx="797">
                  <c:v>31.588505860435856</c:v>
                </c:pt>
                <c:pt idx="798">
                  <c:v>42.118007813914467</c:v>
                </c:pt>
                <c:pt idx="799">
                  <c:v>47.382758790653781</c:v>
                </c:pt>
                <c:pt idx="800">
                  <c:v>25</c:v>
                </c:pt>
                <c:pt idx="801">
                  <c:v>95</c:v>
                </c:pt>
                <c:pt idx="802">
                  <c:v>29.3</c:v>
                </c:pt>
                <c:pt idx="803">
                  <c:v>215.9</c:v>
                </c:pt>
                <c:pt idx="804">
                  <c:v>27.6</c:v>
                </c:pt>
                <c:pt idx="805">
                  <c:v>27.7</c:v>
                </c:pt>
                <c:pt idx="806">
                  <c:v>27.8</c:v>
                </c:pt>
                <c:pt idx="807">
                  <c:v>27.9</c:v>
                </c:pt>
                <c:pt idx="808">
                  <c:v>27.9</c:v>
                </c:pt>
                <c:pt idx="809">
                  <c:v>198.6</c:v>
                </c:pt>
                <c:pt idx="810">
                  <c:v>184.8</c:v>
                </c:pt>
                <c:pt idx="811">
                  <c:v>209.2</c:v>
                </c:pt>
                <c:pt idx="812">
                  <c:v>213.4</c:v>
                </c:pt>
                <c:pt idx="813">
                  <c:v>215.5</c:v>
                </c:pt>
                <c:pt idx="814">
                  <c:v>25</c:v>
                </c:pt>
                <c:pt idx="815">
                  <c:v>95</c:v>
                </c:pt>
                <c:pt idx="816">
                  <c:v>29.3</c:v>
                </c:pt>
                <c:pt idx="817">
                  <c:v>215.9</c:v>
                </c:pt>
                <c:pt idx="818">
                  <c:v>27.6</c:v>
                </c:pt>
                <c:pt idx="819">
                  <c:v>28.1</c:v>
                </c:pt>
                <c:pt idx="820">
                  <c:v>27.4</c:v>
                </c:pt>
                <c:pt idx="821">
                  <c:v>27.4</c:v>
                </c:pt>
                <c:pt idx="822">
                  <c:v>27.4</c:v>
                </c:pt>
                <c:pt idx="823">
                  <c:v>198.6</c:v>
                </c:pt>
                <c:pt idx="824">
                  <c:v>191.9</c:v>
                </c:pt>
                <c:pt idx="825">
                  <c:v>200.4</c:v>
                </c:pt>
                <c:pt idx="826">
                  <c:v>202.8</c:v>
                </c:pt>
                <c:pt idx="827">
                  <c:v>204.3</c:v>
                </c:pt>
                <c:pt idx="828">
                  <c:v>40.938999829322405</c:v>
                </c:pt>
                <c:pt idx="829">
                  <c:v>105213.22956135857</c:v>
                </c:pt>
                <c:pt idx="830">
                  <c:v>18.422549923195081</c:v>
                </c:pt>
                <c:pt idx="831">
                  <c:v>6918.6909711554872</c:v>
                </c:pt>
                <c:pt idx="832">
                  <c:v>180.13159924901859</c:v>
                </c:pt>
                <c:pt idx="833">
                  <c:v>423.89276597568244</c:v>
                </c:pt>
                <c:pt idx="834">
                  <c:v>369.86721737093859</c:v>
                </c:pt>
                <c:pt idx="835">
                  <c:v>619.21590323898704</c:v>
                </c:pt>
                <c:pt idx="836">
                  <c:v>669.08564041259683</c:v>
                </c:pt>
                <c:pt idx="837">
                  <c:v>947.52500629858434</c:v>
                </c:pt>
                <c:pt idx="838">
                  <c:v>131.1085774549617</c:v>
                </c:pt>
                <c:pt idx="839">
                  <c:v>196.66286618244254</c:v>
                </c:pt>
                <c:pt idx="840">
                  <c:v>424.17480941311135</c:v>
                </c:pt>
                <c:pt idx="841">
                  <c:v>616.98154096452561</c:v>
                </c:pt>
                <c:pt idx="842">
                  <c:v>964.03365775707118</c:v>
                </c:pt>
                <c:pt idx="843">
                  <c:v>1233.9630819290512</c:v>
                </c:pt>
                <c:pt idx="844">
                  <c:v>96.40336577570713</c:v>
                </c:pt>
                <c:pt idx="845">
                  <c:v>131.1085774549617</c:v>
                </c:pt>
                <c:pt idx="846">
                  <c:v>254.50488564786681</c:v>
                </c:pt>
                <c:pt idx="847">
                  <c:v>370.18892457871539</c:v>
                </c:pt>
                <c:pt idx="848">
                  <c:v>616.98154096452561</c:v>
                </c:pt>
                <c:pt idx="849">
                  <c:v>886.91096513650564</c:v>
                </c:pt>
                <c:pt idx="850">
                  <c:v>61.698154096452555</c:v>
                </c:pt>
                <c:pt idx="851">
                  <c:v>80.978827251593984</c:v>
                </c:pt>
                <c:pt idx="852">
                  <c:v>158.10151987215968</c:v>
                </c:pt>
                <c:pt idx="853">
                  <c:v>273.7855588030082</c:v>
                </c:pt>
                <c:pt idx="854">
                  <c:v>771.22692620565704</c:v>
                </c:pt>
                <c:pt idx="855">
                  <c:v>2352.2421249272538</c:v>
                </c:pt>
                <c:pt idx="856">
                  <c:v>462.73615572339423</c:v>
                </c:pt>
                <c:pt idx="857">
                  <c:v>1041.156350377637</c:v>
                </c:pt>
                <c:pt idx="858">
                  <c:v>2969.2236658917795</c:v>
                </c:pt>
                <c:pt idx="859">
                  <c:v>5012.9750203367712</c:v>
                </c:pt>
                <c:pt idx="860">
                  <c:v>9640.3365775707116</c:v>
                </c:pt>
                <c:pt idx="861">
                  <c:v>14653.311597907485</c:v>
                </c:pt>
                <c:pt idx="862">
                  <c:v>111.82790429982026</c:v>
                </c:pt>
                <c:pt idx="863">
                  <c:v>131.1085774549617</c:v>
                </c:pt>
                <c:pt idx="864">
                  <c:v>289.21009732712139</c:v>
                </c:pt>
                <c:pt idx="865">
                  <c:v>578.42019465424278</c:v>
                </c:pt>
                <c:pt idx="866">
                  <c:v>4241.7480941311142</c:v>
                </c:pt>
                <c:pt idx="867">
                  <c:v>14653.311597907485</c:v>
                </c:pt>
                <c:pt idx="868">
                  <c:v>38.435716501599366</c:v>
                </c:pt>
                <c:pt idx="869">
                  <c:v>45.586547478641116</c:v>
                </c:pt>
                <c:pt idx="870">
                  <c:v>31.284885524557627</c:v>
                </c:pt>
                <c:pt idx="871">
                  <c:v>30.391031652427408</c:v>
                </c:pt>
                <c:pt idx="872">
                  <c:v>75.977579131068524</c:v>
                </c:pt>
                <c:pt idx="873">
                  <c:v>63.463624921245469</c:v>
                </c:pt>
                <c:pt idx="874">
                  <c:v>50.055816839292206</c:v>
                </c:pt>
                <c:pt idx="875">
                  <c:v>39.306877245803065</c:v>
                </c:pt>
                <c:pt idx="876">
                  <c:v>38.452379914372564</c:v>
                </c:pt>
                <c:pt idx="877">
                  <c:v>37.597882582942063</c:v>
                </c:pt>
                <c:pt idx="878">
                  <c:v>41.015871908664067</c:v>
                </c:pt>
                <c:pt idx="879">
                  <c:v>43.579363902955571</c:v>
                </c:pt>
                <c:pt idx="880">
                  <c:v>40.161374577233559</c:v>
                </c:pt>
                <c:pt idx="881">
                  <c:v>41.870369240094568</c:v>
                </c:pt>
                <c:pt idx="882">
                  <c:v>107.66666376024318</c:v>
                </c:pt>
                <c:pt idx="883">
                  <c:v>105.95766909738217</c:v>
                </c:pt>
                <c:pt idx="884">
                  <c:v>105.10317176595167</c:v>
                </c:pt>
                <c:pt idx="885">
                  <c:v>111.93915041739568</c:v>
                </c:pt>
                <c:pt idx="886">
                  <c:v>117.92063173740918</c:v>
                </c:pt>
                <c:pt idx="887">
                  <c:v>111.08465308596517</c:v>
                </c:pt>
                <c:pt idx="888">
                  <c:v>115.35713974311768</c:v>
                </c:pt>
                <c:pt idx="889">
                  <c:v>951.57012732881287</c:v>
                </c:pt>
                <c:pt idx="890">
                  <c:v>815.63153771041107</c:v>
                </c:pt>
                <c:pt idx="891">
                  <c:v>654.6516289517773</c:v>
                </c:pt>
                <c:pt idx="892">
                  <c:v>500.8263828046384</c:v>
                </c:pt>
                <c:pt idx="893">
                  <c:v>329.11448012876235</c:v>
                </c:pt>
                <c:pt idx="894">
                  <c:v>160.97990875863374</c:v>
                </c:pt>
                <c:pt idx="895">
                  <c:v>3.5773313057474168</c:v>
                </c:pt>
                <c:pt idx="896">
                  <c:v>45.989188137515526</c:v>
                </c:pt>
                <c:pt idx="897">
                  <c:v>78.720231947098654</c:v>
                </c:pt>
                <c:pt idx="898">
                  <c:v>94.257119831394448</c:v>
                </c:pt>
                <c:pt idx="899">
                  <c:v>203.01533502146492</c:v>
                </c:pt>
                <c:pt idx="900">
                  <c:v>184.37106956030999</c:v>
                </c:pt>
                <c:pt idx="901">
                  <c:v>122.22351802312686</c:v>
                </c:pt>
                <c:pt idx="902">
                  <c:v>137.76040590742264</c:v>
                </c:pt>
                <c:pt idx="903">
                  <c:v>280.69977444294386</c:v>
                </c:pt>
                <c:pt idx="904">
                  <c:v>241.33965846939458</c:v>
                </c:pt>
                <c:pt idx="905">
                  <c:v>72.505476793380339</c:v>
                </c:pt>
                <c:pt idx="906">
                  <c:v>104.61504508759162</c:v>
                </c:pt>
                <c:pt idx="907">
                  <c:v>237.19648836691567</c:v>
                </c:pt>
                <c:pt idx="908">
                  <c:v>113.9371778181691</c:v>
                </c:pt>
                <c:pt idx="909">
                  <c:v>152.26150126609872</c:v>
                </c:pt>
                <c:pt idx="910">
                  <c:v>340.77574092888756</c:v>
                </c:pt>
                <c:pt idx="911">
                  <c:v>228.68178698383454</c:v>
                </c:pt>
                <c:pt idx="912">
                  <c:v>34.233730174051182</c:v>
                </c:pt>
                <c:pt idx="913">
                  <c:v>150.6084799744622</c:v>
                </c:pt>
                <c:pt idx="914">
                  <c:v>244.53502662130509</c:v>
                </c:pt>
                <c:pt idx="915">
                  <c:v>75.041521571032916</c:v>
                </c:pt>
                <c:pt idx="916">
                  <c:v>129.75592556453651</c:v>
                </c:pt>
                <c:pt idx="917">
                  <c:v>61.959524120007401</c:v>
                </c:pt>
                <c:pt idx="918">
                  <c:v>150.6084799744622</c:v>
                </c:pt>
                <c:pt idx="919">
                  <c:v>141.45870312014787</c:v>
                </c:pt>
                <c:pt idx="920">
                  <c:v>870.11502524478351</c:v>
                </c:pt>
                <c:pt idx="921">
                  <c:v>318.12803377695985</c:v>
                </c:pt>
                <c:pt idx="922">
                  <c:v>386.04422462707691</c:v>
                </c:pt>
                <c:pt idx="923">
                  <c:v>244.53497483167882</c:v>
                </c:pt>
                <c:pt idx="924">
                  <c:v>2459.5090321420098</c:v>
                </c:pt>
                <c:pt idx="925">
                  <c:v>34.625690288713912</c:v>
                </c:pt>
                <c:pt idx="926">
                  <c:v>62.955800524934382</c:v>
                </c:pt>
                <c:pt idx="927">
                  <c:v>27.280846894138232</c:v>
                </c:pt>
                <c:pt idx="928">
                  <c:v>13.115791776027995</c:v>
                </c:pt>
                <c:pt idx="929">
                  <c:v>57.709483814523189</c:v>
                </c:pt>
                <c:pt idx="930">
                  <c:v>146.89686789151358</c:v>
                </c:pt>
                <c:pt idx="931">
                  <c:v>1.5738950131233593</c:v>
                </c:pt>
                <c:pt idx="932">
                  <c:v>73.44843394575679</c:v>
                </c:pt>
                <c:pt idx="933">
                  <c:v>10.492633420822397</c:v>
                </c:pt>
                <c:pt idx="934">
                  <c:v>14.165055118110237</c:v>
                </c:pt>
                <c:pt idx="935">
                  <c:v>29.379373578302712</c:v>
                </c:pt>
                <c:pt idx="936">
                  <c:v>34.101058617672791</c:v>
                </c:pt>
                <c:pt idx="937">
                  <c:v>75</c:v>
                </c:pt>
                <c:pt idx="938">
                  <c:v>37.5</c:v>
                </c:pt>
                <c:pt idx="939">
                  <c:v>200</c:v>
                </c:pt>
                <c:pt idx="940">
                  <c:v>1500</c:v>
                </c:pt>
                <c:pt idx="941">
                  <c:v>293</c:v>
                </c:pt>
                <c:pt idx="942">
                  <c:v>52</c:v>
                </c:pt>
                <c:pt idx="943">
                  <c:v>47.029411764705884</c:v>
                </c:pt>
                <c:pt idx="944">
                  <c:v>263.00787401574803</c:v>
                </c:pt>
                <c:pt idx="945">
                  <c:v>82.133333333333326</c:v>
                </c:pt>
                <c:pt idx="946">
                  <c:v>208.63333333333333</c:v>
                </c:pt>
                <c:pt idx="947">
                  <c:v>80.666666666666671</c:v>
                </c:pt>
                <c:pt idx="948">
                  <c:v>187</c:v>
                </c:pt>
                <c:pt idx="949">
                  <c:v>201.66666666666666</c:v>
                </c:pt>
                <c:pt idx="950">
                  <c:v>260.33333333333331</c:v>
                </c:pt>
                <c:pt idx="951">
                  <c:v>99</c:v>
                </c:pt>
                <c:pt idx="952">
                  <c:v>62.333333333333336</c:v>
                </c:pt>
                <c:pt idx="953">
                  <c:v>97.166666666666671</c:v>
                </c:pt>
                <c:pt idx="954">
                  <c:v>110</c:v>
                </c:pt>
                <c:pt idx="955">
                  <c:v>146.66666666666666</c:v>
                </c:pt>
                <c:pt idx="956">
                  <c:v>70.641050247264843</c:v>
                </c:pt>
                <c:pt idx="957">
                  <c:v>67.222934912719751</c:v>
                </c:pt>
                <c:pt idx="958">
                  <c:v>180.78032213816164</c:v>
                </c:pt>
                <c:pt idx="959">
                  <c:v>94.947648181807594</c:v>
                </c:pt>
                <c:pt idx="960">
                  <c:v>341.05195226905278</c:v>
                </c:pt>
                <c:pt idx="961">
                  <c:v>78.616652694536668</c:v>
                </c:pt>
                <c:pt idx="962">
                  <c:v>24.306597934542744</c:v>
                </c:pt>
                <c:pt idx="963">
                  <c:v>39.49822164363195</c:v>
                </c:pt>
                <c:pt idx="964">
                  <c:v>56.209007723630094</c:v>
                </c:pt>
                <c:pt idx="965">
                  <c:v>46.714242905449332</c:v>
                </c:pt>
                <c:pt idx="966">
                  <c:v>70.261259654537611</c:v>
                </c:pt>
                <c:pt idx="967">
                  <c:v>70.641050247264843</c:v>
                </c:pt>
                <c:pt idx="968">
                  <c:v>63.804819578174694</c:v>
                </c:pt>
                <c:pt idx="969">
                  <c:v>97.98597292362544</c:v>
                </c:pt>
                <c:pt idx="970">
                  <c:v>79.756024472718366</c:v>
                </c:pt>
                <c:pt idx="971">
                  <c:v>118.11487433816865</c:v>
                </c:pt>
                <c:pt idx="972">
                  <c:v>189.89529636361519</c:v>
                </c:pt>
                <c:pt idx="973">
                  <c:v>152.67581827634658</c:v>
                </c:pt>
                <c:pt idx="974">
                  <c:v>175.46325383998041</c:v>
                </c:pt>
                <c:pt idx="975">
                  <c:v>275.34817972724198</c:v>
                </c:pt>
                <c:pt idx="976">
                  <c:v>220.27854378179356</c:v>
                </c:pt>
                <c:pt idx="977">
                  <c:v>474.73824090903793</c:v>
                </c:pt>
                <c:pt idx="978">
                  <c:v>205.08692007270437</c:v>
                </c:pt>
                <c:pt idx="979">
                  <c:v>91.149742254535269</c:v>
                </c:pt>
                <c:pt idx="980">
                  <c:v>72.160212618173773</c:v>
                </c:pt>
                <c:pt idx="981">
                  <c:v>5677.8693612720936</c:v>
                </c:pt>
                <c:pt idx="982">
                  <c:v>3972.6095999268291</c:v>
                </c:pt>
                <c:pt idx="983">
                  <c:v>748.18746767264383</c:v>
                </c:pt>
                <c:pt idx="984">
                  <c:v>125.33089559998602</c:v>
                </c:pt>
                <c:pt idx="985">
                  <c:v>39.049378215863406</c:v>
                </c:pt>
                <c:pt idx="986">
                  <c:v>8.9492474213543733</c:v>
                </c:pt>
                <c:pt idx="987">
                  <c:v>23.253542200162691</c:v>
                </c:pt>
                <c:pt idx="988">
                  <c:v>36.604907855400874</c:v>
                </c:pt>
                <c:pt idx="989">
                  <c:v>48.071131114011159</c:v>
                </c:pt>
                <c:pt idx="990">
                  <c:v>57.766149153811739</c:v>
                </c:pt>
                <c:pt idx="991">
                  <c:v>65.979983881976111</c:v>
                </c:pt>
                <c:pt idx="992">
                  <c:v>39.078136200716841</c:v>
                </c:pt>
                <c:pt idx="993">
                  <c:v>56.968588909084552</c:v>
                </c:pt>
                <c:pt idx="994">
                  <c:v>1572.3330538907335</c:v>
                </c:pt>
                <c:pt idx="995">
                  <c:v>394.63695226111298</c:v>
                </c:pt>
                <c:pt idx="996">
                  <c:v>129.47406570246488</c:v>
                </c:pt>
                <c:pt idx="997">
                  <c:v>89.078157203295845</c:v>
                </c:pt>
                <c:pt idx="998">
                  <c:v>53.861211332225395</c:v>
                </c:pt>
                <c:pt idx="999">
                  <c:v>43.503286076028203</c:v>
                </c:pt>
                <c:pt idx="1000">
                  <c:v>95.292912357014146</c:v>
                </c:pt>
                <c:pt idx="1001">
                  <c:v>82.86340204957753</c:v>
                </c:pt>
                <c:pt idx="1002">
                  <c:v>362.52738396690165</c:v>
                </c:pt>
                <c:pt idx="1003">
                  <c:v>105.65083761321135</c:v>
                </c:pt>
                <c:pt idx="1004">
                  <c:v>45.574871127267635</c:v>
                </c:pt>
                <c:pt idx="1005">
                  <c:v>108.7582151900705</c:v>
                </c:pt>
                <c:pt idx="1006">
                  <c:v>570.72168161646528</c:v>
                </c:pt>
                <c:pt idx="1007">
                  <c:v>5282.5418806605676</c:v>
                </c:pt>
                <c:pt idx="1008">
                  <c:v>50.08263828046384</c:v>
                </c:pt>
                <c:pt idx="1009">
                  <c:v>160.97990875863374</c:v>
                </c:pt>
                <c:pt idx="1010">
                  <c:v>121.62926439541219</c:v>
                </c:pt>
                <c:pt idx="1011">
                  <c:v>454.32107582992194</c:v>
                </c:pt>
                <c:pt idx="1012">
                  <c:v>71.546626114948339</c:v>
                </c:pt>
                <c:pt idx="1013">
                  <c:v>64.39196350345351</c:v>
                </c:pt>
                <c:pt idx="1014">
                  <c:v>214.63987834484502</c:v>
                </c:pt>
                <c:pt idx="1015">
                  <c:v>132.3612583126544</c:v>
                </c:pt>
                <c:pt idx="1016">
                  <c:v>500.8263828046384</c:v>
                </c:pt>
                <c:pt idx="1017">
                  <c:v>71.546626114948339</c:v>
                </c:pt>
                <c:pt idx="1018">
                  <c:v>64.39196350345351</c:v>
                </c:pt>
                <c:pt idx="1019">
                  <c:v>218.21720965059242</c:v>
                </c:pt>
                <c:pt idx="1020">
                  <c:v>132.3612583126544</c:v>
                </c:pt>
                <c:pt idx="1021">
                  <c:v>504.40371411038575</c:v>
                </c:pt>
                <c:pt idx="1022">
                  <c:v>75.12395742069576</c:v>
                </c:pt>
                <c:pt idx="1023">
                  <c:v>60.814632197706096</c:v>
                </c:pt>
                <c:pt idx="1024">
                  <c:v>207.48521573335017</c:v>
                </c:pt>
                <c:pt idx="1025">
                  <c:v>128.78392700690702</c:v>
                </c:pt>
                <c:pt idx="1026">
                  <c:v>486.51705758164877</c:v>
                </c:pt>
                <c:pt idx="1027">
                  <c:v>71.546626114948339</c:v>
                </c:pt>
                <c:pt idx="1028">
                  <c:v>25.04131914023192</c:v>
                </c:pt>
                <c:pt idx="1029">
                  <c:v>78.701288726443181</c:v>
                </c:pt>
                <c:pt idx="1030">
                  <c:v>64.39196350345351</c:v>
                </c:pt>
                <c:pt idx="1031">
                  <c:v>232.52653487358211</c:v>
                </c:pt>
                <c:pt idx="1032">
                  <c:v>39.350644363221591</c:v>
                </c:pt>
                <c:pt idx="1033">
                  <c:v>60.814632197706096</c:v>
                </c:pt>
                <c:pt idx="1034">
                  <c:v>178.86656528737086</c:v>
                </c:pt>
                <c:pt idx="1035">
                  <c:v>143.09325222989668</c:v>
                </c:pt>
                <c:pt idx="1036">
                  <c:v>490.09438888739612</c:v>
                </c:pt>
                <c:pt idx="1037">
                  <c:v>89.43328264368543</c:v>
                </c:pt>
                <c:pt idx="1038">
                  <c:v>21.463987834484502</c:v>
                </c:pt>
                <c:pt idx="1039">
                  <c:v>71.546626114948339</c:v>
                </c:pt>
                <c:pt idx="1040">
                  <c:v>53.659969586211254</c:v>
                </c:pt>
                <c:pt idx="1041">
                  <c:v>225.37187226208727</c:v>
                </c:pt>
                <c:pt idx="1042">
                  <c:v>39.350644363221591</c:v>
                </c:pt>
                <c:pt idx="1043">
                  <c:v>36.839687494541337</c:v>
                </c:pt>
                <c:pt idx="1044">
                  <c:v>56.968588909084552</c:v>
                </c:pt>
                <c:pt idx="1045">
                  <c:v>60.766494836356841</c:v>
                </c:pt>
                <c:pt idx="1046">
                  <c:v>417.76965199995334</c:v>
                </c:pt>
                <c:pt idx="1047">
                  <c:v>94.947648181807594</c:v>
                </c:pt>
                <c:pt idx="1048">
                  <c:v>47.130441284746432</c:v>
                </c:pt>
                <c:pt idx="1049">
                  <c:v>64.076217926453026</c:v>
                </c:pt>
                <c:pt idx="1050">
                  <c:v>43.423552644373117</c:v>
                </c:pt>
                <c:pt idx="1051">
                  <c:v>66.723995526719676</c:v>
                </c:pt>
                <c:pt idx="1052">
                  <c:v>52.161218725253079</c:v>
                </c:pt>
                <c:pt idx="1053">
                  <c:v>53.643974181402399</c:v>
                </c:pt>
                <c:pt idx="1054">
                  <c:v>33.361997763359838</c:v>
                </c:pt>
                <c:pt idx="1055">
                  <c:v>75.726439367626284</c:v>
                </c:pt>
                <c:pt idx="1056">
                  <c:v>18.534443201866573</c:v>
                </c:pt>
                <c:pt idx="1057">
                  <c:v>64.076217926453026</c:v>
                </c:pt>
                <c:pt idx="1058">
                  <c:v>27.00733152271987</c:v>
                </c:pt>
                <c:pt idx="1059">
                  <c:v>150.39376769514593</c:v>
                </c:pt>
                <c:pt idx="1060">
                  <c:v>29.655109122986524</c:v>
                </c:pt>
                <c:pt idx="1061">
                  <c:v>104.85199297055946</c:v>
                </c:pt>
                <c:pt idx="1062">
                  <c:v>5736.8514672444171</c:v>
                </c:pt>
                <c:pt idx="1063">
                  <c:v>750.20365340888532</c:v>
                </c:pt>
                <c:pt idx="1064">
                  <c:v>92.672216009332885</c:v>
                </c:pt>
                <c:pt idx="1065">
                  <c:v>33.538516270044276</c:v>
                </c:pt>
                <c:pt idx="1066">
                  <c:v>485.42589338221984</c:v>
                </c:pt>
                <c:pt idx="1067">
                  <c:v>158.86665601599921</c:v>
                </c:pt>
                <c:pt idx="1068">
                  <c:v>48.542589338221987</c:v>
                </c:pt>
                <c:pt idx="1069">
                  <c:v>22.506109602266559</c:v>
                </c:pt>
                <c:pt idx="1070">
                  <c:v>136.80184268044377</c:v>
                </c:pt>
                <c:pt idx="1071">
                  <c:v>70.607402673777415</c:v>
                </c:pt>
                <c:pt idx="1072">
                  <c:v>30.008146136355411</c:v>
                </c:pt>
                <c:pt idx="1073">
                  <c:v>16.327961868311032</c:v>
                </c:pt>
                <c:pt idx="1074">
                  <c:v>66.194440006666341</c:v>
                </c:pt>
                <c:pt idx="1075">
                  <c:v>41.481849070844241</c:v>
                </c:pt>
                <c:pt idx="1076">
                  <c:v>20.740924535422121</c:v>
                </c:pt>
                <c:pt idx="1077">
                  <c:v>12.35629546791105</c:v>
                </c:pt>
                <c:pt idx="1078">
                  <c:v>77.872023894622671</c:v>
                </c:pt>
                <c:pt idx="1079">
                  <c:v>77.385323745281283</c:v>
                </c:pt>
                <c:pt idx="1080">
                  <c:v>92.473028374864427</c:v>
                </c:pt>
                <c:pt idx="1081">
                  <c:v>103.66713180971644</c:v>
                </c:pt>
                <c:pt idx="1082">
                  <c:v>95.879929420254157</c:v>
                </c:pt>
                <c:pt idx="1083">
                  <c:v>153.31054704253839</c:v>
                </c:pt>
                <c:pt idx="1084">
                  <c:v>1537.9724719187977</c:v>
                </c:pt>
                <c:pt idx="1085">
                  <c:v>236.04957243057498</c:v>
                </c:pt>
                <c:pt idx="1086">
                  <c:v>107.56073300444758</c:v>
                </c:pt>
                <c:pt idx="1087">
                  <c:v>63.271019414380916</c:v>
                </c:pt>
                <c:pt idx="1088">
                  <c:v>44.207624993449606</c:v>
                </c:pt>
                <c:pt idx="1089">
                  <c:v>41.545638202606931</c:v>
                </c:pt>
                <c:pt idx="1090">
                  <c:v>143.15688496590138</c:v>
                </c:pt>
                <c:pt idx="1091">
                  <c:v>298.670774762446</c:v>
                </c:pt>
                <c:pt idx="1092">
                  <c:v>101.37301448240191</c:v>
                </c:pt>
                <c:pt idx="1093">
                  <c:v>129.32905474887812</c:v>
                </c:pt>
                <c:pt idx="1094">
                  <c:v>9065.256184223781</c:v>
                </c:pt>
                <c:pt idx="1095">
                  <c:v>970.5375965056769</c:v>
                </c:pt>
                <c:pt idx="1096">
                  <c:v>162.6194265222959</c:v>
                </c:pt>
                <c:pt idx="1097">
                  <c:v>78.720231947098654</c:v>
                </c:pt>
                <c:pt idx="1098">
                  <c:v>1351.7092459337332</c:v>
                </c:pt>
                <c:pt idx="1099">
                  <c:v>213.37326027766213</c:v>
                </c:pt>
                <c:pt idx="1100">
                  <c:v>77.684439421478942</c:v>
                </c:pt>
                <c:pt idx="1101">
                  <c:v>31.07377576859157</c:v>
                </c:pt>
                <c:pt idx="1102">
                  <c:v>641.15557335860603</c:v>
                </c:pt>
                <c:pt idx="1103">
                  <c:v>123.25931054874657</c:v>
                </c:pt>
                <c:pt idx="1104">
                  <c:v>49.718041229746518</c:v>
                </c:pt>
                <c:pt idx="1105">
                  <c:v>22.787435563633817</c:v>
                </c:pt>
                <c:pt idx="1106">
                  <c:v>130.5098582280846</c:v>
                </c:pt>
                <c:pt idx="1107">
                  <c:v>38.324323447929608</c:v>
                </c:pt>
                <c:pt idx="1108">
                  <c:v>19.680057986774663</c:v>
                </c:pt>
                <c:pt idx="1109">
                  <c:v>10.357925256197191</c:v>
                </c:pt>
                <c:pt idx="1110">
                  <c:v>20.715850512394383</c:v>
                </c:pt>
                <c:pt idx="1111">
                  <c:v>42.467493550408477</c:v>
                </c:pt>
                <c:pt idx="1112">
                  <c:v>85.970779626436681</c:v>
                </c:pt>
                <c:pt idx="1113">
                  <c:v>138.79619843304235</c:v>
                </c:pt>
                <c:pt idx="1114">
                  <c:v>37.979059272723035</c:v>
                </c:pt>
                <c:pt idx="1115">
                  <c:v>51.271730018176093</c:v>
                </c:pt>
                <c:pt idx="1116">
                  <c:v>53.170682981812249</c:v>
                </c:pt>
                <c:pt idx="1117">
                  <c:v>62.665447799993011</c:v>
                </c:pt>
                <c:pt idx="1118">
                  <c:v>56.968588909084552</c:v>
                </c:pt>
                <c:pt idx="1119">
                  <c:v>53.170682981812249</c:v>
                </c:pt>
                <c:pt idx="1120">
                  <c:v>45.574871127267635</c:v>
                </c:pt>
                <c:pt idx="1121">
                  <c:v>45.574871127267635</c:v>
                </c:pt>
                <c:pt idx="1122">
                  <c:v>30.567785942451401</c:v>
                </c:pt>
                <c:pt idx="1123">
                  <c:v>32.159303245521834</c:v>
                </c:pt>
                <c:pt idx="1124">
                  <c:v>36.03790474920428</c:v>
                </c:pt>
                <c:pt idx="1125">
                  <c:v>45.03305091810256</c:v>
                </c:pt>
                <c:pt idx="1126">
                  <c:v>64.106427612455406</c:v>
                </c:pt>
                <c:pt idx="1127">
                  <c:v>93.482126523244034</c:v>
                </c:pt>
                <c:pt idx="1128">
                  <c:v>295.90626443171953</c:v>
                </c:pt>
                <c:pt idx="1129">
                  <c:v>73.633775992432902</c:v>
                </c:pt>
                <c:pt idx="1130">
                  <c:v>74.620195069784401</c:v>
                </c:pt>
                <c:pt idx="1131">
                  <c:v>94.824423931068154</c:v>
                </c:pt>
                <c:pt idx="1132">
                  <c:v>145.16745498291255</c:v>
                </c:pt>
                <c:pt idx="1133">
                  <c:v>197.82786155225671</c:v>
                </c:pt>
                <c:pt idx="1134">
                  <c:v>333.13945021069708</c:v>
                </c:pt>
                <c:pt idx="1135">
                  <c:v>0.51596967628142287</c:v>
                </c:pt>
                <c:pt idx="1136">
                  <c:v>0.74594453898196278</c:v>
                </c:pt>
                <c:pt idx="1137">
                  <c:v>1.85188437004198</c:v>
                </c:pt>
                <c:pt idx="1138">
                  <c:v>9.856368625662542</c:v>
                </c:pt>
                <c:pt idx="1139">
                  <c:v>84.789971164778507</c:v>
                </c:pt>
                <c:pt idx="1140">
                  <c:v>237.91468314653727</c:v>
                </c:pt>
                <c:pt idx="1141">
                  <c:v>75.16215332823262</c:v>
                </c:pt>
                <c:pt idx="1142">
                  <c:v>0.48240335387164857</c:v>
                </c:pt>
                <c:pt idx="1143">
                  <c:v>69.698007646878764</c:v>
                </c:pt>
                <c:pt idx="1144">
                  <c:v>67.156113051478158</c:v>
                </c:pt>
                <c:pt idx="1145">
                  <c:v>70.505105565856326</c:v>
                </c:pt>
                <c:pt idx="1146">
                  <c:v>140.68551656660674</c:v>
                </c:pt>
                <c:pt idx="1147">
                  <c:v>73.464464602107398</c:v>
                </c:pt>
                <c:pt idx="1148">
                  <c:v>39.427197191432818</c:v>
                </c:pt>
                <c:pt idx="1149">
                  <c:v>116.40344499579349</c:v>
                </c:pt>
                <c:pt idx="1150">
                  <c:v>94.382824817924146</c:v>
                </c:pt>
                <c:pt idx="1151">
                  <c:v>77.011002233160355</c:v>
                </c:pt>
                <c:pt idx="1152">
                  <c:v>63.309283011374873</c:v>
                </c:pt>
                <c:pt idx="1153">
                  <c:v>52.054299364908239</c:v>
                </c:pt>
                <c:pt idx="1154">
                  <c:v>43.490724851292249</c:v>
                </c:pt>
                <c:pt idx="1155">
                  <c:v>36.639865240399509</c:v>
                </c:pt>
                <c:pt idx="1156">
                  <c:v>30.767699859634373</c:v>
                </c:pt>
                <c:pt idx="1157">
                  <c:v>26.608249381592287</c:v>
                </c:pt>
                <c:pt idx="1158">
                  <c:v>22.693472461082123</c:v>
                </c:pt>
                <c:pt idx="1159">
                  <c:v>19.757389770699554</c:v>
                </c:pt>
                <c:pt idx="1160">
                  <c:v>17.55532775291265</c:v>
                </c:pt>
                <c:pt idx="1161">
                  <c:v>15.353265735125644</c:v>
                </c:pt>
                <c:pt idx="1162">
                  <c:v>13.640550832402486</c:v>
                </c:pt>
                <c:pt idx="1163">
                  <c:v>12.172509487211151</c:v>
                </c:pt>
                <c:pt idx="1164">
                  <c:v>10.704468142019817</c:v>
                </c:pt>
                <c:pt idx="1165">
                  <c:v>9.4811003543604908</c:v>
                </c:pt>
                <c:pt idx="1166">
                  <c:v>8.9917532392967257</c:v>
                </c:pt>
                <c:pt idx="1167">
                  <c:v>8.0130590091691865</c:v>
                </c:pt>
                <c:pt idx="1168">
                  <c:v>7.2790383365735183</c:v>
                </c:pt>
                <c:pt idx="1169">
                  <c:v>6.7896912215097531</c:v>
                </c:pt>
                <c:pt idx="1170">
                  <c:v>71.383510409927027</c:v>
                </c:pt>
                <c:pt idx="1171">
                  <c:v>56.947770515545891</c:v>
                </c:pt>
                <c:pt idx="1172">
                  <c:v>46.182133984142993</c:v>
                </c:pt>
                <c:pt idx="1173">
                  <c:v>38.107906585590854</c:v>
                </c:pt>
                <c:pt idx="1174">
                  <c:v>31.746394089761857</c:v>
                </c:pt>
                <c:pt idx="1175">
                  <c:v>26.363575824060462</c:v>
                </c:pt>
                <c:pt idx="1176">
                  <c:v>22.448798903550298</c:v>
                </c:pt>
                <c:pt idx="1177">
                  <c:v>19.757389770699554</c:v>
                </c:pt>
                <c:pt idx="1178">
                  <c:v>17.065980637848803</c:v>
                </c:pt>
                <c:pt idx="1179">
                  <c:v>14.619245062529977</c:v>
                </c:pt>
                <c:pt idx="1180">
                  <c:v>12.661856602274899</c:v>
                </c:pt>
                <c:pt idx="1181">
                  <c:v>11.683162372147406</c:v>
                </c:pt>
                <c:pt idx="1182">
                  <c:v>10.459794584487993</c:v>
                </c:pt>
                <c:pt idx="1183">
                  <c:v>9.4811003543604908</c:v>
                </c:pt>
                <c:pt idx="1184">
                  <c:v>8.5024061242329516</c:v>
                </c:pt>
                <c:pt idx="1185">
                  <c:v>7.5237118941054213</c:v>
                </c:pt>
                <c:pt idx="1186">
                  <c:v>7.2790383365735183</c:v>
                </c:pt>
                <c:pt idx="1187">
                  <c:v>6.300344106445988</c:v>
                </c:pt>
                <c:pt idx="1188">
                  <c:v>5.8109969913822228</c:v>
                </c:pt>
                <c:pt idx="1189">
                  <c:v>5.0769763187865742</c:v>
                </c:pt>
                <c:pt idx="1190">
                  <c:v>5.3216498763184479</c:v>
                </c:pt>
                <c:pt idx="1191">
                  <c:v>25.629555151464793</c:v>
                </c:pt>
                <c:pt idx="1192">
                  <c:v>22.693472461082123</c:v>
                </c:pt>
                <c:pt idx="1193">
                  <c:v>19.512716213167728</c:v>
                </c:pt>
                <c:pt idx="1194">
                  <c:v>17.310654195380728</c:v>
                </c:pt>
                <c:pt idx="1195">
                  <c:v>15.597939292657568</c:v>
                </c:pt>
                <c:pt idx="1196">
                  <c:v>13.885224389934312</c:v>
                </c:pt>
                <c:pt idx="1197">
                  <c:v>12.172509487211151</c:v>
                </c:pt>
                <c:pt idx="1198">
                  <c:v>11.193815257083662</c:v>
                </c:pt>
                <c:pt idx="1199">
                  <c:v>9.9704474694242471</c:v>
                </c:pt>
                <c:pt idx="1200">
                  <c:v>8.9917532392967257</c:v>
                </c:pt>
                <c:pt idx="1201">
                  <c:v>8.0130590091691865</c:v>
                </c:pt>
                <c:pt idx="1202">
                  <c:v>7.7683854516372834</c:v>
                </c:pt>
                <c:pt idx="1203">
                  <c:v>7.0343647790416552</c:v>
                </c:pt>
                <c:pt idx="1204">
                  <c:v>6.300344106445988</c:v>
                </c:pt>
                <c:pt idx="1205">
                  <c:v>6.0556705489141054</c:v>
                </c:pt>
                <c:pt idx="1206">
                  <c:v>5.5663234338503393</c:v>
                </c:pt>
                <c:pt idx="1207">
                  <c:v>5.0769763187865742</c:v>
                </c:pt>
                <c:pt idx="1208">
                  <c:v>4.587629203722809</c:v>
                </c:pt>
                <c:pt idx="1209">
                  <c:v>4.0982820886590243</c:v>
                </c:pt>
                <c:pt idx="1210">
                  <c:v>3.853608531127152</c:v>
                </c:pt>
                <c:pt idx="1211">
                  <c:v>3.853608531127152</c:v>
                </c:pt>
                <c:pt idx="1212">
                  <c:v>3.1344604034599923</c:v>
                </c:pt>
              </c:numCache>
            </c:numRef>
          </c:yVal>
          <c:bubbleSize>
            <c:numRef>
              <c:f>Data!$M$4:$M$1216</c:f>
              <c:numCache>
                <c:formatCode>0.00</c:formatCode>
                <c:ptCount val="1213"/>
                <c:pt idx="0">
                  <c:v>1.1000000000000001</c:v>
                </c:pt>
                <c:pt idx="1">
                  <c:v>1.1000000000000001</c:v>
                </c:pt>
                <c:pt idx="2">
                  <c:v>3.1</c:v>
                </c:pt>
                <c:pt idx="3">
                  <c:v>0.19375000000000001</c:v>
                </c:pt>
                <c:pt idx="4">
                  <c:v>0.38750000000000001</c:v>
                </c:pt>
                <c:pt idx="5">
                  <c:v>0.19375000000000001</c:v>
                </c:pt>
                <c:pt idx="6">
                  <c:v>0.38750000000000001</c:v>
                </c:pt>
                <c:pt idx="7">
                  <c:v>0.77500000000000002</c:v>
                </c:pt>
                <c:pt idx="8">
                  <c:v>0.38750000000000001</c:v>
                </c:pt>
                <c:pt idx="9">
                  <c:v>0.19375000000000001</c:v>
                </c:pt>
                <c:pt idx="10">
                  <c:v>0.38750000000000001</c:v>
                </c:pt>
                <c:pt idx="11">
                  <c:v>0.19375000000000001</c:v>
                </c:pt>
                <c:pt idx="12">
                  <c:v>3.2</c:v>
                </c:pt>
                <c:pt idx="13">
                  <c:v>4.2</c:v>
                </c:pt>
                <c:pt idx="14">
                  <c:v>4.7</c:v>
                </c:pt>
                <c:pt idx="15">
                  <c:v>3.2</c:v>
                </c:pt>
                <c:pt idx="16">
                  <c:v>0.57499999999999996</c:v>
                </c:pt>
                <c:pt idx="17">
                  <c:v>1.1499999999999999</c:v>
                </c:pt>
                <c:pt idx="18">
                  <c:v>0.57499999999999996</c:v>
                </c:pt>
                <c:pt idx="19">
                  <c:v>2.2000000000000002</c:v>
                </c:pt>
                <c:pt idx="20">
                  <c:v>2.946428571428571E-2</c:v>
                </c:pt>
                <c:pt idx="21">
                  <c:v>2.946428571428571E-2</c:v>
                </c:pt>
                <c:pt idx="22">
                  <c:v>5.892857142857142E-2</c:v>
                </c:pt>
                <c:pt idx="23">
                  <c:v>5.892857142857142E-2</c:v>
                </c:pt>
                <c:pt idx="24">
                  <c:v>5.892857142857142E-2</c:v>
                </c:pt>
                <c:pt idx="25">
                  <c:v>5.892857142857142E-2</c:v>
                </c:pt>
                <c:pt idx="26">
                  <c:v>2.946428571428571E-2</c:v>
                </c:pt>
                <c:pt idx="27">
                  <c:v>2.946428571428571E-2</c:v>
                </c:pt>
                <c:pt idx="28">
                  <c:v>2.946428571428571E-2</c:v>
                </c:pt>
                <c:pt idx="29">
                  <c:v>2.946428571428571E-2</c:v>
                </c:pt>
                <c:pt idx="30">
                  <c:v>2.946428571428571E-2</c:v>
                </c:pt>
                <c:pt idx="31">
                  <c:v>2.946428571428571E-2</c:v>
                </c:pt>
                <c:pt idx="32">
                  <c:v>5.892857142857142E-2</c:v>
                </c:pt>
                <c:pt idx="33">
                  <c:v>5.892857142857142E-2</c:v>
                </c:pt>
                <c:pt idx="34">
                  <c:v>5.892857142857142E-2</c:v>
                </c:pt>
                <c:pt idx="35">
                  <c:v>5.892857142857142E-2</c:v>
                </c:pt>
                <c:pt idx="36">
                  <c:v>2.946428571428571E-2</c:v>
                </c:pt>
                <c:pt idx="37">
                  <c:v>2.946428571428571E-2</c:v>
                </c:pt>
                <c:pt idx="38">
                  <c:v>2.946428571428571E-2</c:v>
                </c:pt>
                <c:pt idx="39">
                  <c:v>2.946428571428571E-2</c:v>
                </c:pt>
                <c:pt idx="40">
                  <c:v>5.892857142857142E-2</c:v>
                </c:pt>
                <c:pt idx="41">
                  <c:v>5.892857142857142E-2</c:v>
                </c:pt>
                <c:pt idx="42">
                  <c:v>0.11785714285714284</c:v>
                </c:pt>
                <c:pt idx="43">
                  <c:v>0.11785714285714284</c:v>
                </c:pt>
                <c:pt idx="44">
                  <c:v>0.11785714285714284</c:v>
                </c:pt>
                <c:pt idx="45">
                  <c:v>0.11785714285714284</c:v>
                </c:pt>
                <c:pt idx="46">
                  <c:v>5.892857142857142E-2</c:v>
                </c:pt>
                <c:pt idx="47">
                  <c:v>5.892857142857142E-2</c:v>
                </c:pt>
                <c:pt idx="48">
                  <c:v>5.892857142857142E-2</c:v>
                </c:pt>
                <c:pt idx="49">
                  <c:v>5.892857142857142E-2</c:v>
                </c:pt>
                <c:pt idx="50">
                  <c:v>5.892857142857142E-2</c:v>
                </c:pt>
                <c:pt idx="51">
                  <c:v>5.892857142857142E-2</c:v>
                </c:pt>
                <c:pt idx="52">
                  <c:v>0.11785714285714284</c:v>
                </c:pt>
                <c:pt idx="53">
                  <c:v>0.11785714285714284</c:v>
                </c:pt>
                <c:pt idx="54">
                  <c:v>0.11785714285714284</c:v>
                </c:pt>
                <c:pt idx="55">
                  <c:v>0.11785714285714284</c:v>
                </c:pt>
                <c:pt idx="56">
                  <c:v>5.892857142857142E-2</c:v>
                </c:pt>
                <c:pt idx="57">
                  <c:v>5.892857142857142E-2</c:v>
                </c:pt>
                <c:pt idx="58">
                  <c:v>5.892857142857142E-2</c:v>
                </c:pt>
                <c:pt idx="59">
                  <c:v>5.892857142857142E-2</c:v>
                </c:pt>
                <c:pt idx="60">
                  <c:v>2.946428571428571E-2</c:v>
                </c:pt>
                <c:pt idx="61">
                  <c:v>2.946428571428571E-2</c:v>
                </c:pt>
                <c:pt idx="62">
                  <c:v>5.892857142857142E-2</c:v>
                </c:pt>
                <c:pt idx="63">
                  <c:v>5.892857142857142E-2</c:v>
                </c:pt>
                <c:pt idx="64">
                  <c:v>5.892857142857142E-2</c:v>
                </c:pt>
                <c:pt idx="65">
                  <c:v>5.892857142857142E-2</c:v>
                </c:pt>
                <c:pt idx="66">
                  <c:v>2.946428571428571E-2</c:v>
                </c:pt>
                <c:pt idx="67">
                  <c:v>2.946428571428571E-2</c:v>
                </c:pt>
                <c:pt idx="68">
                  <c:v>2.946428571428571E-2</c:v>
                </c:pt>
                <c:pt idx="69">
                  <c:v>2.946428571428571E-2</c:v>
                </c:pt>
                <c:pt idx="70">
                  <c:v>2.946428571428571E-2</c:v>
                </c:pt>
                <c:pt idx="71">
                  <c:v>2.946428571428571E-2</c:v>
                </c:pt>
                <c:pt idx="72">
                  <c:v>5.892857142857142E-2</c:v>
                </c:pt>
                <c:pt idx="73">
                  <c:v>5.892857142857142E-2</c:v>
                </c:pt>
                <c:pt idx="74">
                  <c:v>5.892857142857142E-2</c:v>
                </c:pt>
                <c:pt idx="75">
                  <c:v>5.892857142857142E-2</c:v>
                </c:pt>
                <c:pt idx="76">
                  <c:v>2.946428571428571E-2</c:v>
                </c:pt>
                <c:pt idx="77">
                  <c:v>2.946428571428571E-2</c:v>
                </c:pt>
                <c:pt idx="78">
                  <c:v>2.946428571428571E-2</c:v>
                </c:pt>
                <c:pt idx="79">
                  <c:v>2.946428571428571E-2</c:v>
                </c:pt>
                <c:pt idx="80">
                  <c:v>4.3</c:v>
                </c:pt>
                <c:pt idx="81">
                  <c:v>2.15</c:v>
                </c:pt>
                <c:pt idx="82">
                  <c:v>8.269230769230769E-2</c:v>
                </c:pt>
                <c:pt idx="83">
                  <c:v>8.269230769230769E-2</c:v>
                </c:pt>
                <c:pt idx="84">
                  <c:v>8.269230769230769E-2</c:v>
                </c:pt>
                <c:pt idx="85">
                  <c:v>8.269230769230769E-2</c:v>
                </c:pt>
                <c:pt idx="86">
                  <c:v>8.269230769230769E-2</c:v>
                </c:pt>
                <c:pt idx="87">
                  <c:v>8.269230769230769E-2</c:v>
                </c:pt>
                <c:pt idx="88">
                  <c:v>8.269230769230769E-2</c:v>
                </c:pt>
                <c:pt idx="89">
                  <c:v>8.269230769230769E-2</c:v>
                </c:pt>
                <c:pt idx="90">
                  <c:v>8.269230769230769E-2</c:v>
                </c:pt>
                <c:pt idx="91">
                  <c:v>8.269230769230769E-2</c:v>
                </c:pt>
                <c:pt idx="92">
                  <c:v>8.269230769230769E-2</c:v>
                </c:pt>
                <c:pt idx="93">
                  <c:v>8.269230769230769E-2</c:v>
                </c:pt>
                <c:pt idx="94">
                  <c:v>8.269230769230769E-2</c:v>
                </c:pt>
                <c:pt idx="95">
                  <c:v>8.269230769230769E-2</c:v>
                </c:pt>
                <c:pt idx="96">
                  <c:v>8.269230769230769E-2</c:v>
                </c:pt>
                <c:pt idx="97">
                  <c:v>8.269230769230769E-2</c:v>
                </c:pt>
                <c:pt idx="98">
                  <c:v>8.269230769230769E-2</c:v>
                </c:pt>
                <c:pt idx="99">
                  <c:v>8.269230769230769E-2</c:v>
                </c:pt>
                <c:pt idx="100">
                  <c:v>8.269230769230769E-2</c:v>
                </c:pt>
                <c:pt idx="101">
                  <c:v>8.269230769230769E-2</c:v>
                </c:pt>
                <c:pt idx="102">
                  <c:v>8.269230769230769E-2</c:v>
                </c:pt>
                <c:pt idx="103">
                  <c:v>8.269230769230769E-2</c:v>
                </c:pt>
                <c:pt idx="104">
                  <c:v>8.269230769230769E-2</c:v>
                </c:pt>
                <c:pt idx="105">
                  <c:v>8.269230769230769E-2</c:v>
                </c:pt>
                <c:pt idx="106">
                  <c:v>8.269230769230769E-2</c:v>
                </c:pt>
                <c:pt idx="107">
                  <c:v>8.269230769230769E-2</c:v>
                </c:pt>
                <c:pt idx="108">
                  <c:v>0.66</c:v>
                </c:pt>
                <c:pt idx="109">
                  <c:v>0.66</c:v>
                </c:pt>
                <c:pt idx="110">
                  <c:v>0.33</c:v>
                </c:pt>
                <c:pt idx="111">
                  <c:v>0.33</c:v>
                </c:pt>
                <c:pt idx="112">
                  <c:v>0.33</c:v>
                </c:pt>
                <c:pt idx="113">
                  <c:v>0.33</c:v>
                </c:pt>
                <c:pt idx="114">
                  <c:v>0.33</c:v>
                </c:pt>
                <c:pt idx="115">
                  <c:v>0.33</c:v>
                </c:pt>
                <c:pt idx="116">
                  <c:v>5.4</c:v>
                </c:pt>
                <c:pt idx="117">
                  <c:v>4.4000000000000004</c:v>
                </c:pt>
                <c:pt idx="118">
                  <c:v>0.6</c:v>
                </c:pt>
                <c:pt idx="119">
                  <c:v>1.2</c:v>
                </c:pt>
                <c:pt idx="120">
                  <c:v>0.6</c:v>
                </c:pt>
                <c:pt idx="121">
                  <c:v>4.5</c:v>
                </c:pt>
                <c:pt idx="122">
                  <c:v>0.7</c:v>
                </c:pt>
                <c:pt idx="123">
                  <c:v>0.35</c:v>
                </c:pt>
                <c:pt idx="124">
                  <c:v>0.7</c:v>
                </c:pt>
                <c:pt idx="125">
                  <c:v>0.7</c:v>
                </c:pt>
                <c:pt idx="126">
                  <c:v>1.4</c:v>
                </c:pt>
                <c:pt idx="127">
                  <c:v>0.7</c:v>
                </c:pt>
                <c:pt idx="128">
                  <c:v>0.7</c:v>
                </c:pt>
                <c:pt idx="129">
                  <c:v>0.35</c:v>
                </c:pt>
                <c:pt idx="130">
                  <c:v>2.75</c:v>
                </c:pt>
                <c:pt idx="131">
                  <c:v>2.75</c:v>
                </c:pt>
                <c:pt idx="132">
                  <c:v>0.20444444444444443</c:v>
                </c:pt>
                <c:pt idx="133">
                  <c:v>0.40888888888888886</c:v>
                </c:pt>
                <c:pt idx="134">
                  <c:v>0.15333333333333332</c:v>
                </c:pt>
                <c:pt idx="135">
                  <c:v>0.30666666666666664</c:v>
                </c:pt>
                <c:pt idx="136">
                  <c:v>0.10222222222222221</c:v>
                </c:pt>
                <c:pt idx="137">
                  <c:v>0.20444444444444443</c:v>
                </c:pt>
                <c:pt idx="138">
                  <c:v>5.1111111111111107E-2</c:v>
                </c:pt>
                <c:pt idx="139">
                  <c:v>0.10222222222222221</c:v>
                </c:pt>
                <c:pt idx="140">
                  <c:v>0.40888888888888886</c:v>
                </c:pt>
                <c:pt idx="141">
                  <c:v>0.81777777777777771</c:v>
                </c:pt>
                <c:pt idx="142">
                  <c:v>0.30666666666666664</c:v>
                </c:pt>
                <c:pt idx="143">
                  <c:v>0.61333333333333329</c:v>
                </c:pt>
                <c:pt idx="144">
                  <c:v>0.20444444444444443</c:v>
                </c:pt>
                <c:pt idx="145">
                  <c:v>0.40888888888888886</c:v>
                </c:pt>
                <c:pt idx="146">
                  <c:v>0.10222222222222221</c:v>
                </c:pt>
                <c:pt idx="147">
                  <c:v>0.20444444444444443</c:v>
                </c:pt>
                <c:pt idx="148">
                  <c:v>2.2999999999999998</c:v>
                </c:pt>
                <c:pt idx="149">
                  <c:v>2.2999999999999998</c:v>
                </c:pt>
                <c:pt idx="150">
                  <c:v>2.6</c:v>
                </c:pt>
                <c:pt idx="151">
                  <c:v>0.45999999999999996</c:v>
                </c:pt>
                <c:pt idx="152">
                  <c:v>4.5999999999999996</c:v>
                </c:pt>
                <c:pt idx="153">
                  <c:v>0.45999999999999996</c:v>
                </c:pt>
                <c:pt idx="154">
                  <c:v>0.45999999999999996</c:v>
                </c:pt>
                <c:pt idx="155">
                  <c:v>3.36</c:v>
                </c:pt>
                <c:pt idx="156">
                  <c:v>0.45999999999999996</c:v>
                </c:pt>
                <c:pt idx="157">
                  <c:v>5.6</c:v>
                </c:pt>
                <c:pt idx="158">
                  <c:v>4.2300000000000004</c:v>
                </c:pt>
                <c:pt idx="159">
                  <c:v>0.47000000000000003</c:v>
                </c:pt>
                <c:pt idx="160">
                  <c:v>2.4500000000000002</c:v>
                </c:pt>
                <c:pt idx="161">
                  <c:v>2.4500000000000002</c:v>
                </c:pt>
                <c:pt idx="162">
                  <c:v>2.4500000000000002</c:v>
                </c:pt>
                <c:pt idx="163">
                  <c:v>2.4500000000000002</c:v>
                </c:pt>
                <c:pt idx="164">
                  <c:v>1.7250000000000001</c:v>
                </c:pt>
                <c:pt idx="165">
                  <c:v>0.34500000000000003</c:v>
                </c:pt>
                <c:pt idx="166">
                  <c:v>0.34500000000000003</c:v>
                </c:pt>
                <c:pt idx="167">
                  <c:v>0.34500000000000003</c:v>
                </c:pt>
                <c:pt idx="168">
                  <c:v>0.34500000000000003</c:v>
                </c:pt>
                <c:pt idx="169">
                  <c:v>0.34500000000000003</c:v>
                </c:pt>
                <c:pt idx="170">
                  <c:v>0.34500000000000003</c:v>
                </c:pt>
                <c:pt idx="171">
                  <c:v>6.900000000000002E-2</c:v>
                </c:pt>
                <c:pt idx="172">
                  <c:v>6.900000000000002E-2</c:v>
                </c:pt>
                <c:pt idx="173">
                  <c:v>6.900000000000002E-2</c:v>
                </c:pt>
                <c:pt idx="174">
                  <c:v>6.900000000000002E-2</c:v>
                </c:pt>
                <c:pt idx="175">
                  <c:v>6.900000000000002E-2</c:v>
                </c:pt>
                <c:pt idx="176">
                  <c:v>0.34500000000000003</c:v>
                </c:pt>
                <c:pt idx="177">
                  <c:v>6.900000000000002E-2</c:v>
                </c:pt>
                <c:pt idx="178">
                  <c:v>6.900000000000002E-2</c:v>
                </c:pt>
                <c:pt idx="179">
                  <c:v>6.900000000000002E-2</c:v>
                </c:pt>
                <c:pt idx="180">
                  <c:v>6.900000000000002E-2</c:v>
                </c:pt>
                <c:pt idx="181">
                  <c:v>6.900000000000002E-2</c:v>
                </c:pt>
                <c:pt idx="182">
                  <c:v>0.69000000000000006</c:v>
                </c:pt>
                <c:pt idx="183">
                  <c:v>0.13800000000000004</c:v>
                </c:pt>
                <c:pt idx="184">
                  <c:v>0.13800000000000004</c:v>
                </c:pt>
                <c:pt idx="185">
                  <c:v>0.13800000000000004</c:v>
                </c:pt>
                <c:pt idx="186">
                  <c:v>0.13800000000000004</c:v>
                </c:pt>
                <c:pt idx="187">
                  <c:v>0.13800000000000004</c:v>
                </c:pt>
                <c:pt idx="188">
                  <c:v>0.34500000000000003</c:v>
                </c:pt>
                <c:pt idx="189">
                  <c:v>6.900000000000002E-2</c:v>
                </c:pt>
                <c:pt idx="190">
                  <c:v>6.900000000000002E-2</c:v>
                </c:pt>
                <c:pt idx="191">
                  <c:v>6.900000000000002E-2</c:v>
                </c:pt>
                <c:pt idx="192">
                  <c:v>6.900000000000002E-2</c:v>
                </c:pt>
                <c:pt idx="193">
                  <c:v>6.900000000000002E-2</c:v>
                </c:pt>
                <c:pt idx="194">
                  <c:v>5.9</c:v>
                </c:pt>
                <c:pt idx="195">
                  <c:v>5</c:v>
                </c:pt>
                <c:pt idx="196">
                  <c:v>0.51</c:v>
                </c:pt>
                <c:pt idx="197">
                  <c:v>0.51</c:v>
                </c:pt>
                <c:pt idx="198">
                  <c:v>5.0999999999999996</c:v>
                </c:pt>
                <c:pt idx="199">
                  <c:v>4.08</c:v>
                </c:pt>
                <c:pt idx="200">
                  <c:v>4.2</c:v>
                </c:pt>
                <c:pt idx="201">
                  <c:v>0.62500000000000011</c:v>
                </c:pt>
                <c:pt idx="202">
                  <c:v>1.2500000000000002</c:v>
                </c:pt>
                <c:pt idx="203">
                  <c:v>1.2500000000000002</c:v>
                </c:pt>
                <c:pt idx="204">
                  <c:v>2.5000000000000004</c:v>
                </c:pt>
                <c:pt idx="205">
                  <c:v>0.62500000000000011</c:v>
                </c:pt>
                <c:pt idx="206">
                  <c:v>1.2500000000000002</c:v>
                </c:pt>
                <c:pt idx="207">
                  <c:v>0.53</c:v>
                </c:pt>
                <c:pt idx="208">
                  <c:v>1.06</c:v>
                </c:pt>
                <c:pt idx="209">
                  <c:v>1.06</c:v>
                </c:pt>
                <c:pt idx="210">
                  <c:v>0.26500000000000001</c:v>
                </c:pt>
                <c:pt idx="211">
                  <c:v>0.53</c:v>
                </c:pt>
                <c:pt idx="212">
                  <c:v>0.53</c:v>
                </c:pt>
                <c:pt idx="213">
                  <c:v>0.26500000000000001</c:v>
                </c:pt>
                <c:pt idx="214">
                  <c:v>0.53</c:v>
                </c:pt>
                <c:pt idx="215">
                  <c:v>0.53</c:v>
                </c:pt>
                <c:pt idx="216">
                  <c:v>5.3</c:v>
                </c:pt>
                <c:pt idx="217">
                  <c:v>3.3</c:v>
                </c:pt>
                <c:pt idx="218">
                  <c:v>1.2210000000000001</c:v>
                </c:pt>
                <c:pt idx="219">
                  <c:v>1.2210000000000001</c:v>
                </c:pt>
                <c:pt idx="220">
                  <c:v>1.2210000000000001</c:v>
                </c:pt>
                <c:pt idx="221">
                  <c:v>1.2210000000000001</c:v>
                </c:pt>
                <c:pt idx="222">
                  <c:v>1.2210000000000001</c:v>
                </c:pt>
                <c:pt idx="223">
                  <c:v>1.2210000000000001</c:v>
                </c:pt>
                <c:pt idx="224">
                  <c:v>1.2333333333333335E-2</c:v>
                </c:pt>
                <c:pt idx="225">
                  <c:v>1.2333333333333335E-2</c:v>
                </c:pt>
                <c:pt idx="226">
                  <c:v>1.2333333333333335E-2</c:v>
                </c:pt>
                <c:pt idx="227">
                  <c:v>1.2333333333333335E-2</c:v>
                </c:pt>
                <c:pt idx="228">
                  <c:v>1.2333333333333335E-2</c:v>
                </c:pt>
                <c:pt idx="229">
                  <c:v>1.2333333333333335E-2</c:v>
                </c:pt>
                <c:pt idx="230">
                  <c:v>2.2000000000000002</c:v>
                </c:pt>
                <c:pt idx="231">
                  <c:v>2.2000000000000002</c:v>
                </c:pt>
                <c:pt idx="232">
                  <c:v>1.0352941176470589</c:v>
                </c:pt>
                <c:pt idx="233">
                  <c:v>5.1764705882352942E-2</c:v>
                </c:pt>
                <c:pt idx="234">
                  <c:v>5.1764705882352942E-2</c:v>
                </c:pt>
                <c:pt idx="235">
                  <c:v>1.0352941176470589</c:v>
                </c:pt>
                <c:pt idx="236">
                  <c:v>1.0352941176470589</c:v>
                </c:pt>
                <c:pt idx="237">
                  <c:v>1.0352941176470589</c:v>
                </c:pt>
                <c:pt idx="238">
                  <c:v>5.1764705882352942E-2</c:v>
                </c:pt>
                <c:pt idx="239">
                  <c:v>5.1764705882352942E-2</c:v>
                </c:pt>
                <c:pt idx="240">
                  <c:v>5.1764705882352942E-2</c:v>
                </c:pt>
                <c:pt idx="241">
                  <c:v>0.22000000000000003</c:v>
                </c:pt>
                <c:pt idx="242">
                  <c:v>4.18</c:v>
                </c:pt>
                <c:pt idx="243">
                  <c:v>1.3299999999999998</c:v>
                </c:pt>
                <c:pt idx="244">
                  <c:v>1.3299999999999998</c:v>
                </c:pt>
                <c:pt idx="245">
                  <c:v>1.3299999999999998</c:v>
                </c:pt>
                <c:pt idx="246">
                  <c:v>1.3299999999999998</c:v>
                </c:pt>
                <c:pt idx="247">
                  <c:v>6.9999999999999993E-3</c:v>
                </c:pt>
                <c:pt idx="248">
                  <c:v>6.9999999999999993E-3</c:v>
                </c:pt>
                <c:pt idx="249">
                  <c:v>6.9999999999999993E-3</c:v>
                </c:pt>
                <c:pt idx="250">
                  <c:v>6.9999999999999993E-3</c:v>
                </c:pt>
                <c:pt idx="251">
                  <c:v>6.9999999999999993E-3</c:v>
                </c:pt>
                <c:pt idx="252">
                  <c:v>6.9999999999999993E-3</c:v>
                </c:pt>
                <c:pt idx="253">
                  <c:v>6.9999999999999993E-3</c:v>
                </c:pt>
                <c:pt idx="254">
                  <c:v>6.9999999999999993E-3</c:v>
                </c:pt>
                <c:pt idx="255">
                  <c:v>6.9999999999999993E-3</c:v>
                </c:pt>
                <c:pt idx="256">
                  <c:v>6.9999999999999993E-3</c:v>
                </c:pt>
                <c:pt idx="257">
                  <c:v>6.9999999999999993E-3</c:v>
                </c:pt>
                <c:pt idx="258">
                  <c:v>6.9999999999999993E-3</c:v>
                </c:pt>
                <c:pt idx="259">
                  <c:v>6.9999999999999993E-3</c:v>
                </c:pt>
                <c:pt idx="260">
                  <c:v>6.9999999999999993E-3</c:v>
                </c:pt>
                <c:pt idx="261">
                  <c:v>6.9999999999999993E-3</c:v>
                </c:pt>
                <c:pt idx="262">
                  <c:v>6.9999999999999993E-3</c:v>
                </c:pt>
                <c:pt idx="263">
                  <c:v>6.9999999999999993E-3</c:v>
                </c:pt>
                <c:pt idx="264">
                  <c:v>6.9999999999999993E-3</c:v>
                </c:pt>
                <c:pt idx="265">
                  <c:v>6.9999999999999993E-3</c:v>
                </c:pt>
                <c:pt idx="266">
                  <c:v>6.9999999999999993E-3</c:v>
                </c:pt>
                <c:pt idx="267">
                  <c:v>6.9999999999999993E-3</c:v>
                </c:pt>
                <c:pt idx="268">
                  <c:v>6.9999999999999993E-3</c:v>
                </c:pt>
                <c:pt idx="269">
                  <c:v>6.9999999999999993E-3</c:v>
                </c:pt>
                <c:pt idx="270">
                  <c:v>6.9999999999999993E-3</c:v>
                </c:pt>
                <c:pt idx="271">
                  <c:v>6.9999999999999993E-3</c:v>
                </c:pt>
                <c:pt idx="272">
                  <c:v>6.9999999999999993E-3</c:v>
                </c:pt>
                <c:pt idx="273">
                  <c:v>6.9999999999999993E-3</c:v>
                </c:pt>
                <c:pt idx="274">
                  <c:v>6.9999999999999993E-3</c:v>
                </c:pt>
                <c:pt idx="275">
                  <c:v>6.9999999999999993E-3</c:v>
                </c:pt>
                <c:pt idx="276">
                  <c:v>6.9999999999999993E-3</c:v>
                </c:pt>
                <c:pt idx="277">
                  <c:v>6.9999999999999993E-3</c:v>
                </c:pt>
                <c:pt idx="278">
                  <c:v>6.9999999999999993E-3</c:v>
                </c:pt>
                <c:pt idx="279">
                  <c:v>6.9999999999999993E-3</c:v>
                </c:pt>
                <c:pt idx="280">
                  <c:v>6.9999999999999993E-3</c:v>
                </c:pt>
                <c:pt idx="281">
                  <c:v>6.9999999999999993E-3</c:v>
                </c:pt>
                <c:pt idx="282">
                  <c:v>6.9999999999999993E-3</c:v>
                </c:pt>
                <c:pt idx="283">
                  <c:v>6.9999999999999993E-3</c:v>
                </c:pt>
                <c:pt idx="284">
                  <c:v>6.9999999999999993E-3</c:v>
                </c:pt>
                <c:pt idx="285">
                  <c:v>6.9999999999999993E-3</c:v>
                </c:pt>
                <c:pt idx="286">
                  <c:v>6.9999999999999993E-3</c:v>
                </c:pt>
                <c:pt idx="287">
                  <c:v>0.82521645021645018</c:v>
                </c:pt>
                <c:pt idx="288">
                  <c:v>8.252164502164502E-3</c:v>
                </c:pt>
                <c:pt idx="289">
                  <c:v>8.252164502164501E-2</c:v>
                </c:pt>
                <c:pt idx="290">
                  <c:v>8.252164502164502E-3</c:v>
                </c:pt>
                <c:pt idx="291">
                  <c:v>8.252164502164502E-4</c:v>
                </c:pt>
                <c:pt idx="292">
                  <c:v>8.252164502164501E-2</c:v>
                </c:pt>
                <c:pt idx="293">
                  <c:v>8.252164502164502E-3</c:v>
                </c:pt>
                <c:pt idx="294">
                  <c:v>8.252164502164502E-4</c:v>
                </c:pt>
                <c:pt idx="295">
                  <c:v>0.82521645021645018</c:v>
                </c:pt>
                <c:pt idx="296">
                  <c:v>8.252164502164502E-3</c:v>
                </c:pt>
                <c:pt idx="297">
                  <c:v>8.252164502164501E-2</c:v>
                </c:pt>
                <c:pt idx="298">
                  <c:v>8.252164502164502E-3</c:v>
                </c:pt>
                <c:pt idx="299">
                  <c:v>8.252164502164502E-4</c:v>
                </c:pt>
                <c:pt idx="300">
                  <c:v>8.252164502164501E-2</c:v>
                </c:pt>
                <c:pt idx="301">
                  <c:v>8.252164502164502E-3</c:v>
                </c:pt>
                <c:pt idx="302">
                  <c:v>8.252164502164502E-4</c:v>
                </c:pt>
                <c:pt idx="303">
                  <c:v>0.82521645021645018</c:v>
                </c:pt>
                <c:pt idx="304">
                  <c:v>8.252164502164502E-3</c:v>
                </c:pt>
                <c:pt idx="305">
                  <c:v>8.252164502164501E-2</c:v>
                </c:pt>
                <c:pt idx="306">
                  <c:v>8.252164502164502E-3</c:v>
                </c:pt>
                <c:pt idx="307">
                  <c:v>8.252164502164502E-4</c:v>
                </c:pt>
                <c:pt idx="308">
                  <c:v>8.252164502164501E-2</c:v>
                </c:pt>
                <c:pt idx="309">
                  <c:v>8.252164502164502E-3</c:v>
                </c:pt>
                <c:pt idx="310">
                  <c:v>8.252164502164502E-4</c:v>
                </c:pt>
                <c:pt idx="311">
                  <c:v>0.82521645021645018</c:v>
                </c:pt>
                <c:pt idx="312">
                  <c:v>8.252164502164502E-3</c:v>
                </c:pt>
                <c:pt idx="313">
                  <c:v>8.252164502164501E-2</c:v>
                </c:pt>
                <c:pt idx="314">
                  <c:v>8.252164502164502E-3</c:v>
                </c:pt>
                <c:pt idx="315">
                  <c:v>8.252164502164502E-4</c:v>
                </c:pt>
                <c:pt idx="316">
                  <c:v>8.252164502164501E-2</c:v>
                </c:pt>
                <c:pt idx="317">
                  <c:v>8.252164502164502E-3</c:v>
                </c:pt>
                <c:pt idx="318">
                  <c:v>8.252164502164502E-4</c:v>
                </c:pt>
                <c:pt idx="319">
                  <c:v>0.82521645021645018</c:v>
                </c:pt>
                <c:pt idx="320">
                  <c:v>8.252164502164502E-3</c:v>
                </c:pt>
                <c:pt idx="321">
                  <c:v>8.252164502164501E-2</c:v>
                </c:pt>
                <c:pt idx="322">
                  <c:v>8.252164502164502E-3</c:v>
                </c:pt>
                <c:pt idx="323">
                  <c:v>8.252164502164502E-4</c:v>
                </c:pt>
                <c:pt idx="324">
                  <c:v>8.252164502164501E-2</c:v>
                </c:pt>
                <c:pt idx="325">
                  <c:v>8.252164502164502E-3</c:v>
                </c:pt>
                <c:pt idx="326">
                  <c:v>8.252164502164502E-4</c:v>
                </c:pt>
                <c:pt idx="327">
                  <c:v>0.82521645021645018</c:v>
                </c:pt>
                <c:pt idx="328">
                  <c:v>8.252164502164502E-3</c:v>
                </c:pt>
                <c:pt idx="329">
                  <c:v>8.252164502164501E-2</c:v>
                </c:pt>
                <c:pt idx="330">
                  <c:v>8.252164502164502E-3</c:v>
                </c:pt>
                <c:pt idx="331">
                  <c:v>8.252164502164502E-4</c:v>
                </c:pt>
                <c:pt idx="332">
                  <c:v>8.252164502164501E-2</c:v>
                </c:pt>
                <c:pt idx="333">
                  <c:v>8.252164502164502E-3</c:v>
                </c:pt>
                <c:pt idx="334">
                  <c:v>8.252164502164502E-4</c:v>
                </c:pt>
                <c:pt idx="335">
                  <c:v>0.10476190476190475</c:v>
                </c:pt>
                <c:pt idx="336">
                  <c:v>0.10476190476190475</c:v>
                </c:pt>
                <c:pt idx="337">
                  <c:v>0.10476190476190475</c:v>
                </c:pt>
                <c:pt idx="338">
                  <c:v>0.94285714285714273</c:v>
                </c:pt>
                <c:pt idx="339">
                  <c:v>5.2380952380952375E-2</c:v>
                </c:pt>
                <c:pt idx="340">
                  <c:v>0.94285714285714273</c:v>
                </c:pt>
                <c:pt idx="341">
                  <c:v>5.2380952380952375E-2</c:v>
                </c:pt>
                <c:pt idx="342">
                  <c:v>1.4142857142857141</c:v>
                </c:pt>
                <c:pt idx="343">
                  <c:v>5.2380952380952375E-2</c:v>
                </c:pt>
                <c:pt idx="344">
                  <c:v>0.23571428571428568</c:v>
                </c:pt>
                <c:pt idx="345">
                  <c:v>0.23571428571428568</c:v>
                </c:pt>
                <c:pt idx="346">
                  <c:v>0.23571428571428568</c:v>
                </c:pt>
                <c:pt idx="347">
                  <c:v>0.23571428571428568</c:v>
                </c:pt>
                <c:pt idx="348">
                  <c:v>0.23571428571428568</c:v>
                </c:pt>
                <c:pt idx="349">
                  <c:v>0.23571428571428568</c:v>
                </c:pt>
                <c:pt idx="350">
                  <c:v>1.4142857142857141</c:v>
                </c:pt>
                <c:pt idx="351">
                  <c:v>1.1199999999999999</c:v>
                </c:pt>
                <c:pt idx="352">
                  <c:v>1.1199999999999999</c:v>
                </c:pt>
                <c:pt idx="353">
                  <c:v>0.55999999999999994</c:v>
                </c:pt>
                <c:pt idx="354">
                  <c:v>0.55999999999999994</c:v>
                </c:pt>
                <c:pt idx="355">
                  <c:v>0.55999999999999994</c:v>
                </c:pt>
                <c:pt idx="356">
                  <c:v>0.55999999999999994</c:v>
                </c:pt>
                <c:pt idx="357">
                  <c:v>0.55999999999999994</c:v>
                </c:pt>
                <c:pt idx="358">
                  <c:v>0.55999999999999994</c:v>
                </c:pt>
                <c:pt idx="359">
                  <c:v>5.6</c:v>
                </c:pt>
                <c:pt idx="360">
                  <c:v>0.75</c:v>
                </c:pt>
                <c:pt idx="361">
                  <c:v>0.75</c:v>
                </c:pt>
                <c:pt idx="362">
                  <c:v>0.75</c:v>
                </c:pt>
                <c:pt idx="363">
                  <c:v>0.75</c:v>
                </c:pt>
                <c:pt idx="364">
                  <c:v>0.75</c:v>
                </c:pt>
                <c:pt idx="365">
                  <c:v>0.75</c:v>
                </c:pt>
                <c:pt idx="366">
                  <c:v>5.6</c:v>
                </c:pt>
                <c:pt idx="367">
                  <c:v>5.5</c:v>
                </c:pt>
                <c:pt idx="368">
                  <c:v>2.5</c:v>
                </c:pt>
                <c:pt idx="369">
                  <c:v>4.5999999999999996</c:v>
                </c:pt>
                <c:pt idx="370">
                  <c:v>2.85</c:v>
                </c:pt>
                <c:pt idx="371">
                  <c:v>2.85</c:v>
                </c:pt>
                <c:pt idx="372">
                  <c:v>1.1599999999999999</c:v>
                </c:pt>
                <c:pt idx="373">
                  <c:v>4.0599999999999996</c:v>
                </c:pt>
                <c:pt idx="374">
                  <c:v>5.7999999999999996E-2</c:v>
                </c:pt>
                <c:pt idx="375">
                  <c:v>0.52200000000000002</c:v>
                </c:pt>
                <c:pt idx="376">
                  <c:v>1.1599999999999999</c:v>
                </c:pt>
                <c:pt idx="377">
                  <c:v>1.1599999999999999</c:v>
                </c:pt>
                <c:pt idx="378">
                  <c:v>1.1599999999999999</c:v>
                </c:pt>
                <c:pt idx="379">
                  <c:v>1.1599999999999999</c:v>
                </c:pt>
                <c:pt idx="380">
                  <c:v>1.1599999999999999</c:v>
                </c:pt>
                <c:pt idx="381">
                  <c:v>0.57999999999999996</c:v>
                </c:pt>
                <c:pt idx="382">
                  <c:v>0.57999999999999996</c:v>
                </c:pt>
                <c:pt idx="383">
                  <c:v>0.57999999999999996</c:v>
                </c:pt>
                <c:pt idx="384">
                  <c:v>0.57999999999999996</c:v>
                </c:pt>
                <c:pt idx="385">
                  <c:v>0.57999999999999996</c:v>
                </c:pt>
                <c:pt idx="386">
                  <c:v>0.57999999999999996</c:v>
                </c:pt>
                <c:pt idx="387">
                  <c:v>0.57999999999999996</c:v>
                </c:pt>
                <c:pt idx="388">
                  <c:v>0.57999999999999996</c:v>
                </c:pt>
                <c:pt idx="389">
                  <c:v>0.57999999999999996</c:v>
                </c:pt>
                <c:pt idx="390">
                  <c:v>0.57999999999999996</c:v>
                </c:pt>
                <c:pt idx="391">
                  <c:v>0.5</c:v>
                </c:pt>
                <c:pt idx="392">
                  <c:v>4</c:v>
                </c:pt>
                <c:pt idx="393">
                  <c:v>0.5</c:v>
                </c:pt>
                <c:pt idx="394">
                  <c:v>5</c:v>
                </c:pt>
                <c:pt idx="395">
                  <c:v>6</c:v>
                </c:pt>
                <c:pt idx="396">
                  <c:v>0.20909090909090911</c:v>
                </c:pt>
                <c:pt idx="397">
                  <c:v>0.20909090909090911</c:v>
                </c:pt>
                <c:pt idx="398">
                  <c:v>0.20909090909090911</c:v>
                </c:pt>
                <c:pt idx="399">
                  <c:v>0.20909090909090911</c:v>
                </c:pt>
                <c:pt idx="400">
                  <c:v>0.20909090909090911</c:v>
                </c:pt>
                <c:pt idx="401">
                  <c:v>0.20909090909090911</c:v>
                </c:pt>
                <c:pt idx="402">
                  <c:v>0.20909090909090911</c:v>
                </c:pt>
                <c:pt idx="403">
                  <c:v>0.20909090909090911</c:v>
                </c:pt>
                <c:pt idx="404">
                  <c:v>0.20909090909090911</c:v>
                </c:pt>
                <c:pt idx="405">
                  <c:v>0.20909090909090911</c:v>
                </c:pt>
                <c:pt idx="406">
                  <c:v>0.20909090909090911</c:v>
                </c:pt>
                <c:pt idx="407">
                  <c:v>0.20909090909090911</c:v>
                </c:pt>
                <c:pt idx="408">
                  <c:v>0.20909090909090911</c:v>
                </c:pt>
                <c:pt idx="409">
                  <c:v>0.20909090909090911</c:v>
                </c:pt>
                <c:pt idx="410">
                  <c:v>0.20909090909090911</c:v>
                </c:pt>
                <c:pt idx="411">
                  <c:v>0.20909090909090911</c:v>
                </c:pt>
                <c:pt idx="412">
                  <c:v>0.20909090909090911</c:v>
                </c:pt>
                <c:pt idx="413">
                  <c:v>0.20909090909090911</c:v>
                </c:pt>
                <c:pt idx="414">
                  <c:v>0.20909090909090911</c:v>
                </c:pt>
                <c:pt idx="415">
                  <c:v>0.20909090909090911</c:v>
                </c:pt>
                <c:pt idx="416">
                  <c:v>0.20909090909090911</c:v>
                </c:pt>
                <c:pt idx="417">
                  <c:v>0.20909090909090911</c:v>
                </c:pt>
                <c:pt idx="418">
                  <c:v>0.20909090909090911</c:v>
                </c:pt>
                <c:pt idx="419">
                  <c:v>0.20909090909090911</c:v>
                </c:pt>
                <c:pt idx="420">
                  <c:v>0.20909090909090911</c:v>
                </c:pt>
                <c:pt idx="421">
                  <c:v>0.20909090909090911</c:v>
                </c:pt>
                <c:pt idx="422">
                  <c:v>0.20909090909090911</c:v>
                </c:pt>
                <c:pt idx="423">
                  <c:v>0.20909090909090911</c:v>
                </c:pt>
                <c:pt idx="424">
                  <c:v>0.20909090909090911</c:v>
                </c:pt>
                <c:pt idx="425">
                  <c:v>0.20909090909090911</c:v>
                </c:pt>
                <c:pt idx="426">
                  <c:v>0.20909090909090911</c:v>
                </c:pt>
                <c:pt idx="427">
                  <c:v>0.20909090909090911</c:v>
                </c:pt>
                <c:pt idx="428">
                  <c:v>0.20909090909090911</c:v>
                </c:pt>
                <c:pt idx="429">
                  <c:v>1.7250000000000001</c:v>
                </c:pt>
                <c:pt idx="430">
                  <c:v>1.7250000000000001</c:v>
                </c:pt>
                <c:pt idx="431">
                  <c:v>1.7250000000000001</c:v>
                </c:pt>
                <c:pt idx="432">
                  <c:v>1.7250000000000001</c:v>
                </c:pt>
                <c:pt idx="433">
                  <c:v>0.17250000000000001</c:v>
                </c:pt>
                <c:pt idx="434">
                  <c:v>0.17250000000000001</c:v>
                </c:pt>
                <c:pt idx="435">
                  <c:v>0.17250000000000001</c:v>
                </c:pt>
                <c:pt idx="436">
                  <c:v>0.17250000000000001</c:v>
                </c:pt>
                <c:pt idx="437">
                  <c:v>0.17250000000000001</c:v>
                </c:pt>
                <c:pt idx="438">
                  <c:v>0.17250000000000001</c:v>
                </c:pt>
                <c:pt idx="439">
                  <c:v>0.17250000000000001</c:v>
                </c:pt>
                <c:pt idx="440">
                  <c:v>0.17250000000000001</c:v>
                </c:pt>
                <c:pt idx="441">
                  <c:v>1.3800000000000001</c:v>
                </c:pt>
                <c:pt idx="442">
                  <c:v>1.3800000000000001</c:v>
                </c:pt>
                <c:pt idx="443">
                  <c:v>1.3800000000000001</c:v>
                </c:pt>
                <c:pt idx="444">
                  <c:v>1.3800000000000001</c:v>
                </c:pt>
                <c:pt idx="445">
                  <c:v>2.2999999999999998</c:v>
                </c:pt>
                <c:pt idx="446">
                  <c:v>2.2999999999999998</c:v>
                </c:pt>
                <c:pt idx="447">
                  <c:v>2.2999999999999998</c:v>
                </c:pt>
                <c:pt idx="448">
                  <c:v>2.333333333333333</c:v>
                </c:pt>
                <c:pt idx="449">
                  <c:v>2.333333333333333</c:v>
                </c:pt>
                <c:pt idx="450">
                  <c:v>2.333333333333333</c:v>
                </c:pt>
                <c:pt idx="451">
                  <c:v>0.32222222222222219</c:v>
                </c:pt>
                <c:pt idx="452">
                  <c:v>0.64444444444444438</c:v>
                </c:pt>
                <c:pt idx="453">
                  <c:v>0.96666666666666656</c:v>
                </c:pt>
                <c:pt idx="454">
                  <c:v>0.64444444444444438</c:v>
                </c:pt>
                <c:pt idx="455">
                  <c:v>0.32222222222222219</c:v>
                </c:pt>
                <c:pt idx="456">
                  <c:v>0.82352941176470584</c:v>
                </c:pt>
                <c:pt idx="457">
                  <c:v>0.82352941176470584</c:v>
                </c:pt>
                <c:pt idx="458">
                  <c:v>0.41176470588235292</c:v>
                </c:pt>
                <c:pt idx="459">
                  <c:v>0.41176470588235292</c:v>
                </c:pt>
                <c:pt idx="460">
                  <c:v>0.41176470588235292</c:v>
                </c:pt>
                <c:pt idx="461">
                  <c:v>0.41176470588235292</c:v>
                </c:pt>
                <c:pt idx="462">
                  <c:v>0.41176470588235292</c:v>
                </c:pt>
                <c:pt idx="463">
                  <c:v>0.41176470588235292</c:v>
                </c:pt>
                <c:pt idx="464">
                  <c:v>0.41176470588235292</c:v>
                </c:pt>
                <c:pt idx="465">
                  <c:v>0.41176470588235292</c:v>
                </c:pt>
                <c:pt idx="466">
                  <c:v>0.41176470588235292</c:v>
                </c:pt>
                <c:pt idx="467">
                  <c:v>0.41176470588235292</c:v>
                </c:pt>
                <c:pt idx="468">
                  <c:v>0.41176470588235292</c:v>
                </c:pt>
                <c:pt idx="469">
                  <c:v>0.41176470588235292</c:v>
                </c:pt>
                <c:pt idx="470">
                  <c:v>0.20588235294117646</c:v>
                </c:pt>
                <c:pt idx="471">
                  <c:v>0.20588235294117646</c:v>
                </c:pt>
                <c:pt idx="472">
                  <c:v>6</c:v>
                </c:pt>
                <c:pt idx="473">
                  <c:v>5.58</c:v>
                </c:pt>
                <c:pt idx="474">
                  <c:v>0.62000000000000011</c:v>
                </c:pt>
                <c:pt idx="475">
                  <c:v>2.0999999999999996</c:v>
                </c:pt>
                <c:pt idx="476">
                  <c:v>2.0999999999999996</c:v>
                </c:pt>
                <c:pt idx="477">
                  <c:v>2.0999999999999996</c:v>
                </c:pt>
                <c:pt idx="478">
                  <c:v>0.65</c:v>
                </c:pt>
                <c:pt idx="479">
                  <c:v>5.8500000000000005</c:v>
                </c:pt>
                <c:pt idx="480">
                  <c:v>3.05</c:v>
                </c:pt>
                <c:pt idx="481">
                  <c:v>3.05</c:v>
                </c:pt>
                <c:pt idx="482">
                  <c:v>2.2962962962962963E-2</c:v>
                </c:pt>
                <c:pt idx="483">
                  <c:v>0.43629629629629624</c:v>
                </c:pt>
                <c:pt idx="484">
                  <c:v>1.1481481481481481E-2</c:v>
                </c:pt>
                <c:pt idx="485">
                  <c:v>0.21814814814814812</c:v>
                </c:pt>
                <c:pt idx="486">
                  <c:v>4.5925925925925926E-2</c:v>
                </c:pt>
                <c:pt idx="487">
                  <c:v>0.87259259259259248</c:v>
                </c:pt>
                <c:pt idx="488">
                  <c:v>2.2962962962962963E-2</c:v>
                </c:pt>
                <c:pt idx="489">
                  <c:v>0.43629629629629624</c:v>
                </c:pt>
                <c:pt idx="490">
                  <c:v>4.5925925925925926E-2</c:v>
                </c:pt>
                <c:pt idx="491">
                  <c:v>0.87259259259259248</c:v>
                </c:pt>
                <c:pt idx="492">
                  <c:v>2.2962962962962963E-2</c:v>
                </c:pt>
                <c:pt idx="493">
                  <c:v>0.43629629629629624</c:v>
                </c:pt>
                <c:pt idx="494">
                  <c:v>9.1851851851851851E-2</c:v>
                </c:pt>
                <c:pt idx="495">
                  <c:v>1.745185185185185</c:v>
                </c:pt>
                <c:pt idx="496">
                  <c:v>4.5925925925925926E-2</c:v>
                </c:pt>
                <c:pt idx="497">
                  <c:v>0.87259259259259248</c:v>
                </c:pt>
                <c:pt idx="498">
                  <c:v>0.12400000000000001</c:v>
                </c:pt>
                <c:pt idx="499">
                  <c:v>3.0379999999999998</c:v>
                </c:pt>
                <c:pt idx="500">
                  <c:v>3.0379999999999998</c:v>
                </c:pt>
                <c:pt idx="501">
                  <c:v>0.35882352941176465</c:v>
                </c:pt>
                <c:pt idx="502">
                  <c:v>0.35882352941176465</c:v>
                </c:pt>
                <c:pt idx="503">
                  <c:v>0.35882352941176465</c:v>
                </c:pt>
                <c:pt idx="504">
                  <c:v>0.35882352941176465</c:v>
                </c:pt>
                <c:pt idx="505">
                  <c:v>0.35882352941176465</c:v>
                </c:pt>
                <c:pt idx="506">
                  <c:v>0.35882352941176465</c:v>
                </c:pt>
                <c:pt idx="507">
                  <c:v>0.35882352941176465</c:v>
                </c:pt>
                <c:pt idx="508">
                  <c:v>0.35882352941176465</c:v>
                </c:pt>
                <c:pt idx="509">
                  <c:v>0.35882352941176465</c:v>
                </c:pt>
                <c:pt idx="510">
                  <c:v>0.17941176470588233</c:v>
                </c:pt>
                <c:pt idx="511">
                  <c:v>0.17941176470588233</c:v>
                </c:pt>
                <c:pt idx="512">
                  <c:v>0.17941176470588233</c:v>
                </c:pt>
                <c:pt idx="513">
                  <c:v>0.17941176470588233</c:v>
                </c:pt>
                <c:pt idx="514">
                  <c:v>0.17941176470588233</c:v>
                </c:pt>
                <c:pt idx="515">
                  <c:v>0.17941176470588233</c:v>
                </c:pt>
                <c:pt idx="516">
                  <c:v>0.35882352941176465</c:v>
                </c:pt>
                <c:pt idx="517">
                  <c:v>0.35882352941176465</c:v>
                </c:pt>
                <c:pt idx="518">
                  <c:v>0.35882352941176465</c:v>
                </c:pt>
                <c:pt idx="519">
                  <c:v>0.17941176470588233</c:v>
                </c:pt>
                <c:pt idx="520">
                  <c:v>0.17941176470588233</c:v>
                </c:pt>
                <c:pt idx="521">
                  <c:v>0.17941176470588233</c:v>
                </c:pt>
                <c:pt idx="522">
                  <c:v>0.17941176470588233</c:v>
                </c:pt>
                <c:pt idx="523">
                  <c:v>0.55454545454545456</c:v>
                </c:pt>
                <c:pt idx="524">
                  <c:v>0.27727272727272728</c:v>
                </c:pt>
                <c:pt idx="525">
                  <c:v>0.27727272727272728</c:v>
                </c:pt>
                <c:pt idx="526">
                  <c:v>0.27727272727272728</c:v>
                </c:pt>
                <c:pt idx="527">
                  <c:v>0.27727272727272728</c:v>
                </c:pt>
                <c:pt idx="528">
                  <c:v>0.55454545454545456</c:v>
                </c:pt>
                <c:pt idx="529">
                  <c:v>0.55454545454545456</c:v>
                </c:pt>
                <c:pt idx="530">
                  <c:v>0.55454545454545456</c:v>
                </c:pt>
                <c:pt idx="531">
                  <c:v>0.55454545454545456</c:v>
                </c:pt>
                <c:pt idx="532">
                  <c:v>0.55454545454545456</c:v>
                </c:pt>
                <c:pt idx="533">
                  <c:v>0.55454545454545456</c:v>
                </c:pt>
                <c:pt idx="534">
                  <c:v>0.55454545454545456</c:v>
                </c:pt>
                <c:pt idx="535">
                  <c:v>0.55454545454545456</c:v>
                </c:pt>
                <c:pt idx="536">
                  <c:v>0.6777777777777777</c:v>
                </c:pt>
                <c:pt idx="537">
                  <c:v>0.6777777777777777</c:v>
                </c:pt>
                <c:pt idx="538">
                  <c:v>0.6777777777777777</c:v>
                </c:pt>
                <c:pt idx="539">
                  <c:v>0.6777777777777777</c:v>
                </c:pt>
                <c:pt idx="540">
                  <c:v>0.6777777777777777</c:v>
                </c:pt>
                <c:pt idx="541">
                  <c:v>0.6777777777777777</c:v>
                </c:pt>
                <c:pt idx="542">
                  <c:v>0.6777777777777777</c:v>
                </c:pt>
                <c:pt idx="543">
                  <c:v>0.6777777777777777</c:v>
                </c:pt>
                <c:pt idx="544">
                  <c:v>0.6777777777777777</c:v>
                </c:pt>
                <c:pt idx="545">
                  <c:v>7.2</c:v>
                </c:pt>
                <c:pt idx="546">
                  <c:v>5.2</c:v>
                </c:pt>
                <c:pt idx="547">
                  <c:v>0.13777777777777778</c:v>
                </c:pt>
                <c:pt idx="548">
                  <c:v>0.13777777777777778</c:v>
                </c:pt>
                <c:pt idx="549">
                  <c:v>0.13777777777777778</c:v>
                </c:pt>
                <c:pt idx="550">
                  <c:v>0.13777777777777778</c:v>
                </c:pt>
                <c:pt idx="551">
                  <c:v>0.13777777777777778</c:v>
                </c:pt>
                <c:pt idx="552">
                  <c:v>0.13777777777777778</c:v>
                </c:pt>
                <c:pt idx="553">
                  <c:v>0.13777777777777778</c:v>
                </c:pt>
                <c:pt idx="554">
                  <c:v>0.13777777777777778</c:v>
                </c:pt>
                <c:pt idx="555">
                  <c:v>0.13777777777777778</c:v>
                </c:pt>
                <c:pt idx="556">
                  <c:v>0.13777777777777778</c:v>
                </c:pt>
                <c:pt idx="557">
                  <c:v>0.13777777777777778</c:v>
                </c:pt>
                <c:pt idx="558">
                  <c:v>0.13777777777777778</c:v>
                </c:pt>
                <c:pt idx="559">
                  <c:v>0.13777777777777778</c:v>
                </c:pt>
                <c:pt idx="560">
                  <c:v>0.13777777777777778</c:v>
                </c:pt>
                <c:pt idx="561">
                  <c:v>0.13777777777777778</c:v>
                </c:pt>
                <c:pt idx="562">
                  <c:v>0.13777777777777778</c:v>
                </c:pt>
                <c:pt idx="563">
                  <c:v>0.13777777777777778</c:v>
                </c:pt>
                <c:pt idx="564">
                  <c:v>0.13777777777777778</c:v>
                </c:pt>
                <c:pt idx="565">
                  <c:v>0.13777777777777778</c:v>
                </c:pt>
                <c:pt idx="566">
                  <c:v>0.13777777777777778</c:v>
                </c:pt>
                <c:pt idx="567">
                  <c:v>0.13777777777777778</c:v>
                </c:pt>
                <c:pt idx="568">
                  <c:v>0.13777777777777778</c:v>
                </c:pt>
                <c:pt idx="569">
                  <c:v>0.13777777777777778</c:v>
                </c:pt>
                <c:pt idx="570">
                  <c:v>0.13777777777777778</c:v>
                </c:pt>
                <c:pt idx="571">
                  <c:v>0.13777777777777778</c:v>
                </c:pt>
                <c:pt idx="572">
                  <c:v>0.13777777777777778</c:v>
                </c:pt>
                <c:pt idx="573">
                  <c:v>0.13777777777777778</c:v>
                </c:pt>
                <c:pt idx="574">
                  <c:v>0.13777777777777778</c:v>
                </c:pt>
                <c:pt idx="575">
                  <c:v>0.13777777777777778</c:v>
                </c:pt>
                <c:pt idx="576">
                  <c:v>0.13777777777777778</c:v>
                </c:pt>
                <c:pt idx="577">
                  <c:v>0.13777777777777778</c:v>
                </c:pt>
                <c:pt idx="578">
                  <c:v>0.13777777777777778</c:v>
                </c:pt>
                <c:pt idx="579">
                  <c:v>0.13777777777777778</c:v>
                </c:pt>
                <c:pt idx="580">
                  <c:v>0.13777777777777778</c:v>
                </c:pt>
                <c:pt idx="581">
                  <c:v>0.13777777777777778</c:v>
                </c:pt>
                <c:pt idx="582">
                  <c:v>0.13777777777777778</c:v>
                </c:pt>
                <c:pt idx="583">
                  <c:v>0.13777777777777778</c:v>
                </c:pt>
                <c:pt idx="584">
                  <c:v>0.13777777777777778</c:v>
                </c:pt>
                <c:pt idx="585">
                  <c:v>0.13777777777777778</c:v>
                </c:pt>
                <c:pt idx="586">
                  <c:v>0.13777777777777778</c:v>
                </c:pt>
                <c:pt idx="587">
                  <c:v>0.13777777777777778</c:v>
                </c:pt>
                <c:pt idx="588">
                  <c:v>0.13777777777777778</c:v>
                </c:pt>
                <c:pt idx="589">
                  <c:v>0.13777777777777778</c:v>
                </c:pt>
                <c:pt idx="590">
                  <c:v>0.13777777777777778</c:v>
                </c:pt>
                <c:pt idx="591">
                  <c:v>0.13777777777777778</c:v>
                </c:pt>
                <c:pt idx="592">
                  <c:v>0.72093023255813959</c:v>
                </c:pt>
                <c:pt idx="593">
                  <c:v>0.72093023255813959</c:v>
                </c:pt>
                <c:pt idx="594">
                  <c:v>0.72093023255813959</c:v>
                </c:pt>
                <c:pt idx="595">
                  <c:v>7.2093023255813959E-2</c:v>
                </c:pt>
                <c:pt idx="596">
                  <c:v>7.2093023255813959E-2</c:v>
                </c:pt>
                <c:pt idx="597">
                  <c:v>7.2093023255813959E-2</c:v>
                </c:pt>
                <c:pt idx="598">
                  <c:v>0.72093023255813959</c:v>
                </c:pt>
                <c:pt idx="599">
                  <c:v>0.72093023255813959</c:v>
                </c:pt>
                <c:pt idx="600">
                  <c:v>7.2093023255813959E-2</c:v>
                </c:pt>
                <c:pt idx="601">
                  <c:v>7.2093023255813959E-2</c:v>
                </c:pt>
                <c:pt idx="602">
                  <c:v>7.2093023255813959E-2</c:v>
                </c:pt>
                <c:pt idx="603">
                  <c:v>0.72093023255813959</c:v>
                </c:pt>
                <c:pt idx="604">
                  <c:v>0.72093023255813959</c:v>
                </c:pt>
                <c:pt idx="605">
                  <c:v>0.72093023255813959</c:v>
                </c:pt>
                <c:pt idx="606">
                  <c:v>0.62000000000000011</c:v>
                </c:pt>
                <c:pt idx="607">
                  <c:v>5.58</c:v>
                </c:pt>
                <c:pt idx="608">
                  <c:v>4.3055555555555555E-2</c:v>
                </c:pt>
                <c:pt idx="609">
                  <c:v>4.3055555555555555E-2</c:v>
                </c:pt>
                <c:pt idx="610">
                  <c:v>4.3055555555555555E-2</c:v>
                </c:pt>
                <c:pt idx="611">
                  <c:v>4.3055555555555555E-2</c:v>
                </c:pt>
                <c:pt idx="612">
                  <c:v>4.3055555555555555E-2</c:v>
                </c:pt>
                <c:pt idx="613">
                  <c:v>4.3055555555555555E-2</c:v>
                </c:pt>
                <c:pt idx="614">
                  <c:v>4.3055555555555555E-2</c:v>
                </c:pt>
                <c:pt idx="615">
                  <c:v>4.3055555555555555E-2</c:v>
                </c:pt>
                <c:pt idx="616">
                  <c:v>4.3055555555555555E-2</c:v>
                </c:pt>
                <c:pt idx="617">
                  <c:v>4.3055555555555555E-2</c:v>
                </c:pt>
                <c:pt idx="618">
                  <c:v>4.3055555555555555E-2</c:v>
                </c:pt>
                <c:pt idx="619">
                  <c:v>4.3055555555555555E-2</c:v>
                </c:pt>
                <c:pt idx="620">
                  <c:v>4.3055555555555555E-2</c:v>
                </c:pt>
                <c:pt idx="621">
                  <c:v>4.3055555555555555E-2</c:v>
                </c:pt>
                <c:pt idx="622">
                  <c:v>4.3055555555555555E-2</c:v>
                </c:pt>
                <c:pt idx="623">
                  <c:v>4.3055555555555555E-2</c:v>
                </c:pt>
                <c:pt idx="624">
                  <c:v>4.3055555555555555E-2</c:v>
                </c:pt>
                <c:pt idx="625">
                  <c:v>4.3055555555555555E-2</c:v>
                </c:pt>
                <c:pt idx="626">
                  <c:v>4.3055555555555555E-2</c:v>
                </c:pt>
                <c:pt idx="627">
                  <c:v>4.3055555555555555E-2</c:v>
                </c:pt>
                <c:pt idx="628">
                  <c:v>4.3055555555555555E-2</c:v>
                </c:pt>
                <c:pt idx="629">
                  <c:v>4.3055555555555555E-2</c:v>
                </c:pt>
                <c:pt idx="630">
                  <c:v>4.3055555555555555E-2</c:v>
                </c:pt>
                <c:pt idx="631">
                  <c:v>4.3055555555555555E-2</c:v>
                </c:pt>
                <c:pt idx="632">
                  <c:v>4.3055555555555555E-2</c:v>
                </c:pt>
                <c:pt idx="633">
                  <c:v>4.3055555555555555E-2</c:v>
                </c:pt>
                <c:pt idx="634">
                  <c:v>4.3055555555555555E-2</c:v>
                </c:pt>
                <c:pt idx="635">
                  <c:v>4.3055555555555555E-2</c:v>
                </c:pt>
                <c:pt idx="636">
                  <c:v>4.3055555555555555E-2</c:v>
                </c:pt>
                <c:pt idx="637">
                  <c:v>4.3055555555555555E-2</c:v>
                </c:pt>
                <c:pt idx="638">
                  <c:v>4.3055555555555555E-2</c:v>
                </c:pt>
                <c:pt idx="639">
                  <c:v>4.3055555555555555E-2</c:v>
                </c:pt>
                <c:pt idx="640">
                  <c:v>4.3055555555555555E-2</c:v>
                </c:pt>
                <c:pt idx="641">
                  <c:v>4.3055555555555555E-2</c:v>
                </c:pt>
                <c:pt idx="642">
                  <c:v>4.3055555555555555E-2</c:v>
                </c:pt>
                <c:pt idx="643">
                  <c:v>4.3055555555555555E-2</c:v>
                </c:pt>
                <c:pt idx="644">
                  <c:v>4.3055555555555555E-2</c:v>
                </c:pt>
                <c:pt idx="645">
                  <c:v>4.3055555555555555E-2</c:v>
                </c:pt>
                <c:pt idx="646">
                  <c:v>4.3055555555555555E-2</c:v>
                </c:pt>
                <c:pt idx="647">
                  <c:v>4.3055555555555555E-2</c:v>
                </c:pt>
                <c:pt idx="648">
                  <c:v>4.3055555555555555E-2</c:v>
                </c:pt>
                <c:pt idx="649">
                  <c:v>4.3055555555555555E-2</c:v>
                </c:pt>
                <c:pt idx="650">
                  <c:v>4.3055555555555555E-2</c:v>
                </c:pt>
                <c:pt idx="651">
                  <c:v>4.3055555555555555E-2</c:v>
                </c:pt>
                <c:pt idx="652">
                  <c:v>4.3055555555555555E-2</c:v>
                </c:pt>
                <c:pt idx="653">
                  <c:v>4.3055555555555555E-2</c:v>
                </c:pt>
                <c:pt idx="654">
                  <c:v>4.3055555555555555E-2</c:v>
                </c:pt>
                <c:pt idx="655">
                  <c:v>4.3055555555555555E-2</c:v>
                </c:pt>
                <c:pt idx="656">
                  <c:v>4.3055555555555555E-2</c:v>
                </c:pt>
                <c:pt idx="657">
                  <c:v>4.3055555555555555E-2</c:v>
                </c:pt>
                <c:pt idx="658">
                  <c:v>4.3055555555555555E-2</c:v>
                </c:pt>
                <c:pt idx="659">
                  <c:v>4.3055555555555555E-2</c:v>
                </c:pt>
                <c:pt idx="660">
                  <c:v>4.3055555555555555E-2</c:v>
                </c:pt>
                <c:pt idx="661">
                  <c:v>4.3055555555555555E-2</c:v>
                </c:pt>
                <c:pt idx="662">
                  <c:v>4.3055555555555555E-2</c:v>
                </c:pt>
                <c:pt idx="663">
                  <c:v>4.3055555555555555E-2</c:v>
                </c:pt>
                <c:pt idx="664">
                  <c:v>4.3055555555555555E-2</c:v>
                </c:pt>
                <c:pt idx="665">
                  <c:v>4.3055555555555555E-2</c:v>
                </c:pt>
                <c:pt idx="666">
                  <c:v>4.3055555555555555E-2</c:v>
                </c:pt>
                <c:pt idx="667">
                  <c:v>4.3055555555555555E-2</c:v>
                </c:pt>
                <c:pt idx="668">
                  <c:v>4.3055555555555555E-2</c:v>
                </c:pt>
                <c:pt idx="669">
                  <c:v>4.3055555555555555E-2</c:v>
                </c:pt>
                <c:pt idx="670">
                  <c:v>4.3055555555555555E-2</c:v>
                </c:pt>
                <c:pt idx="671">
                  <c:v>4.3055555555555555E-2</c:v>
                </c:pt>
                <c:pt idx="672">
                  <c:v>4.3055555555555555E-2</c:v>
                </c:pt>
                <c:pt idx="673">
                  <c:v>4.3055555555555555E-2</c:v>
                </c:pt>
                <c:pt idx="674">
                  <c:v>4.3055555555555555E-2</c:v>
                </c:pt>
                <c:pt idx="675">
                  <c:v>4.3055555555555555E-2</c:v>
                </c:pt>
                <c:pt idx="676">
                  <c:v>4.3055555555555555E-2</c:v>
                </c:pt>
                <c:pt idx="677">
                  <c:v>4.3055555555555555E-2</c:v>
                </c:pt>
                <c:pt idx="678">
                  <c:v>4.3055555555555555E-2</c:v>
                </c:pt>
                <c:pt idx="679">
                  <c:v>4.3055555555555555E-2</c:v>
                </c:pt>
                <c:pt idx="680">
                  <c:v>4.3055555555555555E-2</c:v>
                </c:pt>
                <c:pt idx="681">
                  <c:v>4.3055555555555555E-2</c:v>
                </c:pt>
                <c:pt idx="682">
                  <c:v>4.3055555555555555E-2</c:v>
                </c:pt>
                <c:pt idx="683">
                  <c:v>4.3055555555555555E-2</c:v>
                </c:pt>
                <c:pt idx="684">
                  <c:v>4.3055555555555555E-2</c:v>
                </c:pt>
                <c:pt idx="685">
                  <c:v>4.3055555555555555E-2</c:v>
                </c:pt>
                <c:pt idx="686">
                  <c:v>4.3055555555555555E-2</c:v>
                </c:pt>
                <c:pt idx="687">
                  <c:v>4.3055555555555555E-2</c:v>
                </c:pt>
                <c:pt idx="688">
                  <c:v>4.3055555555555555E-2</c:v>
                </c:pt>
                <c:pt idx="689">
                  <c:v>4.3055555555555555E-2</c:v>
                </c:pt>
                <c:pt idx="690">
                  <c:v>4.3055555555555555E-2</c:v>
                </c:pt>
                <c:pt idx="691">
                  <c:v>4.3055555555555555E-2</c:v>
                </c:pt>
                <c:pt idx="692">
                  <c:v>4.3055555555555555E-2</c:v>
                </c:pt>
                <c:pt idx="693">
                  <c:v>4.3055555555555555E-2</c:v>
                </c:pt>
                <c:pt idx="694">
                  <c:v>4.3055555555555555E-2</c:v>
                </c:pt>
                <c:pt idx="695">
                  <c:v>4.3055555555555555E-2</c:v>
                </c:pt>
                <c:pt idx="696">
                  <c:v>4.3055555555555555E-2</c:v>
                </c:pt>
                <c:pt idx="697">
                  <c:v>4.3055555555555555E-2</c:v>
                </c:pt>
                <c:pt idx="698">
                  <c:v>4.3055555555555555E-2</c:v>
                </c:pt>
                <c:pt idx="699">
                  <c:v>4.3055555555555555E-2</c:v>
                </c:pt>
                <c:pt idx="700">
                  <c:v>4.3055555555555555E-2</c:v>
                </c:pt>
                <c:pt idx="701">
                  <c:v>4.3055555555555555E-2</c:v>
                </c:pt>
                <c:pt idx="702">
                  <c:v>4.3055555555555555E-2</c:v>
                </c:pt>
                <c:pt idx="703">
                  <c:v>4.3055555555555555E-2</c:v>
                </c:pt>
                <c:pt idx="704">
                  <c:v>4.3055555555555555E-2</c:v>
                </c:pt>
                <c:pt idx="705">
                  <c:v>4.3055555555555555E-2</c:v>
                </c:pt>
                <c:pt idx="706">
                  <c:v>4.3055555555555555E-2</c:v>
                </c:pt>
                <c:pt idx="707">
                  <c:v>4.3055555555555555E-2</c:v>
                </c:pt>
                <c:pt idx="708">
                  <c:v>4.3055555555555555E-2</c:v>
                </c:pt>
                <c:pt idx="709">
                  <c:v>4.3055555555555555E-2</c:v>
                </c:pt>
                <c:pt idx="710">
                  <c:v>4.3055555555555555E-2</c:v>
                </c:pt>
                <c:pt idx="711">
                  <c:v>4.3055555555555555E-2</c:v>
                </c:pt>
                <c:pt idx="712">
                  <c:v>4.3055555555555555E-2</c:v>
                </c:pt>
                <c:pt idx="713">
                  <c:v>4.3055555555555555E-2</c:v>
                </c:pt>
                <c:pt idx="714">
                  <c:v>4.3055555555555555E-2</c:v>
                </c:pt>
                <c:pt idx="715">
                  <c:v>4.3055555555555555E-2</c:v>
                </c:pt>
                <c:pt idx="716">
                  <c:v>4.3055555555555555E-2</c:v>
                </c:pt>
                <c:pt idx="717">
                  <c:v>4.3055555555555555E-2</c:v>
                </c:pt>
                <c:pt idx="718">
                  <c:v>4.3055555555555555E-2</c:v>
                </c:pt>
                <c:pt idx="719">
                  <c:v>4.3055555555555555E-2</c:v>
                </c:pt>
                <c:pt idx="720">
                  <c:v>4.3055555555555555E-2</c:v>
                </c:pt>
                <c:pt idx="721">
                  <c:v>4.3055555555555555E-2</c:v>
                </c:pt>
                <c:pt idx="722">
                  <c:v>4.3055555555555555E-2</c:v>
                </c:pt>
                <c:pt idx="723">
                  <c:v>4.3055555555555555E-2</c:v>
                </c:pt>
                <c:pt idx="724">
                  <c:v>4.3055555555555555E-2</c:v>
                </c:pt>
                <c:pt idx="725">
                  <c:v>4.3055555555555555E-2</c:v>
                </c:pt>
                <c:pt idx="726">
                  <c:v>4.3055555555555555E-2</c:v>
                </c:pt>
                <c:pt idx="727">
                  <c:v>4.3055555555555555E-2</c:v>
                </c:pt>
                <c:pt idx="728">
                  <c:v>4.3055555555555555E-2</c:v>
                </c:pt>
                <c:pt idx="729">
                  <c:v>4.3055555555555555E-2</c:v>
                </c:pt>
                <c:pt idx="730">
                  <c:v>4.3055555555555555E-2</c:v>
                </c:pt>
                <c:pt idx="731">
                  <c:v>4.3055555555555555E-2</c:v>
                </c:pt>
                <c:pt idx="732">
                  <c:v>4.3055555555555555E-2</c:v>
                </c:pt>
                <c:pt idx="733">
                  <c:v>4.3055555555555555E-2</c:v>
                </c:pt>
                <c:pt idx="734">
                  <c:v>4.3055555555555555E-2</c:v>
                </c:pt>
                <c:pt idx="735">
                  <c:v>4.3055555555555555E-2</c:v>
                </c:pt>
                <c:pt idx="736">
                  <c:v>4.3055555555555555E-2</c:v>
                </c:pt>
                <c:pt idx="737">
                  <c:v>4.3055555555555555E-2</c:v>
                </c:pt>
                <c:pt idx="738">
                  <c:v>4.3055555555555555E-2</c:v>
                </c:pt>
                <c:pt idx="739">
                  <c:v>4.3055555555555555E-2</c:v>
                </c:pt>
                <c:pt idx="740">
                  <c:v>4.3055555555555555E-2</c:v>
                </c:pt>
                <c:pt idx="741">
                  <c:v>4.3055555555555555E-2</c:v>
                </c:pt>
                <c:pt idx="742">
                  <c:v>4.3055555555555555E-2</c:v>
                </c:pt>
                <c:pt idx="743">
                  <c:v>4.3055555555555555E-2</c:v>
                </c:pt>
                <c:pt idx="744">
                  <c:v>4.3055555555555555E-2</c:v>
                </c:pt>
                <c:pt idx="745">
                  <c:v>4.3055555555555555E-2</c:v>
                </c:pt>
                <c:pt idx="746">
                  <c:v>4.3055555555555555E-2</c:v>
                </c:pt>
                <c:pt idx="747">
                  <c:v>4.3055555555555555E-2</c:v>
                </c:pt>
                <c:pt idx="748">
                  <c:v>4.3055555555555555E-2</c:v>
                </c:pt>
                <c:pt idx="749">
                  <c:v>4.3055555555555555E-2</c:v>
                </c:pt>
                <c:pt idx="750">
                  <c:v>4.3055555555555555E-2</c:v>
                </c:pt>
                <c:pt idx="751">
                  <c:v>4.3055555555555555E-2</c:v>
                </c:pt>
                <c:pt idx="752">
                  <c:v>0.55454545454545456</c:v>
                </c:pt>
                <c:pt idx="753">
                  <c:v>0.55454545454545456</c:v>
                </c:pt>
                <c:pt idx="754">
                  <c:v>0.55454545454545456</c:v>
                </c:pt>
                <c:pt idx="755">
                  <c:v>0.55454545454545456</c:v>
                </c:pt>
                <c:pt idx="756">
                  <c:v>0.55454545454545456</c:v>
                </c:pt>
                <c:pt idx="757">
                  <c:v>0.55454545454545456</c:v>
                </c:pt>
                <c:pt idx="758">
                  <c:v>0.55454545454545456</c:v>
                </c:pt>
                <c:pt idx="759">
                  <c:v>0.55454545454545456</c:v>
                </c:pt>
                <c:pt idx="760">
                  <c:v>0.55454545454545456</c:v>
                </c:pt>
                <c:pt idx="761">
                  <c:v>0.55454545454545456</c:v>
                </c:pt>
                <c:pt idx="762">
                  <c:v>0.55454545454545456</c:v>
                </c:pt>
                <c:pt idx="763">
                  <c:v>5.04</c:v>
                </c:pt>
                <c:pt idx="764">
                  <c:v>0.63</c:v>
                </c:pt>
                <c:pt idx="765">
                  <c:v>0.63</c:v>
                </c:pt>
                <c:pt idx="766">
                  <c:v>6.3E-2</c:v>
                </c:pt>
                <c:pt idx="767">
                  <c:v>6.3E-2</c:v>
                </c:pt>
                <c:pt idx="768">
                  <c:v>6.3E-2</c:v>
                </c:pt>
                <c:pt idx="769">
                  <c:v>6.3E-2</c:v>
                </c:pt>
                <c:pt idx="770">
                  <c:v>6.3E-2</c:v>
                </c:pt>
                <c:pt idx="771">
                  <c:v>6.3E-2</c:v>
                </c:pt>
                <c:pt idx="772">
                  <c:v>6.3E-2</c:v>
                </c:pt>
                <c:pt idx="773">
                  <c:v>6.3E-2</c:v>
                </c:pt>
                <c:pt idx="774">
                  <c:v>5.7960000000000003</c:v>
                </c:pt>
                <c:pt idx="775">
                  <c:v>0.66363636363636369</c:v>
                </c:pt>
                <c:pt idx="776">
                  <c:v>0.66363636363636369</c:v>
                </c:pt>
                <c:pt idx="777">
                  <c:v>0.66363636363636369</c:v>
                </c:pt>
                <c:pt idx="778">
                  <c:v>0.66363636363636369</c:v>
                </c:pt>
                <c:pt idx="779">
                  <c:v>0.66363636363636369</c:v>
                </c:pt>
                <c:pt idx="780">
                  <c:v>0.66363636363636369</c:v>
                </c:pt>
                <c:pt idx="781">
                  <c:v>0.66363636363636369</c:v>
                </c:pt>
                <c:pt idx="782">
                  <c:v>0.66363636363636369</c:v>
                </c:pt>
                <c:pt idx="783">
                  <c:v>0.66363636363636369</c:v>
                </c:pt>
                <c:pt idx="784">
                  <c:v>0.66363636363636369</c:v>
                </c:pt>
                <c:pt idx="785">
                  <c:v>0.66363636363636369</c:v>
                </c:pt>
                <c:pt idx="786">
                  <c:v>2.0999999999999996</c:v>
                </c:pt>
                <c:pt idx="787">
                  <c:v>2.0999999999999996</c:v>
                </c:pt>
                <c:pt idx="788">
                  <c:v>2.0999999999999996</c:v>
                </c:pt>
                <c:pt idx="789">
                  <c:v>2.1666666666666665</c:v>
                </c:pt>
                <c:pt idx="790">
                  <c:v>2.1666666666666665</c:v>
                </c:pt>
                <c:pt idx="791">
                  <c:v>2.1666666666666665</c:v>
                </c:pt>
                <c:pt idx="792">
                  <c:v>0.8125</c:v>
                </c:pt>
                <c:pt idx="793">
                  <c:v>0.8125</c:v>
                </c:pt>
                <c:pt idx="794">
                  <c:v>0.8125</c:v>
                </c:pt>
                <c:pt idx="795">
                  <c:v>0.8125</c:v>
                </c:pt>
                <c:pt idx="796">
                  <c:v>0.8125</c:v>
                </c:pt>
                <c:pt idx="797">
                  <c:v>0.8125</c:v>
                </c:pt>
                <c:pt idx="798">
                  <c:v>0.8125</c:v>
                </c:pt>
                <c:pt idx="799">
                  <c:v>0.8125</c:v>
                </c:pt>
                <c:pt idx="800">
                  <c:v>0.22857142857142856</c:v>
                </c:pt>
                <c:pt idx="801">
                  <c:v>0.22857142857142856</c:v>
                </c:pt>
                <c:pt idx="802">
                  <c:v>0.22857142857142856</c:v>
                </c:pt>
                <c:pt idx="803">
                  <c:v>0.22857142857142856</c:v>
                </c:pt>
                <c:pt idx="804">
                  <c:v>0.22857142857142856</c:v>
                </c:pt>
                <c:pt idx="805">
                  <c:v>0.22857142857142856</c:v>
                </c:pt>
                <c:pt idx="806">
                  <c:v>0.22857142857142856</c:v>
                </c:pt>
                <c:pt idx="807">
                  <c:v>0.22857142857142856</c:v>
                </c:pt>
                <c:pt idx="808">
                  <c:v>0.22857142857142856</c:v>
                </c:pt>
                <c:pt idx="809">
                  <c:v>0.22857142857142856</c:v>
                </c:pt>
                <c:pt idx="810">
                  <c:v>0.22857142857142856</c:v>
                </c:pt>
                <c:pt idx="811">
                  <c:v>0.22857142857142856</c:v>
                </c:pt>
                <c:pt idx="812">
                  <c:v>0.22857142857142856</c:v>
                </c:pt>
                <c:pt idx="813">
                  <c:v>0.22857142857142856</c:v>
                </c:pt>
                <c:pt idx="814">
                  <c:v>0.22857142857142856</c:v>
                </c:pt>
                <c:pt idx="815">
                  <c:v>0.22857142857142856</c:v>
                </c:pt>
                <c:pt idx="816">
                  <c:v>0.22857142857142856</c:v>
                </c:pt>
                <c:pt idx="817">
                  <c:v>0.22857142857142856</c:v>
                </c:pt>
                <c:pt idx="818">
                  <c:v>0.22857142857142856</c:v>
                </c:pt>
                <c:pt idx="819">
                  <c:v>0.22857142857142856</c:v>
                </c:pt>
                <c:pt idx="820">
                  <c:v>0.22857142857142856</c:v>
                </c:pt>
                <c:pt idx="821">
                  <c:v>0.22857142857142856</c:v>
                </c:pt>
                <c:pt idx="822">
                  <c:v>0.22857142857142856</c:v>
                </c:pt>
                <c:pt idx="823">
                  <c:v>0.22857142857142856</c:v>
                </c:pt>
                <c:pt idx="824">
                  <c:v>0.22857142857142856</c:v>
                </c:pt>
                <c:pt idx="825">
                  <c:v>0.22857142857142856</c:v>
                </c:pt>
                <c:pt idx="826">
                  <c:v>0.22857142857142856</c:v>
                </c:pt>
                <c:pt idx="827">
                  <c:v>0.22857142857142856</c:v>
                </c:pt>
                <c:pt idx="828">
                  <c:v>0.37647058823529411</c:v>
                </c:pt>
                <c:pt idx="829">
                  <c:v>1.5058823529411764</c:v>
                </c:pt>
                <c:pt idx="830">
                  <c:v>3.0117647058823529</c:v>
                </c:pt>
                <c:pt idx="831">
                  <c:v>0.75294117647058822</c:v>
                </c:pt>
                <c:pt idx="832">
                  <c:v>0.75294117647058822</c:v>
                </c:pt>
                <c:pt idx="833">
                  <c:v>0.85333333333333339</c:v>
                </c:pt>
                <c:pt idx="834">
                  <c:v>0.42666666666666669</c:v>
                </c:pt>
                <c:pt idx="835">
                  <c:v>1.2800000000000002</c:v>
                </c:pt>
                <c:pt idx="836">
                  <c:v>1.7066666666666668</c:v>
                </c:pt>
                <c:pt idx="837">
                  <c:v>2.1333333333333333</c:v>
                </c:pt>
                <c:pt idx="838">
                  <c:v>0.8078895463510849</c:v>
                </c:pt>
                <c:pt idx="839">
                  <c:v>0.40394477317554245</c:v>
                </c:pt>
                <c:pt idx="840">
                  <c:v>0.40394477317554245</c:v>
                </c:pt>
                <c:pt idx="841">
                  <c:v>0.20197238658777122</c:v>
                </c:pt>
                <c:pt idx="842">
                  <c:v>0.10098619329388561</c:v>
                </c:pt>
                <c:pt idx="843">
                  <c:v>5.0493096646942806E-2</c:v>
                </c:pt>
                <c:pt idx="844">
                  <c:v>0.40394477317554245</c:v>
                </c:pt>
                <c:pt idx="845">
                  <c:v>0.20197238658777122</c:v>
                </c:pt>
                <c:pt idx="846">
                  <c:v>0.20197238658777122</c:v>
                </c:pt>
                <c:pt idx="847">
                  <c:v>0.10098619329388561</c:v>
                </c:pt>
                <c:pt idx="848">
                  <c:v>5.0493096646942806E-2</c:v>
                </c:pt>
                <c:pt idx="849">
                  <c:v>2.5246548323471403E-2</c:v>
                </c:pt>
                <c:pt idx="850">
                  <c:v>0.40394477317554245</c:v>
                </c:pt>
                <c:pt idx="851">
                  <c:v>0.20197238658777122</c:v>
                </c:pt>
                <c:pt idx="852">
                  <c:v>0.20197238658777122</c:v>
                </c:pt>
                <c:pt idx="853">
                  <c:v>0.10098619329388561</c:v>
                </c:pt>
                <c:pt idx="854">
                  <c:v>5.0493096646942806E-2</c:v>
                </c:pt>
                <c:pt idx="855">
                  <c:v>2.5246548323471403E-2</c:v>
                </c:pt>
                <c:pt idx="856">
                  <c:v>0.20197238658777122</c:v>
                </c:pt>
                <c:pt idx="857">
                  <c:v>0.10098619329388561</c:v>
                </c:pt>
                <c:pt idx="858">
                  <c:v>0.10098619329388561</c:v>
                </c:pt>
                <c:pt idx="859">
                  <c:v>5.0493096646942806E-2</c:v>
                </c:pt>
                <c:pt idx="860">
                  <c:v>2.5246548323471403E-2</c:v>
                </c:pt>
                <c:pt idx="861">
                  <c:v>1.2623274161735702E-2</c:v>
                </c:pt>
                <c:pt idx="862">
                  <c:v>0.8078895463510849</c:v>
                </c:pt>
                <c:pt idx="863">
                  <c:v>0.40394477317554245</c:v>
                </c:pt>
                <c:pt idx="864">
                  <c:v>0.40394477317554245</c:v>
                </c:pt>
                <c:pt idx="865">
                  <c:v>0.20197238658777122</c:v>
                </c:pt>
                <c:pt idx="866">
                  <c:v>0.10098619329388561</c:v>
                </c:pt>
                <c:pt idx="867">
                  <c:v>5.0493096646942806E-2</c:v>
                </c:pt>
                <c:pt idx="868">
                  <c:v>0.3938461538461539</c:v>
                </c:pt>
                <c:pt idx="869">
                  <c:v>0.7876923076923078</c:v>
                </c:pt>
                <c:pt idx="870">
                  <c:v>0.19692307692307695</c:v>
                </c:pt>
                <c:pt idx="871">
                  <c:v>9.8461538461538475E-2</c:v>
                </c:pt>
                <c:pt idx="872">
                  <c:v>0.19692307692307695</c:v>
                </c:pt>
                <c:pt idx="873">
                  <c:v>1.5753846153846156</c:v>
                </c:pt>
                <c:pt idx="874">
                  <c:v>3.1507692307692312</c:v>
                </c:pt>
                <c:pt idx="875">
                  <c:v>0.10158730158730159</c:v>
                </c:pt>
                <c:pt idx="876">
                  <c:v>0.40634920634920635</c:v>
                </c:pt>
                <c:pt idx="877">
                  <c:v>0.40634920634920635</c:v>
                </c:pt>
                <c:pt idx="878">
                  <c:v>0.40634920634920635</c:v>
                </c:pt>
                <c:pt idx="879">
                  <c:v>0.40634920634920635</c:v>
                </c:pt>
                <c:pt idx="880">
                  <c:v>0.20317460317460317</c:v>
                </c:pt>
                <c:pt idx="881">
                  <c:v>0.20317460317460317</c:v>
                </c:pt>
                <c:pt idx="882">
                  <c:v>0.20317460317460317</c:v>
                </c:pt>
                <c:pt idx="883">
                  <c:v>0.8126984126984127</c:v>
                </c:pt>
                <c:pt idx="884">
                  <c:v>0.8126984126984127</c:v>
                </c:pt>
                <c:pt idx="885">
                  <c:v>0.8126984126984127</c:v>
                </c:pt>
                <c:pt idx="886">
                  <c:v>0.8126984126984127</c:v>
                </c:pt>
                <c:pt idx="887">
                  <c:v>0.40634920634920635</c:v>
                </c:pt>
                <c:pt idx="888">
                  <c:v>0.40634920634920635</c:v>
                </c:pt>
                <c:pt idx="889">
                  <c:v>0.39374999999999999</c:v>
                </c:pt>
                <c:pt idx="890">
                  <c:v>0.78749999999999998</c:v>
                </c:pt>
                <c:pt idx="891">
                  <c:v>1.1812499999999999</c:v>
                </c:pt>
                <c:pt idx="892">
                  <c:v>1.575</c:v>
                </c:pt>
                <c:pt idx="893">
                  <c:v>1.1812499999999999</c:v>
                </c:pt>
                <c:pt idx="894">
                  <c:v>0.78749999999999998</c:v>
                </c:pt>
                <c:pt idx="895">
                  <c:v>0.39374999999999999</c:v>
                </c:pt>
                <c:pt idx="896">
                  <c:v>0.10655737704918034</c:v>
                </c:pt>
                <c:pt idx="897">
                  <c:v>0.21311475409836067</c:v>
                </c:pt>
                <c:pt idx="898">
                  <c:v>0.21311475409836067</c:v>
                </c:pt>
                <c:pt idx="899">
                  <c:v>0.21311475409836067</c:v>
                </c:pt>
                <c:pt idx="900">
                  <c:v>0.21311475409836067</c:v>
                </c:pt>
                <c:pt idx="901">
                  <c:v>0.42622950819672134</c:v>
                </c:pt>
                <c:pt idx="902">
                  <c:v>0.42622950819672134</c:v>
                </c:pt>
                <c:pt idx="903">
                  <c:v>0.42622950819672134</c:v>
                </c:pt>
                <c:pt idx="904">
                  <c:v>0.42622950819672134</c:v>
                </c:pt>
                <c:pt idx="905">
                  <c:v>0.42622950819672134</c:v>
                </c:pt>
                <c:pt idx="906">
                  <c:v>0.42622950819672134</c:v>
                </c:pt>
                <c:pt idx="907">
                  <c:v>0.42622950819672134</c:v>
                </c:pt>
                <c:pt idx="908">
                  <c:v>0.85245901639344268</c:v>
                </c:pt>
                <c:pt idx="909">
                  <c:v>0.85245901639344268</c:v>
                </c:pt>
                <c:pt idx="910">
                  <c:v>0.85245901639344268</c:v>
                </c:pt>
                <c:pt idx="911">
                  <c:v>1.3684210526315788</c:v>
                </c:pt>
                <c:pt idx="912">
                  <c:v>0.34210526315789469</c:v>
                </c:pt>
                <c:pt idx="913">
                  <c:v>0.68421052631578938</c:v>
                </c:pt>
                <c:pt idx="914">
                  <c:v>0.68421052631578938</c:v>
                </c:pt>
                <c:pt idx="915">
                  <c:v>0.34210526315789469</c:v>
                </c:pt>
                <c:pt idx="916">
                  <c:v>0.34210526315789469</c:v>
                </c:pt>
                <c:pt idx="917">
                  <c:v>0.34210526315789469</c:v>
                </c:pt>
                <c:pt idx="918">
                  <c:v>0.34210526315789469</c:v>
                </c:pt>
                <c:pt idx="919">
                  <c:v>0.34210526315789469</c:v>
                </c:pt>
                <c:pt idx="920">
                  <c:v>0.34210526315789469</c:v>
                </c:pt>
                <c:pt idx="921">
                  <c:v>0.34210526315789469</c:v>
                </c:pt>
                <c:pt idx="922">
                  <c:v>0.34210526315789469</c:v>
                </c:pt>
                <c:pt idx="923">
                  <c:v>0.34210526315789469</c:v>
                </c:pt>
                <c:pt idx="924">
                  <c:v>0.34210526315789469</c:v>
                </c:pt>
                <c:pt idx="925">
                  <c:v>0.82222222222222219</c:v>
                </c:pt>
                <c:pt idx="926">
                  <c:v>0.20555555555555555</c:v>
                </c:pt>
                <c:pt idx="927">
                  <c:v>0.20555555555555555</c:v>
                </c:pt>
                <c:pt idx="928">
                  <c:v>0.20555555555555555</c:v>
                </c:pt>
                <c:pt idx="929">
                  <c:v>0.20555555555555555</c:v>
                </c:pt>
                <c:pt idx="930">
                  <c:v>0.82222222222222219</c:v>
                </c:pt>
                <c:pt idx="931">
                  <c:v>0.82222222222222219</c:v>
                </c:pt>
                <c:pt idx="932">
                  <c:v>0.82222222222222219</c:v>
                </c:pt>
                <c:pt idx="933">
                  <c:v>0.82222222222222219</c:v>
                </c:pt>
                <c:pt idx="934">
                  <c:v>0.82222222222222219</c:v>
                </c:pt>
                <c:pt idx="935">
                  <c:v>0.82222222222222219</c:v>
                </c:pt>
                <c:pt idx="936">
                  <c:v>0.82222222222222219</c:v>
                </c:pt>
                <c:pt idx="937">
                  <c:v>2.6</c:v>
                </c:pt>
                <c:pt idx="938">
                  <c:v>2.6</c:v>
                </c:pt>
                <c:pt idx="939">
                  <c:v>3.15</c:v>
                </c:pt>
                <c:pt idx="940">
                  <c:v>3.15</c:v>
                </c:pt>
                <c:pt idx="941">
                  <c:v>1.1777777777777776</c:v>
                </c:pt>
                <c:pt idx="942">
                  <c:v>2.3555555555555552</c:v>
                </c:pt>
                <c:pt idx="943">
                  <c:v>0.5888888888888888</c:v>
                </c:pt>
                <c:pt idx="944">
                  <c:v>1.1777777777777776</c:v>
                </c:pt>
                <c:pt idx="945">
                  <c:v>1.2941176470588236</c:v>
                </c:pt>
                <c:pt idx="946">
                  <c:v>1.2941176470588236</c:v>
                </c:pt>
                <c:pt idx="947">
                  <c:v>0.3235294117647059</c:v>
                </c:pt>
                <c:pt idx="948">
                  <c:v>0.3235294117647059</c:v>
                </c:pt>
                <c:pt idx="949">
                  <c:v>0.3235294117647059</c:v>
                </c:pt>
                <c:pt idx="950">
                  <c:v>0.3235294117647059</c:v>
                </c:pt>
                <c:pt idx="951">
                  <c:v>0.3235294117647059</c:v>
                </c:pt>
                <c:pt idx="952">
                  <c:v>0.3235294117647059</c:v>
                </c:pt>
                <c:pt idx="953">
                  <c:v>0.3235294117647059</c:v>
                </c:pt>
                <c:pt idx="954">
                  <c:v>0.3235294117647059</c:v>
                </c:pt>
                <c:pt idx="955">
                  <c:v>0.3235294117647059</c:v>
                </c:pt>
                <c:pt idx="956">
                  <c:v>0.45714285714285713</c:v>
                </c:pt>
                <c:pt idx="957">
                  <c:v>0.91428571428571426</c:v>
                </c:pt>
                <c:pt idx="958">
                  <c:v>0.45714285714285713</c:v>
                </c:pt>
                <c:pt idx="959">
                  <c:v>0.45714285714285713</c:v>
                </c:pt>
                <c:pt idx="960">
                  <c:v>0.22857142857142856</c:v>
                </c:pt>
                <c:pt idx="961">
                  <c:v>0.45714285714285713</c:v>
                </c:pt>
                <c:pt idx="962">
                  <c:v>0.45714285714285713</c:v>
                </c:pt>
                <c:pt idx="963">
                  <c:v>0.11428571428571428</c:v>
                </c:pt>
                <c:pt idx="964">
                  <c:v>0.11428571428571428</c:v>
                </c:pt>
                <c:pt idx="965">
                  <c:v>0.11428571428571428</c:v>
                </c:pt>
                <c:pt idx="966">
                  <c:v>0.11428571428571428</c:v>
                </c:pt>
                <c:pt idx="967">
                  <c:v>0.11428571428571428</c:v>
                </c:pt>
                <c:pt idx="968">
                  <c:v>0.11428571428571428</c:v>
                </c:pt>
                <c:pt idx="969">
                  <c:v>0.11428571428571428</c:v>
                </c:pt>
                <c:pt idx="970">
                  <c:v>0.11428571428571428</c:v>
                </c:pt>
                <c:pt idx="971">
                  <c:v>0.11428571428571428</c:v>
                </c:pt>
                <c:pt idx="972">
                  <c:v>0.11428571428571428</c:v>
                </c:pt>
                <c:pt idx="973">
                  <c:v>0.11428571428571428</c:v>
                </c:pt>
                <c:pt idx="974">
                  <c:v>0.11428571428571428</c:v>
                </c:pt>
                <c:pt idx="975">
                  <c:v>0.11428571428571428</c:v>
                </c:pt>
                <c:pt idx="976">
                  <c:v>0.11428571428571428</c:v>
                </c:pt>
                <c:pt idx="977">
                  <c:v>0.22857142857142856</c:v>
                </c:pt>
                <c:pt idx="978">
                  <c:v>0.22857142857142856</c:v>
                </c:pt>
                <c:pt idx="979">
                  <c:v>0.22857142857142856</c:v>
                </c:pt>
                <c:pt idx="980">
                  <c:v>0.22857142857142856</c:v>
                </c:pt>
                <c:pt idx="981">
                  <c:v>0.11428571428571428</c:v>
                </c:pt>
                <c:pt idx="982">
                  <c:v>0.11428571428571428</c:v>
                </c:pt>
                <c:pt idx="983">
                  <c:v>0.11428571428571428</c:v>
                </c:pt>
                <c:pt idx="984">
                  <c:v>0.11428571428571428</c:v>
                </c:pt>
                <c:pt idx="985">
                  <c:v>0.67200000000000004</c:v>
                </c:pt>
                <c:pt idx="986">
                  <c:v>8.4000000000000005E-2</c:v>
                </c:pt>
                <c:pt idx="987">
                  <c:v>0.16800000000000001</c:v>
                </c:pt>
                <c:pt idx="988">
                  <c:v>0.33600000000000002</c:v>
                </c:pt>
                <c:pt idx="989">
                  <c:v>0.33600000000000002</c:v>
                </c:pt>
                <c:pt idx="990">
                  <c:v>0.16800000000000001</c:v>
                </c:pt>
                <c:pt idx="991">
                  <c:v>0.16800000000000001</c:v>
                </c:pt>
                <c:pt idx="992">
                  <c:v>8.4000000000000005E-2</c:v>
                </c:pt>
                <c:pt idx="993">
                  <c:v>0.42</c:v>
                </c:pt>
                <c:pt idx="994">
                  <c:v>8.4000000000000005E-2</c:v>
                </c:pt>
                <c:pt idx="995">
                  <c:v>0.16800000000000001</c:v>
                </c:pt>
                <c:pt idx="996">
                  <c:v>0.252</c:v>
                </c:pt>
                <c:pt idx="997">
                  <c:v>0.33600000000000002</c:v>
                </c:pt>
                <c:pt idx="998">
                  <c:v>0.42</c:v>
                </c:pt>
                <c:pt idx="999">
                  <c:v>0.67200000000000004</c:v>
                </c:pt>
                <c:pt idx="1000">
                  <c:v>0.33600000000000002</c:v>
                </c:pt>
                <c:pt idx="1001">
                  <c:v>0.33600000000000002</c:v>
                </c:pt>
                <c:pt idx="1002">
                  <c:v>0.16800000000000001</c:v>
                </c:pt>
                <c:pt idx="1003">
                  <c:v>0.33600000000000002</c:v>
                </c:pt>
                <c:pt idx="1004">
                  <c:v>0.33600000000000002</c:v>
                </c:pt>
                <c:pt idx="1005">
                  <c:v>0.16800000000000001</c:v>
                </c:pt>
                <c:pt idx="1006">
                  <c:v>0.16800000000000001</c:v>
                </c:pt>
                <c:pt idx="1007">
                  <c:v>8.4000000000000005E-2</c:v>
                </c:pt>
                <c:pt idx="1008">
                  <c:v>0.21142857142857144</c:v>
                </c:pt>
                <c:pt idx="1009">
                  <c:v>0.21142857142857144</c:v>
                </c:pt>
                <c:pt idx="1010">
                  <c:v>0.21142857142857144</c:v>
                </c:pt>
                <c:pt idx="1011">
                  <c:v>0.21142857142857144</c:v>
                </c:pt>
                <c:pt idx="1012">
                  <c:v>0.21142857142857144</c:v>
                </c:pt>
                <c:pt idx="1013">
                  <c:v>0.21142857142857144</c:v>
                </c:pt>
                <c:pt idx="1014">
                  <c:v>0.21142857142857144</c:v>
                </c:pt>
                <c:pt idx="1015">
                  <c:v>0.21142857142857144</c:v>
                </c:pt>
                <c:pt idx="1016">
                  <c:v>0.21142857142857144</c:v>
                </c:pt>
                <c:pt idx="1017">
                  <c:v>0.21142857142857144</c:v>
                </c:pt>
                <c:pt idx="1018">
                  <c:v>0.21142857142857144</c:v>
                </c:pt>
                <c:pt idx="1019">
                  <c:v>0.21142857142857144</c:v>
                </c:pt>
                <c:pt idx="1020">
                  <c:v>0.21142857142857144</c:v>
                </c:pt>
                <c:pt idx="1021">
                  <c:v>0.21142857142857144</c:v>
                </c:pt>
                <c:pt idx="1022">
                  <c:v>0.21142857142857144</c:v>
                </c:pt>
                <c:pt idx="1023">
                  <c:v>0.21142857142857144</c:v>
                </c:pt>
                <c:pt idx="1024">
                  <c:v>0.21142857142857144</c:v>
                </c:pt>
                <c:pt idx="1025">
                  <c:v>0.21142857142857144</c:v>
                </c:pt>
                <c:pt idx="1026">
                  <c:v>0.21142857142857144</c:v>
                </c:pt>
                <c:pt idx="1027">
                  <c:v>0.21142857142857144</c:v>
                </c:pt>
                <c:pt idx="1028">
                  <c:v>0.21142857142857144</c:v>
                </c:pt>
                <c:pt idx="1029">
                  <c:v>0.21142857142857144</c:v>
                </c:pt>
                <c:pt idx="1030">
                  <c:v>0.21142857142857144</c:v>
                </c:pt>
                <c:pt idx="1031">
                  <c:v>0.21142857142857144</c:v>
                </c:pt>
                <c:pt idx="1032">
                  <c:v>0.21142857142857144</c:v>
                </c:pt>
                <c:pt idx="1033">
                  <c:v>0.21142857142857144</c:v>
                </c:pt>
                <c:pt idx="1034">
                  <c:v>0.21142857142857144</c:v>
                </c:pt>
                <c:pt idx="1035">
                  <c:v>0.21142857142857144</c:v>
                </c:pt>
                <c:pt idx="1036">
                  <c:v>0.21142857142857144</c:v>
                </c:pt>
                <c:pt idx="1037">
                  <c:v>0.21142857142857144</c:v>
                </c:pt>
                <c:pt idx="1038">
                  <c:v>0.21142857142857144</c:v>
                </c:pt>
                <c:pt idx="1039">
                  <c:v>0.21142857142857144</c:v>
                </c:pt>
                <c:pt idx="1040">
                  <c:v>0.21142857142857144</c:v>
                </c:pt>
                <c:pt idx="1041">
                  <c:v>0.21142857142857144</c:v>
                </c:pt>
                <c:pt idx="1042">
                  <c:v>0.21142857142857144</c:v>
                </c:pt>
                <c:pt idx="1043">
                  <c:v>0.16153846153846152</c:v>
                </c:pt>
                <c:pt idx="1044">
                  <c:v>0.16153846153846152</c:v>
                </c:pt>
                <c:pt idx="1045">
                  <c:v>0.16153846153846152</c:v>
                </c:pt>
                <c:pt idx="1046">
                  <c:v>0.64615384615384608</c:v>
                </c:pt>
                <c:pt idx="1047">
                  <c:v>0.32307692307692304</c:v>
                </c:pt>
                <c:pt idx="1048">
                  <c:v>0.16153846153846152</c:v>
                </c:pt>
                <c:pt idx="1049">
                  <c:v>0.16153846153846152</c:v>
                </c:pt>
                <c:pt idx="1050">
                  <c:v>0.16153846153846152</c:v>
                </c:pt>
                <c:pt idx="1051">
                  <c:v>0.16153846153846152</c:v>
                </c:pt>
                <c:pt idx="1052">
                  <c:v>0.16153846153846152</c:v>
                </c:pt>
                <c:pt idx="1053">
                  <c:v>0.16153846153846152</c:v>
                </c:pt>
                <c:pt idx="1054">
                  <c:v>0.16153846153846152</c:v>
                </c:pt>
                <c:pt idx="1055">
                  <c:v>0.16153846153846152</c:v>
                </c:pt>
                <c:pt idx="1056">
                  <c:v>0.16153846153846152</c:v>
                </c:pt>
                <c:pt idx="1057">
                  <c:v>0.16153846153846152</c:v>
                </c:pt>
                <c:pt idx="1058">
                  <c:v>0.16153846153846152</c:v>
                </c:pt>
                <c:pt idx="1059">
                  <c:v>0.16153846153846152</c:v>
                </c:pt>
                <c:pt idx="1060">
                  <c:v>0.16153846153846152</c:v>
                </c:pt>
                <c:pt idx="1061">
                  <c:v>0.16153846153846152</c:v>
                </c:pt>
                <c:pt idx="1062">
                  <c:v>0.16153846153846152</c:v>
                </c:pt>
                <c:pt idx="1063">
                  <c:v>0.16153846153846152</c:v>
                </c:pt>
                <c:pt idx="1064">
                  <c:v>0.16153846153846152</c:v>
                </c:pt>
                <c:pt idx="1065">
                  <c:v>0.16153846153846152</c:v>
                </c:pt>
                <c:pt idx="1066">
                  <c:v>0.16153846153846152</c:v>
                </c:pt>
                <c:pt idx="1067">
                  <c:v>0.16153846153846152</c:v>
                </c:pt>
                <c:pt idx="1068">
                  <c:v>0.16153846153846152</c:v>
                </c:pt>
                <c:pt idx="1069">
                  <c:v>0.16153846153846152</c:v>
                </c:pt>
                <c:pt idx="1070">
                  <c:v>0.16153846153846152</c:v>
                </c:pt>
                <c:pt idx="1071">
                  <c:v>0.16153846153846152</c:v>
                </c:pt>
                <c:pt idx="1072">
                  <c:v>0.16153846153846152</c:v>
                </c:pt>
                <c:pt idx="1073">
                  <c:v>0.16153846153846152</c:v>
                </c:pt>
                <c:pt idx="1074">
                  <c:v>0.16153846153846152</c:v>
                </c:pt>
                <c:pt idx="1075">
                  <c:v>0.16153846153846152</c:v>
                </c:pt>
                <c:pt idx="1076">
                  <c:v>0.16153846153846152</c:v>
                </c:pt>
                <c:pt idx="1077">
                  <c:v>0.16153846153846152</c:v>
                </c:pt>
                <c:pt idx="1078">
                  <c:v>0.40769230769230769</c:v>
                </c:pt>
                <c:pt idx="1079">
                  <c:v>0.40769230769230769</c:v>
                </c:pt>
                <c:pt idx="1080">
                  <c:v>0.40769230769230769</c:v>
                </c:pt>
                <c:pt idx="1081">
                  <c:v>0.40769230769230769</c:v>
                </c:pt>
                <c:pt idx="1082">
                  <c:v>0.40769230769230769</c:v>
                </c:pt>
                <c:pt idx="1083">
                  <c:v>1.6307692307692307</c:v>
                </c:pt>
                <c:pt idx="1084">
                  <c:v>0.40769230769230769</c:v>
                </c:pt>
                <c:pt idx="1085">
                  <c:v>0.40769230769230769</c:v>
                </c:pt>
                <c:pt idx="1086">
                  <c:v>0.40769230769230769</c:v>
                </c:pt>
                <c:pt idx="1087">
                  <c:v>0.40769230769230769</c:v>
                </c:pt>
                <c:pt idx="1088">
                  <c:v>0.32903225806451608</c:v>
                </c:pt>
                <c:pt idx="1089">
                  <c:v>0.65806451612903216</c:v>
                </c:pt>
                <c:pt idx="1090">
                  <c:v>0.32903225806451608</c:v>
                </c:pt>
                <c:pt idx="1091">
                  <c:v>0.16451612903225804</c:v>
                </c:pt>
                <c:pt idx="1092">
                  <c:v>0.16451612903225804</c:v>
                </c:pt>
                <c:pt idx="1093">
                  <c:v>0.16451612903225804</c:v>
                </c:pt>
                <c:pt idx="1094">
                  <c:v>0.16451612903225804</c:v>
                </c:pt>
                <c:pt idx="1095">
                  <c:v>0.16451612903225804</c:v>
                </c:pt>
                <c:pt idx="1096">
                  <c:v>0.16451612903225804</c:v>
                </c:pt>
                <c:pt idx="1097">
                  <c:v>0.16451612903225804</c:v>
                </c:pt>
                <c:pt idx="1098">
                  <c:v>0.16451612903225804</c:v>
                </c:pt>
                <c:pt idx="1099">
                  <c:v>0.16451612903225804</c:v>
                </c:pt>
                <c:pt idx="1100">
                  <c:v>0.16451612903225804</c:v>
                </c:pt>
                <c:pt idx="1101">
                  <c:v>0.16451612903225804</c:v>
                </c:pt>
                <c:pt idx="1102">
                  <c:v>0.16451612903225804</c:v>
                </c:pt>
                <c:pt idx="1103">
                  <c:v>0.16451612903225804</c:v>
                </c:pt>
                <c:pt idx="1104">
                  <c:v>0.16451612903225804</c:v>
                </c:pt>
                <c:pt idx="1105">
                  <c:v>0.16451612903225804</c:v>
                </c:pt>
                <c:pt idx="1106">
                  <c:v>0.16451612903225804</c:v>
                </c:pt>
                <c:pt idx="1107">
                  <c:v>0.16451612903225804</c:v>
                </c:pt>
                <c:pt idx="1108">
                  <c:v>0.16451612903225804</c:v>
                </c:pt>
                <c:pt idx="1109">
                  <c:v>0.16451612903225804</c:v>
                </c:pt>
                <c:pt idx="1110">
                  <c:v>0.16451612903225804</c:v>
                </c:pt>
                <c:pt idx="1111">
                  <c:v>0.16451612903225804</c:v>
                </c:pt>
                <c:pt idx="1112">
                  <c:v>0.16451612903225804</c:v>
                </c:pt>
                <c:pt idx="1113">
                  <c:v>0.16451612903225804</c:v>
                </c:pt>
                <c:pt idx="1114">
                  <c:v>0.33684210526315789</c:v>
                </c:pt>
                <c:pt idx="1115">
                  <c:v>0.67368421052631577</c:v>
                </c:pt>
                <c:pt idx="1116">
                  <c:v>0.67368421052631577</c:v>
                </c:pt>
                <c:pt idx="1117">
                  <c:v>0.67368421052631577</c:v>
                </c:pt>
                <c:pt idx="1118">
                  <c:v>0.67368421052631577</c:v>
                </c:pt>
                <c:pt idx="1119">
                  <c:v>0.67368421052631577</c:v>
                </c:pt>
                <c:pt idx="1120">
                  <c:v>1.3473684210526315</c:v>
                </c:pt>
                <c:pt idx="1121">
                  <c:v>1.3473684210526315</c:v>
                </c:pt>
                <c:pt idx="1122">
                  <c:v>8.461538461538462E-2</c:v>
                </c:pt>
                <c:pt idx="1123">
                  <c:v>8.461538461538462E-2</c:v>
                </c:pt>
                <c:pt idx="1124">
                  <c:v>0.25384615384615383</c:v>
                </c:pt>
                <c:pt idx="1125">
                  <c:v>0.33846153846153848</c:v>
                </c:pt>
                <c:pt idx="1126">
                  <c:v>0.42307692307692313</c:v>
                </c:pt>
                <c:pt idx="1127">
                  <c:v>0.50769230769230766</c:v>
                </c:pt>
                <c:pt idx="1128">
                  <c:v>0.42307692307692313</c:v>
                </c:pt>
                <c:pt idx="1129">
                  <c:v>8.461538461538462E-2</c:v>
                </c:pt>
                <c:pt idx="1130">
                  <c:v>0.25384615384615383</c:v>
                </c:pt>
                <c:pt idx="1131">
                  <c:v>0.50769230769230766</c:v>
                </c:pt>
                <c:pt idx="1132">
                  <c:v>0.25384615384615383</c:v>
                </c:pt>
                <c:pt idx="1133">
                  <c:v>0.16923076923076924</c:v>
                </c:pt>
                <c:pt idx="1134">
                  <c:v>8.461538461538462E-2</c:v>
                </c:pt>
                <c:pt idx="1135">
                  <c:v>8.461538461538462E-2</c:v>
                </c:pt>
                <c:pt idx="1136">
                  <c:v>0.25384615384615383</c:v>
                </c:pt>
                <c:pt idx="1137">
                  <c:v>0.33846153846153848</c:v>
                </c:pt>
                <c:pt idx="1138">
                  <c:v>0.42307692307692313</c:v>
                </c:pt>
                <c:pt idx="1139">
                  <c:v>0.50769230769230766</c:v>
                </c:pt>
                <c:pt idx="1140">
                  <c:v>0.42307692307692313</c:v>
                </c:pt>
                <c:pt idx="1141">
                  <c:v>1.9636363636363638</c:v>
                </c:pt>
                <c:pt idx="1142">
                  <c:v>0.49090909090909096</c:v>
                </c:pt>
                <c:pt idx="1143">
                  <c:v>0.49090909090909096</c:v>
                </c:pt>
                <c:pt idx="1144">
                  <c:v>0.49090909090909096</c:v>
                </c:pt>
                <c:pt idx="1145">
                  <c:v>0.49090909090909096</c:v>
                </c:pt>
                <c:pt idx="1146">
                  <c:v>0.49090909090909096</c:v>
                </c:pt>
                <c:pt idx="1147">
                  <c:v>0.49090909090909096</c:v>
                </c:pt>
                <c:pt idx="1148">
                  <c:v>0.49090909090909096</c:v>
                </c:pt>
                <c:pt idx="1149">
                  <c:v>2.0915032679738564E-2</c:v>
                </c:pt>
                <c:pt idx="1150">
                  <c:v>2.7189542483660137E-2</c:v>
                </c:pt>
                <c:pt idx="1151">
                  <c:v>3.3464052287581703E-2</c:v>
                </c:pt>
                <c:pt idx="1152">
                  <c:v>3.9738562091503275E-2</c:v>
                </c:pt>
                <c:pt idx="1153">
                  <c:v>4.6013071895424841E-2</c:v>
                </c:pt>
                <c:pt idx="1154">
                  <c:v>5.2287581699346414E-2</c:v>
                </c:pt>
                <c:pt idx="1155">
                  <c:v>5.8562091503267966E-2</c:v>
                </c:pt>
                <c:pt idx="1156">
                  <c:v>6.4836601307189531E-2</c:v>
                </c:pt>
                <c:pt idx="1157">
                  <c:v>7.1111111111111111E-2</c:v>
                </c:pt>
                <c:pt idx="1158">
                  <c:v>7.7385620915032663E-2</c:v>
                </c:pt>
                <c:pt idx="1159">
                  <c:v>8.3660130718954256E-2</c:v>
                </c:pt>
                <c:pt idx="1160">
                  <c:v>7.7385620915032691E-2</c:v>
                </c:pt>
                <c:pt idx="1161">
                  <c:v>7.1111111111111111E-2</c:v>
                </c:pt>
                <c:pt idx="1162">
                  <c:v>6.4836601307189559E-2</c:v>
                </c:pt>
                <c:pt idx="1163">
                  <c:v>5.8562091503267993E-2</c:v>
                </c:pt>
                <c:pt idx="1164">
                  <c:v>5.2287581699346421E-2</c:v>
                </c:pt>
                <c:pt idx="1165">
                  <c:v>4.6013071895424862E-2</c:v>
                </c:pt>
                <c:pt idx="1166">
                  <c:v>3.9738562091503289E-2</c:v>
                </c:pt>
                <c:pt idx="1167">
                  <c:v>3.3464052287581723E-2</c:v>
                </c:pt>
                <c:pt idx="1168">
                  <c:v>2.7189542483660151E-2</c:v>
                </c:pt>
                <c:pt idx="1169">
                  <c:v>2.0915032679738564E-2</c:v>
                </c:pt>
                <c:pt idx="1170">
                  <c:v>8.3660130718954256E-2</c:v>
                </c:pt>
                <c:pt idx="1171">
                  <c:v>0.10875816993464055</c:v>
                </c:pt>
                <c:pt idx="1172">
                  <c:v>0.13385620915032681</c:v>
                </c:pt>
                <c:pt idx="1173">
                  <c:v>0.1589542483660131</c:v>
                </c:pt>
                <c:pt idx="1174">
                  <c:v>0.18405228758169936</c:v>
                </c:pt>
                <c:pt idx="1175">
                  <c:v>0.20915032679738566</c:v>
                </c:pt>
                <c:pt idx="1176">
                  <c:v>0.23424836601307186</c:v>
                </c:pt>
                <c:pt idx="1177">
                  <c:v>0.25934640522875813</c:v>
                </c:pt>
                <c:pt idx="1178">
                  <c:v>0.28444444444444444</c:v>
                </c:pt>
                <c:pt idx="1179">
                  <c:v>0.30954248366013065</c:v>
                </c:pt>
                <c:pt idx="1180">
                  <c:v>0.33464052287581703</c:v>
                </c:pt>
                <c:pt idx="1181">
                  <c:v>0.30954248366013076</c:v>
                </c:pt>
                <c:pt idx="1182">
                  <c:v>0.28444444444444444</c:v>
                </c:pt>
                <c:pt idx="1183">
                  <c:v>0.25934640522875824</c:v>
                </c:pt>
                <c:pt idx="1184">
                  <c:v>0.23424836601307197</c:v>
                </c:pt>
                <c:pt idx="1185">
                  <c:v>0.20915032679738568</c:v>
                </c:pt>
                <c:pt idx="1186">
                  <c:v>0.18405228758169945</c:v>
                </c:pt>
                <c:pt idx="1187">
                  <c:v>0.15895424836601316</c:v>
                </c:pt>
                <c:pt idx="1188">
                  <c:v>0.13385620915032689</c:v>
                </c:pt>
                <c:pt idx="1189">
                  <c:v>0.1087581699346406</c:v>
                </c:pt>
                <c:pt idx="1190">
                  <c:v>8.3660130718954256E-2</c:v>
                </c:pt>
                <c:pt idx="1191">
                  <c:v>2.0915032679738564E-2</c:v>
                </c:pt>
                <c:pt idx="1192">
                  <c:v>2.7189542483660137E-2</c:v>
                </c:pt>
                <c:pt idx="1193">
                  <c:v>3.3464052287581703E-2</c:v>
                </c:pt>
                <c:pt idx="1194">
                  <c:v>3.9738562091503275E-2</c:v>
                </c:pt>
                <c:pt idx="1195">
                  <c:v>4.6013071895424841E-2</c:v>
                </c:pt>
                <c:pt idx="1196">
                  <c:v>5.2287581699346414E-2</c:v>
                </c:pt>
                <c:pt idx="1197">
                  <c:v>5.8562091503267966E-2</c:v>
                </c:pt>
                <c:pt idx="1198">
                  <c:v>6.4836601307189531E-2</c:v>
                </c:pt>
                <c:pt idx="1199">
                  <c:v>7.1111111111111111E-2</c:v>
                </c:pt>
                <c:pt idx="1200">
                  <c:v>7.7385620915032663E-2</c:v>
                </c:pt>
                <c:pt idx="1201">
                  <c:v>8.3660130718954256E-2</c:v>
                </c:pt>
                <c:pt idx="1202">
                  <c:v>7.7385620915032691E-2</c:v>
                </c:pt>
                <c:pt idx="1203">
                  <c:v>7.1111111111111111E-2</c:v>
                </c:pt>
                <c:pt idx="1204">
                  <c:v>6.4836601307189559E-2</c:v>
                </c:pt>
                <c:pt idx="1205">
                  <c:v>5.8562091503267993E-2</c:v>
                </c:pt>
                <c:pt idx="1206">
                  <c:v>5.2287581699346421E-2</c:v>
                </c:pt>
                <c:pt idx="1207">
                  <c:v>4.6013071895424862E-2</c:v>
                </c:pt>
                <c:pt idx="1208">
                  <c:v>3.9738562091503289E-2</c:v>
                </c:pt>
                <c:pt idx="1209">
                  <c:v>3.3464052287581723E-2</c:v>
                </c:pt>
                <c:pt idx="1210">
                  <c:v>2.7189542483660151E-2</c:v>
                </c:pt>
                <c:pt idx="1211">
                  <c:v>2.0915032679738564E-2</c:v>
                </c:pt>
                <c:pt idx="1212">
                  <c:v>3.4</c:v>
                </c:pt>
              </c:numCache>
            </c:numRef>
          </c:bubbleSize>
          <c:bubble3D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25"/>
        <c:showNegBubbles val="0"/>
        <c:sizeRepresents val="w"/>
        <c:axId val="511528776"/>
        <c:axId val="406568688"/>
      </c:bubbleChart>
      <c:valAx>
        <c:axId val="51152877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406568688"/>
        <c:crosses val="autoZero"/>
        <c:crossBetween val="midCat"/>
      </c:valAx>
      <c:valAx>
        <c:axId val="406568688"/>
        <c:scaling>
          <c:orientation val="minMax"/>
        </c:scaling>
        <c:delete val="0"/>
        <c:axPos val="l"/>
        <c:numFmt formatCode="0" sourceLinked="0"/>
        <c:majorTickMark val="out"/>
        <c:minorTickMark val="none"/>
        <c:tickLblPos val="nextTo"/>
        <c:crossAx val="51152877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Data!$P$4:$P$1216</c:f>
              <c:numCache>
                <c:formatCode>0.0</c:formatCode>
                <c:ptCount val="1213"/>
                <c:pt idx="0">
                  <c:v>256.66666666666669</c:v>
                </c:pt>
                <c:pt idx="1">
                  <c:v>36.666666666666664</c:v>
                </c:pt>
                <c:pt idx="2">
                  <c:v>119.16666666666667</c:v>
                </c:pt>
                <c:pt idx="3">
                  <c:v>241.77999999999997</c:v>
                </c:pt>
                <c:pt idx="4">
                  <c:v>120.88999999999999</c:v>
                </c:pt>
                <c:pt idx="5">
                  <c:v>30.213333333333335</c:v>
                </c:pt>
                <c:pt idx="6">
                  <c:v>53.716666666666669</c:v>
                </c:pt>
                <c:pt idx="7">
                  <c:v>26.876666666666665</c:v>
                </c:pt>
                <c:pt idx="8">
                  <c:v>6.7100000000000009</c:v>
                </c:pt>
                <c:pt idx="9">
                  <c:v>8.9466666666666672</c:v>
                </c:pt>
                <c:pt idx="10">
                  <c:v>4.4733333333333336</c:v>
                </c:pt>
                <c:pt idx="11">
                  <c:v>1.1366666666666667</c:v>
                </c:pt>
                <c:pt idx="12">
                  <c:v>14.666666666666666</c:v>
                </c:pt>
                <c:pt idx="13">
                  <c:v>64.900000000000006</c:v>
                </c:pt>
                <c:pt idx="14">
                  <c:v>88</c:v>
                </c:pt>
                <c:pt idx="15">
                  <c:v>1666.6666666666665</c:v>
                </c:pt>
                <c:pt idx="16">
                  <c:v>1.85</c:v>
                </c:pt>
                <c:pt idx="17">
                  <c:v>2.98</c:v>
                </c:pt>
                <c:pt idx="18">
                  <c:v>8.7799999999999994</c:v>
                </c:pt>
                <c:pt idx="19">
                  <c:v>16.670000000000002</c:v>
                </c:pt>
                <c:pt idx="20">
                  <c:v>7.3333333333333332E-3</c:v>
                </c:pt>
                <c:pt idx="21">
                  <c:v>4.3999999999999997E-2</c:v>
                </c:pt>
                <c:pt idx="22">
                  <c:v>1.0999999999999999E-2</c:v>
                </c:pt>
                <c:pt idx="23">
                  <c:v>6.5999999999999989E-2</c:v>
                </c:pt>
                <c:pt idx="24">
                  <c:v>2.1999999999999999E-2</c:v>
                </c:pt>
                <c:pt idx="25">
                  <c:v>0.13199999999999998</c:v>
                </c:pt>
                <c:pt idx="26">
                  <c:v>4.0333333333333332E-2</c:v>
                </c:pt>
                <c:pt idx="27">
                  <c:v>0.24199999999999999</c:v>
                </c:pt>
                <c:pt idx="28">
                  <c:v>9.8999999999999991E-2</c:v>
                </c:pt>
                <c:pt idx="29">
                  <c:v>0.59399999999999997</c:v>
                </c:pt>
                <c:pt idx="30">
                  <c:v>1.4666666666666666E-2</c:v>
                </c:pt>
                <c:pt idx="31">
                  <c:v>8.7999999999999995E-2</c:v>
                </c:pt>
                <c:pt idx="32">
                  <c:v>2.1999999999999999E-2</c:v>
                </c:pt>
                <c:pt idx="33">
                  <c:v>0.13199999999999998</c:v>
                </c:pt>
                <c:pt idx="34">
                  <c:v>4.0333333333333332E-2</c:v>
                </c:pt>
                <c:pt idx="35">
                  <c:v>0.24199999999999999</c:v>
                </c:pt>
                <c:pt idx="36">
                  <c:v>7.6999999999999999E-2</c:v>
                </c:pt>
                <c:pt idx="37">
                  <c:v>0.46199999999999997</c:v>
                </c:pt>
                <c:pt idx="38">
                  <c:v>0.20166666666666666</c:v>
                </c:pt>
                <c:pt idx="39">
                  <c:v>1.21</c:v>
                </c:pt>
                <c:pt idx="40">
                  <c:v>1.8333333333333333E-2</c:v>
                </c:pt>
                <c:pt idx="41">
                  <c:v>0.10999999999999999</c:v>
                </c:pt>
                <c:pt idx="42">
                  <c:v>2.5666666666666667E-2</c:v>
                </c:pt>
                <c:pt idx="43">
                  <c:v>0.154</c:v>
                </c:pt>
                <c:pt idx="44">
                  <c:v>5.1333333333333335E-2</c:v>
                </c:pt>
                <c:pt idx="45">
                  <c:v>0.308</c:v>
                </c:pt>
                <c:pt idx="46">
                  <c:v>9.5333333333333325E-2</c:v>
                </c:pt>
                <c:pt idx="47">
                  <c:v>0.57199999999999995</c:v>
                </c:pt>
                <c:pt idx="48">
                  <c:v>0.253</c:v>
                </c:pt>
                <c:pt idx="49">
                  <c:v>1.5179999999999998</c:v>
                </c:pt>
                <c:pt idx="50">
                  <c:v>7.6999999999999999E-2</c:v>
                </c:pt>
                <c:pt idx="51">
                  <c:v>0.46199999999999997</c:v>
                </c:pt>
                <c:pt idx="52">
                  <c:v>0.11366666666666667</c:v>
                </c:pt>
                <c:pt idx="53">
                  <c:v>0.68199999999999994</c:v>
                </c:pt>
                <c:pt idx="54">
                  <c:v>0.22733333333333333</c:v>
                </c:pt>
                <c:pt idx="55">
                  <c:v>1.3639999999999999</c:v>
                </c:pt>
                <c:pt idx="56">
                  <c:v>0.43266666666666664</c:v>
                </c:pt>
                <c:pt idx="57">
                  <c:v>2.5959999999999996</c:v>
                </c:pt>
                <c:pt idx="58">
                  <c:v>1.133</c:v>
                </c:pt>
                <c:pt idx="59">
                  <c:v>6.798</c:v>
                </c:pt>
                <c:pt idx="60">
                  <c:v>0.33733333333333332</c:v>
                </c:pt>
                <c:pt idx="61">
                  <c:v>2.024</c:v>
                </c:pt>
                <c:pt idx="62">
                  <c:v>0.51333333333333331</c:v>
                </c:pt>
                <c:pt idx="63">
                  <c:v>3.0799999999999996</c:v>
                </c:pt>
                <c:pt idx="64">
                  <c:v>1.012</c:v>
                </c:pt>
                <c:pt idx="65">
                  <c:v>6.0719999999999992</c:v>
                </c:pt>
                <c:pt idx="66">
                  <c:v>2.0606666666666666</c:v>
                </c:pt>
                <c:pt idx="67">
                  <c:v>11.571999999999999</c:v>
                </c:pt>
                <c:pt idx="68">
                  <c:v>5.0306666666666668</c:v>
                </c:pt>
                <c:pt idx="69">
                  <c:v>30.183999999999997</c:v>
                </c:pt>
                <c:pt idx="70">
                  <c:v>33.659999999999997</c:v>
                </c:pt>
                <c:pt idx="71">
                  <c:v>202.03333333333333</c:v>
                </c:pt>
                <c:pt idx="72">
                  <c:v>50.6</c:v>
                </c:pt>
                <c:pt idx="73">
                  <c:v>303.52666666666664</c:v>
                </c:pt>
                <c:pt idx="74">
                  <c:v>101.12666666666665</c:v>
                </c:pt>
                <c:pt idx="75">
                  <c:v>606.65</c:v>
                </c:pt>
                <c:pt idx="76">
                  <c:v>192.83</c:v>
                </c:pt>
                <c:pt idx="77">
                  <c:v>1156.8699999999999</c:v>
                </c:pt>
                <c:pt idx="78">
                  <c:v>503.14</c:v>
                </c:pt>
                <c:pt idx="79">
                  <c:v>3018.7299999999996</c:v>
                </c:pt>
                <c:pt idx="80">
                  <c:v>5</c:v>
                </c:pt>
                <c:pt idx="81">
                  <c:v>10</c:v>
                </c:pt>
                <c:pt idx="82">
                  <c:v>21.8</c:v>
                </c:pt>
                <c:pt idx="83">
                  <c:v>22.1</c:v>
                </c:pt>
                <c:pt idx="84">
                  <c:v>22.9</c:v>
                </c:pt>
                <c:pt idx="85">
                  <c:v>21.8</c:v>
                </c:pt>
                <c:pt idx="86">
                  <c:v>22.1</c:v>
                </c:pt>
                <c:pt idx="87">
                  <c:v>3.4</c:v>
                </c:pt>
                <c:pt idx="88">
                  <c:v>5.5</c:v>
                </c:pt>
                <c:pt idx="89">
                  <c:v>12</c:v>
                </c:pt>
                <c:pt idx="90">
                  <c:v>10.7</c:v>
                </c:pt>
                <c:pt idx="91">
                  <c:v>19.100000000000001</c:v>
                </c:pt>
                <c:pt idx="92">
                  <c:v>19.2</c:v>
                </c:pt>
                <c:pt idx="93">
                  <c:v>17.399999999999999</c:v>
                </c:pt>
                <c:pt idx="94">
                  <c:v>22.8</c:v>
                </c:pt>
                <c:pt idx="95">
                  <c:v>21.8</c:v>
                </c:pt>
                <c:pt idx="96">
                  <c:v>22.3</c:v>
                </c:pt>
                <c:pt idx="97">
                  <c:v>22.3</c:v>
                </c:pt>
                <c:pt idx="98">
                  <c:v>22.4</c:v>
                </c:pt>
                <c:pt idx="99">
                  <c:v>57.6</c:v>
                </c:pt>
                <c:pt idx="100">
                  <c:v>39.6</c:v>
                </c:pt>
                <c:pt idx="101">
                  <c:v>32.5</c:v>
                </c:pt>
                <c:pt idx="102">
                  <c:v>51.9</c:v>
                </c:pt>
                <c:pt idx="103">
                  <c:v>24.8</c:v>
                </c:pt>
                <c:pt idx="104">
                  <c:v>25.1</c:v>
                </c:pt>
                <c:pt idx="105">
                  <c:v>28.3</c:v>
                </c:pt>
                <c:pt idx="106">
                  <c:v>12.6</c:v>
                </c:pt>
                <c:pt idx="107">
                  <c:v>44.9</c:v>
                </c:pt>
                <c:pt idx="108">
                  <c:v>14.299999999999999</c:v>
                </c:pt>
                <c:pt idx="109">
                  <c:v>21.266666666666666</c:v>
                </c:pt>
                <c:pt idx="110">
                  <c:v>51.333333333333336</c:v>
                </c:pt>
                <c:pt idx="111">
                  <c:v>44</c:v>
                </c:pt>
                <c:pt idx="112">
                  <c:v>8.0666666666666682</c:v>
                </c:pt>
                <c:pt idx="113">
                  <c:v>13.933333333333332</c:v>
                </c:pt>
                <c:pt idx="114">
                  <c:v>18.7</c:v>
                </c:pt>
                <c:pt idx="115">
                  <c:v>22.366666666666664</c:v>
                </c:pt>
                <c:pt idx="116">
                  <c:v>20.3</c:v>
                </c:pt>
                <c:pt idx="117">
                  <c:v>5.29</c:v>
                </c:pt>
                <c:pt idx="118">
                  <c:v>50</c:v>
                </c:pt>
                <c:pt idx="119">
                  <c:v>200</c:v>
                </c:pt>
                <c:pt idx="120">
                  <c:v>500</c:v>
                </c:pt>
                <c:pt idx="121">
                  <c:v>16.48</c:v>
                </c:pt>
                <c:pt idx="122">
                  <c:v>3</c:v>
                </c:pt>
                <c:pt idx="123">
                  <c:v>5</c:v>
                </c:pt>
                <c:pt idx="124">
                  <c:v>8</c:v>
                </c:pt>
                <c:pt idx="125">
                  <c:v>8</c:v>
                </c:pt>
                <c:pt idx="126">
                  <c:v>21</c:v>
                </c:pt>
                <c:pt idx="127">
                  <c:v>46</c:v>
                </c:pt>
                <c:pt idx="128">
                  <c:v>440</c:v>
                </c:pt>
                <c:pt idx="129">
                  <c:v>32</c:v>
                </c:pt>
                <c:pt idx="130">
                  <c:v>8.2720000000000002</c:v>
                </c:pt>
                <c:pt idx="131">
                  <c:v>112.5</c:v>
                </c:pt>
                <c:pt idx="132">
                  <c:v>85</c:v>
                </c:pt>
                <c:pt idx="133">
                  <c:v>200</c:v>
                </c:pt>
                <c:pt idx="134">
                  <c:v>75</c:v>
                </c:pt>
                <c:pt idx="135">
                  <c:v>140</c:v>
                </c:pt>
                <c:pt idx="136">
                  <c:v>32</c:v>
                </c:pt>
                <c:pt idx="137">
                  <c:v>33</c:v>
                </c:pt>
                <c:pt idx="138">
                  <c:v>13</c:v>
                </c:pt>
                <c:pt idx="139">
                  <c:v>13</c:v>
                </c:pt>
                <c:pt idx="140">
                  <c:v>260</c:v>
                </c:pt>
                <c:pt idx="141">
                  <c:v>590</c:v>
                </c:pt>
                <c:pt idx="142">
                  <c:v>230</c:v>
                </c:pt>
                <c:pt idx="143">
                  <c:v>410</c:v>
                </c:pt>
                <c:pt idx="144">
                  <c:v>95</c:v>
                </c:pt>
                <c:pt idx="145">
                  <c:v>98</c:v>
                </c:pt>
                <c:pt idx="146">
                  <c:v>39</c:v>
                </c:pt>
                <c:pt idx="147">
                  <c:v>39</c:v>
                </c:pt>
                <c:pt idx="148">
                  <c:v>53.454000000000001</c:v>
                </c:pt>
                <c:pt idx="149">
                  <c:v>18.3</c:v>
                </c:pt>
                <c:pt idx="150">
                  <c:v>800</c:v>
                </c:pt>
                <c:pt idx="151">
                  <c:v>7</c:v>
                </c:pt>
                <c:pt idx="152">
                  <c:v>24</c:v>
                </c:pt>
                <c:pt idx="153">
                  <c:v>9</c:v>
                </c:pt>
                <c:pt idx="154">
                  <c:v>19</c:v>
                </c:pt>
                <c:pt idx="155">
                  <c:v>5</c:v>
                </c:pt>
                <c:pt idx="156">
                  <c:v>29</c:v>
                </c:pt>
                <c:pt idx="157">
                  <c:v>6.19</c:v>
                </c:pt>
                <c:pt idx="158">
                  <c:v>11.64</c:v>
                </c:pt>
                <c:pt idx="159">
                  <c:v>6.25</c:v>
                </c:pt>
                <c:pt idx="160">
                  <c:v>170</c:v>
                </c:pt>
                <c:pt idx="161">
                  <c:v>70</c:v>
                </c:pt>
                <c:pt idx="162">
                  <c:v>160</c:v>
                </c:pt>
                <c:pt idx="163">
                  <c:v>74</c:v>
                </c:pt>
                <c:pt idx="164">
                  <c:v>60</c:v>
                </c:pt>
                <c:pt idx="165">
                  <c:v>62</c:v>
                </c:pt>
                <c:pt idx="166">
                  <c:v>23</c:v>
                </c:pt>
                <c:pt idx="167">
                  <c:v>66</c:v>
                </c:pt>
                <c:pt idx="168">
                  <c:v>65</c:v>
                </c:pt>
                <c:pt idx="169">
                  <c:v>56</c:v>
                </c:pt>
                <c:pt idx="170">
                  <c:v>317</c:v>
                </c:pt>
                <c:pt idx="171">
                  <c:v>243</c:v>
                </c:pt>
                <c:pt idx="172">
                  <c:v>142</c:v>
                </c:pt>
                <c:pt idx="173">
                  <c:v>360</c:v>
                </c:pt>
                <c:pt idx="174">
                  <c:v>348</c:v>
                </c:pt>
                <c:pt idx="175">
                  <c:v>288</c:v>
                </c:pt>
                <c:pt idx="176">
                  <c:v>171</c:v>
                </c:pt>
                <c:pt idx="177">
                  <c:v>172</c:v>
                </c:pt>
                <c:pt idx="178">
                  <c:v>73</c:v>
                </c:pt>
                <c:pt idx="179">
                  <c:v>192</c:v>
                </c:pt>
                <c:pt idx="180">
                  <c:v>187</c:v>
                </c:pt>
                <c:pt idx="181">
                  <c:v>156</c:v>
                </c:pt>
                <c:pt idx="182">
                  <c:v>26</c:v>
                </c:pt>
                <c:pt idx="183">
                  <c:v>26</c:v>
                </c:pt>
                <c:pt idx="184">
                  <c:v>9</c:v>
                </c:pt>
                <c:pt idx="185">
                  <c:v>28</c:v>
                </c:pt>
                <c:pt idx="186">
                  <c:v>28</c:v>
                </c:pt>
                <c:pt idx="187">
                  <c:v>25</c:v>
                </c:pt>
                <c:pt idx="188">
                  <c:v>6</c:v>
                </c:pt>
                <c:pt idx="189">
                  <c:v>6</c:v>
                </c:pt>
                <c:pt idx="190">
                  <c:v>2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40.42</c:v>
                </c:pt>
                <c:pt idx="195">
                  <c:v>5.9</c:v>
                </c:pt>
                <c:pt idx="196">
                  <c:v>26.1</c:v>
                </c:pt>
                <c:pt idx="197">
                  <c:v>3.5</c:v>
                </c:pt>
                <c:pt idx="198">
                  <c:v>45.8</c:v>
                </c:pt>
                <c:pt idx="199">
                  <c:v>5.0999999999999996</c:v>
                </c:pt>
                <c:pt idx="200">
                  <c:v>101.5</c:v>
                </c:pt>
                <c:pt idx="201">
                  <c:v>19.899999999999999</c:v>
                </c:pt>
                <c:pt idx="202">
                  <c:v>16.100000000000001</c:v>
                </c:pt>
                <c:pt idx="203">
                  <c:v>3.8</c:v>
                </c:pt>
                <c:pt idx="204">
                  <c:v>6.6</c:v>
                </c:pt>
                <c:pt idx="205">
                  <c:v>-6.6</c:v>
                </c:pt>
                <c:pt idx="206">
                  <c:v>-0.5</c:v>
                </c:pt>
                <c:pt idx="207">
                  <c:v>5.74</c:v>
                </c:pt>
                <c:pt idx="208">
                  <c:v>10.44</c:v>
                </c:pt>
                <c:pt idx="209">
                  <c:v>6.52</c:v>
                </c:pt>
                <c:pt idx="210">
                  <c:v>21.73</c:v>
                </c:pt>
                <c:pt idx="211">
                  <c:v>33.840000000000003</c:v>
                </c:pt>
                <c:pt idx="212">
                  <c:v>23.32</c:v>
                </c:pt>
                <c:pt idx="213">
                  <c:v>1.48</c:v>
                </c:pt>
                <c:pt idx="214">
                  <c:v>2.88</c:v>
                </c:pt>
                <c:pt idx="215">
                  <c:v>1.79</c:v>
                </c:pt>
                <c:pt idx="216">
                  <c:v>25.833333333333332</c:v>
                </c:pt>
                <c:pt idx="217">
                  <c:v>160.69999999999999</c:v>
                </c:pt>
                <c:pt idx="218">
                  <c:v>79</c:v>
                </c:pt>
                <c:pt idx="219">
                  <c:v>170</c:v>
                </c:pt>
                <c:pt idx="220">
                  <c:v>25.2</c:v>
                </c:pt>
                <c:pt idx="221">
                  <c:v>94.1</c:v>
                </c:pt>
                <c:pt idx="222">
                  <c:v>5.0999999999999996</c:v>
                </c:pt>
                <c:pt idx="223">
                  <c:v>45.1</c:v>
                </c:pt>
                <c:pt idx="224">
                  <c:v>75.599999999999994</c:v>
                </c:pt>
                <c:pt idx="225">
                  <c:v>167.8</c:v>
                </c:pt>
                <c:pt idx="226">
                  <c:v>24.4</c:v>
                </c:pt>
                <c:pt idx="227">
                  <c:v>93.6</c:v>
                </c:pt>
                <c:pt idx="228">
                  <c:v>5</c:v>
                </c:pt>
                <c:pt idx="229">
                  <c:v>45</c:v>
                </c:pt>
                <c:pt idx="230">
                  <c:v>32</c:v>
                </c:pt>
                <c:pt idx="231">
                  <c:v>590</c:v>
                </c:pt>
                <c:pt idx="232">
                  <c:v>128</c:v>
                </c:pt>
                <c:pt idx="233">
                  <c:v>450</c:v>
                </c:pt>
                <c:pt idx="234">
                  <c:v>32</c:v>
                </c:pt>
                <c:pt idx="235">
                  <c:v>90</c:v>
                </c:pt>
                <c:pt idx="236">
                  <c:v>45</c:v>
                </c:pt>
                <c:pt idx="237">
                  <c:v>26</c:v>
                </c:pt>
                <c:pt idx="238">
                  <c:v>339</c:v>
                </c:pt>
                <c:pt idx="239">
                  <c:v>139</c:v>
                </c:pt>
                <c:pt idx="240">
                  <c:v>72</c:v>
                </c:pt>
                <c:pt idx="241">
                  <c:v>300</c:v>
                </c:pt>
                <c:pt idx="242">
                  <c:v>12</c:v>
                </c:pt>
                <c:pt idx="243">
                  <c:v>58</c:v>
                </c:pt>
                <c:pt idx="244">
                  <c:v>11</c:v>
                </c:pt>
                <c:pt idx="245">
                  <c:v>-2.2999999999999998</c:v>
                </c:pt>
                <c:pt idx="246">
                  <c:v>18</c:v>
                </c:pt>
                <c:pt idx="247">
                  <c:v>54</c:v>
                </c:pt>
                <c:pt idx="248">
                  <c:v>11</c:v>
                </c:pt>
                <c:pt idx="249">
                  <c:v>-2.5</c:v>
                </c:pt>
                <c:pt idx="250">
                  <c:v>17</c:v>
                </c:pt>
                <c:pt idx="251">
                  <c:v>54</c:v>
                </c:pt>
                <c:pt idx="252">
                  <c:v>13</c:v>
                </c:pt>
                <c:pt idx="253">
                  <c:v>-8.5000000000000006E-2</c:v>
                </c:pt>
                <c:pt idx="254">
                  <c:v>20</c:v>
                </c:pt>
                <c:pt idx="255">
                  <c:v>54</c:v>
                </c:pt>
                <c:pt idx="256">
                  <c:v>10</c:v>
                </c:pt>
                <c:pt idx="257">
                  <c:v>-2.5</c:v>
                </c:pt>
                <c:pt idx="258">
                  <c:v>17</c:v>
                </c:pt>
                <c:pt idx="259">
                  <c:v>55</c:v>
                </c:pt>
                <c:pt idx="260">
                  <c:v>11</c:v>
                </c:pt>
                <c:pt idx="261">
                  <c:v>-2.5</c:v>
                </c:pt>
                <c:pt idx="262">
                  <c:v>18</c:v>
                </c:pt>
                <c:pt idx="263">
                  <c:v>58</c:v>
                </c:pt>
                <c:pt idx="264">
                  <c:v>12</c:v>
                </c:pt>
                <c:pt idx="265">
                  <c:v>-2.2999999999999998</c:v>
                </c:pt>
                <c:pt idx="266">
                  <c:v>18</c:v>
                </c:pt>
                <c:pt idx="267">
                  <c:v>73</c:v>
                </c:pt>
                <c:pt idx="268">
                  <c:v>16</c:v>
                </c:pt>
                <c:pt idx="269">
                  <c:v>-1.6</c:v>
                </c:pt>
                <c:pt idx="270">
                  <c:v>24</c:v>
                </c:pt>
                <c:pt idx="271">
                  <c:v>94</c:v>
                </c:pt>
                <c:pt idx="272">
                  <c:v>21</c:v>
                </c:pt>
                <c:pt idx="273">
                  <c:v>-0.74</c:v>
                </c:pt>
                <c:pt idx="274">
                  <c:v>30</c:v>
                </c:pt>
                <c:pt idx="275">
                  <c:v>330</c:v>
                </c:pt>
                <c:pt idx="276">
                  <c:v>89</c:v>
                </c:pt>
                <c:pt idx="277">
                  <c:v>17</c:v>
                </c:pt>
                <c:pt idx="278">
                  <c:v>100</c:v>
                </c:pt>
                <c:pt idx="279">
                  <c:v>1500</c:v>
                </c:pt>
                <c:pt idx="280">
                  <c:v>360</c:v>
                </c:pt>
                <c:pt idx="281">
                  <c:v>75</c:v>
                </c:pt>
                <c:pt idx="282">
                  <c:v>270</c:v>
                </c:pt>
                <c:pt idx="283">
                  <c:v>2400</c:v>
                </c:pt>
                <c:pt idx="284">
                  <c:v>580</c:v>
                </c:pt>
                <c:pt idx="285">
                  <c:v>120</c:v>
                </c:pt>
                <c:pt idx="286">
                  <c:v>360</c:v>
                </c:pt>
                <c:pt idx="287">
                  <c:v>553</c:v>
                </c:pt>
                <c:pt idx="288">
                  <c:v>536</c:v>
                </c:pt>
                <c:pt idx="289">
                  <c:v>578</c:v>
                </c:pt>
                <c:pt idx="290">
                  <c:v>711</c:v>
                </c:pt>
                <c:pt idx="291">
                  <c:v>1021</c:v>
                </c:pt>
                <c:pt idx="292">
                  <c:v>831</c:v>
                </c:pt>
                <c:pt idx="293">
                  <c:v>1608</c:v>
                </c:pt>
                <c:pt idx="294">
                  <c:v>1879</c:v>
                </c:pt>
                <c:pt idx="295">
                  <c:v>359</c:v>
                </c:pt>
                <c:pt idx="296">
                  <c:v>341</c:v>
                </c:pt>
                <c:pt idx="297">
                  <c:v>367</c:v>
                </c:pt>
                <c:pt idx="298">
                  <c:v>423</c:v>
                </c:pt>
                <c:pt idx="299">
                  <c:v>583</c:v>
                </c:pt>
                <c:pt idx="300">
                  <c:v>722</c:v>
                </c:pt>
                <c:pt idx="301">
                  <c:v>1426</c:v>
                </c:pt>
                <c:pt idx="302">
                  <c:v>1670</c:v>
                </c:pt>
                <c:pt idx="303">
                  <c:v>108</c:v>
                </c:pt>
                <c:pt idx="304">
                  <c:v>105</c:v>
                </c:pt>
                <c:pt idx="305">
                  <c:v>112</c:v>
                </c:pt>
                <c:pt idx="306">
                  <c:v>135</c:v>
                </c:pt>
                <c:pt idx="307">
                  <c:v>187</c:v>
                </c:pt>
                <c:pt idx="308">
                  <c:v>155</c:v>
                </c:pt>
                <c:pt idx="309">
                  <c:v>258</c:v>
                </c:pt>
                <c:pt idx="310">
                  <c:v>290</c:v>
                </c:pt>
                <c:pt idx="311">
                  <c:v>85</c:v>
                </c:pt>
                <c:pt idx="312">
                  <c:v>81</c:v>
                </c:pt>
                <c:pt idx="313">
                  <c:v>87</c:v>
                </c:pt>
                <c:pt idx="314">
                  <c:v>99</c:v>
                </c:pt>
                <c:pt idx="315">
                  <c:v>131</c:v>
                </c:pt>
                <c:pt idx="316">
                  <c:v>145</c:v>
                </c:pt>
                <c:pt idx="317">
                  <c:v>236</c:v>
                </c:pt>
                <c:pt idx="318">
                  <c:v>265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11</c:v>
                </c:pt>
                <c:pt idx="323">
                  <c:v>15</c:v>
                </c:pt>
                <c:pt idx="324">
                  <c:v>12</c:v>
                </c:pt>
                <c:pt idx="325">
                  <c:v>18</c:v>
                </c:pt>
                <c:pt idx="326">
                  <c:v>19</c:v>
                </c:pt>
                <c:pt idx="327">
                  <c:v>5</c:v>
                </c:pt>
                <c:pt idx="328">
                  <c:v>4</c:v>
                </c:pt>
                <c:pt idx="329">
                  <c:v>5</c:v>
                </c:pt>
                <c:pt idx="330">
                  <c:v>6</c:v>
                </c:pt>
                <c:pt idx="331">
                  <c:v>10</c:v>
                </c:pt>
                <c:pt idx="332">
                  <c:v>9</c:v>
                </c:pt>
                <c:pt idx="333">
                  <c:v>14</c:v>
                </c:pt>
                <c:pt idx="334">
                  <c:v>15</c:v>
                </c:pt>
                <c:pt idx="335">
                  <c:v>58</c:v>
                </c:pt>
                <c:pt idx="336">
                  <c:v>11</c:v>
                </c:pt>
                <c:pt idx="337">
                  <c:v>-2.2999999999999998</c:v>
                </c:pt>
                <c:pt idx="338">
                  <c:v>18</c:v>
                </c:pt>
                <c:pt idx="339">
                  <c:v>6.6</c:v>
                </c:pt>
                <c:pt idx="340">
                  <c:v>88</c:v>
                </c:pt>
                <c:pt idx="341">
                  <c:v>2.1</c:v>
                </c:pt>
                <c:pt idx="342">
                  <c:v>88</c:v>
                </c:pt>
                <c:pt idx="343">
                  <c:v>2.1</c:v>
                </c:pt>
                <c:pt idx="344">
                  <c:v>185</c:v>
                </c:pt>
                <c:pt idx="345">
                  <c:v>29</c:v>
                </c:pt>
                <c:pt idx="346">
                  <c:v>-1.3</c:v>
                </c:pt>
                <c:pt idx="347">
                  <c:v>85</c:v>
                </c:pt>
                <c:pt idx="348">
                  <c:v>15</c:v>
                </c:pt>
                <c:pt idx="349">
                  <c:v>-2.1</c:v>
                </c:pt>
                <c:pt idx="350">
                  <c:v>35</c:v>
                </c:pt>
                <c:pt idx="351">
                  <c:v>19</c:v>
                </c:pt>
                <c:pt idx="352">
                  <c:v>14</c:v>
                </c:pt>
                <c:pt idx="353">
                  <c:v>47</c:v>
                </c:pt>
                <c:pt idx="354">
                  <c:v>145</c:v>
                </c:pt>
                <c:pt idx="355">
                  <c:v>30</c:v>
                </c:pt>
                <c:pt idx="356">
                  <c:v>91</c:v>
                </c:pt>
                <c:pt idx="357">
                  <c:v>29</c:v>
                </c:pt>
                <c:pt idx="358">
                  <c:v>21</c:v>
                </c:pt>
                <c:pt idx="359">
                  <c:v>19</c:v>
                </c:pt>
                <c:pt idx="360">
                  <c:v>43</c:v>
                </c:pt>
                <c:pt idx="361">
                  <c:v>35</c:v>
                </c:pt>
                <c:pt idx="362">
                  <c:v>31</c:v>
                </c:pt>
                <c:pt idx="363">
                  <c:v>46</c:v>
                </c:pt>
                <c:pt idx="364">
                  <c:v>37</c:v>
                </c:pt>
                <c:pt idx="365">
                  <c:v>32</c:v>
                </c:pt>
                <c:pt idx="366">
                  <c:v>19</c:v>
                </c:pt>
                <c:pt idx="367">
                  <c:v>21</c:v>
                </c:pt>
                <c:pt idx="368">
                  <c:v>50.75</c:v>
                </c:pt>
                <c:pt idx="369">
                  <c:v>314</c:v>
                </c:pt>
                <c:pt idx="370">
                  <c:v>91.666666666666671</c:v>
                </c:pt>
                <c:pt idx="371">
                  <c:v>110</c:v>
                </c:pt>
                <c:pt idx="372">
                  <c:v>28.1</c:v>
                </c:pt>
                <c:pt idx="373">
                  <c:v>27.3</c:v>
                </c:pt>
                <c:pt idx="374">
                  <c:v>226.2</c:v>
                </c:pt>
                <c:pt idx="375">
                  <c:v>27.950000000000003</c:v>
                </c:pt>
                <c:pt idx="376">
                  <c:v>14</c:v>
                </c:pt>
                <c:pt idx="377">
                  <c:v>13</c:v>
                </c:pt>
                <c:pt idx="378">
                  <c:v>13</c:v>
                </c:pt>
                <c:pt idx="379">
                  <c:v>13</c:v>
                </c:pt>
                <c:pt idx="380">
                  <c:v>12</c:v>
                </c:pt>
                <c:pt idx="381">
                  <c:v>16</c:v>
                </c:pt>
                <c:pt idx="382">
                  <c:v>58</c:v>
                </c:pt>
                <c:pt idx="383">
                  <c:v>78</c:v>
                </c:pt>
                <c:pt idx="384">
                  <c:v>65</c:v>
                </c:pt>
                <c:pt idx="385">
                  <c:v>25</c:v>
                </c:pt>
                <c:pt idx="386">
                  <c:v>69</c:v>
                </c:pt>
                <c:pt idx="387">
                  <c:v>62</c:v>
                </c:pt>
                <c:pt idx="388">
                  <c:v>205</c:v>
                </c:pt>
                <c:pt idx="389">
                  <c:v>202</c:v>
                </c:pt>
                <c:pt idx="390">
                  <c:v>815</c:v>
                </c:pt>
                <c:pt idx="391">
                  <c:v>47.666666666666664</c:v>
                </c:pt>
                <c:pt idx="392">
                  <c:v>69.666666666666671</c:v>
                </c:pt>
                <c:pt idx="393">
                  <c:v>168.66666666666666</c:v>
                </c:pt>
                <c:pt idx="394">
                  <c:v>26.51</c:v>
                </c:pt>
                <c:pt idx="395">
                  <c:v>2</c:v>
                </c:pt>
                <c:pt idx="396" formatCode="0.00">
                  <c:v>50.3</c:v>
                </c:pt>
                <c:pt idx="397" formatCode="0.00">
                  <c:v>8.8000000000000007</c:v>
                </c:pt>
                <c:pt idx="398" formatCode="0.00">
                  <c:v>-5.9</c:v>
                </c:pt>
                <c:pt idx="399">
                  <c:v>73.900000000000006</c:v>
                </c:pt>
                <c:pt idx="400">
                  <c:v>26.3</c:v>
                </c:pt>
                <c:pt idx="401">
                  <c:v>111.5</c:v>
                </c:pt>
                <c:pt idx="402">
                  <c:v>13.1</c:v>
                </c:pt>
                <c:pt idx="403">
                  <c:v>69.8</c:v>
                </c:pt>
                <c:pt idx="404">
                  <c:v>15</c:v>
                </c:pt>
                <c:pt idx="405">
                  <c:v>3.5</c:v>
                </c:pt>
                <c:pt idx="406">
                  <c:v>21.8</c:v>
                </c:pt>
                <c:pt idx="407">
                  <c:v>-1.6</c:v>
                </c:pt>
                <c:pt idx="408">
                  <c:v>12.7</c:v>
                </c:pt>
                <c:pt idx="409">
                  <c:v>-2.6</c:v>
                </c:pt>
                <c:pt idx="410">
                  <c:v>-3.8</c:v>
                </c:pt>
                <c:pt idx="411">
                  <c:v>-2.4</c:v>
                </c:pt>
                <c:pt idx="412">
                  <c:v>-5.3</c:v>
                </c:pt>
                <c:pt idx="413">
                  <c:v>-3.1</c:v>
                </c:pt>
                <c:pt idx="414">
                  <c:v>73.5</c:v>
                </c:pt>
                <c:pt idx="415">
                  <c:v>26.2</c:v>
                </c:pt>
                <c:pt idx="416">
                  <c:v>128.6</c:v>
                </c:pt>
                <c:pt idx="417">
                  <c:v>12.2</c:v>
                </c:pt>
                <c:pt idx="418">
                  <c:v>64.900000000000006</c:v>
                </c:pt>
                <c:pt idx="419">
                  <c:v>17.100000000000001</c:v>
                </c:pt>
                <c:pt idx="420">
                  <c:v>3.4</c:v>
                </c:pt>
                <c:pt idx="421">
                  <c:v>27.6</c:v>
                </c:pt>
                <c:pt idx="422">
                  <c:v>-2.2999999999999998</c:v>
                </c:pt>
                <c:pt idx="423">
                  <c:v>12.7</c:v>
                </c:pt>
                <c:pt idx="424">
                  <c:v>-2.9</c:v>
                </c:pt>
                <c:pt idx="425">
                  <c:v>-4.5</c:v>
                </c:pt>
                <c:pt idx="426">
                  <c:v>-1.9</c:v>
                </c:pt>
                <c:pt idx="427">
                  <c:v>-6.6</c:v>
                </c:pt>
                <c:pt idx="428">
                  <c:v>-2.9</c:v>
                </c:pt>
                <c:pt idx="429">
                  <c:v>-1.88</c:v>
                </c:pt>
                <c:pt idx="430">
                  <c:v>-0.35</c:v>
                </c:pt>
                <c:pt idx="431">
                  <c:v>8.9600000000000009</c:v>
                </c:pt>
                <c:pt idx="432">
                  <c:v>44.35</c:v>
                </c:pt>
                <c:pt idx="433">
                  <c:v>-0.7</c:v>
                </c:pt>
                <c:pt idx="434">
                  <c:v>12.6</c:v>
                </c:pt>
                <c:pt idx="435">
                  <c:v>210.1</c:v>
                </c:pt>
                <c:pt idx="436">
                  <c:v>61.6</c:v>
                </c:pt>
                <c:pt idx="437">
                  <c:v>40.700000000000003</c:v>
                </c:pt>
                <c:pt idx="438">
                  <c:v>58.7</c:v>
                </c:pt>
                <c:pt idx="439">
                  <c:v>227.8</c:v>
                </c:pt>
                <c:pt idx="440">
                  <c:v>117.4</c:v>
                </c:pt>
                <c:pt idx="441">
                  <c:v>-0.4</c:v>
                </c:pt>
                <c:pt idx="442">
                  <c:v>13.2</c:v>
                </c:pt>
                <c:pt idx="443">
                  <c:v>205.5</c:v>
                </c:pt>
                <c:pt idx="444">
                  <c:v>60.7</c:v>
                </c:pt>
                <c:pt idx="445">
                  <c:v>109.34</c:v>
                </c:pt>
                <c:pt idx="446">
                  <c:v>9.09</c:v>
                </c:pt>
                <c:pt idx="447">
                  <c:v>-2.97</c:v>
                </c:pt>
                <c:pt idx="448">
                  <c:v>144.03</c:v>
                </c:pt>
                <c:pt idx="449">
                  <c:v>22.01</c:v>
                </c:pt>
                <c:pt idx="450">
                  <c:v>1.01</c:v>
                </c:pt>
                <c:pt idx="451">
                  <c:v>18.333333333333332</c:v>
                </c:pt>
                <c:pt idx="452">
                  <c:v>36.666666666666664</c:v>
                </c:pt>
                <c:pt idx="453">
                  <c:v>73.333333333333329</c:v>
                </c:pt>
                <c:pt idx="454">
                  <c:v>124.66666666666667</c:v>
                </c:pt>
                <c:pt idx="455">
                  <c:v>205.33333333333334</c:v>
                </c:pt>
                <c:pt idx="456">
                  <c:v>15.56</c:v>
                </c:pt>
                <c:pt idx="457">
                  <c:v>27.86</c:v>
                </c:pt>
                <c:pt idx="458">
                  <c:v>101.49</c:v>
                </c:pt>
                <c:pt idx="459">
                  <c:v>182.12</c:v>
                </c:pt>
                <c:pt idx="460">
                  <c:v>0.66</c:v>
                </c:pt>
                <c:pt idx="461">
                  <c:v>1.1599999999999999</c:v>
                </c:pt>
                <c:pt idx="462">
                  <c:v>55.87</c:v>
                </c:pt>
                <c:pt idx="463">
                  <c:v>71.760000000000005</c:v>
                </c:pt>
                <c:pt idx="464">
                  <c:v>4.6500000000000004</c:v>
                </c:pt>
                <c:pt idx="465">
                  <c:v>12.95</c:v>
                </c:pt>
                <c:pt idx="466">
                  <c:v>1.49</c:v>
                </c:pt>
                <c:pt idx="467">
                  <c:v>7.26</c:v>
                </c:pt>
                <c:pt idx="468">
                  <c:v>15.56</c:v>
                </c:pt>
                <c:pt idx="469">
                  <c:v>19.37</c:v>
                </c:pt>
                <c:pt idx="470">
                  <c:v>15.56</c:v>
                </c:pt>
                <c:pt idx="471">
                  <c:v>45.11</c:v>
                </c:pt>
                <c:pt idx="472">
                  <c:v>28.9</c:v>
                </c:pt>
                <c:pt idx="473">
                  <c:v>32</c:v>
                </c:pt>
                <c:pt idx="474">
                  <c:v>41</c:v>
                </c:pt>
                <c:pt idx="475">
                  <c:v>32.64</c:v>
                </c:pt>
                <c:pt idx="476">
                  <c:v>33.945599999999999</c:v>
                </c:pt>
                <c:pt idx="477">
                  <c:v>46.505472000000005</c:v>
                </c:pt>
                <c:pt idx="478">
                  <c:v>36.700000000000003</c:v>
                </c:pt>
                <c:pt idx="479">
                  <c:v>55.6</c:v>
                </c:pt>
                <c:pt idx="480">
                  <c:v>102.07</c:v>
                </c:pt>
                <c:pt idx="481">
                  <c:v>52.89</c:v>
                </c:pt>
                <c:pt idx="482">
                  <c:v>264</c:v>
                </c:pt>
                <c:pt idx="483">
                  <c:v>118</c:v>
                </c:pt>
                <c:pt idx="484">
                  <c:v>56</c:v>
                </c:pt>
                <c:pt idx="485">
                  <c:v>28</c:v>
                </c:pt>
                <c:pt idx="486">
                  <c:v>476</c:v>
                </c:pt>
                <c:pt idx="487">
                  <c:v>241</c:v>
                </c:pt>
                <c:pt idx="488">
                  <c:v>115</c:v>
                </c:pt>
                <c:pt idx="489">
                  <c:v>62</c:v>
                </c:pt>
                <c:pt idx="490">
                  <c:v>888</c:v>
                </c:pt>
                <c:pt idx="491">
                  <c:v>411</c:v>
                </c:pt>
                <c:pt idx="492">
                  <c:v>200</c:v>
                </c:pt>
                <c:pt idx="493">
                  <c:v>77</c:v>
                </c:pt>
                <c:pt idx="494">
                  <c:v>892</c:v>
                </c:pt>
                <c:pt idx="495">
                  <c:v>445</c:v>
                </c:pt>
                <c:pt idx="496">
                  <c:v>216</c:v>
                </c:pt>
                <c:pt idx="497">
                  <c:v>96</c:v>
                </c:pt>
                <c:pt idx="498">
                  <c:v>5.85</c:v>
                </c:pt>
                <c:pt idx="499">
                  <c:v>16.21</c:v>
                </c:pt>
                <c:pt idx="500">
                  <c:v>17.98</c:v>
                </c:pt>
                <c:pt idx="501">
                  <c:v>1.33</c:v>
                </c:pt>
                <c:pt idx="502">
                  <c:v>30.3</c:v>
                </c:pt>
                <c:pt idx="503">
                  <c:v>186</c:v>
                </c:pt>
                <c:pt idx="504">
                  <c:v>-2.29</c:v>
                </c:pt>
                <c:pt idx="505">
                  <c:v>1.55</c:v>
                </c:pt>
                <c:pt idx="506">
                  <c:v>8.09</c:v>
                </c:pt>
                <c:pt idx="507">
                  <c:v>45.4</c:v>
                </c:pt>
                <c:pt idx="508">
                  <c:v>58.1</c:v>
                </c:pt>
                <c:pt idx="509">
                  <c:v>1880</c:v>
                </c:pt>
                <c:pt idx="510">
                  <c:v>0.70799999999999996</c:v>
                </c:pt>
                <c:pt idx="511">
                  <c:v>2.92</c:v>
                </c:pt>
                <c:pt idx="512">
                  <c:v>11.5</c:v>
                </c:pt>
                <c:pt idx="513">
                  <c:v>64.5</c:v>
                </c:pt>
                <c:pt idx="514">
                  <c:v>52.8</c:v>
                </c:pt>
                <c:pt idx="515">
                  <c:v>1510</c:v>
                </c:pt>
                <c:pt idx="516">
                  <c:v>91.5</c:v>
                </c:pt>
                <c:pt idx="517">
                  <c:v>12.1</c:v>
                </c:pt>
                <c:pt idx="518">
                  <c:v>29.1</c:v>
                </c:pt>
                <c:pt idx="519">
                  <c:v>2.41</c:v>
                </c:pt>
                <c:pt idx="520">
                  <c:v>75</c:v>
                </c:pt>
                <c:pt idx="521">
                  <c:v>5.15</c:v>
                </c:pt>
                <c:pt idx="522">
                  <c:v>52</c:v>
                </c:pt>
                <c:pt idx="523">
                  <c:v>29.333333333333332</c:v>
                </c:pt>
                <c:pt idx="524">
                  <c:v>51.333333333333329</c:v>
                </c:pt>
                <c:pt idx="525">
                  <c:v>25.666666666666664</c:v>
                </c:pt>
                <c:pt idx="526">
                  <c:v>11</c:v>
                </c:pt>
                <c:pt idx="527">
                  <c:v>66</c:v>
                </c:pt>
                <c:pt idx="528">
                  <c:v>187</c:v>
                </c:pt>
                <c:pt idx="529">
                  <c:v>1.0999999999999999</c:v>
                </c:pt>
                <c:pt idx="530">
                  <c:v>91.666666666666657</c:v>
                </c:pt>
                <c:pt idx="531">
                  <c:v>7.333333333333333</c:v>
                </c:pt>
                <c:pt idx="532">
                  <c:v>11</c:v>
                </c:pt>
                <c:pt idx="533">
                  <c:v>29.333333333333332</c:v>
                </c:pt>
                <c:pt idx="534">
                  <c:v>44</c:v>
                </c:pt>
                <c:pt idx="535">
                  <c:v>29.333333333333332</c:v>
                </c:pt>
                <c:pt idx="536">
                  <c:v>17.98</c:v>
                </c:pt>
                <c:pt idx="537">
                  <c:v>284.88</c:v>
                </c:pt>
                <c:pt idx="538">
                  <c:v>113.76</c:v>
                </c:pt>
                <c:pt idx="539">
                  <c:v>167.84</c:v>
                </c:pt>
                <c:pt idx="540">
                  <c:v>68.88</c:v>
                </c:pt>
                <c:pt idx="541">
                  <c:v>28.84</c:v>
                </c:pt>
                <c:pt idx="542">
                  <c:v>9.69</c:v>
                </c:pt>
                <c:pt idx="543">
                  <c:v>2.57</c:v>
                </c:pt>
                <c:pt idx="544">
                  <c:v>-0.79</c:v>
                </c:pt>
                <c:pt idx="545">
                  <c:v>29</c:v>
                </c:pt>
                <c:pt idx="546">
                  <c:v>106.33333333333333</c:v>
                </c:pt>
                <c:pt idx="547">
                  <c:v>20</c:v>
                </c:pt>
                <c:pt idx="548">
                  <c:v>42</c:v>
                </c:pt>
                <c:pt idx="549">
                  <c:v>201</c:v>
                </c:pt>
                <c:pt idx="550">
                  <c:v>24</c:v>
                </c:pt>
                <c:pt idx="551">
                  <c:v>50</c:v>
                </c:pt>
                <c:pt idx="552">
                  <c:v>206</c:v>
                </c:pt>
                <c:pt idx="553">
                  <c:v>11</c:v>
                </c:pt>
                <c:pt idx="554">
                  <c:v>27</c:v>
                </c:pt>
                <c:pt idx="555">
                  <c:v>129</c:v>
                </c:pt>
                <c:pt idx="556">
                  <c:v>11</c:v>
                </c:pt>
                <c:pt idx="557">
                  <c:v>28</c:v>
                </c:pt>
                <c:pt idx="558">
                  <c:v>128</c:v>
                </c:pt>
                <c:pt idx="559">
                  <c:v>12</c:v>
                </c:pt>
                <c:pt idx="560">
                  <c:v>30</c:v>
                </c:pt>
                <c:pt idx="561">
                  <c:v>138</c:v>
                </c:pt>
                <c:pt idx="562">
                  <c:v>11</c:v>
                </c:pt>
                <c:pt idx="563">
                  <c:v>26</c:v>
                </c:pt>
                <c:pt idx="564">
                  <c:v>118</c:v>
                </c:pt>
                <c:pt idx="565">
                  <c:v>14</c:v>
                </c:pt>
                <c:pt idx="566">
                  <c:v>31</c:v>
                </c:pt>
                <c:pt idx="567">
                  <c:v>130</c:v>
                </c:pt>
                <c:pt idx="568">
                  <c:v>5</c:v>
                </c:pt>
                <c:pt idx="569">
                  <c:v>15</c:v>
                </c:pt>
                <c:pt idx="570">
                  <c:v>64</c:v>
                </c:pt>
                <c:pt idx="571">
                  <c:v>6</c:v>
                </c:pt>
                <c:pt idx="572">
                  <c:v>18</c:v>
                </c:pt>
                <c:pt idx="573">
                  <c:v>72</c:v>
                </c:pt>
                <c:pt idx="574">
                  <c:v>7</c:v>
                </c:pt>
                <c:pt idx="575">
                  <c:v>19</c:v>
                </c:pt>
                <c:pt idx="576">
                  <c:v>77</c:v>
                </c:pt>
                <c:pt idx="577">
                  <c:v>2</c:v>
                </c:pt>
                <c:pt idx="578">
                  <c:v>6</c:v>
                </c:pt>
                <c:pt idx="579">
                  <c:v>21</c:v>
                </c:pt>
                <c:pt idx="580">
                  <c:v>3</c:v>
                </c:pt>
                <c:pt idx="581">
                  <c:v>8</c:v>
                </c:pt>
                <c:pt idx="582">
                  <c:v>33</c:v>
                </c:pt>
                <c:pt idx="583">
                  <c:v>0</c:v>
                </c:pt>
                <c:pt idx="584">
                  <c:v>3</c:v>
                </c:pt>
                <c:pt idx="585">
                  <c:v>7</c:v>
                </c:pt>
                <c:pt idx="586">
                  <c:v>1</c:v>
                </c:pt>
                <c:pt idx="587">
                  <c:v>6</c:v>
                </c:pt>
                <c:pt idx="588">
                  <c:v>13</c:v>
                </c:pt>
                <c:pt idx="589">
                  <c:v>1</c:v>
                </c:pt>
                <c:pt idx="590">
                  <c:v>6</c:v>
                </c:pt>
                <c:pt idx="591">
                  <c:v>13</c:v>
                </c:pt>
                <c:pt idx="592">
                  <c:v>266</c:v>
                </c:pt>
                <c:pt idx="593">
                  <c:v>122</c:v>
                </c:pt>
                <c:pt idx="594">
                  <c:v>62</c:v>
                </c:pt>
                <c:pt idx="595">
                  <c:v>35</c:v>
                </c:pt>
                <c:pt idx="596">
                  <c:v>21</c:v>
                </c:pt>
                <c:pt idx="597">
                  <c:v>5</c:v>
                </c:pt>
                <c:pt idx="598">
                  <c:v>55</c:v>
                </c:pt>
                <c:pt idx="599">
                  <c:v>175</c:v>
                </c:pt>
                <c:pt idx="600">
                  <c:v>14</c:v>
                </c:pt>
                <c:pt idx="601">
                  <c:v>6</c:v>
                </c:pt>
                <c:pt idx="602">
                  <c:v>-1.4</c:v>
                </c:pt>
                <c:pt idx="603">
                  <c:v>145</c:v>
                </c:pt>
                <c:pt idx="604">
                  <c:v>70</c:v>
                </c:pt>
                <c:pt idx="605">
                  <c:v>1</c:v>
                </c:pt>
                <c:pt idx="606">
                  <c:v>41.9</c:v>
                </c:pt>
                <c:pt idx="607">
                  <c:v>42.38</c:v>
                </c:pt>
                <c:pt idx="608">
                  <c:v>37</c:v>
                </c:pt>
                <c:pt idx="609">
                  <c:v>39</c:v>
                </c:pt>
                <c:pt idx="610">
                  <c:v>36</c:v>
                </c:pt>
                <c:pt idx="611">
                  <c:v>49</c:v>
                </c:pt>
                <c:pt idx="612">
                  <c:v>26</c:v>
                </c:pt>
                <c:pt idx="613">
                  <c:v>49</c:v>
                </c:pt>
                <c:pt idx="614">
                  <c:v>30</c:v>
                </c:pt>
                <c:pt idx="615">
                  <c:v>39</c:v>
                </c:pt>
                <c:pt idx="616">
                  <c:v>42</c:v>
                </c:pt>
                <c:pt idx="617">
                  <c:v>63</c:v>
                </c:pt>
                <c:pt idx="618">
                  <c:v>35</c:v>
                </c:pt>
                <c:pt idx="619">
                  <c:v>33</c:v>
                </c:pt>
                <c:pt idx="620">
                  <c:v>47</c:v>
                </c:pt>
                <c:pt idx="621">
                  <c:v>23</c:v>
                </c:pt>
                <c:pt idx="622">
                  <c:v>44</c:v>
                </c:pt>
                <c:pt idx="623">
                  <c:v>42</c:v>
                </c:pt>
                <c:pt idx="624">
                  <c:v>48</c:v>
                </c:pt>
                <c:pt idx="625">
                  <c:v>37</c:v>
                </c:pt>
                <c:pt idx="626">
                  <c:v>45</c:v>
                </c:pt>
                <c:pt idx="627">
                  <c:v>49</c:v>
                </c:pt>
                <c:pt idx="628">
                  <c:v>43</c:v>
                </c:pt>
                <c:pt idx="629">
                  <c:v>70</c:v>
                </c:pt>
                <c:pt idx="630">
                  <c:v>45</c:v>
                </c:pt>
                <c:pt idx="631">
                  <c:v>85</c:v>
                </c:pt>
                <c:pt idx="632">
                  <c:v>34</c:v>
                </c:pt>
                <c:pt idx="633">
                  <c:v>48</c:v>
                </c:pt>
                <c:pt idx="634">
                  <c:v>61</c:v>
                </c:pt>
                <c:pt idx="635">
                  <c:v>98</c:v>
                </c:pt>
                <c:pt idx="636">
                  <c:v>48</c:v>
                </c:pt>
                <c:pt idx="637">
                  <c:v>44</c:v>
                </c:pt>
                <c:pt idx="638">
                  <c:v>76</c:v>
                </c:pt>
                <c:pt idx="639">
                  <c:v>47</c:v>
                </c:pt>
                <c:pt idx="640">
                  <c:v>82</c:v>
                </c:pt>
                <c:pt idx="641">
                  <c:v>76</c:v>
                </c:pt>
                <c:pt idx="642">
                  <c:v>90</c:v>
                </c:pt>
                <c:pt idx="643">
                  <c:v>84</c:v>
                </c:pt>
                <c:pt idx="644">
                  <c:v>52</c:v>
                </c:pt>
                <c:pt idx="645">
                  <c:v>58</c:v>
                </c:pt>
                <c:pt idx="646">
                  <c:v>48</c:v>
                </c:pt>
                <c:pt idx="647">
                  <c:v>89</c:v>
                </c:pt>
                <c:pt idx="648">
                  <c:v>65</c:v>
                </c:pt>
                <c:pt idx="649">
                  <c:v>130</c:v>
                </c:pt>
                <c:pt idx="650">
                  <c:v>36</c:v>
                </c:pt>
                <c:pt idx="651">
                  <c:v>55</c:v>
                </c:pt>
                <c:pt idx="652">
                  <c:v>90</c:v>
                </c:pt>
                <c:pt idx="653">
                  <c:v>139</c:v>
                </c:pt>
                <c:pt idx="654">
                  <c:v>57</c:v>
                </c:pt>
                <c:pt idx="655">
                  <c:v>52</c:v>
                </c:pt>
                <c:pt idx="656">
                  <c:v>104</c:v>
                </c:pt>
                <c:pt idx="657">
                  <c:v>73</c:v>
                </c:pt>
                <c:pt idx="658">
                  <c:v>147</c:v>
                </c:pt>
                <c:pt idx="659">
                  <c:v>130</c:v>
                </c:pt>
                <c:pt idx="660">
                  <c:v>151</c:v>
                </c:pt>
                <c:pt idx="661">
                  <c:v>155</c:v>
                </c:pt>
                <c:pt idx="662">
                  <c:v>73</c:v>
                </c:pt>
                <c:pt idx="663">
                  <c:v>86</c:v>
                </c:pt>
                <c:pt idx="664">
                  <c:v>63</c:v>
                </c:pt>
                <c:pt idx="665">
                  <c:v>172</c:v>
                </c:pt>
                <c:pt idx="666">
                  <c:v>172</c:v>
                </c:pt>
                <c:pt idx="667">
                  <c:v>394</c:v>
                </c:pt>
                <c:pt idx="668">
                  <c:v>43</c:v>
                </c:pt>
                <c:pt idx="669">
                  <c:v>77</c:v>
                </c:pt>
                <c:pt idx="670">
                  <c:v>384</c:v>
                </c:pt>
                <c:pt idx="671">
                  <c:v>420</c:v>
                </c:pt>
                <c:pt idx="672">
                  <c:v>84</c:v>
                </c:pt>
                <c:pt idx="673">
                  <c:v>73</c:v>
                </c:pt>
                <c:pt idx="674">
                  <c:v>219</c:v>
                </c:pt>
                <c:pt idx="675">
                  <c:v>219</c:v>
                </c:pt>
                <c:pt idx="676">
                  <c:v>1008</c:v>
                </c:pt>
                <c:pt idx="677">
                  <c:v>718</c:v>
                </c:pt>
                <c:pt idx="678">
                  <c:v>723</c:v>
                </c:pt>
                <c:pt idx="679">
                  <c:v>777</c:v>
                </c:pt>
                <c:pt idx="680">
                  <c:v>34</c:v>
                </c:pt>
                <c:pt idx="681">
                  <c:v>35</c:v>
                </c:pt>
                <c:pt idx="682">
                  <c:v>33</c:v>
                </c:pt>
                <c:pt idx="683">
                  <c:v>52</c:v>
                </c:pt>
                <c:pt idx="684">
                  <c:v>24</c:v>
                </c:pt>
                <c:pt idx="685">
                  <c:v>64</c:v>
                </c:pt>
                <c:pt idx="686">
                  <c:v>27</c:v>
                </c:pt>
                <c:pt idx="687">
                  <c:v>35</c:v>
                </c:pt>
                <c:pt idx="688">
                  <c:v>42</c:v>
                </c:pt>
                <c:pt idx="689">
                  <c:v>50</c:v>
                </c:pt>
                <c:pt idx="690">
                  <c:v>32</c:v>
                </c:pt>
                <c:pt idx="691">
                  <c:v>29</c:v>
                </c:pt>
                <c:pt idx="692">
                  <c:v>44</c:v>
                </c:pt>
                <c:pt idx="693">
                  <c:v>20</c:v>
                </c:pt>
                <c:pt idx="694">
                  <c:v>39</c:v>
                </c:pt>
                <c:pt idx="695">
                  <c:v>36</c:v>
                </c:pt>
                <c:pt idx="696">
                  <c:v>43</c:v>
                </c:pt>
                <c:pt idx="697">
                  <c:v>31</c:v>
                </c:pt>
                <c:pt idx="698">
                  <c:v>41</c:v>
                </c:pt>
                <c:pt idx="699">
                  <c:v>42</c:v>
                </c:pt>
                <c:pt idx="700">
                  <c:v>38</c:v>
                </c:pt>
                <c:pt idx="701">
                  <c:v>72</c:v>
                </c:pt>
                <c:pt idx="702">
                  <c:v>40</c:v>
                </c:pt>
                <c:pt idx="703">
                  <c:v>107</c:v>
                </c:pt>
                <c:pt idx="704">
                  <c:v>30</c:v>
                </c:pt>
                <c:pt idx="705">
                  <c:v>42</c:v>
                </c:pt>
                <c:pt idx="706">
                  <c:v>54</c:v>
                </c:pt>
                <c:pt idx="707">
                  <c:v>63</c:v>
                </c:pt>
                <c:pt idx="708">
                  <c:v>42</c:v>
                </c:pt>
                <c:pt idx="709">
                  <c:v>38</c:v>
                </c:pt>
                <c:pt idx="710">
                  <c:v>68</c:v>
                </c:pt>
                <c:pt idx="711">
                  <c:v>41</c:v>
                </c:pt>
                <c:pt idx="712">
                  <c:v>61</c:v>
                </c:pt>
                <c:pt idx="713">
                  <c:v>55</c:v>
                </c:pt>
                <c:pt idx="714">
                  <c:v>69</c:v>
                </c:pt>
                <c:pt idx="715">
                  <c:v>62</c:v>
                </c:pt>
                <c:pt idx="716">
                  <c:v>46</c:v>
                </c:pt>
                <c:pt idx="717">
                  <c:v>47</c:v>
                </c:pt>
                <c:pt idx="718">
                  <c:v>42</c:v>
                </c:pt>
                <c:pt idx="719">
                  <c:v>89</c:v>
                </c:pt>
                <c:pt idx="720">
                  <c:v>58</c:v>
                </c:pt>
                <c:pt idx="721">
                  <c:v>150</c:v>
                </c:pt>
                <c:pt idx="722">
                  <c:v>32</c:v>
                </c:pt>
                <c:pt idx="723">
                  <c:v>47</c:v>
                </c:pt>
                <c:pt idx="724">
                  <c:v>64</c:v>
                </c:pt>
                <c:pt idx="725">
                  <c:v>73</c:v>
                </c:pt>
                <c:pt idx="726">
                  <c:v>49</c:v>
                </c:pt>
                <c:pt idx="727">
                  <c:v>45</c:v>
                </c:pt>
                <c:pt idx="728">
                  <c:v>89</c:v>
                </c:pt>
                <c:pt idx="729">
                  <c:v>61</c:v>
                </c:pt>
                <c:pt idx="730">
                  <c:v>90</c:v>
                </c:pt>
                <c:pt idx="731">
                  <c:v>84</c:v>
                </c:pt>
                <c:pt idx="732">
                  <c:v>104</c:v>
                </c:pt>
                <c:pt idx="733">
                  <c:v>104</c:v>
                </c:pt>
                <c:pt idx="734">
                  <c:v>60</c:v>
                </c:pt>
                <c:pt idx="735">
                  <c:v>62</c:v>
                </c:pt>
                <c:pt idx="736">
                  <c:v>53</c:v>
                </c:pt>
                <c:pt idx="737">
                  <c:v>143</c:v>
                </c:pt>
                <c:pt idx="738">
                  <c:v>143</c:v>
                </c:pt>
                <c:pt idx="739">
                  <c:v>316</c:v>
                </c:pt>
                <c:pt idx="740">
                  <c:v>37</c:v>
                </c:pt>
                <c:pt idx="741">
                  <c:v>63</c:v>
                </c:pt>
                <c:pt idx="742">
                  <c:v>97</c:v>
                </c:pt>
                <c:pt idx="743">
                  <c:v>105</c:v>
                </c:pt>
                <c:pt idx="744">
                  <c:v>68</c:v>
                </c:pt>
                <c:pt idx="745">
                  <c:v>60</c:v>
                </c:pt>
                <c:pt idx="746">
                  <c:v>163</c:v>
                </c:pt>
                <c:pt idx="747">
                  <c:v>163</c:v>
                </c:pt>
                <c:pt idx="748">
                  <c:v>434</c:v>
                </c:pt>
                <c:pt idx="749">
                  <c:v>689</c:v>
                </c:pt>
                <c:pt idx="750">
                  <c:v>506</c:v>
                </c:pt>
                <c:pt idx="751">
                  <c:v>556</c:v>
                </c:pt>
                <c:pt idx="752">
                  <c:v>374</c:v>
                </c:pt>
                <c:pt idx="753">
                  <c:v>480.33333333333331</c:v>
                </c:pt>
                <c:pt idx="754">
                  <c:v>535.33333333333337</c:v>
                </c:pt>
                <c:pt idx="755">
                  <c:v>689.33333333333337</c:v>
                </c:pt>
                <c:pt idx="756">
                  <c:v>278.66666666666669</c:v>
                </c:pt>
                <c:pt idx="757">
                  <c:v>363</c:v>
                </c:pt>
                <c:pt idx="758">
                  <c:v>344.66666666666669</c:v>
                </c:pt>
                <c:pt idx="759">
                  <c:v>418</c:v>
                </c:pt>
                <c:pt idx="760">
                  <c:v>495</c:v>
                </c:pt>
                <c:pt idx="761">
                  <c:v>539</c:v>
                </c:pt>
                <c:pt idx="762">
                  <c:v>799.33333333333337</c:v>
                </c:pt>
                <c:pt idx="763">
                  <c:v>392.33333333333331</c:v>
                </c:pt>
                <c:pt idx="764">
                  <c:v>506</c:v>
                </c:pt>
                <c:pt idx="765">
                  <c:v>388.66666666666669</c:v>
                </c:pt>
                <c:pt idx="766">
                  <c:v>297</c:v>
                </c:pt>
                <c:pt idx="767">
                  <c:v>121</c:v>
                </c:pt>
                <c:pt idx="768">
                  <c:v>146.66666666666666</c:v>
                </c:pt>
                <c:pt idx="769">
                  <c:v>55</c:v>
                </c:pt>
                <c:pt idx="770">
                  <c:v>62.333333333333336</c:v>
                </c:pt>
                <c:pt idx="771">
                  <c:v>267.66666666666669</c:v>
                </c:pt>
                <c:pt idx="772">
                  <c:v>205.33333333333334</c:v>
                </c:pt>
                <c:pt idx="773">
                  <c:v>260.33333333333331</c:v>
                </c:pt>
                <c:pt idx="774">
                  <c:v>388.66666666666669</c:v>
                </c:pt>
                <c:pt idx="775">
                  <c:v>374.04</c:v>
                </c:pt>
                <c:pt idx="776">
                  <c:v>145.55000000000001</c:v>
                </c:pt>
                <c:pt idx="777">
                  <c:v>62.07</c:v>
                </c:pt>
                <c:pt idx="778">
                  <c:v>103.16</c:v>
                </c:pt>
                <c:pt idx="779">
                  <c:v>45.12</c:v>
                </c:pt>
                <c:pt idx="780">
                  <c:v>20.260000000000002</c:v>
                </c:pt>
                <c:pt idx="781">
                  <c:v>10.02</c:v>
                </c:pt>
                <c:pt idx="782">
                  <c:v>3.87</c:v>
                </c:pt>
                <c:pt idx="783">
                  <c:v>0.71</c:v>
                </c:pt>
                <c:pt idx="784">
                  <c:v>51.4</c:v>
                </c:pt>
                <c:pt idx="785">
                  <c:v>328.93</c:v>
                </c:pt>
                <c:pt idx="786">
                  <c:v>12</c:v>
                </c:pt>
                <c:pt idx="787">
                  <c:v>38</c:v>
                </c:pt>
                <c:pt idx="788">
                  <c:v>58</c:v>
                </c:pt>
                <c:pt idx="789">
                  <c:v>36.666666666666664</c:v>
                </c:pt>
                <c:pt idx="790">
                  <c:v>117.33333333333333</c:v>
                </c:pt>
                <c:pt idx="791">
                  <c:v>245.66666666666666</c:v>
                </c:pt>
                <c:pt idx="792">
                  <c:v>51.333333333333336</c:v>
                </c:pt>
                <c:pt idx="793">
                  <c:v>47.666666666666664</c:v>
                </c:pt>
                <c:pt idx="794">
                  <c:v>47.666666666666664</c:v>
                </c:pt>
                <c:pt idx="795">
                  <c:v>51.333333333333336</c:v>
                </c:pt>
                <c:pt idx="796">
                  <c:v>51.333333333333336</c:v>
                </c:pt>
                <c:pt idx="797">
                  <c:v>22</c:v>
                </c:pt>
                <c:pt idx="798">
                  <c:v>29.333333333333332</c:v>
                </c:pt>
                <c:pt idx="799">
                  <c:v>33</c:v>
                </c:pt>
                <c:pt idx="800">
                  <c:v>25</c:v>
                </c:pt>
                <c:pt idx="801">
                  <c:v>95</c:v>
                </c:pt>
                <c:pt idx="802">
                  <c:v>29.3</c:v>
                </c:pt>
                <c:pt idx="803">
                  <c:v>215.9</c:v>
                </c:pt>
                <c:pt idx="804">
                  <c:v>27.6</c:v>
                </c:pt>
                <c:pt idx="805">
                  <c:v>27.7</c:v>
                </c:pt>
                <c:pt idx="806">
                  <c:v>27.8</c:v>
                </c:pt>
                <c:pt idx="807">
                  <c:v>27.9</c:v>
                </c:pt>
                <c:pt idx="808">
                  <c:v>27.9</c:v>
                </c:pt>
                <c:pt idx="809">
                  <c:v>198.6</c:v>
                </c:pt>
                <c:pt idx="810">
                  <c:v>184.8</c:v>
                </c:pt>
                <c:pt idx="811">
                  <c:v>209.2</c:v>
                </c:pt>
                <c:pt idx="812">
                  <c:v>213.4</c:v>
                </c:pt>
                <c:pt idx="813">
                  <c:v>215.5</c:v>
                </c:pt>
                <c:pt idx="814">
                  <c:v>25</c:v>
                </c:pt>
                <c:pt idx="815">
                  <c:v>95</c:v>
                </c:pt>
                <c:pt idx="816">
                  <c:v>29.3</c:v>
                </c:pt>
                <c:pt idx="817">
                  <c:v>215.9</c:v>
                </c:pt>
                <c:pt idx="818">
                  <c:v>27.6</c:v>
                </c:pt>
                <c:pt idx="819">
                  <c:v>28.1</c:v>
                </c:pt>
                <c:pt idx="820">
                  <c:v>27.4</c:v>
                </c:pt>
                <c:pt idx="821">
                  <c:v>27.4</c:v>
                </c:pt>
                <c:pt idx="822">
                  <c:v>27.4</c:v>
                </c:pt>
                <c:pt idx="823">
                  <c:v>198.6</c:v>
                </c:pt>
                <c:pt idx="824">
                  <c:v>191.9</c:v>
                </c:pt>
                <c:pt idx="825">
                  <c:v>200.4</c:v>
                </c:pt>
                <c:pt idx="826">
                  <c:v>202.8</c:v>
                </c:pt>
                <c:pt idx="827">
                  <c:v>204.3</c:v>
                </c:pt>
                <c:pt idx="828">
                  <c:v>36.666666666666664</c:v>
                </c:pt>
                <c:pt idx="829">
                  <c:v>94233.333333333328</c:v>
                </c:pt>
                <c:pt idx="830">
                  <c:v>16.5</c:v>
                </c:pt>
                <c:pt idx="831">
                  <c:v>6196.666666666667</c:v>
                </c:pt>
                <c:pt idx="832">
                  <c:v>161.33333333333334</c:v>
                </c:pt>
                <c:pt idx="833">
                  <c:v>374</c:v>
                </c:pt>
                <c:pt idx="834">
                  <c:v>326.33333333333331</c:v>
                </c:pt>
                <c:pt idx="835">
                  <c:v>546.33333333333337</c:v>
                </c:pt>
                <c:pt idx="836">
                  <c:v>590.33333333333337</c:v>
                </c:pt>
                <c:pt idx="837">
                  <c:v>836</c:v>
                </c:pt>
                <c:pt idx="838">
                  <c:v>124.66666666666667</c:v>
                </c:pt>
                <c:pt idx="839">
                  <c:v>187</c:v>
                </c:pt>
                <c:pt idx="840">
                  <c:v>403.33333333333331</c:v>
                </c:pt>
                <c:pt idx="841">
                  <c:v>586.66666666666663</c:v>
                </c:pt>
                <c:pt idx="842">
                  <c:v>916.66666666666663</c:v>
                </c:pt>
                <c:pt idx="843">
                  <c:v>1173.3333333333333</c:v>
                </c:pt>
                <c:pt idx="844">
                  <c:v>91.666666666666671</c:v>
                </c:pt>
                <c:pt idx="845">
                  <c:v>124.66666666666667</c:v>
                </c:pt>
                <c:pt idx="846">
                  <c:v>242</c:v>
                </c:pt>
                <c:pt idx="847">
                  <c:v>352</c:v>
                </c:pt>
                <c:pt idx="848">
                  <c:v>586.66666666666663</c:v>
                </c:pt>
                <c:pt idx="849">
                  <c:v>843.33333333333337</c:v>
                </c:pt>
                <c:pt idx="850">
                  <c:v>58.666666666666664</c:v>
                </c:pt>
                <c:pt idx="851">
                  <c:v>77</c:v>
                </c:pt>
                <c:pt idx="852">
                  <c:v>150.33333333333334</c:v>
                </c:pt>
                <c:pt idx="853">
                  <c:v>260.33333333333331</c:v>
                </c:pt>
                <c:pt idx="854">
                  <c:v>733.33333333333337</c:v>
                </c:pt>
                <c:pt idx="855">
                  <c:v>2236.6666666666665</c:v>
                </c:pt>
                <c:pt idx="856">
                  <c:v>440</c:v>
                </c:pt>
                <c:pt idx="857">
                  <c:v>990</c:v>
                </c:pt>
                <c:pt idx="858">
                  <c:v>2823.3333333333335</c:v>
                </c:pt>
                <c:pt idx="859">
                  <c:v>4766.666666666667</c:v>
                </c:pt>
                <c:pt idx="860">
                  <c:v>9166.6666666666661</c:v>
                </c:pt>
                <c:pt idx="861">
                  <c:v>13933.333333333334</c:v>
                </c:pt>
                <c:pt idx="862">
                  <c:v>106.33333333333333</c:v>
                </c:pt>
                <c:pt idx="863">
                  <c:v>124.66666666666667</c:v>
                </c:pt>
                <c:pt idx="864">
                  <c:v>275</c:v>
                </c:pt>
                <c:pt idx="865">
                  <c:v>550</c:v>
                </c:pt>
                <c:pt idx="866">
                  <c:v>4033.3333333333335</c:v>
                </c:pt>
                <c:pt idx="867">
                  <c:v>13933.333333333334</c:v>
                </c:pt>
                <c:pt idx="868">
                  <c:v>43</c:v>
                </c:pt>
                <c:pt idx="869">
                  <c:v>51</c:v>
                </c:pt>
                <c:pt idx="870">
                  <c:v>35</c:v>
                </c:pt>
                <c:pt idx="871">
                  <c:v>34</c:v>
                </c:pt>
                <c:pt idx="872">
                  <c:v>85</c:v>
                </c:pt>
                <c:pt idx="873">
                  <c:v>71</c:v>
                </c:pt>
                <c:pt idx="874">
                  <c:v>56</c:v>
                </c:pt>
                <c:pt idx="875">
                  <c:v>46</c:v>
                </c:pt>
                <c:pt idx="876">
                  <c:v>45</c:v>
                </c:pt>
                <c:pt idx="877">
                  <c:v>44</c:v>
                </c:pt>
                <c:pt idx="878">
                  <c:v>48</c:v>
                </c:pt>
                <c:pt idx="879">
                  <c:v>51</c:v>
                </c:pt>
                <c:pt idx="880">
                  <c:v>47</c:v>
                </c:pt>
                <c:pt idx="881">
                  <c:v>49</c:v>
                </c:pt>
                <c:pt idx="882">
                  <c:v>126</c:v>
                </c:pt>
                <c:pt idx="883">
                  <c:v>124</c:v>
                </c:pt>
                <c:pt idx="884">
                  <c:v>123</c:v>
                </c:pt>
                <c:pt idx="885">
                  <c:v>131</c:v>
                </c:pt>
                <c:pt idx="886">
                  <c:v>138</c:v>
                </c:pt>
                <c:pt idx="887">
                  <c:v>130</c:v>
                </c:pt>
                <c:pt idx="888">
                  <c:v>135</c:v>
                </c:pt>
                <c:pt idx="889">
                  <c:v>975.33333333333337</c:v>
                </c:pt>
                <c:pt idx="890">
                  <c:v>836</c:v>
                </c:pt>
                <c:pt idx="891">
                  <c:v>671</c:v>
                </c:pt>
                <c:pt idx="892">
                  <c:v>513.33333333333337</c:v>
                </c:pt>
                <c:pt idx="893">
                  <c:v>337.33333333333331</c:v>
                </c:pt>
                <c:pt idx="894">
                  <c:v>165</c:v>
                </c:pt>
                <c:pt idx="895">
                  <c:v>3.6666666666666665</c:v>
                </c:pt>
                <c:pt idx="896">
                  <c:v>44.4</c:v>
                </c:pt>
                <c:pt idx="897">
                  <c:v>76</c:v>
                </c:pt>
                <c:pt idx="898">
                  <c:v>91</c:v>
                </c:pt>
                <c:pt idx="899">
                  <c:v>196</c:v>
                </c:pt>
                <c:pt idx="900">
                  <c:v>178</c:v>
                </c:pt>
                <c:pt idx="901">
                  <c:v>118</c:v>
                </c:pt>
                <c:pt idx="902">
                  <c:v>133</c:v>
                </c:pt>
                <c:pt idx="903">
                  <c:v>271</c:v>
                </c:pt>
                <c:pt idx="904">
                  <c:v>233</c:v>
                </c:pt>
                <c:pt idx="905">
                  <c:v>70</c:v>
                </c:pt>
                <c:pt idx="906">
                  <c:v>101</c:v>
                </c:pt>
                <c:pt idx="907">
                  <c:v>229</c:v>
                </c:pt>
                <c:pt idx="908">
                  <c:v>110</c:v>
                </c:pt>
                <c:pt idx="909">
                  <c:v>147</c:v>
                </c:pt>
                <c:pt idx="910">
                  <c:v>329</c:v>
                </c:pt>
                <c:pt idx="911" formatCode="General">
                  <c:v>220.77952999999999</c:v>
                </c:pt>
                <c:pt idx="912" formatCode="General">
                  <c:v>33.050759999999997</c:v>
                </c:pt>
                <c:pt idx="913" formatCode="General">
                  <c:v>145.4041</c:v>
                </c:pt>
                <c:pt idx="914" formatCode="General">
                  <c:v>236.08494999999999</c:v>
                </c:pt>
                <c:pt idx="915" formatCode="General">
                  <c:v>72.448409999999996</c:v>
                </c:pt>
                <c:pt idx="916" formatCode="General">
                  <c:v>125.27212</c:v>
                </c:pt>
                <c:pt idx="917" formatCode="General">
                  <c:v>59.818469999999998</c:v>
                </c:pt>
                <c:pt idx="918" formatCode="General">
                  <c:v>145.4041</c:v>
                </c:pt>
                <c:pt idx="919" formatCode="General">
                  <c:v>136.57050000000001</c:v>
                </c:pt>
                <c:pt idx="920" formatCode="General">
                  <c:v>840.04759999999999</c:v>
                </c:pt>
                <c:pt idx="921" formatCode="General">
                  <c:v>307.13490000000002</c:v>
                </c:pt>
                <c:pt idx="922" formatCode="General">
                  <c:v>372.70420000000001</c:v>
                </c:pt>
                <c:pt idx="923" formatCode="General">
                  <c:v>236.0849</c:v>
                </c:pt>
                <c:pt idx="924" formatCode="General">
                  <c:v>2374.5189999999998</c:v>
                </c:pt>
                <c:pt idx="925" formatCode="General">
                  <c:v>24.2</c:v>
                </c:pt>
                <c:pt idx="926" formatCode="General">
                  <c:v>44</c:v>
                </c:pt>
                <c:pt idx="927" formatCode="General">
                  <c:v>19.066666666666666</c:v>
                </c:pt>
                <c:pt idx="928" formatCode="General">
                  <c:v>9.1666666666666661</c:v>
                </c:pt>
                <c:pt idx="929" formatCode="General">
                  <c:v>40.333333333333336</c:v>
                </c:pt>
                <c:pt idx="930" formatCode="General">
                  <c:v>102.66666666666667</c:v>
                </c:pt>
                <c:pt idx="931" formatCode="General">
                  <c:v>1.0999999999999999</c:v>
                </c:pt>
                <c:pt idx="932" formatCode="General">
                  <c:v>51.333333333333336</c:v>
                </c:pt>
                <c:pt idx="933" formatCode="General">
                  <c:v>7.333333333333333</c:v>
                </c:pt>
                <c:pt idx="934" formatCode="General">
                  <c:v>9.9</c:v>
                </c:pt>
                <c:pt idx="935" formatCode="General">
                  <c:v>20.533333333333331</c:v>
                </c:pt>
                <c:pt idx="936" formatCode="General">
                  <c:v>23.833333333333332</c:v>
                </c:pt>
                <c:pt idx="937" formatCode="General">
                  <c:v>75</c:v>
                </c:pt>
                <c:pt idx="938" formatCode="General">
                  <c:v>37.5</c:v>
                </c:pt>
                <c:pt idx="939" formatCode="General">
                  <c:v>200</c:v>
                </c:pt>
                <c:pt idx="940" formatCode="General">
                  <c:v>1500</c:v>
                </c:pt>
                <c:pt idx="941" formatCode="General">
                  <c:v>293</c:v>
                </c:pt>
                <c:pt idx="942" formatCode="General">
                  <c:v>52</c:v>
                </c:pt>
                <c:pt idx="943" formatCode="General">
                  <c:v>47.029411764705884</c:v>
                </c:pt>
                <c:pt idx="944" formatCode="General">
                  <c:v>263.00787401574803</c:v>
                </c:pt>
                <c:pt idx="945" formatCode="General">
                  <c:v>82.133333333333326</c:v>
                </c:pt>
                <c:pt idx="946" formatCode="General">
                  <c:v>208.63333333333333</c:v>
                </c:pt>
                <c:pt idx="947" formatCode="General">
                  <c:v>80.666666666666671</c:v>
                </c:pt>
                <c:pt idx="948" formatCode="General">
                  <c:v>187</c:v>
                </c:pt>
                <c:pt idx="949" formatCode="General">
                  <c:v>201.66666666666666</c:v>
                </c:pt>
                <c:pt idx="950" formatCode="General">
                  <c:v>260.33333333333331</c:v>
                </c:pt>
                <c:pt idx="951" formatCode="General">
                  <c:v>99</c:v>
                </c:pt>
                <c:pt idx="952" formatCode="General">
                  <c:v>62.333333333333336</c:v>
                </c:pt>
                <c:pt idx="953" formatCode="General">
                  <c:v>97.166666666666671</c:v>
                </c:pt>
                <c:pt idx="954" formatCode="General">
                  <c:v>110</c:v>
                </c:pt>
                <c:pt idx="955" formatCode="General">
                  <c:v>146.66666666666666</c:v>
                </c:pt>
                <c:pt idx="956" formatCode="General">
                  <c:v>68.2</c:v>
                </c:pt>
                <c:pt idx="957" formatCode="General">
                  <c:v>64.899999999999991</c:v>
                </c:pt>
                <c:pt idx="958" formatCode="General">
                  <c:v>174.53333333333333</c:v>
                </c:pt>
                <c:pt idx="959" formatCode="General">
                  <c:v>91.666666666666671</c:v>
                </c:pt>
                <c:pt idx="960" formatCode="General">
                  <c:v>329.26666666666665</c:v>
                </c:pt>
                <c:pt idx="961" formatCode="General">
                  <c:v>75.899999999999991</c:v>
                </c:pt>
                <c:pt idx="962" formatCode="General">
                  <c:v>23.466666666666669</c:v>
                </c:pt>
                <c:pt idx="963" formatCode="General">
                  <c:v>38.133333333333333</c:v>
                </c:pt>
                <c:pt idx="964" formatCode="General">
                  <c:v>54.266666666666673</c:v>
                </c:pt>
                <c:pt idx="965" formatCode="General">
                  <c:v>45.1</c:v>
                </c:pt>
                <c:pt idx="966" formatCode="General">
                  <c:v>67.833333333333329</c:v>
                </c:pt>
                <c:pt idx="967" formatCode="General">
                  <c:v>68.2</c:v>
                </c:pt>
                <c:pt idx="968" formatCode="General">
                  <c:v>61.6</c:v>
                </c:pt>
                <c:pt idx="969" formatCode="General">
                  <c:v>94.600000000000009</c:v>
                </c:pt>
                <c:pt idx="970" formatCode="General">
                  <c:v>77</c:v>
                </c:pt>
                <c:pt idx="971" formatCode="General">
                  <c:v>114.03333333333335</c:v>
                </c:pt>
                <c:pt idx="972" formatCode="General">
                  <c:v>183.33333333333334</c:v>
                </c:pt>
                <c:pt idx="973" formatCode="General">
                  <c:v>147.4</c:v>
                </c:pt>
                <c:pt idx="974" formatCode="General">
                  <c:v>169.4</c:v>
                </c:pt>
                <c:pt idx="975" formatCode="General">
                  <c:v>265.83333333333331</c:v>
                </c:pt>
                <c:pt idx="976" formatCode="General">
                  <c:v>212.66666666666666</c:v>
                </c:pt>
                <c:pt idx="977" formatCode="General">
                  <c:v>458.33333333333331</c:v>
                </c:pt>
                <c:pt idx="978" formatCode="General">
                  <c:v>198</c:v>
                </c:pt>
                <c:pt idx="979" formatCode="General">
                  <c:v>88</c:v>
                </c:pt>
                <c:pt idx="980" formatCode="General">
                  <c:v>69.666666666666671</c:v>
                </c:pt>
                <c:pt idx="981" formatCode="General">
                  <c:v>5481.666666666667</c:v>
                </c:pt>
                <c:pt idx="982" formatCode="General">
                  <c:v>3835.3333333333335</c:v>
                </c:pt>
                <c:pt idx="983" formatCode="General">
                  <c:v>722.33333333333337</c:v>
                </c:pt>
                <c:pt idx="984" formatCode="General">
                  <c:v>121</c:v>
                </c:pt>
                <c:pt idx="985" formatCode="General">
                  <c:v>37.700000000000003</c:v>
                </c:pt>
                <c:pt idx="986" formatCode="General">
                  <c:v>8.64</c:v>
                </c:pt>
                <c:pt idx="987" formatCode="General">
                  <c:v>22.45</c:v>
                </c:pt>
                <c:pt idx="988" formatCode="General">
                  <c:v>35.340000000000003</c:v>
                </c:pt>
                <c:pt idx="989" formatCode="General">
                  <c:v>46.41</c:v>
                </c:pt>
                <c:pt idx="990" formatCode="General">
                  <c:v>55.77</c:v>
                </c:pt>
                <c:pt idx="991" formatCode="General">
                  <c:v>63.7</c:v>
                </c:pt>
                <c:pt idx="992" formatCode="General">
                  <c:v>35</c:v>
                </c:pt>
                <c:pt idx="993" formatCode="General">
                  <c:v>55</c:v>
                </c:pt>
                <c:pt idx="994" formatCode="General">
                  <c:v>1518</c:v>
                </c:pt>
                <c:pt idx="995" formatCode="General">
                  <c:v>381</c:v>
                </c:pt>
                <c:pt idx="996" formatCode="General">
                  <c:v>125</c:v>
                </c:pt>
                <c:pt idx="997" formatCode="General">
                  <c:v>86</c:v>
                </c:pt>
                <c:pt idx="998" formatCode="General">
                  <c:v>52</c:v>
                </c:pt>
                <c:pt idx="999" formatCode="General">
                  <c:v>42</c:v>
                </c:pt>
                <c:pt idx="1000" formatCode="General">
                  <c:v>92</c:v>
                </c:pt>
                <c:pt idx="1001" formatCode="General">
                  <c:v>80</c:v>
                </c:pt>
                <c:pt idx="1002" formatCode="General">
                  <c:v>350</c:v>
                </c:pt>
                <c:pt idx="1003" formatCode="General">
                  <c:v>102</c:v>
                </c:pt>
                <c:pt idx="1004" formatCode="General">
                  <c:v>44</c:v>
                </c:pt>
                <c:pt idx="1005" formatCode="General">
                  <c:v>105</c:v>
                </c:pt>
                <c:pt idx="1006" formatCode="General">
                  <c:v>551</c:v>
                </c:pt>
                <c:pt idx="1007" formatCode="General">
                  <c:v>5100</c:v>
                </c:pt>
                <c:pt idx="1008">
                  <c:v>51.333333333333336</c:v>
                </c:pt>
                <c:pt idx="1009">
                  <c:v>165</c:v>
                </c:pt>
                <c:pt idx="1010">
                  <c:v>124.66666666666667</c:v>
                </c:pt>
                <c:pt idx="1011">
                  <c:v>465.66666666666669</c:v>
                </c:pt>
                <c:pt idx="1012">
                  <c:v>73.333333333333329</c:v>
                </c:pt>
                <c:pt idx="1013">
                  <c:v>66</c:v>
                </c:pt>
                <c:pt idx="1014">
                  <c:v>220</c:v>
                </c:pt>
                <c:pt idx="1015">
                  <c:v>135.66666666666666</c:v>
                </c:pt>
                <c:pt idx="1016">
                  <c:v>513.33333333333337</c:v>
                </c:pt>
                <c:pt idx="1017">
                  <c:v>73.333333333333329</c:v>
                </c:pt>
                <c:pt idx="1018">
                  <c:v>66</c:v>
                </c:pt>
                <c:pt idx="1019">
                  <c:v>223.66666666666666</c:v>
                </c:pt>
                <c:pt idx="1020">
                  <c:v>135.66666666666666</c:v>
                </c:pt>
                <c:pt idx="1021">
                  <c:v>517</c:v>
                </c:pt>
                <c:pt idx="1022">
                  <c:v>77</c:v>
                </c:pt>
                <c:pt idx="1023">
                  <c:v>62.333333333333336</c:v>
                </c:pt>
                <c:pt idx="1024">
                  <c:v>212.66666666666666</c:v>
                </c:pt>
                <c:pt idx="1025">
                  <c:v>132</c:v>
                </c:pt>
                <c:pt idx="1026">
                  <c:v>498.66666666666669</c:v>
                </c:pt>
                <c:pt idx="1027">
                  <c:v>73.333333333333329</c:v>
                </c:pt>
                <c:pt idx="1028">
                  <c:v>25.666666666666668</c:v>
                </c:pt>
                <c:pt idx="1029">
                  <c:v>80.666666666666671</c:v>
                </c:pt>
                <c:pt idx="1030">
                  <c:v>66</c:v>
                </c:pt>
                <c:pt idx="1031">
                  <c:v>238.33333333333334</c:v>
                </c:pt>
                <c:pt idx="1032">
                  <c:v>40.333333333333336</c:v>
                </c:pt>
                <c:pt idx="1033">
                  <c:v>62.333333333333336</c:v>
                </c:pt>
                <c:pt idx="1034">
                  <c:v>183.33333333333334</c:v>
                </c:pt>
                <c:pt idx="1035">
                  <c:v>146.66666666666666</c:v>
                </c:pt>
                <c:pt idx="1036">
                  <c:v>502.33333333333331</c:v>
                </c:pt>
                <c:pt idx="1037">
                  <c:v>91.666666666666671</c:v>
                </c:pt>
                <c:pt idx="1038">
                  <c:v>22</c:v>
                </c:pt>
                <c:pt idx="1039">
                  <c:v>73.333333333333329</c:v>
                </c:pt>
                <c:pt idx="1040">
                  <c:v>55</c:v>
                </c:pt>
                <c:pt idx="1041">
                  <c:v>231</c:v>
                </c:pt>
                <c:pt idx="1042">
                  <c:v>40.333333333333336</c:v>
                </c:pt>
                <c:pt idx="1043" formatCode="General">
                  <c:v>35.566666666666663</c:v>
                </c:pt>
                <c:pt idx="1044" formatCode="General">
                  <c:v>55</c:v>
                </c:pt>
                <c:pt idx="1045" formatCode="General">
                  <c:v>58.666666666666664</c:v>
                </c:pt>
                <c:pt idx="1046" formatCode="General">
                  <c:v>403.33333333333331</c:v>
                </c:pt>
                <c:pt idx="1047" formatCode="General">
                  <c:v>91.666666666666671</c:v>
                </c:pt>
                <c:pt idx="1048" formatCode="General">
                  <c:v>39.159999999999997</c:v>
                </c:pt>
                <c:pt idx="1049" formatCode="General">
                  <c:v>53.24</c:v>
                </c:pt>
                <c:pt idx="1050" formatCode="General">
                  <c:v>36.08</c:v>
                </c:pt>
                <c:pt idx="1051" formatCode="General">
                  <c:v>55.440000000000005</c:v>
                </c:pt>
                <c:pt idx="1052" formatCode="General">
                  <c:v>43.34</c:v>
                </c:pt>
                <c:pt idx="1053" formatCode="General">
                  <c:v>44.571999999999996</c:v>
                </c:pt>
                <c:pt idx="1054" formatCode="General">
                  <c:v>27.720000000000002</c:v>
                </c:pt>
                <c:pt idx="1055" formatCode="General">
                  <c:v>62.919999999999995</c:v>
                </c:pt>
                <c:pt idx="1056" formatCode="General">
                  <c:v>15.399999999999997</c:v>
                </c:pt>
                <c:pt idx="1057" formatCode="General">
                  <c:v>53.24</c:v>
                </c:pt>
                <c:pt idx="1058" formatCode="General">
                  <c:v>22.44</c:v>
                </c:pt>
                <c:pt idx="1059" formatCode="General">
                  <c:v>124.96</c:v>
                </c:pt>
                <c:pt idx="1060" formatCode="General">
                  <c:v>24.64</c:v>
                </c:pt>
                <c:pt idx="1061" formatCode="General">
                  <c:v>87.11999999999999</c:v>
                </c:pt>
                <c:pt idx="1062" formatCode="General">
                  <c:v>4766.666666666667</c:v>
                </c:pt>
                <c:pt idx="1063" formatCode="General">
                  <c:v>623.33333333333337</c:v>
                </c:pt>
                <c:pt idx="1064" formatCode="General">
                  <c:v>77</c:v>
                </c:pt>
                <c:pt idx="1065" formatCode="General">
                  <c:v>27.866666666666664</c:v>
                </c:pt>
                <c:pt idx="1066" formatCode="General">
                  <c:v>403.33333333333331</c:v>
                </c:pt>
                <c:pt idx="1067" formatCode="General">
                  <c:v>132</c:v>
                </c:pt>
                <c:pt idx="1068" formatCode="General">
                  <c:v>40.333333333333336</c:v>
                </c:pt>
                <c:pt idx="1069" formatCode="General">
                  <c:v>18.7</c:v>
                </c:pt>
                <c:pt idx="1070" formatCode="General">
                  <c:v>113.66666666666667</c:v>
                </c:pt>
                <c:pt idx="1071" formatCode="General">
                  <c:v>58.666666666666664</c:v>
                </c:pt>
                <c:pt idx="1072" formatCode="General">
                  <c:v>24.933333333333334</c:v>
                </c:pt>
                <c:pt idx="1073" formatCode="General">
                  <c:v>13.566666666666668</c:v>
                </c:pt>
                <c:pt idx="1074" formatCode="General">
                  <c:v>55</c:v>
                </c:pt>
                <c:pt idx="1075" formatCode="General">
                  <c:v>34.466666666666669</c:v>
                </c:pt>
                <c:pt idx="1076" formatCode="General">
                  <c:v>17.233333333333334</c:v>
                </c:pt>
                <c:pt idx="1077" formatCode="General">
                  <c:v>10.266666666666666</c:v>
                </c:pt>
                <c:pt idx="1078" formatCode="General">
                  <c:v>58.666666666666664</c:v>
                </c:pt>
                <c:pt idx="1079" formatCode="General">
                  <c:v>58.300000000000004</c:v>
                </c:pt>
                <c:pt idx="1080" formatCode="General">
                  <c:v>69.666666666666671</c:v>
                </c:pt>
                <c:pt idx="1081" formatCode="General">
                  <c:v>78.100000000000009</c:v>
                </c:pt>
                <c:pt idx="1082" formatCode="General">
                  <c:v>72.233333333333334</c:v>
                </c:pt>
                <c:pt idx="1083" formatCode="General">
                  <c:v>115.5</c:v>
                </c:pt>
                <c:pt idx="1084" formatCode="General">
                  <c:v>1158.6666666666667</c:v>
                </c:pt>
                <c:pt idx="1085" formatCode="General">
                  <c:v>177.83333333333334</c:v>
                </c:pt>
                <c:pt idx="1086" formatCode="General">
                  <c:v>81.033333333333346</c:v>
                </c:pt>
                <c:pt idx="1087" formatCode="General">
                  <c:v>47.666666666666664</c:v>
                </c:pt>
                <c:pt idx="1088" formatCode="General">
                  <c:v>42.68</c:v>
                </c:pt>
                <c:pt idx="1089" formatCode="General">
                  <c:v>40.11</c:v>
                </c:pt>
                <c:pt idx="1090" formatCode="General">
                  <c:v>138.21</c:v>
                </c:pt>
                <c:pt idx="1091" formatCode="General">
                  <c:v>288.35000000000002</c:v>
                </c:pt>
                <c:pt idx="1092" formatCode="General">
                  <c:v>97.87</c:v>
                </c:pt>
                <c:pt idx="1093" formatCode="General">
                  <c:v>124.86</c:v>
                </c:pt>
                <c:pt idx="1094" formatCode="General">
                  <c:v>8752</c:v>
                </c:pt>
                <c:pt idx="1095" formatCode="General">
                  <c:v>937</c:v>
                </c:pt>
                <c:pt idx="1096" formatCode="General">
                  <c:v>157</c:v>
                </c:pt>
                <c:pt idx="1097" formatCode="General">
                  <c:v>76</c:v>
                </c:pt>
                <c:pt idx="1098" formatCode="General">
                  <c:v>1305</c:v>
                </c:pt>
                <c:pt idx="1099" formatCode="General">
                  <c:v>206</c:v>
                </c:pt>
                <c:pt idx="1100" formatCode="General">
                  <c:v>75</c:v>
                </c:pt>
                <c:pt idx="1101" formatCode="General">
                  <c:v>30</c:v>
                </c:pt>
                <c:pt idx="1102" formatCode="General">
                  <c:v>619</c:v>
                </c:pt>
                <c:pt idx="1103" formatCode="General">
                  <c:v>119</c:v>
                </c:pt>
                <c:pt idx="1104" formatCode="General">
                  <c:v>48</c:v>
                </c:pt>
                <c:pt idx="1105" formatCode="General">
                  <c:v>22</c:v>
                </c:pt>
                <c:pt idx="1106" formatCode="General">
                  <c:v>126</c:v>
                </c:pt>
                <c:pt idx="1107" formatCode="General">
                  <c:v>37</c:v>
                </c:pt>
                <c:pt idx="1108" formatCode="General">
                  <c:v>19</c:v>
                </c:pt>
                <c:pt idx="1109" formatCode="General">
                  <c:v>10</c:v>
                </c:pt>
                <c:pt idx="1110" formatCode="General">
                  <c:v>20</c:v>
                </c:pt>
                <c:pt idx="1111" formatCode="General">
                  <c:v>41</c:v>
                </c:pt>
                <c:pt idx="1112" formatCode="General">
                  <c:v>83</c:v>
                </c:pt>
                <c:pt idx="1113" formatCode="General">
                  <c:v>134</c:v>
                </c:pt>
                <c:pt idx="1114" formatCode="General">
                  <c:v>36.666666666666664</c:v>
                </c:pt>
                <c:pt idx="1115" formatCode="General">
                  <c:v>49.5</c:v>
                </c:pt>
                <c:pt idx="1116" formatCode="General">
                  <c:v>51.333333333333336</c:v>
                </c:pt>
                <c:pt idx="1117" formatCode="General">
                  <c:v>60.5</c:v>
                </c:pt>
                <c:pt idx="1118" formatCode="General">
                  <c:v>55</c:v>
                </c:pt>
                <c:pt idx="1119" formatCode="General">
                  <c:v>51.333333333333336</c:v>
                </c:pt>
                <c:pt idx="1120" formatCode="General">
                  <c:v>44</c:v>
                </c:pt>
                <c:pt idx="1121" formatCode="General">
                  <c:v>44</c:v>
                </c:pt>
                <c:pt idx="1122">
                  <c:v>29.511495001532825</c:v>
                </c:pt>
                <c:pt idx="1123">
                  <c:v>31.048016325741283</c:v>
                </c:pt>
                <c:pt idx="1124">
                  <c:v>34.792590077479701</c:v>
                </c:pt>
                <c:pt idx="1125">
                  <c:v>43.476902762123231</c:v>
                </c:pt>
                <c:pt idx="1126">
                  <c:v>61.891185760488334</c:v>
                </c:pt>
                <c:pt idx="1127">
                  <c:v>90.251787120507828</c:v>
                </c:pt>
                <c:pt idx="1128">
                  <c:v>285.68101923179796</c:v>
                </c:pt>
                <c:pt idx="1129">
                  <c:v>71.089310041484893</c:v>
                </c:pt>
                <c:pt idx="1130">
                  <c:v>72.041642726798798</c:v>
                </c:pt>
                <c:pt idx="1131">
                  <c:v>91.54770051496007</c:v>
                </c:pt>
                <c:pt idx="1132">
                  <c:v>140.15109338239165</c:v>
                </c:pt>
                <c:pt idx="1133">
                  <c:v>190.99178325687902</c:v>
                </c:pt>
                <c:pt idx="1134">
                  <c:v>321.62758657809229</c:v>
                </c:pt>
                <c:pt idx="1135">
                  <c:v>0.49813998799877035</c:v>
                </c:pt>
                <c:pt idx="1136">
                  <c:v>0.720167910591613</c:v>
                </c:pt>
                <c:pt idx="1137">
                  <c:v>1.7878912274772303</c:v>
                </c:pt>
                <c:pt idx="1138">
                  <c:v>9.5157750050044374</c:v>
                </c:pt>
                <c:pt idx="1139">
                  <c:v>81.859995189720365</c:v>
                </c:pt>
                <c:pt idx="1140">
                  <c:v>229.69337706331865</c:v>
                </c:pt>
                <c:pt idx="1141">
                  <c:v>81.02</c:v>
                </c:pt>
                <c:pt idx="1142">
                  <c:v>0.52</c:v>
                </c:pt>
                <c:pt idx="1143">
                  <c:v>75.13</c:v>
                </c:pt>
                <c:pt idx="1144">
                  <c:v>72.39</c:v>
                </c:pt>
                <c:pt idx="1145">
                  <c:v>76</c:v>
                </c:pt>
                <c:pt idx="1146">
                  <c:v>151.65</c:v>
                </c:pt>
                <c:pt idx="1147">
                  <c:v>79.19</c:v>
                </c:pt>
                <c:pt idx="1148">
                  <c:v>42.5</c:v>
                </c:pt>
                <c:pt idx="1149" formatCode="General">
                  <c:v>119.31034482758599</c:v>
                </c:pt>
                <c:pt idx="1150" formatCode="General">
                  <c:v>96.739811912225704</c:v>
                </c:pt>
                <c:pt idx="1151" formatCode="General">
                  <c:v>78.934169278996805</c:v>
                </c:pt>
                <c:pt idx="1152" formatCode="General">
                  <c:v>64.890282131661394</c:v>
                </c:pt>
                <c:pt idx="1153" formatCode="General">
                  <c:v>53.354231974921603</c:v>
                </c:pt>
                <c:pt idx="1154" formatCode="General">
                  <c:v>44.576802507836902</c:v>
                </c:pt>
                <c:pt idx="1155" formatCode="General">
                  <c:v>37.554858934169197</c:v>
                </c:pt>
                <c:pt idx="1156" formatCode="General">
                  <c:v>31.536050156739801</c:v>
                </c:pt>
                <c:pt idx="1157" formatCode="General">
                  <c:v>27.272727272727199</c:v>
                </c:pt>
                <c:pt idx="1158" formatCode="General">
                  <c:v>23.2601880877742</c:v>
                </c:pt>
                <c:pt idx="1159" formatCode="General">
                  <c:v>20.2507836990595</c:v>
                </c:pt>
                <c:pt idx="1160" formatCode="General">
                  <c:v>17.993730407523501</c:v>
                </c:pt>
                <c:pt idx="1161" formatCode="General">
                  <c:v>15.736677115987399</c:v>
                </c:pt>
                <c:pt idx="1162" formatCode="General">
                  <c:v>13.9811912225705</c:v>
                </c:pt>
                <c:pt idx="1163" formatCode="General">
                  <c:v>12.4764890282131</c:v>
                </c:pt>
                <c:pt idx="1164" formatCode="General">
                  <c:v>10.971786833855701</c:v>
                </c:pt>
                <c:pt idx="1165" formatCode="General">
                  <c:v>9.7178683385579898</c:v>
                </c:pt>
                <c:pt idx="1166" formatCode="General">
                  <c:v>9.2163009404388703</c:v>
                </c:pt>
                <c:pt idx="1167" formatCode="General">
                  <c:v>8.2131661442006205</c:v>
                </c:pt>
                <c:pt idx="1168" formatCode="General">
                  <c:v>7.4608150470219199</c:v>
                </c:pt>
                <c:pt idx="1169" formatCode="General">
                  <c:v>6.9592476489028003</c:v>
                </c:pt>
                <c:pt idx="1170" formatCode="General">
                  <c:v>73.166144200626903</c:v>
                </c:pt>
                <c:pt idx="1171" formatCode="General">
                  <c:v>58.369905956112802</c:v>
                </c:pt>
                <c:pt idx="1172" formatCode="General">
                  <c:v>47.335423197492098</c:v>
                </c:pt>
                <c:pt idx="1173" formatCode="General">
                  <c:v>39.059561128526603</c:v>
                </c:pt>
                <c:pt idx="1174" formatCode="General">
                  <c:v>32.539184952977998</c:v>
                </c:pt>
                <c:pt idx="1175" formatCode="General">
                  <c:v>27.021943573667699</c:v>
                </c:pt>
                <c:pt idx="1176" formatCode="General">
                  <c:v>23.0094043887147</c:v>
                </c:pt>
                <c:pt idx="1177" formatCode="General">
                  <c:v>20.2507836990595</c:v>
                </c:pt>
                <c:pt idx="1178" formatCode="General">
                  <c:v>17.492163009404301</c:v>
                </c:pt>
                <c:pt idx="1179" formatCode="General">
                  <c:v>14.9843260188087</c:v>
                </c:pt>
                <c:pt idx="1180" formatCode="General">
                  <c:v>12.9780564263322</c:v>
                </c:pt>
                <c:pt idx="1181" formatCode="General">
                  <c:v>11.974921630094</c:v>
                </c:pt>
                <c:pt idx="1182" formatCode="General">
                  <c:v>10.7210031347962</c:v>
                </c:pt>
                <c:pt idx="1183" formatCode="General">
                  <c:v>9.7178683385579898</c:v>
                </c:pt>
                <c:pt idx="1184" formatCode="General">
                  <c:v>8.7147335423197401</c:v>
                </c:pt>
                <c:pt idx="1185" formatCode="General">
                  <c:v>7.7115987460815001</c:v>
                </c:pt>
                <c:pt idx="1186" formatCode="General">
                  <c:v>7.4608150470219199</c:v>
                </c:pt>
                <c:pt idx="1187" formatCode="General">
                  <c:v>6.4576802507836799</c:v>
                </c:pt>
                <c:pt idx="1188" formatCode="General">
                  <c:v>5.9561128526645604</c:v>
                </c:pt>
                <c:pt idx="1189" formatCode="General">
                  <c:v>5.2037617554858802</c:v>
                </c:pt>
                <c:pt idx="1190" formatCode="General">
                  <c:v>5.4545454545454302</c:v>
                </c:pt>
                <c:pt idx="1191" formatCode="General">
                  <c:v>26.269592476488999</c:v>
                </c:pt>
                <c:pt idx="1192" formatCode="General">
                  <c:v>23.2601880877742</c:v>
                </c:pt>
                <c:pt idx="1193" formatCode="General">
                  <c:v>20</c:v>
                </c:pt>
                <c:pt idx="1194" formatCode="General">
                  <c:v>17.742946708463901</c:v>
                </c:pt>
                <c:pt idx="1195" formatCode="General">
                  <c:v>15.987460815046999</c:v>
                </c:pt>
                <c:pt idx="1196" formatCode="General">
                  <c:v>14.23197492163</c:v>
                </c:pt>
                <c:pt idx="1197" formatCode="General">
                  <c:v>12.4764890282131</c:v>
                </c:pt>
                <c:pt idx="1198" formatCode="General">
                  <c:v>11.4733542319749</c:v>
                </c:pt>
                <c:pt idx="1199" formatCode="General">
                  <c:v>10.2194357366771</c:v>
                </c:pt>
                <c:pt idx="1200" formatCode="General">
                  <c:v>9.2163009404388703</c:v>
                </c:pt>
                <c:pt idx="1201" formatCode="General">
                  <c:v>8.2131661442006205</c:v>
                </c:pt>
                <c:pt idx="1202" formatCode="General">
                  <c:v>7.9623824451410403</c:v>
                </c:pt>
                <c:pt idx="1203" formatCode="General">
                  <c:v>7.2100313479623797</c:v>
                </c:pt>
                <c:pt idx="1204" formatCode="General">
                  <c:v>6.4576802507836799</c:v>
                </c:pt>
                <c:pt idx="1205" formatCode="General">
                  <c:v>6.2068965517241201</c:v>
                </c:pt>
                <c:pt idx="1206" formatCode="General">
                  <c:v>5.7053291536049997</c:v>
                </c:pt>
                <c:pt idx="1207" formatCode="General">
                  <c:v>5.2037617554858802</c:v>
                </c:pt>
                <c:pt idx="1208" formatCode="General">
                  <c:v>4.7021943573667597</c:v>
                </c:pt>
                <c:pt idx="1209" formatCode="General">
                  <c:v>4.2006269592476198</c:v>
                </c:pt>
                <c:pt idx="1210" formatCode="General">
                  <c:v>3.9498432601880702</c:v>
                </c:pt>
                <c:pt idx="1211" formatCode="General">
                  <c:v>3.9498432601880702</c:v>
                </c:pt>
                <c:pt idx="1212">
                  <c:v>1.5</c:v>
                </c:pt>
              </c:numCache>
            </c:numRef>
          </c:xVal>
          <c:yVal>
            <c:numRef>
              <c:f>Data!$O$4:$O$1216</c:f>
              <c:numCache>
                <c:formatCode>0.0</c:formatCode>
                <c:ptCount val="1213"/>
                <c:pt idx="0">
                  <c:v>1065.5367929456841</c:v>
                </c:pt>
                <c:pt idx="1">
                  <c:v>152.21954184938343</c:v>
                </c:pt>
                <c:pt idx="2">
                  <c:v>282.92625291050393</c:v>
                </c:pt>
                <c:pt idx="3">
                  <c:v>574.03560359749611</c:v>
                </c:pt>
                <c:pt idx="4">
                  <c:v>287.01780179874805</c:v>
                </c:pt>
                <c:pt idx="5">
                  <c:v>71.73268689177084</c:v>
                </c:pt>
                <c:pt idx="6">
                  <c:v>127.53444938888869</c:v>
                </c:pt>
                <c:pt idx="7">
                  <c:v>63.81075181027672</c:v>
                </c:pt>
                <c:pt idx="8">
                  <c:v>15.93092439465299</c:v>
                </c:pt>
                <c:pt idx="9">
                  <c:v>21.241232526203987</c:v>
                </c:pt>
                <c:pt idx="10">
                  <c:v>10.620616263101994</c:v>
                </c:pt>
                <c:pt idx="11">
                  <c:v>2.6986811816078835</c:v>
                </c:pt>
                <c:pt idx="12">
                  <c:v>44.129645206691066</c:v>
                </c:pt>
                <c:pt idx="13">
                  <c:v>154.08599004664367</c:v>
                </c:pt>
                <c:pt idx="14">
                  <c:v>157.70476717600803</c:v>
                </c:pt>
                <c:pt idx="15">
                  <c:v>3754.1645428224019</c:v>
                </c:pt>
                <c:pt idx="16">
                  <c:v>4.4587055194554539</c:v>
                </c:pt>
                <c:pt idx="17">
                  <c:v>7.1821310529606759</c:v>
                </c:pt>
                <c:pt idx="18">
                  <c:v>21.160775384226422</c:v>
                </c:pt>
                <c:pt idx="19">
                  <c:v>40.176551896931038</c:v>
                </c:pt>
                <c:pt idx="20">
                  <c:v>1.5851284473467744E-2</c:v>
                </c:pt>
                <c:pt idx="21">
                  <c:v>9.5107706840806452E-2</c:v>
                </c:pt>
                <c:pt idx="22">
                  <c:v>2.3776926710201613E-2</c:v>
                </c:pt>
                <c:pt idx="23">
                  <c:v>0.14266156026120969</c:v>
                </c:pt>
                <c:pt idx="24">
                  <c:v>4.7553853420403226E-2</c:v>
                </c:pt>
                <c:pt idx="25">
                  <c:v>0.28532312052241937</c:v>
                </c:pt>
                <c:pt idx="26">
                  <c:v>8.7182064604072587E-2</c:v>
                </c:pt>
                <c:pt idx="27">
                  <c:v>0.52309238762443544</c:v>
                </c:pt>
                <c:pt idx="28">
                  <c:v>0.21399234039181453</c:v>
                </c:pt>
                <c:pt idx="29">
                  <c:v>1.2839540423508873</c:v>
                </c:pt>
                <c:pt idx="30">
                  <c:v>3.1702568946935489E-2</c:v>
                </c:pt>
                <c:pt idx="31">
                  <c:v>0.1902154136816129</c:v>
                </c:pt>
                <c:pt idx="32">
                  <c:v>4.7553853420403226E-2</c:v>
                </c:pt>
                <c:pt idx="33">
                  <c:v>0.28532312052241937</c:v>
                </c:pt>
                <c:pt idx="34">
                  <c:v>8.7182064604072587E-2</c:v>
                </c:pt>
                <c:pt idx="35">
                  <c:v>0.52309238762443544</c:v>
                </c:pt>
                <c:pt idx="36">
                  <c:v>0.16643848697141131</c:v>
                </c:pt>
                <c:pt idx="37">
                  <c:v>0.9986309218284678</c:v>
                </c:pt>
                <c:pt idx="38">
                  <c:v>0.43591032302036292</c:v>
                </c:pt>
                <c:pt idx="39">
                  <c:v>2.6154619381221775</c:v>
                </c:pt>
                <c:pt idx="40">
                  <c:v>3.9628211183669361E-2</c:v>
                </c:pt>
                <c:pt idx="41">
                  <c:v>0.23776926710201612</c:v>
                </c:pt>
                <c:pt idx="42">
                  <c:v>5.5479495657137098E-2</c:v>
                </c:pt>
                <c:pt idx="43">
                  <c:v>0.33287697394282262</c:v>
                </c:pt>
                <c:pt idx="44">
                  <c:v>0.1109589913142742</c:v>
                </c:pt>
                <c:pt idx="45">
                  <c:v>0.66575394788564524</c:v>
                </c:pt>
                <c:pt idx="46">
                  <c:v>0.20606669815508064</c:v>
                </c:pt>
                <c:pt idx="47">
                  <c:v>1.2364001889304839</c:v>
                </c:pt>
                <c:pt idx="48">
                  <c:v>0.54686931433463715</c:v>
                </c:pt>
                <c:pt idx="49">
                  <c:v>3.2812158860078227</c:v>
                </c:pt>
                <c:pt idx="50">
                  <c:v>0.16643848697141131</c:v>
                </c:pt>
                <c:pt idx="51">
                  <c:v>0.9986309218284678</c:v>
                </c:pt>
                <c:pt idx="52">
                  <c:v>0.24569490933875002</c:v>
                </c:pt>
                <c:pt idx="53">
                  <c:v>1.4741694560324998</c:v>
                </c:pt>
                <c:pt idx="54">
                  <c:v>0.49138981867750003</c:v>
                </c:pt>
                <c:pt idx="55">
                  <c:v>2.9483389120649997</c:v>
                </c:pt>
                <c:pt idx="56">
                  <c:v>0.93522578393459677</c:v>
                </c:pt>
                <c:pt idx="57">
                  <c:v>5.6113547036075806</c:v>
                </c:pt>
                <c:pt idx="58">
                  <c:v>2.4490234511507665</c:v>
                </c:pt>
                <c:pt idx="59">
                  <c:v>14.694140706904598</c:v>
                </c:pt>
                <c:pt idx="60">
                  <c:v>0.72915908577951627</c:v>
                </c:pt>
                <c:pt idx="61">
                  <c:v>4.3749545146770972</c:v>
                </c:pt>
                <c:pt idx="62">
                  <c:v>1.109589913142742</c:v>
                </c:pt>
                <c:pt idx="63">
                  <c:v>6.6575394788564513</c:v>
                </c:pt>
                <c:pt idx="64">
                  <c:v>2.1874772573385486</c:v>
                </c:pt>
                <c:pt idx="65">
                  <c:v>13.124863544031291</c:v>
                </c:pt>
                <c:pt idx="66">
                  <c:v>4.4542109370444356</c:v>
                </c:pt>
                <c:pt idx="67">
                  <c:v>25.0133268991321</c:v>
                </c:pt>
                <c:pt idx="68">
                  <c:v>10.873981148798872</c:v>
                </c:pt>
                <c:pt idx="69">
                  <c:v>65.243886892793228</c:v>
                </c:pt>
                <c:pt idx="70">
                  <c:v>72.757395733216939</c:v>
                </c:pt>
                <c:pt idx="71">
                  <c:v>436.70288724403633</c:v>
                </c:pt>
                <c:pt idx="72">
                  <c:v>109.37386286692744</c:v>
                </c:pt>
                <c:pt idx="73">
                  <c:v>656.08466435682988</c:v>
                </c:pt>
                <c:pt idx="74">
                  <c:v>218.58921288912015</c:v>
                </c:pt>
                <c:pt idx="75">
                  <c:v>1311.297508067619</c:v>
                </c:pt>
                <c:pt idx="76">
                  <c:v>416.80952522983432</c:v>
                </c:pt>
                <c:pt idx="77">
                  <c:v>2500.6193821119036</c:v>
                </c:pt>
                <c:pt idx="78">
                  <c:v>1087.5566277246219</c:v>
                </c:pt>
                <c:pt idx="79">
                  <c:v>6525.1019970806292</c:v>
                </c:pt>
                <c:pt idx="80">
                  <c:v>11.871031590650512</c:v>
                </c:pt>
                <c:pt idx="81">
                  <c:v>23.742063181301024</c:v>
                </c:pt>
                <c:pt idx="82">
                  <c:v>28.394272714827164</c:v>
                </c:pt>
                <c:pt idx="83">
                  <c:v>28.785019587049558</c:v>
                </c:pt>
                <c:pt idx="84">
                  <c:v>29.827011246309265</c:v>
                </c:pt>
                <c:pt idx="85">
                  <c:v>28.394272714827164</c:v>
                </c:pt>
                <c:pt idx="86">
                  <c:v>28.785019587049558</c:v>
                </c:pt>
                <c:pt idx="87">
                  <c:v>4.4284645518537777</c:v>
                </c:pt>
                <c:pt idx="88">
                  <c:v>7.1636926574105226</c:v>
                </c:pt>
                <c:pt idx="89">
                  <c:v>15.629874888895687</c:v>
                </c:pt>
                <c:pt idx="90">
                  <c:v>13.936638442598651</c:v>
                </c:pt>
                <c:pt idx="91">
                  <c:v>24.877550864825636</c:v>
                </c:pt>
                <c:pt idx="92">
                  <c:v>25.007799822233096</c:v>
                </c:pt>
                <c:pt idx="93">
                  <c:v>22.663318588898743</c:v>
                </c:pt>
                <c:pt idx="94">
                  <c:v>29.696762288901802</c:v>
                </c:pt>
                <c:pt idx="95">
                  <c:v>28.394272714827164</c:v>
                </c:pt>
                <c:pt idx="96">
                  <c:v>29.045517501864481</c:v>
                </c:pt>
                <c:pt idx="97">
                  <c:v>29.045517501864481</c:v>
                </c:pt>
                <c:pt idx="98">
                  <c:v>29.175766459271944</c:v>
                </c:pt>
                <c:pt idx="99">
                  <c:v>75.023399466699303</c:v>
                </c:pt>
                <c:pt idx="100">
                  <c:v>51.578587133355768</c:v>
                </c:pt>
                <c:pt idx="101">
                  <c:v>42.330911157425817</c:v>
                </c:pt>
                <c:pt idx="102">
                  <c:v>67.599208894473847</c:v>
                </c:pt>
                <c:pt idx="103">
                  <c:v>32.301741437051085</c:v>
                </c:pt>
                <c:pt idx="104">
                  <c:v>32.692488309273479</c:v>
                </c:pt>
                <c:pt idx="105">
                  <c:v>36.860454946312331</c:v>
                </c:pt>
                <c:pt idx="106">
                  <c:v>16.411368633340469</c:v>
                </c:pt>
                <c:pt idx="107">
                  <c:v>58.481781875951356</c:v>
                </c:pt>
                <c:pt idx="108">
                  <c:v>32.210731777416207</c:v>
                </c:pt>
                <c:pt idx="109">
                  <c:v>47.903139566413849</c:v>
                </c:pt>
                <c:pt idx="110">
                  <c:v>115.62826791892998</c:v>
                </c:pt>
                <c:pt idx="111">
                  <c:v>99.109943930511406</c:v>
                </c:pt>
                <c:pt idx="112">
                  <c:v>18.170156387260427</c:v>
                </c:pt>
                <c:pt idx="113">
                  <c:v>31.384815577995276</c:v>
                </c:pt>
                <c:pt idx="114">
                  <c:v>42.121726170467348</c:v>
                </c:pt>
                <c:pt idx="115">
                  <c:v>50.380888164676627</c:v>
                </c:pt>
                <c:pt idx="116">
                  <c:v>46.86605628100358</c:v>
                </c:pt>
                <c:pt idx="117">
                  <c:v>11.65148024910456</c:v>
                </c:pt>
                <c:pt idx="118">
                  <c:v>112.62493628467206</c:v>
                </c:pt>
                <c:pt idx="119">
                  <c:v>450.49974513868824</c:v>
                </c:pt>
                <c:pt idx="120">
                  <c:v>1126.2493628467205</c:v>
                </c:pt>
                <c:pt idx="121">
                  <c:v>31.947414103450058</c:v>
                </c:pt>
                <c:pt idx="122">
                  <c:v>6.7574961770803235</c:v>
                </c:pt>
                <c:pt idx="123">
                  <c:v>11.262493628467205</c:v>
                </c:pt>
                <c:pt idx="124">
                  <c:v>18.019989805547528</c:v>
                </c:pt>
                <c:pt idx="125">
                  <c:v>18.019989805547528</c:v>
                </c:pt>
                <c:pt idx="126">
                  <c:v>47.302473239562268</c:v>
                </c:pt>
                <c:pt idx="127">
                  <c:v>103.61494138189829</c:v>
                </c:pt>
                <c:pt idx="128">
                  <c:v>991.09943930511417</c:v>
                </c:pt>
                <c:pt idx="129">
                  <c:v>72.079959222190112</c:v>
                </c:pt>
                <c:pt idx="130">
                  <c:v>18.632669458936146</c:v>
                </c:pt>
                <c:pt idx="131">
                  <c:v>253.40610664051212</c:v>
                </c:pt>
                <c:pt idx="132">
                  <c:v>191.46239168394251</c:v>
                </c:pt>
                <c:pt idx="133">
                  <c:v>450.49974513868824</c:v>
                </c:pt>
                <c:pt idx="134">
                  <c:v>168.93740442700809</c:v>
                </c:pt>
                <c:pt idx="135">
                  <c:v>315.34982159708176</c:v>
                </c:pt>
                <c:pt idx="136">
                  <c:v>72.079959222190112</c:v>
                </c:pt>
                <c:pt idx="137">
                  <c:v>74.332457947883555</c:v>
                </c:pt>
                <c:pt idx="138">
                  <c:v>29.282483434014736</c:v>
                </c:pt>
                <c:pt idx="139">
                  <c:v>29.282483434014736</c:v>
                </c:pt>
                <c:pt idx="140">
                  <c:v>585.64966868029467</c:v>
                </c:pt>
                <c:pt idx="141">
                  <c:v>1328.9742481591302</c:v>
                </c:pt>
                <c:pt idx="142">
                  <c:v>518.0747069094914</c:v>
                </c:pt>
                <c:pt idx="143">
                  <c:v>923.5244775343109</c:v>
                </c:pt>
                <c:pt idx="144">
                  <c:v>213.98737894087688</c:v>
                </c:pt>
                <c:pt idx="145">
                  <c:v>220.74487511795721</c:v>
                </c:pt>
                <c:pt idx="146">
                  <c:v>87.847450302044194</c:v>
                </c:pt>
                <c:pt idx="147">
                  <c:v>87.847450302044194</c:v>
                </c:pt>
                <c:pt idx="148">
                  <c:v>111.69963093770028</c:v>
                </c:pt>
                <c:pt idx="149">
                  <c:v>38.240416922211907</c:v>
                </c:pt>
                <c:pt idx="150">
                  <c:v>1671.7122151786623</c:v>
                </c:pt>
                <c:pt idx="151">
                  <c:v>15.767491079854087</c:v>
                </c:pt>
                <c:pt idx="152">
                  <c:v>54.059969416642588</c:v>
                </c:pt>
                <c:pt idx="153">
                  <c:v>20.27248853124097</c:v>
                </c:pt>
                <c:pt idx="154">
                  <c:v>42.797475788175376</c:v>
                </c:pt>
                <c:pt idx="155">
                  <c:v>11.262493628467205</c:v>
                </c:pt>
                <c:pt idx="156">
                  <c:v>65.322463045109799</c:v>
                </c:pt>
                <c:pt idx="157">
                  <c:v>11.999665855604118</c:v>
                </c:pt>
                <c:pt idx="158">
                  <c:v>22.56479976724264</c:v>
                </c:pt>
                <c:pt idx="159">
                  <c:v>12.115979256466192</c:v>
                </c:pt>
                <c:pt idx="160">
                  <c:v>304.6569365900155</c:v>
                </c:pt>
                <c:pt idx="161">
                  <c:v>125.44697389000639</c:v>
                </c:pt>
                <c:pt idx="162">
                  <c:v>286.73594032001461</c:v>
                </c:pt>
                <c:pt idx="163">
                  <c:v>132.61537239800677</c:v>
                </c:pt>
                <c:pt idx="164">
                  <c:v>99.751715831189358</c:v>
                </c:pt>
                <c:pt idx="165">
                  <c:v>103.07677302556235</c:v>
                </c:pt>
                <c:pt idx="166">
                  <c:v>38.238157735289256</c:v>
                </c:pt>
                <c:pt idx="167">
                  <c:v>109.72688741430829</c:v>
                </c:pt>
                <c:pt idx="168">
                  <c:v>108.06435881712181</c:v>
                </c:pt>
                <c:pt idx="169">
                  <c:v>93.10160144244341</c:v>
                </c:pt>
                <c:pt idx="170">
                  <c:v>527.02156530811715</c:v>
                </c:pt>
                <c:pt idx="171">
                  <c:v>403.9944491163169</c:v>
                </c:pt>
                <c:pt idx="172">
                  <c:v>236.07906080048147</c:v>
                </c:pt>
                <c:pt idx="173">
                  <c:v>598.51029498713615</c:v>
                </c:pt>
                <c:pt idx="174">
                  <c:v>578.55995182089828</c:v>
                </c:pt>
                <c:pt idx="175">
                  <c:v>478.80823598970892</c:v>
                </c:pt>
                <c:pt idx="176">
                  <c:v>284.29239011888967</c:v>
                </c:pt>
                <c:pt idx="177">
                  <c:v>285.95491871607618</c:v>
                </c:pt>
                <c:pt idx="178">
                  <c:v>121.36458759461372</c:v>
                </c:pt>
                <c:pt idx="179">
                  <c:v>319.20549065980595</c:v>
                </c:pt>
                <c:pt idx="180">
                  <c:v>310.89284767387352</c:v>
                </c:pt>
                <c:pt idx="181">
                  <c:v>259.35446116109233</c:v>
                </c:pt>
                <c:pt idx="182">
                  <c:v>43.225743526848724</c:v>
                </c:pt>
                <c:pt idx="183">
                  <c:v>43.225743526848724</c:v>
                </c:pt>
                <c:pt idx="184">
                  <c:v>14.962757374678404</c:v>
                </c:pt>
                <c:pt idx="185">
                  <c:v>46.550800721221705</c:v>
                </c:pt>
                <c:pt idx="186">
                  <c:v>46.550800721221705</c:v>
                </c:pt>
                <c:pt idx="187">
                  <c:v>41.563214929662237</c:v>
                </c:pt>
                <c:pt idx="188">
                  <c:v>9.9751715831189358</c:v>
                </c:pt>
                <c:pt idx="189">
                  <c:v>9.9751715831189358</c:v>
                </c:pt>
                <c:pt idx="190">
                  <c:v>3.3250571943729788</c:v>
                </c:pt>
                <c:pt idx="191">
                  <c:v>9.9751715831189358</c:v>
                </c:pt>
                <c:pt idx="192">
                  <c:v>9.9751715831189358</c:v>
                </c:pt>
                <c:pt idx="193">
                  <c:v>9.9751715831189358</c:v>
                </c:pt>
                <c:pt idx="194">
                  <c:v>84.463259671901923</c:v>
                </c:pt>
                <c:pt idx="195">
                  <c:v>12.328877586942637</c:v>
                </c:pt>
                <c:pt idx="196">
                  <c:v>46.773800264702388</c:v>
                </c:pt>
                <c:pt idx="197">
                  <c:v>6.2723486945003195</c:v>
                </c:pt>
                <c:pt idx="198">
                  <c:v>82.078162916604185</c:v>
                </c:pt>
                <c:pt idx="199">
                  <c:v>9.1397080977004652</c:v>
                </c:pt>
                <c:pt idx="200">
                  <c:v>149.34372740092297</c:v>
                </c:pt>
                <c:pt idx="201">
                  <c:v>30.692281705166849</c:v>
                </c:pt>
                <c:pt idx="202">
                  <c:v>24.831443992622432</c:v>
                </c:pt>
                <c:pt idx="203">
                  <c:v>5.8608377125444244</c:v>
                </c:pt>
                <c:pt idx="204">
                  <c:v>10.179349711261368</c:v>
                </c:pt>
                <c:pt idx="205">
                  <c:v>-10.179349711261368</c:v>
                </c:pt>
                <c:pt idx="206">
                  <c:v>-0.77116285691374009</c:v>
                </c:pt>
                <c:pt idx="207">
                  <c:v>11.728549323648457</c:v>
                </c:pt>
                <c:pt idx="208">
                  <c:v>21.332065320364091</c:v>
                </c:pt>
                <c:pt idx="209">
                  <c:v>13.322324318848072</c:v>
                </c:pt>
                <c:pt idx="210">
                  <c:v>44.400936725240584</c:v>
                </c:pt>
                <c:pt idx="211">
                  <c:v>69.145315176352568</c:v>
                </c:pt>
                <c:pt idx="212">
                  <c:v>47.649785753916724</c:v>
                </c:pt>
                <c:pt idx="213">
                  <c:v>3.0240858883274764</c:v>
                </c:pt>
                <c:pt idx="214">
                  <c:v>5.884707674583197</c:v>
                </c:pt>
                <c:pt idx="215">
                  <c:v>3.6575092838555285</c:v>
                </c:pt>
                <c:pt idx="216">
                  <c:v>38.010308287591222</c:v>
                </c:pt>
                <c:pt idx="217">
                  <c:v>236.44864032835778</c:v>
                </c:pt>
                <c:pt idx="218">
                  <c:v>131.33975917773265</c:v>
                </c:pt>
                <c:pt idx="219">
                  <c:v>282.62986152170316</c:v>
                </c:pt>
                <c:pt idx="220">
                  <c:v>41.89572064909953</c:v>
                </c:pt>
                <c:pt idx="221">
                  <c:v>156.44394099524865</c:v>
                </c:pt>
                <c:pt idx="222">
                  <c:v>8.4788958456510954</c:v>
                </c:pt>
                <c:pt idx="223">
                  <c:v>74.980039733110672</c:v>
                </c:pt>
                <c:pt idx="224">
                  <c:v>125.68716194729858</c:v>
                </c:pt>
                <c:pt idx="225">
                  <c:v>278.97229860789292</c:v>
                </c:pt>
                <c:pt idx="226">
                  <c:v>40.565697771350337</c:v>
                </c:pt>
                <c:pt idx="227">
                  <c:v>155.6126766966554</c:v>
                </c:pt>
                <c:pt idx="228">
                  <c:v>8.3126429859324471</c:v>
                </c:pt>
                <c:pt idx="229">
                  <c:v>74.813786873392019</c:v>
                </c:pt>
                <c:pt idx="230">
                  <c:v>72.079959222190112</c:v>
                </c:pt>
                <c:pt idx="231">
                  <c:v>1328.9742481591302</c:v>
                </c:pt>
                <c:pt idx="232">
                  <c:v>267.47395442858601</c:v>
                </c:pt>
                <c:pt idx="233">
                  <c:v>809.27848090503903</c:v>
                </c:pt>
                <c:pt idx="234">
                  <c:v>57.548691975469445</c:v>
                </c:pt>
                <c:pt idx="235">
                  <c:v>119.8825266938954</c:v>
                </c:pt>
                <c:pt idx="236">
                  <c:v>59.9412633469477</c:v>
                </c:pt>
                <c:pt idx="237">
                  <c:v>34.632729933792007</c:v>
                </c:pt>
                <c:pt idx="238">
                  <c:v>451.55751721367267</c:v>
                </c:pt>
                <c:pt idx="239">
                  <c:v>185.15190233834957</c:v>
                </c:pt>
                <c:pt idx="240">
                  <c:v>95.906021355116323</c:v>
                </c:pt>
                <c:pt idx="241">
                  <c:v>441.41003172686584</c:v>
                </c:pt>
                <c:pt idx="242">
                  <c:v>17.656401269074635</c:v>
                </c:pt>
                <c:pt idx="243">
                  <c:v>96.426658636816384</c:v>
                </c:pt>
                <c:pt idx="244">
                  <c:v>18.287814569051381</c:v>
                </c:pt>
                <c:pt idx="245">
                  <c:v>-3.8238157735289251</c:v>
                </c:pt>
                <c:pt idx="246">
                  <c:v>29.925514749356807</c:v>
                </c:pt>
                <c:pt idx="247">
                  <c:v>89.776544248070422</c:v>
                </c:pt>
                <c:pt idx="248">
                  <c:v>18.287814569051381</c:v>
                </c:pt>
                <c:pt idx="249">
                  <c:v>-4.1563214929662236</c:v>
                </c:pt>
                <c:pt idx="250">
                  <c:v>28.262986152170317</c:v>
                </c:pt>
                <c:pt idx="251">
                  <c:v>89.776544248070422</c:v>
                </c:pt>
                <c:pt idx="252">
                  <c:v>21.612871763424362</c:v>
                </c:pt>
                <c:pt idx="253">
                  <c:v>-0.14131493076085161</c:v>
                </c:pt>
                <c:pt idx="254">
                  <c:v>33.250571943729788</c:v>
                </c:pt>
                <c:pt idx="255">
                  <c:v>89.776544248070422</c:v>
                </c:pt>
                <c:pt idx="256">
                  <c:v>16.625285971864894</c:v>
                </c:pt>
                <c:pt idx="257">
                  <c:v>-4.1563214929662236</c:v>
                </c:pt>
                <c:pt idx="258">
                  <c:v>28.262986152170317</c:v>
                </c:pt>
                <c:pt idx="259">
                  <c:v>91.439072845256916</c:v>
                </c:pt>
                <c:pt idx="260">
                  <c:v>18.287814569051381</c:v>
                </c:pt>
                <c:pt idx="261">
                  <c:v>-4.1563214929662236</c:v>
                </c:pt>
                <c:pt idx="262">
                  <c:v>29.925514749356807</c:v>
                </c:pt>
                <c:pt idx="263">
                  <c:v>96.426658636816384</c:v>
                </c:pt>
                <c:pt idx="264">
                  <c:v>19.950343166237872</c:v>
                </c:pt>
                <c:pt idx="265">
                  <c:v>-3.8238157735289251</c:v>
                </c:pt>
                <c:pt idx="266">
                  <c:v>29.925514749356807</c:v>
                </c:pt>
                <c:pt idx="267">
                  <c:v>121.36458759461372</c:v>
                </c:pt>
                <c:pt idx="268">
                  <c:v>26.60045755498383</c:v>
                </c:pt>
                <c:pt idx="269">
                  <c:v>-2.6600457554983832</c:v>
                </c:pt>
                <c:pt idx="270">
                  <c:v>39.900686332475743</c:v>
                </c:pt>
                <c:pt idx="271">
                  <c:v>156.27768813553001</c:v>
                </c:pt>
                <c:pt idx="272">
                  <c:v>34.913100540916275</c:v>
                </c:pt>
                <c:pt idx="273">
                  <c:v>-1.2302711619180022</c:v>
                </c:pt>
                <c:pt idx="274">
                  <c:v>49.875857915594679</c:v>
                </c:pt>
                <c:pt idx="275">
                  <c:v>548.63443707154147</c:v>
                </c:pt>
                <c:pt idx="276">
                  <c:v>147.96504514959756</c:v>
                </c:pt>
                <c:pt idx="277">
                  <c:v>28.262986152170317</c:v>
                </c:pt>
                <c:pt idx="278">
                  <c:v>166.25285971864895</c:v>
                </c:pt>
                <c:pt idx="279">
                  <c:v>2493.792895779734</c:v>
                </c:pt>
                <c:pt idx="280">
                  <c:v>598.51029498713615</c:v>
                </c:pt>
                <c:pt idx="281">
                  <c:v>124.6896447889867</c:v>
                </c:pt>
                <c:pt idx="282">
                  <c:v>448.88272124035211</c:v>
                </c:pt>
                <c:pt idx="283">
                  <c:v>3990.0686332475743</c:v>
                </c:pt>
                <c:pt idx="284">
                  <c:v>964.26658636816376</c:v>
                </c:pt>
                <c:pt idx="285">
                  <c:v>199.50343166237872</c:v>
                </c:pt>
                <c:pt idx="286">
                  <c:v>598.51029498713615</c:v>
                </c:pt>
                <c:pt idx="287">
                  <c:v>553</c:v>
                </c:pt>
                <c:pt idx="288">
                  <c:v>536</c:v>
                </c:pt>
                <c:pt idx="289">
                  <c:v>578</c:v>
                </c:pt>
                <c:pt idx="290">
                  <c:v>711</c:v>
                </c:pt>
                <c:pt idx="291">
                  <c:v>1021</c:v>
                </c:pt>
                <c:pt idx="292">
                  <c:v>831</c:v>
                </c:pt>
                <c:pt idx="293">
                  <c:v>1608</c:v>
                </c:pt>
                <c:pt idx="294">
                  <c:v>1879</c:v>
                </c:pt>
                <c:pt idx="295">
                  <c:v>359</c:v>
                </c:pt>
                <c:pt idx="296">
                  <c:v>341</c:v>
                </c:pt>
                <c:pt idx="297">
                  <c:v>367</c:v>
                </c:pt>
                <c:pt idx="298">
                  <c:v>423</c:v>
                </c:pt>
                <c:pt idx="299">
                  <c:v>583</c:v>
                </c:pt>
                <c:pt idx="300">
                  <c:v>722</c:v>
                </c:pt>
                <c:pt idx="301">
                  <c:v>1426</c:v>
                </c:pt>
                <c:pt idx="302">
                  <c:v>1670</c:v>
                </c:pt>
                <c:pt idx="303">
                  <c:v>108</c:v>
                </c:pt>
                <c:pt idx="304">
                  <c:v>105</c:v>
                </c:pt>
                <c:pt idx="305">
                  <c:v>112</c:v>
                </c:pt>
                <c:pt idx="306">
                  <c:v>135</c:v>
                </c:pt>
                <c:pt idx="307">
                  <c:v>187</c:v>
                </c:pt>
                <c:pt idx="308">
                  <c:v>155</c:v>
                </c:pt>
                <c:pt idx="309">
                  <c:v>258</c:v>
                </c:pt>
                <c:pt idx="310">
                  <c:v>290</c:v>
                </c:pt>
                <c:pt idx="311">
                  <c:v>85</c:v>
                </c:pt>
                <c:pt idx="312">
                  <c:v>81</c:v>
                </c:pt>
                <c:pt idx="313">
                  <c:v>87</c:v>
                </c:pt>
                <c:pt idx="314">
                  <c:v>99</c:v>
                </c:pt>
                <c:pt idx="315">
                  <c:v>131</c:v>
                </c:pt>
                <c:pt idx="316">
                  <c:v>145</c:v>
                </c:pt>
                <c:pt idx="317">
                  <c:v>236</c:v>
                </c:pt>
                <c:pt idx="318">
                  <c:v>265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11</c:v>
                </c:pt>
                <c:pt idx="323">
                  <c:v>15</c:v>
                </c:pt>
                <c:pt idx="324">
                  <c:v>12</c:v>
                </c:pt>
                <c:pt idx="325">
                  <c:v>18</c:v>
                </c:pt>
                <c:pt idx="326">
                  <c:v>19</c:v>
                </c:pt>
                <c:pt idx="327">
                  <c:v>5</c:v>
                </c:pt>
                <c:pt idx="328">
                  <c:v>4</c:v>
                </c:pt>
                <c:pt idx="329">
                  <c:v>5</c:v>
                </c:pt>
                <c:pt idx="330">
                  <c:v>6</c:v>
                </c:pt>
                <c:pt idx="331">
                  <c:v>10</c:v>
                </c:pt>
                <c:pt idx="332">
                  <c:v>9</c:v>
                </c:pt>
                <c:pt idx="333">
                  <c:v>14</c:v>
                </c:pt>
                <c:pt idx="334">
                  <c:v>15</c:v>
                </c:pt>
                <c:pt idx="335">
                  <c:v>96.426658636816384</c:v>
                </c:pt>
                <c:pt idx="336">
                  <c:v>18.287814569051381</c:v>
                </c:pt>
                <c:pt idx="337">
                  <c:v>-3.8238157735289251</c:v>
                </c:pt>
                <c:pt idx="338">
                  <c:v>29.925514749356807</c:v>
                </c:pt>
                <c:pt idx="339">
                  <c:v>10.972688741430829</c:v>
                </c:pt>
                <c:pt idx="340">
                  <c:v>146.30251655241105</c:v>
                </c:pt>
                <c:pt idx="341">
                  <c:v>3.491310054091628</c:v>
                </c:pt>
                <c:pt idx="342">
                  <c:v>146.30251655241105</c:v>
                </c:pt>
                <c:pt idx="343">
                  <c:v>3.491310054091628</c:v>
                </c:pt>
                <c:pt idx="344">
                  <c:v>307.56779047950056</c:v>
                </c:pt>
                <c:pt idx="345">
                  <c:v>48.213329318408192</c:v>
                </c:pt>
                <c:pt idx="346">
                  <c:v>-2.1612871763424364</c:v>
                </c:pt>
                <c:pt idx="347">
                  <c:v>141.31493076085158</c:v>
                </c:pt>
                <c:pt idx="348">
                  <c:v>24.93792895779734</c:v>
                </c:pt>
                <c:pt idx="349">
                  <c:v>-3.491310054091628</c:v>
                </c:pt>
                <c:pt idx="350">
                  <c:v>58.188500901527128</c:v>
                </c:pt>
                <c:pt idx="351">
                  <c:v>27.955968676034839</c:v>
                </c:pt>
                <c:pt idx="352">
                  <c:v>20.599134813920408</c:v>
                </c:pt>
                <c:pt idx="353">
                  <c:v>69.154238303875658</c:v>
                </c:pt>
                <c:pt idx="354">
                  <c:v>213.34818200131849</c:v>
                </c:pt>
                <c:pt idx="355">
                  <c:v>44.141003172686588</c:v>
                </c:pt>
                <c:pt idx="356">
                  <c:v>133.89437629048265</c:v>
                </c:pt>
                <c:pt idx="357">
                  <c:v>42.669636400263698</c:v>
                </c:pt>
                <c:pt idx="358">
                  <c:v>30.898702220880612</c:v>
                </c:pt>
                <c:pt idx="359">
                  <c:v>27.955968676034839</c:v>
                </c:pt>
                <c:pt idx="360">
                  <c:v>63.268771214184113</c:v>
                </c:pt>
                <c:pt idx="361">
                  <c:v>51.497837034801016</c:v>
                </c:pt>
                <c:pt idx="362">
                  <c:v>45.612369945109471</c:v>
                </c:pt>
                <c:pt idx="363">
                  <c:v>67.682871531452776</c:v>
                </c:pt>
                <c:pt idx="364">
                  <c:v>54.440570579646788</c:v>
                </c:pt>
                <c:pt idx="365">
                  <c:v>47.083736717532361</c:v>
                </c:pt>
                <c:pt idx="366">
                  <c:v>27.955968676034839</c:v>
                </c:pt>
                <c:pt idx="367">
                  <c:v>30.898702220880612</c:v>
                </c:pt>
                <c:pt idx="368">
                  <c:v>74.671863700461486</c:v>
                </c:pt>
                <c:pt idx="369">
                  <c:v>462.00916654078628</c:v>
                </c:pt>
                <c:pt idx="370">
                  <c:v>134.87528747209791</c:v>
                </c:pt>
                <c:pt idx="371">
                  <c:v>161.8503449665175</c:v>
                </c:pt>
                <c:pt idx="372">
                  <c:v>33.819341167042261</c:v>
                </c:pt>
                <c:pt idx="373">
                  <c:v>32.856512948763474</c:v>
                </c:pt>
                <c:pt idx="374">
                  <c:v>272.23967871832593</c:v>
                </c:pt>
                <c:pt idx="375">
                  <c:v>33.638810876114988</c:v>
                </c:pt>
                <c:pt idx="376">
                  <c:v>20.599134813920408</c:v>
                </c:pt>
                <c:pt idx="377">
                  <c:v>19.127768041497522</c:v>
                </c:pt>
                <c:pt idx="378">
                  <c:v>19.127768041497522</c:v>
                </c:pt>
                <c:pt idx="379">
                  <c:v>19.127768041497522</c:v>
                </c:pt>
                <c:pt idx="380">
                  <c:v>17.656401269074635</c:v>
                </c:pt>
                <c:pt idx="381">
                  <c:v>23.54186835876618</c:v>
                </c:pt>
                <c:pt idx="382">
                  <c:v>85.339272800527397</c:v>
                </c:pt>
                <c:pt idx="383">
                  <c:v>114.76660824898512</c:v>
                </c:pt>
                <c:pt idx="384">
                  <c:v>95.63884020748759</c:v>
                </c:pt>
                <c:pt idx="385">
                  <c:v>36.784169310572153</c:v>
                </c:pt>
                <c:pt idx="386">
                  <c:v>101.52430729717915</c:v>
                </c:pt>
                <c:pt idx="387">
                  <c:v>91.224739890218942</c:v>
                </c:pt>
                <c:pt idx="388">
                  <c:v>301.63018834669168</c:v>
                </c:pt>
                <c:pt idx="389">
                  <c:v>297.21608802942302</c:v>
                </c:pt>
                <c:pt idx="390">
                  <c:v>1199.1639195246523</c:v>
                </c:pt>
                <c:pt idx="391">
                  <c:v>60.36006194347658</c:v>
                </c:pt>
                <c:pt idx="392">
                  <c:v>88.218552071235024</c:v>
                </c:pt>
                <c:pt idx="393">
                  <c:v>213.58175764614791</c:v>
                </c:pt>
                <c:pt idx="394">
                  <c:v>29.598896876600101</c:v>
                </c:pt>
                <c:pt idx="395">
                  <c:v>2.8616272965879266</c:v>
                </c:pt>
                <c:pt idx="396">
                  <c:v>71.969926509186351</c:v>
                </c:pt>
                <c:pt idx="397">
                  <c:v>12.591160104986878</c:v>
                </c:pt>
                <c:pt idx="398">
                  <c:v>-8.4418005249343846</c:v>
                </c:pt>
                <c:pt idx="399">
                  <c:v>105.7371286089239</c:v>
                </c:pt>
                <c:pt idx="400">
                  <c:v>37.630398950131237</c:v>
                </c:pt>
                <c:pt idx="401">
                  <c:v>159.53572178477691</c:v>
                </c:pt>
                <c:pt idx="402">
                  <c:v>18.743658792650919</c:v>
                </c:pt>
                <c:pt idx="403">
                  <c:v>99.870792650918631</c:v>
                </c:pt>
                <c:pt idx="404">
                  <c:v>21.46220472440945</c:v>
                </c:pt>
                <c:pt idx="405">
                  <c:v>5.0078477690288716</c:v>
                </c:pt>
                <c:pt idx="406">
                  <c:v>31.1917375328084</c:v>
                </c:pt>
                <c:pt idx="407">
                  <c:v>-2.2893018372703415</c:v>
                </c:pt>
                <c:pt idx="408">
                  <c:v>18.171333333333333</c:v>
                </c:pt>
                <c:pt idx="409">
                  <c:v>-3.7201154855643046</c:v>
                </c:pt>
                <c:pt idx="410">
                  <c:v>-5.4370918635170602</c:v>
                </c:pt>
                <c:pt idx="411">
                  <c:v>-3.4339527559055116</c:v>
                </c:pt>
                <c:pt idx="412">
                  <c:v>-7.5833123359580048</c:v>
                </c:pt>
                <c:pt idx="413">
                  <c:v>-4.4355223097112866</c:v>
                </c:pt>
                <c:pt idx="414">
                  <c:v>105.1648031496063</c:v>
                </c:pt>
                <c:pt idx="415">
                  <c:v>37.487317585301838</c:v>
                </c:pt>
                <c:pt idx="416">
                  <c:v>184.00263517060367</c:v>
                </c:pt>
                <c:pt idx="417">
                  <c:v>17.455926509186352</c:v>
                </c:pt>
                <c:pt idx="418">
                  <c:v>92.859805774278229</c:v>
                </c:pt>
                <c:pt idx="419">
                  <c:v>24.466913385826775</c:v>
                </c:pt>
                <c:pt idx="420">
                  <c:v>4.8647664041994751</c:v>
                </c:pt>
                <c:pt idx="421">
                  <c:v>39.490456692913391</c:v>
                </c:pt>
                <c:pt idx="422">
                  <c:v>-3.2908713910761151</c:v>
                </c:pt>
                <c:pt idx="423">
                  <c:v>18.171333333333333</c:v>
                </c:pt>
                <c:pt idx="424">
                  <c:v>-4.1493595800524936</c:v>
                </c:pt>
                <c:pt idx="425">
                  <c:v>-6.4386614173228347</c:v>
                </c:pt>
                <c:pt idx="426">
                  <c:v>-2.7185459317585301</c:v>
                </c:pt>
                <c:pt idx="427">
                  <c:v>-9.4433700787401573</c:v>
                </c:pt>
                <c:pt idx="428">
                  <c:v>-4.1493595800524936</c:v>
                </c:pt>
                <c:pt idx="429">
                  <c:v>-2.6899296587926509</c:v>
                </c:pt>
                <c:pt idx="430">
                  <c:v>-0.50078477690288714</c:v>
                </c:pt>
                <c:pt idx="431">
                  <c:v>12.820090288713912</c:v>
                </c:pt>
                <c:pt idx="432">
                  <c:v>63.456585301837272</c:v>
                </c:pt>
                <c:pt idx="433">
                  <c:v>-1.0015695538057743</c:v>
                </c:pt>
                <c:pt idx="434">
                  <c:v>18.028251968503938</c:v>
                </c:pt>
                <c:pt idx="435">
                  <c:v>300.61394750656166</c:v>
                </c:pt>
                <c:pt idx="436">
                  <c:v>88.138120734908142</c:v>
                </c:pt>
                <c:pt idx="437">
                  <c:v>58.23411548556431</c:v>
                </c:pt>
                <c:pt idx="438">
                  <c:v>83.988761154855652</c:v>
                </c:pt>
                <c:pt idx="439">
                  <c:v>325.93934908136487</c:v>
                </c:pt>
                <c:pt idx="440">
                  <c:v>167.9775223097113</c:v>
                </c:pt>
                <c:pt idx="441">
                  <c:v>-0.57232545931758538</c:v>
                </c:pt>
                <c:pt idx="442">
                  <c:v>18.886740157480315</c:v>
                </c:pt>
                <c:pt idx="443">
                  <c:v>294.03220472440944</c:v>
                </c:pt>
                <c:pt idx="444">
                  <c:v>86.850388451443578</c:v>
                </c:pt>
                <c:pt idx="445">
                  <c:v>122.08009749103942</c:v>
                </c:pt>
                <c:pt idx="446">
                  <c:v>10.149150230414746</c:v>
                </c:pt>
                <c:pt idx="447">
                  <c:v>-3.3160589861751153</c:v>
                </c:pt>
                <c:pt idx="448">
                  <c:v>160.81211305683561</c:v>
                </c:pt>
                <c:pt idx="449">
                  <c:v>24.57456507936508</c:v>
                </c:pt>
                <c:pt idx="450">
                  <c:v>1.1276833589349717</c:v>
                </c:pt>
                <c:pt idx="451">
                  <c:v>20.168704714558849</c:v>
                </c:pt>
                <c:pt idx="452">
                  <c:v>40.337409429117699</c:v>
                </c:pt>
                <c:pt idx="453">
                  <c:v>80.674818858235398</c:v>
                </c:pt>
                <c:pt idx="454">
                  <c:v>137.14719205900019</c:v>
                </c:pt>
                <c:pt idx="455">
                  <c:v>225.88949280305911</c:v>
                </c:pt>
                <c:pt idx="456">
                  <c:v>22.263460367454069</c:v>
                </c:pt>
                <c:pt idx="457">
                  <c:v>39.86246824146982</c:v>
                </c:pt>
                <c:pt idx="458">
                  <c:v>145.21327716535433</c:v>
                </c:pt>
                <c:pt idx="459">
                  <c:v>260.5797816272966</c:v>
                </c:pt>
                <c:pt idx="460">
                  <c:v>0.94433700787401587</c:v>
                </c:pt>
                <c:pt idx="461">
                  <c:v>1.6597438320209974</c:v>
                </c:pt>
                <c:pt idx="462">
                  <c:v>79.939558530183731</c:v>
                </c:pt>
                <c:pt idx="463">
                  <c:v>102.67518740157482</c:v>
                </c:pt>
                <c:pt idx="464">
                  <c:v>6.6532834645669299</c:v>
                </c:pt>
                <c:pt idx="465">
                  <c:v>18.529036745406824</c:v>
                </c:pt>
                <c:pt idx="466">
                  <c:v>2.1319123359580052</c:v>
                </c:pt>
                <c:pt idx="467">
                  <c:v>10.387707086614173</c:v>
                </c:pt>
                <c:pt idx="468">
                  <c:v>22.263460367454069</c:v>
                </c:pt>
                <c:pt idx="469">
                  <c:v>27.714860367454069</c:v>
                </c:pt>
                <c:pt idx="470">
                  <c:v>22.263460367454069</c:v>
                </c:pt>
                <c:pt idx="471">
                  <c:v>64.54400367454069</c:v>
                </c:pt>
                <c:pt idx="472">
                  <c:v>32.267375320020477</c:v>
                </c:pt>
                <c:pt idx="473">
                  <c:v>33.145360819831012</c:v>
                </c:pt>
                <c:pt idx="474">
                  <c:v>42.467493550408477</c:v>
                </c:pt>
                <c:pt idx="475">
                  <c:v>33.808268036227631</c:v>
                </c:pt>
                <c:pt idx="476">
                  <c:v>35.160598757676738</c:v>
                </c:pt>
                <c:pt idx="477">
                  <c:v>48.170020298017135</c:v>
                </c:pt>
                <c:pt idx="478">
                  <c:v>44.169744513539179</c:v>
                </c:pt>
                <c:pt idx="479">
                  <c:v>66.916561170375431</c:v>
                </c:pt>
                <c:pt idx="480">
                  <c:v>115.68645621159868</c:v>
                </c:pt>
                <c:pt idx="481">
                  <c:v>59.945690888914022</c:v>
                </c:pt>
                <c:pt idx="482">
                  <c:v>277.64169343403654</c:v>
                </c:pt>
                <c:pt idx="483">
                  <c:v>124.0974235803648</c:v>
                </c:pt>
                <c:pt idx="484">
                  <c:v>58.893692546613806</c:v>
                </c:pt>
                <c:pt idx="485">
                  <c:v>29.446846273306903</c:v>
                </c:pt>
                <c:pt idx="486">
                  <c:v>500.59638664621735</c:v>
                </c:pt>
                <c:pt idx="487">
                  <c:v>253.45321256667728</c:v>
                </c:pt>
                <c:pt idx="488">
                  <c:v>120.94240433679622</c:v>
                </c:pt>
                <c:pt idx="489">
                  <c:v>65.203731033750998</c:v>
                </c:pt>
                <c:pt idx="490">
                  <c:v>933.88569609630463</c:v>
                </c:pt>
                <c:pt idx="491">
                  <c:v>432.23763636889777</c:v>
                </c:pt>
                <c:pt idx="492">
                  <c:v>210.33461623790646</c:v>
                </c:pt>
                <c:pt idx="493">
                  <c:v>80.978827251593984</c:v>
                </c:pt>
                <c:pt idx="494">
                  <c:v>938.09238842106276</c:v>
                </c:pt>
                <c:pt idx="495">
                  <c:v>467.99452112934188</c:v>
                </c:pt>
                <c:pt idx="496">
                  <c:v>227.16138553693898</c:v>
                </c:pt>
                <c:pt idx="497">
                  <c:v>100.96061579419509</c:v>
                </c:pt>
                <c:pt idx="498">
                  <c:v>6.5316313364055292</c:v>
                </c:pt>
                <c:pt idx="499">
                  <c:v>18.098759651817716</c:v>
                </c:pt>
                <c:pt idx="500">
                  <c:v>20.074996825396823</c:v>
                </c:pt>
                <c:pt idx="501">
                  <c:v>1.7653941780655935</c:v>
                </c:pt>
                <c:pt idx="502">
                  <c:v>40.219130522847735</c:v>
                </c:pt>
                <c:pt idx="503">
                  <c:v>246.88971212045143</c:v>
                </c:pt>
                <c:pt idx="504">
                  <c:v>-3.0396636599776006</c:v>
                </c:pt>
                <c:pt idx="505">
                  <c:v>2.0574142676704286</c:v>
                </c:pt>
                <c:pt idx="506">
                  <c:v>10.738375113195978</c:v>
                </c:pt>
                <c:pt idx="507">
                  <c:v>60.26232758208868</c:v>
                </c:pt>
                <c:pt idx="508">
                  <c:v>77.119850936549611</c:v>
                </c:pt>
                <c:pt idx="509">
                  <c:v>2495.4444020776809</c:v>
                </c:pt>
                <c:pt idx="510">
                  <c:v>0.93977374291010529</c:v>
                </c:pt>
                <c:pt idx="511">
                  <c:v>3.8759030074823553</c:v>
                </c:pt>
                <c:pt idx="512">
                  <c:v>15.264686502070923</c:v>
                </c:pt>
                <c:pt idx="513">
                  <c:v>85.614980815962994</c:v>
                </c:pt>
                <c:pt idx="514">
                  <c:v>70.084821505160406</c:v>
                </c:pt>
                <c:pt idx="515">
                  <c:v>2004.3197059240947</c:v>
                </c:pt>
                <c:pt idx="516">
                  <c:v>121.45380999473821</c:v>
                </c:pt>
                <c:pt idx="517">
                  <c:v>16.061104928265927</c:v>
                </c:pt>
                <c:pt idx="518">
                  <c:v>38.626293670457727</c:v>
                </c:pt>
                <c:pt idx="519">
                  <c:v>3.198947345216602</c:v>
                </c:pt>
                <c:pt idx="520">
                  <c:v>99.552303274375575</c:v>
                </c:pt>
                <c:pt idx="521">
                  <c:v>6.8359248248404567</c:v>
                </c:pt>
                <c:pt idx="522">
                  <c:v>69.022930270233729</c:v>
                </c:pt>
                <c:pt idx="523">
                  <c:v>38.936011947311336</c:v>
                </c:pt>
                <c:pt idx="524">
                  <c:v>68.138020907794825</c:v>
                </c:pt>
                <c:pt idx="525">
                  <c:v>34.069010453897413</c:v>
                </c:pt>
                <c:pt idx="526">
                  <c:v>14.60100448024175</c:v>
                </c:pt>
                <c:pt idx="527">
                  <c:v>87.606026881450504</c:v>
                </c:pt>
                <c:pt idx="528">
                  <c:v>248.21707616410978</c:v>
                </c:pt>
                <c:pt idx="529">
                  <c:v>1.4601004480241748</c:v>
                </c:pt>
                <c:pt idx="530">
                  <c:v>121.67503733534791</c:v>
                </c:pt>
                <c:pt idx="531">
                  <c:v>9.7340029868278339</c:v>
                </c:pt>
                <c:pt idx="532">
                  <c:v>14.60100448024175</c:v>
                </c:pt>
                <c:pt idx="533">
                  <c:v>38.936011947311336</c:v>
                </c:pt>
                <c:pt idx="534">
                  <c:v>58.404017920967</c:v>
                </c:pt>
                <c:pt idx="535">
                  <c:v>38.936011947311336</c:v>
                </c:pt>
                <c:pt idx="536">
                  <c:v>23.866005504976972</c:v>
                </c:pt>
                <c:pt idx="537">
                  <c:v>378.13946875738816</c:v>
                </c:pt>
                <c:pt idx="538">
                  <c:v>151.00093360657286</c:v>
                </c:pt>
                <c:pt idx="539">
                  <c:v>222.78478108761595</c:v>
                </c:pt>
                <c:pt idx="540">
                  <c:v>91.428835327186519</c:v>
                </c:pt>
                <c:pt idx="541">
                  <c:v>38.281179019106553</c:v>
                </c:pt>
                <c:pt idx="542">
                  <c:v>12.862157583049322</c:v>
                </c:pt>
                <c:pt idx="543">
                  <c:v>3.4113255922019361</c:v>
                </c:pt>
                <c:pt idx="544">
                  <c:v>-1.0486175944900893</c:v>
                </c:pt>
                <c:pt idx="545">
                  <c:v>44.884606942252525</c:v>
                </c:pt>
                <c:pt idx="546">
                  <c:v>91.51312335883901</c:v>
                </c:pt>
                <c:pt idx="547">
                  <c:v>21.033461623790647</c:v>
                </c:pt>
                <c:pt idx="548">
                  <c:v>44.170269409960355</c:v>
                </c:pt>
                <c:pt idx="549">
                  <c:v>211.38628931909599</c:v>
                </c:pt>
                <c:pt idx="550">
                  <c:v>25.240153948548773</c:v>
                </c:pt>
                <c:pt idx="551">
                  <c:v>52.583654059476615</c:v>
                </c:pt>
                <c:pt idx="552">
                  <c:v>216.64465472504367</c:v>
                </c:pt>
                <c:pt idx="553">
                  <c:v>11.568403893084856</c:v>
                </c:pt>
                <c:pt idx="554">
                  <c:v>28.395173192117372</c:v>
                </c:pt>
                <c:pt idx="555">
                  <c:v>135.66582747344967</c:v>
                </c:pt>
                <c:pt idx="556">
                  <c:v>11.568403893084856</c:v>
                </c:pt>
                <c:pt idx="557">
                  <c:v>29.446846273306903</c:v>
                </c:pt>
                <c:pt idx="558">
                  <c:v>134.61415439226013</c:v>
                </c:pt>
                <c:pt idx="559">
                  <c:v>12.620076974274387</c:v>
                </c:pt>
                <c:pt idx="560">
                  <c:v>31.550192435685968</c:v>
                </c:pt>
                <c:pt idx="561">
                  <c:v>145.13088520415545</c:v>
                </c:pt>
                <c:pt idx="562">
                  <c:v>11.568403893084856</c:v>
                </c:pt>
                <c:pt idx="563">
                  <c:v>27.343500110927838</c:v>
                </c:pt>
                <c:pt idx="564">
                  <c:v>124.0974235803648</c:v>
                </c:pt>
                <c:pt idx="565">
                  <c:v>14.723423136653452</c:v>
                </c:pt>
                <c:pt idx="566">
                  <c:v>32.601865516875499</c:v>
                </c:pt>
                <c:pt idx="567">
                  <c:v>136.7175005546392</c:v>
                </c:pt>
                <c:pt idx="568">
                  <c:v>5.2583654059476617</c:v>
                </c:pt>
                <c:pt idx="569">
                  <c:v>15.775096217842984</c:v>
                </c:pt>
                <c:pt idx="570">
                  <c:v>67.307077196130066</c:v>
                </c:pt>
                <c:pt idx="571">
                  <c:v>6.3100384871371933</c:v>
                </c:pt>
                <c:pt idx="572">
                  <c:v>18.930115461411582</c:v>
                </c:pt>
                <c:pt idx="573">
                  <c:v>75.720461845646327</c:v>
                </c:pt>
                <c:pt idx="574">
                  <c:v>7.3617115683267258</c:v>
                </c:pt>
                <c:pt idx="575">
                  <c:v>19.981788542601112</c:v>
                </c:pt>
                <c:pt idx="576">
                  <c:v>80.978827251593984</c:v>
                </c:pt>
                <c:pt idx="577">
                  <c:v>2.1033461623790646</c:v>
                </c:pt>
                <c:pt idx="578">
                  <c:v>6.3100384871371933</c:v>
                </c:pt>
                <c:pt idx="579">
                  <c:v>22.085134704980177</c:v>
                </c:pt>
                <c:pt idx="580">
                  <c:v>3.1550192435685966</c:v>
                </c:pt>
                <c:pt idx="581">
                  <c:v>8.4133846495162583</c:v>
                </c:pt>
                <c:pt idx="582">
                  <c:v>34.705211679254568</c:v>
                </c:pt>
                <c:pt idx="583">
                  <c:v>0</c:v>
                </c:pt>
                <c:pt idx="584">
                  <c:v>3.1550192435685966</c:v>
                </c:pt>
                <c:pt idx="585">
                  <c:v>7.3617115683267258</c:v>
                </c:pt>
                <c:pt idx="586">
                  <c:v>1.0516730811895323</c:v>
                </c:pt>
                <c:pt idx="587">
                  <c:v>6.3100384871371933</c:v>
                </c:pt>
                <c:pt idx="588">
                  <c:v>13.671750055463919</c:v>
                </c:pt>
                <c:pt idx="589">
                  <c:v>1.0516730811895323</c:v>
                </c:pt>
                <c:pt idx="590">
                  <c:v>6.3100384871371933</c:v>
                </c:pt>
                <c:pt idx="591">
                  <c:v>13.671750055463919</c:v>
                </c:pt>
                <c:pt idx="592">
                  <c:v>279.74503959641561</c:v>
                </c:pt>
                <c:pt idx="593">
                  <c:v>128.30411590512293</c:v>
                </c:pt>
                <c:pt idx="594">
                  <c:v>65.203731033750998</c:v>
                </c:pt>
                <c:pt idx="595">
                  <c:v>36.808557841633629</c:v>
                </c:pt>
                <c:pt idx="596">
                  <c:v>22.085134704980177</c:v>
                </c:pt>
                <c:pt idx="597">
                  <c:v>5.2583654059476617</c:v>
                </c:pt>
                <c:pt idx="598">
                  <c:v>57.842019465424279</c:v>
                </c:pt>
                <c:pt idx="599">
                  <c:v>184.04278920816816</c:v>
                </c:pt>
                <c:pt idx="600">
                  <c:v>14.723423136653452</c:v>
                </c:pt>
                <c:pt idx="601">
                  <c:v>6.3100384871371933</c:v>
                </c:pt>
                <c:pt idx="602">
                  <c:v>-1.4723423136653451</c:v>
                </c:pt>
                <c:pt idx="603">
                  <c:v>152.49259677248219</c:v>
                </c:pt>
                <c:pt idx="604">
                  <c:v>73.617115683267258</c:v>
                </c:pt>
                <c:pt idx="605">
                  <c:v>1.0516730811895323</c:v>
                </c:pt>
                <c:pt idx="606">
                  <c:v>43.399706823466232</c:v>
                </c:pt>
                <c:pt idx="607">
                  <c:v>43.896887235763693</c:v>
                </c:pt>
                <c:pt idx="608">
                  <c:v>38.324323447929608</c:v>
                </c:pt>
                <c:pt idx="609">
                  <c:v>40.395908499169046</c:v>
                </c:pt>
                <c:pt idx="610">
                  <c:v>37.288530922309889</c:v>
                </c:pt>
                <c:pt idx="611">
                  <c:v>50.75383375536623</c:v>
                </c:pt>
                <c:pt idx="612">
                  <c:v>26.930605666112697</c:v>
                </c:pt>
                <c:pt idx="613">
                  <c:v>50.75383375536623</c:v>
                </c:pt>
                <c:pt idx="614">
                  <c:v>31.07377576859157</c:v>
                </c:pt>
                <c:pt idx="615">
                  <c:v>40.395908499169046</c:v>
                </c:pt>
                <c:pt idx="616">
                  <c:v>43.503286076028203</c:v>
                </c:pt>
                <c:pt idx="617">
                  <c:v>65.254929114042298</c:v>
                </c:pt>
                <c:pt idx="618">
                  <c:v>36.25273839669017</c:v>
                </c:pt>
                <c:pt idx="619">
                  <c:v>34.181153345450724</c:v>
                </c:pt>
                <c:pt idx="620">
                  <c:v>48.682248704126799</c:v>
                </c:pt>
                <c:pt idx="621">
                  <c:v>23.823228089253536</c:v>
                </c:pt>
                <c:pt idx="622">
                  <c:v>45.574871127267635</c:v>
                </c:pt>
                <c:pt idx="623">
                  <c:v>43.503286076028203</c:v>
                </c:pt>
                <c:pt idx="624">
                  <c:v>49.718041229746518</c:v>
                </c:pt>
                <c:pt idx="625">
                  <c:v>38.324323447929608</c:v>
                </c:pt>
                <c:pt idx="626">
                  <c:v>46.610663652887361</c:v>
                </c:pt>
                <c:pt idx="627">
                  <c:v>50.75383375536623</c:v>
                </c:pt>
                <c:pt idx="628">
                  <c:v>44.539078601647923</c:v>
                </c:pt>
                <c:pt idx="629">
                  <c:v>72.505476793380339</c:v>
                </c:pt>
                <c:pt idx="630">
                  <c:v>46.610663652887361</c:v>
                </c:pt>
                <c:pt idx="631">
                  <c:v>88.042364677676119</c:v>
                </c:pt>
                <c:pt idx="632">
                  <c:v>35.21694587107045</c:v>
                </c:pt>
                <c:pt idx="633">
                  <c:v>49.718041229746518</c:v>
                </c:pt>
                <c:pt idx="634">
                  <c:v>63.183344062802867</c:v>
                </c:pt>
                <c:pt idx="635">
                  <c:v>101.50766751073246</c:v>
                </c:pt>
                <c:pt idx="636">
                  <c:v>49.718041229746518</c:v>
                </c:pt>
                <c:pt idx="637">
                  <c:v>45.574871127267635</c:v>
                </c:pt>
                <c:pt idx="638">
                  <c:v>78.720231947098654</c:v>
                </c:pt>
                <c:pt idx="639">
                  <c:v>48.682248704126799</c:v>
                </c:pt>
                <c:pt idx="640">
                  <c:v>84.934987100816954</c:v>
                </c:pt>
                <c:pt idx="641">
                  <c:v>78.720231947098654</c:v>
                </c:pt>
                <c:pt idx="642">
                  <c:v>93.221327305774722</c:v>
                </c:pt>
                <c:pt idx="643">
                  <c:v>87.006572152056407</c:v>
                </c:pt>
                <c:pt idx="644">
                  <c:v>53.861211332225395</c:v>
                </c:pt>
                <c:pt idx="645">
                  <c:v>60.075966485943709</c:v>
                </c:pt>
                <c:pt idx="646">
                  <c:v>49.718041229746518</c:v>
                </c:pt>
                <c:pt idx="647">
                  <c:v>92.185534780154995</c:v>
                </c:pt>
                <c:pt idx="648">
                  <c:v>67.32651416528175</c:v>
                </c:pt>
                <c:pt idx="649">
                  <c:v>134.6530283305635</c:v>
                </c:pt>
                <c:pt idx="650">
                  <c:v>37.288530922309889</c:v>
                </c:pt>
                <c:pt idx="651">
                  <c:v>56.968588909084552</c:v>
                </c:pt>
                <c:pt idx="652">
                  <c:v>93.221327305774722</c:v>
                </c:pt>
                <c:pt idx="653">
                  <c:v>143.97516106114097</c:v>
                </c:pt>
                <c:pt idx="654">
                  <c:v>59.040173960323983</c:v>
                </c:pt>
                <c:pt idx="655">
                  <c:v>53.861211332225395</c:v>
                </c:pt>
                <c:pt idx="656">
                  <c:v>107.72242266445079</c:v>
                </c:pt>
                <c:pt idx="657">
                  <c:v>75.612854370239489</c:v>
                </c:pt>
                <c:pt idx="658">
                  <c:v>152.26150126609872</c:v>
                </c:pt>
                <c:pt idx="659">
                  <c:v>134.6530283305635</c:v>
                </c:pt>
                <c:pt idx="660">
                  <c:v>156.4046713685776</c:v>
                </c:pt>
                <c:pt idx="661">
                  <c:v>160.54784147105644</c:v>
                </c:pt>
                <c:pt idx="662">
                  <c:v>75.612854370239489</c:v>
                </c:pt>
                <c:pt idx="663">
                  <c:v>89.078157203295845</c:v>
                </c:pt>
                <c:pt idx="664">
                  <c:v>65.254929114042298</c:v>
                </c:pt>
                <c:pt idx="665">
                  <c:v>178.15631440659169</c:v>
                </c:pt>
                <c:pt idx="666">
                  <c:v>178.15631440659169</c:v>
                </c:pt>
                <c:pt idx="667">
                  <c:v>408.10225509416932</c:v>
                </c:pt>
                <c:pt idx="668">
                  <c:v>44.539078601647923</c:v>
                </c:pt>
                <c:pt idx="669">
                  <c:v>79.756024472718366</c:v>
                </c:pt>
                <c:pt idx="670">
                  <c:v>397.74432983797215</c:v>
                </c:pt>
                <c:pt idx="671">
                  <c:v>435.03286076028201</c:v>
                </c:pt>
                <c:pt idx="672">
                  <c:v>87.006572152056407</c:v>
                </c:pt>
                <c:pt idx="673">
                  <c:v>75.612854370239489</c:v>
                </c:pt>
                <c:pt idx="674">
                  <c:v>226.83856311071847</c:v>
                </c:pt>
                <c:pt idx="675">
                  <c:v>226.83856311071847</c:v>
                </c:pt>
                <c:pt idx="676">
                  <c:v>1044.0788658246768</c:v>
                </c:pt>
                <c:pt idx="677">
                  <c:v>743.69903339495829</c:v>
                </c:pt>
                <c:pt idx="678">
                  <c:v>748.87799602305688</c:v>
                </c:pt>
                <c:pt idx="679">
                  <c:v>804.81079240652173</c:v>
                </c:pt>
                <c:pt idx="680">
                  <c:v>35.21694587107045</c:v>
                </c:pt>
                <c:pt idx="681">
                  <c:v>36.25273839669017</c:v>
                </c:pt>
                <c:pt idx="682">
                  <c:v>34.181153345450724</c:v>
                </c:pt>
                <c:pt idx="683">
                  <c:v>53.861211332225395</c:v>
                </c:pt>
                <c:pt idx="684">
                  <c:v>24.859020614873259</c:v>
                </c:pt>
                <c:pt idx="685">
                  <c:v>66.290721639662024</c:v>
                </c:pt>
                <c:pt idx="686">
                  <c:v>27.966398191732413</c:v>
                </c:pt>
                <c:pt idx="687">
                  <c:v>36.25273839669017</c:v>
                </c:pt>
                <c:pt idx="688">
                  <c:v>43.503286076028203</c:v>
                </c:pt>
                <c:pt idx="689">
                  <c:v>51.789626280985956</c:v>
                </c:pt>
                <c:pt idx="690">
                  <c:v>33.145360819831012</c:v>
                </c:pt>
                <c:pt idx="691">
                  <c:v>30.037983242971855</c:v>
                </c:pt>
                <c:pt idx="692">
                  <c:v>45.574871127267635</c:v>
                </c:pt>
                <c:pt idx="693">
                  <c:v>20.715850512394383</c:v>
                </c:pt>
                <c:pt idx="694">
                  <c:v>40.395908499169046</c:v>
                </c:pt>
                <c:pt idx="695">
                  <c:v>37.288530922309889</c:v>
                </c:pt>
                <c:pt idx="696">
                  <c:v>44.539078601647923</c:v>
                </c:pt>
                <c:pt idx="697">
                  <c:v>32.109568294211293</c:v>
                </c:pt>
                <c:pt idx="698">
                  <c:v>42.467493550408477</c:v>
                </c:pt>
                <c:pt idx="699">
                  <c:v>43.503286076028203</c:v>
                </c:pt>
                <c:pt idx="700">
                  <c:v>39.360115973549327</c:v>
                </c:pt>
                <c:pt idx="701">
                  <c:v>74.577061844619777</c:v>
                </c:pt>
                <c:pt idx="702">
                  <c:v>41.431701024788765</c:v>
                </c:pt>
                <c:pt idx="703">
                  <c:v>110.82980024130995</c:v>
                </c:pt>
                <c:pt idx="704">
                  <c:v>31.07377576859157</c:v>
                </c:pt>
                <c:pt idx="705">
                  <c:v>43.503286076028203</c:v>
                </c:pt>
                <c:pt idx="706">
                  <c:v>55.932796383464826</c:v>
                </c:pt>
                <c:pt idx="707">
                  <c:v>65.254929114042298</c:v>
                </c:pt>
                <c:pt idx="708">
                  <c:v>43.503286076028203</c:v>
                </c:pt>
                <c:pt idx="709">
                  <c:v>39.360115973549327</c:v>
                </c:pt>
                <c:pt idx="710">
                  <c:v>70.433891742140901</c:v>
                </c:pt>
                <c:pt idx="711">
                  <c:v>42.467493550408477</c:v>
                </c:pt>
                <c:pt idx="712">
                  <c:v>63.183344062802867</c:v>
                </c:pt>
                <c:pt idx="713">
                  <c:v>56.968588909084552</c:v>
                </c:pt>
                <c:pt idx="714">
                  <c:v>71.469684267760613</c:v>
                </c:pt>
                <c:pt idx="715">
                  <c:v>64.219136588422586</c:v>
                </c:pt>
                <c:pt idx="716">
                  <c:v>47.646456178507073</c:v>
                </c:pt>
                <c:pt idx="717">
                  <c:v>48.682248704126799</c:v>
                </c:pt>
                <c:pt idx="718">
                  <c:v>43.503286076028203</c:v>
                </c:pt>
                <c:pt idx="719">
                  <c:v>92.185534780154995</c:v>
                </c:pt>
                <c:pt idx="720">
                  <c:v>60.075966485943709</c:v>
                </c:pt>
                <c:pt idx="721">
                  <c:v>155.36887884295788</c:v>
                </c:pt>
                <c:pt idx="722">
                  <c:v>33.145360819831012</c:v>
                </c:pt>
                <c:pt idx="723">
                  <c:v>48.682248704126799</c:v>
                </c:pt>
                <c:pt idx="724">
                  <c:v>66.290721639662024</c:v>
                </c:pt>
                <c:pt idx="725">
                  <c:v>75.612854370239489</c:v>
                </c:pt>
                <c:pt idx="726">
                  <c:v>50.75383375536623</c:v>
                </c:pt>
                <c:pt idx="727">
                  <c:v>46.610663652887361</c:v>
                </c:pt>
                <c:pt idx="728">
                  <c:v>92.185534780154995</c:v>
                </c:pt>
                <c:pt idx="729">
                  <c:v>63.183344062802867</c:v>
                </c:pt>
                <c:pt idx="730">
                  <c:v>93.221327305774722</c:v>
                </c:pt>
                <c:pt idx="731">
                  <c:v>87.006572152056407</c:v>
                </c:pt>
                <c:pt idx="732">
                  <c:v>107.72242266445079</c:v>
                </c:pt>
                <c:pt idx="733">
                  <c:v>107.72242266445079</c:v>
                </c:pt>
                <c:pt idx="734">
                  <c:v>62.147551537183141</c:v>
                </c:pt>
                <c:pt idx="735">
                  <c:v>64.219136588422586</c:v>
                </c:pt>
                <c:pt idx="736">
                  <c:v>54.897003857845114</c:v>
                </c:pt>
                <c:pt idx="737">
                  <c:v>148.11833116361981</c:v>
                </c:pt>
                <c:pt idx="738">
                  <c:v>148.11833116361981</c:v>
                </c:pt>
                <c:pt idx="739">
                  <c:v>327.31043809583122</c:v>
                </c:pt>
                <c:pt idx="740">
                  <c:v>38.324323447929608</c:v>
                </c:pt>
                <c:pt idx="741">
                  <c:v>65.254929114042298</c:v>
                </c:pt>
                <c:pt idx="742">
                  <c:v>100.47187498511275</c:v>
                </c:pt>
                <c:pt idx="743">
                  <c:v>108.7582151900705</c:v>
                </c:pt>
                <c:pt idx="744">
                  <c:v>70.433891742140901</c:v>
                </c:pt>
                <c:pt idx="745">
                  <c:v>62.147551537183141</c:v>
                </c:pt>
                <c:pt idx="746">
                  <c:v>168.8341816760142</c:v>
                </c:pt>
                <c:pt idx="747">
                  <c:v>168.8341816760142</c:v>
                </c:pt>
                <c:pt idx="748">
                  <c:v>449.53395611895809</c:v>
                </c:pt>
                <c:pt idx="749">
                  <c:v>713.6610501519865</c:v>
                </c:pt>
                <c:pt idx="750">
                  <c:v>524.11101796357786</c:v>
                </c:pt>
                <c:pt idx="751">
                  <c:v>575.90064424456386</c:v>
                </c:pt>
                <c:pt idx="752">
                  <c:v>423.89276597568244</c:v>
                </c:pt>
                <c:pt idx="753">
                  <c:v>544.41129747857258</c:v>
                </c:pt>
                <c:pt idx="754">
                  <c:v>606.7484689455847</c:v>
                </c:pt>
                <c:pt idx="755">
                  <c:v>781.29254905321864</c:v>
                </c:pt>
                <c:pt idx="756">
                  <c:v>315.8416687661948</c:v>
                </c:pt>
                <c:pt idx="757">
                  <c:v>411.42533168228005</c:v>
                </c:pt>
                <c:pt idx="758">
                  <c:v>390.64627452660932</c:v>
                </c:pt>
                <c:pt idx="759">
                  <c:v>473.76250314929217</c:v>
                </c:pt>
                <c:pt idx="760">
                  <c:v>561.03454320310914</c:v>
                </c:pt>
                <c:pt idx="761">
                  <c:v>610.90428037671882</c:v>
                </c:pt>
                <c:pt idx="762">
                  <c:v>905.96689198724289</c:v>
                </c:pt>
                <c:pt idx="763">
                  <c:v>438.04729817374971</c:v>
                </c:pt>
                <c:pt idx="764">
                  <c:v>564.9581976446492</c:v>
                </c:pt>
                <c:pt idx="765">
                  <c:v>433.95339819081755</c:v>
                </c:pt>
                <c:pt idx="766">
                  <c:v>418.57508534564306</c:v>
                </c:pt>
                <c:pt idx="767">
                  <c:v>170.53059032600274</c:v>
                </c:pt>
                <c:pt idx="768">
                  <c:v>180.58467908902691</c:v>
                </c:pt>
                <c:pt idx="769">
                  <c:v>67.719254658385097</c:v>
                </c:pt>
                <c:pt idx="770">
                  <c:v>69.596299709848097</c:v>
                </c:pt>
                <c:pt idx="771">
                  <c:v>298.85469875405357</c:v>
                </c:pt>
                <c:pt idx="772">
                  <c:v>229.25839904420548</c:v>
                </c:pt>
                <c:pt idx="773">
                  <c:v>290.66689878818909</c:v>
                </c:pt>
                <c:pt idx="774">
                  <c:v>433.95339819081755</c:v>
                </c:pt>
                <c:pt idx="775">
                  <c:v>496.48724688996595</c:v>
                </c:pt>
                <c:pt idx="776">
                  <c:v>193.19783655447154</c:v>
                </c:pt>
                <c:pt idx="777">
                  <c:v>82.389486189873224</c:v>
                </c:pt>
                <c:pt idx="778">
                  <c:v>136.93087474379445</c:v>
                </c:pt>
                <c:pt idx="779">
                  <c:v>59.890665649864339</c:v>
                </c:pt>
                <c:pt idx="780">
                  <c:v>26.89239552451799</c:v>
                </c:pt>
                <c:pt idx="781">
                  <c:v>13.300187717456575</c:v>
                </c:pt>
                <c:pt idx="782">
                  <c:v>5.1368988489577792</c:v>
                </c:pt>
                <c:pt idx="783">
                  <c:v>0.942428470997422</c:v>
                </c:pt>
                <c:pt idx="784">
                  <c:v>68.226511844038725</c:v>
                </c:pt>
                <c:pt idx="785">
                  <c:v>436.60985488053808</c:v>
                </c:pt>
                <c:pt idx="786">
                  <c:v>11.707629727900636</c:v>
                </c:pt>
                <c:pt idx="787">
                  <c:v>37.074160805018685</c:v>
                </c:pt>
                <c:pt idx="788">
                  <c:v>56.586877018186414</c:v>
                </c:pt>
                <c:pt idx="789">
                  <c:v>38.56134631028285</c:v>
                </c:pt>
                <c:pt idx="790">
                  <c:v>123.39630819290511</c:v>
                </c:pt>
                <c:pt idx="791">
                  <c:v>258.36102027889507</c:v>
                </c:pt>
                <c:pt idx="792">
                  <c:v>73.706513674350319</c:v>
                </c:pt>
                <c:pt idx="793">
                  <c:v>68.441762697611011</c:v>
                </c:pt>
                <c:pt idx="794">
                  <c:v>68.441762697611011</c:v>
                </c:pt>
                <c:pt idx="795">
                  <c:v>73.706513674350319</c:v>
                </c:pt>
                <c:pt idx="796">
                  <c:v>73.706513674350319</c:v>
                </c:pt>
                <c:pt idx="797">
                  <c:v>31.588505860435856</c:v>
                </c:pt>
                <c:pt idx="798">
                  <c:v>42.118007813914467</c:v>
                </c:pt>
                <c:pt idx="799">
                  <c:v>47.382758790653781</c:v>
                </c:pt>
                <c:pt idx="800">
                  <c:v>25</c:v>
                </c:pt>
                <c:pt idx="801">
                  <c:v>95</c:v>
                </c:pt>
                <c:pt idx="802">
                  <c:v>29.3</c:v>
                </c:pt>
                <c:pt idx="803">
                  <c:v>215.9</c:v>
                </c:pt>
                <c:pt idx="804">
                  <c:v>27.6</c:v>
                </c:pt>
                <c:pt idx="805">
                  <c:v>27.7</c:v>
                </c:pt>
                <c:pt idx="806">
                  <c:v>27.8</c:v>
                </c:pt>
                <c:pt idx="807">
                  <c:v>27.9</c:v>
                </c:pt>
                <c:pt idx="808">
                  <c:v>27.9</c:v>
                </c:pt>
                <c:pt idx="809">
                  <c:v>198.6</c:v>
                </c:pt>
                <c:pt idx="810">
                  <c:v>184.8</c:v>
                </c:pt>
                <c:pt idx="811">
                  <c:v>209.2</c:v>
                </c:pt>
                <c:pt idx="812">
                  <c:v>213.4</c:v>
                </c:pt>
                <c:pt idx="813">
                  <c:v>215.5</c:v>
                </c:pt>
                <c:pt idx="814">
                  <c:v>25</c:v>
                </c:pt>
                <c:pt idx="815">
                  <c:v>95</c:v>
                </c:pt>
                <c:pt idx="816">
                  <c:v>29.3</c:v>
                </c:pt>
                <c:pt idx="817">
                  <c:v>215.9</c:v>
                </c:pt>
                <c:pt idx="818">
                  <c:v>27.6</c:v>
                </c:pt>
                <c:pt idx="819">
                  <c:v>28.1</c:v>
                </c:pt>
                <c:pt idx="820">
                  <c:v>27.4</c:v>
                </c:pt>
                <c:pt idx="821">
                  <c:v>27.4</c:v>
                </c:pt>
                <c:pt idx="822">
                  <c:v>27.4</c:v>
                </c:pt>
                <c:pt idx="823">
                  <c:v>198.6</c:v>
                </c:pt>
                <c:pt idx="824">
                  <c:v>191.9</c:v>
                </c:pt>
                <c:pt idx="825">
                  <c:v>200.4</c:v>
                </c:pt>
                <c:pt idx="826">
                  <c:v>202.8</c:v>
                </c:pt>
                <c:pt idx="827">
                  <c:v>204.3</c:v>
                </c:pt>
                <c:pt idx="828">
                  <c:v>40.938999829322405</c:v>
                </c:pt>
                <c:pt idx="829">
                  <c:v>105213.22956135857</c:v>
                </c:pt>
                <c:pt idx="830">
                  <c:v>18.422549923195081</c:v>
                </c:pt>
                <c:pt idx="831">
                  <c:v>6918.6909711554872</c:v>
                </c:pt>
                <c:pt idx="832">
                  <c:v>180.13159924901859</c:v>
                </c:pt>
                <c:pt idx="833">
                  <c:v>423.89276597568244</c:v>
                </c:pt>
                <c:pt idx="834">
                  <c:v>369.86721737093859</c:v>
                </c:pt>
                <c:pt idx="835">
                  <c:v>619.21590323898704</c:v>
                </c:pt>
                <c:pt idx="836">
                  <c:v>669.08564041259683</c:v>
                </c:pt>
                <c:pt idx="837">
                  <c:v>947.52500629858434</c:v>
                </c:pt>
                <c:pt idx="838">
                  <c:v>131.1085774549617</c:v>
                </c:pt>
                <c:pt idx="839">
                  <c:v>196.66286618244254</c:v>
                </c:pt>
                <c:pt idx="840">
                  <c:v>424.17480941311135</c:v>
                </c:pt>
                <c:pt idx="841">
                  <c:v>616.98154096452561</c:v>
                </c:pt>
                <c:pt idx="842">
                  <c:v>964.03365775707118</c:v>
                </c:pt>
                <c:pt idx="843">
                  <c:v>1233.9630819290512</c:v>
                </c:pt>
                <c:pt idx="844">
                  <c:v>96.40336577570713</c:v>
                </c:pt>
                <c:pt idx="845">
                  <c:v>131.1085774549617</c:v>
                </c:pt>
                <c:pt idx="846">
                  <c:v>254.50488564786681</c:v>
                </c:pt>
                <c:pt idx="847">
                  <c:v>370.18892457871539</c:v>
                </c:pt>
                <c:pt idx="848">
                  <c:v>616.98154096452561</c:v>
                </c:pt>
                <c:pt idx="849">
                  <c:v>886.91096513650564</c:v>
                </c:pt>
                <c:pt idx="850">
                  <c:v>61.698154096452555</c:v>
                </c:pt>
                <c:pt idx="851">
                  <c:v>80.978827251593984</c:v>
                </c:pt>
                <c:pt idx="852">
                  <c:v>158.10151987215968</c:v>
                </c:pt>
                <c:pt idx="853">
                  <c:v>273.7855588030082</c:v>
                </c:pt>
                <c:pt idx="854">
                  <c:v>771.22692620565704</c:v>
                </c:pt>
                <c:pt idx="855">
                  <c:v>2352.2421249272538</c:v>
                </c:pt>
                <c:pt idx="856">
                  <c:v>462.73615572339423</c:v>
                </c:pt>
                <c:pt idx="857">
                  <c:v>1041.156350377637</c:v>
                </c:pt>
                <c:pt idx="858">
                  <c:v>2969.2236658917795</c:v>
                </c:pt>
                <c:pt idx="859">
                  <c:v>5012.9750203367712</c:v>
                </c:pt>
                <c:pt idx="860">
                  <c:v>9640.3365775707116</c:v>
                </c:pt>
                <c:pt idx="861">
                  <c:v>14653.311597907485</c:v>
                </c:pt>
                <c:pt idx="862">
                  <c:v>111.82790429982026</c:v>
                </c:pt>
                <c:pt idx="863">
                  <c:v>131.1085774549617</c:v>
                </c:pt>
                <c:pt idx="864">
                  <c:v>289.21009732712139</c:v>
                </c:pt>
                <c:pt idx="865">
                  <c:v>578.42019465424278</c:v>
                </c:pt>
                <c:pt idx="866">
                  <c:v>4241.7480941311142</c:v>
                </c:pt>
                <c:pt idx="867">
                  <c:v>14653.311597907485</c:v>
                </c:pt>
                <c:pt idx="868">
                  <c:v>38.435716501599366</c:v>
                </c:pt>
                <c:pt idx="869">
                  <c:v>45.586547478641116</c:v>
                </c:pt>
                <c:pt idx="870">
                  <c:v>31.284885524557627</c:v>
                </c:pt>
                <c:pt idx="871">
                  <c:v>30.391031652427408</c:v>
                </c:pt>
                <c:pt idx="872">
                  <c:v>75.977579131068524</c:v>
                </c:pt>
                <c:pt idx="873">
                  <c:v>63.463624921245469</c:v>
                </c:pt>
                <c:pt idx="874">
                  <c:v>50.055816839292206</c:v>
                </c:pt>
                <c:pt idx="875">
                  <c:v>39.306877245803065</c:v>
                </c:pt>
                <c:pt idx="876">
                  <c:v>38.452379914372564</c:v>
                </c:pt>
                <c:pt idx="877">
                  <c:v>37.597882582942063</c:v>
                </c:pt>
                <c:pt idx="878">
                  <c:v>41.015871908664067</c:v>
                </c:pt>
                <c:pt idx="879">
                  <c:v>43.579363902955571</c:v>
                </c:pt>
                <c:pt idx="880">
                  <c:v>40.161374577233559</c:v>
                </c:pt>
                <c:pt idx="881">
                  <c:v>41.870369240094568</c:v>
                </c:pt>
                <c:pt idx="882">
                  <c:v>107.66666376024318</c:v>
                </c:pt>
                <c:pt idx="883">
                  <c:v>105.95766909738217</c:v>
                </c:pt>
                <c:pt idx="884">
                  <c:v>105.10317176595167</c:v>
                </c:pt>
                <c:pt idx="885">
                  <c:v>111.93915041739568</c:v>
                </c:pt>
                <c:pt idx="886">
                  <c:v>117.92063173740918</c:v>
                </c:pt>
                <c:pt idx="887">
                  <c:v>111.08465308596517</c:v>
                </c:pt>
                <c:pt idx="888">
                  <c:v>115.35713974311768</c:v>
                </c:pt>
                <c:pt idx="889">
                  <c:v>951.57012732881287</c:v>
                </c:pt>
                <c:pt idx="890">
                  <c:v>815.63153771041107</c:v>
                </c:pt>
                <c:pt idx="891">
                  <c:v>654.6516289517773</c:v>
                </c:pt>
                <c:pt idx="892">
                  <c:v>500.8263828046384</c:v>
                </c:pt>
                <c:pt idx="893">
                  <c:v>329.11448012876235</c:v>
                </c:pt>
                <c:pt idx="894">
                  <c:v>160.97990875863374</c:v>
                </c:pt>
                <c:pt idx="895">
                  <c:v>3.5773313057474168</c:v>
                </c:pt>
                <c:pt idx="896">
                  <c:v>45.989188137515526</c:v>
                </c:pt>
                <c:pt idx="897">
                  <c:v>78.720231947098654</c:v>
                </c:pt>
                <c:pt idx="898">
                  <c:v>94.257119831394448</c:v>
                </c:pt>
                <c:pt idx="899">
                  <c:v>203.01533502146492</c:v>
                </c:pt>
                <c:pt idx="900">
                  <c:v>184.37106956030999</c:v>
                </c:pt>
                <c:pt idx="901">
                  <c:v>122.22351802312686</c:v>
                </c:pt>
                <c:pt idx="902">
                  <c:v>137.76040590742264</c:v>
                </c:pt>
                <c:pt idx="903">
                  <c:v>280.69977444294386</c:v>
                </c:pt>
                <c:pt idx="904">
                  <c:v>241.33965846939458</c:v>
                </c:pt>
                <c:pt idx="905">
                  <c:v>72.505476793380339</c:v>
                </c:pt>
                <c:pt idx="906">
                  <c:v>104.61504508759162</c:v>
                </c:pt>
                <c:pt idx="907">
                  <c:v>237.19648836691567</c:v>
                </c:pt>
                <c:pt idx="908">
                  <c:v>113.9371778181691</c:v>
                </c:pt>
                <c:pt idx="909">
                  <c:v>152.26150126609872</c:v>
                </c:pt>
                <c:pt idx="910">
                  <c:v>340.77574092888756</c:v>
                </c:pt>
                <c:pt idx="911">
                  <c:v>228.68178698383454</c:v>
                </c:pt>
                <c:pt idx="912">
                  <c:v>34.233730174051182</c:v>
                </c:pt>
                <c:pt idx="913">
                  <c:v>150.6084799744622</c:v>
                </c:pt>
                <c:pt idx="914">
                  <c:v>244.53502662130509</c:v>
                </c:pt>
                <c:pt idx="915">
                  <c:v>75.041521571032916</c:v>
                </c:pt>
                <c:pt idx="916">
                  <c:v>129.75592556453651</c:v>
                </c:pt>
                <c:pt idx="917">
                  <c:v>61.959524120007401</c:v>
                </c:pt>
                <c:pt idx="918">
                  <c:v>150.6084799744622</c:v>
                </c:pt>
                <c:pt idx="919">
                  <c:v>141.45870312014787</c:v>
                </c:pt>
                <c:pt idx="920">
                  <c:v>870.11502524478351</c:v>
                </c:pt>
                <c:pt idx="921">
                  <c:v>318.12803377695985</c:v>
                </c:pt>
                <c:pt idx="922">
                  <c:v>386.04422462707691</c:v>
                </c:pt>
                <c:pt idx="923">
                  <c:v>244.53497483167882</c:v>
                </c:pt>
                <c:pt idx="924">
                  <c:v>2459.5090321420098</c:v>
                </c:pt>
                <c:pt idx="925">
                  <c:v>34.625690288713912</c:v>
                </c:pt>
                <c:pt idx="926">
                  <c:v>62.955800524934382</c:v>
                </c:pt>
                <c:pt idx="927">
                  <c:v>27.280846894138232</c:v>
                </c:pt>
                <c:pt idx="928">
                  <c:v>13.115791776027995</c:v>
                </c:pt>
                <c:pt idx="929">
                  <c:v>57.709483814523189</c:v>
                </c:pt>
                <c:pt idx="930">
                  <c:v>146.89686789151358</c:v>
                </c:pt>
                <c:pt idx="931">
                  <c:v>1.5738950131233593</c:v>
                </c:pt>
                <c:pt idx="932">
                  <c:v>73.44843394575679</c:v>
                </c:pt>
                <c:pt idx="933">
                  <c:v>10.492633420822397</c:v>
                </c:pt>
                <c:pt idx="934">
                  <c:v>14.165055118110237</c:v>
                </c:pt>
                <c:pt idx="935">
                  <c:v>29.379373578302712</c:v>
                </c:pt>
                <c:pt idx="936">
                  <c:v>34.101058617672791</c:v>
                </c:pt>
                <c:pt idx="937">
                  <c:v>75</c:v>
                </c:pt>
                <c:pt idx="938">
                  <c:v>37.5</c:v>
                </c:pt>
                <c:pt idx="939">
                  <c:v>200</c:v>
                </c:pt>
                <c:pt idx="940">
                  <c:v>1500</c:v>
                </c:pt>
                <c:pt idx="941">
                  <c:v>293</c:v>
                </c:pt>
                <c:pt idx="942">
                  <c:v>52</c:v>
                </c:pt>
                <c:pt idx="943">
                  <c:v>47.029411764705884</c:v>
                </c:pt>
                <c:pt idx="944">
                  <c:v>263.00787401574803</c:v>
                </c:pt>
                <c:pt idx="945">
                  <c:v>82.133333333333326</c:v>
                </c:pt>
                <c:pt idx="946">
                  <c:v>208.63333333333333</c:v>
                </c:pt>
                <c:pt idx="947">
                  <c:v>80.666666666666671</c:v>
                </c:pt>
                <c:pt idx="948">
                  <c:v>187</c:v>
                </c:pt>
                <c:pt idx="949">
                  <c:v>201.66666666666666</c:v>
                </c:pt>
                <c:pt idx="950">
                  <c:v>260.33333333333331</c:v>
                </c:pt>
                <c:pt idx="951">
                  <c:v>99</c:v>
                </c:pt>
                <c:pt idx="952">
                  <c:v>62.333333333333336</c:v>
                </c:pt>
                <c:pt idx="953">
                  <c:v>97.166666666666671</c:v>
                </c:pt>
                <c:pt idx="954">
                  <c:v>110</c:v>
                </c:pt>
                <c:pt idx="955">
                  <c:v>146.66666666666666</c:v>
                </c:pt>
                <c:pt idx="956">
                  <c:v>70.641050247264843</c:v>
                </c:pt>
                <c:pt idx="957">
                  <c:v>67.222934912719751</c:v>
                </c:pt>
                <c:pt idx="958">
                  <c:v>180.78032213816164</c:v>
                </c:pt>
                <c:pt idx="959">
                  <c:v>94.947648181807594</c:v>
                </c:pt>
                <c:pt idx="960">
                  <c:v>341.05195226905278</c:v>
                </c:pt>
                <c:pt idx="961">
                  <c:v>78.616652694536668</c:v>
                </c:pt>
                <c:pt idx="962">
                  <c:v>24.306597934542744</c:v>
                </c:pt>
                <c:pt idx="963">
                  <c:v>39.49822164363195</c:v>
                </c:pt>
                <c:pt idx="964">
                  <c:v>56.209007723630094</c:v>
                </c:pt>
                <c:pt idx="965">
                  <c:v>46.714242905449332</c:v>
                </c:pt>
                <c:pt idx="966">
                  <c:v>70.261259654537611</c:v>
                </c:pt>
                <c:pt idx="967">
                  <c:v>70.641050247264843</c:v>
                </c:pt>
                <c:pt idx="968">
                  <c:v>63.804819578174694</c:v>
                </c:pt>
                <c:pt idx="969">
                  <c:v>97.98597292362544</c:v>
                </c:pt>
                <c:pt idx="970">
                  <c:v>79.756024472718366</c:v>
                </c:pt>
                <c:pt idx="971">
                  <c:v>118.11487433816865</c:v>
                </c:pt>
                <c:pt idx="972">
                  <c:v>189.89529636361519</c:v>
                </c:pt>
                <c:pt idx="973">
                  <c:v>152.67581827634658</c:v>
                </c:pt>
                <c:pt idx="974">
                  <c:v>175.46325383998041</c:v>
                </c:pt>
                <c:pt idx="975">
                  <c:v>275.34817972724198</c:v>
                </c:pt>
                <c:pt idx="976">
                  <c:v>220.27854378179356</c:v>
                </c:pt>
                <c:pt idx="977">
                  <c:v>474.73824090903793</c:v>
                </c:pt>
                <c:pt idx="978">
                  <c:v>205.08692007270437</c:v>
                </c:pt>
                <c:pt idx="979">
                  <c:v>91.149742254535269</c:v>
                </c:pt>
                <c:pt idx="980">
                  <c:v>72.160212618173773</c:v>
                </c:pt>
                <c:pt idx="981">
                  <c:v>5677.8693612720936</c:v>
                </c:pt>
                <c:pt idx="982">
                  <c:v>3972.6095999268291</c:v>
                </c:pt>
                <c:pt idx="983">
                  <c:v>748.18746767264383</c:v>
                </c:pt>
                <c:pt idx="984">
                  <c:v>125.33089559998602</c:v>
                </c:pt>
                <c:pt idx="985">
                  <c:v>39.049378215863406</c:v>
                </c:pt>
                <c:pt idx="986">
                  <c:v>8.9492474213543733</c:v>
                </c:pt>
                <c:pt idx="987">
                  <c:v>23.253542200162691</c:v>
                </c:pt>
                <c:pt idx="988">
                  <c:v>36.604907855400874</c:v>
                </c:pt>
                <c:pt idx="989">
                  <c:v>48.071131114011159</c:v>
                </c:pt>
                <c:pt idx="990">
                  <c:v>57.766149153811739</c:v>
                </c:pt>
                <c:pt idx="991">
                  <c:v>65.979983881976111</c:v>
                </c:pt>
                <c:pt idx="992">
                  <c:v>39.078136200716841</c:v>
                </c:pt>
                <c:pt idx="993">
                  <c:v>56.968588909084552</c:v>
                </c:pt>
                <c:pt idx="994">
                  <c:v>1572.3330538907335</c:v>
                </c:pt>
                <c:pt idx="995">
                  <c:v>394.63695226111298</c:v>
                </c:pt>
                <c:pt idx="996">
                  <c:v>129.47406570246488</c:v>
                </c:pt>
                <c:pt idx="997">
                  <c:v>89.078157203295845</c:v>
                </c:pt>
                <c:pt idx="998">
                  <c:v>53.861211332225395</c:v>
                </c:pt>
                <c:pt idx="999">
                  <c:v>43.503286076028203</c:v>
                </c:pt>
                <c:pt idx="1000">
                  <c:v>95.292912357014146</c:v>
                </c:pt>
                <c:pt idx="1001">
                  <c:v>82.86340204957753</c:v>
                </c:pt>
                <c:pt idx="1002">
                  <c:v>362.52738396690165</c:v>
                </c:pt>
                <c:pt idx="1003">
                  <c:v>105.65083761321135</c:v>
                </c:pt>
                <c:pt idx="1004">
                  <c:v>45.574871127267635</c:v>
                </c:pt>
                <c:pt idx="1005">
                  <c:v>108.7582151900705</c:v>
                </c:pt>
                <c:pt idx="1006">
                  <c:v>570.72168161646528</c:v>
                </c:pt>
                <c:pt idx="1007">
                  <c:v>5282.5418806605676</c:v>
                </c:pt>
                <c:pt idx="1008">
                  <c:v>50.08263828046384</c:v>
                </c:pt>
                <c:pt idx="1009">
                  <c:v>160.97990875863374</c:v>
                </c:pt>
                <c:pt idx="1010">
                  <c:v>121.62926439541219</c:v>
                </c:pt>
                <c:pt idx="1011">
                  <c:v>454.32107582992194</c:v>
                </c:pt>
                <c:pt idx="1012">
                  <c:v>71.546626114948339</c:v>
                </c:pt>
                <c:pt idx="1013">
                  <c:v>64.39196350345351</c:v>
                </c:pt>
                <c:pt idx="1014">
                  <c:v>214.63987834484502</c:v>
                </c:pt>
                <c:pt idx="1015">
                  <c:v>132.3612583126544</c:v>
                </c:pt>
                <c:pt idx="1016">
                  <c:v>500.8263828046384</c:v>
                </c:pt>
                <c:pt idx="1017">
                  <c:v>71.546626114948339</c:v>
                </c:pt>
                <c:pt idx="1018">
                  <c:v>64.39196350345351</c:v>
                </c:pt>
                <c:pt idx="1019">
                  <c:v>218.21720965059242</c:v>
                </c:pt>
                <c:pt idx="1020">
                  <c:v>132.3612583126544</c:v>
                </c:pt>
                <c:pt idx="1021">
                  <c:v>504.40371411038575</c:v>
                </c:pt>
                <c:pt idx="1022">
                  <c:v>75.12395742069576</c:v>
                </c:pt>
                <c:pt idx="1023">
                  <c:v>60.814632197706096</c:v>
                </c:pt>
                <c:pt idx="1024">
                  <c:v>207.48521573335017</c:v>
                </c:pt>
                <c:pt idx="1025">
                  <c:v>128.78392700690702</c:v>
                </c:pt>
                <c:pt idx="1026">
                  <c:v>486.51705758164877</c:v>
                </c:pt>
                <c:pt idx="1027">
                  <c:v>71.546626114948339</c:v>
                </c:pt>
                <c:pt idx="1028">
                  <c:v>25.04131914023192</c:v>
                </c:pt>
                <c:pt idx="1029">
                  <c:v>78.701288726443181</c:v>
                </c:pt>
                <c:pt idx="1030">
                  <c:v>64.39196350345351</c:v>
                </c:pt>
                <c:pt idx="1031">
                  <c:v>232.52653487358211</c:v>
                </c:pt>
                <c:pt idx="1032">
                  <c:v>39.350644363221591</c:v>
                </c:pt>
                <c:pt idx="1033">
                  <c:v>60.814632197706096</c:v>
                </c:pt>
                <c:pt idx="1034">
                  <c:v>178.86656528737086</c:v>
                </c:pt>
                <c:pt idx="1035">
                  <c:v>143.09325222989668</c:v>
                </c:pt>
                <c:pt idx="1036">
                  <c:v>490.09438888739612</c:v>
                </c:pt>
                <c:pt idx="1037">
                  <c:v>89.43328264368543</c:v>
                </c:pt>
                <c:pt idx="1038">
                  <c:v>21.463987834484502</c:v>
                </c:pt>
                <c:pt idx="1039">
                  <c:v>71.546626114948339</c:v>
                </c:pt>
                <c:pt idx="1040">
                  <c:v>53.659969586211254</c:v>
                </c:pt>
                <c:pt idx="1041">
                  <c:v>225.37187226208727</c:v>
                </c:pt>
                <c:pt idx="1042">
                  <c:v>39.350644363221591</c:v>
                </c:pt>
                <c:pt idx="1043">
                  <c:v>36.839687494541337</c:v>
                </c:pt>
                <c:pt idx="1044">
                  <c:v>56.968588909084552</c:v>
                </c:pt>
                <c:pt idx="1045">
                  <c:v>60.766494836356841</c:v>
                </c:pt>
                <c:pt idx="1046">
                  <c:v>417.76965199995334</c:v>
                </c:pt>
                <c:pt idx="1047">
                  <c:v>94.947648181807594</c:v>
                </c:pt>
                <c:pt idx="1048">
                  <c:v>47.130441284746432</c:v>
                </c:pt>
                <c:pt idx="1049">
                  <c:v>64.076217926453026</c:v>
                </c:pt>
                <c:pt idx="1050">
                  <c:v>43.423552644373117</c:v>
                </c:pt>
                <c:pt idx="1051">
                  <c:v>66.723995526719676</c:v>
                </c:pt>
                <c:pt idx="1052">
                  <c:v>52.161218725253079</c:v>
                </c:pt>
                <c:pt idx="1053">
                  <c:v>53.643974181402399</c:v>
                </c:pt>
                <c:pt idx="1054">
                  <c:v>33.361997763359838</c:v>
                </c:pt>
                <c:pt idx="1055">
                  <c:v>75.726439367626284</c:v>
                </c:pt>
                <c:pt idx="1056">
                  <c:v>18.534443201866573</c:v>
                </c:pt>
                <c:pt idx="1057">
                  <c:v>64.076217926453026</c:v>
                </c:pt>
                <c:pt idx="1058">
                  <c:v>27.00733152271987</c:v>
                </c:pt>
                <c:pt idx="1059">
                  <c:v>150.39376769514593</c:v>
                </c:pt>
                <c:pt idx="1060">
                  <c:v>29.655109122986524</c:v>
                </c:pt>
                <c:pt idx="1061">
                  <c:v>104.85199297055946</c:v>
                </c:pt>
                <c:pt idx="1062">
                  <c:v>5736.8514672444171</c:v>
                </c:pt>
                <c:pt idx="1063">
                  <c:v>750.20365340888532</c:v>
                </c:pt>
                <c:pt idx="1064">
                  <c:v>92.672216009332885</c:v>
                </c:pt>
                <c:pt idx="1065">
                  <c:v>33.538516270044276</c:v>
                </c:pt>
                <c:pt idx="1066">
                  <c:v>485.42589338221984</c:v>
                </c:pt>
                <c:pt idx="1067">
                  <c:v>158.86665601599921</c:v>
                </c:pt>
                <c:pt idx="1068">
                  <c:v>48.542589338221987</c:v>
                </c:pt>
                <c:pt idx="1069">
                  <c:v>22.506109602266559</c:v>
                </c:pt>
                <c:pt idx="1070">
                  <c:v>136.80184268044377</c:v>
                </c:pt>
                <c:pt idx="1071">
                  <c:v>70.607402673777415</c:v>
                </c:pt>
                <c:pt idx="1072">
                  <c:v>30.008146136355411</c:v>
                </c:pt>
                <c:pt idx="1073">
                  <c:v>16.327961868311032</c:v>
                </c:pt>
                <c:pt idx="1074">
                  <c:v>66.194440006666341</c:v>
                </c:pt>
                <c:pt idx="1075">
                  <c:v>41.481849070844241</c:v>
                </c:pt>
                <c:pt idx="1076">
                  <c:v>20.740924535422121</c:v>
                </c:pt>
                <c:pt idx="1077">
                  <c:v>12.35629546791105</c:v>
                </c:pt>
                <c:pt idx="1078">
                  <c:v>77.872023894622671</c:v>
                </c:pt>
                <c:pt idx="1079">
                  <c:v>77.385323745281283</c:v>
                </c:pt>
                <c:pt idx="1080">
                  <c:v>92.473028374864427</c:v>
                </c:pt>
                <c:pt idx="1081">
                  <c:v>103.66713180971644</c:v>
                </c:pt>
                <c:pt idx="1082">
                  <c:v>95.879929420254157</c:v>
                </c:pt>
                <c:pt idx="1083">
                  <c:v>153.31054704253839</c:v>
                </c:pt>
                <c:pt idx="1084">
                  <c:v>1537.9724719187977</c:v>
                </c:pt>
                <c:pt idx="1085">
                  <c:v>236.04957243057498</c:v>
                </c:pt>
                <c:pt idx="1086">
                  <c:v>107.56073300444758</c:v>
                </c:pt>
                <c:pt idx="1087">
                  <c:v>63.271019414380916</c:v>
                </c:pt>
                <c:pt idx="1088">
                  <c:v>44.207624993449606</c:v>
                </c:pt>
                <c:pt idx="1089">
                  <c:v>41.545638202606931</c:v>
                </c:pt>
                <c:pt idx="1090">
                  <c:v>143.15688496590138</c:v>
                </c:pt>
                <c:pt idx="1091">
                  <c:v>298.670774762446</c:v>
                </c:pt>
                <c:pt idx="1092">
                  <c:v>101.37301448240191</c:v>
                </c:pt>
                <c:pt idx="1093">
                  <c:v>129.32905474887812</c:v>
                </c:pt>
                <c:pt idx="1094">
                  <c:v>9065.256184223781</c:v>
                </c:pt>
                <c:pt idx="1095">
                  <c:v>970.5375965056769</c:v>
                </c:pt>
                <c:pt idx="1096">
                  <c:v>162.6194265222959</c:v>
                </c:pt>
                <c:pt idx="1097">
                  <c:v>78.720231947098654</c:v>
                </c:pt>
                <c:pt idx="1098">
                  <c:v>1351.7092459337332</c:v>
                </c:pt>
                <c:pt idx="1099">
                  <c:v>213.37326027766213</c:v>
                </c:pt>
                <c:pt idx="1100">
                  <c:v>77.684439421478942</c:v>
                </c:pt>
                <c:pt idx="1101">
                  <c:v>31.07377576859157</c:v>
                </c:pt>
                <c:pt idx="1102">
                  <c:v>641.15557335860603</c:v>
                </c:pt>
                <c:pt idx="1103">
                  <c:v>123.25931054874657</c:v>
                </c:pt>
                <c:pt idx="1104">
                  <c:v>49.718041229746518</c:v>
                </c:pt>
                <c:pt idx="1105">
                  <c:v>22.787435563633817</c:v>
                </c:pt>
                <c:pt idx="1106">
                  <c:v>130.5098582280846</c:v>
                </c:pt>
                <c:pt idx="1107">
                  <c:v>38.324323447929608</c:v>
                </c:pt>
                <c:pt idx="1108">
                  <c:v>19.680057986774663</c:v>
                </c:pt>
                <c:pt idx="1109">
                  <c:v>10.357925256197191</c:v>
                </c:pt>
                <c:pt idx="1110">
                  <c:v>20.715850512394383</c:v>
                </c:pt>
                <c:pt idx="1111">
                  <c:v>42.467493550408477</c:v>
                </c:pt>
                <c:pt idx="1112">
                  <c:v>85.970779626436681</c:v>
                </c:pt>
                <c:pt idx="1113">
                  <c:v>138.79619843304235</c:v>
                </c:pt>
                <c:pt idx="1114">
                  <c:v>37.979059272723035</c:v>
                </c:pt>
                <c:pt idx="1115">
                  <c:v>51.271730018176093</c:v>
                </c:pt>
                <c:pt idx="1116">
                  <c:v>53.170682981812249</c:v>
                </c:pt>
                <c:pt idx="1117">
                  <c:v>62.665447799993011</c:v>
                </c:pt>
                <c:pt idx="1118">
                  <c:v>56.968588909084552</c:v>
                </c:pt>
                <c:pt idx="1119">
                  <c:v>53.170682981812249</c:v>
                </c:pt>
                <c:pt idx="1120">
                  <c:v>45.574871127267635</c:v>
                </c:pt>
                <c:pt idx="1121">
                  <c:v>45.574871127267635</c:v>
                </c:pt>
                <c:pt idx="1122">
                  <c:v>30.567785942451401</c:v>
                </c:pt>
                <c:pt idx="1123">
                  <c:v>32.159303245521834</c:v>
                </c:pt>
                <c:pt idx="1124">
                  <c:v>36.03790474920428</c:v>
                </c:pt>
                <c:pt idx="1125">
                  <c:v>45.03305091810256</c:v>
                </c:pt>
                <c:pt idx="1126">
                  <c:v>64.106427612455406</c:v>
                </c:pt>
                <c:pt idx="1127">
                  <c:v>93.482126523244034</c:v>
                </c:pt>
                <c:pt idx="1128">
                  <c:v>295.90626443171953</c:v>
                </c:pt>
                <c:pt idx="1129">
                  <c:v>73.633775992432902</c:v>
                </c:pt>
                <c:pt idx="1130">
                  <c:v>74.620195069784401</c:v>
                </c:pt>
                <c:pt idx="1131">
                  <c:v>94.824423931068154</c:v>
                </c:pt>
                <c:pt idx="1132">
                  <c:v>145.16745498291255</c:v>
                </c:pt>
                <c:pt idx="1133">
                  <c:v>197.82786155225671</c:v>
                </c:pt>
                <c:pt idx="1134">
                  <c:v>333.13945021069708</c:v>
                </c:pt>
                <c:pt idx="1135">
                  <c:v>0.51596967628142287</c:v>
                </c:pt>
                <c:pt idx="1136">
                  <c:v>0.74594453898196278</c:v>
                </c:pt>
                <c:pt idx="1137">
                  <c:v>1.85188437004198</c:v>
                </c:pt>
                <c:pt idx="1138">
                  <c:v>9.856368625662542</c:v>
                </c:pt>
                <c:pt idx="1139">
                  <c:v>84.789971164778507</c:v>
                </c:pt>
                <c:pt idx="1140">
                  <c:v>237.91468314653727</c:v>
                </c:pt>
                <c:pt idx="1141">
                  <c:v>75.16215332823262</c:v>
                </c:pt>
                <c:pt idx="1142">
                  <c:v>0.48240335387164857</c:v>
                </c:pt>
                <c:pt idx="1143">
                  <c:v>69.698007646878764</c:v>
                </c:pt>
                <c:pt idx="1144">
                  <c:v>67.156113051478158</c:v>
                </c:pt>
                <c:pt idx="1145">
                  <c:v>70.505105565856326</c:v>
                </c:pt>
                <c:pt idx="1146">
                  <c:v>140.68551656660674</c:v>
                </c:pt>
                <c:pt idx="1147">
                  <c:v>73.464464602107398</c:v>
                </c:pt>
                <c:pt idx="1148">
                  <c:v>39.427197191432818</c:v>
                </c:pt>
                <c:pt idx="1149">
                  <c:v>116.40344499579349</c:v>
                </c:pt>
                <c:pt idx="1150">
                  <c:v>94.382824817924146</c:v>
                </c:pt>
                <c:pt idx="1151">
                  <c:v>77.011002233160355</c:v>
                </c:pt>
                <c:pt idx="1152">
                  <c:v>63.309283011374873</c:v>
                </c:pt>
                <c:pt idx="1153">
                  <c:v>52.054299364908239</c:v>
                </c:pt>
                <c:pt idx="1154">
                  <c:v>43.490724851292249</c:v>
                </c:pt>
                <c:pt idx="1155">
                  <c:v>36.639865240399509</c:v>
                </c:pt>
                <c:pt idx="1156">
                  <c:v>30.767699859634373</c:v>
                </c:pt>
                <c:pt idx="1157">
                  <c:v>26.608249381592287</c:v>
                </c:pt>
                <c:pt idx="1158">
                  <c:v>22.693472461082123</c:v>
                </c:pt>
                <c:pt idx="1159">
                  <c:v>19.757389770699554</c:v>
                </c:pt>
                <c:pt idx="1160">
                  <c:v>17.55532775291265</c:v>
                </c:pt>
                <c:pt idx="1161">
                  <c:v>15.353265735125644</c:v>
                </c:pt>
                <c:pt idx="1162">
                  <c:v>13.640550832402486</c:v>
                </c:pt>
                <c:pt idx="1163">
                  <c:v>12.172509487211151</c:v>
                </c:pt>
                <c:pt idx="1164">
                  <c:v>10.704468142019817</c:v>
                </c:pt>
                <c:pt idx="1165">
                  <c:v>9.4811003543604908</c:v>
                </c:pt>
                <c:pt idx="1166">
                  <c:v>8.9917532392967257</c:v>
                </c:pt>
                <c:pt idx="1167">
                  <c:v>8.0130590091691865</c:v>
                </c:pt>
                <c:pt idx="1168">
                  <c:v>7.2790383365735183</c:v>
                </c:pt>
                <c:pt idx="1169">
                  <c:v>6.7896912215097531</c:v>
                </c:pt>
                <c:pt idx="1170">
                  <c:v>71.383510409927027</c:v>
                </c:pt>
                <c:pt idx="1171">
                  <c:v>56.947770515545891</c:v>
                </c:pt>
                <c:pt idx="1172">
                  <c:v>46.182133984142993</c:v>
                </c:pt>
                <c:pt idx="1173">
                  <c:v>38.107906585590854</c:v>
                </c:pt>
                <c:pt idx="1174">
                  <c:v>31.746394089761857</c:v>
                </c:pt>
                <c:pt idx="1175">
                  <c:v>26.363575824060462</c:v>
                </c:pt>
                <c:pt idx="1176">
                  <c:v>22.448798903550298</c:v>
                </c:pt>
                <c:pt idx="1177">
                  <c:v>19.757389770699554</c:v>
                </c:pt>
                <c:pt idx="1178">
                  <c:v>17.065980637848803</c:v>
                </c:pt>
                <c:pt idx="1179">
                  <c:v>14.619245062529977</c:v>
                </c:pt>
                <c:pt idx="1180">
                  <c:v>12.661856602274899</c:v>
                </c:pt>
                <c:pt idx="1181">
                  <c:v>11.683162372147406</c:v>
                </c:pt>
                <c:pt idx="1182">
                  <c:v>10.459794584487993</c:v>
                </c:pt>
                <c:pt idx="1183">
                  <c:v>9.4811003543604908</c:v>
                </c:pt>
                <c:pt idx="1184">
                  <c:v>8.5024061242329516</c:v>
                </c:pt>
                <c:pt idx="1185">
                  <c:v>7.5237118941054213</c:v>
                </c:pt>
                <c:pt idx="1186">
                  <c:v>7.2790383365735183</c:v>
                </c:pt>
                <c:pt idx="1187">
                  <c:v>6.300344106445988</c:v>
                </c:pt>
                <c:pt idx="1188">
                  <c:v>5.8109969913822228</c:v>
                </c:pt>
                <c:pt idx="1189">
                  <c:v>5.0769763187865742</c:v>
                </c:pt>
                <c:pt idx="1190">
                  <c:v>5.3216498763184479</c:v>
                </c:pt>
                <c:pt idx="1191">
                  <c:v>25.629555151464793</c:v>
                </c:pt>
                <c:pt idx="1192">
                  <c:v>22.693472461082123</c:v>
                </c:pt>
                <c:pt idx="1193">
                  <c:v>19.512716213167728</c:v>
                </c:pt>
                <c:pt idx="1194">
                  <c:v>17.310654195380728</c:v>
                </c:pt>
                <c:pt idx="1195">
                  <c:v>15.597939292657568</c:v>
                </c:pt>
                <c:pt idx="1196">
                  <c:v>13.885224389934312</c:v>
                </c:pt>
                <c:pt idx="1197">
                  <c:v>12.172509487211151</c:v>
                </c:pt>
                <c:pt idx="1198">
                  <c:v>11.193815257083662</c:v>
                </c:pt>
                <c:pt idx="1199">
                  <c:v>9.9704474694242471</c:v>
                </c:pt>
                <c:pt idx="1200">
                  <c:v>8.9917532392967257</c:v>
                </c:pt>
                <c:pt idx="1201">
                  <c:v>8.0130590091691865</c:v>
                </c:pt>
                <c:pt idx="1202">
                  <c:v>7.7683854516372834</c:v>
                </c:pt>
                <c:pt idx="1203">
                  <c:v>7.0343647790416552</c:v>
                </c:pt>
                <c:pt idx="1204">
                  <c:v>6.300344106445988</c:v>
                </c:pt>
                <c:pt idx="1205">
                  <c:v>6.0556705489141054</c:v>
                </c:pt>
                <c:pt idx="1206">
                  <c:v>5.5663234338503393</c:v>
                </c:pt>
                <c:pt idx="1207">
                  <c:v>5.0769763187865742</c:v>
                </c:pt>
                <c:pt idx="1208">
                  <c:v>4.587629203722809</c:v>
                </c:pt>
                <c:pt idx="1209">
                  <c:v>4.0982820886590243</c:v>
                </c:pt>
                <c:pt idx="1210">
                  <c:v>3.853608531127152</c:v>
                </c:pt>
                <c:pt idx="1211">
                  <c:v>3.853608531127152</c:v>
                </c:pt>
                <c:pt idx="1212">
                  <c:v>3.1344604034599923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569472"/>
        <c:axId val="406569864"/>
      </c:scatterChart>
      <c:valAx>
        <c:axId val="406569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Nominal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06569864"/>
        <c:crosses val="autoZero"/>
        <c:crossBetween val="midCat"/>
      </c:valAx>
      <c:valAx>
        <c:axId val="4065698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Real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0656947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Times New Roman" pitchFamily="18" charset="0"/>
          <a:cs typeface="Times New Roman" pitchFamily="18" charset="0"/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83256351012545"/>
          <c:y val="2.8653896081404156E-2"/>
          <c:w val="0.83964761877660699"/>
          <c:h val="0.92049552777413213"/>
        </c:manualLayout>
      </c:layout>
      <c:scatterChart>
        <c:scatterStyle val="lineMarker"/>
        <c:varyColors val="0"/>
        <c:ser>
          <c:idx val="2"/>
          <c:order val="0"/>
          <c:tx>
            <c:v>Estimate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Data!$E$6:$E$1216</c:f>
              <c:numCache>
                <c:formatCode>0</c:formatCode>
                <c:ptCount val="1211"/>
                <c:pt idx="0">
                  <c:v>1991</c:v>
                </c:pt>
                <c:pt idx="1">
                  <c:v>1991</c:v>
                </c:pt>
                <c:pt idx="2">
                  <c:v>1991</c:v>
                </c:pt>
                <c:pt idx="3">
                  <c:v>1991</c:v>
                </c:pt>
                <c:pt idx="4">
                  <c:v>1991</c:v>
                </c:pt>
                <c:pt idx="5">
                  <c:v>1991</c:v>
                </c:pt>
                <c:pt idx="6">
                  <c:v>1991</c:v>
                </c:pt>
                <c:pt idx="7">
                  <c:v>1991</c:v>
                </c:pt>
                <c:pt idx="8">
                  <c:v>1991</c:v>
                </c:pt>
                <c:pt idx="9">
                  <c:v>1991</c:v>
                </c:pt>
                <c:pt idx="10">
                  <c:v>1992</c:v>
                </c:pt>
                <c:pt idx="11">
                  <c:v>1992</c:v>
                </c:pt>
                <c:pt idx="12">
                  <c:v>1997</c:v>
                </c:pt>
                <c:pt idx="13">
                  <c:v>1992</c:v>
                </c:pt>
                <c:pt idx="14">
                  <c:v>1993</c:v>
                </c:pt>
                <c:pt idx="15">
                  <c:v>1993</c:v>
                </c:pt>
                <c:pt idx="16">
                  <c:v>1993</c:v>
                </c:pt>
                <c:pt idx="17">
                  <c:v>1992</c:v>
                </c:pt>
                <c:pt idx="18">
                  <c:v>1993</c:v>
                </c:pt>
                <c:pt idx="19">
                  <c:v>1993</c:v>
                </c:pt>
                <c:pt idx="20">
                  <c:v>1993</c:v>
                </c:pt>
                <c:pt idx="21">
                  <c:v>1993</c:v>
                </c:pt>
                <c:pt idx="22">
                  <c:v>1993</c:v>
                </c:pt>
                <c:pt idx="23">
                  <c:v>1993</c:v>
                </c:pt>
                <c:pt idx="24">
                  <c:v>1993</c:v>
                </c:pt>
                <c:pt idx="25">
                  <c:v>1993</c:v>
                </c:pt>
                <c:pt idx="26">
                  <c:v>1993</c:v>
                </c:pt>
                <c:pt idx="27">
                  <c:v>1993</c:v>
                </c:pt>
                <c:pt idx="28">
                  <c:v>1993</c:v>
                </c:pt>
                <c:pt idx="29">
                  <c:v>1993</c:v>
                </c:pt>
                <c:pt idx="30">
                  <c:v>1993</c:v>
                </c:pt>
                <c:pt idx="31">
                  <c:v>1993</c:v>
                </c:pt>
                <c:pt idx="32">
                  <c:v>1993</c:v>
                </c:pt>
                <c:pt idx="33">
                  <c:v>1993</c:v>
                </c:pt>
                <c:pt idx="34">
                  <c:v>1993</c:v>
                </c:pt>
                <c:pt idx="35">
                  <c:v>1993</c:v>
                </c:pt>
                <c:pt idx="36">
                  <c:v>1993</c:v>
                </c:pt>
                <c:pt idx="37">
                  <c:v>1993</c:v>
                </c:pt>
                <c:pt idx="38">
                  <c:v>1993</c:v>
                </c:pt>
                <c:pt idx="39">
                  <c:v>1993</c:v>
                </c:pt>
                <c:pt idx="40">
                  <c:v>1993</c:v>
                </c:pt>
                <c:pt idx="41">
                  <c:v>1993</c:v>
                </c:pt>
                <c:pt idx="42">
                  <c:v>1993</c:v>
                </c:pt>
                <c:pt idx="43">
                  <c:v>1993</c:v>
                </c:pt>
                <c:pt idx="44">
                  <c:v>1993</c:v>
                </c:pt>
                <c:pt idx="45">
                  <c:v>1993</c:v>
                </c:pt>
                <c:pt idx="46">
                  <c:v>1993</c:v>
                </c:pt>
                <c:pt idx="47">
                  <c:v>1993</c:v>
                </c:pt>
                <c:pt idx="48">
                  <c:v>1993</c:v>
                </c:pt>
                <c:pt idx="49">
                  <c:v>1993</c:v>
                </c:pt>
                <c:pt idx="50">
                  <c:v>1993</c:v>
                </c:pt>
                <c:pt idx="51">
                  <c:v>1993</c:v>
                </c:pt>
                <c:pt idx="52">
                  <c:v>1993</c:v>
                </c:pt>
                <c:pt idx="53">
                  <c:v>1993</c:v>
                </c:pt>
                <c:pt idx="54">
                  <c:v>1993</c:v>
                </c:pt>
                <c:pt idx="55">
                  <c:v>1993</c:v>
                </c:pt>
                <c:pt idx="56">
                  <c:v>1993</c:v>
                </c:pt>
                <c:pt idx="57">
                  <c:v>1993</c:v>
                </c:pt>
                <c:pt idx="58">
                  <c:v>1993</c:v>
                </c:pt>
                <c:pt idx="59">
                  <c:v>1993</c:v>
                </c:pt>
                <c:pt idx="60">
                  <c:v>1993</c:v>
                </c:pt>
                <c:pt idx="61">
                  <c:v>1993</c:v>
                </c:pt>
                <c:pt idx="62">
                  <c:v>1993</c:v>
                </c:pt>
                <c:pt idx="63">
                  <c:v>1993</c:v>
                </c:pt>
                <c:pt idx="64">
                  <c:v>1993</c:v>
                </c:pt>
                <c:pt idx="65">
                  <c:v>1993</c:v>
                </c:pt>
                <c:pt idx="66">
                  <c:v>1993</c:v>
                </c:pt>
                <c:pt idx="67">
                  <c:v>1993</c:v>
                </c:pt>
                <c:pt idx="68">
                  <c:v>1993</c:v>
                </c:pt>
                <c:pt idx="69">
                  <c:v>1993</c:v>
                </c:pt>
                <c:pt idx="70">
                  <c:v>1993</c:v>
                </c:pt>
                <c:pt idx="71">
                  <c:v>1993</c:v>
                </c:pt>
                <c:pt idx="72">
                  <c:v>1993</c:v>
                </c:pt>
                <c:pt idx="73">
                  <c:v>1993</c:v>
                </c:pt>
                <c:pt idx="74">
                  <c:v>1993</c:v>
                </c:pt>
                <c:pt idx="75">
                  <c:v>1993</c:v>
                </c:pt>
                <c:pt idx="76">
                  <c:v>1993</c:v>
                </c:pt>
                <c:pt idx="77">
                  <c:v>1993</c:v>
                </c:pt>
                <c:pt idx="78">
                  <c:v>1993</c:v>
                </c:pt>
                <c:pt idx="79">
                  <c:v>1993</c:v>
                </c:pt>
                <c:pt idx="80">
                  <c:v>1993</c:v>
                </c:pt>
                <c:pt idx="81">
                  <c:v>1993</c:v>
                </c:pt>
                <c:pt idx="82">
                  <c:v>1993</c:v>
                </c:pt>
                <c:pt idx="83">
                  <c:v>1993</c:v>
                </c:pt>
                <c:pt idx="84">
                  <c:v>1993</c:v>
                </c:pt>
                <c:pt idx="85">
                  <c:v>1993</c:v>
                </c:pt>
                <c:pt idx="86">
                  <c:v>1993</c:v>
                </c:pt>
                <c:pt idx="87">
                  <c:v>1993</c:v>
                </c:pt>
                <c:pt idx="88">
                  <c:v>1993</c:v>
                </c:pt>
                <c:pt idx="89">
                  <c:v>1993</c:v>
                </c:pt>
                <c:pt idx="90">
                  <c:v>1993</c:v>
                </c:pt>
                <c:pt idx="91">
                  <c:v>1993</c:v>
                </c:pt>
                <c:pt idx="92">
                  <c:v>1993</c:v>
                </c:pt>
                <c:pt idx="93">
                  <c:v>1993</c:v>
                </c:pt>
                <c:pt idx="94">
                  <c:v>1993</c:v>
                </c:pt>
                <c:pt idx="95">
                  <c:v>1993</c:v>
                </c:pt>
                <c:pt idx="96">
                  <c:v>1993</c:v>
                </c:pt>
                <c:pt idx="97">
                  <c:v>1993</c:v>
                </c:pt>
                <c:pt idx="98">
                  <c:v>1993</c:v>
                </c:pt>
                <c:pt idx="99">
                  <c:v>1993</c:v>
                </c:pt>
                <c:pt idx="100">
                  <c:v>1993</c:v>
                </c:pt>
                <c:pt idx="101">
                  <c:v>1993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1993</c:v>
                </c:pt>
                <c:pt idx="106">
                  <c:v>1993</c:v>
                </c:pt>
                <c:pt idx="107">
                  <c:v>1993</c:v>
                </c:pt>
                <c:pt idx="108">
                  <c:v>1993</c:v>
                </c:pt>
                <c:pt idx="109">
                  <c:v>1993</c:v>
                </c:pt>
                <c:pt idx="110">
                  <c:v>1993</c:v>
                </c:pt>
                <c:pt idx="111">
                  <c:v>1993</c:v>
                </c:pt>
                <c:pt idx="112">
                  <c:v>1993</c:v>
                </c:pt>
                <c:pt idx="113">
                  <c:v>1993</c:v>
                </c:pt>
                <c:pt idx="114">
                  <c:v>1994</c:v>
                </c:pt>
                <c:pt idx="115">
                  <c:v>1994</c:v>
                </c:pt>
                <c:pt idx="116">
                  <c:v>1994</c:v>
                </c:pt>
                <c:pt idx="117">
                  <c:v>1994</c:v>
                </c:pt>
                <c:pt idx="118">
                  <c:v>1994</c:v>
                </c:pt>
                <c:pt idx="119">
                  <c:v>1995</c:v>
                </c:pt>
                <c:pt idx="120">
                  <c:v>1996</c:v>
                </c:pt>
                <c:pt idx="121">
                  <c:v>1996</c:v>
                </c:pt>
                <c:pt idx="122">
                  <c:v>1996</c:v>
                </c:pt>
                <c:pt idx="123">
                  <c:v>1996</c:v>
                </c:pt>
                <c:pt idx="124">
                  <c:v>1996</c:v>
                </c:pt>
                <c:pt idx="125">
                  <c:v>1996</c:v>
                </c:pt>
                <c:pt idx="126">
                  <c:v>1996</c:v>
                </c:pt>
                <c:pt idx="127">
                  <c:v>1996</c:v>
                </c:pt>
                <c:pt idx="128">
                  <c:v>1995</c:v>
                </c:pt>
                <c:pt idx="129">
                  <c:v>1995</c:v>
                </c:pt>
                <c:pt idx="130">
                  <c:v>1996</c:v>
                </c:pt>
                <c:pt idx="131">
                  <c:v>1996</c:v>
                </c:pt>
                <c:pt idx="132">
                  <c:v>1996</c:v>
                </c:pt>
                <c:pt idx="133">
                  <c:v>1996</c:v>
                </c:pt>
                <c:pt idx="134">
                  <c:v>1996</c:v>
                </c:pt>
                <c:pt idx="135">
                  <c:v>1996</c:v>
                </c:pt>
                <c:pt idx="136">
                  <c:v>1996</c:v>
                </c:pt>
                <c:pt idx="137">
                  <c:v>1996</c:v>
                </c:pt>
                <c:pt idx="138">
                  <c:v>1996</c:v>
                </c:pt>
                <c:pt idx="139">
                  <c:v>1996</c:v>
                </c:pt>
                <c:pt idx="140">
                  <c:v>1996</c:v>
                </c:pt>
                <c:pt idx="141">
                  <c:v>1996</c:v>
                </c:pt>
                <c:pt idx="142">
                  <c:v>1996</c:v>
                </c:pt>
                <c:pt idx="143">
                  <c:v>1996</c:v>
                </c:pt>
                <c:pt idx="144">
                  <c:v>1996</c:v>
                </c:pt>
                <c:pt idx="145">
                  <c:v>1996</c:v>
                </c:pt>
                <c:pt idx="146">
                  <c:v>1996</c:v>
                </c:pt>
                <c:pt idx="147">
                  <c:v>1996</c:v>
                </c:pt>
                <c:pt idx="148">
                  <c:v>1996</c:v>
                </c:pt>
                <c:pt idx="149">
                  <c:v>1996</c:v>
                </c:pt>
                <c:pt idx="150">
                  <c:v>1996</c:v>
                </c:pt>
                <c:pt idx="151">
                  <c:v>1996</c:v>
                </c:pt>
                <c:pt idx="152">
                  <c:v>1996</c:v>
                </c:pt>
                <c:pt idx="153">
                  <c:v>1996</c:v>
                </c:pt>
                <c:pt idx="154">
                  <c:v>1996</c:v>
                </c:pt>
                <c:pt idx="155">
                  <c:v>1996</c:v>
                </c:pt>
                <c:pt idx="156">
                  <c:v>1997</c:v>
                </c:pt>
                <c:pt idx="157">
                  <c:v>1997</c:v>
                </c:pt>
                <c:pt idx="158">
                  <c:v>1999</c:v>
                </c:pt>
                <c:pt idx="159">
                  <c:v>1999</c:v>
                </c:pt>
                <c:pt idx="160">
                  <c:v>1999</c:v>
                </c:pt>
                <c:pt idx="161">
                  <c:v>1999</c:v>
                </c:pt>
                <c:pt idx="162">
                  <c:v>1999</c:v>
                </c:pt>
                <c:pt idx="163">
                  <c:v>1999</c:v>
                </c:pt>
                <c:pt idx="164">
                  <c:v>1999</c:v>
                </c:pt>
                <c:pt idx="165">
                  <c:v>1999</c:v>
                </c:pt>
                <c:pt idx="166">
                  <c:v>1999</c:v>
                </c:pt>
                <c:pt idx="167">
                  <c:v>1999</c:v>
                </c:pt>
                <c:pt idx="168">
                  <c:v>1999</c:v>
                </c:pt>
                <c:pt idx="169">
                  <c:v>1999</c:v>
                </c:pt>
                <c:pt idx="170">
                  <c:v>1999</c:v>
                </c:pt>
                <c:pt idx="171">
                  <c:v>1999</c:v>
                </c:pt>
                <c:pt idx="172">
                  <c:v>1999</c:v>
                </c:pt>
                <c:pt idx="173">
                  <c:v>1999</c:v>
                </c:pt>
                <c:pt idx="174">
                  <c:v>1999</c:v>
                </c:pt>
                <c:pt idx="175">
                  <c:v>1999</c:v>
                </c:pt>
                <c:pt idx="176">
                  <c:v>1999</c:v>
                </c:pt>
                <c:pt idx="177">
                  <c:v>1999</c:v>
                </c:pt>
                <c:pt idx="178">
                  <c:v>1999</c:v>
                </c:pt>
                <c:pt idx="179">
                  <c:v>1999</c:v>
                </c:pt>
                <c:pt idx="180">
                  <c:v>1999</c:v>
                </c:pt>
                <c:pt idx="181">
                  <c:v>1999</c:v>
                </c:pt>
                <c:pt idx="182">
                  <c:v>1999</c:v>
                </c:pt>
                <c:pt idx="183">
                  <c:v>1999</c:v>
                </c:pt>
                <c:pt idx="184">
                  <c:v>1999</c:v>
                </c:pt>
                <c:pt idx="185">
                  <c:v>1999</c:v>
                </c:pt>
                <c:pt idx="186">
                  <c:v>1999</c:v>
                </c:pt>
                <c:pt idx="187">
                  <c:v>1999</c:v>
                </c:pt>
                <c:pt idx="188">
                  <c:v>1999</c:v>
                </c:pt>
                <c:pt idx="189">
                  <c:v>1999</c:v>
                </c:pt>
                <c:pt idx="190">
                  <c:v>1999</c:v>
                </c:pt>
                <c:pt idx="191">
                  <c:v>1999</c:v>
                </c:pt>
                <c:pt idx="192">
                  <c:v>1999</c:v>
                </c:pt>
                <c:pt idx="193">
                  <c:v>2000</c:v>
                </c:pt>
                <c:pt idx="194">
                  <c:v>2001</c:v>
                </c:pt>
                <c:pt idx="195">
                  <c:v>2001</c:v>
                </c:pt>
                <c:pt idx="196">
                  <c:v>2001</c:v>
                </c:pt>
                <c:pt idx="197">
                  <c:v>2001</c:v>
                </c:pt>
                <c:pt idx="198">
                  <c:v>2002</c:v>
                </c:pt>
                <c:pt idx="199">
                  <c:v>2005</c:v>
                </c:pt>
                <c:pt idx="200">
                  <c:v>2005</c:v>
                </c:pt>
                <c:pt idx="201">
                  <c:v>2005</c:v>
                </c:pt>
                <c:pt idx="202">
                  <c:v>2005</c:v>
                </c:pt>
                <c:pt idx="203">
                  <c:v>2005</c:v>
                </c:pt>
                <c:pt idx="204">
                  <c:v>2005</c:v>
                </c:pt>
                <c:pt idx="205">
                  <c:v>2003</c:v>
                </c:pt>
                <c:pt idx="206">
                  <c:v>2003</c:v>
                </c:pt>
                <c:pt idx="207">
                  <c:v>2003</c:v>
                </c:pt>
                <c:pt idx="208">
                  <c:v>2003</c:v>
                </c:pt>
                <c:pt idx="209">
                  <c:v>2003</c:v>
                </c:pt>
                <c:pt idx="210">
                  <c:v>2003</c:v>
                </c:pt>
                <c:pt idx="211">
                  <c:v>2003</c:v>
                </c:pt>
                <c:pt idx="212">
                  <c:v>2003</c:v>
                </c:pt>
                <c:pt idx="213">
                  <c:v>2003</c:v>
                </c:pt>
                <c:pt idx="214">
                  <c:v>2003</c:v>
                </c:pt>
                <c:pt idx="215">
                  <c:v>2003</c:v>
                </c:pt>
                <c:pt idx="216">
                  <c:v>2004</c:v>
                </c:pt>
                <c:pt idx="217">
                  <c:v>2004</c:v>
                </c:pt>
                <c:pt idx="218">
                  <c:v>2004</c:v>
                </c:pt>
                <c:pt idx="219">
                  <c:v>2004</c:v>
                </c:pt>
                <c:pt idx="220">
                  <c:v>2004</c:v>
                </c:pt>
                <c:pt idx="221">
                  <c:v>2004</c:v>
                </c:pt>
                <c:pt idx="222">
                  <c:v>2004</c:v>
                </c:pt>
                <c:pt idx="223">
                  <c:v>2004</c:v>
                </c:pt>
                <c:pt idx="224">
                  <c:v>2004</c:v>
                </c:pt>
                <c:pt idx="225">
                  <c:v>2004</c:v>
                </c:pt>
                <c:pt idx="226">
                  <c:v>2004</c:v>
                </c:pt>
                <c:pt idx="227">
                  <c:v>2004</c:v>
                </c:pt>
                <c:pt idx="228">
                  <c:v>2004</c:v>
                </c:pt>
                <c:pt idx="229">
                  <c:v>2004</c:v>
                </c:pt>
                <c:pt idx="230">
                  <c:v>2004</c:v>
                </c:pt>
                <c:pt idx="231">
                  <c:v>2004</c:v>
                </c:pt>
                <c:pt idx="232">
                  <c:v>2004</c:v>
                </c:pt>
                <c:pt idx="233">
                  <c:v>2004</c:v>
                </c:pt>
                <c:pt idx="234">
                  <c:v>2004</c:v>
                </c:pt>
                <c:pt idx="235">
                  <c:v>2004</c:v>
                </c:pt>
                <c:pt idx="236">
                  <c:v>2004</c:v>
                </c:pt>
                <c:pt idx="237">
                  <c:v>2004</c:v>
                </c:pt>
                <c:pt idx="238">
                  <c:v>2004</c:v>
                </c:pt>
                <c:pt idx="239">
                  <c:v>2004</c:v>
                </c:pt>
                <c:pt idx="240">
                  <c:v>2004</c:v>
                </c:pt>
                <c:pt idx="241">
                  <c:v>2006</c:v>
                </c:pt>
                <c:pt idx="242">
                  <c:v>2006</c:v>
                </c:pt>
                <c:pt idx="243">
                  <c:v>2006</c:v>
                </c:pt>
                <c:pt idx="244">
                  <c:v>2006</c:v>
                </c:pt>
                <c:pt idx="245">
                  <c:v>2006</c:v>
                </c:pt>
                <c:pt idx="246">
                  <c:v>2006</c:v>
                </c:pt>
                <c:pt idx="247">
                  <c:v>2006</c:v>
                </c:pt>
                <c:pt idx="248">
                  <c:v>2006</c:v>
                </c:pt>
                <c:pt idx="249">
                  <c:v>2006</c:v>
                </c:pt>
                <c:pt idx="250">
                  <c:v>2006</c:v>
                </c:pt>
                <c:pt idx="251">
                  <c:v>2006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2006</c:v>
                </c:pt>
                <c:pt idx="257">
                  <c:v>2006</c:v>
                </c:pt>
                <c:pt idx="258">
                  <c:v>2006</c:v>
                </c:pt>
                <c:pt idx="259">
                  <c:v>2006</c:v>
                </c:pt>
                <c:pt idx="260">
                  <c:v>2006</c:v>
                </c:pt>
                <c:pt idx="261">
                  <c:v>2006</c:v>
                </c:pt>
                <c:pt idx="262">
                  <c:v>2006</c:v>
                </c:pt>
                <c:pt idx="263">
                  <c:v>2006</c:v>
                </c:pt>
                <c:pt idx="264">
                  <c:v>2006</c:v>
                </c:pt>
                <c:pt idx="265">
                  <c:v>2006</c:v>
                </c:pt>
                <c:pt idx="266">
                  <c:v>2006</c:v>
                </c:pt>
                <c:pt idx="267">
                  <c:v>2006</c:v>
                </c:pt>
                <c:pt idx="268">
                  <c:v>2006</c:v>
                </c:pt>
                <c:pt idx="269">
                  <c:v>2006</c:v>
                </c:pt>
                <c:pt idx="270">
                  <c:v>2006</c:v>
                </c:pt>
                <c:pt idx="271">
                  <c:v>2006</c:v>
                </c:pt>
                <c:pt idx="272">
                  <c:v>2006</c:v>
                </c:pt>
                <c:pt idx="273">
                  <c:v>2006</c:v>
                </c:pt>
                <c:pt idx="274">
                  <c:v>2006</c:v>
                </c:pt>
                <c:pt idx="275">
                  <c:v>2006</c:v>
                </c:pt>
                <c:pt idx="276">
                  <c:v>2006</c:v>
                </c:pt>
                <c:pt idx="277">
                  <c:v>2006</c:v>
                </c:pt>
                <c:pt idx="278">
                  <c:v>2006</c:v>
                </c:pt>
                <c:pt idx="279">
                  <c:v>2006</c:v>
                </c:pt>
                <c:pt idx="280">
                  <c:v>2006</c:v>
                </c:pt>
                <c:pt idx="281">
                  <c:v>2006</c:v>
                </c:pt>
                <c:pt idx="282">
                  <c:v>2006</c:v>
                </c:pt>
                <c:pt idx="283">
                  <c:v>2006</c:v>
                </c:pt>
                <c:pt idx="284">
                  <c:v>2006</c:v>
                </c:pt>
                <c:pt idx="285">
                  <c:v>2011</c:v>
                </c:pt>
                <c:pt idx="286">
                  <c:v>2011</c:v>
                </c:pt>
                <c:pt idx="287">
                  <c:v>2011</c:v>
                </c:pt>
                <c:pt idx="288">
                  <c:v>2011</c:v>
                </c:pt>
                <c:pt idx="289">
                  <c:v>2011</c:v>
                </c:pt>
                <c:pt idx="290">
                  <c:v>2011</c:v>
                </c:pt>
                <c:pt idx="291">
                  <c:v>2011</c:v>
                </c:pt>
                <c:pt idx="292">
                  <c:v>2011</c:v>
                </c:pt>
                <c:pt idx="293">
                  <c:v>2011</c:v>
                </c:pt>
                <c:pt idx="294">
                  <c:v>2011</c:v>
                </c:pt>
                <c:pt idx="295">
                  <c:v>2011</c:v>
                </c:pt>
                <c:pt idx="296">
                  <c:v>2011</c:v>
                </c:pt>
                <c:pt idx="297">
                  <c:v>2011</c:v>
                </c:pt>
                <c:pt idx="298">
                  <c:v>2011</c:v>
                </c:pt>
                <c:pt idx="299">
                  <c:v>2011</c:v>
                </c:pt>
                <c:pt idx="300">
                  <c:v>2011</c:v>
                </c:pt>
                <c:pt idx="301">
                  <c:v>2011</c:v>
                </c:pt>
                <c:pt idx="302">
                  <c:v>2011</c:v>
                </c:pt>
                <c:pt idx="303">
                  <c:v>2011</c:v>
                </c:pt>
                <c:pt idx="304">
                  <c:v>2011</c:v>
                </c:pt>
                <c:pt idx="305">
                  <c:v>2011</c:v>
                </c:pt>
                <c:pt idx="306">
                  <c:v>2011</c:v>
                </c:pt>
                <c:pt idx="307">
                  <c:v>2011</c:v>
                </c:pt>
                <c:pt idx="308">
                  <c:v>2011</c:v>
                </c:pt>
                <c:pt idx="309">
                  <c:v>2011</c:v>
                </c:pt>
                <c:pt idx="310">
                  <c:v>2011</c:v>
                </c:pt>
                <c:pt idx="311">
                  <c:v>2011</c:v>
                </c:pt>
                <c:pt idx="312">
                  <c:v>2011</c:v>
                </c:pt>
                <c:pt idx="313">
                  <c:v>2011</c:v>
                </c:pt>
                <c:pt idx="314">
                  <c:v>2011</c:v>
                </c:pt>
                <c:pt idx="315">
                  <c:v>2011</c:v>
                </c:pt>
                <c:pt idx="316">
                  <c:v>2011</c:v>
                </c:pt>
                <c:pt idx="317">
                  <c:v>2011</c:v>
                </c:pt>
                <c:pt idx="318">
                  <c:v>2011</c:v>
                </c:pt>
                <c:pt idx="319">
                  <c:v>2011</c:v>
                </c:pt>
                <c:pt idx="320">
                  <c:v>2011</c:v>
                </c:pt>
                <c:pt idx="321">
                  <c:v>2011</c:v>
                </c:pt>
                <c:pt idx="322">
                  <c:v>2011</c:v>
                </c:pt>
                <c:pt idx="323">
                  <c:v>2011</c:v>
                </c:pt>
                <c:pt idx="324">
                  <c:v>2011</c:v>
                </c:pt>
                <c:pt idx="325">
                  <c:v>2011</c:v>
                </c:pt>
                <c:pt idx="326">
                  <c:v>2011</c:v>
                </c:pt>
                <c:pt idx="327">
                  <c:v>2011</c:v>
                </c:pt>
                <c:pt idx="328">
                  <c:v>2011</c:v>
                </c:pt>
                <c:pt idx="329">
                  <c:v>2011</c:v>
                </c:pt>
                <c:pt idx="330">
                  <c:v>2011</c:v>
                </c:pt>
                <c:pt idx="331">
                  <c:v>2011</c:v>
                </c:pt>
                <c:pt idx="332">
                  <c:v>2011</c:v>
                </c:pt>
                <c:pt idx="333">
                  <c:v>2006</c:v>
                </c:pt>
                <c:pt idx="334">
                  <c:v>2006</c:v>
                </c:pt>
                <c:pt idx="335">
                  <c:v>2006</c:v>
                </c:pt>
                <c:pt idx="336">
                  <c:v>2006</c:v>
                </c:pt>
                <c:pt idx="337">
                  <c:v>2006</c:v>
                </c:pt>
                <c:pt idx="338">
                  <c:v>2006</c:v>
                </c:pt>
                <c:pt idx="339">
                  <c:v>2006</c:v>
                </c:pt>
                <c:pt idx="340">
                  <c:v>2006</c:v>
                </c:pt>
                <c:pt idx="341">
                  <c:v>2006</c:v>
                </c:pt>
                <c:pt idx="342">
                  <c:v>2006</c:v>
                </c:pt>
                <c:pt idx="343">
                  <c:v>2006</c:v>
                </c:pt>
                <c:pt idx="344">
                  <c:v>2006</c:v>
                </c:pt>
                <c:pt idx="345">
                  <c:v>2006</c:v>
                </c:pt>
                <c:pt idx="346">
                  <c:v>2006</c:v>
                </c:pt>
                <c:pt idx="347">
                  <c:v>2006</c:v>
                </c:pt>
                <c:pt idx="348">
                  <c:v>2006</c:v>
                </c:pt>
                <c:pt idx="349">
                  <c:v>2006</c:v>
                </c:pt>
                <c:pt idx="350">
                  <c:v>2006</c:v>
                </c:pt>
                <c:pt idx="351">
                  <c:v>2006</c:v>
                </c:pt>
                <c:pt idx="352">
                  <c:v>2006</c:v>
                </c:pt>
                <c:pt idx="353">
                  <c:v>2006</c:v>
                </c:pt>
                <c:pt idx="354">
                  <c:v>2006</c:v>
                </c:pt>
                <c:pt idx="355">
                  <c:v>2006</c:v>
                </c:pt>
                <c:pt idx="356">
                  <c:v>2006</c:v>
                </c:pt>
                <c:pt idx="357">
                  <c:v>2006</c:v>
                </c:pt>
                <c:pt idx="358">
                  <c:v>2005</c:v>
                </c:pt>
                <c:pt idx="359">
                  <c:v>2005</c:v>
                </c:pt>
                <c:pt idx="360">
                  <c:v>2005</c:v>
                </c:pt>
                <c:pt idx="361">
                  <c:v>2005</c:v>
                </c:pt>
                <c:pt idx="362">
                  <c:v>2005</c:v>
                </c:pt>
                <c:pt idx="363">
                  <c:v>2005</c:v>
                </c:pt>
                <c:pt idx="364">
                  <c:v>2006</c:v>
                </c:pt>
                <c:pt idx="365">
                  <c:v>2005</c:v>
                </c:pt>
                <c:pt idx="366">
                  <c:v>2005</c:v>
                </c:pt>
                <c:pt idx="367">
                  <c:v>2006</c:v>
                </c:pt>
                <c:pt idx="368">
                  <c:v>2007</c:v>
                </c:pt>
                <c:pt idx="369">
                  <c:v>2007</c:v>
                </c:pt>
                <c:pt idx="370">
                  <c:v>2008</c:v>
                </c:pt>
                <c:pt idx="371">
                  <c:v>2008</c:v>
                </c:pt>
                <c:pt idx="372">
                  <c:v>2008</c:v>
                </c:pt>
                <c:pt idx="373">
                  <c:v>2008</c:v>
                </c:pt>
                <c:pt idx="374">
                  <c:v>2008</c:v>
                </c:pt>
                <c:pt idx="375">
                  <c:v>2008</c:v>
                </c:pt>
                <c:pt idx="376">
                  <c:v>2008</c:v>
                </c:pt>
                <c:pt idx="377">
                  <c:v>2008</c:v>
                </c:pt>
                <c:pt idx="378">
                  <c:v>2008</c:v>
                </c:pt>
                <c:pt idx="379">
                  <c:v>2008</c:v>
                </c:pt>
                <c:pt idx="380">
                  <c:v>2008</c:v>
                </c:pt>
                <c:pt idx="381">
                  <c:v>2008</c:v>
                </c:pt>
                <c:pt idx="382">
                  <c:v>2008</c:v>
                </c:pt>
                <c:pt idx="383">
                  <c:v>2008</c:v>
                </c:pt>
                <c:pt idx="384">
                  <c:v>2008</c:v>
                </c:pt>
                <c:pt idx="385">
                  <c:v>2008</c:v>
                </c:pt>
                <c:pt idx="386">
                  <c:v>2008</c:v>
                </c:pt>
                <c:pt idx="387">
                  <c:v>2008</c:v>
                </c:pt>
                <c:pt idx="388">
                  <c:v>2008</c:v>
                </c:pt>
                <c:pt idx="389">
                  <c:v>2010</c:v>
                </c:pt>
                <c:pt idx="390">
                  <c:v>2010</c:v>
                </c:pt>
                <c:pt idx="391">
                  <c:v>2010</c:v>
                </c:pt>
                <c:pt idx="392">
                  <c:v>2010</c:v>
                </c:pt>
                <c:pt idx="393">
                  <c:v>2010</c:v>
                </c:pt>
                <c:pt idx="394">
                  <c:v>2009</c:v>
                </c:pt>
                <c:pt idx="395">
                  <c:v>2009</c:v>
                </c:pt>
                <c:pt idx="396">
                  <c:v>2009</c:v>
                </c:pt>
                <c:pt idx="397">
                  <c:v>2009</c:v>
                </c:pt>
                <c:pt idx="398">
                  <c:v>2009</c:v>
                </c:pt>
                <c:pt idx="399">
                  <c:v>2009</c:v>
                </c:pt>
                <c:pt idx="400">
                  <c:v>2009</c:v>
                </c:pt>
                <c:pt idx="401">
                  <c:v>2009</c:v>
                </c:pt>
                <c:pt idx="402">
                  <c:v>2009</c:v>
                </c:pt>
                <c:pt idx="403">
                  <c:v>2009</c:v>
                </c:pt>
                <c:pt idx="404">
                  <c:v>2009</c:v>
                </c:pt>
                <c:pt idx="405">
                  <c:v>2009</c:v>
                </c:pt>
                <c:pt idx="406">
                  <c:v>2009</c:v>
                </c:pt>
                <c:pt idx="407">
                  <c:v>2009</c:v>
                </c:pt>
                <c:pt idx="408">
                  <c:v>2009</c:v>
                </c:pt>
                <c:pt idx="409">
                  <c:v>2009</c:v>
                </c:pt>
                <c:pt idx="410">
                  <c:v>2009</c:v>
                </c:pt>
                <c:pt idx="411">
                  <c:v>2009</c:v>
                </c:pt>
                <c:pt idx="412">
                  <c:v>2009</c:v>
                </c:pt>
                <c:pt idx="413">
                  <c:v>2009</c:v>
                </c:pt>
                <c:pt idx="414">
                  <c:v>2009</c:v>
                </c:pt>
                <c:pt idx="415">
                  <c:v>2009</c:v>
                </c:pt>
                <c:pt idx="416">
                  <c:v>2009</c:v>
                </c:pt>
                <c:pt idx="417">
                  <c:v>2009</c:v>
                </c:pt>
                <c:pt idx="418">
                  <c:v>2009</c:v>
                </c:pt>
                <c:pt idx="419">
                  <c:v>2009</c:v>
                </c:pt>
                <c:pt idx="420">
                  <c:v>2009</c:v>
                </c:pt>
                <c:pt idx="421">
                  <c:v>2009</c:v>
                </c:pt>
                <c:pt idx="422">
                  <c:v>2009</c:v>
                </c:pt>
                <c:pt idx="423">
                  <c:v>2009</c:v>
                </c:pt>
                <c:pt idx="424">
                  <c:v>2009</c:v>
                </c:pt>
                <c:pt idx="425">
                  <c:v>2009</c:v>
                </c:pt>
                <c:pt idx="426">
                  <c:v>2009</c:v>
                </c:pt>
                <c:pt idx="427">
                  <c:v>2009</c:v>
                </c:pt>
                <c:pt idx="428">
                  <c:v>2009</c:v>
                </c:pt>
                <c:pt idx="429">
                  <c:v>2009</c:v>
                </c:pt>
                <c:pt idx="430">
                  <c:v>2009</c:v>
                </c:pt>
                <c:pt idx="431">
                  <c:v>2009</c:v>
                </c:pt>
                <c:pt idx="432">
                  <c:v>2009</c:v>
                </c:pt>
                <c:pt idx="433">
                  <c:v>2009</c:v>
                </c:pt>
                <c:pt idx="434">
                  <c:v>2009</c:v>
                </c:pt>
                <c:pt idx="435">
                  <c:v>2009</c:v>
                </c:pt>
                <c:pt idx="436">
                  <c:v>2009</c:v>
                </c:pt>
                <c:pt idx="437">
                  <c:v>2009</c:v>
                </c:pt>
                <c:pt idx="438">
                  <c:v>2009</c:v>
                </c:pt>
                <c:pt idx="439">
                  <c:v>2009</c:v>
                </c:pt>
                <c:pt idx="440">
                  <c:v>2009</c:v>
                </c:pt>
                <c:pt idx="441">
                  <c:v>2009</c:v>
                </c:pt>
                <c:pt idx="442">
                  <c:v>2009</c:v>
                </c:pt>
                <c:pt idx="443">
                  <c:v>2009</c:v>
                </c:pt>
                <c:pt idx="444">
                  <c:v>2009</c:v>
                </c:pt>
                <c:pt idx="445">
                  <c:v>2009</c:v>
                </c:pt>
                <c:pt idx="446">
                  <c:v>2010</c:v>
                </c:pt>
                <c:pt idx="447">
                  <c:v>2010</c:v>
                </c:pt>
                <c:pt idx="448">
                  <c:v>2010</c:v>
                </c:pt>
                <c:pt idx="449">
                  <c:v>2009</c:v>
                </c:pt>
                <c:pt idx="450">
                  <c:v>2009</c:v>
                </c:pt>
                <c:pt idx="451">
                  <c:v>2009</c:v>
                </c:pt>
                <c:pt idx="452">
                  <c:v>2009</c:v>
                </c:pt>
                <c:pt idx="453">
                  <c:v>2009</c:v>
                </c:pt>
                <c:pt idx="454">
                  <c:v>2010</c:v>
                </c:pt>
                <c:pt idx="455">
                  <c:v>2010</c:v>
                </c:pt>
                <c:pt idx="456">
                  <c:v>2010</c:v>
                </c:pt>
                <c:pt idx="457">
                  <c:v>2010</c:v>
                </c:pt>
                <c:pt idx="458">
                  <c:v>2010</c:v>
                </c:pt>
                <c:pt idx="459">
                  <c:v>2010</c:v>
                </c:pt>
                <c:pt idx="460">
                  <c:v>2010</c:v>
                </c:pt>
                <c:pt idx="461">
                  <c:v>2010</c:v>
                </c:pt>
                <c:pt idx="462">
                  <c:v>2010</c:v>
                </c:pt>
                <c:pt idx="463">
                  <c:v>2010</c:v>
                </c:pt>
                <c:pt idx="464">
                  <c:v>2010</c:v>
                </c:pt>
                <c:pt idx="465">
                  <c:v>2010</c:v>
                </c:pt>
                <c:pt idx="466">
                  <c:v>2010</c:v>
                </c:pt>
                <c:pt idx="467">
                  <c:v>2010</c:v>
                </c:pt>
                <c:pt idx="468">
                  <c:v>2010</c:v>
                </c:pt>
                <c:pt idx="469">
                  <c:v>2010</c:v>
                </c:pt>
                <c:pt idx="470">
                  <c:v>2010</c:v>
                </c:pt>
                <c:pt idx="471">
                  <c:v>2012</c:v>
                </c:pt>
                <c:pt idx="472">
                  <c:v>2012</c:v>
                </c:pt>
                <c:pt idx="473">
                  <c:v>2013</c:v>
                </c:pt>
                <c:pt idx="474">
                  <c:v>2013</c:v>
                </c:pt>
                <c:pt idx="475">
                  <c:v>2013</c:v>
                </c:pt>
                <c:pt idx="476">
                  <c:v>2015</c:v>
                </c:pt>
                <c:pt idx="477">
                  <c:v>2015</c:v>
                </c:pt>
                <c:pt idx="478">
                  <c:v>2011</c:v>
                </c:pt>
                <c:pt idx="479">
                  <c:v>2011</c:v>
                </c:pt>
                <c:pt idx="480">
                  <c:v>2012</c:v>
                </c:pt>
                <c:pt idx="481">
                  <c:v>2012</c:v>
                </c:pt>
                <c:pt idx="482">
                  <c:v>2012</c:v>
                </c:pt>
                <c:pt idx="483">
                  <c:v>2012</c:v>
                </c:pt>
                <c:pt idx="484">
                  <c:v>2012</c:v>
                </c:pt>
                <c:pt idx="485">
                  <c:v>2012</c:v>
                </c:pt>
                <c:pt idx="486">
                  <c:v>2012</c:v>
                </c:pt>
                <c:pt idx="487">
                  <c:v>2012</c:v>
                </c:pt>
                <c:pt idx="488">
                  <c:v>2012</c:v>
                </c:pt>
                <c:pt idx="489">
                  <c:v>2012</c:v>
                </c:pt>
                <c:pt idx="490">
                  <c:v>2012</c:v>
                </c:pt>
                <c:pt idx="491">
                  <c:v>2012</c:v>
                </c:pt>
                <c:pt idx="492">
                  <c:v>2012</c:v>
                </c:pt>
                <c:pt idx="493">
                  <c:v>2012</c:v>
                </c:pt>
                <c:pt idx="494">
                  <c:v>2012</c:v>
                </c:pt>
                <c:pt idx="495">
                  <c:v>2012</c:v>
                </c:pt>
                <c:pt idx="496">
                  <c:v>2012</c:v>
                </c:pt>
                <c:pt idx="497">
                  <c:v>2012</c:v>
                </c:pt>
                <c:pt idx="498">
                  <c:v>2012</c:v>
                </c:pt>
                <c:pt idx="499">
                  <c:v>2011</c:v>
                </c:pt>
                <c:pt idx="500">
                  <c:v>2011</c:v>
                </c:pt>
                <c:pt idx="501">
                  <c:v>2011</c:v>
                </c:pt>
                <c:pt idx="502">
                  <c:v>2011</c:v>
                </c:pt>
                <c:pt idx="503">
                  <c:v>2011</c:v>
                </c:pt>
                <c:pt idx="504">
                  <c:v>2011</c:v>
                </c:pt>
                <c:pt idx="505">
                  <c:v>2011</c:v>
                </c:pt>
                <c:pt idx="506">
                  <c:v>2011</c:v>
                </c:pt>
                <c:pt idx="507">
                  <c:v>2011</c:v>
                </c:pt>
                <c:pt idx="508">
                  <c:v>2011</c:v>
                </c:pt>
                <c:pt idx="509">
                  <c:v>2011</c:v>
                </c:pt>
                <c:pt idx="510">
                  <c:v>2011</c:v>
                </c:pt>
                <c:pt idx="511">
                  <c:v>2011</c:v>
                </c:pt>
                <c:pt idx="512">
                  <c:v>2011</c:v>
                </c:pt>
                <c:pt idx="513">
                  <c:v>2011</c:v>
                </c:pt>
                <c:pt idx="514">
                  <c:v>2011</c:v>
                </c:pt>
                <c:pt idx="515">
                  <c:v>2011</c:v>
                </c:pt>
                <c:pt idx="516">
                  <c:v>2011</c:v>
                </c:pt>
                <c:pt idx="517">
                  <c:v>2011</c:v>
                </c:pt>
                <c:pt idx="518">
                  <c:v>2011</c:v>
                </c:pt>
                <c:pt idx="519">
                  <c:v>2011</c:v>
                </c:pt>
                <c:pt idx="520">
                  <c:v>2011</c:v>
                </c:pt>
                <c:pt idx="521">
                  <c:v>2011</c:v>
                </c:pt>
                <c:pt idx="522">
                  <c:v>2011</c:v>
                </c:pt>
                <c:pt idx="523">
                  <c:v>2011</c:v>
                </c:pt>
                <c:pt idx="524">
                  <c:v>2011</c:v>
                </c:pt>
                <c:pt idx="525">
                  <c:v>2011</c:v>
                </c:pt>
                <c:pt idx="526">
                  <c:v>2011</c:v>
                </c:pt>
                <c:pt idx="527">
                  <c:v>2011</c:v>
                </c:pt>
                <c:pt idx="528">
                  <c:v>2011</c:v>
                </c:pt>
                <c:pt idx="529">
                  <c:v>2011</c:v>
                </c:pt>
                <c:pt idx="530">
                  <c:v>2011</c:v>
                </c:pt>
                <c:pt idx="531">
                  <c:v>2011</c:v>
                </c:pt>
                <c:pt idx="532">
                  <c:v>2011</c:v>
                </c:pt>
                <c:pt idx="533">
                  <c:v>2011</c:v>
                </c:pt>
                <c:pt idx="534">
                  <c:v>2011</c:v>
                </c:pt>
                <c:pt idx="535">
                  <c:v>2011</c:v>
                </c:pt>
                <c:pt idx="536">
                  <c:v>2011</c:v>
                </c:pt>
                <c:pt idx="537">
                  <c:v>2011</c:v>
                </c:pt>
                <c:pt idx="538">
                  <c:v>2011</c:v>
                </c:pt>
                <c:pt idx="539">
                  <c:v>2011</c:v>
                </c:pt>
                <c:pt idx="540">
                  <c:v>2011</c:v>
                </c:pt>
                <c:pt idx="541">
                  <c:v>2011</c:v>
                </c:pt>
                <c:pt idx="542">
                  <c:v>2011</c:v>
                </c:pt>
                <c:pt idx="543">
                  <c:v>2012</c:v>
                </c:pt>
                <c:pt idx="544">
                  <c:v>2012</c:v>
                </c:pt>
                <c:pt idx="545">
                  <c:v>2012</c:v>
                </c:pt>
                <c:pt idx="546">
                  <c:v>2012</c:v>
                </c:pt>
                <c:pt idx="547">
                  <c:v>2012</c:v>
                </c:pt>
                <c:pt idx="548">
                  <c:v>2012</c:v>
                </c:pt>
                <c:pt idx="549">
                  <c:v>2012</c:v>
                </c:pt>
                <c:pt idx="550">
                  <c:v>2012</c:v>
                </c:pt>
                <c:pt idx="551">
                  <c:v>2012</c:v>
                </c:pt>
                <c:pt idx="552">
                  <c:v>2012</c:v>
                </c:pt>
                <c:pt idx="553">
                  <c:v>2012</c:v>
                </c:pt>
                <c:pt idx="554">
                  <c:v>2012</c:v>
                </c:pt>
                <c:pt idx="555">
                  <c:v>2012</c:v>
                </c:pt>
                <c:pt idx="556">
                  <c:v>2012</c:v>
                </c:pt>
                <c:pt idx="557">
                  <c:v>2012</c:v>
                </c:pt>
                <c:pt idx="558">
                  <c:v>2012</c:v>
                </c:pt>
                <c:pt idx="559">
                  <c:v>2012</c:v>
                </c:pt>
                <c:pt idx="560">
                  <c:v>2012</c:v>
                </c:pt>
                <c:pt idx="561">
                  <c:v>2012</c:v>
                </c:pt>
                <c:pt idx="562">
                  <c:v>2012</c:v>
                </c:pt>
                <c:pt idx="563">
                  <c:v>2012</c:v>
                </c:pt>
                <c:pt idx="564">
                  <c:v>2012</c:v>
                </c:pt>
                <c:pt idx="565">
                  <c:v>2012</c:v>
                </c:pt>
                <c:pt idx="566">
                  <c:v>2012</c:v>
                </c:pt>
                <c:pt idx="567">
                  <c:v>2012</c:v>
                </c:pt>
                <c:pt idx="568">
                  <c:v>2012</c:v>
                </c:pt>
                <c:pt idx="569">
                  <c:v>2012</c:v>
                </c:pt>
                <c:pt idx="570">
                  <c:v>2012</c:v>
                </c:pt>
                <c:pt idx="571">
                  <c:v>2012</c:v>
                </c:pt>
                <c:pt idx="572">
                  <c:v>2012</c:v>
                </c:pt>
                <c:pt idx="573">
                  <c:v>2012</c:v>
                </c:pt>
                <c:pt idx="574">
                  <c:v>2012</c:v>
                </c:pt>
                <c:pt idx="575">
                  <c:v>2012</c:v>
                </c:pt>
                <c:pt idx="576">
                  <c:v>2012</c:v>
                </c:pt>
                <c:pt idx="577">
                  <c:v>2012</c:v>
                </c:pt>
                <c:pt idx="578">
                  <c:v>2012</c:v>
                </c:pt>
                <c:pt idx="579">
                  <c:v>2012</c:v>
                </c:pt>
                <c:pt idx="580">
                  <c:v>2012</c:v>
                </c:pt>
                <c:pt idx="581">
                  <c:v>2012</c:v>
                </c:pt>
                <c:pt idx="582">
                  <c:v>2012</c:v>
                </c:pt>
                <c:pt idx="583">
                  <c:v>2012</c:v>
                </c:pt>
                <c:pt idx="584">
                  <c:v>2012</c:v>
                </c:pt>
                <c:pt idx="585">
                  <c:v>2012</c:v>
                </c:pt>
                <c:pt idx="586">
                  <c:v>2012</c:v>
                </c:pt>
                <c:pt idx="587">
                  <c:v>2012</c:v>
                </c:pt>
                <c:pt idx="588">
                  <c:v>2012</c:v>
                </c:pt>
                <c:pt idx="589">
                  <c:v>2012</c:v>
                </c:pt>
                <c:pt idx="590">
                  <c:v>2012</c:v>
                </c:pt>
                <c:pt idx="591">
                  <c:v>2012</c:v>
                </c:pt>
                <c:pt idx="592">
                  <c:v>2012</c:v>
                </c:pt>
                <c:pt idx="593">
                  <c:v>2012</c:v>
                </c:pt>
                <c:pt idx="594">
                  <c:v>2012</c:v>
                </c:pt>
                <c:pt idx="595">
                  <c:v>2012</c:v>
                </c:pt>
                <c:pt idx="596">
                  <c:v>2012</c:v>
                </c:pt>
                <c:pt idx="597">
                  <c:v>2012</c:v>
                </c:pt>
                <c:pt idx="598">
                  <c:v>2012</c:v>
                </c:pt>
                <c:pt idx="599">
                  <c:v>2012</c:v>
                </c:pt>
                <c:pt idx="600">
                  <c:v>2012</c:v>
                </c:pt>
                <c:pt idx="601">
                  <c:v>2012</c:v>
                </c:pt>
                <c:pt idx="602">
                  <c:v>2012</c:v>
                </c:pt>
                <c:pt idx="603">
                  <c:v>2012</c:v>
                </c:pt>
                <c:pt idx="604">
                  <c:v>2012</c:v>
                </c:pt>
                <c:pt idx="605">
                  <c:v>2012</c:v>
                </c:pt>
                <c:pt idx="606">
                  <c:v>2012</c:v>
                </c:pt>
                <c:pt idx="607">
                  <c:v>2012</c:v>
                </c:pt>
                <c:pt idx="608">
                  <c:v>2012</c:v>
                </c:pt>
                <c:pt idx="609">
                  <c:v>2012</c:v>
                </c:pt>
                <c:pt idx="610">
                  <c:v>2012</c:v>
                </c:pt>
                <c:pt idx="611">
                  <c:v>2012</c:v>
                </c:pt>
                <c:pt idx="612">
                  <c:v>2012</c:v>
                </c:pt>
                <c:pt idx="613">
                  <c:v>2012</c:v>
                </c:pt>
                <c:pt idx="614">
                  <c:v>2012</c:v>
                </c:pt>
                <c:pt idx="615">
                  <c:v>2012</c:v>
                </c:pt>
                <c:pt idx="616">
                  <c:v>2012</c:v>
                </c:pt>
                <c:pt idx="617">
                  <c:v>2012</c:v>
                </c:pt>
                <c:pt idx="618">
                  <c:v>2012</c:v>
                </c:pt>
                <c:pt idx="619">
                  <c:v>2012</c:v>
                </c:pt>
                <c:pt idx="620">
                  <c:v>2012</c:v>
                </c:pt>
                <c:pt idx="621">
                  <c:v>2012</c:v>
                </c:pt>
                <c:pt idx="622">
                  <c:v>2012</c:v>
                </c:pt>
                <c:pt idx="623">
                  <c:v>2012</c:v>
                </c:pt>
                <c:pt idx="624">
                  <c:v>2012</c:v>
                </c:pt>
                <c:pt idx="625">
                  <c:v>2012</c:v>
                </c:pt>
                <c:pt idx="626">
                  <c:v>2012</c:v>
                </c:pt>
                <c:pt idx="627">
                  <c:v>2012</c:v>
                </c:pt>
                <c:pt idx="628">
                  <c:v>2012</c:v>
                </c:pt>
                <c:pt idx="629">
                  <c:v>2012</c:v>
                </c:pt>
                <c:pt idx="630">
                  <c:v>2012</c:v>
                </c:pt>
                <c:pt idx="631">
                  <c:v>2012</c:v>
                </c:pt>
                <c:pt idx="632">
                  <c:v>2012</c:v>
                </c:pt>
                <c:pt idx="633">
                  <c:v>2012</c:v>
                </c:pt>
                <c:pt idx="634">
                  <c:v>2012</c:v>
                </c:pt>
                <c:pt idx="635">
                  <c:v>2012</c:v>
                </c:pt>
                <c:pt idx="636">
                  <c:v>2012</c:v>
                </c:pt>
                <c:pt idx="637">
                  <c:v>2012</c:v>
                </c:pt>
                <c:pt idx="638">
                  <c:v>2012</c:v>
                </c:pt>
                <c:pt idx="639">
                  <c:v>2012</c:v>
                </c:pt>
                <c:pt idx="640">
                  <c:v>2012</c:v>
                </c:pt>
                <c:pt idx="641">
                  <c:v>2012</c:v>
                </c:pt>
                <c:pt idx="642">
                  <c:v>2012</c:v>
                </c:pt>
                <c:pt idx="643">
                  <c:v>2012</c:v>
                </c:pt>
                <c:pt idx="644">
                  <c:v>2012</c:v>
                </c:pt>
                <c:pt idx="645">
                  <c:v>2012</c:v>
                </c:pt>
                <c:pt idx="646">
                  <c:v>2012</c:v>
                </c:pt>
                <c:pt idx="647">
                  <c:v>2012</c:v>
                </c:pt>
                <c:pt idx="648">
                  <c:v>2012</c:v>
                </c:pt>
                <c:pt idx="649">
                  <c:v>2012</c:v>
                </c:pt>
                <c:pt idx="650">
                  <c:v>2012</c:v>
                </c:pt>
                <c:pt idx="651">
                  <c:v>2012</c:v>
                </c:pt>
                <c:pt idx="652">
                  <c:v>2012</c:v>
                </c:pt>
                <c:pt idx="653">
                  <c:v>2012</c:v>
                </c:pt>
                <c:pt idx="654">
                  <c:v>2012</c:v>
                </c:pt>
                <c:pt idx="655">
                  <c:v>2012</c:v>
                </c:pt>
                <c:pt idx="656">
                  <c:v>2012</c:v>
                </c:pt>
                <c:pt idx="657">
                  <c:v>2012</c:v>
                </c:pt>
                <c:pt idx="658">
                  <c:v>2012</c:v>
                </c:pt>
                <c:pt idx="659">
                  <c:v>2012</c:v>
                </c:pt>
                <c:pt idx="660">
                  <c:v>2012</c:v>
                </c:pt>
                <c:pt idx="661">
                  <c:v>2012</c:v>
                </c:pt>
                <c:pt idx="662">
                  <c:v>2012</c:v>
                </c:pt>
                <c:pt idx="663">
                  <c:v>2012</c:v>
                </c:pt>
                <c:pt idx="664">
                  <c:v>2012</c:v>
                </c:pt>
                <c:pt idx="665">
                  <c:v>2012</c:v>
                </c:pt>
                <c:pt idx="666">
                  <c:v>2012</c:v>
                </c:pt>
                <c:pt idx="667">
                  <c:v>2012</c:v>
                </c:pt>
                <c:pt idx="668">
                  <c:v>2012</c:v>
                </c:pt>
                <c:pt idx="669">
                  <c:v>2012</c:v>
                </c:pt>
                <c:pt idx="670">
                  <c:v>2012</c:v>
                </c:pt>
                <c:pt idx="671">
                  <c:v>2012</c:v>
                </c:pt>
                <c:pt idx="672">
                  <c:v>2012</c:v>
                </c:pt>
                <c:pt idx="673">
                  <c:v>2012</c:v>
                </c:pt>
                <c:pt idx="674">
                  <c:v>2012</c:v>
                </c:pt>
                <c:pt idx="675">
                  <c:v>2012</c:v>
                </c:pt>
                <c:pt idx="676">
                  <c:v>2012</c:v>
                </c:pt>
                <c:pt idx="677">
                  <c:v>2012</c:v>
                </c:pt>
                <c:pt idx="678">
                  <c:v>2012</c:v>
                </c:pt>
                <c:pt idx="679">
                  <c:v>2012</c:v>
                </c:pt>
                <c:pt idx="680">
                  <c:v>2012</c:v>
                </c:pt>
                <c:pt idx="681">
                  <c:v>2012</c:v>
                </c:pt>
                <c:pt idx="682">
                  <c:v>2012</c:v>
                </c:pt>
                <c:pt idx="683">
                  <c:v>2012</c:v>
                </c:pt>
                <c:pt idx="684">
                  <c:v>2012</c:v>
                </c:pt>
                <c:pt idx="685">
                  <c:v>2012</c:v>
                </c:pt>
                <c:pt idx="686">
                  <c:v>2012</c:v>
                </c:pt>
                <c:pt idx="687">
                  <c:v>2012</c:v>
                </c:pt>
                <c:pt idx="688">
                  <c:v>2012</c:v>
                </c:pt>
                <c:pt idx="689">
                  <c:v>2012</c:v>
                </c:pt>
                <c:pt idx="690">
                  <c:v>2012</c:v>
                </c:pt>
                <c:pt idx="691">
                  <c:v>2012</c:v>
                </c:pt>
                <c:pt idx="692">
                  <c:v>2012</c:v>
                </c:pt>
                <c:pt idx="693">
                  <c:v>2012</c:v>
                </c:pt>
                <c:pt idx="694">
                  <c:v>2012</c:v>
                </c:pt>
                <c:pt idx="695">
                  <c:v>2012</c:v>
                </c:pt>
                <c:pt idx="696">
                  <c:v>2012</c:v>
                </c:pt>
                <c:pt idx="697">
                  <c:v>2012</c:v>
                </c:pt>
                <c:pt idx="698">
                  <c:v>2012</c:v>
                </c:pt>
                <c:pt idx="699">
                  <c:v>2012</c:v>
                </c:pt>
                <c:pt idx="700">
                  <c:v>2012</c:v>
                </c:pt>
                <c:pt idx="701">
                  <c:v>2012</c:v>
                </c:pt>
                <c:pt idx="702">
                  <c:v>2012</c:v>
                </c:pt>
                <c:pt idx="703">
                  <c:v>2012</c:v>
                </c:pt>
                <c:pt idx="704">
                  <c:v>2012</c:v>
                </c:pt>
                <c:pt idx="705">
                  <c:v>2012</c:v>
                </c:pt>
                <c:pt idx="706">
                  <c:v>2012</c:v>
                </c:pt>
                <c:pt idx="707">
                  <c:v>2012</c:v>
                </c:pt>
                <c:pt idx="708">
                  <c:v>2012</c:v>
                </c:pt>
                <c:pt idx="709">
                  <c:v>2012</c:v>
                </c:pt>
                <c:pt idx="710">
                  <c:v>2012</c:v>
                </c:pt>
                <c:pt idx="711">
                  <c:v>2012</c:v>
                </c:pt>
                <c:pt idx="712">
                  <c:v>2012</c:v>
                </c:pt>
                <c:pt idx="713">
                  <c:v>2012</c:v>
                </c:pt>
                <c:pt idx="714">
                  <c:v>2012</c:v>
                </c:pt>
                <c:pt idx="715">
                  <c:v>2012</c:v>
                </c:pt>
                <c:pt idx="716">
                  <c:v>2012</c:v>
                </c:pt>
                <c:pt idx="717">
                  <c:v>2012</c:v>
                </c:pt>
                <c:pt idx="718">
                  <c:v>2012</c:v>
                </c:pt>
                <c:pt idx="719">
                  <c:v>2012</c:v>
                </c:pt>
                <c:pt idx="720">
                  <c:v>2012</c:v>
                </c:pt>
                <c:pt idx="721">
                  <c:v>2012</c:v>
                </c:pt>
                <c:pt idx="722">
                  <c:v>2012</c:v>
                </c:pt>
                <c:pt idx="723">
                  <c:v>2012</c:v>
                </c:pt>
                <c:pt idx="724">
                  <c:v>2012</c:v>
                </c:pt>
                <c:pt idx="725">
                  <c:v>2012</c:v>
                </c:pt>
                <c:pt idx="726">
                  <c:v>2012</c:v>
                </c:pt>
                <c:pt idx="727">
                  <c:v>2012</c:v>
                </c:pt>
                <c:pt idx="728">
                  <c:v>2012</c:v>
                </c:pt>
                <c:pt idx="729">
                  <c:v>2012</c:v>
                </c:pt>
                <c:pt idx="730">
                  <c:v>2012</c:v>
                </c:pt>
                <c:pt idx="731">
                  <c:v>2012</c:v>
                </c:pt>
                <c:pt idx="732">
                  <c:v>2012</c:v>
                </c:pt>
                <c:pt idx="733">
                  <c:v>2012</c:v>
                </c:pt>
                <c:pt idx="734">
                  <c:v>2012</c:v>
                </c:pt>
                <c:pt idx="735">
                  <c:v>2012</c:v>
                </c:pt>
                <c:pt idx="736">
                  <c:v>2012</c:v>
                </c:pt>
                <c:pt idx="737">
                  <c:v>2012</c:v>
                </c:pt>
                <c:pt idx="738">
                  <c:v>2012</c:v>
                </c:pt>
                <c:pt idx="739">
                  <c:v>2012</c:v>
                </c:pt>
                <c:pt idx="740">
                  <c:v>2012</c:v>
                </c:pt>
                <c:pt idx="741">
                  <c:v>2012</c:v>
                </c:pt>
                <c:pt idx="742">
                  <c:v>2012</c:v>
                </c:pt>
                <c:pt idx="743">
                  <c:v>2012</c:v>
                </c:pt>
                <c:pt idx="744">
                  <c:v>2012</c:v>
                </c:pt>
                <c:pt idx="745">
                  <c:v>2012</c:v>
                </c:pt>
                <c:pt idx="746">
                  <c:v>2012</c:v>
                </c:pt>
                <c:pt idx="747">
                  <c:v>2012</c:v>
                </c:pt>
                <c:pt idx="748">
                  <c:v>2012</c:v>
                </c:pt>
                <c:pt idx="749">
                  <c:v>2012</c:v>
                </c:pt>
                <c:pt idx="750">
                  <c:v>2011</c:v>
                </c:pt>
                <c:pt idx="751">
                  <c:v>2011</c:v>
                </c:pt>
                <c:pt idx="752">
                  <c:v>2011</c:v>
                </c:pt>
                <c:pt idx="753">
                  <c:v>2011</c:v>
                </c:pt>
                <c:pt idx="754">
                  <c:v>2011</c:v>
                </c:pt>
                <c:pt idx="755">
                  <c:v>2011</c:v>
                </c:pt>
                <c:pt idx="756">
                  <c:v>2011</c:v>
                </c:pt>
                <c:pt idx="757">
                  <c:v>2011</c:v>
                </c:pt>
                <c:pt idx="758">
                  <c:v>2011</c:v>
                </c:pt>
                <c:pt idx="759">
                  <c:v>2011</c:v>
                </c:pt>
                <c:pt idx="760">
                  <c:v>2011</c:v>
                </c:pt>
                <c:pt idx="761">
                  <c:v>2013</c:v>
                </c:pt>
                <c:pt idx="762">
                  <c:v>2013</c:v>
                </c:pt>
                <c:pt idx="763">
                  <c:v>2013</c:v>
                </c:pt>
                <c:pt idx="764">
                  <c:v>2013</c:v>
                </c:pt>
                <c:pt idx="765">
                  <c:v>2013</c:v>
                </c:pt>
                <c:pt idx="766">
                  <c:v>2013</c:v>
                </c:pt>
                <c:pt idx="767">
                  <c:v>2013</c:v>
                </c:pt>
                <c:pt idx="768">
                  <c:v>2013</c:v>
                </c:pt>
                <c:pt idx="769">
                  <c:v>2013</c:v>
                </c:pt>
                <c:pt idx="770">
                  <c:v>2013</c:v>
                </c:pt>
                <c:pt idx="771">
                  <c:v>2013</c:v>
                </c:pt>
                <c:pt idx="772">
                  <c:v>2013</c:v>
                </c:pt>
                <c:pt idx="773">
                  <c:v>2013</c:v>
                </c:pt>
                <c:pt idx="774">
                  <c:v>2013</c:v>
                </c:pt>
                <c:pt idx="775">
                  <c:v>2013</c:v>
                </c:pt>
                <c:pt idx="776">
                  <c:v>2013</c:v>
                </c:pt>
                <c:pt idx="777">
                  <c:v>2013</c:v>
                </c:pt>
                <c:pt idx="778">
                  <c:v>2013</c:v>
                </c:pt>
                <c:pt idx="779">
                  <c:v>2013</c:v>
                </c:pt>
                <c:pt idx="780">
                  <c:v>2013</c:v>
                </c:pt>
                <c:pt idx="781">
                  <c:v>2013</c:v>
                </c:pt>
                <c:pt idx="782">
                  <c:v>2013</c:v>
                </c:pt>
                <c:pt idx="783">
                  <c:v>2013</c:v>
                </c:pt>
                <c:pt idx="784">
                  <c:v>2013</c:v>
                </c:pt>
                <c:pt idx="785">
                  <c:v>2013</c:v>
                </c:pt>
                <c:pt idx="786">
                  <c:v>2013</c:v>
                </c:pt>
                <c:pt idx="787">
                  <c:v>2015</c:v>
                </c:pt>
                <c:pt idx="788">
                  <c:v>2015</c:v>
                </c:pt>
                <c:pt idx="789">
                  <c:v>2015</c:v>
                </c:pt>
                <c:pt idx="790">
                  <c:v>2015</c:v>
                </c:pt>
                <c:pt idx="791">
                  <c:v>2015</c:v>
                </c:pt>
                <c:pt idx="792">
                  <c:v>2015</c:v>
                </c:pt>
                <c:pt idx="793">
                  <c:v>2015</c:v>
                </c:pt>
                <c:pt idx="794">
                  <c:v>2015</c:v>
                </c:pt>
                <c:pt idx="795">
                  <c:v>2015</c:v>
                </c:pt>
                <c:pt idx="796">
                  <c:v>2015</c:v>
                </c:pt>
                <c:pt idx="797">
                  <c:v>2015</c:v>
                </c:pt>
                <c:pt idx="798">
                  <c:v>2014</c:v>
                </c:pt>
                <c:pt idx="799">
                  <c:v>2014</c:v>
                </c:pt>
                <c:pt idx="800">
                  <c:v>2014</c:v>
                </c:pt>
                <c:pt idx="801">
                  <c:v>2014</c:v>
                </c:pt>
                <c:pt idx="802">
                  <c:v>2014</c:v>
                </c:pt>
                <c:pt idx="803">
                  <c:v>2014</c:v>
                </c:pt>
                <c:pt idx="804">
                  <c:v>2014</c:v>
                </c:pt>
                <c:pt idx="805">
                  <c:v>2014</c:v>
                </c:pt>
                <c:pt idx="806">
                  <c:v>2014</c:v>
                </c:pt>
                <c:pt idx="807">
                  <c:v>2014</c:v>
                </c:pt>
                <c:pt idx="808">
                  <c:v>2014</c:v>
                </c:pt>
                <c:pt idx="809">
                  <c:v>2014</c:v>
                </c:pt>
                <c:pt idx="810">
                  <c:v>2014</c:v>
                </c:pt>
                <c:pt idx="811">
                  <c:v>2014</c:v>
                </c:pt>
                <c:pt idx="812">
                  <c:v>2014</c:v>
                </c:pt>
                <c:pt idx="813">
                  <c:v>2014</c:v>
                </c:pt>
                <c:pt idx="814">
                  <c:v>2014</c:v>
                </c:pt>
                <c:pt idx="815">
                  <c:v>2014</c:v>
                </c:pt>
                <c:pt idx="816">
                  <c:v>2014</c:v>
                </c:pt>
                <c:pt idx="817">
                  <c:v>2014</c:v>
                </c:pt>
                <c:pt idx="818">
                  <c:v>2014</c:v>
                </c:pt>
                <c:pt idx="819">
                  <c:v>2014</c:v>
                </c:pt>
                <c:pt idx="820">
                  <c:v>2014</c:v>
                </c:pt>
                <c:pt idx="821">
                  <c:v>2014</c:v>
                </c:pt>
                <c:pt idx="822">
                  <c:v>2014</c:v>
                </c:pt>
                <c:pt idx="823">
                  <c:v>2014</c:v>
                </c:pt>
                <c:pt idx="824">
                  <c:v>2014</c:v>
                </c:pt>
                <c:pt idx="825">
                  <c:v>2014</c:v>
                </c:pt>
                <c:pt idx="826">
                  <c:v>2014</c:v>
                </c:pt>
                <c:pt idx="827">
                  <c:v>2014</c:v>
                </c:pt>
                <c:pt idx="828">
                  <c:v>2014</c:v>
                </c:pt>
                <c:pt idx="829">
                  <c:v>2014</c:v>
                </c:pt>
                <c:pt idx="830">
                  <c:v>2014</c:v>
                </c:pt>
                <c:pt idx="831">
                  <c:v>2014</c:v>
                </c:pt>
                <c:pt idx="832">
                  <c:v>2014</c:v>
                </c:pt>
                <c:pt idx="833">
                  <c:v>2014</c:v>
                </c:pt>
                <c:pt idx="834">
                  <c:v>2014</c:v>
                </c:pt>
                <c:pt idx="835">
                  <c:v>2014</c:v>
                </c:pt>
                <c:pt idx="836">
                  <c:v>2014</c:v>
                </c:pt>
                <c:pt idx="837">
                  <c:v>2014</c:v>
                </c:pt>
                <c:pt idx="838">
                  <c:v>2014</c:v>
                </c:pt>
                <c:pt idx="839">
                  <c:v>2014</c:v>
                </c:pt>
                <c:pt idx="840">
                  <c:v>2014</c:v>
                </c:pt>
                <c:pt idx="841">
                  <c:v>2014</c:v>
                </c:pt>
                <c:pt idx="842">
                  <c:v>2014</c:v>
                </c:pt>
                <c:pt idx="843">
                  <c:v>2014</c:v>
                </c:pt>
                <c:pt idx="844">
                  <c:v>2014</c:v>
                </c:pt>
                <c:pt idx="845">
                  <c:v>2014</c:v>
                </c:pt>
                <c:pt idx="846">
                  <c:v>2014</c:v>
                </c:pt>
                <c:pt idx="847">
                  <c:v>2014</c:v>
                </c:pt>
                <c:pt idx="848">
                  <c:v>2014</c:v>
                </c:pt>
                <c:pt idx="849">
                  <c:v>2014</c:v>
                </c:pt>
                <c:pt idx="850">
                  <c:v>2014</c:v>
                </c:pt>
                <c:pt idx="851">
                  <c:v>2014</c:v>
                </c:pt>
                <c:pt idx="852">
                  <c:v>2014</c:v>
                </c:pt>
                <c:pt idx="853">
                  <c:v>2014</c:v>
                </c:pt>
                <c:pt idx="854">
                  <c:v>2014</c:v>
                </c:pt>
                <c:pt idx="855">
                  <c:v>2014</c:v>
                </c:pt>
                <c:pt idx="856">
                  <c:v>2014</c:v>
                </c:pt>
                <c:pt idx="857">
                  <c:v>2014</c:v>
                </c:pt>
                <c:pt idx="858">
                  <c:v>2014</c:v>
                </c:pt>
                <c:pt idx="859">
                  <c:v>2014</c:v>
                </c:pt>
                <c:pt idx="860">
                  <c:v>2014</c:v>
                </c:pt>
                <c:pt idx="861">
                  <c:v>2014</c:v>
                </c:pt>
                <c:pt idx="862">
                  <c:v>2014</c:v>
                </c:pt>
                <c:pt idx="863">
                  <c:v>2014</c:v>
                </c:pt>
                <c:pt idx="864">
                  <c:v>2014</c:v>
                </c:pt>
                <c:pt idx="865">
                  <c:v>2014</c:v>
                </c:pt>
                <c:pt idx="866">
                  <c:v>2014</c:v>
                </c:pt>
                <c:pt idx="867">
                  <c:v>2014</c:v>
                </c:pt>
                <c:pt idx="868">
                  <c:v>2014</c:v>
                </c:pt>
                <c:pt idx="869">
                  <c:v>2014</c:v>
                </c:pt>
                <c:pt idx="870">
                  <c:v>2014</c:v>
                </c:pt>
                <c:pt idx="871">
                  <c:v>2014</c:v>
                </c:pt>
                <c:pt idx="872">
                  <c:v>2014</c:v>
                </c:pt>
                <c:pt idx="873">
                  <c:v>2014</c:v>
                </c:pt>
                <c:pt idx="874">
                  <c:v>2014</c:v>
                </c:pt>
                <c:pt idx="875">
                  <c:v>2014</c:v>
                </c:pt>
                <c:pt idx="876">
                  <c:v>2014</c:v>
                </c:pt>
                <c:pt idx="877">
                  <c:v>2014</c:v>
                </c:pt>
                <c:pt idx="878">
                  <c:v>2014</c:v>
                </c:pt>
                <c:pt idx="879">
                  <c:v>2014</c:v>
                </c:pt>
                <c:pt idx="880">
                  <c:v>2014</c:v>
                </c:pt>
                <c:pt idx="881">
                  <c:v>2014</c:v>
                </c:pt>
                <c:pt idx="882">
                  <c:v>2014</c:v>
                </c:pt>
                <c:pt idx="883">
                  <c:v>2014</c:v>
                </c:pt>
                <c:pt idx="884">
                  <c:v>2014</c:v>
                </c:pt>
                <c:pt idx="885">
                  <c:v>2014</c:v>
                </c:pt>
                <c:pt idx="886">
                  <c:v>2014</c:v>
                </c:pt>
                <c:pt idx="887">
                  <c:v>2013</c:v>
                </c:pt>
                <c:pt idx="888">
                  <c:v>2013</c:v>
                </c:pt>
                <c:pt idx="889">
                  <c:v>2013</c:v>
                </c:pt>
                <c:pt idx="890">
                  <c:v>2013</c:v>
                </c:pt>
                <c:pt idx="891">
                  <c:v>2013</c:v>
                </c:pt>
                <c:pt idx="892">
                  <c:v>2013</c:v>
                </c:pt>
                <c:pt idx="893">
                  <c:v>2013</c:v>
                </c:pt>
                <c:pt idx="894">
                  <c:v>2015</c:v>
                </c:pt>
                <c:pt idx="895">
                  <c:v>2015</c:v>
                </c:pt>
                <c:pt idx="896">
                  <c:v>2015</c:v>
                </c:pt>
                <c:pt idx="897">
                  <c:v>2015</c:v>
                </c:pt>
                <c:pt idx="898">
                  <c:v>2015</c:v>
                </c:pt>
                <c:pt idx="899">
                  <c:v>2015</c:v>
                </c:pt>
                <c:pt idx="900">
                  <c:v>2015</c:v>
                </c:pt>
                <c:pt idx="901">
                  <c:v>2015</c:v>
                </c:pt>
                <c:pt idx="902">
                  <c:v>2015</c:v>
                </c:pt>
                <c:pt idx="903">
                  <c:v>2015</c:v>
                </c:pt>
                <c:pt idx="904">
                  <c:v>2015</c:v>
                </c:pt>
                <c:pt idx="905">
                  <c:v>2015</c:v>
                </c:pt>
                <c:pt idx="906">
                  <c:v>2015</c:v>
                </c:pt>
                <c:pt idx="907">
                  <c:v>2015</c:v>
                </c:pt>
                <c:pt idx="908">
                  <c:v>2015</c:v>
                </c:pt>
                <c:pt idx="909">
                  <c:v>2015</c:v>
                </c:pt>
                <c:pt idx="910">
                  <c:v>2015</c:v>
                </c:pt>
                <c:pt idx="911">
                  <c:v>2015</c:v>
                </c:pt>
                <c:pt idx="912">
                  <c:v>2015</c:v>
                </c:pt>
                <c:pt idx="913">
                  <c:v>2015</c:v>
                </c:pt>
                <c:pt idx="914">
                  <c:v>2015</c:v>
                </c:pt>
                <c:pt idx="915">
                  <c:v>2015</c:v>
                </c:pt>
                <c:pt idx="916">
                  <c:v>2015</c:v>
                </c:pt>
                <c:pt idx="917">
                  <c:v>2015</c:v>
                </c:pt>
                <c:pt idx="918">
                  <c:v>2015</c:v>
                </c:pt>
                <c:pt idx="919">
                  <c:v>2015</c:v>
                </c:pt>
                <c:pt idx="920">
                  <c:v>2015</c:v>
                </c:pt>
                <c:pt idx="921">
                  <c:v>2015</c:v>
                </c:pt>
                <c:pt idx="922">
                  <c:v>2015</c:v>
                </c:pt>
                <c:pt idx="923">
                  <c:v>2014</c:v>
                </c:pt>
                <c:pt idx="924">
                  <c:v>2014</c:v>
                </c:pt>
                <c:pt idx="925">
                  <c:v>2014</c:v>
                </c:pt>
                <c:pt idx="926">
                  <c:v>2014</c:v>
                </c:pt>
                <c:pt idx="927">
                  <c:v>2014</c:v>
                </c:pt>
                <c:pt idx="928">
                  <c:v>2014</c:v>
                </c:pt>
                <c:pt idx="929">
                  <c:v>2014</c:v>
                </c:pt>
                <c:pt idx="930">
                  <c:v>2014</c:v>
                </c:pt>
                <c:pt idx="931">
                  <c:v>2014</c:v>
                </c:pt>
                <c:pt idx="932">
                  <c:v>2014</c:v>
                </c:pt>
                <c:pt idx="933">
                  <c:v>2014</c:v>
                </c:pt>
                <c:pt idx="934">
                  <c:v>2014</c:v>
                </c:pt>
                <c:pt idx="935">
                  <c:v>2012</c:v>
                </c:pt>
                <c:pt idx="936">
                  <c:v>2012</c:v>
                </c:pt>
                <c:pt idx="937">
                  <c:v>2013</c:v>
                </c:pt>
                <c:pt idx="938">
                  <c:v>2013</c:v>
                </c:pt>
                <c:pt idx="939">
                  <c:v>2013</c:v>
                </c:pt>
                <c:pt idx="940">
                  <c:v>2013</c:v>
                </c:pt>
                <c:pt idx="941">
                  <c:v>2013</c:v>
                </c:pt>
                <c:pt idx="942">
                  <c:v>2013</c:v>
                </c:pt>
                <c:pt idx="943">
                  <c:v>2015</c:v>
                </c:pt>
                <c:pt idx="944">
                  <c:v>2015</c:v>
                </c:pt>
                <c:pt idx="945">
                  <c:v>2015</c:v>
                </c:pt>
                <c:pt idx="946">
                  <c:v>2015</c:v>
                </c:pt>
                <c:pt idx="947">
                  <c:v>2015</c:v>
                </c:pt>
                <c:pt idx="948">
                  <c:v>2015</c:v>
                </c:pt>
                <c:pt idx="949">
                  <c:v>2015</c:v>
                </c:pt>
                <c:pt idx="950">
                  <c:v>2015</c:v>
                </c:pt>
                <c:pt idx="951">
                  <c:v>2015</c:v>
                </c:pt>
                <c:pt idx="952">
                  <c:v>2015</c:v>
                </c:pt>
                <c:pt idx="953">
                  <c:v>2015</c:v>
                </c:pt>
                <c:pt idx="954">
                  <c:v>2014</c:v>
                </c:pt>
                <c:pt idx="955">
                  <c:v>2014</c:v>
                </c:pt>
                <c:pt idx="956">
                  <c:v>2014</c:v>
                </c:pt>
                <c:pt idx="957">
                  <c:v>2014</c:v>
                </c:pt>
                <c:pt idx="958">
                  <c:v>2014</c:v>
                </c:pt>
                <c:pt idx="959">
                  <c:v>2014</c:v>
                </c:pt>
                <c:pt idx="960">
                  <c:v>2014</c:v>
                </c:pt>
                <c:pt idx="961">
                  <c:v>2014</c:v>
                </c:pt>
                <c:pt idx="962">
                  <c:v>2014</c:v>
                </c:pt>
                <c:pt idx="963">
                  <c:v>2014</c:v>
                </c:pt>
                <c:pt idx="964">
                  <c:v>2014</c:v>
                </c:pt>
                <c:pt idx="965">
                  <c:v>2014</c:v>
                </c:pt>
                <c:pt idx="966">
                  <c:v>2014</c:v>
                </c:pt>
                <c:pt idx="967">
                  <c:v>2014</c:v>
                </c:pt>
                <c:pt idx="968">
                  <c:v>2014</c:v>
                </c:pt>
                <c:pt idx="969">
                  <c:v>2014</c:v>
                </c:pt>
                <c:pt idx="970">
                  <c:v>2014</c:v>
                </c:pt>
                <c:pt idx="971">
                  <c:v>2014</c:v>
                </c:pt>
                <c:pt idx="972">
                  <c:v>2014</c:v>
                </c:pt>
                <c:pt idx="973">
                  <c:v>2014</c:v>
                </c:pt>
                <c:pt idx="974">
                  <c:v>2014</c:v>
                </c:pt>
                <c:pt idx="975">
                  <c:v>2014</c:v>
                </c:pt>
                <c:pt idx="976">
                  <c:v>2014</c:v>
                </c:pt>
                <c:pt idx="977">
                  <c:v>2014</c:v>
                </c:pt>
                <c:pt idx="978">
                  <c:v>2014</c:v>
                </c:pt>
                <c:pt idx="979">
                  <c:v>2014</c:v>
                </c:pt>
                <c:pt idx="980">
                  <c:v>2014</c:v>
                </c:pt>
                <c:pt idx="981">
                  <c:v>2014</c:v>
                </c:pt>
                <c:pt idx="982">
                  <c:v>2014</c:v>
                </c:pt>
                <c:pt idx="983">
                  <c:v>2013</c:v>
                </c:pt>
                <c:pt idx="984">
                  <c:v>2013</c:v>
                </c:pt>
                <c:pt idx="985">
                  <c:v>2013</c:v>
                </c:pt>
                <c:pt idx="986">
                  <c:v>2013</c:v>
                </c:pt>
                <c:pt idx="987">
                  <c:v>2013</c:v>
                </c:pt>
                <c:pt idx="988">
                  <c:v>2013</c:v>
                </c:pt>
                <c:pt idx="989">
                  <c:v>2013</c:v>
                </c:pt>
                <c:pt idx="990">
                  <c:v>2013</c:v>
                </c:pt>
                <c:pt idx="991">
                  <c:v>2013</c:v>
                </c:pt>
                <c:pt idx="992">
                  <c:v>2013</c:v>
                </c:pt>
                <c:pt idx="993">
                  <c:v>2013</c:v>
                </c:pt>
                <c:pt idx="994">
                  <c:v>2013</c:v>
                </c:pt>
                <c:pt idx="995">
                  <c:v>2013</c:v>
                </c:pt>
                <c:pt idx="996">
                  <c:v>2013</c:v>
                </c:pt>
                <c:pt idx="997">
                  <c:v>2013</c:v>
                </c:pt>
                <c:pt idx="998">
                  <c:v>2013</c:v>
                </c:pt>
                <c:pt idx="999">
                  <c:v>2013</c:v>
                </c:pt>
                <c:pt idx="1000">
                  <c:v>2013</c:v>
                </c:pt>
                <c:pt idx="1001">
                  <c:v>2013</c:v>
                </c:pt>
                <c:pt idx="1002">
                  <c:v>2013</c:v>
                </c:pt>
                <c:pt idx="1003">
                  <c:v>2013</c:v>
                </c:pt>
                <c:pt idx="1004">
                  <c:v>2013</c:v>
                </c:pt>
                <c:pt idx="1005">
                  <c:v>2013</c:v>
                </c:pt>
                <c:pt idx="1006">
                  <c:v>2014</c:v>
                </c:pt>
                <c:pt idx="1007">
                  <c:v>2014</c:v>
                </c:pt>
                <c:pt idx="1008">
                  <c:v>2014</c:v>
                </c:pt>
                <c:pt idx="1009">
                  <c:v>2014</c:v>
                </c:pt>
                <c:pt idx="1010">
                  <c:v>2014</c:v>
                </c:pt>
                <c:pt idx="1011">
                  <c:v>2014</c:v>
                </c:pt>
                <c:pt idx="1012">
                  <c:v>2014</c:v>
                </c:pt>
                <c:pt idx="1013">
                  <c:v>2014</c:v>
                </c:pt>
                <c:pt idx="1014">
                  <c:v>2014</c:v>
                </c:pt>
                <c:pt idx="1015">
                  <c:v>2014</c:v>
                </c:pt>
                <c:pt idx="1016">
                  <c:v>2014</c:v>
                </c:pt>
                <c:pt idx="1017">
                  <c:v>2014</c:v>
                </c:pt>
                <c:pt idx="1018">
                  <c:v>2014</c:v>
                </c:pt>
                <c:pt idx="1019">
                  <c:v>2014</c:v>
                </c:pt>
                <c:pt idx="1020">
                  <c:v>2014</c:v>
                </c:pt>
                <c:pt idx="1021">
                  <c:v>2014</c:v>
                </c:pt>
                <c:pt idx="1022">
                  <c:v>2014</c:v>
                </c:pt>
                <c:pt idx="1023">
                  <c:v>2014</c:v>
                </c:pt>
                <c:pt idx="1024">
                  <c:v>2014</c:v>
                </c:pt>
                <c:pt idx="1025">
                  <c:v>2014</c:v>
                </c:pt>
                <c:pt idx="1026">
                  <c:v>2014</c:v>
                </c:pt>
                <c:pt idx="1027">
                  <c:v>2014</c:v>
                </c:pt>
                <c:pt idx="1028">
                  <c:v>2014</c:v>
                </c:pt>
                <c:pt idx="1029">
                  <c:v>2014</c:v>
                </c:pt>
                <c:pt idx="1030">
                  <c:v>2014</c:v>
                </c:pt>
                <c:pt idx="1031">
                  <c:v>2014</c:v>
                </c:pt>
                <c:pt idx="1032">
                  <c:v>2014</c:v>
                </c:pt>
                <c:pt idx="1033">
                  <c:v>2014</c:v>
                </c:pt>
                <c:pt idx="1034">
                  <c:v>2014</c:v>
                </c:pt>
                <c:pt idx="1035">
                  <c:v>2014</c:v>
                </c:pt>
                <c:pt idx="1036">
                  <c:v>2014</c:v>
                </c:pt>
                <c:pt idx="1037">
                  <c:v>2014</c:v>
                </c:pt>
                <c:pt idx="1038">
                  <c:v>2014</c:v>
                </c:pt>
                <c:pt idx="1039">
                  <c:v>2014</c:v>
                </c:pt>
                <c:pt idx="1040">
                  <c:v>2014</c:v>
                </c:pt>
                <c:pt idx="1041">
                  <c:v>2013</c:v>
                </c:pt>
                <c:pt idx="1042">
                  <c:v>2013</c:v>
                </c:pt>
                <c:pt idx="1043">
                  <c:v>2013</c:v>
                </c:pt>
                <c:pt idx="1044">
                  <c:v>2013</c:v>
                </c:pt>
                <c:pt idx="1045">
                  <c:v>2013</c:v>
                </c:pt>
                <c:pt idx="1046">
                  <c:v>2013</c:v>
                </c:pt>
                <c:pt idx="1047">
                  <c:v>2013</c:v>
                </c:pt>
                <c:pt idx="1048">
                  <c:v>2013</c:v>
                </c:pt>
                <c:pt idx="1049">
                  <c:v>2013</c:v>
                </c:pt>
                <c:pt idx="1050">
                  <c:v>2013</c:v>
                </c:pt>
                <c:pt idx="1051">
                  <c:v>2013</c:v>
                </c:pt>
                <c:pt idx="1052">
                  <c:v>2013</c:v>
                </c:pt>
                <c:pt idx="1053">
                  <c:v>2013</c:v>
                </c:pt>
                <c:pt idx="1054">
                  <c:v>2013</c:v>
                </c:pt>
                <c:pt idx="1055">
                  <c:v>2013</c:v>
                </c:pt>
                <c:pt idx="1056">
                  <c:v>2013</c:v>
                </c:pt>
                <c:pt idx="1057">
                  <c:v>2013</c:v>
                </c:pt>
                <c:pt idx="1058">
                  <c:v>2013</c:v>
                </c:pt>
                <c:pt idx="1059">
                  <c:v>2013</c:v>
                </c:pt>
                <c:pt idx="1060">
                  <c:v>2013</c:v>
                </c:pt>
                <c:pt idx="1061">
                  <c:v>2013</c:v>
                </c:pt>
                <c:pt idx="1062">
                  <c:v>2013</c:v>
                </c:pt>
                <c:pt idx="1063">
                  <c:v>2013</c:v>
                </c:pt>
                <c:pt idx="1064">
                  <c:v>2013</c:v>
                </c:pt>
                <c:pt idx="1065">
                  <c:v>2013</c:v>
                </c:pt>
                <c:pt idx="1066">
                  <c:v>2013</c:v>
                </c:pt>
                <c:pt idx="1067">
                  <c:v>2013</c:v>
                </c:pt>
                <c:pt idx="1068">
                  <c:v>2013</c:v>
                </c:pt>
                <c:pt idx="1069">
                  <c:v>2013</c:v>
                </c:pt>
                <c:pt idx="1070">
                  <c:v>2013</c:v>
                </c:pt>
                <c:pt idx="1071">
                  <c:v>2013</c:v>
                </c:pt>
                <c:pt idx="1072">
                  <c:v>2013</c:v>
                </c:pt>
                <c:pt idx="1073">
                  <c:v>2013</c:v>
                </c:pt>
                <c:pt idx="1074">
                  <c:v>2013</c:v>
                </c:pt>
                <c:pt idx="1075">
                  <c:v>2013</c:v>
                </c:pt>
                <c:pt idx="1076">
                  <c:v>2013</c:v>
                </c:pt>
                <c:pt idx="1077">
                  <c:v>2013</c:v>
                </c:pt>
                <c:pt idx="1078">
                  <c:v>2013</c:v>
                </c:pt>
                <c:pt idx="1079">
                  <c:v>2013</c:v>
                </c:pt>
                <c:pt idx="1080">
                  <c:v>2013</c:v>
                </c:pt>
                <c:pt idx="1081">
                  <c:v>2013</c:v>
                </c:pt>
                <c:pt idx="1082">
                  <c:v>2013</c:v>
                </c:pt>
                <c:pt idx="1083">
                  <c:v>2013</c:v>
                </c:pt>
                <c:pt idx="1084">
                  <c:v>2013</c:v>
                </c:pt>
                <c:pt idx="1085">
                  <c:v>2013</c:v>
                </c:pt>
                <c:pt idx="1086">
                  <c:v>2011</c:v>
                </c:pt>
                <c:pt idx="1087">
                  <c:v>2011</c:v>
                </c:pt>
                <c:pt idx="1088">
                  <c:v>2011</c:v>
                </c:pt>
                <c:pt idx="1089">
                  <c:v>2011</c:v>
                </c:pt>
                <c:pt idx="1090">
                  <c:v>2011</c:v>
                </c:pt>
                <c:pt idx="1091">
                  <c:v>2011</c:v>
                </c:pt>
                <c:pt idx="1092">
                  <c:v>2011</c:v>
                </c:pt>
                <c:pt idx="1093">
                  <c:v>2011</c:v>
                </c:pt>
                <c:pt idx="1094">
                  <c:v>2011</c:v>
                </c:pt>
                <c:pt idx="1095">
                  <c:v>2011</c:v>
                </c:pt>
                <c:pt idx="1096">
                  <c:v>2011</c:v>
                </c:pt>
                <c:pt idx="1097">
                  <c:v>2011</c:v>
                </c:pt>
                <c:pt idx="1098">
                  <c:v>2011</c:v>
                </c:pt>
                <c:pt idx="1099">
                  <c:v>2011</c:v>
                </c:pt>
                <c:pt idx="1100">
                  <c:v>2011</c:v>
                </c:pt>
                <c:pt idx="1101">
                  <c:v>2011</c:v>
                </c:pt>
                <c:pt idx="1102">
                  <c:v>2011</c:v>
                </c:pt>
                <c:pt idx="1103">
                  <c:v>2011</c:v>
                </c:pt>
                <c:pt idx="1104">
                  <c:v>2011</c:v>
                </c:pt>
                <c:pt idx="1105">
                  <c:v>2011</c:v>
                </c:pt>
                <c:pt idx="1106">
                  <c:v>2011</c:v>
                </c:pt>
                <c:pt idx="1107">
                  <c:v>2011</c:v>
                </c:pt>
                <c:pt idx="1108">
                  <c:v>2011</c:v>
                </c:pt>
                <c:pt idx="1109">
                  <c:v>2011</c:v>
                </c:pt>
                <c:pt idx="1110">
                  <c:v>2011</c:v>
                </c:pt>
                <c:pt idx="1111">
                  <c:v>2011</c:v>
                </c:pt>
                <c:pt idx="1112">
                  <c:v>2014</c:v>
                </c:pt>
                <c:pt idx="1113">
                  <c:v>2014</c:v>
                </c:pt>
                <c:pt idx="1114">
                  <c:v>2014</c:v>
                </c:pt>
                <c:pt idx="1115">
                  <c:v>2014</c:v>
                </c:pt>
                <c:pt idx="1116">
                  <c:v>2014</c:v>
                </c:pt>
                <c:pt idx="1117">
                  <c:v>2014</c:v>
                </c:pt>
                <c:pt idx="1118">
                  <c:v>2014</c:v>
                </c:pt>
                <c:pt idx="1119">
                  <c:v>2014</c:v>
                </c:pt>
                <c:pt idx="1120">
                  <c:v>2015</c:v>
                </c:pt>
                <c:pt idx="1121">
                  <c:v>2015</c:v>
                </c:pt>
                <c:pt idx="1122">
                  <c:v>2015</c:v>
                </c:pt>
                <c:pt idx="1123">
                  <c:v>2015</c:v>
                </c:pt>
                <c:pt idx="1124">
                  <c:v>2015</c:v>
                </c:pt>
                <c:pt idx="1125">
                  <c:v>2015</c:v>
                </c:pt>
                <c:pt idx="1126">
                  <c:v>2015</c:v>
                </c:pt>
                <c:pt idx="1127">
                  <c:v>2015</c:v>
                </c:pt>
                <c:pt idx="1128">
                  <c:v>2015</c:v>
                </c:pt>
                <c:pt idx="1129">
                  <c:v>2015</c:v>
                </c:pt>
                <c:pt idx="1130">
                  <c:v>2015</c:v>
                </c:pt>
                <c:pt idx="1131">
                  <c:v>2015</c:v>
                </c:pt>
                <c:pt idx="1132">
                  <c:v>2015</c:v>
                </c:pt>
                <c:pt idx="1133">
                  <c:v>2015</c:v>
                </c:pt>
                <c:pt idx="1134">
                  <c:v>2015</c:v>
                </c:pt>
                <c:pt idx="1135">
                  <c:v>2015</c:v>
                </c:pt>
                <c:pt idx="1136">
                  <c:v>2015</c:v>
                </c:pt>
                <c:pt idx="1137">
                  <c:v>2015</c:v>
                </c:pt>
                <c:pt idx="1138">
                  <c:v>2015</c:v>
                </c:pt>
                <c:pt idx="1139">
                  <c:v>2014</c:v>
                </c:pt>
                <c:pt idx="1140">
                  <c:v>2014</c:v>
                </c:pt>
                <c:pt idx="1141">
                  <c:v>2014</c:v>
                </c:pt>
                <c:pt idx="1142">
                  <c:v>2014</c:v>
                </c:pt>
                <c:pt idx="1143">
                  <c:v>2014</c:v>
                </c:pt>
                <c:pt idx="1144">
                  <c:v>2014</c:v>
                </c:pt>
                <c:pt idx="1145">
                  <c:v>2014</c:v>
                </c:pt>
                <c:pt idx="1146">
                  <c:v>2014</c:v>
                </c:pt>
                <c:pt idx="1147">
                  <c:v>2014</c:v>
                </c:pt>
                <c:pt idx="1148">
                  <c:v>2014</c:v>
                </c:pt>
                <c:pt idx="1149">
                  <c:v>2014</c:v>
                </c:pt>
                <c:pt idx="1150">
                  <c:v>2014</c:v>
                </c:pt>
                <c:pt idx="1151">
                  <c:v>2014</c:v>
                </c:pt>
                <c:pt idx="1152">
                  <c:v>2014</c:v>
                </c:pt>
                <c:pt idx="1153">
                  <c:v>2014</c:v>
                </c:pt>
                <c:pt idx="1154">
                  <c:v>2014</c:v>
                </c:pt>
                <c:pt idx="1155">
                  <c:v>2014</c:v>
                </c:pt>
                <c:pt idx="1156">
                  <c:v>2014</c:v>
                </c:pt>
                <c:pt idx="1157">
                  <c:v>2014</c:v>
                </c:pt>
                <c:pt idx="1158">
                  <c:v>2014</c:v>
                </c:pt>
                <c:pt idx="1159">
                  <c:v>2014</c:v>
                </c:pt>
                <c:pt idx="1160">
                  <c:v>2014</c:v>
                </c:pt>
                <c:pt idx="1161">
                  <c:v>2014</c:v>
                </c:pt>
                <c:pt idx="1162">
                  <c:v>2014</c:v>
                </c:pt>
                <c:pt idx="1163">
                  <c:v>2014</c:v>
                </c:pt>
                <c:pt idx="1164">
                  <c:v>2014</c:v>
                </c:pt>
                <c:pt idx="1165">
                  <c:v>2014</c:v>
                </c:pt>
                <c:pt idx="1166">
                  <c:v>2014</c:v>
                </c:pt>
                <c:pt idx="1167">
                  <c:v>2014</c:v>
                </c:pt>
                <c:pt idx="1168">
                  <c:v>2014</c:v>
                </c:pt>
                <c:pt idx="1169">
                  <c:v>2014</c:v>
                </c:pt>
                <c:pt idx="1170">
                  <c:v>2014</c:v>
                </c:pt>
                <c:pt idx="1171">
                  <c:v>2014</c:v>
                </c:pt>
                <c:pt idx="1172">
                  <c:v>2014</c:v>
                </c:pt>
                <c:pt idx="1173">
                  <c:v>2014</c:v>
                </c:pt>
                <c:pt idx="1174">
                  <c:v>2014</c:v>
                </c:pt>
                <c:pt idx="1175">
                  <c:v>2014</c:v>
                </c:pt>
                <c:pt idx="1176">
                  <c:v>2014</c:v>
                </c:pt>
                <c:pt idx="1177">
                  <c:v>2014</c:v>
                </c:pt>
                <c:pt idx="1178">
                  <c:v>2014</c:v>
                </c:pt>
                <c:pt idx="1179">
                  <c:v>2014</c:v>
                </c:pt>
                <c:pt idx="1180">
                  <c:v>2014</c:v>
                </c:pt>
                <c:pt idx="1181">
                  <c:v>2014</c:v>
                </c:pt>
                <c:pt idx="1182">
                  <c:v>2014</c:v>
                </c:pt>
                <c:pt idx="1183">
                  <c:v>2014</c:v>
                </c:pt>
                <c:pt idx="1184">
                  <c:v>2014</c:v>
                </c:pt>
                <c:pt idx="1185">
                  <c:v>2014</c:v>
                </c:pt>
                <c:pt idx="1186">
                  <c:v>2014</c:v>
                </c:pt>
                <c:pt idx="1187">
                  <c:v>2014</c:v>
                </c:pt>
                <c:pt idx="1188">
                  <c:v>2014</c:v>
                </c:pt>
                <c:pt idx="1189">
                  <c:v>2014</c:v>
                </c:pt>
                <c:pt idx="1190">
                  <c:v>2014</c:v>
                </c:pt>
                <c:pt idx="1191">
                  <c:v>2014</c:v>
                </c:pt>
                <c:pt idx="1192">
                  <c:v>2014</c:v>
                </c:pt>
                <c:pt idx="1193">
                  <c:v>2014</c:v>
                </c:pt>
                <c:pt idx="1194">
                  <c:v>2014</c:v>
                </c:pt>
                <c:pt idx="1195">
                  <c:v>2014</c:v>
                </c:pt>
                <c:pt idx="1196">
                  <c:v>2014</c:v>
                </c:pt>
                <c:pt idx="1197">
                  <c:v>2014</c:v>
                </c:pt>
                <c:pt idx="1198">
                  <c:v>2014</c:v>
                </c:pt>
                <c:pt idx="1199">
                  <c:v>2014</c:v>
                </c:pt>
                <c:pt idx="1200">
                  <c:v>2014</c:v>
                </c:pt>
                <c:pt idx="1201">
                  <c:v>2014</c:v>
                </c:pt>
                <c:pt idx="1202">
                  <c:v>2014</c:v>
                </c:pt>
                <c:pt idx="1203">
                  <c:v>2014</c:v>
                </c:pt>
                <c:pt idx="1204">
                  <c:v>2014</c:v>
                </c:pt>
                <c:pt idx="1205">
                  <c:v>2014</c:v>
                </c:pt>
                <c:pt idx="1206">
                  <c:v>2014</c:v>
                </c:pt>
                <c:pt idx="1207">
                  <c:v>2014</c:v>
                </c:pt>
                <c:pt idx="1208">
                  <c:v>2014</c:v>
                </c:pt>
                <c:pt idx="1209">
                  <c:v>2014</c:v>
                </c:pt>
                <c:pt idx="1210">
                  <c:v>2004</c:v>
                </c:pt>
              </c:numCache>
            </c:numRef>
          </c:xVal>
          <c:yVal>
            <c:numRef>
              <c:f>Data!$O$6:$O$1216</c:f>
              <c:numCache>
                <c:formatCode>0.0</c:formatCode>
                <c:ptCount val="1211"/>
                <c:pt idx="0">
                  <c:v>282.92625291050393</c:v>
                </c:pt>
                <c:pt idx="1">
                  <c:v>574.03560359749611</c:v>
                </c:pt>
                <c:pt idx="2">
                  <c:v>287.01780179874805</c:v>
                </c:pt>
                <c:pt idx="3">
                  <c:v>71.73268689177084</c:v>
                </c:pt>
                <c:pt idx="4">
                  <c:v>127.53444938888869</c:v>
                </c:pt>
                <c:pt idx="5">
                  <c:v>63.81075181027672</c:v>
                </c:pt>
                <c:pt idx="6">
                  <c:v>15.93092439465299</c:v>
                </c:pt>
                <c:pt idx="7">
                  <c:v>21.241232526203987</c:v>
                </c:pt>
                <c:pt idx="8">
                  <c:v>10.620616263101994</c:v>
                </c:pt>
                <c:pt idx="9">
                  <c:v>2.6986811816078835</c:v>
                </c:pt>
                <c:pt idx="10">
                  <c:v>44.129645206691066</c:v>
                </c:pt>
                <c:pt idx="11">
                  <c:v>154.08599004664367</c:v>
                </c:pt>
                <c:pt idx="12">
                  <c:v>157.70476717600803</c:v>
                </c:pt>
                <c:pt idx="13">
                  <c:v>3754.1645428224019</c:v>
                </c:pt>
                <c:pt idx="14">
                  <c:v>4.4587055194554539</c:v>
                </c:pt>
                <c:pt idx="15">
                  <c:v>7.1821310529606759</c:v>
                </c:pt>
                <c:pt idx="16">
                  <c:v>21.160775384226422</c:v>
                </c:pt>
                <c:pt idx="17">
                  <c:v>40.176551896931038</c:v>
                </c:pt>
                <c:pt idx="18">
                  <c:v>1.5851284473467744E-2</c:v>
                </c:pt>
                <c:pt idx="19">
                  <c:v>9.5107706840806452E-2</c:v>
                </c:pt>
                <c:pt idx="20">
                  <c:v>2.3776926710201613E-2</c:v>
                </c:pt>
                <c:pt idx="21">
                  <c:v>0.14266156026120969</c:v>
                </c:pt>
                <c:pt idx="22">
                  <c:v>4.7553853420403226E-2</c:v>
                </c:pt>
                <c:pt idx="23">
                  <c:v>0.28532312052241937</c:v>
                </c:pt>
                <c:pt idx="24">
                  <c:v>8.7182064604072587E-2</c:v>
                </c:pt>
                <c:pt idx="25">
                  <c:v>0.52309238762443544</c:v>
                </c:pt>
                <c:pt idx="26">
                  <c:v>0.21399234039181453</c:v>
                </c:pt>
                <c:pt idx="27">
                  <c:v>1.2839540423508873</c:v>
                </c:pt>
                <c:pt idx="28">
                  <c:v>3.1702568946935489E-2</c:v>
                </c:pt>
                <c:pt idx="29">
                  <c:v>0.1902154136816129</c:v>
                </c:pt>
                <c:pt idx="30">
                  <c:v>4.7553853420403226E-2</c:v>
                </c:pt>
                <c:pt idx="31">
                  <c:v>0.28532312052241937</c:v>
                </c:pt>
                <c:pt idx="32">
                  <c:v>8.7182064604072587E-2</c:v>
                </c:pt>
                <c:pt idx="33">
                  <c:v>0.52309238762443544</c:v>
                </c:pt>
                <c:pt idx="34">
                  <c:v>0.16643848697141131</c:v>
                </c:pt>
                <c:pt idx="35">
                  <c:v>0.9986309218284678</c:v>
                </c:pt>
                <c:pt idx="36">
                  <c:v>0.43591032302036292</c:v>
                </c:pt>
                <c:pt idx="37">
                  <c:v>2.6154619381221775</c:v>
                </c:pt>
                <c:pt idx="38">
                  <c:v>3.9628211183669361E-2</c:v>
                </c:pt>
                <c:pt idx="39">
                  <c:v>0.23776926710201612</c:v>
                </c:pt>
                <c:pt idx="40">
                  <c:v>5.5479495657137098E-2</c:v>
                </c:pt>
                <c:pt idx="41">
                  <c:v>0.33287697394282262</c:v>
                </c:pt>
                <c:pt idx="42">
                  <c:v>0.1109589913142742</c:v>
                </c:pt>
                <c:pt idx="43">
                  <c:v>0.66575394788564524</c:v>
                </c:pt>
                <c:pt idx="44">
                  <c:v>0.20606669815508064</c:v>
                </c:pt>
                <c:pt idx="45">
                  <c:v>1.2364001889304839</c:v>
                </c:pt>
                <c:pt idx="46">
                  <c:v>0.54686931433463715</c:v>
                </c:pt>
                <c:pt idx="47">
                  <c:v>3.2812158860078227</c:v>
                </c:pt>
                <c:pt idx="48">
                  <c:v>0.16643848697141131</c:v>
                </c:pt>
                <c:pt idx="49">
                  <c:v>0.9986309218284678</c:v>
                </c:pt>
                <c:pt idx="50">
                  <c:v>0.24569490933875002</c:v>
                </c:pt>
                <c:pt idx="51">
                  <c:v>1.4741694560324998</c:v>
                </c:pt>
                <c:pt idx="52">
                  <c:v>0.49138981867750003</c:v>
                </c:pt>
                <c:pt idx="53">
                  <c:v>2.9483389120649997</c:v>
                </c:pt>
                <c:pt idx="54">
                  <c:v>0.93522578393459677</c:v>
                </c:pt>
                <c:pt idx="55">
                  <c:v>5.6113547036075806</c:v>
                </c:pt>
                <c:pt idx="56">
                  <c:v>2.4490234511507665</c:v>
                </c:pt>
                <c:pt idx="57">
                  <c:v>14.694140706904598</c:v>
                </c:pt>
                <c:pt idx="58">
                  <c:v>0.72915908577951627</c:v>
                </c:pt>
                <c:pt idx="59">
                  <c:v>4.3749545146770972</c:v>
                </c:pt>
                <c:pt idx="60">
                  <c:v>1.109589913142742</c:v>
                </c:pt>
                <c:pt idx="61">
                  <c:v>6.6575394788564513</c:v>
                </c:pt>
                <c:pt idx="62">
                  <c:v>2.1874772573385486</c:v>
                </c:pt>
                <c:pt idx="63">
                  <c:v>13.124863544031291</c:v>
                </c:pt>
                <c:pt idx="64">
                  <c:v>4.4542109370444356</c:v>
                </c:pt>
                <c:pt idx="65">
                  <c:v>25.0133268991321</c:v>
                </c:pt>
                <c:pt idx="66">
                  <c:v>10.873981148798872</c:v>
                </c:pt>
                <c:pt idx="67">
                  <c:v>65.243886892793228</c:v>
                </c:pt>
                <c:pt idx="68">
                  <c:v>72.757395733216939</c:v>
                </c:pt>
                <c:pt idx="69">
                  <c:v>436.70288724403633</c:v>
                </c:pt>
                <c:pt idx="70">
                  <c:v>109.37386286692744</c:v>
                </c:pt>
                <c:pt idx="71">
                  <c:v>656.08466435682988</c:v>
                </c:pt>
                <c:pt idx="72">
                  <c:v>218.58921288912015</c:v>
                </c:pt>
                <c:pt idx="73">
                  <c:v>1311.297508067619</c:v>
                </c:pt>
                <c:pt idx="74">
                  <c:v>416.80952522983432</c:v>
                </c:pt>
                <c:pt idx="75">
                  <c:v>2500.6193821119036</c:v>
                </c:pt>
                <c:pt idx="76">
                  <c:v>1087.5566277246219</c:v>
                </c:pt>
                <c:pt idx="77">
                  <c:v>6525.1019970806292</c:v>
                </c:pt>
                <c:pt idx="78">
                  <c:v>11.871031590650512</c:v>
                </c:pt>
                <c:pt idx="79">
                  <c:v>23.742063181301024</c:v>
                </c:pt>
                <c:pt idx="80">
                  <c:v>28.394272714827164</c:v>
                </c:pt>
                <c:pt idx="81">
                  <c:v>28.785019587049558</c:v>
                </c:pt>
                <c:pt idx="82">
                  <c:v>29.827011246309265</c:v>
                </c:pt>
                <c:pt idx="83">
                  <c:v>28.394272714827164</c:v>
                </c:pt>
                <c:pt idx="84">
                  <c:v>28.785019587049558</c:v>
                </c:pt>
                <c:pt idx="85">
                  <c:v>4.4284645518537777</c:v>
                </c:pt>
                <c:pt idx="86">
                  <c:v>7.1636926574105226</c:v>
                </c:pt>
                <c:pt idx="87">
                  <c:v>15.629874888895687</c:v>
                </c:pt>
                <c:pt idx="88">
                  <c:v>13.936638442598651</c:v>
                </c:pt>
                <c:pt idx="89">
                  <c:v>24.877550864825636</c:v>
                </c:pt>
                <c:pt idx="90">
                  <c:v>25.007799822233096</c:v>
                </c:pt>
                <c:pt idx="91">
                  <c:v>22.663318588898743</c:v>
                </c:pt>
                <c:pt idx="92">
                  <c:v>29.696762288901802</c:v>
                </c:pt>
                <c:pt idx="93">
                  <c:v>28.394272714827164</c:v>
                </c:pt>
                <c:pt idx="94">
                  <c:v>29.045517501864481</c:v>
                </c:pt>
                <c:pt idx="95">
                  <c:v>29.045517501864481</c:v>
                </c:pt>
                <c:pt idx="96">
                  <c:v>29.175766459271944</c:v>
                </c:pt>
                <c:pt idx="97">
                  <c:v>75.023399466699303</c:v>
                </c:pt>
                <c:pt idx="98">
                  <c:v>51.578587133355768</c:v>
                </c:pt>
                <c:pt idx="99">
                  <c:v>42.330911157425817</c:v>
                </c:pt>
                <c:pt idx="100">
                  <c:v>67.599208894473847</c:v>
                </c:pt>
                <c:pt idx="101">
                  <c:v>32.301741437051085</c:v>
                </c:pt>
                <c:pt idx="102">
                  <c:v>32.692488309273479</c:v>
                </c:pt>
                <c:pt idx="103">
                  <c:v>36.860454946312331</c:v>
                </c:pt>
                <c:pt idx="104">
                  <c:v>16.411368633340469</c:v>
                </c:pt>
                <c:pt idx="105">
                  <c:v>58.481781875951356</c:v>
                </c:pt>
                <c:pt idx="106">
                  <c:v>32.210731777416207</c:v>
                </c:pt>
                <c:pt idx="107">
                  <c:v>47.903139566413849</c:v>
                </c:pt>
                <c:pt idx="108">
                  <c:v>115.62826791892998</c:v>
                </c:pt>
                <c:pt idx="109">
                  <c:v>99.109943930511406</c:v>
                </c:pt>
                <c:pt idx="110">
                  <c:v>18.170156387260427</c:v>
                </c:pt>
                <c:pt idx="111">
                  <c:v>31.384815577995276</c:v>
                </c:pt>
                <c:pt idx="112">
                  <c:v>42.121726170467348</c:v>
                </c:pt>
                <c:pt idx="113">
                  <c:v>50.380888164676627</c:v>
                </c:pt>
                <c:pt idx="114">
                  <c:v>46.86605628100358</c:v>
                </c:pt>
                <c:pt idx="115">
                  <c:v>11.65148024910456</c:v>
                </c:pt>
                <c:pt idx="116">
                  <c:v>112.62493628467206</c:v>
                </c:pt>
                <c:pt idx="117">
                  <c:v>450.49974513868824</c:v>
                </c:pt>
                <c:pt idx="118">
                  <c:v>1126.2493628467205</c:v>
                </c:pt>
                <c:pt idx="119">
                  <c:v>31.947414103450058</c:v>
                </c:pt>
                <c:pt idx="120">
                  <c:v>6.7574961770803235</c:v>
                </c:pt>
                <c:pt idx="121">
                  <c:v>11.262493628467205</c:v>
                </c:pt>
                <c:pt idx="122">
                  <c:v>18.019989805547528</c:v>
                </c:pt>
                <c:pt idx="123">
                  <c:v>18.019989805547528</c:v>
                </c:pt>
                <c:pt idx="124">
                  <c:v>47.302473239562268</c:v>
                </c:pt>
                <c:pt idx="125">
                  <c:v>103.61494138189829</c:v>
                </c:pt>
                <c:pt idx="126">
                  <c:v>991.09943930511417</c:v>
                </c:pt>
                <c:pt idx="127">
                  <c:v>72.079959222190112</c:v>
                </c:pt>
                <c:pt idx="128">
                  <c:v>18.632669458936146</c:v>
                </c:pt>
                <c:pt idx="129">
                  <c:v>253.40610664051212</c:v>
                </c:pt>
                <c:pt idx="130">
                  <c:v>191.46239168394251</c:v>
                </c:pt>
                <c:pt idx="131">
                  <c:v>450.49974513868824</c:v>
                </c:pt>
                <c:pt idx="132">
                  <c:v>168.93740442700809</c:v>
                </c:pt>
                <c:pt idx="133">
                  <c:v>315.34982159708176</c:v>
                </c:pt>
                <c:pt idx="134">
                  <c:v>72.079959222190112</c:v>
                </c:pt>
                <c:pt idx="135">
                  <c:v>74.332457947883555</c:v>
                </c:pt>
                <c:pt idx="136">
                  <c:v>29.282483434014736</c:v>
                </c:pt>
                <c:pt idx="137">
                  <c:v>29.282483434014736</c:v>
                </c:pt>
                <c:pt idx="138">
                  <c:v>585.64966868029467</c:v>
                </c:pt>
                <c:pt idx="139">
                  <c:v>1328.9742481591302</c:v>
                </c:pt>
                <c:pt idx="140">
                  <c:v>518.0747069094914</c:v>
                </c:pt>
                <c:pt idx="141">
                  <c:v>923.5244775343109</c:v>
                </c:pt>
                <c:pt idx="142">
                  <c:v>213.98737894087688</c:v>
                </c:pt>
                <c:pt idx="143">
                  <c:v>220.74487511795721</c:v>
                </c:pt>
                <c:pt idx="144">
                  <c:v>87.847450302044194</c:v>
                </c:pt>
                <c:pt idx="145">
                  <c:v>87.847450302044194</c:v>
                </c:pt>
                <c:pt idx="146">
                  <c:v>111.69963093770028</c:v>
                </c:pt>
                <c:pt idx="147">
                  <c:v>38.240416922211907</c:v>
                </c:pt>
                <c:pt idx="148">
                  <c:v>1671.7122151786623</c:v>
                </c:pt>
                <c:pt idx="149">
                  <c:v>15.767491079854087</c:v>
                </c:pt>
                <c:pt idx="150">
                  <c:v>54.059969416642588</c:v>
                </c:pt>
                <c:pt idx="151">
                  <c:v>20.27248853124097</c:v>
                </c:pt>
                <c:pt idx="152">
                  <c:v>42.797475788175376</c:v>
                </c:pt>
                <c:pt idx="153">
                  <c:v>11.262493628467205</c:v>
                </c:pt>
                <c:pt idx="154">
                  <c:v>65.322463045109799</c:v>
                </c:pt>
                <c:pt idx="155">
                  <c:v>11.999665855604118</c:v>
                </c:pt>
                <c:pt idx="156">
                  <c:v>22.56479976724264</c:v>
                </c:pt>
                <c:pt idx="157">
                  <c:v>12.115979256466192</c:v>
                </c:pt>
                <c:pt idx="158">
                  <c:v>304.6569365900155</c:v>
                </c:pt>
                <c:pt idx="159">
                  <c:v>125.44697389000639</c:v>
                </c:pt>
                <c:pt idx="160">
                  <c:v>286.73594032001461</c:v>
                </c:pt>
                <c:pt idx="161">
                  <c:v>132.61537239800677</c:v>
                </c:pt>
                <c:pt idx="162">
                  <c:v>99.751715831189358</c:v>
                </c:pt>
                <c:pt idx="163">
                  <c:v>103.07677302556235</c:v>
                </c:pt>
                <c:pt idx="164">
                  <c:v>38.238157735289256</c:v>
                </c:pt>
                <c:pt idx="165">
                  <c:v>109.72688741430829</c:v>
                </c:pt>
                <c:pt idx="166">
                  <c:v>108.06435881712181</c:v>
                </c:pt>
                <c:pt idx="167">
                  <c:v>93.10160144244341</c:v>
                </c:pt>
                <c:pt idx="168">
                  <c:v>527.02156530811715</c:v>
                </c:pt>
                <c:pt idx="169">
                  <c:v>403.9944491163169</c:v>
                </c:pt>
                <c:pt idx="170">
                  <c:v>236.07906080048147</c:v>
                </c:pt>
                <c:pt idx="171">
                  <c:v>598.51029498713615</c:v>
                </c:pt>
                <c:pt idx="172">
                  <c:v>578.55995182089828</c:v>
                </c:pt>
                <c:pt idx="173">
                  <c:v>478.80823598970892</c:v>
                </c:pt>
                <c:pt idx="174">
                  <c:v>284.29239011888967</c:v>
                </c:pt>
                <c:pt idx="175">
                  <c:v>285.95491871607618</c:v>
                </c:pt>
                <c:pt idx="176">
                  <c:v>121.36458759461372</c:v>
                </c:pt>
                <c:pt idx="177">
                  <c:v>319.20549065980595</c:v>
                </c:pt>
                <c:pt idx="178">
                  <c:v>310.89284767387352</c:v>
                </c:pt>
                <c:pt idx="179">
                  <c:v>259.35446116109233</c:v>
                </c:pt>
                <c:pt idx="180">
                  <c:v>43.225743526848724</c:v>
                </c:pt>
                <c:pt idx="181">
                  <c:v>43.225743526848724</c:v>
                </c:pt>
                <c:pt idx="182">
                  <c:v>14.962757374678404</c:v>
                </c:pt>
                <c:pt idx="183">
                  <c:v>46.550800721221705</c:v>
                </c:pt>
                <c:pt idx="184">
                  <c:v>46.550800721221705</c:v>
                </c:pt>
                <c:pt idx="185">
                  <c:v>41.563214929662237</c:v>
                </c:pt>
                <c:pt idx="186">
                  <c:v>9.9751715831189358</c:v>
                </c:pt>
                <c:pt idx="187">
                  <c:v>9.9751715831189358</c:v>
                </c:pt>
                <c:pt idx="188">
                  <c:v>3.3250571943729788</c:v>
                </c:pt>
                <c:pt idx="189">
                  <c:v>9.9751715831189358</c:v>
                </c:pt>
                <c:pt idx="190">
                  <c:v>9.9751715831189358</c:v>
                </c:pt>
                <c:pt idx="191">
                  <c:v>9.9751715831189358</c:v>
                </c:pt>
                <c:pt idx="192">
                  <c:v>84.463259671901923</c:v>
                </c:pt>
                <c:pt idx="193">
                  <c:v>12.328877586942637</c:v>
                </c:pt>
                <c:pt idx="194">
                  <c:v>46.773800264702388</c:v>
                </c:pt>
                <c:pt idx="195">
                  <c:v>6.2723486945003195</c:v>
                </c:pt>
                <c:pt idx="196">
                  <c:v>82.078162916604185</c:v>
                </c:pt>
                <c:pt idx="197">
                  <c:v>9.1397080977004652</c:v>
                </c:pt>
                <c:pt idx="198">
                  <c:v>149.34372740092297</c:v>
                </c:pt>
                <c:pt idx="199">
                  <c:v>30.692281705166849</c:v>
                </c:pt>
                <c:pt idx="200">
                  <c:v>24.831443992622432</c:v>
                </c:pt>
                <c:pt idx="201">
                  <c:v>5.8608377125444244</c:v>
                </c:pt>
                <c:pt idx="202">
                  <c:v>10.179349711261368</c:v>
                </c:pt>
                <c:pt idx="203">
                  <c:v>-10.179349711261368</c:v>
                </c:pt>
                <c:pt idx="204">
                  <c:v>-0.77116285691374009</c:v>
                </c:pt>
                <c:pt idx="205">
                  <c:v>11.728549323648457</c:v>
                </c:pt>
                <c:pt idx="206">
                  <c:v>21.332065320364091</c:v>
                </c:pt>
                <c:pt idx="207">
                  <c:v>13.322324318848072</c:v>
                </c:pt>
                <c:pt idx="208">
                  <c:v>44.400936725240584</c:v>
                </c:pt>
                <c:pt idx="209">
                  <c:v>69.145315176352568</c:v>
                </c:pt>
                <c:pt idx="210">
                  <c:v>47.649785753916724</c:v>
                </c:pt>
                <c:pt idx="211">
                  <c:v>3.0240858883274764</c:v>
                </c:pt>
                <c:pt idx="212">
                  <c:v>5.884707674583197</c:v>
                </c:pt>
                <c:pt idx="213">
                  <c:v>3.6575092838555285</c:v>
                </c:pt>
                <c:pt idx="214">
                  <c:v>38.010308287591222</c:v>
                </c:pt>
                <c:pt idx="215">
                  <c:v>236.44864032835778</c:v>
                </c:pt>
                <c:pt idx="216">
                  <c:v>131.33975917773265</c:v>
                </c:pt>
                <c:pt idx="217">
                  <c:v>282.62986152170316</c:v>
                </c:pt>
                <c:pt idx="218">
                  <c:v>41.89572064909953</c:v>
                </c:pt>
                <c:pt idx="219">
                  <c:v>156.44394099524865</c:v>
                </c:pt>
                <c:pt idx="220">
                  <c:v>8.4788958456510954</c:v>
                </c:pt>
                <c:pt idx="221">
                  <c:v>74.980039733110672</c:v>
                </c:pt>
                <c:pt idx="222">
                  <c:v>125.68716194729858</c:v>
                </c:pt>
                <c:pt idx="223">
                  <c:v>278.97229860789292</c:v>
                </c:pt>
                <c:pt idx="224">
                  <c:v>40.565697771350337</c:v>
                </c:pt>
                <c:pt idx="225">
                  <c:v>155.6126766966554</c:v>
                </c:pt>
                <c:pt idx="226">
                  <c:v>8.3126429859324471</c:v>
                </c:pt>
                <c:pt idx="227">
                  <c:v>74.813786873392019</c:v>
                </c:pt>
                <c:pt idx="228">
                  <c:v>72.079959222190112</c:v>
                </c:pt>
                <c:pt idx="229">
                  <c:v>1328.9742481591302</c:v>
                </c:pt>
                <c:pt idx="230">
                  <c:v>267.47395442858601</c:v>
                </c:pt>
                <c:pt idx="231">
                  <c:v>809.27848090503903</c:v>
                </c:pt>
                <c:pt idx="232">
                  <c:v>57.548691975469445</c:v>
                </c:pt>
                <c:pt idx="233">
                  <c:v>119.8825266938954</c:v>
                </c:pt>
                <c:pt idx="234">
                  <c:v>59.9412633469477</c:v>
                </c:pt>
                <c:pt idx="235">
                  <c:v>34.632729933792007</c:v>
                </c:pt>
                <c:pt idx="236">
                  <c:v>451.55751721367267</c:v>
                </c:pt>
                <c:pt idx="237">
                  <c:v>185.15190233834957</c:v>
                </c:pt>
                <c:pt idx="238">
                  <c:v>95.906021355116323</c:v>
                </c:pt>
                <c:pt idx="239">
                  <c:v>441.41003172686584</c:v>
                </c:pt>
                <c:pt idx="240">
                  <c:v>17.656401269074635</c:v>
                </c:pt>
                <c:pt idx="241">
                  <c:v>96.426658636816384</c:v>
                </c:pt>
                <c:pt idx="242">
                  <c:v>18.287814569051381</c:v>
                </c:pt>
                <c:pt idx="243">
                  <c:v>-3.8238157735289251</c:v>
                </c:pt>
                <c:pt idx="244">
                  <c:v>29.925514749356807</c:v>
                </c:pt>
                <c:pt idx="245">
                  <c:v>89.776544248070422</c:v>
                </c:pt>
                <c:pt idx="246">
                  <c:v>18.287814569051381</c:v>
                </c:pt>
                <c:pt idx="247">
                  <c:v>-4.1563214929662236</c:v>
                </c:pt>
                <c:pt idx="248">
                  <c:v>28.262986152170317</c:v>
                </c:pt>
                <c:pt idx="249">
                  <c:v>89.776544248070422</c:v>
                </c:pt>
                <c:pt idx="250">
                  <c:v>21.612871763424362</c:v>
                </c:pt>
                <c:pt idx="251">
                  <c:v>-0.14131493076085161</c:v>
                </c:pt>
                <c:pt idx="252">
                  <c:v>33.250571943729788</c:v>
                </c:pt>
                <c:pt idx="253">
                  <c:v>89.776544248070422</c:v>
                </c:pt>
                <c:pt idx="254">
                  <c:v>16.625285971864894</c:v>
                </c:pt>
                <c:pt idx="255">
                  <c:v>-4.1563214929662236</c:v>
                </c:pt>
                <c:pt idx="256">
                  <c:v>28.262986152170317</c:v>
                </c:pt>
                <c:pt idx="257">
                  <c:v>91.439072845256916</c:v>
                </c:pt>
                <c:pt idx="258">
                  <c:v>18.287814569051381</c:v>
                </c:pt>
                <c:pt idx="259">
                  <c:v>-4.1563214929662236</c:v>
                </c:pt>
                <c:pt idx="260">
                  <c:v>29.925514749356807</c:v>
                </c:pt>
                <c:pt idx="261">
                  <c:v>96.426658636816384</c:v>
                </c:pt>
                <c:pt idx="262">
                  <c:v>19.950343166237872</c:v>
                </c:pt>
                <c:pt idx="263">
                  <c:v>-3.8238157735289251</c:v>
                </c:pt>
                <c:pt idx="264">
                  <c:v>29.925514749356807</c:v>
                </c:pt>
                <c:pt idx="265">
                  <c:v>121.36458759461372</c:v>
                </c:pt>
                <c:pt idx="266">
                  <c:v>26.60045755498383</c:v>
                </c:pt>
                <c:pt idx="267">
                  <c:v>-2.6600457554983832</c:v>
                </c:pt>
                <c:pt idx="268">
                  <c:v>39.900686332475743</c:v>
                </c:pt>
                <c:pt idx="269">
                  <c:v>156.27768813553001</c:v>
                </c:pt>
                <c:pt idx="270">
                  <c:v>34.913100540916275</c:v>
                </c:pt>
                <c:pt idx="271">
                  <c:v>-1.2302711619180022</c:v>
                </c:pt>
                <c:pt idx="272">
                  <c:v>49.875857915594679</c:v>
                </c:pt>
                <c:pt idx="273">
                  <c:v>548.63443707154147</c:v>
                </c:pt>
                <c:pt idx="274">
                  <c:v>147.96504514959756</c:v>
                </c:pt>
                <c:pt idx="275">
                  <c:v>28.262986152170317</c:v>
                </c:pt>
                <c:pt idx="276">
                  <c:v>166.25285971864895</c:v>
                </c:pt>
                <c:pt idx="277">
                  <c:v>2493.792895779734</c:v>
                </c:pt>
                <c:pt idx="278">
                  <c:v>598.51029498713615</c:v>
                </c:pt>
                <c:pt idx="279">
                  <c:v>124.6896447889867</c:v>
                </c:pt>
                <c:pt idx="280">
                  <c:v>448.88272124035211</c:v>
                </c:pt>
                <c:pt idx="281">
                  <c:v>3990.0686332475743</c:v>
                </c:pt>
                <c:pt idx="282">
                  <c:v>964.26658636816376</c:v>
                </c:pt>
                <c:pt idx="283">
                  <c:v>199.50343166237872</c:v>
                </c:pt>
                <c:pt idx="284">
                  <c:v>598.51029498713615</c:v>
                </c:pt>
                <c:pt idx="285">
                  <c:v>553</c:v>
                </c:pt>
                <c:pt idx="286">
                  <c:v>536</c:v>
                </c:pt>
                <c:pt idx="287">
                  <c:v>578</c:v>
                </c:pt>
                <c:pt idx="288">
                  <c:v>711</c:v>
                </c:pt>
                <c:pt idx="289">
                  <c:v>1021</c:v>
                </c:pt>
                <c:pt idx="290">
                  <c:v>831</c:v>
                </c:pt>
                <c:pt idx="291">
                  <c:v>1608</c:v>
                </c:pt>
                <c:pt idx="292">
                  <c:v>1879</c:v>
                </c:pt>
                <c:pt idx="293">
                  <c:v>359</c:v>
                </c:pt>
                <c:pt idx="294">
                  <c:v>341</c:v>
                </c:pt>
                <c:pt idx="295">
                  <c:v>367</c:v>
                </c:pt>
                <c:pt idx="296">
                  <c:v>423</c:v>
                </c:pt>
                <c:pt idx="297">
                  <c:v>583</c:v>
                </c:pt>
                <c:pt idx="298">
                  <c:v>722</c:v>
                </c:pt>
                <c:pt idx="299">
                  <c:v>1426</c:v>
                </c:pt>
                <c:pt idx="300">
                  <c:v>1670</c:v>
                </c:pt>
                <c:pt idx="301">
                  <c:v>108</c:v>
                </c:pt>
                <c:pt idx="302">
                  <c:v>105</c:v>
                </c:pt>
                <c:pt idx="303">
                  <c:v>112</c:v>
                </c:pt>
                <c:pt idx="304">
                  <c:v>135</c:v>
                </c:pt>
                <c:pt idx="305">
                  <c:v>187</c:v>
                </c:pt>
                <c:pt idx="306">
                  <c:v>155</c:v>
                </c:pt>
                <c:pt idx="307">
                  <c:v>258</c:v>
                </c:pt>
                <c:pt idx="308">
                  <c:v>290</c:v>
                </c:pt>
                <c:pt idx="309">
                  <c:v>85</c:v>
                </c:pt>
                <c:pt idx="310">
                  <c:v>81</c:v>
                </c:pt>
                <c:pt idx="311">
                  <c:v>87</c:v>
                </c:pt>
                <c:pt idx="312">
                  <c:v>99</c:v>
                </c:pt>
                <c:pt idx="313">
                  <c:v>131</c:v>
                </c:pt>
                <c:pt idx="314">
                  <c:v>145</c:v>
                </c:pt>
                <c:pt idx="315">
                  <c:v>236</c:v>
                </c:pt>
                <c:pt idx="316">
                  <c:v>265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11</c:v>
                </c:pt>
                <c:pt idx="321">
                  <c:v>15</c:v>
                </c:pt>
                <c:pt idx="322">
                  <c:v>12</c:v>
                </c:pt>
                <c:pt idx="323">
                  <c:v>18</c:v>
                </c:pt>
                <c:pt idx="324">
                  <c:v>19</c:v>
                </c:pt>
                <c:pt idx="325">
                  <c:v>5</c:v>
                </c:pt>
                <c:pt idx="326">
                  <c:v>4</c:v>
                </c:pt>
                <c:pt idx="327">
                  <c:v>5</c:v>
                </c:pt>
                <c:pt idx="328">
                  <c:v>6</c:v>
                </c:pt>
                <c:pt idx="329">
                  <c:v>10</c:v>
                </c:pt>
                <c:pt idx="330">
                  <c:v>9</c:v>
                </c:pt>
                <c:pt idx="331">
                  <c:v>14</c:v>
                </c:pt>
                <c:pt idx="332">
                  <c:v>15</c:v>
                </c:pt>
                <c:pt idx="333">
                  <c:v>96.426658636816384</c:v>
                </c:pt>
                <c:pt idx="334">
                  <c:v>18.287814569051381</c:v>
                </c:pt>
                <c:pt idx="335">
                  <c:v>-3.8238157735289251</c:v>
                </c:pt>
                <c:pt idx="336">
                  <c:v>29.925514749356807</c:v>
                </c:pt>
                <c:pt idx="337">
                  <c:v>10.972688741430829</c:v>
                </c:pt>
                <c:pt idx="338">
                  <c:v>146.30251655241105</c:v>
                </c:pt>
                <c:pt idx="339">
                  <c:v>3.491310054091628</c:v>
                </c:pt>
                <c:pt idx="340">
                  <c:v>146.30251655241105</c:v>
                </c:pt>
                <c:pt idx="341">
                  <c:v>3.491310054091628</c:v>
                </c:pt>
                <c:pt idx="342">
                  <c:v>307.56779047950056</c:v>
                </c:pt>
                <c:pt idx="343">
                  <c:v>48.213329318408192</c:v>
                </c:pt>
                <c:pt idx="344">
                  <c:v>-2.1612871763424364</c:v>
                </c:pt>
                <c:pt idx="345">
                  <c:v>141.31493076085158</c:v>
                </c:pt>
                <c:pt idx="346">
                  <c:v>24.93792895779734</c:v>
                </c:pt>
                <c:pt idx="347">
                  <c:v>-3.491310054091628</c:v>
                </c:pt>
                <c:pt idx="348">
                  <c:v>58.188500901527128</c:v>
                </c:pt>
                <c:pt idx="349">
                  <c:v>27.955968676034839</c:v>
                </c:pt>
                <c:pt idx="350">
                  <c:v>20.599134813920408</c:v>
                </c:pt>
                <c:pt idx="351">
                  <c:v>69.154238303875658</c:v>
                </c:pt>
                <c:pt idx="352">
                  <c:v>213.34818200131849</c:v>
                </c:pt>
                <c:pt idx="353">
                  <c:v>44.141003172686588</c:v>
                </c:pt>
                <c:pt idx="354">
                  <c:v>133.89437629048265</c:v>
                </c:pt>
                <c:pt idx="355">
                  <c:v>42.669636400263698</c:v>
                </c:pt>
                <c:pt idx="356">
                  <c:v>30.898702220880612</c:v>
                </c:pt>
                <c:pt idx="357">
                  <c:v>27.955968676034839</c:v>
                </c:pt>
                <c:pt idx="358">
                  <c:v>63.268771214184113</c:v>
                </c:pt>
                <c:pt idx="359">
                  <c:v>51.497837034801016</c:v>
                </c:pt>
                <c:pt idx="360">
                  <c:v>45.612369945109471</c:v>
                </c:pt>
                <c:pt idx="361">
                  <c:v>67.682871531452776</c:v>
                </c:pt>
                <c:pt idx="362">
                  <c:v>54.440570579646788</c:v>
                </c:pt>
                <c:pt idx="363">
                  <c:v>47.083736717532361</c:v>
                </c:pt>
                <c:pt idx="364">
                  <c:v>27.955968676034839</c:v>
                </c:pt>
                <c:pt idx="365">
                  <c:v>30.898702220880612</c:v>
                </c:pt>
                <c:pt idx="366">
                  <c:v>74.671863700461486</c:v>
                </c:pt>
                <c:pt idx="367">
                  <c:v>462.00916654078628</c:v>
                </c:pt>
                <c:pt idx="368">
                  <c:v>134.87528747209791</c:v>
                </c:pt>
                <c:pt idx="369">
                  <c:v>161.8503449665175</c:v>
                </c:pt>
                <c:pt idx="370">
                  <c:v>33.819341167042261</c:v>
                </c:pt>
                <c:pt idx="371">
                  <c:v>32.856512948763474</c:v>
                </c:pt>
                <c:pt idx="372">
                  <c:v>272.23967871832593</c:v>
                </c:pt>
                <c:pt idx="373">
                  <c:v>33.638810876114988</c:v>
                </c:pt>
                <c:pt idx="374">
                  <c:v>20.599134813920408</c:v>
                </c:pt>
                <c:pt idx="375">
                  <c:v>19.127768041497522</c:v>
                </c:pt>
                <c:pt idx="376">
                  <c:v>19.127768041497522</c:v>
                </c:pt>
                <c:pt idx="377">
                  <c:v>19.127768041497522</c:v>
                </c:pt>
                <c:pt idx="378">
                  <c:v>17.656401269074635</c:v>
                </c:pt>
                <c:pt idx="379">
                  <c:v>23.54186835876618</c:v>
                </c:pt>
                <c:pt idx="380">
                  <c:v>85.339272800527397</c:v>
                </c:pt>
                <c:pt idx="381">
                  <c:v>114.76660824898512</c:v>
                </c:pt>
                <c:pt idx="382">
                  <c:v>95.63884020748759</c:v>
                </c:pt>
                <c:pt idx="383">
                  <c:v>36.784169310572153</c:v>
                </c:pt>
                <c:pt idx="384">
                  <c:v>101.52430729717915</c:v>
                </c:pt>
                <c:pt idx="385">
                  <c:v>91.224739890218942</c:v>
                </c:pt>
                <c:pt idx="386">
                  <c:v>301.63018834669168</c:v>
                </c:pt>
                <c:pt idx="387">
                  <c:v>297.21608802942302</c:v>
                </c:pt>
                <c:pt idx="388">
                  <c:v>1199.1639195246523</c:v>
                </c:pt>
                <c:pt idx="389">
                  <c:v>60.36006194347658</c:v>
                </c:pt>
                <c:pt idx="390">
                  <c:v>88.218552071235024</c:v>
                </c:pt>
                <c:pt idx="391">
                  <c:v>213.58175764614791</c:v>
                </c:pt>
                <c:pt idx="392">
                  <c:v>29.598896876600101</c:v>
                </c:pt>
                <c:pt idx="393">
                  <c:v>2.8616272965879266</c:v>
                </c:pt>
                <c:pt idx="394">
                  <c:v>71.969926509186351</c:v>
                </c:pt>
                <c:pt idx="395">
                  <c:v>12.591160104986878</c:v>
                </c:pt>
                <c:pt idx="396">
                  <c:v>-8.4418005249343846</c:v>
                </c:pt>
                <c:pt idx="397">
                  <c:v>105.7371286089239</c:v>
                </c:pt>
                <c:pt idx="398">
                  <c:v>37.630398950131237</c:v>
                </c:pt>
                <c:pt idx="399">
                  <c:v>159.53572178477691</c:v>
                </c:pt>
                <c:pt idx="400">
                  <c:v>18.743658792650919</c:v>
                </c:pt>
                <c:pt idx="401">
                  <c:v>99.870792650918631</c:v>
                </c:pt>
                <c:pt idx="402">
                  <c:v>21.46220472440945</c:v>
                </c:pt>
                <c:pt idx="403">
                  <c:v>5.0078477690288716</c:v>
                </c:pt>
                <c:pt idx="404">
                  <c:v>31.1917375328084</c:v>
                </c:pt>
                <c:pt idx="405">
                  <c:v>-2.2893018372703415</c:v>
                </c:pt>
                <c:pt idx="406">
                  <c:v>18.171333333333333</c:v>
                </c:pt>
                <c:pt idx="407">
                  <c:v>-3.7201154855643046</c:v>
                </c:pt>
                <c:pt idx="408">
                  <c:v>-5.4370918635170602</c:v>
                </c:pt>
                <c:pt idx="409">
                  <c:v>-3.4339527559055116</c:v>
                </c:pt>
                <c:pt idx="410">
                  <c:v>-7.5833123359580048</c:v>
                </c:pt>
                <c:pt idx="411">
                  <c:v>-4.4355223097112866</c:v>
                </c:pt>
                <c:pt idx="412">
                  <c:v>105.1648031496063</c:v>
                </c:pt>
                <c:pt idx="413">
                  <c:v>37.487317585301838</c:v>
                </c:pt>
                <c:pt idx="414">
                  <c:v>184.00263517060367</c:v>
                </c:pt>
                <c:pt idx="415">
                  <c:v>17.455926509186352</c:v>
                </c:pt>
                <c:pt idx="416">
                  <c:v>92.859805774278229</c:v>
                </c:pt>
                <c:pt idx="417">
                  <c:v>24.466913385826775</c:v>
                </c:pt>
                <c:pt idx="418">
                  <c:v>4.8647664041994751</c:v>
                </c:pt>
                <c:pt idx="419">
                  <c:v>39.490456692913391</c:v>
                </c:pt>
                <c:pt idx="420">
                  <c:v>-3.2908713910761151</c:v>
                </c:pt>
                <c:pt idx="421">
                  <c:v>18.171333333333333</c:v>
                </c:pt>
                <c:pt idx="422">
                  <c:v>-4.1493595800524936</c:v>
                </c:pt>
                <c:pt idx="423">
                  <c:v>-6.4386614173228347</c:v>
                </c:pt>
                <c:pt idx="424">
                  <c:v>-2.7185459317585301</c:v>
                </c:pt>
                <c:pt idx="425">
                  <c:v>-9.4433700787401573</c:v>
                </c:pt>
                <c:pt idx="426">
                  <c:v>-4.1493595800524936</c:v>
                </c:pt>
                <c:pt idx="427">
                  <c:v>-2.6899296587926509</c:v>
                </c:pt>
                <c:pt idx="428">
                  <c:v>-0.50078477690288714</c:v>
                </c:pt>
                <c:pt idx="429">
                  <c:v>12.820090288713912</c:v>
                </c:pt>
                <c:pt idx="430">
                  <c:v>63.456585301837272</c:v>
                </c:pt>
                <c:pt idx="431">
                  <c:v>-1.0015695538057743</c:v>
                </c:pt>
                <c:pt idx="432">
                  <c:v>18.028251968503938</c:v>
                </c:pt>
                <c:pt idx="433">
                  <c:v>300.61394750656166</c:v>
                </c:pt>
                <c:pt idx="434">
                  <c:v>88.138120734908142</c:v>
                </c:pt>
                <c:pt idx="435">
                  <c:v>58.23411548556431</c:v>
                </c:pt>
                <c:pt idx="436">
                  <c:v>83.988761154855652</c:v>
                </c:pt>
                <c:pt idx="437">
                  <c:v>325.93934908136487</c:v>
                </c:pt>
                <c:pt idx="438">
                  <c:v>167.9775223097113</c:v>
                </c:pt>
                <c:pt idx="439">
                  <c:v>-0.57232545931758538</c:v>
                </c:pt>
                <c:pt idx="440">
                  <c:v>18.886740157480315</c:v>
                </c:pt>
                <c:pt idx="441">
                  <c:v>294.03220472440944</c:v>
                </c:pt>
                <c:pt idx="442">
                  <c:v>86.850388451443578</c:v>
                </c:pt>
                <c:pt idx="443">
                  <c:v>122.08009749103942</c:v>
                </c:pt>
                <c:pt idx="444">
                  <c:v>10.149150230414746</c:v>
                </c:pt>
                <c:pt idx="445">
                  <c:v>-3.3160589861751153</c:v>
                </c:pt>
                <c:pt idx="446">
                  <c:v>160.81211305683561</c:v>
                </c:pt>
                <c:pt idx="447">
                  <c:v>24.57456507936508</c:v>
                </c:pt>
                <c:pt idx="448">
                  <c:v>1.1276833589349717</c:v>
                </c:pt>
                <c:pt idx="449">
                  <c:v>20.168704714558849</c:v>
                </c:pt>
                <c:pt idx="450">
                  <c:v>40.337409429117699</c:v>
                </c:pt>
                <c:pt idx="451">
                  <c:v>80.674818858235398</c:v>
                </c:pt>
                <c:pt idx="452">
                  <c:v>137.14719205900019</c:v>
                </c:pt>
                <c:pt idx="453">
                  <c:v>225.88949280305911</c:v>
                </c:pt>
                <c:pt idx="454">
                  <c:v>22.263460367454069</c:v>
                </c:pt>
                <c:pt idx="455">
                  <c:v>39.86246824146982</c:v>
                </c:pt>
                <c:pt idx="456">
                  <c:v>145.21327716535433</c:v>
                </c:pt>
                <c:pt idx="457">
                  <c:v>260.5797816272966</c:v>
                </c:pt>
                <c:pt idx="458">
                  <c:v>0.94433700787401587</c:v>
                </c:pt>
                <c:pt idx="459">
                  <c:v>1.6597438320209974</c:v>
                </c:pt>
                <c:pt idx="460">
                  <c:v>79.939558530183731</c:v>
                </c:pt>
                <c:pt idx="461">
                  <c:v>102.67518740157482</c:v>
                </c:pt>
                <c:pt idx="462">
                  <c:v>6.6532834645669299</c:v>
                </c:pt>
                <c:pt idx="463">
                  <c:v>18.529036745406824</c:v>
                </c:pt>
                <c:pt idx="464">
                  <c:v>2.1319123359580052</c:v>
                </c:pt>
                <c:pt idx="465">
                  <c:v>10.387707086614173</c:v>
                </c:pt>
                <c:pt idx="466">
                  <c:v>22.263460367454069</c:v>
                </c:pt>
                <c:pt idx="467">
                  <c:v>27.714860367454069</c:v>
                </c:pt>
                <c:pt idx="468">
                  <c:v>22.263460367454069</c:v>
                </c:pt>
                <c:pt idx="469">
                  <c:v>64.54400367454069</c:v>
                </c:pt>
                <c:pt idx="470">
                  <c:v>32.267375320020477</c:v>
                </c:pt>
                <c:pt idx="471">
                  <c:v>33.145360819831012</c:v>
                </c:pt>
                <c:pt idx="472">
                  <c:v>42.467493550408477</c:v>
                </c:pt>
                <c:pt idx="473">
                  <c:v>33.808268036227631</c:v>
                </c:pt>
                <c:pt idx="474">
                  <c:v>35.160598757676738</c:v>
                </c:pt>
                <c:pt idx="475">
                  <c:v>48.170020298017135</c:v>
                </c:pt>
                <c:pt idx="476">
                  <c:v>44.169744513539179</c:v>
                </c:pt>
                <c:pt idx="477">
                  <c:v>66.916561170375431</c:v>
                </c:pt>
                <c:pt idx="478">
                  <c:v>115.68645621159868</c:v>
                </c:pt>
                <c:pt idx="479">
                  <c:v>59.945690888914022</c:v>
                </c:pt>
                <c:pt idx="480">
                  <c:v>277.64169343403654</c:v>
                </c:pt>
                <c:pt idx="481">
                  <c:v>124.0974235803648</c:v>
                </c:pt>
                <c:pt idx="482">
                  <c:v>58.893692546613806</c:v>
                </c:pt>
                <c:pt idx="483">
                  <c:v>29.446846273306903</c:v>
                </c:pt>
                <c:pt idx="484">
                  <c:v>500.59638664621735</c:v>
                </c:pt>
                <c:pt idx="485">
                  <c:v>253.45321256667728</c:v>
                </c:pt>
                <c:pt idx="486">
                  <c:v>120.94240433679622</c:v>
                </c:pt>
                <c:pt idx="487">
                  <c:v>65.203731033750998</c:v>
                </c:pt>
                <c:pt idx="488">
                  <c:v>933.88569609630463</c:v>
                </c:pt>
                <c:pt idx="489">
                  <c:v>432.23763636889777</c:v>
                </c:pt>
                <c:pt idx="490">
                  <c:v>210.33461623790646</c:v>
                </c:pt>
                <c:pt idx="491">
                  <c:v>80.978827251593984</c:v>
                </c:pt>
                <c:pt idx="492">
                  <c:v>938.09238842106276</c:v>
                </c:pt>
                <c:pt idx="493">
                  <c:v>467.99452112934188</c:v>
                </c:pt>
                <c:pt idx="494">
                  <c:v>227.16138553693898</c:v>
                </c:pt>
                <c:pt idx="495">
                  <c:v>100.96061579419509</c:v>
                </c:pt>
                <c:pt idx="496">
                  <c:v>6.5316313364055292</c:v>
                </c:pt>
                <c:pt idx="497">
                  <c:v>18.098759651817716</c:v>
                </c:pt>
                <c:pt idx="498">
                  <c:v>20.074996825396823</c:v>
                </c:pt>
                <c:pt idx="499">
                  <c:v>1.7653941780655935</c:v>
                </c:pt>
                <c:pt idx="500">
                  <c:v>40.219130522847735</c:v>
                </c:pt>
                <c:pt idx="501">
                  <c:v>246.88971212045143</c:v>
                </c:pt>
                <c:pt idx="502">
                  <c:v>-3.0396636599776006</c:v>
                </c:pt>
                <c:pt idx="503">
                  <c:v>2.0574142676704286</c:v>
                </c:pt>
                <c:pt idx="504">
                  <c:v>10.738375113195978</c:v>
                </c:pt>
                <c:pt idx="505">
                  <c:v>60.26232758208868</c:v>
                </c:pt>
                <c:pt idx="506">
                  <c:v>77.119850936549611</c:v>
                </c:pt>
                <c:pt idx="507">
                  <c:v>2495.4444020776809</c:v>
                </c:pt>
                <c:pt idx="508">
                  <c:v>0.93977374291010529</c:v>
                </c:pt>
                <c:pt idx="509">
                  <c:v>3.8759030074823553</c:v>
                </c:pt>
                <c:pt idx="510">
                  <c:v>15.264686502070923</c:v>
                </c:pt>
                <c:pt idx="511">
                  <c:v>85.614980815962994</c:v>
                </c:pt>
                <c:pt idx="512">
                  <c:v>70.084821505160406</c:v>
                </c:pt>
                <c:pt idx="513">
                  <c:v>2004.3197059240947</c:v>
                </c:pt>
                <c:pt idx="514">
                  <c:v>121.45380999473821</c:v>
                </c:pt>
                <c:pt idx="515">
                  <c:v>16.061104928265927</c:v>
                </c:pt>
                <c:pt idx="516">
                  <c:v>38.626293670457727</c:v>
                </c:pt>
                <c:pt idx="517">
                  <c:v>3.198947345216602</c:v>
                </c:pt>
                <c:pt idx="518">
                  <c:v>99.552303274375575</c:v>
                </c:pt>
                <c:pt idx="519">
                  <c:v>6.8359248248404567</c:v>
                </c:pt>
                <c:pt idx="520">
                  <c:v>69.022930270233729</c:v>
                </c:pt>
                <c:pt idx="521">
                  <c:v>38.936011947311336</c:v>
                </c:pt>
                <c:pt idx="522">
                  <c:v>68.138020907794825</c:v>
                </c:pt>
                <c:pt idx="523">
                  <c:v>34.069010453897413</c:v>
                </c:pt>
                <c:pt idx="524">
                  <c:v>14.60100448024175</c:v>
                </c:pt>
                <c:pt idx="525">
                  <c:v>87.606026881450504</c:v>
                </c:pt>
                <c:pt idx="526">
                  <c:v>248.21707616410978</c:v>
                </c:pt>
                <c:pt idx="527">
                  <c:v>1.4601004480241748</c:v>
                </c:pt>
                <c:pt idx="528">
                  <c:v>121.67503733534791</c:v>
                </c:pt>
                <c:pt idx="529">
                  <c:v>9.7340029868278339</c:v>
                </c:pt>
                <c:pt idx="530">
                  <c:v>14.60100448024175</c:v>
                </c:pt>
                <c:pt idx="531">
                  <c:v>38.936011947311336</c:v>
                </c:pt>
                <c:pt idx="532">
                  <c:v>58.404017920967</c:v>
                </c:pt>
                <c:pt idx="533">
                  <c:v>38.936011947311336</c:v>
                </c:pt>
                <c:pt idx="534">
                  <c:v>23.866005504976972</c:v>
                </c:pt>
                <c:pt idx="535">
                  <c:v>378.13946875738816</c:v>
                </c:pt>
                <c:pt idx="536">
                  <c:v>151.00093360657286</c:v>
                </c:pt>
                <c:pt idx="537">
                  <c:v>222.78478108761595</c:v>
                </c:pt>
                <c:pt idx="538">
                  <c:v>91.428835327186519</c:v>
                </c:pt>
                <c:pt idx="539">
                  <c:v>38.281179019106553</c:v>
                </c:pt>
                <c:pt idx="540">
                  <c:v>12.862157583049322</c:v>
                </c:pt>
                <c:pt idx="541">
                  <c:v>3.4113255922019361</c:v>
                </c:pt>
                <c:pt idx="542">
                  <c:v>-1.0486175944900893</c:v>
                </c:pt>
                <c:pt idx="543">
                  <c:v>44.884606942252525</c:v>
                </c:pt>
                <c:pt idx="544">
                  <c:v>91.51312335883901</c:v>
                </c:pt>
                <c:pt idx="545">
                  <c:v>21.033461623790647</c:v>
                </c:pt>
                <c:pt idx="546">
                  <c:v>44.170269409960355</c:v>
                </c:pt>
                <c:pt idx="547">
                  <c:v>211.38628931909599</c:v>
                </c:pt>
                <c:pt idx="548">
                  <c:v>25.240153948548773</c:v>
                </c:pt>
                <c:pt idx="549">
                  <c:v>52.583654059476615</c:v>
                </c:pt>
                <c:pt idx="550">
                  <c:v>216.64465472504367</c:v>
                </c:pt>
                <c:pt idx="551">
                  <c:v>11.568403893084856</c:v>
                </c:pt>
                <c:pt idx="552">
                  <c:v>28.395173192117372</c:v>
                </c:pt>
                <c:pt idx="553">
                  <c:v>135.66582747344967</c:v>
                </c:pt>
                <c:pt idx="554">
                  <c:v>11.568403893084856</c:v>
                </c:pt>
                <c:pt idx="555">
                  <c:v>29.446846273306903</c:v>
                </c:pt>
                <c:pt idx="556">
                  <c:v>134.61415439226013</c:v>
                </c:pt>
                <c:pt idx="557">
                  <c:v>12.620076974274387</c:v>
                </c:pt>
                <c:pt idx="558">
                  <c:v>31.550192435685968</c:v>
                </c:pt>
                <c:pt idx="559">
                  <c:v>145.13088520415545</c:v>
                </c:pt>
                <c:pt idx="560">
                  <c:v>11.568403893084856</c:v>
                </c:pt>
                <c:pt idx="561">
                  <c:v>27.343500110927838</c:v>
                </c:pt>
                <c:pt idx="562">
                  <c:v>124.0974235803648</c:v>
                </c:pt>
                <c:pt idx="563">
                  <c:v>14.723423136653452</c:v>
                </c:pt>
                <c:pt idx="564">
                  <c:v>32.601865516875499</c:v>
                </c:pt>
                <c:pt idx="565">
                  <c:v>136.7175005546392</c:v>
                </c:pt>
                <c:pt idx="566">
                  <c:v>5.2583654059476617</c:v>
                </c:pt>
                <c:pt idx="567">
                  <c:v>15.775096217842984</c:v>
                </c:pt>
                <c:pt idx="568">
                  <c:v>67.307077196130066</c:v>
                </c:pt>
                <c:pt idx="569">
                  <c:v>6.3100384871371933</c:v>
                </c:pt>
                <c:pt idx="570">
                  <c:v>18.930115461411582</c:v>
                </c:pt>
                <c:pt idx="571">
                  <c:v>75.720461845646327</c:v>
                </c:pt>
                <c:pt idx="572">
                  <c:v>7.3617115683267258</c:v>
                </c:pt>
                <c:pt idx="573">
                  <c:v>19.981788542601112</c:v>
                </c:pt>
                <c:pt idx="574">
                  <c:v>80.978827251593984</c:v>
                </c:pt>
                <c:pt idx="575">
                  <c:v>2.1033461623790646</c:v>
                </c:pt>
                <c:pt idx="576">
                  <c:v>6.3100384871371933</c:v>
                </c:pt>
                <c:pt idx="577">
                  <c:v>22.085134704980177</c:v>
                </c:pt>
                <c:pt idx="578">
                  <c:v>3.1550192435685966</c:v>
                </c:pt>
                <c:pt idx="579">
                  <c:v>8.4133846495162583</c:v>
                </c:pt>
                <c:pt idx="580">
                  <c:v>34.705211679254568</c:v>
                </c:pt>
                <c:pt idx="581">
                  <c:v>0</c:v>
                </c:pt>
                <c:pt idx="582">
                  <c:v>3.1550192435685966</c:v>
                </c:pt>
                <c:pt idx="583">
                  <c:v>7.3617115683267258</c:v>
                </c:pt>
                <c:pt idx="584">
                  <c:v>1.0516730811895323</c:v>
                </c:pt>
                <c:pt idx="585">
                  <c:v>6.3100384871371933</c:v>
                </c:pt>
                <c:pt idx="586">
                  <c:v>13.671750055463919</c:v>
                </c:pt>
                <c:pt idx="587">
                  <c:v>1.0516730811895323</c:v>
                </c:pt>
                <c:pt idx="588">
                  <c:v>6.3100384871371933</c:v>
                </c:pt>
                <c:pt idx="589">
                  <c:v>13.671750055463919</c:v>
                </c:pt>
                <c:pt idx="590">
                  <c:v>279.74503959641561</c:v>
                </c:pt>
                <c:pt idx="591">
                  <c:v>128.30411590512293</c:v>
                </c:pt>
                <c:pt idx="592">
                  <c:v>65.203731033750998</c:v>
                </c:pt>
                <c:pt idx="593">
                  <c:v>36.808557841633629</c:v>
                </c:pt>
                <c:pt idx="594">
                  <c:v>22.085134704980177</c:v>
                </c:pt>
                <c:pt idx="595">
                  <c:v>5.2583654059476617</c:v>
                </c:pt>
                <c:pt idx="596">
                  <c:v>57.842019465424279</c:v>
                </c:pt>
                <c:pt idx="597">
                  <c:v>184.04278920816816</c:v>
                </c:pt>
                <c:pt idx="598">
                  <c:v>14.723423136653452</c:v>
                </c:pt>
                <c:pt idx="599">
                  <c:v>6.3100384871371933</c:v>
                </c:pt>
                <c:pt idx="600">
                  <c:v>-1.4723423136653451</c:v>
                </c:pt>
                <c:pt idx="601">
                  <c:v>152.49259677248219</c:v>
                </c:pt>
                <c:pt idx="602">
                  <c:v>73.617115683267258</c:v>
                </c:pt>
                <c:pt idx="603">
                  <c:v>1.0516730811895323</c:v>
                </c:pt>
                <c:pt idx="604">
                  <c:v>43.399706823466232</c:v>
                </c:pt>
                <c:pt idx="605">
                  <c:v>43.896887235763693</c:v>
                </c:pt>
                <c:pt idx="606">
                  <c:v>38.324323447929608</c:v>
                </c:pt>
                <c:pt idx="607">
                  <c:v>40.395908499169046</c:v>
                </c:pt>
                <c:pt idx="608">
                  <c:v>37.288530922309889</c:v>
                </c:pt>
                <c:pt idx="609">
                  <c:v>50.75383375536623</c:v>
                </c:pt>
                <c:pt idx="610">
                  <c:v>26.930605666112697</c:v>
                </c:pt>
                <c:pt idx="611">
                  <c:v>50.75383375536623</c:v>
                </c:pt>
                <c:pt idx="612">
                  <c:v>31.07377576859157</c:v>
                </c:pt>
                <c:pt idx="613">
                  <c:v>40.395908499169046</c:v>
                </c:pt>
                <c:pt idx="614">
                  <c:v>43.503286076028203</c:v>
                </c:pt>
                <c:pt idx="615">
                  <c:v>65.254929114042298</c:v>
                </c:pt>
                <c:pt idx="616">
                  <c:v>36.25273839669017</c:v>
                </c:pt>
                <c:pt idx="617">
                  <c:v>34.181153345450724</c:v>
                </c:pt>
                <c:pt idx="618">
                  <c:v>48.682248704126799</c:v>
                </c:pt>
                <c:pt idx="619">
                  <c:v>23.823228089253536</c:v>
                </c:pt>
                <c:pt idx="620">
                  <c:v>45.574871127267635</c:v>
                </c:pt>
                <c:pt idx="621">
                  <c:v>43.503286076028203</c:v>
                </c:pt>
                <c:pt idx="622">
                  <c:v>49.718041229746518</c:v>
                </c:pt>
                <c:pt idx="623">
                  <c:v>38.324323447929608</c:v>
                </c:pt>
                <c:pt idx="624">
                  <c:v>46.610663652887361</c:v>
                </c:pt>
                <c:pt idx="625">
                  <c:v>50.75383375536623</c:v>
                </c:pt>
                <c:pt idx="626">
                  <c:v>44.539078601647923</c:v>
                </c:pt>
                <c:pt idx="627">
                  <c:v>72.505476793380339</c:v>
                </c:pt>
                <c:pt idx="628">
                  <c:v>46.610663652887361</c:v>
                </c:pt>
                <c:pt idx="629">
                  <c:v>88.042364677676119</c:v>
                </c:pt>
                <c:pt idx="630">
                  <c:v>35.21694587107045</c:v>
                </c:pt>
                <c:pt idx="631">
                  <c:v>49.718041229746518</c:v>
                </c:pt>
                <c:pt idx="632">
                  <c:v>63.183344062802867</c:v>
                </c:pt>
                <c:pt idx="633">
                  <c:v>101.50766751073246</c:v>
                </c:pt>
                <c:pt idx="634">
                  <c:v>49.718041229746518</c:v>
                </c:pt>
                <c:pt idx="635">
                  <c:v>45.574871127267635</c:v>
                </c:pt>
                <c:pt idx="636">
                  <c:v>78.720231947098654</c:v>
                </c:pt>
                <c:pt idx="637">
                  <c:v>48.682248704126799</c:v>
                </c:pt>
                <c:pt idx="638">
                  <c:v>84.934987100816954</c:v>
                </c:pt>
                <c:pt idx="639">
                  <c:v>78.720231947098654</c:v>
                </c:pt>
                <c:pt idx="640">
                  <c:v>93.221327305774722</c:v>
                </c:pt>
                <c:pt idx="641">
                  <c:v>87.006572152056407</c:v>
                </c:pt>
                <c:pt idx="642">
                  <c:v>53.861211332225395</c:v>
                </c:pt>
                <c:pt idx="643">
                  <c:v>60.075966485943709</c:v>
                </c:pt>
                <c:pt idx="644">
                  <c:v>49.718041229746518</c:v>
                </c:pt>
                <c:pt idx="645">
                  <c:v>92.185534780154995</c:v>
                </c:pt>
                <c:pt idx="646">
                  <c:v>67.32651416528175</c:v>
                </c:pt>
                <c:pt idx="647">
                  <c:v>134.6530283305635</c:v>
                </c:pt>
                <c:pt idx="648">
                  <c:v>37.288530922309889</c:v>
                </c:pt>
                <c:pt idx="649">
                  <c:v>56.968588909084552</c:v>
                </c:pt>
                <c:pt idx="650">
                  <c:v>93.221327305774722</c:v>
                </c:pt>
                <c:pt idx="651">
                  <c:v>143.97516106114097</c:v>
                </c:pt>
                <c:pt idx="652">
                  <c:v>59.040173960323983</c:v>
                </c:pt>
                <c:pt idx="653">
                  <c:v>53.861211332225395</c:v>
                </c:pt>
                <c:pt idx="654">
                  <c:v>107.72242266445079</c:v>
                </c:pt>
                <c:pt idx="655">
                  <c:v>75.612854370239489</c:v>
                </c:pt>
                <c:pt idx="656">
                  <c:v>152.26150126609872</c:v>
                </c:pt>
                <c:pt idx="657">
                  <c:v>134.6530283305635</c:v>
                </c:pt>
                <c:pt idx="658">
                  <c:v>156.4046713685776</c:v>
                </c:pt>
                <c:pt idx="659">
                  <c:v>160.54784147105644</c:v>
                </c:pt>
                <c:pt idx="660">
                  <c:v>75.612854370239489</c:v>
                </c:pt>
                <c:pt idx="661">
                  <c:v>89.078157203295845</c:v>
                </c:pt>
                <c:pt idx="662">
                  <c:v>65.254929114042298</c:v>
                </c:pt>
                <c:pt idx="663">
                  <c:v>178.15631440659169</c:v>
                </c:pt>
                <c:pt idx="664">
                  <c:v>178.15631440659169</c:v>
                </c:pt>
                <c:pt idx="665">
                  <c:v>408.10225509416932</c:v>
                </c:pt>
                <c:pt idx="666">
                  <c:v>44.539078601647923</c:v>
                </c:pt>
                <c:pt idx="667">
                  <c:v>79.756024472718366</c:v>
                </c:pt>
                <c:pt idx="668">
                  <c:v>397.74432983797215</c:v>
                </c:pt>
                <c:pt idx="669">
                  <c:v>435.03286076028201</c:v>
                </c:pt>
                <c:pt idx="670">
                  <c:v>87.006572152056407</c:v>
                </c:pt>
                <c:pt idx="671">
                  <c:v>75.612854370239489</c:v>
                </c:pt>
                <c:pt idx="672">
                  <c:v>226.83856311071847</c:v>
                </c:pt>
                <c:pt idx="673">
                  <c:v>226.83856311071847</c:v>
                </c:pt>
                <c:pt idx="674">
                  <c:v>1044.0788658246768</c:v>
                </c:pt>
                <c:pt idx="675">
                  <c:v>743.69903339495829</c:v>
                </c:pt>
                <c:pt idx="676">
                  <c:v>748.87799602305688</c:v>
                </c:pt>
                <c:pt idx="677">
                  <c:v>804.81079240652173</c:v>
                </c:pt>
                <c:pt idx="678">
                  <c:v>35.21694587107045</c:v>
                </c:pt>
                <c:pt idx="679">
                  <c:v>36.25273839669017</c:v>
                </c:pt>
                <c:pt idx="680">
                  <c:v>34.181153345450724</c:v>
                </c:pt>
                <c:pt idx="681">
                  <c:v>53.861211332225395</c:v>
                </c:pt>
                <c:pt idx="682">
                  <c:v>24.859020614873259</c:v>
                </c:pt>
                <c:pt idx="683">
                  <c:v>66.290721639662024</c:v>
                </c:pt>
                <c:pt idx="684">
                  <c:v>27.966398191732413</c:v>
                </c:pt>
                <c:pt idx="685">
                  <c:v>36.25273839669017</c:v>
                </c:pt>
                <c:pt idx="686">
                  <c:v>43.503286076028203</c:v>
                </c:pt>
                <c:pt idx="687">
                  <c:v>51.789626280985956</c:v>
                </c:pt>
                <c:pt idx="688">
                  <c:v>33.145360819831012</c:v>
                </c:pt>
                <c:pt idx="689">
                  <c:v>30.037983242971855</c:v>
                </c:pt>
                <c:pt idx="690">
                  <c:v>45.574871127267635</c:v>
                </c:pt>
                <c:pt idx="691">
                  <c:v>20.715850512394383</c:v>
                </c:pt>
                <c:pt idx="692">
                  <c:v>40.395908499169046</c:v>
                </c:pt>
                <c:pt idx="693">
                  <c:v>37.288530922309889</c:v>
                </c:pt>
                <c:pt idx="694">
                  <c:v>44.539078601647923</c:v>
                </c:pt>
                <c:pt idx="695">
                  <c:v>32.109568294211293</c:v>
                </c:pt>
                <c:pt idx="696">
                  <c:v>42.467493550408477</c:v>
                </c:pt>
                <c:pt idx="697">
                  <c:v>43.503286076028203</c:v>
                </c:pt>
                <c:pt idx="698">
                  <c:v>39.360115973549327</c:v>
                </c:pt>
                <c:pt idx="699">
                  <c:v>74.577061844619777</c:v>
                </c:pt>
                <c:pt idx="700">
                  <c:v>41.431701024788765</c:v>
                </c:pt>
                <c:pt idx="701">
                  <c:v>110.82980024130995</c:v>
                </c:pt>
                <c:pt idx="702">
                  <c:v>31.07377576859157</c:v>
                </c:pt>
                <c:pt idx="703">
                  <c:v>43.503286076028203</c:v>
                </c:pt>
                <c:pt idx="704">
                  <c:v>55.932796383464826</c:v>
                </c:pt>
                <c:pt idx="705">
                  <c:v>65.254929114042298</c:v>
                </c:pt>
                <c:pt idx="706">
                  <c:v>43.503286076028203</c:v>
                </c:pt>
                <c:pt idx="707">
                  <c:v>39.360115973549327</c:v>
                </c:pt>
                <c:pt idx="708">
                  <c:v>70.433891742140901</c:v>
                </c:pt>
                <c:pt idx="709">
                  <c:v>42.467493550408477</c:v>
                </c:pt>
                <c:pt idx="710">
                  <c:v>63.183344062802867</c:v>
                </c:pt>
                <c:pt idx="711">
                  <c:v>56.968588909084552</c:v>
                </c:pt>
                <c:pt idx="712">
                  <c:v>71.469684267760613</c:v>
                </c:pt>
                <c:pt idx="713">
                  <c:v>64.219136588422586</c:v>
                </c:pt>
                <c:pt idx="714">
                  <c:v>47.646456178507073</c:v>
                </c:pt>
                <c:pt idx="715">
                  <c:v>48.682248704126799</c:v>
                </c:pt>
                <c:pt idx="716">
                  <c:v>43.503286076028203</c:v>
                </c:pt>
                <c:pt idx="717">
                  <c:v>92.185534780154995</c:v>
                </c:pt>
                <c:pt idx="718">
                  <c:v>60.075966485943709</c:v>
                </c:pt>
                <c:pt idx="719">
                  <c:v>155.36887884295788</c:v>
                </c:pt>
                <c:pt idx="720">
                  <c:v>33.145360819831012</c:v>
                </c:pt>
                <c:pt idx="721">
                  <c:v>48.682248704126799</c:v>
                </c:pt>
                <c:pt idx="722">
                  <c:v>66.290721639662024</c:v>
                </c:pt>
                <c:pt idx="723">
                  <c:v>75.612854370239489</c:v>
                </c:pt>
                <c:pt idx="724">
                  <c:v>50.75383375536623</c:v>
                </c:pt>
                <c:pt idx="725">
                  <c:v>46.610663652887361</c:v>
                </c:pt>
                <c:pt idx="726">
                  <c:v>92.185534780154995</c:v>
                </c:pt>
                <c:pt idx="727">
                  <c:v>63.183344062802867</c:v>
                </c:pt>
                <c:pt idx="728">
                  <c:v>93.221327305774722</c:v>
                </c:pt>
                <c:pt idx="729">
                  <c:v>87.006572152056407</c:v>
                </c:pt>
                <c:pt idx="730">
                  <c:v>107.72242266445079</c:v>
                </c:pt>
                <c:pt idx="731">
                  <c:v>107.72242266445079</c:v>
                </c:pt>
                <c:pt idx="732">
                  <c:v>62.147551537183141</c:v>
                </c:pt>
                <c:pt idx="733">
                  <c:v>64.219136588422586</c:v>
                </c:pt>
                <c:pt idx="734">
                  <c:v>54.897003857845114</c:v>
                </c:pt>
                <c:pt idx="735">
                  <c:v>148.11833116361981</c:v>
                </c:pt>
                <c:pt idx="736">
                  <c:v>148.11833116361981</c:v>
                </c:pt>
                <c:pt idx="737">
                  <c:v>327.31043809583122</c:v>
                </c:pt>
                <c:pt idx="738">
                  <c:v>38.324323447929608</c:v>
                </c:pt>
                <c:pt idx="739">
                  <c:v>65.254929114042298</c:v>
                </c:pt>
                <c:pt idx="740">
                  <c:v>100.47187498511275</c:v>
                </c:pt>
                <c:pt idx="741">
                  <c:v>108.7582151900705</c:v>
                </c:pt>
                <c:pt idx="742">
                  <c:v>70.433891742140901</c:v>
                </c:pt>
                <c:pt idx="743">
                  <c:v>62.147551537183141</c:v>
                </c:pt>
                <c:pt idx="744">
                  <c:v>168.8341816760142</c:v>
                </c:pt>
                <c:pt idx="745">
                  <c:v>168.8341816760142</c:v>
                </c:pt>
                <c:pt idx="746">
                  <c:v>449.53395611895809</c:v>
                </c:pt>
                <c:pt idx="747">
                  <c:v>713.6610501519865</c:v>
                </c:pt>
                <c:pt idx="748">
                  <c:v>524.11101796357786</c:v>
                </c:pt>
                <c:pt idx="749">
                  <c:v>575.90064424456386</c:v>
                </c:pt>
                <c:pt idx="750">
                  <c:v>423.89276597568244</c:v>
                </c:pt>
                <c:pt idx="751">
                  <c:v>544.41129747857258</c:v>
                </c:pt>
                <c:pt idx="752">
                  <c:v>606.7484689455847</c:v>
                </c:pt>
                <c:pt idx="753">
                  <c:v>781.29254905321864</c:v>
                </c:pt>
                <c:pt idx="754">
                  <c:v>315.8416687661948</c:v>
                </c:pt>
                <c:pt idx="755">
                  <c:v>411.42533168228005</c:v>
                </c:pt>
                <c:pt idx="756">
                  <c:v>390.64627452660932</c:v>
                </c:pt>
                <c:pt idx="757">
                  <c:v>473.76250314929217</c:v>
                </c:pt>
                <c:pt idx="758">
                  <c:v>561.03454320310914</c:v>
                </c:pt>
                <c:pt idx="759">
                  <c:v>610.90428037671882</c:v>
                </c:pt>
                <c:pt idx="760">
                  <c:v>905.96689198724289</c:v>
                </c:pt>
                <c:pt idx="761">
                  <c:v>438.04729817374971</c:v>
                </c:pt>
                <c:pt idx="762">
                  <c:v>564.9581976446492</c:v>
                </c:pt>
                <c:pt idx="763">
                  <c:v>433.95339819081755</c:v>
                </c:pt>
                <c:pt idx="764">
                  <c:v>418.57508534564306</c:v>
                </c:pt>
                <c:pt idx="765">
                  <c:v>170.53059032600274</c:v>
                </c:pt>
                <c:pt idx="766">
                  <c:v>180.58467908902691</c:v>
                </c:pt>
                <c:pt idx="767">
                  <c:v>67.719254658385097</c:v>
                </c:pt>
                <c:pt idx="768">
                  <c:v>69.596299709848097</c:v>
                </c:pt>
                <c:pt idx="769">
                  <c:v>298.85469875405357</c:v>
                </c:pt>
                <c:pt idx="770">
                  <c:v>229.25839904420548</c:v>
                </c:pt>
                <c:pt idx="771">
                  <c:v>290.66689878818909</c:v>
                </c:pt>
                <c:pt idx="772">
                  <c:v>433.95339819081755</c:v>
                </c:pt>
                <c:pt idx="773">
                  <c:v>496.48724688996595</c:v>
                </c:pt>
                <c:pt idx="774">
                  <c:v>193.19783655447154</c:v>
                </c:pt>
                <c:pt idx="775">
                  <c:v>82.389486189873224</c:v>
                </c:pt>
                <c:pt idx="776">
                  <c:v>136.93087474379445</c:v>
                </c:pt>
                <c:pt idx="777">
                  <c:v>59.890665649864339</c:v>
                </c:pt>
                <c:pt idx="778">
                  <c:v>26.89239552451799</c:v>
                </c:pt>
                <c:pt idx="779">
                  <c:v>13.300187717456575</c:v>
                </c:pt>
                <c:pt idx="780">
                  <c:v>5.1368988489577792</c:v>
                </c:pt>
                <c:pt idx="781">
                  <c:v>0.942428470997422</c:v>
                </c:pt>
                <c:pt idx="782">
                  <c:v>68.226511844038725</c:v>
                </c:pt>
                <c:pt idx="783">
                  <c:v>436.60985488053808</c:v>
                </c:pt>
                <c:pt idx="784">
                  <c:v>11.707629727900636</c:v>
                </c:pt>
                <c:pt idx="785">
                  <c:v>37.074160805018685</c:v>
                </c:pt>
                <c:pt idx="786">
                  <c:v>56.586877018186414</c:v>
                </c:pt>
                <c:pt idx="787">
                  <c:v>38.56134631028285</c:v>
                </c:pt>
                <c:pt idx="788">
                  <c:v>123.39630819290511</c:v>
                </c:pt>
                <c:pt idx="789">
                  <c:v>258.36102027889507</c:v>
                </c:pt>
                <c:pt idx="790">
                  <c:v>73.706513674350319</c:v>
                </c:pt>
                <c:pt idx="791">
                  <c:v>68.441762697611011</c:v>
                </c:pt>
                <c:pt idx="792">
                  <c:v>68.441762697611011</c:v>
                </c:pt>
                <c:pt idx="793">
                  <c:v>73.706513674350319</c:v>
                </c:pt>
                <c:pt idx="794">
                  <c:v>73.706513674350319</c:v>
                </c:pt>
                <c:pt idx="795">
                  <c:v>31.588505860435856</c:v>
                </c:pt>
                <c:pt idx="796">
                  <c:v>42.118007813914467</c:v>
                </c:pt>
                <c:pt idx="797">
                  <c:v>47.382758790653781</c:v>
                </c:pt>
                <c:pt idx="798">
                  <c:v>25</c:v>
                </c:pt>
                <c:pt idx="799">
                  <c:v>95</c:v>
                </c:pt>
                <c:pt idx="800">
                  <c:v>29.3</c:v>
                </c:pt>
                <c:pt idx="801">
                  <c:v>215.9</c:v>
                </c:pt>
                <c:pt idx="802">
                  <c:v>27.6</c:v>
                </c:pt>
                <c:pt idx="803">
                  <c:v>27.7</c:v>
                </c:pt>
                <c:pt idx="804">
                  <c:v>27.8</c:v>
                </c:pt>
                <c:pt idx="805">
                  <c:v>27.9</c:v>
                </c:pt>
                <c:pt idx="806">
                  <c:v>27.9</c:v>
                </c:pt>
                <c:pt idx="807">
                  <c:v>198.6</c:v>
                </c:pt>
                <c:pt idx="808">
                  <c:v>184.8</c:v>
                </c:pt>
                <c:pt idx="809">
                  <c:v>209.2</c:v>
                </c:pt>
                <c:pt idx="810">
                  <c:v>213.4</c:v>
                </c:pt>
                <c:pt idx="811">
                  <c:v>215.5</c:v>
                </c:pt>
                <c:pt idx="812">
                  <c:v>25</c:v>
                </c:pt>
                <c:pt idx="813">
                  <c:v>95</c:v>
                </c:pt>
                <c:pt idx="814">
                  <c:v>29.3</c:v>
                </c:pt>
                <c:pt idx="815">
                  <c:v>215.9</c:v>
                </c:pt>
                <c:pt idx="816">
                  <c:v>27.6</c:v>
                </c:pt>
                <c:pt idx="817">
                  <c:v>28.1</c:v>
                </c:pt>
                <c:pt idx="818">
                  <c:v>27.4</c:v>
                </c:pt>
                <c:pt idx="819">
                  <c:v>27.4</c:v>
                </c:pt>
                <c:pt idx="820">
                  <c:v>27.4</c:v>
                </c:pt>
                <c:pt idx="821">
                  <c:v>198.6</c:v>
                </c:pt>
                <c:pt idx="822">
                  <c:v>191.9</c:v>
                </c:pt>
                <c:pt idx="823">
                  <c:v>200.4</c:v>
                </c:pt>
                <c:pt idx="824">
                  <c:v>202.8</c:v>
                </c:pt>
                <c:pt idx="825">
                  <c:v>204.3</c:v>
                </c:pt>
                <c:pt idx="826">
                  <c:v>40.938999829322405</c:v>
                </c:pt>
                <c:pt idx="827">
                  <c:v>105213.22956135857</c:v>
                </c:pt>
                <c:pt idx="828">
                  <c:v>18.422549923195081</c:v>
                </c:pt>
                <c:pt idx="829">
                  <c:v>6918.6909711554872</c:v>
                </c:pt>
                <c:pt idx="830">
                  <c:v>180.13159924901859</c:v>
                </c:pt>
                <c:pt idx="831">
                  <c:v>423.89276597568244</c:v>
                </c:pt>
                <c:pt idx="832">
                  <c:v>369.86721737093859</c:v>
                </c:pt>
                <c:pt idx="833">
                  <c:v>619.21590323898704</c:v>
                </c:pt>
                <c:pt idx="834">
                  <c:v>669.08564041259683</c:v>
                </c:pt>
                <c:pt idx="835">
                  <c:v>947.52500629858434</c:v>
                </c:pt>
                <c:pt idx="836">
                  <c:v>131.1085774549617</c:v>
                </c:pt>
                <c:pt idx="837">
                  <c:v>196.66286618244254</c:v>
                </c:pt>
                <c:pt idx="838">
                  <c:v>424.17480941311135</c:v>
                </c:pt>
                <c:pt idx="839">
                  <c:v>616.98154096452561</c:v>
                </c:pt>
                <c:pt idx="840">
                  <c:v>964.03365775707118</c:v>
                </c:pt>
                <c:pt idx="841">
                  <c:v>1233.9630819290512</c:v>
                </c:pt>
                <c:pt idx="842">
                  <c:v>96.40336577570713</c:v>
                </c:pt>
                <c:pt idx="843">
                  <c:v>131.1085774549617</c:v>
                </c:pt>
                <c:pt idx="844">
                  <c:v>254.50488564786681</c:v>
                </c:pt>
                <c:pt idx="845">
                  <c:v>370.18892457871539</c:v>
                </c:pt>
                <c:pt idx="846">
                  <c:v>616.98154096452561</c:v>
                </c:pt>
                <c:pt idx="847">
                  <c:v>886.91096513650564</c:v>
                </c:pt>
                <c:pt idx="848">
                  <c:v>61.698154096452555</c:v>
                </c:pt>
                <c:pt idx="849">
                  <c:v>80.978827251593984</c:v>
                </c:pt>
                <c:pt idx="850">
                  <c:v>158.10151987215968</c:v>
                </c:pt>
                <c:pt idx="851">
                  <c:v>273.7855588030082</c:v>
                </c:pt>
                <c:pt idx="852">
                  <c:v>771.22692620565704</c:v>
                </c:pt>
                <c:pt idx="853">
                  <c:v>2352.2421249272538</c:v>
                </c:pt>
                <c:pt idx="854">
                  <c:v>462.73615572339423</c:v>
                </c:pt>
                <c:pt idx="855">
                  <c:v>1041.156350377637</c:v>
                </c:pt>
                <c:pt idx="856">
                  <c:v>2969.2236658917795</c:v>
                </c:pt>
                <c:pt idx="857">
                  <c:v>5012.9750203367712</c:v>
                </c:pt>
                <c:pt idx="858">
                  <c:v>9640.3365775707116</c:v>
                </c:pt>
                <c:pt idx="859">
                  <c:v>14653.311597907485</c:v>
                </c:pt>
                <c:pt idx="860">
                  <c:v>111.82790429982026</c:v>
                </c:pt>
                <c:pt idx="861">
                  <c:v>131.1085774549617</c:v>
                </c:pt>
                <c:pt idx="862">
                  <c:v>289.21009732712139</c:v>
                </c:pt>
                <c:pt idx="863">
                  <c:v>578.42019465424278</c:v>
                </c:pt>
                <c:pt idx="864">
                  <c:v>4241.7480941311142</c:v>
                </c:pt>
                <c:pt idx="865">
                  <c:v>14653.311597907485</c:v>
                </c:pt>
                <c:pt idx="866">
                  <c:v>38.435716501599366</c:v>
                </c:pt>
                <c:pt idx="867">
                  <c:v>45.586547478641116</c:v>
                </c:pt>
                <c:pt idx="868">
                  <c:v>31.284885524557627</c:v>
                </c:pt>
                <c:pt idx="869">
                  <c:v>30.391031652427408</c:v>
                </c:pt>
                <c:pt idx="870">
                  <c:v>75.977579131068524</c:v>
                </c:pt>
                <c:pt idx="871">
                  <c:v>63.463624921245469</c:v>
                </c:pt>
                <c:pt idx="872">
                  <c:v>50.055816839292206</c:v>
                </c:pt>
                <c:pt idx="873">
                  <c:v>39.306877245803065</c:v>
                </c:pt>
                <c:pt idx="874">
                  <c:v>38.452379914372564</c:v>
                </c:pt>
                <c:pt idx="875">
                  <c:v>37.597882582942063</c:v>
                </c:pt>
                <c:pt idx="876">
                  <c:v>41.015871908664067</c:v>
                </c:pt>
                <c:pt idx="877">
                  <c:v>43.579363902955571</c:v>
                </c:pt>
                <c:pt idx="878">
                  <c:v>40.161374577233559</c:v>
                </c:pt>
                <c:pt idx="879">
                  <c:v>41.870369240094568</c:v>
                </c:pt>
                <c:pt idx="880">
                  <c:v>107.66666376024318</c:v>
                </c:pt>
                <c:pt idx="881">
                  <c:v>105.95766909738217</c:v>
                </c:pt>
                <c:pt idx="882">
                  <c:v>105.10317176595167</c:v>
                </c:pt>
                <c:pt idx="883">
                  <c:v>111.93915041739568</c:v>
                </c:pt>
                <c:pt idx="884">
                  <c:v>117.92063173740918</c:v>
                </c:pt>
                <c:pt idx="885">
                  <c:v>111.08465308596517</c:v>
                </c:pt>
                <c:pt idx="886">
                  <c:v>115.35713974311768</c:v>
                </c:pt>
                <c:pt idx="887">
                  <c:v>951.57012732881287</c:v>
                </c:pt>
                <c:pt idx="888">
                  <c:v>815.63153771041107</c:v>
                </c:pt>
                <c:pt idx="889">
                  <c:v>654.6516289517773</c:v>
                </c:pt>
                <c:pt idx="890">
                  <c:v>500.8263828046384</c:v>
                </c:pt>
                <c:pt idx="891">
                  <c:v>329.11448012876235</c:v>
                </c:pt>
                <c:pt idx="892">
                  <c:v>160.97990875863374</c:v>
                </c:pt>
                <c:pt idx="893">
                  <c:v>3.5773313057474168</c:v>
                </c:pt>
                <c:pt idx="894">
                  <c:v>45.989188137515526</c:v>
                </c:pt>
                <c:pt idx="895">
                  <c:v>78.720231947098654</c:v>
                </c:pt>
                <c:pt idx="896">
                  <c:v>94.257119831394448</c:v>
                </c:pt>
                <c:pt idx="897">
                  <c:v>203.01533502146492</c:v>
                </c:pt>
                <c:pt idx="898">
                  <c:v>184.37106956030999</c:v>
                </c:pt>
                <c:pt idx="899">
                  <c:v>122.22351802312686</c:v>
                </c:pt>
                <c:pt idx="900">
                  <c:v>137.76040590742264</c:v>
                </c:pt>
                <c:pt idx="901">
                  <c:v>280.69977444294386</c:v>
                </c:pt>
                <c:pt idx="902">
                  <c:v>241.33965846939458</c:v>
                </c:pt>
                <c:pt idx="903">
                  <c:v>72.505476793380339</c:v>
                </c:pt>
                <c:pt idx="904">
                  <c:v>104.61504508759162</c:v>
                </c:pt>
                <c:pt idx="905">
                  <c:v>237.19648836691567</c:v>
                </c:pt>
                <c:pt idx="906">
                  <c:v>113.9371778181691</c:v>
                </c:pt>
                <c:pt idx="907">
                  <c:v>152.26150126609872</c:v>
                </c:pt>
                <c:pt idx="908">
                  <c:v>340.77574092888756</c:v>
                </c:pt>
                <c:pt idx="909">
                  <c:v>228.68178698383454</c:v>
                </c:pt>
                <c:pt idx="910">
                  <c:v>34.233730174051182</c:v>
                </c:pt>
                <c:pt idx="911">
                  <c:v>150.6084799744622</c:v>
                </c:pt>
                <c:pt idx="912">
                  <c:v>244.53502662130509</c:v>
                </c:pt>
                <c:pt idx="913">
                  <c:v>75.041521571032916</c:v>
                </c:pt>
                <c:pt idx="914">
                  <c:v>129.75592556453651</c:v>
                </c:pt>
                <c:pt idx="915">
                  <c:v>61.959524120007401</c:v>
                </c:pt>
                <c:pt idx="916">
                  <c:v>150.6084799744622</c:v>
                </c:pt>
                <c:pt idx="917">
                  <c:v>141.45870312014787</c:v>
                </c:pt>
                <c:pt idx="918">
                  <c:v>870.11502524478351</c:v>
                </c:pt>
                <c:pt idx="919">
                  <c:v>318.12803377695985</c:v>
                </c:pt>
                <c:pt idx="920">
                  <c:v>386.04422462707691</c:v>
                </c:pt>
                <c:pt idx="921">
                  <c:v>244.53497483167882</c:v>
                </c:pt>
                <c:pt idx="922">
                  <c:v>2459.5090321420098</c:v>
                </c:pt>
                <c:pt idx="923">
                  <c:v>34.625690288713912</c:v>
                </c:pt>
                <c:pt idx="924">
                  <c:v>62.955800524934382</c:v>
                </c:pt>
                <c:pt idx="925">
                  <c:v>27.280846894138232</c:v>
                </c:pt>
                <c:pt idx="926">
                  <c:v>13.115791776027995</c:v>
                </c:pt>
                <c:pt idx="927">
                  <c:v>57.709483814523189</c:v>
                </c:pt>
                <c:pt idx="928">
                  <c:v>146.89686789151358</c:v>
                </c:pt>
                <c:pt idx="929">
                  <c:v>1.5738950131233593</c:v>
                </c:pt>
                <c:pt idx="930">
                  <c:v>73.44843394575679</c:v>
                </c:pt>
                <c:pt idx="931">
                  <c:v>10.492633420822397</c:v>
                </c:pt>
                <c:pt idx="932">
                  <c:v>14.165055118110237</c:v>
                </c:pt>
                <c:pt idx="933">
                  <c:v>29.379373578302712</c:v>
                </c:pt>
                <c:pt idx="934">
                  <c:v>34.101058617672791</c:v>
                </c:pt>
                <c:pt idx="935">
                  <c:v>75</c:v>
                </c:pt>
                <c:pt idx="936">
                  <c:v>37.5</c:v>
                </c:pt>
                <c:pt idx="937">
                  <c:v>200</c:v>
                </c:pt>
                <c:pt idx="938">
                  <c:v>1500</c:v>
                </c:pt>
                <c:pt idx="939">
                  <c:v>293</c:v>
                </c:pt>
                <c:pt idx="940">
                  <c:v>52</c:v>
                </c:pt>
                <c:pt idx="941">
                  <c:v>47.029411764705884</c:v>
                </c:pt>
                <c:pt idx="942">
                  <c:v>263.00787401574803</c:v>
                </c:pt>
                <c:pt idx="943">
                  <c:v>82.133333333333326</c:v>
                </c:pt>
                <c:pt idx="944">
                  <c:v>208.63333333333333</c:v>
                </c:pt>
                <c:pt idx="945">
                  <c:v>80.666666666666671</c:v>
                </c:pt>
                <c:pt idx="946">
                  <c:v>187</c:v>
                </c:pt>
                <c:pt idx="947">
                  <c:v>201.66666666666666</c:v>
                </c:pt>
                <c:pt idx="948">
                  <c:v>260.33333333333331</c:v>
                </c:pt>
                <c:pt idx="949">
                  <c:v>99</c:v>
                </c:pt>
                <c:pt idx="950">
                  <c:v>62.333333333333336</c:v>
                </c:pt>
                <c:pt idx="951">
                  <c:v>97.166666666666671</c:v>
                </c:pt>
                <c:pt idx="952">
                  <c:v>110</c:v>
                </c:pt>
                <c:pt idx="953">
                  <c:v>146.66666666666666</c:v>
                </c:pt>
                <c:pt idx="954">
                  <c:v>70.641050247264843</c:v>
                </c:pt>
                <c:pt idx="955">
                  <c:v>67.222934912719751</c:v>
                </c:pt>
                <c:pt idx="956">
                  <c:v>180.78032213816164</c:v>
                </c:pt>
                <c:pt idx="957">
                  <c:v>94.947648181807594</c:v>
                </c:pt>
                <c:pt idx="958">
                  <c:v>341.05195226905278</c:v>
                </c:pt>
                <c:pt idx="959">
                  <c:v>78.616652694536668</c:v>
                </c:pt>
                <c:pt idx="960">
                  <c:v>24.306597934542744</c:v>
                </c:pt>
                <c:pt idx="961">
                  <c:v>39.49822164363195</c:v>
                </c:pt>
                <c:pt idx="962">
                  <c:v>56.209007723630094</c:v>
                </c:pt>
                <c:pt idx="963">
                  <c:v>46.714242905449332</c:v>
                </c:pt>
                <c:pt idx="964">
                  <c:v>70.261259654537611</c:v>
                </c:pt>
                <c:pt idx="965">
                  <c:v>70.641050247264843</c:v>
                </c:pt>
                <c:pt idx="966">
                  <c:v>63.804819578174694</c:v>
                </c:pt>
                <c:pt idx="967">
                  <c:v>97.98597292362544</c:v>
                </c:pt>
                <c:pt idx="968">
                  <c:v>79.756024472718366</c:v>
                </c:pt>
                <c:pt idx="969">
                  <c:v>118.11487433816865</c:v>
                </c:pt>
                <c:pt idx="970">
                  <c:v>189.89529636361519</c:v>
                </c:pt>
                <c:pt idx="971">
                  <c:v>152.67581827634658</c:v>
                </c:pt>
                <c:pt idx="972">
                  <c:v>175.46325383998041</c:v>
                </c:pt>
                <c:pt idx="973">
                  <c:v>275.34817972724198</c:v>
                </c:pt>
                <c:pt idx="974">
                  <c:v>220.27854378179356</c:v>
                </c:pt>
                <c:pt idx="975">
                  <c:v>474.73824090903793</c:v>
                </c:pt>
                <c:pt idx="976">
                  <c:v>205.08692007270437</c:v>
                </c:pt>
                <c:pt idx="977">
                  <c:v>91.149742254535269</c:v>
                </c:pt>
                <c:pt idx="978">
                  <c:v>72.160212618173773</c:v>
                </c:pt>
                <c:pt idx="979">
                  <c:v>5677.8693612720936</c:v>
                </c:pt>
                <c:pt idx="980">
                  <c:v>3972.6095999268291</c:v>
                </c:pt>
                <c:pt idx="981">
                  <c:v>748.18746767264383</c:v>
                </c:pt>
                <c:pt idx="982">
                  <c:v>125.33089559998602</c:v>
                </c:pt>
                <c:pt idx="983">
                  <c:v>39.049378215863406</c:v>
                </c:pt>
                <c:pt idx="984">
                  <c:v>8.9492474213543733</c:v>
                </c:pt>
                <c:pt idx="985">
                  <c:v>23.253542200162691</c:v>
                </c:pt>
                <c:pt idx="986">
                  <c:v>36.604907855400874</c:v>
                </c:pt>
                <c:pt idx="987">
                  <c:v>48.071131114011159</c:v>
                </c:pt>
                <c:pt idx="988">
                  <c:v>57.766149153811739</c:v>
                </c:pt>
                <c:pt idx="989">
                  <c:v>65.979983881976111</c:v>
                </c:pt>
                <c:pt idx="990">
                  <c:v>39.078136200716841</c:v>
                </c:pt>
                <c:pt idx="991">
                  <c:v>56.968588909084552</c:v>
                </c:pt>
                <c:pt idx="992">
                  <c:v>1572.3330538907335</c:v>
                </c:pt>
                <c:pt idx="993">
                  <c:v>394.63695226111298</c:v>
                </c:pt>
                <c:pt idx="994">
                  <c:v>129.47406570246488</c:v>
                </c:pt>
                <c:pt idx="995">
                  <c:v>89.078157203295845</c:v>
                </c:pt>
                <c:pt idx="996">
                  <c:v>53.861211332225395</c:v>
                </c:pt>
                <c:pt idx="997">
                  <c:v>43.503286076028203</c:v>
                </c:pt>
                <c:pt idx="998">
                  <c:v>95.292912357014146</c:v>
                </c:pt>
                <c:pt idx="999">
                  <c:v>82.86340204957753</c:v>
                </c:pt>
                <c:pt idx="1000">
                  <c:v>362.52738396690165</c:v>
                </c:pt>
                <c:pt idx="1001">
                  <c:v>105.65083761321135</c:v>
                </c:pt>
                <c:pt idx="1002">
                  <c:v>45.574871127267635</c:v>
                </c:pt>
                <c:pt idx="1003">
                  <c:v>108.7582151900705</c:v>
                </c:pt>
                <c:pt idx="1004">
                  <c:v>570.72168161646528</c:v>
                </c:pt>
                <c:pt idx="1005">
                  <c:v>5282.5418806605676</c:v>
                </c:pt>
                <c:pt idx="1006">
                  <c:v>50.08263828046384</c:v>
                </c:pt>
                <c:pt idx="1007">
                  <c:v>160.97990875863374</c:v>
                </c:pt>
                <c:pt idx="1008">
                  <c:v>121.62926439541219</c:v>
                </c:pt>
                <c:pt idx="1009">
                  <c:v>454.32107582992194</c:v>
                </c:pt>
                <c:pt idx="1010">
                  <c:v>71.546626114948339</c:v>
                </c:pt>
                <c:pt idx="1011">
                  <c:v>64.39196350345351</c:v>
                </c:pt>
                <c:pt idx="1012">
                  <c:v>214.63987834484502</c:v>
                </c:pt>
                <c:pt idx="1013">
                  <c:v>132.3612583126544</c:v>
                </c:pt>
                <c:pt idx="1014">
                  <c:v>500.8263828046384</c:v>
                </c:pt>
                <c:pt idx="1015">
                  <c:v>71.546626114948339</c:v>
                </c:pt>
                <c:pt idx="1016">
                  <c:v>64.39196350345351</c:v>
                </c:pt>
                <c:pt idx="1017">
                  <c:v>218.21720965059242</c:v>
                </c:pt>
                <c:pt idx="1018">
                  <c:v>132.3612583126544</c:v>
                </c:pt>
                <c:pt idx="1019">
                  <c:v>504.40371411038575</c:v>
                </c:pt>
                <c:pt idx="1020">
                  <c:v>75.12395742069576</c:v>
                </c:pt>
                <c:pt idx="1021">
                  <c:v>60.814632197706096</c:v>
                </c:pt>
                <c:pt idx="1022">
                  <c:v>207.48521573335017</c:v>
                </c:pt>
                <c:pt idx="1023">
                  <c:v>128.78392700690702</c:v>
                </c:pt>
                <c:pt idx="1024">
                  <c:v>486.51705758164877</c:v>
                </c:pt>
                <c:pt idx="1025">
                  <c:v>71.546626114948339</c:v>
                </c:pt>
                <c:pt idx="1026">
                  <c:v>25.04131914023192</c:v>
                </c:pt>
                <c:pt idx="1027">
                  <c:v>78.701288726443181</c:v>
                </c:pt>
                <c:pt idx="1028">
                  <c:v>64.39196350345351</c:v>
                </c:pt>
                <c:pt idx="1029">
                  <c:v>232.52653487358211</c:v>
                </c:pt>
                <c:pt idx="1030">
                  <c:v>39.350644363221591</c:v>
                </c:pt>
                <c:pt idx="1031">
                  <c:v>60.814632197706096</c:v>
                </c:pt>
                <c:pt idx="1032">
                  <c:v>178.86656528737086</c:v>
                </c:pt>
                <c:pt idx="1033">
                  <c:v>143.09325222989668</c:v>
                </c:pt>
                <c:pt idx="1034">
                  <c:v>490.09438888739612</c:v>
                </c:pt>
                <c:pt idx="1035">
                  <c:v>89.43328264368543</c:v>
                </c:pt>
                <c:pt idx="1036">
                  <c:v>21.463987834484502</c:v>
                </c:pt>
                <c:pt idx="1037">
                  <c:v>71.546626114948339</c:v>
                </c:pt>
                <c:pt idx="1038">
                  <c:v>53.659969586211254</c:v>
                </c:pt>
                <c:pt idx="1039">
                  <c:v>225.37187226208727</c:v>
                </c:pt>
                <c:pt idx="1040">
                  <c:v>39.350644363221591</c:v>
                </c:pt>
                <c:pt idx="1041">
                  <c:v>36.839687494541337</c:v>
                </c:pt>
                <c:pt idx="1042">
                  <c:v>56.968588909084552</c:v>
                </c:pt>
                <c:pt idx="1043">
                  <c:v>60.766494836356841</c:v>
                </c:pt>
                <c:pt idx="1044">
                  <c:v>417.76965199995334</c:v>
                </c:pt>
                <c:pt idx="1045">
                  <c:v>94.947648181807594</c:v>
                </c:pt>
                <c:pt idx="1046">
                  <c:v>47.130441284746432</c:v>
                </c:pt>
                <c:pt idx="1047">
                  <c:v>64.076217926453026</c:v>
                </c:pt>
                <c:pt idx="1048">
                  <c:v>43.423552644373117</c:v>
                </c:pt>
                <c:pt idx="1049">
                  <c:v>66.723995526719676</c:v>
                </c:pt>
                <c:pt idx="1050">
                  <c:v>52.161218725253079</c:v>
                </c:pt>
                <c:pt idx="1051">
                  <c:v>53.643974181402399</c:v>
                </c:pt>
                <c:pt idx="1052">
                  <c:v>33.361997763359838</c:v>
                </c:pt>
                <c:pt idx="1053">
                  <c:v>75.726439367626284</c:v>
                </c:pt>
                <c:pt idx="1054">
                  <c:v>18.534443201866573</c:v>
                </c:pt>
                <c:pt idx="1055">
                  <c:v>64.076217926453026</c:v>
                </c:pt>
                <c:pt idx="1056">
                  <c:v>27.00733152271987</c:v>
                </c:pt>
                <c:pt idx="1057">
                  <c:v>150.39376769514593</c:v>
                </c:pt>
                <c:pt idx="1058">
                  <c:v>29.655109122986524</c:v>
                </c:pt>
                <c:pt idx="1059">
                  <c:v>104.85199297055946</c:v>
                </c:pt>
                <c:pt idx="1060">
                  <c:v>5736.8514672444171</c:v>
                </c:pt>
                <c:pt idx="1061">
                  <c:v>750.20365340888532</c:v>
                </c:pt>
                <c:pt idx="1062">
                  <c:v>92.672216009332885</c:v>
                </c:pt>
                <c:pt idx="1063">
                  <c:v>33.538516270044276</c:v>
                </c:pt>
                <c:pt idx="1064">
                  <c:v>485.42589338221984</c:v>
                </c:pt>
                <c:pt idx="1065">
                  <c:v>158.86665601599921</c:v>
                </c:pt>
                <c:pt idx="1066">
                  <c:v>48.542589338221987</c:v>
                </c:pt>
                <c:pt idx="1067">
                  <c:v>22.506109602266559</c:v>
                </c:pt>
                <c:pt idx="1068">
                  <c:v>136.80184268044377</c:v>
                </c:pt>
                <c:pt idx="1069">
                  <c:v>70.607402673777415</c:v>
                </c:pt>
                <c:pt idx="1070">
                  <c:v>30.008146136355411</c:v>
                </c:pt>
                <c:pt idx="1071">
                  <c:v>16.327961868311032</c:v>
                </c:pt>
                <c:pt idx="1072">
                  <c:v>66.194440006666341</c:v>
                </c:pt>
                <c:pt idx="1073">
                  <c:v>41.481849070844241</c:v>
                </c:pt>
                <c:pt idx="1074">
                  <c:v>20.740924535422121</c:v>
                </c:pt>
                <c:pt idx="1075">
                  <c:v>12.35629546791105</c:v>
                </c:pt>
                <c:pt idx="1076">
                  <c:v>77.872023894622671</c:v>
                </c:pt>
                <c:pt idx="1077">
                  <c:v>77.385323745281283</c:v>
                </c:pt>
                <c:pt idx="1078">
                  <c:v>92.473028374864427</c:v>
                </c:pt>
                <c:pt idx="1079">
                  <c:v>103.66713180971644</c:v>
                </c:pt>
                <c:pt idx="1080">
                  <c:v>95.879929420254157</c:v>
                </c:pt>
                <c:pt idx="1081">
                  <c:v>153.31054704253839</c:v>
                </c:pt>
                <c:pt idx="1082">
                  <c:v>1537.9724719187977</c:v>
                </c:pt>
                <c:pt idx="1083">
                  <c:v>236.04957243057498</c:v>
                </c:pt>
                <c:pt idx="1084">
                  <c:v>107.56073300444758</c:v>
                </c:pt>
                <c:pt idx="1085">
                  <c:v>63.271019414380916</c:v>
                </c:pt>
                <c:pt idx="1086">
                  <c:v>44.207624993449606</c:v>
                </c:pt>
                <c:pt idx="1087">
                  <c:v>41.545638202606931</c:v>
                </c:pt>
                <c:pt idx="1088">
                  <c:v>143.15688496590138</c:v>
                </c:pt>
                <c:pt idx="1089">
                  <c:v>298.670774762446</c:v>
                </c:pt>
                <c:pt idx="1090">
                  <c:v>101.37301448240191</c:v>
                </c:pt>
                <c:pt idx="1091">
                  <c:v>129.32905474887812</c:v>
                </c:pt>
                <c:pt idx="1092">
                  <c:v>9065.256184223781</c:v>
                </c:pt>
                <c:pt idx="1093">
                  <c:v>970.5375965056769</c:v>
                </c:pt>
                <c:pt idx="1094">
                  <c:v>162.6194265222959</c:v>
                </c:pt>
                <c:pt idx="1095">
                  <c:v>78.720231947098654</c:v>
                </c:pt>
                <c:pt idx="1096">
                  <c:v>1351.7092459337332</c:v>
                </c:pt>
                <c:pt idx="1097">
                  <c:v>213.37326027766213</c:v>
                </c:pt>
                <c:pt idx="1098">
                  <c:v>77.684439421478942</c:v>
                </c:pt>
                <c:pt idx="1099">
                  <c:v>31.07377576859157</c:v>
                </c:pt>
                <c:pt idx="1100">
                  <c:v>641.15557335860603</c:v>
                </c:pt>
                <c:pt idx="1101">
                  <c:v>123.25931054874657</c:v>
                </c:pt>
                <c:pt idx="1102">
                  <c:v>49.718041229746518</c:v>
                </c:pt>
                <c:pt idx="1103">
                  <c:v>22.787435563633817</c:v>
                </c:pt>
                <c:pt idx="1104">
                  <c:v>130.5098582280846</c:v>
                </c:pt>
                <c:pt idx="1105">
                  <c:v>38.324323447929608</c:v>
                </c:pt>
                <c:pt idx="1106">
                  <c:v>19.680057986774663</c:v>
                </c:pt>
                <c:pt idx="1107">
                  <c:v>10.357925256197191</c:v>
                </c:pt>
                <c:pt idx="1108">
                  <c:v>20.715850512394383</c:v>
                </c:pt>
                <c:pt idx="1109">
                  <c:v>42.467493550408477</c:v>
                </c:pt>
                <c:pt idx="1110">
                  <c:v>85.970779626436681</c:v>
                </c:pt>
                <c:pt idx="1111">
                  <c:v>138.79619843304235</c:v>
                </c:pt>
                <c:pt idx="1112">
                  <c:v>37.979059272723035</c:v>
                </c:pt>
                <c:pt idx="1113">
                  <c:v>51.271730018176093</c:v>
                </c:pt>
                <c:pt idx="1114">
                  <c:v>53.170682981812249</c:v>
                </c:pt>
                <c:pt idx="1115">
                  <c:v>62.665447799993011</c:v>
                </c:pt>
                <c:pt idx="1116">
                  <c:v>56.968588909084552</c:v>
                </c:pt>
                <c:pt idx="1117">
                  <c:v>53.170682981812249</c:v>
                </c:pt>
                <c:pt idx="1118">
                  <c:v>45.574871127267635</c:v>
                </c:pt>
                <c:pt idx="1119">
                  <c:v>45.574871127267635</c:v>
                </c:pt>
                <c:pt idx="1120">
                  <c:v>30.567785942451401</c:v>
                </c:pt>
                <c:pt idx="1121">
                  <c:v>32.159303245521834</c:v>
                </c:pt>
                <c:pt idx="1122">
                  <c:v>36.03790474920428</c:v>
                </c:pt>
                <c:pt idx="1123">
                  <c:v>45.03305091810256</c:v>
                </c:pt>
                <c:pt idx="1124">
                  <c:v>64.106427612455406</c:v>
                </c:pt>
                <c:pt idx="1125">
                  <c:v>93.482126523244034</c:v>
                </c:pt>
                <c:pt idx="1126">
                  <c:v>295.90626443171953</c:v>
                </c:pt>
                <c:pt idx="1127">
                  <c:v>73.633775992432902</c:v>
                </c:pt>
                <c:pt idx="1128">
                  <c:v>74.620195069784401</c:v>
                </c:pt>
                <c:pt idx="1129">
                  <c:v>94.824423931068154</c:v>
                </c:pt>
                <c:pt idx="1130">
                  <c:v>145.16745498291255</c:v>
                </c:pt>
                <c:pt idx="1131">
                  <c:v>197.82786155225671</c:v>
                </c:pt>
                <c:pt idx="1132">
                  <c:v>333.13945021069708</c:v>
                </c:pt>
                <c:pt idx="1133">
                  <c:v>0.51596967628142287</c:v>
                </c:pt>
                <c:pt idx="1134">
                  <c:v>0.74594453898196278</c:v>
                </c:pt>
                <c:pt idx="1135">
                  <c:v>1.85188437004198</c:v>
                </c:pt>
                <c:pt idx="1136">
                  <c:v>9.856368625662542</c:v>
                </c:pt>
                <c:pt idx="1137">
                  <c:v>84.789971164778507</c:v>
                </c:pt>
                <c:pt idx="1138">
                  <c:v>237.91468314653727</c:v>
                </c:pt>
                <c:pt idx="1139">
                  <c:v>75.16215332823262</c:v>
                </c:pt>
                <c:pt idx="1140">
                  <c:v>0.48240335387164857</c:v>
                </c:pt>
                <c:pt idx="1141">
                  <c:v>69.698007646878764</c:v>
                </c:pt>
                <c:pt idx="1142">
                  <c:v>67.156113051478158</c:v>
                </c:pt>
                <c:pt idx="1143">
                  <c:v>70.505105565856326</c:v>
                </c:pt>
                <c:pt idx="1144">
                  <c:v>140.68551656660674</c:v>
                </c:pt>
                <c:pt idx="1145">
                  <c:v>73.464464602107398</c:v>
                </c:pt>
                <c:pt idx="1146">
                  <c:v>39.427197191432818</c:v>
                </c:pt>
                <c:pt idx="1147">
                  <c:v>116.40344499579349</c:v>
                </c:pt>
                <c:pt idx="1148">
                  <c:v>94.382824817924146</c:v>
                </c:pt>
                <c:pt idx="1149">
                  <c:v>77.011002233160355</c:v>
                </c:pt>
                <c:pt idx="1150">
                  <c:v>63.309283011374873</c:v>
                </c:pt>
                <c:pt idx="1151">
                  <c:v>52.054299364908239</c:v>
                </c:pt>
                <c:pt idx="1152">
                  <c:v>43.490724851292249</c:v>
                </c:pt>
                <c:pt idx="1153">
                  <c:v>36.639865240399509</c:v>
                </c:pt>
                <c:pt idx="1154">
                  <c:v>30.767699859634373</c:v>
                </c:pt>
                <c:pt idx="1155">
                  <c:v>26.608249381592287</c:v>
                </c:pt>
                <c:pt idx="1156">
                  <c:v>22.693472461082123</c:v>
                </c:pt>
                <c:pt idx="1157">
                  <c:v>19.757389770699554</c:v>
                </c:pt>
                <c:pt idx="1158">
                  <c:v>17.55532775291265</c:v>
                </c:pt>
                <c:pt idx="1159">
                  <c:v>15.353265735125644</c:v>
                </c:pt>
                <c:pt idx="1160">
                  <c:v>13.640550832402486</c:v>
                </c:pt>
                <c:pt idx="1161">
                  <c:v>12.172509487211151</c:v>
                </c:pt>
                <c:pt idx="1162">
                  <c:v>10.704468142019817</c:v>
                </c:pt>
                <c:pt idx="1163">
                  <c:v>9.4811003543604908</c:v>
                </c:pt>
                <c:pt idx="1164">
                  <c:v>8.9917532392967257</c:v>
                </c:pt>
                <c:pt idx="1165">
                  <c:v>8.0130590091691865</c:v>
                </c:pt>
                <c:pt idx="1166">
                  <c:v>7.2790383365735183</c:v>
                </c:pt>
                <c:pt idx="1167">
                  <c:v>6.7896912215097531</c:v>
                </c:pt>
                <c:pt idx="1168">
                  <c:v>71.383510409927027</c:v>
                </c:pt>
                <c:pt idx="1169">
                  <c:v>56.947770515545891</c:v>
                </c:pt>
                <c:pt idx="1170">
                  <c:v>46.182133984142993</c:v>
                </c:pt>
                <c:pt idx="1171">
                  <c:v>38.107906585590854</c:v>
                </c:pt>
                <c:pt idx="1172">
                  <c:v>31.746394089761857</c:v>
                </c:pt>
                <c:pt idx="1173">
                  <c:v>26.363575824060462</c:v>
                </c:pt>
                <c:pt idx="1174">
                  <c:v>22.448798903550298</c:v>
                </c:pt>
                <c:pt idx="1175">
                  <c:v>19.757389770699554</c:v>
                </c:pt>
                <c:pt idx="1176">
                  <c:v>17.065980637848803</c:v>
                </c:pt>
                <c:pt idx="1177">
                  <c:v>14.619245062529977</c:v>
                </c:pt>
                <c:pt idx="1178">
                  <c:v>12.661856602274899</c:v>
                </c:pt>
                <c:pt idx="1179">
                  <c:v>11.683162372147406</c:v>
                </c:pt>
                <c:pt idx="1180">
                  <c:v>10.459794584487993</c:v>
                </c:pt>
                <c:pt idx="1181">
                  <c:v>9.4811003543604908</c:v>
                </c:pt>
                <c:pt idx="1182">
                  <c:v>8.5024061242329516</c:v>
                </c:pt>
                <c:pt idx="1183">
                  <c:v>7.5237118941054213</c:v>
                </c:pt>
                <c:pt idx="1184">
                  <c:v>7.2790383365735183</c:v>
                </c:pt>
                <c:pt idx="1185">
                  <c:v>6.300344106445988</c:v>
                </c:pt>
                <c:pt idx="1186">
                  <c:v>5.8109969913822228</c:v>
                </c:pt>
                <c:pt idx="1187">
                  <c:v>5.0769763187865742</c:v>
                </c:pt>
                <c:pt idx="1188">
                  <c:v>5.3216498763184479</c:v>
                </c:pt>
                <c:pt idx="1189">
                  <c:v>25.629555151464793</c:v>
                </c:pt>
                <c:pt idx="1190">
                  <c:v>22.693472461082123</c:v>
                </c:pt>
                <c:pt idx="1191">
                  <c:v>19.512716213167728</c:v>
                </c:pt>
                <c:pt idx="1192">
                  <c:v>17.310654195380728</c:v>
                </c:pt>
                <c:pt idx="1193">
                  <c:v>15.597939292657568</c:v>
                </c:pt>
                <c:pt idx="1194">
                  <c:v>13.885224389934312</c:v>
                </c:pt>
                <c:pt idx="1195">
                  <c:v>12.172509487211151</c:v>
                </c:pt>
                <c:pt idx="1196">
                  <c:v>11.193815257083662</c:v>
                </c:pt>
                <c:pt idx="1197">
                  <c:v>9.9704474694242471</c:v>
                </c:pt>
                <c:pt idx="1198">
                  <c:v>8.9917532392967257</c:v>
                </c:pt>
                <c:pt idx="1199">
                  <c:v>8.0130590091691865</c:v>
                </c:pt>
                <c:pt idx="1200">
                  <c:v>7.7683854516372834</c:v>
                </c:pt>
                <c:pt idx="1201">
                  <c:v>7.0343647790416552</c:v>
                </c:pt>
                <c:pt idx="1202">
                  <c:v>6.300344106445988</c:v>
                </c:pt>
                <c:pt idx="1203">
                  <c:v>6.0556705489141054</c:v>
                </c:pt>
                <c:pt idx="1204">
                  <c:v>5.5663234338503393</c:v>
                </c:pt>
                <c:pt idx="1205">
                  <c:v>5.0769763187865742</c:v>
                </c:pt>
                <c:pt idx="1206">
                  <c:v>4.587629203722809</c:v>
                </c:pt>
                <c:pt idx="1207">
                  <c:v>4.0982820886590243</c:v>
                </c:pt>
                <c:pt idx="1208">
                  <c:v>3.853608531127152</c:v>
                </c:pt>
                <c:pt idx="1209">
                  <c:v>3.853608531127152</c:v>
                </c:pt>
                <c:pt idx="1210">
                  <c:v>3.1344604034599923</c:v>
                </c:pt>
              </c:numCache>
            </c:numRef>
          </c:yVal>
          <c:smooth val="0"/>
        </c:ser>
        <c:ser>
          <c:idx val="1"/>
          <c:order val="1"/>
          <c:tx>
            <c:v>Upper bound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xVal>
            <c:numRef>
              <c:f>Data!$E$6:$E$1216</c:f>
              <c:numCache>
                <c:formatCode>0</c:formatCode>
                <c:ptCount val="1211"/>
                <c:pt idx="0">
                  <c:v>1991</c:v>
                </c:pt>
                <c:pt idx="1">
                  <c:v>1991</c:v>
                </c:pt>
                <c:pt idx="2">
                  <c:v>1991</c:v>
                </c:pt>
                <c:pt idx="3">
                  <c:v>1991</c:v>
                </c:pt>
                <c:pt idx="4">
                  <c:v>1991</c:v>
                </c:pt>
                <c:pt idx="5">
                  <c:v>1991</c:v>
                </c:pt>
                <c:pt idx="6">
                  <c:v>1991</c:v>
                </c:pt>
                <c:pt idx="7">
                  <c:v>1991</c:v>
                </c:pt>
                <c:pt idx="8">
                  <c:v>1991</c:v>
                </c:pt>
                <c:pt idx="9">
                  <c:v>1991</c:v>
                </c:pt>
                <c:pt idx="10">
                  <c:v>1992</c:v>
                </c:pt>
                <c:pt idx="11">
                  <c:v>1992</c:v>
                </c:pt>
                <c:pt idx="12">
                  <c:v>1997</c:v>
                </c:pt>
                <c:pt idx="13">
                  <c:v>1992</c:v>
                </c:pt>
                <c:pt idx="14">
                  <c:v>1993</c:v>
                </c:pt>
                <c:pt idx="15">
                  <c:v>1993</c:v>
                </c:pt>
                <c:pt idx="16">
                  <c:v>1993</c:v>
                </c:pt>
                <c:pt idx="17">
                  <c:v>1992</c:v>
                </c:pt>
                <c:pt idx="18">
                  <c:v>1993</c:v>
                </c:pt>
                <c:pt idx="19">
                  <c:v>1993</c:v>
                </c:pt>
                <c:pt idx="20">
                  <c:v>1993</c:v>
                </c:pt>
                <c:pt idx="21">
                  <c:v>1993</c:v>
                </c:pt>
                <c:pt idx="22">
                  <c:v>1993</c:v>
                </c:pt>
                <c:pt idx="23">
                  <c:v>1993</c:v>
                </c:pt>
                <c:pt idx="24">
                  <c:v>1993</c:v>
                </c:pt>
                <c:pt idx="25">
                  <c:v>1993</c:v>
                </c:pt>
                <c:pt idx="26">
                  <c:v>1993</c:v>
                </c:pt>
                <c:pt idx="27">
                  <c:v>1993</c:v>
                </c:pt>
                <c:pt idx="28">
                  <c:v>1993</c:v>
                </c:pt>
                <c:pt idx="29">
                  <c:v>1993</c:v>
                </c:pt>
                <c:pt idx="30">
                  <c:v>1993</c:v>
                </c:pt>
                <c:pt idx="31">
                  <c:v>1993</c:v>
                </c:pt>
                <c:pt idx="32">
                  <c:v>1993</c:v>
                </c:pt>
                <c:pt idx="33">
                  <c:v>1993</c:v>
                </c:pt>
                <c:pt idx="34">
                  <c:v>1993</c:v>
                </c:pt>
                <c:pt idx="35">
                  <c:v>1993</c:v>
                </c:pt>
                <c:pt idx="36">
                  <c:v>1993</c:v>
                </c:pt>
                <c:pt idx="37">
                  <c:v>1993</c:v>
                </c:pt>
                <c:pt idx="38">
                  <c:v>1993</c:v>
                </c:pt>
                <c:pt idx="39">
                  <c:v>1993</c:v>
                </c:pt>
                <c:pt idx="40">
                  <c:v>1993</c:v>
                </c:pt>
                <c:pt idx="41">
                  <c:v>1993</c:v>
                </c:pt>
                <c:pt idx="42">
                  <c:v>1993</c:v>
                </c:pt>
                <c:pt idx="43">
                  <c:v>1993</c:v>
                </c:pt>
                <c:pt idx="44">
                  <c:v>1993</c:v>
                </c:pt>
                <c:pt idx="45">
                  <c:v>1993</c:v>
                </c:pt>
                <c:pt idx="46">
                  <c:v>1993</c:v>
                </c:pt>
                <c:pt idx="47">
                  <c:v>1993</c:v>
                </c:pt>
                <c:pt idx="48">
                  <c:v>1993</c:v>
                </c:pt>
                <c:pt idx="49">
                  <c:v>1993</c:v>
                </c:pt>
                <c:pt idx="50">
                  <c:v>1993</c:v>
                </c:pt>
                <c:pt idx="51">
                  <c:v>1993</c:v>
                </c:pt>
                <c:pt idx="52">
                  <c:v>1993</c:v>
                </c:pt>
                <c:pt idx="53">
                  <c:v>1993</c:v>
                </c:pt>
                <c:pt idx="54">
                  <c:v>1993</c:v>
                </c:pt>
                <c:pt idx="55">
                  <c:v>1993</c:v>
                </c:pt>
                <c:pt idx="56">
                  <c:v>1993</c:v>
                </c:pt>
                <c:pt idx="57">
                  <c:v>1993</c:v>
                </c:pt>
                <c:pt idx="58">
                  <c:v>1993</c:v>
                </c:pt>
                <c:pt idx="59">
                  <c:v>1993</c:v>
                </c:pt>
                <c:pt idx="60">
                  <c:v>1993</c:v>
                </c:pt>
                <c:pt idx="61">
                  <c:v>1993</c:v>
                </c:pt>
                <c:pt idx="62">
                  <c:v>1993</c:v>
                </c:pt>
                <c:pt idx="63">
                  <c:v>1993</c:v>
                </c:pt>
                <c:pt idx="64">
                  <c:v>1993</c:v>
                </c:pt>
                <c:pt idx="65">
                  <c:v>1993</c:v>
                </c:pt>
                <c:pt idx="66">
                  <c:v>1993</c:v>
                </c:pt>
                <c:pt idx="67">
                  <c:v>1993</c:v>
                </c:pt>
                <c:pt idx="68">
                  <c:v>1993</c:v>
                </c:pt>
                <c:pt idx="69">
                  <c:v>1993</c:v>
                </c:pt>
                <c:pt idx="70">
                  <c:v>1993</c:v>
                </c:pt>
                <c:pt idx="71">
                  <c:v>1993</c:v>
                </c:pt>
                <c:pt idx="72">
                  <c:v>1993</c:v>
                </c:pt>
                <c:pt idx="73">
                  <c:v>1993</c:v>
                </c:pt>
                <c:pt idx="74">
                  <c:v>1993</c:v>
                </c:pt>
                <c:pt idx="75">
                  <c:v>1993</c:v>
                </c:pt>
                <c:pt idx="76">
                  <c:v>1993</c:v>
                </c:pt>
                <c:pt idx="77">
                  <c:v>1993</c:v>
                </c:pt>
                <c:pt idx="78">
                  <c:v>1993</c:v>
                </c:pt>
                <c:pt idx="79">
                  <c:v>1993</c:v>
                </c:pt>
                <c:pt idx="80">
                  <c:v>1993</c:v>
                </c:pt>
                <c:pt idx="81">
                  <c:v>1993</c:v>
                </c:pt>
                <c:pt idx="82">
                  <c:v>1993</c:v>
                </c:pt>
                <c:pt idx="83">
                  <c:v>1993</c:v>
                </c:pt>
                <c:pt idx="84">
                  <c:v>1993</c:v>
                </c:pt>
                <c:pt idx="85">
                  <c:v>1993</c:v>
                </c:pt>
                <c:pt idx="86">
                  <c:v>1993</c:v>
                </c:pt>
                <c:pt idx="87">
                  <c:v>1993</c:v>
                </c:pt>
                <c:pt idx="88">
                  <c:v>1993</c:v>
                </c:pt>
                <c:pt idx="89">
                  <c:v>1993</c:v>
                </c:pt>
                <c:pt idx="90">
                  <c:v>1993</c:v>
                </c:pt>
                <c:pt idx="91">
                  <c:v>1993</c:v>
                </c:pt>
                <c:pt idx="92">
                  <c:v>1993</c:v>
                </c:pt>
                <c:pt idx="93">
                  <c:v>1993</c:v>
                </c:pt>
                <c:pt idx="94">
                  <c:v>1993</c:v>
                </c:pt>
                <c:pt idx="95">
                  <c:v>1993</c:v>
                </c:pt>
                <c:pt idx="96">
                  <c:v>1993</c:v>
                </c:pt>
                <c:pt idx="97">
                  <c:v>1993</c:v>
                </c:pt>
                <c:pt idx="98">
                  <c:v>1993</c:v>
                </c:pt>
                <c:pt idx="99">
                  <c:v>1993</c:v>
                </c:pt>
                <c:pt idx="100">
                  <c:v>1993</c:v>
                </c:pt>
                <c:pt idx="101">
                  <c:v>1993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1993</c:v>
                </c:pt>
                <c:pt idx="106">
                  <c:v>1993</c:v>
                </c:pt>
                <c:pt idx="107">
                  <c:v>1993</c:v>
                </c:pt>
                <c:pt idx="108">
                  <c:v>1993</c:v>
                </c:pt>
                <c:pt idx="109">
                  <c:v>1993</c:v>
                </c:pt>
                <c:pt idx="110">
                  <c:v>1993</c:v>
                </c:pt>
                <c:pt idx="111">
                  <c:v>1993</c:v>
                </c:pt>
                <c:pt idx="112">
                  <c:v>1993</c:v>
                </c:pt>
                <c:pt idx="113">
                  <c:v>1993</c:v>
                </c:pt>
                <c:pt idx="114">
                  <c:v>1994</c:v>
                </c:pt>
                <c:pt idx="115">
                  <c:v>1994</c:v>
                </c:pt>
                <c:pt idx="116">
                  <c:v>1994</c:v>
                </c:pt>
                <c:pt idx="117">
                  <c:v>1994</c:v>
                </c:pt>
                <c:pt idx="118">
                  <c:v>1994</c:v>
                </c:pt>
                <c:pt idx="119">
                  <c:v>1995</c:v>
                </c:pt>
                <c:pt idx="120">
                  <c:v>1996</c:v>
                </c:pt>
                <c:pt idx="121">
                  <c:v>1996</c:v>
                </c:pt>
                <c:pt idx="122">
                  <c:v>1996</c:v>
                </c:pt>
                <c:pt idx="123">
                  <c:v>1996</c:v>
                </c:pt>
                <c:pt idx="124">
                  <c:v>1996</c:v>
                </c:pt>
                <c:pt idx="125">
                  <c:v>1996</c:v>
                </c:pt>
                <c:pt idx="126">
                  <c:v>1996</c:v>
                </c:pt>
                <c:pt idx="127">
                  <c:v>1996</c:v>
                </c:pt>
                <c:pt idx="128">
                  <c:v>1995</c:v>
                </c:pt>
                <c:pt idx="129">
                  <c:v>1995</c:v>
                </c:pt>
                <c:pt idx="130">
                  <c:v>1996</c:v>
                </c:pt>
                <c:pt idx="131">
                  <c:v>1996</c:v>
                </c:pt>
                <c:pt idx="132">
                  <c:v>1996</c:v>
                </c:pt>
                <c:pt idx="133">
                  <c:v>1996</c:v>
                </c:pt>
                <c:pt idx="134">
                  <c:v>1996</c:v>
                </c:pt>
                <c:pt idx="135">
                  <c:v>1996</c:v>
                </c:pt>
                <c:pt idx="136">
                  <c:v>1996</c:v>
                </c:pt>
                <c:pt idx="137">
                  <c:v>1996</c:v>
                </c:pt>
                <c:pt idx="138">
                  <c:v>1996</c:v>
                </c:pt>
                <c:pt idx="139">
                  <c:v>1996</c:v>
                </c:pt>
                <c:pt idx="140">
                  <c:v>1996</c:v>
                </c:pt>
                <c:pt idx="141">
                  <c:v>1996</c:v>
                </c:pt>
                <c:pt idx="142">
                  <c:v>1996</c:v>
                </c:pt>
                <c:pt idx="143">
                  <c:v>1996</c:v>
                </c:pt>
                <c:pt idx="144">
                  <c:v>1996</c:v>
                </c:pt>
                <c:pt idx="145">
                  <c:v>1996</c:v>
                </c:pt>
                <c:pt idx="146">
                  <c:v>1996</c:v>
                </c:pt>
                <c:pt idx="147">
                  <c:v>1996</c:v>
                </c:pt>
                <c:pt idx="148">
                  <c:v>1996</c:v>
                </c:pt>
                <c:pt idx="149">
                  <c:v>1996</c:v>
                </c:pt>
                <c:pt idx="150">
                  <c:v>1996</c:v>
                </c:pt>
                <c:pt idx="151">
                  <c:v>1996</c:v>
                </c:pt>
                <c:pt idx="152">
                  <c:v>1996</c:v>
                </c:pt>
                <c:pt idx="153">
                  <c:v>1996</c:v>
                </c:pt>
                <c:pt idx="154">
                  <c:v>1996</c:v>
                </c:pt>
                <c:pt idx="155">
                  <c:v>1996</c:v>
                </c:pt>
                <c:pt idx="156">
                  <c:v>1997</c:v>
                </c:pt>
                <c:pt idx="157">
                  <c:v>1997</c:v>
                </c:pt>
                <c:pt idx="158">
                  <c:v>1999</c:v>
                </c:pt>
                <c:pt idx="159">
                  <c:v>1999</c:v>
                </c:pt>
                <c:pt idx="160">
                  <c:v>1999</c:v>
                </c:pt>
                <c:pt idx="161">
                  <c:v>1999</c:v>
                </c:pt>
                <c:pt idx="162">
                  <c:v>1999</c:v>
                </c:pt>
                <c:pt idx="163">
                  <c:v>1999</c:v>
                </c:pt>
                <c:pt idx="164">
                  <c:v>1999</c:v>
                </c:pt>
                <c:pt idx="165">
                  <c:v>1999</c:v>
                </c:pt>
                <c:pt idx="166">
                  <c:v>1999</c:v>
                </c:pt>
                <c:pt idx="167">
                  <c:v>1999</c:v>
                </c:pt>
                <c:pt idx="168">
                  <c:v>1999</c:v>
                </c:pt>
                <c:pt idx="169">
                  <c:v>1999</c:v>
                </c:pt>
                <c:pt idx="170">
                  <c:v>1999</c:v>
                </c:pt>
                <c:pt idx="171">
                  <c:v>1999</c:v>
                </c:pt>
                <c:pt idx="172">
                  <c:v>1999</c:v>
                </c:pt>
                <c:pt idx="173">
                  <c:v>1999</c:v>
                </c:pt>
                <c:pt idx="174">
                  <c:v>1999</c:v>
                </c:pt>
                <c:pt idx="175">
                  <c:v>1999</c:v>
                </c:pt>
                <c:pt idx="176">
                  <c:v>1999</c:v>
                </c:pt>
                <c:pt idx="177">
                  <c:v>1999</c:v>
                </c:pt>
                <c:pt idx="178">
                  <c:v>1999</c:v>
                </c:pt>
                <c:pt idx="179">
                  <c:v>1999</c:v>
                </c:pt>
                <c:pt idx="180">
                  <c:v>1999</c:v>
                </c:pt>
                <c:pt idx="181">
                  <c:v>1999</c:v>
                </c:pt>
                <c:pt idx="182">
                  <c:v>1999</c:v>
                </c:pt>
                <c:pt idx="183">
                  <c:v>1999</c:v>
                </c:pt>
                <c:pt idx="184">
                  <c:v>1999</c:v>
                </c:pt>
                <c:pt idx="185">
                  <c:v>1999</c:v>
                </c:pt>
                <c:pt idx="186">
                  <c:v>1999</c:v>
                </c:pt>
                <c:pt idx="187">
                  <c:v>1999</c:v>
                </c:pt>
                <c:pt idx="188">
                  <c:v>1999</c:v>
                </c:pt>
                <c:pt idx="189">
                  <c:v>1999</c:v>
                </c:pt>
                <c:pt idx="190">
                  <c:v>1999</c:v>
                </c:pt>
                <c:pt idx="191">
                  <c:v>1999</c:v>
                </c:pt>
                <c:pt idx="192">
                  <c:v>1999</c:v>
                </c:pt>
                <c:pt idx="193">
                  <c:v>2000</c:v>
                </c:pt>
                <c:pt idx="194">
                  <c:v>2001</c:v>
                </c:pt>
                <c:pt idx="195">
                  <c:v>2001</c:v>
                </c:pt>
                <c:pt idx="196">
                  <c:v>2001</c:v>
                </c:pt>
                <c:pt idx="197">
                  <c:v>2001</c:v>
                </c:pt>
                <c:pt idx="198">
                  <c:v>2002</c:v>
                </c:pt>
                <c:pt idx="199">
                  <c:v>2005</c:v>
                </c:pt>
                <c:pt idx="200">
                  <c:v>2005</c:v>
                </c:pt>
                <c:pt idx="201">
                  <c:v>2005</c:v>
                </c:pt>
                <c:pt idx="202">
                  <c:v>2005</c:v>
                </c:pt>
                <c:pt idx="203">
                  <c:v>2005</c:v>
                </c:pt>
                <c:pt idx="204">
                  <c:v>2005</c:v>
                </c:pt>
                <c:pt idx="205">
                  <c:v>2003</c:v>
                </c:pt>
                <c:pt idx="206">
                  <c:v>2003</c:v>
                </c:pt>
                <c:pt idx="207">
                  <c:v>2003</c:v>
                </c:pt>
                <c:pt idx="208">
                  <c:v>2003</c:v>
                </c:pt>
                <c:pt idx="209">
                  <c:v>2003</c:v>
                </c:pt>
                <c:pt idx="210">
                  <c:v>2003</c:v>
                </c:pt>
                <c:pt idx="211">
                  <c:v>2003</c:v>
                </c:pt>
                <c:pt idx="212">
                  <c:v>2003</c:v>
                </c:pt>
                <c:pt idx="213">
                  <c:v>2003</c:v>
                </c:pt>
                <c:pt idx="214">
                  <c:v>2003</c:v>
                </c:pt>
                <c:pt idx="215">
                  <c:v>2003</c:v>
                </c:pt>
                <c:pt idx="216">
                  <c:v>2004</c:v>
                </c:pt>
                <c:pt idx="217">
                  <c:v>2004</c:v>
                </c:pt>
                <c:pt idx="218">
                  <c:v>2004</c:v>
                </c:pt>
                <c:pt idx="219">
                  <c:v>2004</c:v>
                </c:pt>
                <c:pt idx="220">
                  <c:v>2004</c:v>
                </c:pt>
                <c:pt idx="221">
                  <c:v>2004</c:v>
                </c:pt>
                <c:pt idx="222">
                  <c:v>2004</c:v>
                </c:pt>
                <c:pt idx="223">
                  <c:v>2004</c:v>
                </c:pt>
                <c:pt idx="224">
                  <c:v>2004</c:v>
                </c:pt>
                <c:pt idx="225">
                  <c:v>2004</c:v>
                </c:pt>
                <c:pt idx="226">
                  <c:v>2004</c:v>
                </c:pt>
                <c:pt idx="227">
                  <c:v>2004</c:v>
                </c:pt>
                <c:pt idx="228">
                  <c:v>2004</c:v>
                </c:pt>
                <c:pt idx="229">
                  <c:v>2004</c:v>
                </c:pt>
                <c:pt idx="230">
                  <c:v>2004</c:v>
                </c:pt>
                <c:pt idx="231">
                  <c:v>2004</c:v>
                </c:pt>
                <c:pt idx="232">
                  <c:v>2004</c:v>
                </c:pt>
                <c:pt idx="233">
                  <c:v>2004</c:v>
                </c:pt>
                <c:pt idx="234">
                  <c:v>2004</c:v>
                </c:pt>
                <c:pt idx="235">
                  <c:v>2004</c:v>
                </c:pt>
                <c:pt idx="236">
                  <c:v>2004</c:v>
                </c:pt>
                <c:pt idx="237">
                  <c:v>2004</c:v>
                </c:pt>
                <c:pt idx="238">
                  <c:v>2004</c:v>
                </c:pt>
                <c:pt idx="239">
                  <c:v>2004</c:v>
                </c:pt>
                <c:pt idx="240">
                  <c:v>2004</c:v>
                </c:pt>
                <c:pt idx="241">
                  <c:v>2006</c:v>
                </c:pt>
                <c:pt idx="242">
                  <c:v>2006</c:v>
                </c:pt>
                <c:pt idx="243">
                  <c:v>2006</c:v>
                </c:pt>
                <c:pt idx="244">
                  <c:v>2006</c:v>
                </c:pt>
                <c:pt idx="245">
                  <c:v>2006</c:v>
                </c:pt>
                <c:pt idx="246">
                  <c:v>2006</c:v>
                </c:pt>
                <c:pt idx="247">
                  <c:v>2006</c:v>
                </c:pt>
                <c:pt idx="248">
                  <c:v>2006</c:v>
                </c:pt>
                <c:pt idx="249">
                  <c:v>2006</c:v>
                </c:pt>
                <c:pt idx="250">
                  <c:v>2006</c:v>
                </c:pt>
                <c:pt idx="251">
                  <c:v>2006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2006</c:v>
                </c:pt>
                <c:pt idx="257">
                  <c:v>2006</c:v>
                </c:pt>
                <c:pt idx="258">
                  <c:v>2006</c:v>
                </c:pt>
                <c:pt idx="259">
                  <c:v>2006</c:v>
                </c:pt>
                <c:pt idx="260">
                  <c:v>2006</c:v>
                </c:pt>
                <c:pt idx="261">
                  <c:v>2006</c:v>
                </c:pt>
                <c:pt idx="262">
                  <c:v>2006</c:v>
                </c:pt>
                <c:pt idx="263">
                  <c:v>2006</c:v>
                </c:pt>
                <c:pt idx="264">
                  <c:v>2006</c:v>
                </c:pt>
                <c:pt idx="265">
                  <c:v>2006</c:v>
                </c:pt>
                <c:pt idx="266">
                  <c:v>2006</c:v>
                </c:pt>
                <c:pt idx="267">
                  <c:v>2006</c:v>
                </c:pt>
                <c:pt idx="268">
                  <c:v>2006</c:v>
                </c:pt>
                <c:pt idx="269">
                  <c:v>2006</c:v>
                </c:pt>
                <c:pt idx="270">
                  <c:v>2006</c:v>
                </c:pt>
                <c:pt idx="271">
                  <c:v>2006</c:v>
                </c:pt>
                <c:pt idx="272">
                  <c:v>2006</c:v>
                </c:pt>
                <c:pt idx="273">
                  <c:v>2006</c:v>
                </c:pt>
                <c:pt idx="274">
                  <c:v>2006</c:v>
                </c:pt>
                <c:pt idx="275">
                  <c:v>2006</c:v>
                </c:pt>
                <c:pt idx="276">
                  <c:v>2006</c:v>
                </c:pt>
                <c:pt idx="277">
                  <c:v>2006</c:v>
                </c:pt>
                <c:pt idx="278">
                  <c:v>2006</c:v>
                </c:pt>
                <c:pt idx="279">
                  <c:v>2006</c:v>
                </c:pt>
                <c:pt idx="280">
                  <c:v>2006</c:v>
                </c:pt>
                <c:pt idx="281">
                  <c:v>2006</c:v>
                </c:pt>
                <c:pt idx="282">
                  <c:v>2006</c:v>
                </c:pt>
                <c:pt idx="283">
                  <c:v>2006</c:v>
                </c:pt>
                <c:pt idx="284">
                  <c:v>2006</c:v>
                </c:pt>
                <c:pt idx="285">
                  <c:v>2011</c:v>
                </c:pt>
                <c:pt idx="286">
                  <c:v>2011</c:v>
                </c:pt>
                <c:pt idx="287">
                  <c:v>2011</c:v>
                </c:pt>
                <c:pt idx="288">
                  <c:v>2011</c:v>
                </c:pt>
                <c:pt idx="289">
                  <c:v>2011</c:v>
                </c:pt>
                <c:pt idx="290">
                  <c:v>2011</c:v>
                </c:pt>
                <c:pt idx="291">
                  <c:v>2011</c:v>
                </c:pt>
                <c:pt idx="292">
                  <c:v>2011</c:v>
                </c:pt>
                <c:pt idx="293">
                  <c:v>2011</c:v>
                </c:pt>
                <c:pt idx="294">
                  <c:v>2011</c:v>
                </c:pt>
                <c:pt idx="295">
                  <c:v>2011</c:v>
                </c:pt>
                <c:pt idx="296">
                  <c:v>2011</c:v>
                </c:pt>
                <c:pt idx="297">
                  <c:v>2011</c:v>
                </c:pt>
                <c:pt idx="298">
                  <c:v>2011</c:v>
                </c:pt>
                <c:pt idx="299">
                  <c:v>2011</c:v>
                </c:pt>
                <c:pt idx="300">
                  <c:v>2011</c:v>
                </c:pt>
                <c:pt idx="301">
                  <c:v>2011</c:v>
                </c:pt>
                <c:pt idx="302">
                  <c:v>2011</c:v>
                </c:pt>
                <c:pt idx="303">
                  <c:v>2011</c:v>
                </c:pt>
                <c:pt idx="304">
                  <c:v>2011</c:v>
                </c:pt>
                <c:pt idx="305">
                  <c:v>2011</c:v>
                </c:pt>
                <c:pt idx="306">
                  <c:v>2011</c:v>
                </c:pt>
                <c:pt idx="307">
                  <c:v>2011</c:v>
                </c:pt>
                <c:pt idx="308">
                  <c:v>2011</c:v>
                </c:pt>
                <c:pt idx="309">
                  <c:v>2011</c:v>
                </c:pt>
                <c:pt idx="310">
                  <c:v>2011</c:v>
                </c:pt>
                <c:pt idx="311">
                  <c:v>2011</c:v>
                </c:pt>
                <c:pt idx="312">
                  <c:v>2011</c:v>
                </c:pt>
                <c:pt idx="313">
                  <c:v>2011</c:v>
                </c:pt>
                <c:pt idx="314">
                  <c:v>2011</c:v>
                </c:pt>
                <c:pt idx="315">
                  <c:v>2011</c:v>
                </c:pt>
                <c:pt idx="316">
                  <c:v>2011</c:v>
                </c:pt>
                <c:pt idx="317">
                  <c:v>2011</c:v>
                </c:pt>
                <c:pt idx="318">
                  <c:v>2011</c:v>
                </c:pt>
                <c:pt idx="319">
                  <c:v>2011</c:v>
                </c:pt>
                <c:pt idx="320">
                  <c:v>2011</c:v>
                </c:pt>
                <c:pt idx="321">
                  <c:v>2011</c:v>
                </c:pt>
                <c:pt idx="322">
                  <c:v>2011</c:v>
                </c:pt>
                <c:pt idx="323">
                  <c:v>2011</c:v>
                </c:pt>
                <c:pt idx="324">
                  <c:v>2011</c:v>
                </c:pt>
                <c:pt idx="325">
                  <c:v>2011</c:v>
                </c:pt>
                <c:pt idx="326">
                  <c:v>2011</c:v>
                </c:pt>
                <c:pt idx="327">
                  <c:v>2011</c:v>
                </c:pt>
                <c:pt idx="328">
                  <c:v>2011</c:v>
                </c:pt>
                <c:pt idx="329">
                  <c:v>2011</c:v>
                </c:pt>
                <c:pt idx="330">
                  <c:v>2011</c:v>
                </c:pt>
                <c:pt idx="331">
                  <c:v>2011</c:v>
                </c:pt>
                <c:pt idx="332">
                  <c:v>2011</c:v>
                </c:pt>
                <c:pt idx="333">
                  <c:v>2006</c:v>
                </c:pt>
                <c:pt idx="334">
                  <c:v>2006</c:v>
                </c:pt>
                <c:pt idx="335">
                  <c:v>2006</c:v>
                </c:pt>
                <c:pt idx="336">
                  <c:v>2006</c:v>
                </c:pt>
                <c:pt idx="337">
                  <c:v>2006</c:v>
                </c:pt>
                <c:pt idx="338">
                  <c:v>2006</c:v>
                </c:pt>
                <c:pt idx="339">
                  <c:v>2006</c:v>
                </c:pt>
                <c:pt idx="340">
                  <c:v>2006</c:v>
                </c:pt>
                <c:pt idx="341">
                  <c:v>2006</c:v>
                </c:pt>
                <c:pt idx="342">
                  <c:v>2006</c:v>
                </c:pt>
                <c:pt idx="343">
                  <c:v>2006</c:v>
                </c:pt>
                <c:pt idx="344">
                  <c:v>2006</c:v>
                </c:pt>
                <c:pt idx="345">
                  <c:v>2006</c:v>
                </c:pt>
                <c:pt idx="346">
                  <c:v>2006</c:v>
                </c:pt>
                <c:pt idx="347">
                  <c:v>2006</c:v>
                </c:pt>
                <c:pt idx="348">
                  <c:v>2006</c:v>
                </c:pt>
                <c:pt idx="349">
                  <c:v>2006</c:v>
                </c:pt>
                <c:pt idx="350">
                  <c:v>2006</c:v>
                </c:pt>
                <c:pt idx="351">
                  <c:v>2006</c:v>
                </c:pt>
                <c:pt idx="352">
                  <c:v>2006</c:v>
                </c:pt>
                <c:pt idx="353">
                  <c:v>2006</c:v>
                </c:pt>
                <c:pt idx="354">
                  <c:v>2006</c:v>
                </c:pt>
                <c:pt idx="355">
                  <c:v>2006</c:v>
                </c:pt>
                <c:pt idx="356">
                  <c:v>2006</c:v>
                </c:pt>
                <c:pt idx="357">
                  <c:v>2006</c:v>
                </c:pt>
                <c:pt idx="358">
                  <c:v>2005</c:v>
                </c:pt>
                <c:pt idx="359">
                  <c:v>2005</c:v>
                </c:pt>
                <c:pt idx="360">
                  <c:v>2005</c:v>
                </c:pt>
                <c:pt idx="361">
                  <c:v>2005</c:v>
                </c:pt>
                <c:pt idx="362">
                  <c:v>2005</c:v>
                </c:pt>
                <c:pt idx="363">
                  <c:v>2005</c:v>
                </c:pt>
                <c:pt idx="364">
                  <c:v>2006</c:v>
                </c:pt>
                <c:pt idx="365">
                  <c:v>2005</c:v>
                </c:pt>
                <c:pt idx="366">
                  <c:v>2005</c:v>
                </c:pt>
                <c:pt idx="367">
                  <c:v>2006</c:v>
                </c:pt>
                <c:pt idx="368">
                  <c:v>2007</c:v>
                </c:pt>
                <c:pt idx="369">
                  <c:v>2007</c:v>
                </c:pt>
                <c:pt idx="370">
                  <c:v>2008</c:v>
                </c:pt>
                <c:pt idx="371">
                  <c:v>2008</c:v>
                </c:pt>
                <c:pt idx="372">
                  <c:v>2008</c:v>
                </c:pt>
                <c:pt idx="373">
                  <c:v>2008</c:v>
                </c:pt>
                <c:pt idx="374">
                  <c:v>2008</c:v>
                </c:pt>
                <c:pt idx="375">
                  <c:v>2008</c:v>
                </c:pt>
                <c:pt idx="376">
                  <c:v>2008</c:v>
                </c:pt>
                <c:pt idx="377">
                  <c:v>2008</c:v>
                </c:pt>
                <c:pt idx="378">
                  <c:v>2008</c:v>
                </c:pt>
                <c:pt idx="379">
                  <c:v>2008</c:v>
                </c:pt>
                <c:pt idx="380">
                  <c:v>2008</c:v>
                </c:pt>
                <c:pt idx="381">
                  <c:v>2008</c:v>
                </c:pt>
                <c:pt idx="382">
                  <c:v>2008</c:v>
                </c:pt>
                <c:pt idx="383">
                  <c:v>2008</c:v>
                </c:pt>
                <c:pt idx="384">
                  <c:v>2008</c:v>
                </c:pt>
                <c:pt idx="385">
                  <c:v>2008</c:v>
                </c:pt>
                <c:pt idx="386">
                  <c:v>2008</c:v>
                </c:pt>
                <c:pt idx="387">
                  <c:v>2008</c:v>
                </c:pt>
                <c:pt idx="388">
                  <c:v>2008</c:v>
                </c:pt>
                <c:pt idx="389">
                  <c:v>2010</c:v>
                </c:pt>
                <c:pt idx="390">
                  <c:v>2010</c:v>
                </c:pt>
                <c:pt idx="391">
                  <c:v>2010</c:v>
                </c:pt>
                <c:pt idx="392">
                  <c:v>2010</c:v>
                </c:pt>
                <c:pt idx="393">
                  <c:v>2010</c:v>
                </c:pt>
                <c:pt idx="394">
                  <c:v>2009</c:v>
                </c:pt>
                <c:pt idx="395">
                  <c:v>2009</c:v>
                </c:pt>
                <c:pt idx="396">
                  <c:v>2009</c:v>
                </c:pt>
                <c:pt idx="397">
                  <c:v>2009</c:v>
                </c:pt>
                <c:pt idx="398">
                  <c:v>2009</c:v>
                </c:pt>
                <c:pt idx="399">
                  <c:v>2009</c:v>
                </c:pt>
                <c:pt idx="400">
                  <c:v>2009</c:v>
                </c:pt>
                <c:pt idx="401">
                  <c:v>2009</c:v>
                </c:pt>
                <c:pt idx="402">
                  <c:v>2009</c:v>
                </c:pt>
                <c:pt idx="403">
                  <c:v>2009</c:v>
                </c:pt>
                <c:pt idx="404">
                  <c:v>2009</c:v>
                </c:pt>
                <c:pt idx="405">
                  <c:v>2009</c:v>
                </c:pt>
                <c:pt idx="406">
                  <c:v>2009</c:v>
                </c:pt>
                <c:pt idx="407">
                  <c:v>2009</c:v>
                </c:pt>
                <c:pt idx="408">
                  <c:v>2009</c:v>
                </c:pt>
                <c:pt idx="409">
                  <c:v>2009</c:v>
                </c:pt>
                <c:pt idx="410">
                  <c:v>2009</c:v>
                </c:pt>
                <c:pt idx="411">
                  <c:v>2009</c:v>
                </c:pt>
                <c:pt idx="412">
                  <c:v>2009</c:v>
                </c:pt>
                <c:pt idx="413">
                  <c:v>2009</c:v>
                </c:pt>
                <c:pt idx="414">
                  <c:v>2009</c:v>
                </c:pt>
                <c:pt idx="415">
                  <c:v>2009</c:v>
                </c:pt>
                <c:pt idx="416">
                  <c:v>2009</c:v>
                </c:pt>
                <c:pt idx="417">
                  <c:v>2009</c:v>
                </c:pt>
                <c:pt idx="418">
                  <c:v>2009</c:v>
                </c:pt>
                <c:pt idx="419">
                  <c:v>2009</c:v>
                </c:pt>
                <c:pt idx="420">
                  <c:v>2009</c:v>
                </c:pt>
                <c:pt idx="421">
                  <c:v>2009</c:v>
                </c:pt>
                <c:pt idx="422">
                  <c:v>2009</c:v>
                </c:pt>
                <c:pt idx="423">
                  <c:v>2009</c:v>
                </c:pt>
                <c:pt idx="424">
                  <c:v>2009</c:v>
                </c:pt>
                <c:pt idx="425">
                  <c:v>2009</c:v>
                </c:pt>
                <c:pt idx="426">
                  <c:v>2009</c:v>
                </c:pt>
                <c:pt idx="427">
                  <c:v>2009</c:v>
                </c:pt>
                <c:pt idx="428">
                  <c:v>2009</c:v>
                </c:pt>
                <c:pt idx="429">
                  <c:v>2009</c:v>
                </c:pt>
                <c:pt idx="430">
                  <c:v>2009</c:v>
                </c:pt>
                <c:pt idx="431">
                  <c:v>2009</c:v>
                </c:pt>
                <c:pt idx="432">
                  <c:v>2009</c:v>
                </c:pt>
                <c:pt idx="433">
                  <c:v>2009</c:v>
                </c:pt>
                <c:pt idx="434">
                  <c:v>2009</c:v>
                </c:pt>
                <c:pt idx="435">
                  <c:v>2009</c:v>
                </c:pt>
                <c:pt idx="436">
                  <c:v>2009</c:v>
                </c:pt>
                <c:pt idx="437">
                  <c:v>2009</c:v>
                </c:pt>
                <c:pt idx="438">
                  <c:v>2009</c:v>
                </c:pt>
                <c:pt idx="439">
                  <c:v>2009</c:v>
                </c:pt>
                <c:pt idx="440">
                  <c:v>2009</c:v>
                </c:pt>
                <c:pt idx="441">
                  <c:v>2009</c:v>
                </c:pt>
                <c:pt idx="442">
                  <c:v>2009</c:v>
                </c:pt>
                <c:pt idx="443">
                  <c:v>2009</c:v>
                </c:pt>
                <c:pt idx="444">
                  <c:v>2009</c:v>
                </c:pt>
                <c:pt idx="445">
                  <c:v>2009</c:v>
                </c:pt>
                <c:pt idx="446">
                  <c:v>2010</c:v>
                </c:pt>
                <c:pt idx="447">
                  <c:v>2010</c:v>
                </c:pt>
                <c:pt idx="448">
                  <c:v>2010</c:v>
                </c:pt>
                <c:pt idx="449">
                  <c:v>2009</c:v>
                </c:pt>
                <c:pt idx="450">
                  <c:v>2009</c:v>
                </c:pt>
                <c:pt idx="451">
                  <c:v>2009</c:v>
                </c:pt>
                <c:pt idx="452">
                  <c:v>2009</c:v>
                </c:pt>
                <c:pt idx="453">
                  <c:v>2009</c:v>
                </c:pt>
                <c:pt idx="454">
                  <c:v>2010</c:v>
                </c:pt>
                <c:pt idx="455">
                  <c:v>2010</c:v>
                </c:pt>
                <c:pt idx="456">
                  <c:v>2010</c:v>
                </c:pt>
                <c:pt idx="457">
                  <c:v>2010</c:v>
                </c:pt>
                <c:pt idx="458">
                  <c:v>2010</c:v>
                </c:pt>
                <c:pt idx="459">
                  <c:v>2010</c:v>
                </c:pt>
                <c:pt idx="460">
                  <c:v>2010</c:v>
                </c:pt>
                <c:pt idx="461">
                  <c:v>2010</c:v>
                </c:pt>
                <c:pt idx="462">
                  <c:v>2010</c:v>
                </c:pt>
                <c:pt idx="463">
                  <c:v>2010</c:v>
                </c:pt>
                <c:pt idx="464">
                  <c:v>2010</c:v>
                </c:pt>
                <c:pt idx="465">
                  <c:v>2010</c:v>
                </c:pt>
                <c:pt idx="466">
                  <c:v>2010</c:v>
                </c:pt>
                <c:pt idx="467">
                  <c:v>2010</c:v>
                </c:pt>
                <c:pt idx="468">
                  <c:v>2010</c:v>
                </c:pt>
                <c:pt idx="469">
                  <c:v>2010</c:v>
                </c:pt>
                <c:pt idx="470">
                  <c:v>2010</c:v>
                </c:pt>
                <c:pt idx="471">
                  <c:v>2012</c:v>
                </c:pt>
                <c:pt idx="472">
                  <c:v>2012</c:v>
                </c:pt>
                <c:pt idx="473">
                  <c:v>2013</c:v>
                </c:pt>
                <c:pt idx="474">
                  <c:v>2013</c:v>
                </c:pt>
                <c:pt idx="475">
                  <c:v>2013</c:v>
                </c:pt>
                <c:pt idx="476">
                  <c:v>2015</c:v>
                </c:pt>
                <c:pt idx="477">
                  <c:v>2015</c:v>
                </c:pt>
                <c:pt idx="478">
                  <c:v>2011</c:v>
                </c:pt>
                <c:pt idx="479">
                  <c:v>2011</c:v>
                </c:pt>
                <c:pt idx="480">
                  <c:v>2012</c:v>
                </c:pt>
                <c:pt idx="481">
                  <c:v>2012</c:v>
                </c:pt>
                <c:pt idx="482">
                  <c:v>2012</c:v>
                </c:pt>
                <c:pt idx="483">
                  <c:v>2012</c:v>
                </c:pt>
                <c:pt idx="484">
                  <c:v>2012</c:v>
                </c:pt>
                <c:pt idx="485">
                  <c:v>2012</c:v>
                </c:pt>
                <c:pt idx="486">
                  <c:v>2012</c:v>
                </c:pt>
                <c:pt idx="487">
                  <c:v>2012</c:v>
                </c:pt>
                <c:pt idx="488">
                  <c:v>2012</c:v>
                </c:pt>
                <c:pt idx="489">
                  <c:v>2012</c:v>
                </c:pt>
                <c:pt idx="490">
                  <c:v>2012</c:v>
                </c:pt>
                <c:pt idx="491">
                  <c:v>2012</c:v>
                </c:pt>
                <c:pt idx="492">
                  <c:v>2012</c:v>
                </c:pt>
                <c:pt idx="493">
                  <c:v>2012</c:v>
                </c:pt>
                <c:pt idx="494">
                  <c:v>2012</c:v>
                </c:pt>
                <c:pt idx="495">
                  <c:v>2012</c:v>
                </c:pt>
                <c:pt idx="496">
                  <c:v>2012</c:v>
                </c:pt>
                <c:pt idx="497">
                  <c:v>2012</c:v>
                </c:pt>
                <c:pt idx="498">
                  <c:v>2012</c:v>
                </c:pt>
                <c:pt idx="499">
                  <c:v>2011</c:v>
                </c:pt>
                <c:pt idx="500">
                  <c:v>2011</c:v>
                </c:pt>
                <c:pt idx="501">
                  <c:v>2011</c:v>
                </c:pt>
                <c:pt idx="502">
                  <c:v>2011</c:v>
                </c:pt>
                <c:pt idx="503">
                  <c:v>2011</c:v>
                </c:pt>
                <c:pt idx="504">
                  <c:v>2011</c:v>
                </c:pt>
                <c:pt idx="505">
                  <c:v>2011</c:v>
                </c:pt>
                <c:pt idx="506">
                  <c:v>2011</c:v>
                </c:pt>
                <c:pt idx="507">
                  <c:v>2011</c:v>
                </c:pt>
                <c:pt idx="508">
                  <c:v>2011</c:v>
                </c:pt>
                <c:pt idx="509">
                  <c:v>2011</c:v>
                </c:pt>
                <c:pt idx="510">
                  <c:v>2011</c:v>
                </c:pt>
                <c:pt idx="511">
                  <c:v>2011</c:v>
                </c:pt>
                <c:pt idx="512">
                  <c:v>2011</c:v>
                </c:pt>
                <c:pt idx="513">
                  <c:v>2011</c:v>
                </c:pt>
                <c:pt idx="514">
                  <c:v>2011</c:v>
                </c:pt>
                <c:pt idx="515">
                  <c:v>2011</c:v>
                </c:pt>
                <c:pt idx="516">
                  <c:v>2011</c:v>
                </c:pt>
                <c:pt idx="517">
                  <c:v>2011</c:v>
                </c:pt>
                <c:pt idx="518">
                  <c:v>2011</c:v>
                </c:pt>
                <c:pt idx="519">
                  <c:v>2011</c:v>
                </c:pt>
                <c:pt idx="520">
                  <c:v>2011</c:v>
                </c:pt>
                <c:pt idx="521">
                  <c:v>2011</c:v>
                </c:pt>
                <c:pt idx="522">
                  <c:v>2011</c:v>
                </c:pt>
                <c:pt idx="523">
                  <c:v>2011</c:v>
                </c:pt>
                <c:pt idx="524">
                  <c:v>2011</c:v>
                </c:pt>
                <c:pt idx="525">
                  <c:v>2011</c:v>
                </c:pt>
                <c:pt idx="526">
                  <c:v>2011</c:v>
                </c:pt>
                <c:pt idx="527">
                  <c:v>2011</c:v>
                </c:pt>
                <c:pt idx="528">
                  <c:v>2011</c:v>
                </c:pt>
                <c:pt idx="529">
                  <c:v>2011</c:v>
                </c:pt>
                <c:pt idx="530">
                  <c:v>2011</c:v>
                </c:pt>
                <c:pt idx="531">
                  <c:v>2011</c:v>
                </c:pt>
                <c:pt idx="532">
                  <c:v>2011</c:v>
                </c:pt>
                <c:pt idx="533">
                  <c:v>2011</c:v>
                </c:pt>
                <c:pt idx="534">
                  <c:v>2011</c:v>
                </c:pt>
                <c:pt idx="535">
                  <c:v>2011</c:v>
                </c:pt>
                <c:pt idx="536">
                  <c:v>2011</c:v>
                </c:pt>
                <c:pt idx="537">
                  <c:v>2011</c:v>
                </c:pt>
                <c:pt idx="538">
                  <c:v>2011</c:v>
                </c:pt>
                <c:pt idx="539">
                  <c:v>2011</c:v>
                </c:pt>
                <c:pt idx="540">
                  <c:v>2011</c:v>
                </c:pt>
                <c:pt idx="541">
                  <c:v>2011</c:v>
                </c:pt>
                <c:pt idx="542">
                  <c:v>2011</c:v>
                </c:pt>
                <c:pt idx="543">
                  <c:v>2012</c:v>
                </c:pt>
                <c:pt idx="544">
                  <c:v>2012</c:v>
                </c:pt>
                <c:pt idx="545">
                  <c:v>2012</c:v>
                </c:pt>
                <c:pt idx="546">
                  <c:v>2012</c:v>
                </c:pt>
                <c:pt idx="547">
                  <c:v>2012</c:v>
                </c:pt>
                <c:pt idx="548">
                  <c:v>2012</c:v>
                </c:pt>
                <c:pt idx="549">
                  <c:v>2012</c:v>
                </c:pt>
                <c:pt idx="550">
                  <c:v>2012</c:v>
                </c:pt>
                <c:pt idx="551">
                  <c:v>2012</c:v>
                </c:pt>
                <c:pt idx="552">
                  <c:v>2012</c:v>
                </c:pt>
                <c:pt idx="553">
                  <c:v>2012</c:v>
                </c:pt>
                <c:pt idx="554">
                  <c:v>2012</c:v>
                </c:pt>
                <c:pt idx="555">
                  <c:v>2012</c:v>
                </c:pt>
                <c:pt idx="556">
                  <c:v>2012</c:v>
                </c:pt>
                <c:pt idx="557">
                  <c:v>2012</c:v>
                </c:pt>
                <c:pt idx="558">
                  <c:v>2012</c:v>
                </c:pt>
                <c:pt idx="559">
                  <c:v>2012</c:v>
                </c:pt>
                <c:pt idx="560">
                  <c:v>2012</c:v>
                </c:pt>
                <c:pt idx="561">
                  <c:v>2012</c:v>
                </c:pt>
                <c:pt idx="562">
                  <c:v>2012</c:v>
                </c:pt>
                <c:pt idx="563">
                  <c:v>2012</c:v>
                </c:pt>
                <c:pt idx="564">
                  <c:v>2012</c:v>
                </c:pt>
                <c:pt idx="565">
                  <c:v>2012</c:v>
                </c:pt>
                <c:pt idx="566">
                  <c:v>2012</c:v>
                </c:pt>
                <c:pt idx="567">
                  <c:v>2012</c:v>
                </c:pt>
                <c:pt idx="568">
                  <c:v>2012</c:v>
                </c:pt>
                <c:pt idx="569">
                  <c:v>2012</c:v>
                </c:pt>
                <c:pt idx="570">
                  <c:v>2012</c:v>
                </c:pt>
                <c:pt idx="571">
                  <c:v>2012</c:v>
                </c:pt>
                <c:pt idx="572">
                  <c:v>2012</c:v>
                </c:pt>
                <c:pt idx="573">
                  <c:v>2012</c:v>
                </c:pt>
                <c:pt idx="574">
                  <c:v>2012</c:v>
                </c:pt>
                <c:pt idx="575">
                  <c:v>2012</c:v>
                </c:pt>
                <c:pt idx="576">
                  <c:v>2012</c:v>
                </c:pt>
                <c:pt idx="577">
                  <c:v>2012</c:v>
                </c:pt>
                <c:pt idx="578">
                  <c:v>2012</c:v>
                </c:pt>
                <c:pt idx="579">
                  <c:v>2012</c:v>
                </c:pt>
                <c:pt idx="580">
                  <c:v>2012</c:v>
                </c:pt>
                <c:pt idx="581">
                  <c:v>2012</c:v>
                </c:pt>
                <c:pt idx="582">
                  <c:v>2012</c:v>
                </c:pt>
                <c:pt idx="583">
                  <c:v>2012</c:v>
                </c:pt>
                <c:pt idx="584">
                  <c:v>2012</c:v>
                </c:pt>
                <c:pt idx="585">
                  <c:v>2012</c:v>
                </c:pt>
                <c:pt idx="586">
                  <c:v>2012</c:v>
                </c:pt>
                <c:pt idx="587">
                  <c:v>2012</c:v>
                </c:pt>
                <c:pt idx="588">
                  <c:v>2012</c:v>
                </c:pt>
                <c:pt idx="589">
                  <c:v>2012</c:v>
                </c:pt>
                <c:pt idx="590">
                  <c:v>2012</c:v>
                </c:pt>
                <c:pt idx="591">
                  <c:v>2012</c:v>
                </c:pt>
                <c:pt idx="592">
                  <c:v>2012</c:v>
                </c:pt>
                <c:pt idx="593">
                  <c:v>2012</c:v>
                </c:pt>
                <c:pt idx="594">
                  <c:v>2012</c:v>
                </c:pt>
                <c:pt idx="595">
                  <c:v>2012</c:v>
                </c:pt>
                <c:pt idx="596">
                  <c:v>2012</c:v>
                </c:pt>
                <c:pt idx="597">
                  <c:v>2012</c:v>
                </c:pt>
                <c:pt idx="598">
                  <c:v>2012</c:v>
                </c:pt>
                <c:pt idx="599">
                  <c:v>2012</c:v>
                </c:pt>
                <c:pt idx="600">
                  <c:v>2012</c:v>
                </c:pt>
                <c:pt idx="601">
                  <c:v>2012</c:v>
                </c:pt>
                <c:pt idx="602">
                  <c:v>2012</c:v>
                </c:pt>
                <c:pt idx="603">
                  <c:v>2012</c:v>
                </c:pt>
                <c:pt idx="604">
                  <c:v>2012</c:v>
                </c:pt>
                <c:pt idx="605">
                  <c:v>2012</c:v>
                </c:pt>
                <c:pt idx="606">
                  <c:v>2012</c:v>
                </c:pt>
                <c:pt idx="607">
                  <c:v>2012</c:v>
                </c:pt>
                <c:pt idx="608">
                  <c:v>2012</c:v>
                </c:pt>
                <c:pt idx="609">
                  <c:v>2012</c:v>
                </c:pt>
                <c:pt idx="610">
                  <c:v>2012</c:v>
                </c:pt>
                <c:pt idx="611">
                  <c:v>2012</c:v>
                </c:pt>
                <c:pt idx="612">
                  <c:v>2012</c:v>
                </c:pt>
                <c:pt idx="613">
                  <c:v>2012</c:v>
                </c:pt>
                <c:pt idx="614">
                  <c:v>2012</c:v>
                </c:pt>
                <c:pt idx="615">
                  <c:v>2012</c:v>
                </c:pt>
                <c:pt idx="616">
                  <c:v>2012</c:v>
                </c:pt>
                <c:pt idx="617">
                  <c:v>2012</c:v>
                </c:pt>
                <c:pt idx="618">
                  <c:v>2012</c:v>
                </c:pt>
                <c:pt idx="619">
                  <c:v>2012</c:v>
                </c:pt>
                <c:pt idx="620">
                  <c:v>2012</c:v>
                </c:pt>
                <c:pt idx="621">
                  <c:v>2012</c:v>
                </c:pt>
                <c:pt idx="622">
                  <c:v>2012</c:v>
                </c:pt>
                <c:pt idx="623">
                  <c:v>2012</c:v>
                </c:pt>
                <c:pt idx="624">
                  <c:v>2012</c:v>
                </c:pt>
                <c:pt idx="625">
                  <c:v>2012</c:v>
                </c:pt>
                <c:pt idx="626">
                  <c:v>2012</c:v>
                </c:pt>
                <c:pt idx="627">
                  <c:v>2012</c:v>
                </c:pt>
                <c:pt idx="628">
                  <c:v>2012</c:v>
                </c:pt>
                <c:pt idx="629">
                  <c:v>2012</c:v>
                </c:pt>
                <c:pt idx="630">
                  <c:v>2012</c:v>
                </c:pt>
                <c:pt idx="631">
                  <c:v>2012</c:v>
                </c:pt>
                <c:pt idx="632">
                  <c:v>2012</c:v>
                </c:pt>
                <c:pt idx="633">
                  <c:v>2012</c:v>
                </c:pt>
                <c:pt idx="634">
                  <c:v>2012</c:v>
                </c:pt>
                <c:pt idx="635">
                  <c:v>2012</c:v>
                </c:pt>
                <c:pt idx="636">
                  <c:v>2012</c:v>
                </c:pt>
                <c:pt idx="637">
                  <c:v>2012</c:v>
                </c:pt>
                <c:pt idx="638">
                  <c:v>2012</c:v>
                </c:pt>
                <c:pt idx="639">
                  <c:v>2012</c:v>
                </c:pt>
                <c:pt idx="640">
                  <c:v>2012</c:v>
                </c:pt>
                <c:pt idx="641">
                  <c:v>2012</c:v>
                </c:pt>
                <c:pt idx="642">
                  <c:v>2012</c:v>
                </c:pt>
                <c:pt idx="643">
                  <c:v>2012</c:v>
                </c:pt>
                <c:pt idx="644">
                  <c:v>2012</c:v>
                </c:pt>
                <c:pt idx="645">
                  <c:v>2012</c:v>
                </c:pt>
                <c:pt idx="646">
                  <c:v>2012</c:v>
                </c:pt>
                <c:pt idx="647">
                  <c:v>2012</c:v>
                </c:pt>
                <c:pt idx="648">
                  <c:v>2012</c:v>
                </c:pt>
                <c:pt idx="649">
                  <c:v>2012</c:v>
                </c:pt>
                <c:pt idx="650">
                  <c:v>2012</c:v>
                </c:pt>
                <c:pt idx="651">
                  <c:v>2012</c:v>
                </c:pt>
                <c:pt idx="652">
                  <c:v>2012</c:v>
                </c:pt>
                <c:pt idx="653">
                  <c:v>2012</c:v>
                </c:pt>
                <c:pt idx="654">
                  <c:v>2012</c:v>
                </c:pt>
                <c:pt idx="655">
                  <c:v>2012</c:v>
                </c:pt>
                <c:pt idx="656">
                  <c:v>2012</c:v>
                </c:pt>
                <c:pt idx="657">
                  <c:v>2012</c:v>
                </c:pt>
                <c:pt idx="658">
                  <c:v>2012</c:v>
                </c:pt>
                <c:pt idx="659">
                  <c:v>2012</c:v>
                </c:pt>
                <c:pt idx="660">
                  <c:v>2012</c:v>
                </c:pt>
                <c:pt idx="661">
                  <c:v>2012</c:v>
                </c:pt>
                <c:pt idx="662">
                  <c:v>2012</c:v>
                </c:pt>
                <c:pt idx="663">
                  <c:v>2012</c:v>
                </c:pt>
                <c:pt idx="664">
                  <c:v>2012</c:v>
                </c:pt>
                <c:pt idx="665">
                  <c:v>2012</c:v>
                </c:pt>
                <c:pt idx="666">
                  <c:v>2012</c:v>
                </c:pt>
                <c:pt idx="667">
                  <c:v>2012</c:v>
                </c:pt>
                <c:pt idx="668">
                  <c:v>2012</c:v>
                </c:pt>
                <c:pt idx="669">
                  <c:v>2012</c:v>
                </c:pt>
                <c:pt idx="670">
                  <c:v>2012</c:v>
                </c:pt>
                <c:pt idx="671">
                  <c:v>2012</c:v>
                </c:pt>
                <c:pt idx="672">
                  <c:v>2012</c:v>
                </c:pt>
                <c:pt idx="673">
                  <c:v>2012</c:v>
                </c:pt>
                <c:pt idx="674">
                  <c:v>2012</c:v>
                </c:pt>
                <c:pt idx="675">
                  <c:v>2012</c:v>
                </c:pt>
                <c:pt idx="676">
                  <c:v>2012</c:v>
                </c:pt>
                <c:pt idx="677">
                  <c:v>2012</c:v>
                </c:pt>
                <c:pt idx="678">
                  <c:v>2012</c:v>
                </c:pt>
                <c:pt idx="679">
                  <c:v>2012</c:v>
                </c:pt>
                <c:pt idx="680">
                  <c:v>2012</c:v>
                </c:pt>
                <c:pt idx="681">
                  <c:v>2012</c:v>
                </c:pt>
                <c:pt idx="682">
                  <c:v>2012</c:v>
                </c:pt>
                <c:pt idx="683">
                  <c:v>2012</c:v>
                </c:pt>
                <c:pt idx="684">
                  <c:v>2012</c:v>
                </c:pt>
                <c:pt idx="685">
                  <c:v>2012</c:v>
                </c:pt>
                <c:pt idx="686">
                  <c:v>2012</c:v>
                </c:pt>
                <c:pt idx="687">
                  <c:v>2012</c:v>
                </c:pt>
                <c:pt idx="688">
                  <c:v>2012</c:v>
                </c:pt>
                <c:pt idx="689">
                  <c:v>2012</c:v>
                </c:pt>
                <c:pt idx="690">
                  <c:v>2012</c:v>
                </c:pt>
                <c:pt idx="691">
                  <c:v>2012</c:v>
                </c:pt>
                <c:pt idx="692">
                  <c:v>2012</c:v>
                </c:pt>
                <c:pt idx="693">
                  <c:v>2012</c:v>
                </c:pt>
                <c:pt idx="694">
                  <c:v>2012</c:v>
                </c:pt>
                <c:pt idx="695">
                  <c:v>2012</c:v>
                </c:pt>
                <c:pt idx="696">
                  <c:v>2012</c:v>
                </c:pt>
                <c:pt idx="697">
                  <c:v>2012</c:v>
                </c:pt>
                <c:pt idx="698">
                  <c:v>2012</c:v>
                </c:pt>
                <c:pt idx="699">
                  <c:v>2012</c:v>
                </c:pt>
                <c:pt idx="700">
                  <c:v>2012</c:v>
                </c:pt>
                <c:pt idx="701">
                  <c:v>2012</c:v>
                </c:pt>
                <c:pt idx="702">
                  <c:v>2012</c:v>
                </c:pt>
                <c:pt idx="703">
                  <c:v>2012</c:v>
                </c:pt>
                <c:pt idx="704">
                  <c:v>2012</c:v>
                </c:pt>
                <c:pt idx="705">
                  <c:v>2012</c:v>
                </c:pt>
                <c:pt idx="706">
                  <c:v>2012</c:v>
                </c:pt>
                <c:pt idx="707">
                  <c:v>2012</c:v>
                </c:pt>
                <c:pt idx="708">
                  <c:v>2012</c:v>
                </c:pt>
                <c:pt idx="709">
                  <c:v>2012</c:v>
                </c:pt>
                <c:pt idx="710">
                  <c:v>2012</c:v>
                </c:pt>
                <c:pt idx="711">
                  <c:v>2012</c:v>
                </c:pt>
                <c:pt idx="712">
                  <c:v>2012</c:v>
                </c:pt>
                <c:pt idx="713">
                  <c:v>2012</c:v>
                </c:pt>
                <c:pt idx="714">
                  <c:v>2012</c:v>
                </c:pt>
                <c:pt idx="715">
                  <c:v>2012</c:v>
                </c:pt>
                <c:pt idx="716">
                  <c:v>2012</c:v>
                </c:pt>
                <c:pt idx="717">
                  <c:v>2012</c:v>
                </c:pt>
                <c:pt idx="718">
                  <c:v>2012</c:v>
                </c:pt>
                <c:pt idx="719">
                  <c:v>2012</c:v>
                </c:pt>
                <c:pt idx="720">
                  <c:v>2012</c:v>
                </c:pt>
                <c:pt idx="721">
                  <c:v>2012</c:v>
                </c:pt>
                <c:pt idx="722">
                  <c:v>2012</c:v>
                </c:pt>
                <c:pt idx="723">
                  <c:v>2012</c:v>
                </c:pt>
                <c:pt idx="724">
                  <c:v>2012</c:v>
                </c:pt>
                <c:pt idx="725">
                  <c:v>2012</c:v>
                </c:pt>
                <c:pt idx="726">
                  <c:v>2012</c:v>
                </c:pt>
                <c:pt idx="727">
                  <c:v>2012</c:v>
                </c:pt>
                <c:pt idx="728">
                  <c:v>2012</c:v>
                </c:pt>
                <c:pt idx="729">
                  <c:v>2012</c:v>
                </c:pt>
                <c:pt idx="730">
                  <c:v>2012</c:v>
                </c:pt>
                <c:pt idx="731">
                  <c:v>2012</c:v>
                </c:pt>
                <c:pt idx="732">
                  <c:v>2012</c:v>
                </c:pt>
                <c:pt idx="733">
                  <c:v>2012</c:v>
                </c:pt>
                <c:pt idx="734">
                  <c:v>2012</c:v>
                </c:pt>
                <c:pt idx="735">
                  <c:v>2012</c:v>
                </c:pt>
                <c:pt idx="736">
                  <c:v>2012</c:v>
                </c:pt>
                <c:pt idx="737">
                  <c:v>2012</c:v>
                </c:pt>
                <c:pt idx="738">
                  <c:v>2012</c:v>
                </c:pt>
                <c:pt idx="739">
                  <c:v>2012</c:v>
                </c:pt>
                <c:pt idx="740">
                  <c:v>2012</c:v>
                </c:pt>
                <c:pt idx="741">
                  <c:v>2012</c:v>
                </c:pt>
                <c:pt idx="742">
                  <c:v>2012</c:v>
                </c:pt>
                <c:pt idx="743">
                  <c:v>2012</c:v>
                </c:pt>
                <c:pt idx="744">
                  <c:v>2012</c:v>
                </c:pt>
                <c:pt idx="745">
                  <c:v>2012</c:v>
                </c:pt>
                <c:pt idx="746">
                  <c:v>2012</c:v>
                </c:pt>
                <c:pt idx="747">
                  <c:v>2012</c:v>
                </c:pt>
                <c:pt idx="748">
                  <c:v>2012</c:v>
                </c:pt>
                <c:pt idx="749">
                  <c:v>2012</c:v>
                </c:pt>
                <c:pt idx="750">
                  <c:v>2011</c:v>
                </c:pt>
                <c:pt idx="751">
                  <c:v>2011</c:v>
                </c:pt>
                <c:pt idx="752">
                  <c:v>2011</c:v>
                </c:pt>
                <c:pt idx="753">
                  <c:v>2011</c:v>
                </c:pt>
                <c:pt idx="754">
                  <c:v>2011</c:v>
                </c:pt>
                <c:pt idx="755">
                  <c:v>2011</c:v>
                </c:pt>
                <c:pt idx="756">
                  <c:v>2011</c:v>
                </c:pt>
                <c:pt idx="757">
                  <c:v>2011</c:v>
                </c:pt>
                <c:pt idx="758">
                  <c:v>2011</c:v>
                </c:pt>
                <c:pt idx="759">
                  <c:v>2011</c:v>
                </c:pt>
                <c:pt idx="760">
                  <c:v>2011</c:v>
                </c:pt>
                <c:pt idx="761">
                  <c:v>2013</c:v>
                </c:pt>
                <c:pt idx="762">
                  <c:v>2013</c:v>
                </c:pt>
                <c:pt idx="763">
                  <c:v>2013</c:v>
                </c:pt>
                <c:pt idx="764">
                  <c:v>2013</c:v>
                </c:pt>
                <c:pt idx="765">
                  <c:v>2013</c:v>
                </c:pt>
                <c:pt idx="766">
                  <c:v>2013</c:v>
                </c:pt>
                <c:pt idx="767">
                  <c:v>2013</c:v>
                </c:pt>
                <c:pt idx="768">
                  <c:v>2013</c:v>
                </c:pt>
                <c:pt idx="769">
                  <c:v>2013</c:v>
                </c:pt>
                <c:pt idx="770">
                  <c:v>2013</c:v>
                </c:pt>
                <c:pt idx="771">
                  <c:v>2013</c:v>
                </c:pt>
                <c:pt idx="772">
                  <c:v>2013</c:v>
                </c:pt>
                <c:pt idx="773">
                  <c:v>2013</c:v>
                </c:pt>
                <c:pt idx="774">
                  <c:v>2013</c:v>
                </c:pt>
                <c:pt idx="775">
                  <c:v>2013</c:v>
                </c:pt>
                <c:pt idx="776">
                  <c:v>2013</c:v>
                </c:pt>
                <c:pt idx="777">
                  <c:v>2013</c:v>
                </c:pt>
                <c:pt idx="778">
                  <c:v>2013</c:v>
                </c:pt>
                <c:pt idx="779">
                  <c:v>2013</c:v>
                </c:pt>
                <c:pt idx="780">
                  <c:v>2013</c:v>
                </c:pt>
                <c:pt idx="781">
                  <c:v>2013</c:v>
                </c:pt>
                <c:pt idx="782">
                  <c:v>2013</c:v>
                </c:pt>
                <c:pt idx="783">
                  <c:v>2013</c:v>
                </c:pt>
                <c:pt idx="784">
                  <c:v>2013</c:v>
                </c:pt>
                <c:pt idx="785">
                  <c:v>2013</c:v>
                </c:pt>
                <c:pt idx="786">
                  <c:v>2013</c:v>
                </c:pt>
                <c:pt idx="787">
                  <c:v>2015</c:v>
                </c:pt>
                <c:pt idx="788">
                  <c:v>2015</c:v>
                </c:pt>
                <c:pt idx="789">
                  <c:v>2015</c:v>
                </c:pt>
                <c:pt idx="790">
                  <c:v>2015</c:v>
                </c:pt>
                <c:pt idx="791">
                  <c:v>2015</c:v>
                </c:pt>
                <c:pt idx="792">
                  <c:v>2015</c:v>
                </c:pt>
                <c:pt idx="793">
                  <c:v>2015</c:v>
                </c:pt>
                <c:pt idx="794">
                  <c:v>2015</c:v>
                </c:pt>
                <c:pt idx="795">
                  <c:v>2015</c:v>
                </c:pt>
                <c:pt idx="796">
                  <c:v>2015</c:v>
                </c:pt>
                <c:pt idx="797">
                  <c:v>2015</c:v>
                </c:pt>
                <c:pt idx="798">
                  <c:v>2014</c:v>
                </c:pt>
                <c:pt idx="799">
                  <c:v>2014</c:v>
                </c:pt>
                <c:pt idx="800">
                  <c:v>2014</c:v>
                </c:pt>
                <c:pt idx="801">
                  <c:v>2014</c:v>
                </c:pt>
                <c:pt idx="802">
                  <c:v>2014</c:v>
                </c:pt>
                <c:pt idx="803">
                  <c:v>2014</c:v>
                </c:pt>
                <c:pt idx="804">
                  <c:v>2014</c:v>
                </c:pt>
                <c:pt idx="805">
                  <c:v>2014</c:v>
                </c:pt>
                <c:pt idx="806">
                  <c:v>2014</c:v>
                </c:pt>
                <c:pt idx="807">
                  <c:v>2014</c:v>
                </c:pt>
                <c:pt idx="808">
                  <c:v>2014</c:v>
                </c:pt>
                <c:pt idx="809">
                  <c:v>2014</c:v>
                </c:pt>
                <c:pt idx="810">
                  <c:v>2014</c:v>
                </c:pt>
                <c:pt idx="811">
                  <c:v>2014</c:v>
                </c:pt>
                <c:pt idx="812">
                  <c:v>2014</c:v>
                </c:pt>
                <c:pt idx="813">
                  <c:v>2014</c:v>
                </c:pt>
                <c:pt idx="814">
                  <c:v>2014</c:v>
                </c:pt>
                <c:pt idx="815">
                  <c:v>2014</c:v>
                </c:pt>
                <c:pt idx="816">
                  <c:v>2014</c:v>
                </c:pt>
                <c:pt idx="817">
                  <c:v>2014</c:v>
                </c:pt>
                <c:pt idx="818">
                  <c:v>2014</c:v>
                </c:pt>
                <c:pt idx="819">
                  <c:v>2014</c:v>
                </c:pt>
                <c:pt idx="820">
                  <c:v>2014</c:v>
                </c:pt>
                <c:pt idx="821">
                  <c:v>2014</c:v>
                </c:pt>
                <c:pt idx="822">
                  <c:v>2014</c:v>
                </c:pt>
                <c:pt idx="823">
                  <c:v>2014</c:v>
                </c:pt>
                <c:pt idx="824">
                  <c:v>2014</c:v>
                </c:pt>
                <c:pt idx="825">
                  <c:v>2014</c:v>
                </c:pt>
                <c:pt idx="826">
                  <c:v>2014</c:v>
                </c:pt>
                <c:pt idx="827">
                  <c:v>2014</c:v>
                </c:pt>
                <c:pt idx="828">
                  <c:v>2014</c:v>
                </c:pt>
                <c:pt idx="829">
                  <c:v>2014</c:v>
                </c:pt>
                <c:pt idx="830">
                  <c:v>2014</c:v>
                </c:pt>
                <c:pt idx="831">
                  <c:v>2014</c:v>
                </c:pt>
                <c:pt idx="832">
                  <c:v>2014</c:v>
                </c:pt>
                <c:pt idx="833">
                  <c:v>2014</c:v>
                </c:pt>
                <c:pt idx="834">
                  <c:v>2014</c:v>
                </c:pt>
                <c:pt idx="835">
                  <c:v>2014</c:v>
                </c:pt>
                <c:pt idx="836">
                  <c:v>2014</c:v>
                </c:pt>
                <c:pt idx="837">
                  <c:v>2014</c:v>
                </c:pt>
                <c:pt idx="838">
                  <c:v>2014</c:v>
                </c:pt>
                <c:pt idx="839">
                  <c:v>2014</c:v>
                </c:pt>
                <c:pt idx="840">
                  <c:v>2014</c:v>
                </c:pt>
                <c:pt idx="841">
                  <c:v>2014</c:v>
                </c:pt>
                <c:pt idx="842">
                  <c:v>2014</c:v>
                </c:pt>
                <c:pt idx="843">
                  <c:v>2014</c:v>
                </c:pt>
                <c:pt idx="844">
                  <c:v>2014</c:v>
                </c:pt>
                <c:pt idx="845">
                  <c:v>2014</c:v>
                </c:pt>
                <c:pt idx="846">
                  <c:v>2014</c:v>
                </c:pt>
                <c:pt idx="847">
                  <c:v>2014</c:v>
                </c:pt>
                <c:pt idx="848">
                  <c:v>2014</c:v>
                </c:pt>
                <c:pt idx="849">
                  <c:v>2014</c:v>
                </c:pt>
                <c:pt idx="850">
                  <c:v>2014</c:v>
                </c:pt>
                <c:pt idx="851">
                  <c:v>2014</c:v>
                </c:pt>
                <c:pt idx="852">
                  <c:v>2014</c:v>
                </c:pt>
                <c:pt idx="853">
                  <c:v>2014</c:v>
                </c:pt>
                <c:pt idx="854">
                  <c:v>2014</c:v>
                </c:pt>
                <c:pt idx="855">
                  <c:v>2014</c:v>
                </c:pt>
                <c:pt idx="856">
                  <c:v>2014</c:v>
                </c:pt>
                <c:pt idx="857">
                  <c:v>2014</c:v>
                </c:pt>
                <c:pt idx="858">
                  <c:v>2014</c:v>
                </c:pt>
                <c:pt idx="859">
                  <c:v>2014</c:v>
                </c:pt>
                <c:pt idx="860">
                  <c:v>2014</c:v>
                </c:pt>
                <c:pt idx="861">
                  <c:v>2014</c:v>
                </c:pt>
                <c:pt idx="862">
                  <c:v>2014</c:v>
                </c:pt>
                <c:pt idx="863">
                  <c:v>2014</c:v>
                </c:pt>
                <c:pt idx="864">
                  <c:v>2014</c:v>
                </c:pt>
                <c:pt idx="865">
                  <c:v>2014</c:v>
                </c:pt>
                <c:pt idx="866">
                  <c:v>2014</c:v>
                </c:pt>
                <c:pt idx="867">
                  <c:v>2014</c:v>
                </c:pt>
                <c:pt idx="868">
                  <c:v>2014</c:v>
                </c:pt>
                <c:pt idx="869">
                  <c:v>2014</c:v>
                </c:pt>
                <c:pt idx="870">
                  <c:v>2014</c:v>
                </c:pt>
                <c:pt idx="871">
                  <c:v>2014</c:v>
                </c:pt>
                <c:pt idx="872">
                  <c:v>2014</c:v>
                </c:pt>
                <c:pt idx="873">
                  <c:v>2014</c:v>
                </c:pt>
                <c:pt idx="874">
                  <c:v>2014</c:v>
                </c:pt>
                <c:pt idx="875">
                  <c:v>2014</c:v>
                </c:pt>
                <c:pt idx="876">
                  <c:v>2014</c:v>
                </c:pt>
                <c:pt idx="877">
                  <c:v>2014</c:v>
                </c:pt>
                <c:pt idx="878">
                  <c:v>2014</c:v>
                </c:pt>
                <c:pt idx="879">
                  <c:v>2014</c:v>
                </c:pt>
                <c:pt idx="880">
                  <c:v>2014</c:v>
                </c:pt>
                <c:pt idx="881">
                  <c:v>2014</c:v>
                </c:pt>
                <c:pt idx="882">
                  <c:v>2014</c:v>
                </c:pt>
                <c:pt idx="883">
                  <c:v>2014</c:v>
                </c:pt>
                <c:pt idx="884">
                  <c:v>2014</c:v>
                </c:pt>
                <c:pt idx="885">
                  <c:v>2014</c:v>
                </c:pt>
                <c:pt idx="886">
                  <c:v>2014</c:v>
                </c:pt>
                <c:pt idx="887">
                  <c:v>2013</c:v>
                </c:pt>
                <c:pt idx="888">
                  <c:v>2013</c:v>
                </c:pt>
                <c:pt idx="889">
                  <c:v>2013</c:v>
                </c:pt>
                <c:pt idx="890">
                  <c:v>2013</c:v>
                </c:pt>
                <c:pt idx="891">
                  <c:v>2013</c:v>
                </c:pt>
                <c:pt idx="892">
                  <c:v>2013</c:v>
                </c:pt>
                <c:pt idx="893">
                  <c:v>2013</c:v>
                </c:pt>
                <c:pt idx="894">
                  <c:v>2015</c:v>
                </c:pt>
                <c:pt idx="895">
                  <c:v>2015</c:v>
                </c:pt>
                <c:pt idx="896">
                  <c:v>2015</c:v>
                </c:pt>
                <c:pt idx="897">
                  <c:v>2015</c:v>
                </c:pt>
                <c:pt idx="898">
                  <c:v>2015</c:v>
                </c:pt>
                <c:pt idx="899">
                  <c:v>2015</c:v>
                </c:pt>
                <c:pt idx="900">
                  <c:v>2015</c:v>
                </c:pt>
                <c:pt idx="901">
                  <c:v>2015</c:v>
                </c:pt>
                <c:pt idx="902">
                  <c:v>2015</c:v>
                </c:pt>
                <c:pt idx="903">
                  <c:v>2015</c:v>
                </c:pt>
                <c:pt idx="904">
                  <c:v>2015</c:v>
                </c:pt>
                <c:pt idx="905">
                  <c:v>2015</c:v>
                </c:pt>
                <c:pt idx="906">
                  <c:v>2015</c:v>
                </c:pt>
                <c:pt idx="907">
                  <c:v>2015</c:v>
                </c:pt>
                <c:pt idx="908">
                  <c:v>2015</c:v>
                </c:pt>
                <c:pt idx="909">
                  <c:v>2015</c:v>
                </c:pt>
                <c:pt idx="910">
                  <c:v>2015</c:v>
                </c:pt>
                <c:pt idx="911">
                  <c:v>2015</c:v>
                </c:pt>
                <c:pt idx="912">
                  <c:v>2015</c:v>
                </c:pt>
                <c:pt idx="913">
                  <c:v>2015</c:v>
                </c:pt>
                <c:pt idx="914">
                  <c:v>2015</c:v>
                </c:pt>
                <c:pt idx="915">
                  <c:v>2015</c:v>
                </c:pt>
                <c:pt idx="916">
                  <c:v>2015</c:v>
                </c:pt>
                <c:pt idx="917">
                  <c:v>2015</c:v>
                </c:pt>
                <c:pt idx="918">
                  <c:v>2015</c:v>
                </c:pt>
                <c:pt idx="919">
                  <c:v>2015</c:v>
                </c:pt>
                <c:pt idx="920">
                  <c:v>2015</c:v>
                </c:pt>
                <c:pt idx="921">
                  <c:v>2015</c:v>
                </c:pt>
                <c:pt idx="922">
                  <c:v>2015</c:v>
                </c:pt>
                <c:pt idx="923">
                  <c:v>2014</c:v>
                </c:pt>
                <c:pt idx="924">
                  <c:v>2014</c:v>
                </c:pt>
                <c:pt idx="925">
                  <c:v>2014</c:v>
                </c:pt>
                <c:pt idx="926">
                  <c:v>2014</c:v>
                </c:pt>
                <c:pt idx="927">
                  <c:v>2014</c:v>
                </c:pt>
                <c:pt idx="928">
                  <c:v>2014</c:v>
                </c:pt>
                <c:pt idx="929">
                  <c:v>2014</c:v>
                </c:pt>
                <c:pt idx="930">
                  <c:v>2014</c:v>
                </c:pt>
                <c:pt idx="931">
                  <c:v>2014</c:v>
                </c:pt>
                <c:pt idx="932">
                  <c:v>2014</c:v>
                </c:pt>
                <c:pt idx="933">
                  <c:v>2014</c:v>
                </c:pt>
                <c:pt idx="934">
                  <c:v>2014</c:v>
                </c:pt>
                <c:pt idx="935">
                  <c:v>2012</c:v>
                </c:pt>
                <c:pt idx="936">
                  <c:v>2012</c:v>
                </c:pt>
                <c:pt idx="937">
                  <c:v>2013</c:v>
                </c:pt>
                <c:pt idx="938">
                  <c:v>2013</c:v>
                </c:pt>
                <c:pt idx="939">
                  <c:v>2013</c:v>
                </c:pt>
                <c:pt idx="940">
                  <c:v>2013</c:v>
                </c:pt>
                <c:pt idx="941">
                  <c:v>2013</c:v>
                </c:pt>
                <c:pt idx="942">
                  <c:v>2013</c:v>
                </c:pt>
                <c:pt idx="943">
                  <c:v>2015</c:v>
                </c:pt>
                <c:pt idx="944">
                  <c:v>2015</c:v>
                </c:pt>
                <c:pt idx="945">
                  <c:v>2015</c:v>
                </c:pt>
                <c:pt idx="946">
                  <c:v>2015</c:v>
                </c:pt>
                <c:pt idx="947">
                  <c:v>2015</c:v>
                </c:pt>
                <c:pt idx="948">
                  <c:v>2015</c:v>
                </c:pt>
                <c:pt idx="949">
                  <c:v>2015</c:v>
                </c:pt>
                <c:pt idx="950">
                  <c:v>2015</c:v>
                </c:pt>
                <c:pt idx="951">
                  <c:v>2015</c:v>
                </c:pt>
                <c:pt idx="952">
                  <c:v>2015</c:v>
                </c:pt>
                <c:pt idx="953">
                  <c:v>2015</c:v>
                </c:pt>
                <c:pt idx="954">
                  <c:v>2014</c:v>
                </c:pt>
                <c:pt idx="955">
                  <c:v>2014</c:v>
                </c:pt>
                <c:pt idx="956">
                  <c:v>2014</c:v>
                </c:pt>
                <c:pt idx="957">
                  <c:v>2014</c:v>
                </c:pt>
                <c:pt idx="958">
                  <c:v>2014</c:v>
                </c:pt>
                <c:pt idx="959">
                  <c:v>2014</c:v>
                </c:pt>
                <c:pt idx="960">
                  <c:v>2014</c:v>
                </c:pt>
                <c:pt idx="961">
                  <c:v>2014</c:v>
                </c:pt>
                <c:pt idx="962">
                  <c:v>2014</c:v>
                </c:pt>
                <c:pt idx="963">
                  <c:v>2014</c:v>
                </c:pt>
                <c:pt idx="964">
                  <c:v>2014</c:v>
                </c:pt>
                <c:pt idx="965">
                  <c:v>2014</c:v>
                </c:pt>
                <c:pt idx="966">
                  <c:v>2014</c:v>
                </c:pt>
                <c:pt idx="967">
                  <c:v>2014</c:v>
                </c:pt>
                <c:pt idx="968">
                  <c:v>2014</c:v>
                </c:pt>
                <c:pt idx="969">
                  <c:v>2014</c:v>
                </c:pt>
                <c:pt idx="970">
                  <c:v>2014</c:v>
                </c:pt>
                <c:pt idx="971">
                  <c:v>2014</c:v>
                </c:pt>
                <c:pt idx="972">
                  <c:v>2014</c:v>
                </c:pt>
                <c:pt idx="973">
                  <c:v>2014</c:v>
                </c:pt>
                <c:pt idx="974">
                  <c:v>2014</c:v>
                </c:pt>
                <c:pt idx="975">
                  <c:v>2014</c:v>
                </c:pt>
                <c:pt idx="976">
                  <c:v>2014</c:v>
                </c:pt>
                <c:pt idx="977">
                  <c:v>2014</c:v>
                </c:pt>
                <c:pt idx="978">
                  <c:v>2014</c:v>
                </c:pt>
                <c:pt idx="979">
                  <c:v>2014</c:v>
                </c:pt>
                <c:pt idx="980">
                  <c:v>2014</c:v>
                </c:pt>
                <c:pt idx="981">
                  <c:v>2014</c:v>
                </c:pt>
                <c:pt idx="982">
                  <c:v>2014</c:v>
                </c:pt>
                <c:pt idx="983">
                  <c:v>2013</c:v>
                </c:pt>
                <c:pt idx="984">
                  <c:v>2013</c:v>
                </c:pt>
                <c:pt idx="985">
                  <c:v>2013</c:v>
                </c:pt>
                <c:pt idx="986">
                  <c:v>2013</c:v>
                </c:pt>
                <c:pt idx="987">
                  <c:v>2013</c:v>
                </c:pt>
                <c:pt idx="988">
                  <c:v>2013</c:v>
                </c:pt>
                <c:pt idx="989">
                  <c:v>2013</c:v>
                </c:pt>
                <c:pt idx="990">
                  <c:v>2013</c:v>
                </c:pt>
                <c:pt idx="991">
                  <c:v>2013</c:v>
                </c:pt>
                <c:pt idx="992">
                  <c:v>2013</c:v>
                </c:pt>
                <c:pt idx="993">
                  <c:v>2013</c:v>
                </c:pt>
                <c:pt idx="994">
                  <c:v>2013</c:v>
                </c:pt>
                <c:pt idx="995">
                  <c:v>2013</c:v>
                </c:pt>
                <c:pt idx="996">
                  <c:v>2013</c:v>
                </c:pt>
                <c:pt idx="997">
                  <c:v>2013</c:v>
                </c:pt>
                <c:pt idx="998">
                  <c:v>2013</c:v>
                </c:pt>
                <c:pt idx="999">
                  <c:v>2013</c:v>
                </c:pt>
                <c:pt idx="1000">
                  <c:v>2013</c:v>
                </c:pt>
                <c:pt idx="1001">
                  <c:v>2013</c:v>
                </c:pt>
                <c:pt idx="1002">
                  <c:v>2013</c:v>
                </c:pt>
                <c:pt idx="1003">
                  <c:v>2013</c:v>
                </c:pt>
                <c:pt idx="1004">
                  <c:v>2013</c:v>
                </c:pt>
                <c:pt idx="1005">
                  <c:v>2013</c:v>
                </c:pt>
                <c:pt idx="1006">
                  <c:v>2014</c:v>
                </c:pt>
                <c:pt idx="1007">
                  <c:v>2014</c:v>
                </c:pt>
                <c:pt idx="1008">
                  <c:v>2014</c:v>
                </c:pt>
                <c:pt idx="1009">
                  <c:v>2014</c:v>
                </c:pt>
                <c:pt idx="1010">
                  <c:v>2014</c:v>
                </c:pt>
                <c:pt idx="1011">
                  <c:v>2014</c:v>
                </c:pt>
                <c:pt idx="1012">
                  <c:v>2014</c:v>
                </c:pt>
                <c:pt idx="1013">
                  <c:v>2014</c:v>
                </c:pt>
                <c:pt idx="1014">
                  <c:v>2014</c:v>
                </c:pt>
                <c:pt idx="1015">
                  <c:v>2014</c:v>
                </c:pt>
                <c:pt idx="1016">
                  <c:v>2014</c:v>
                </c:pt>
                <c:pt idx="1017">
                  <c:v>2014</c:v>
                </c:pt>
                <c:pt idx="1018">
                  <c:v>2014</c:v>
                </c:pt>
                <c:pt idx="1019">
                  <c:v>2014</c:v>
                </c:pt>
                <c:pt idx="1020">
                  <c:v>2014</c:v>
                </c:pt>
                <c:pt idx="1021">
                  <c:v>2014</c:v>
                </c:pt>
                <c:pt idx="1022">
                  <c:v>2014</c:v>
                </c:pt>
                <c:pt idx="1023">
                  <c:v>2014</c:v>
                </c:pt>
                <c:pt idx="1024">
                  <c:v>2014</c:v>
                </c:pt>
                <c:pt idx="1025">
                  <c:v>2014</c:v>
                </c:pt>
                <c:pt idx="1026">
                  <c:v>2014</c:v>
                </c:pt>
                <c:pt idx="1027">
                  <c:v>2014</c:v>
                </c:pt>
                <c:pt idx="1028">
                  <c:v>2014</c:v>
                </c:pt>
                <c:pt idx="1029">
                  <c:v>2014</c:v>
                </c:pt>
                <c:pt idx="1030">
                  <c:v>2014</c:v>
                </c:pt>
                <c:pt idx="1031">
                  <c:v>2014</c:v>
                </c:pt>
                <c:pt idx="1032">
                  <c:v>2014</c:v>
                </c:pt>
                <c:pt idx="1033">
                  <c:v>2014</c:v>
                </c:pt>
                <c:pt idx="1034">
                  <c:v>2014</c:v>
                </c:pt>
                <c:pt idx="1035">
                  <c:v>2014</c:v>
                </c:pt>
                <c:pt idx="1036">
                  <c:v>2014</c:v>
                </c:pt>
                <c:pt idx="1037">
                  <c:v>2014</c:v>
                </c:pt>
                <c:pt idx="1038">
                  <c:v>2014</c:v>
                </c:pt>
                <c:pt idx="1039">
                  <c:v>2014</c:v>
                </c:pt>
                <c:pt idx="1040">
                  <c:v>2014</c:v>
                </c:pt>
                <c:pt idx="1041">
                  <c:v>2013</c:v>
                </c:pt>
                <c:pt idx="1042">
                  <c:v>2013</c:v>
                </c:pt>
                <c:pt idx="1043">
                  <c:v>2013</c:v>
                </c:pt>
                <c:pt idx="1044">
                  <c:v>2013</c:v>
                </c:pt>
                <c:pt idx="1045">
                  <c:v>2013</c:v>
                </c:pt>
                <c:pt idx="1046">
                  <c:v>2013</c:v>
                </c:pt>
                <c:pt idx="1047">
                  <c:v>2013</c:v>
                </c:pt>
                <c:pt idx="1048">
                  <c:v>2013</c:v>
                </c:pt>
                <c:pt idx="1049">
                  <c:v>2013</c:v>
                </c:pt>
                <c:pt idx="1050">
                  <c:v>2013</c:v>
                </c:pt>
                <c:pt idx="1051">
                  <c:v>2013</c:v>
                </c:pt>
                <c:pt idx="1052">
                  <c:v>2013</c:v>
                </c:pt>
                <c:pt idx="1053">
                  <c:v>2013</c:v>
                </c:pt>
                <c:pt idx="1054">
                  <c:v>2013</c:v>
                </c:pt>
                <c:pt idx="1055">
                  <c:v>2013</c:v>
                </c:pt>
                <c:pt idx="1056">
                  <c:v>2013</c:v>
                </c:pt>
                <c:pt idx="1057">
                  <c:v>2013</c:v>
                </c:pt>
                <c:pt idx="1058">
                  <c:v>2013</c:v>
                </c:pt>
                <c:pt idx="1059">
                  <c:v>2013</c:v>
                </c:pt>
                <c:pt idx="1060">
                  <c:v>2013</c:v>
                </c:pt>
                <c:pt idx="1061">
                  <c:v>2013</c:v>
                </c:pt>
                <c:pt idx="1062">
                  <c:v>2013</c:v>
                </c:pt>
                <c:pt idx="1063">
                  <c:v>2013</c:v>
                </c:pt>
                <c:pt idx="1064">
                  <c:v>2013</c:v>
                </c:pt>
                <c:pt idx="1065">
                  <c:v>2013</c:v>
                </c:pt>
                <c:pt idx="1066">
                  <c:v>2013</c:v>
                </c:pt>
                <c:pt idx="1067">
                  <c:v>2013</c:v>
                </c:pt>
                <c:pt idx="1068">
                  <c:v>2013</c:v>
                </c:pt>
                <c:pt idx="1069">
                  <c:v>2013</c:v>
                </c:pt>
                <c:pt idx="1070">
                  <c:v>2013</c:v>
                </c:pt>
                <c:pt idx="1071">
                  <c:v>2013</c:v>
                </c:pt>
                <c:pt idx="1072">
                  <c:v>2013</c:v>
                </c:pt>
                <c:pt idx="1073">
                  <c:v>2013</c:v>
                </c:pt>
                <c:pt idx="1074">
                  <c:v>2013</c:v>
                </c:pt>
                <c:pt idx="1075">
                  <c:v>2013</c:v>
                </c:pt>
                <c:pt idx="1076">
                  <c:v>2013</c:v>
                </c:pt>
                <c:pt idx="1077">
                  <c:v>2013</c:v>
                </c:pt>
                <c:pt idx="1078">
                  <c:v>2013</c:v>
                </c:pt>
                <c:pt idx="1079">
                  <c:v>2013</c:v>
                </c:pt>
                <c:pt idx="1080">
                  <c:v>2013</c:v>
                </c:pt>
                <c:pt idx="1081">
                  <c:v>2013</c:v>
                </c:pt>
                <c:pt idx="1082">
                  <c:v>2013</c:v>
                </c:pt>
                <c:pt idx="1083">
                  <c:v>2013</c:v>
                </c:pt>
                <c:pt idx="1084">
                  <c:v>2013</c:v>
                </c:pt>
                <c:pt idx="1085">
                  <c:v>2013</c:v>
                </c:pt>
                <c:pt idx="1086">
                  <c:v>2011</c:v>
                </c:pt>
                <c:pt idx="1087">
                  <c:v>2011</c:v>
                </c:pt>
                <c:pt idx="1088">
                  <c:v>2011</c:v>
                </c:pt>
                <c:pt idx="1089">
                  <c:v>2011</c:v>
                </c:pt>
                <c:pt idx="1090">
                  <c:v>2011</c:v>
                </c:pt>
                <c:pt idx="1091">
                  <c:v>2011</c:v>
                </c:pt>
                <c:pt idx="1092">
                  <c:v>2011</c:v>
                </c:pt>
                <c:pt idx="1093">
                  <c:v>2011</c:v>
                </c:pt>
                <c:pt idx="1094">
                  <c:v>2011</c:v>
                </c:pt>
                <c:pt idx="1095">
                  <c:v>2011</c:v>
                </c:pt>
                <c:pt idx="1096">
                  <c:v>2011</c:v>
                </c:pt>
                <c:pt idx="1097">
                  <c:v>2011</c:v>
                </c:pt>
                <c:pt idx="1098">
                  <c:v>2011</c:v>
                </c:pt>
                <c:pt idx="1099">
                  <c:v>2011</c:v>
                </c:pt>
                <c:pt idx="1100">
                  <c:v>2011</c:v>
                </c:pt>
                <c:pt idx="1101">
                  <c:v>2011</c:v>
                </c:pt>
                <c:pt idx="1102">
                  <c:v>2011</c:v>
                </c:pt>
                <c:pt idx="1103">
                  <c:v>2011</c:v>
                </c:pt>
                <c:pt idx="1104">
                  <c:v>2011</c:v>
                </c:pt>
                <c:pt idx="1105">
                  <c:v>2011</c:v>
                </c:pt>
                <c:pt idx="1106">
                  <c:v>2011</c:v>
                </c:pt>
                <c:pt idx="1107">
                  <c:v>2011</c:v>
                </c:pt>
                <c:pt idx="1108">
                  <c:v>2011</c:v>
                </c:pt>
                <c:pt idx="1109">
                  <c:v>2011</c:v>
                </c:pt>
                <c:pt idx="1110">
                  <c:v>2011</c:v>
                </c:pt>
                <c:pt idx="1111">
                  <c:v>2011</c:v>
                </c:pt>
                <c:pt idx="1112">
                  <c:v>2014</c:v>
                </c:pt>
                <c:pt idx="1113">
                  <c:v>2014</c:v>
                </c:pt>
                <c:pt idx="1114">
                  <c:v>2014</c:v>
                </c:pt>
                <c:pt idx="1115">
                  <c:v>2014</c:v>
                </c:pt>
                <c:pt idx="1116">
                  <c:v>2014</c:v>
                </c:pt>
                <c:pt idx="1117">
                  <c:v>2014</c:v>
                </c:pt>
                <c:pt idx="1118">
                  <c:v>2014</c:v>
                </c:pt>
                <c:pt idx="1119">
                  <c:v>2014</c:v>
                </c:pt>
                <c:pt idx="1120">
                  <c:v>2015</c:v>
                </c:pt>
                <c:pt idx="1121">
                  <c:v>2015</c:v>
                </c:pt>
                <c:pt idx="1122">
                  <c:v>2015</c:v>
                </c:pt>
                <c:pt idx="1123">
                  <c:v>2015</c:v>
                </c:pt>
                <c:pt idx="1124">
                  <c:v>2015</c:v>
                </c:pt>
                <c:pt idx="1125">
                  <c:v>2015</c:v>
                </c:pt>
                <c:pt idx="1126">
                  <c:v>2015</c:v>
                </c:pt>
                <c:pt idx="1127">
                  <c:v>2015</c:v>
                </c:pt>
                <c:pt idx="1128">
                  <c:v>2015</c:v>
                </c:pt>
                <c:pt idx="1129">
                  <c:v>2015</c:v>
                </c:pt>
                <c:pt idx="1130">
                  <c:v>2015</c:v>
                </c:pt>
                <c:pt idx="1131">
                  <c:v>2015</c:v>
                </c:pt>
                <c:pt idx="1132">
                  <c:v>2015</c:v>
                </c:pt>
                <c:pt idx="1133">
                  <c:v>2015</c:v>
                </c:pt>
                <c:pt idx="1134">
                  <c:v>2015</c:v>
                </c:pt>
                <c:pt idx="1135">
                  <c:v>2015</c:v>
                </c:pt>
                <c:pt idx="1136">
                  <c:v>2015</c:v>
                </c:pt>
                <c:pt idx="1137">
                  <c:v>2015</c:v>
                </c:pt>
                <c:pt idx="1138">
                  <c:v>2015</c:v>
                </c:pt>
                <c:pt idx="1139">
                  <c:v>2014</c:v>
                </c:pt>
                <c:pt idx="1140">
                  <c:v>2014</c:v>
                </c:pt>
                <c:pt idx="1141">
                  <c:v>2014</c:v>
                </c:pt>
                <c:pt idx="1142">
                  <c:v>2014</c:v>
                </c:pt>
                <c:pt idx="1143">
                  <c:v>2014</c:v>
                </c:pt>
                <c:pt idx="1144">
                  <c:v>2014</c:v>
                </c:pt>
                <c:pt idx="1145">
                  <c:v>2014</c:v>
                </c:pt>
                <c:pt idx="1146">
                  <c:v>2014</c:v>
                </c:pt>
                <c:pt idx="1147">
                  <c:v>2014</c:v>
                </c:pt>
                <c:pt idx="1148">
                  <c:v>2014</c:v>
                </c:pt>
                <c:pt idx="1149">
                  <c:v>2014</c:v>
                </c:pt>
                <c:pt idx="1150">
                  <c:v>2014</c:v>
                </c:pt>
                <c:pt idx="1151">
                  <c:v>2014</c:v>
                </c:pt>
                <c:pt idx="1152">
                  <c:v>2014</c:v>
                </c:pt>
                <c:pt idx="1153">
                  <c:v>2014</c:v>
                </c:pt>
                <c:pt idx="1154">
                  <c:v>2014</c:v>
                </c:pt>
                <c:pt idx="1155">
                  <c:v>2014</c:v>
                </c:pt>
                <c:pt idx="1156">
                  <c:v>2014</c:v>
                </c:pt>
                <c:pt idx="1157">
                  <c:v>2014</c:v>
                </c:pt>
                <c:pt idx="1158">
                  <c:v>2014</c:v>
                </c:pt>
                <c:pt idx="1159">
                  <c:v>2014</c:v>
                </c:pt>
                <c:pt idx="1160">
                  <c:v>2014</c:v>
                </c:pt>
                <c:pt idx="1161">
                  <c:v>2014</c:v>
                </c:pt>
                <c:pt idx="1162">
                  <c:v>2014</c:v>
                </c:pt>
                <c:pt idx="1163">
                  <c:v>2014</c:v>
                </c:pt>
                <c:pt idx="1164">
                  <c:v>2014</c:v>
                </c:pt>
                <c:pt idx="1165">
                  <c:v>2014</c:v>
                </c:pt>
                <c:pt idx="1166">
                  <c:v>2014</c:v>
                </c:pt>
                <c:pt idx="1167">
                  <c:v>2014</c:v>
                </c:pt>
                <c:pt idx="1168">
                  <c:v>2014</c:v>
                </c:pt>
                <c:pt idx="1169">
                  <c:v>2014</c:v>
                </c:pt>
                <c:pt idx="1170">
                  <c:v>2014</c:v>
                </c:pt>
                <c:pt idx="1171">
                  <c:v>2014</c:v>
                </c:pt>
                <c:pt idx="1172">
                  <c:v>2014</c:v>
                </c:pt>
                <c:pt idx="1173">
                  <c:v>2014</c:v>
                </c:pt>
                <c:pt idx="1174">
                  <c:v>2014</c:v>
                </c:pt>
                <c:pt idx="1175">
                  <c:v>2014</c:v>
                </c:pt>
                <c:pt idx="1176">
                  <c:v>2014</c:v>
                </c:pt>
                <c:pt idx="1177">
                  <c:v>2014</c:v>
                </c:pt>
                <c:pt idx="1178">
                  <c:v>2014</c:v>
                </c:pt>
                <c:pt idx="1179">
                  <c:v>2014</c:v>
                </c:pt>
                <c:pt idx="1180">
                  <c:v>2014</c:v>
                </c:pt>
                <c:pt idx="1181">
                  <c:v>2014</c:v>
                </c:pt>
                <c:pt idx="1182">
                  <c:v>2014</c:v>
                </c:pt>
                <c:pt idx="1183">
                  <c:v>2014</c:v>
                </c:pt>
                <c:pt idx="1184">
                  <c:v>2014</c:v>
                </c:pt>
                <c:pt idx="1185">
                  <c:v>2014</c:v>
                </c:pt>
                <c:pt idx="1186">
                  <c:v>2014</c:v>
                </c:pt>
                <c:pt idx="1187">
                  <c:v>2014</c:v>
                </c:pt>
                <c:pt idx="1188">
                  <c:v>2014</c:v>
                </c:pt>
                <c:pt idx="1189">
                  <c:v>2014</c:v>
                </c:pt>
                <c:pt idx="1190">
                  <c:v>2014</c:v>
                </c:pt>
                <c:pt idx="1191">
                  <c:v>2014</c:v>
                </c:pt>
                <c:pt idx="1192">
                  <c:v>2014</c:v>
                </c:pt>
                <c:pt idx="1193">
                  <c:v>2014</c:v>
                </c:pt>
                <c:pt idx="1194">
                  <c:v>2014</c:v>
                </c:pt>
                <c:pt idx="1195">
                  <c:v>2014</c:v>
                </c:pt>
                <c:pt idx="1196">
                  <c:v>2014</c:v>
                </c:pt>
                <c:pt idx="1197">
                  <c:v>2014</c:v>
                </c:pt>
                <c:pt idx="1198">
                  <c:v>2014</c:v>
                </c:pt>
                <c:pt idx="1199">
                  <c:v>2014</c:v>
                </c:pt>
                <c:pt idx="1200">
                  <c:v>2014</c:v>
                </c:pt>
                <c:pt idx="1201">
                  <c:v>2014</c:v>
                </c:pt>
                <c:pt idx="1202">
                  <c:v>2014</c:v>
                </c:pt>
                <c:pt idx="1203">
                  <c:v>2014</c:v>
                </c:pt>
                <c:pt idx="1204">
                  <c:v>2014</c:v>
                </c:pt>
                <c:pt idx="1205">
                  <c:v>2014</c:v>
                </c:pt>
                <c:pt idx="1206">
                  <c:v>2014</c:v>
                </c:pt>
                <c:pt idx="1207">
                  <c:v>2014</c:v>
                </c:pt>
                <c:pt idx="1208">
                  <c:v>2014</c:v>
                </c:pt>
                <c:pt idx="1209">
                  <c:v>2014</c:v>
                </c:pt>
                <c:pt idx="1210">
                  <c:v>2004</c:v>
                </c:pt>
              </c:numCache>
            </c:numRef>
          </c:xVal>
          <c:yVal>
            <c:numRef>
              <c:f>Data!$H$6:$H$1216</c:f>
              <c:numCache>
                <c:formatCode>0</c:formatCode>
                <c:ptCount val="1211"/>
                <c:pt idx="0">
                  <c:v>914.83944651479442</c:v>
                </c:pt>
                <c:pt idx="1">
                  <c:v>914.83944651479442</c:v>
                </c:pt>
                <c:pt idx="2">
                  <c:v>914.83944651479442</c:v>
                </c:pt>
                <c:pt idx="3">
                  <c:v>914.83944651479442</c:v>
                </c:pt>
                <c:pt idx="4">
                  <c:v>914.83944651479442</c:v>
                </c:pt>
                <c:pt idx="5">
                  <c:v>914.83944651479442</c:v>
                </c:pt>
                <c:pt idx="6">
                  <c:v>914.83944651479442</c:v>
                </c:pt>
                <c:pt idx="7">
                  <c:v>914.83944651479442</c:v>
                </c:pt>
                <c:pt idx="8">
                  <c:v>914.83944651479442</c:v>
                </c:pt>
                <c:pt idx="9">
                  <c:v>914.83944651479442</c:v>
                </c:pt>
                <c:pt idx="10">
                  <c:v>683.10236828102006</c:v>
                </c:pt>
                <c:pt idx="11">
                  <c:v>683.10236828102006</c:v>
                </c:pt>
                <c:pt idx="12">
                  <c:v>197.31888837074524</c:v>
                </c:pt>
                <c:pt idx="13">
                  <c:v>683.10236828102006</c:v>
                </c:pt>
                <c:pt idx="14">
                  <c:v>780.68842089259488</c:v>
                </c:pt>
                <c:pt idx="15">
                  <c:v>780.68842089259488</c:v>
                </c:pt>
                <c:pt idx="16">
                  <c:v>780.68842089259488</c:v>
                </c:pt>
                <c:pt idx="17">
                  <c:v>683.10236828102006</c:v>
                </c:pt>
                <c:pt idx="18">
                  <c:v>780.68842089259488</c:v>
                </c:pt>
                <c:pt idx="19">
                  <c:v>780.68842089259488</c:v>
                </c:pt>
                <c:pt idx="20">
                  <c:v>780.68842089259488</c:v>
                </c:pt>
                <c:pt idx="21">
                  <c:v>780.68842089259488</c:v>
                </c:pt>
                <c:pt idx="22">
                  <c:v>780.68842089259488</c:v>
                </c:pt>
                <c:pt idx="23">
                  <c:v>780.68842089259488</c:v>
                </c:pt>
                <c:pt idx="24">
                  <c:v>780.68842089259488</c:v>
                </c:pt>
                <c:pt idx="25">
                  <c:v>780.68842089259488</c:v>
                </c:pt>
                <c:pt idx="26">
                  <c:v>780.68842089259488</c:v>
                </c:pt>
                <c:pt idx="27">
                  <c:v>780.68842089259488</c:v>
                </c:pt>
                <c:pt idx="28">
                  <c:v>780.68842089259488</c:v>
                </c:pt>
                <c:pt idx="29">
                  <c:v>780.68842089259488</c:v>
                </c:pt>
                <c:pt idx="30">
                  <c:v>780.68842089259488</c:v>
                </c:pt>
                <c:pt idx="31">
                  <c:v>780.68842089259488</c:v>
                </c:pt>
                <c:pt idx="32">
                  <c:v>780.68842089259488</c:v>
                </c:pt>
                <c:pt idx="33">
                  <c:v>780.68842089259488</c:v>
                </c:pt>
                <c:pt idx="34">
                  <c:v>780.68842089259488</c:v>
                </c:pt>
                <c:pt idx="35">
                  <c:v>780.68842089259488</c:v>
                </c:pt>
                <c:pt idx="36">
                  <c:v>780.68842089259488</c:v>
                </c:pt>
                <c:pt idx="37">
                  <c:v>780.68842089259488</c:v>
                </c:pt>
                <c:pt idx="38">
                  <c:v>780.68842089259488</c:v>
                </c:pt>
                <c:pt idx="39">
                  <c:v>780.68842089259488</c:v>
                </c:pt>
                <c:pt idx="40">
                  <c:v>780.68842089259488</c:v>
                </c:pt>
                <c:pt idx="41">
                  <c:v>780.68842089259488</c:v>
                </c:pt>
                <c:pt idx="42">
                  <c:v>780.68842089259488</c:v>
                </c:pt>
                <c:pt idx="43">
                  <c:v>780.68842089259488</c:v>
                </c:pt>
                <c:pt idx="44">
                  <c:v>780.68842089259488</c:v>
                </c:pt>
                <c:pt idx="45">
                  <c:v>780.68842089259488</c:v>
                </c:pt>
                <c:pt idx="46">
                  <c:v>780.68842089259488</c:v>
                </c:pt>
                <c:pt idx="47">
                  <c:v>780.68842089259488</c:v>
                </c:pt>
                <c:pt idx="48">
                  <c:v>780.68842089259488</c:v>
                </c:pt>
                <c:pt idx="49">
                  <c:v>780.68842089259488</c:v>
                </c:pt>
                <c:pt idx="50">
                  <c:v>780.68842089259488</c:v>
                </c:pt>
                <c:pt idx="51">
                  <c:v>780.68842089259488</c:v>
                </c:pt>
                <c:pt idx="52">
                  <c:v>780.68842089259488</c:v>
                </c:pt>
                <c:pt idx="53">
                  <c:v>780.68842089259488</c:v>
                </c:pt>
                <c:pt idx="54">
                  <c:v>780.68842089259488</c:v>
                </c:pt>
                <c:pt idx="55">
                  <c:v>780.68842089259488</c:v>
                </c:pt>
                <c:pt idx="56">
                  <c:v>780.68842089259488</c:v>
                </c:pt>
                <c:pt idx="57">
                  <c:v>780.68842089259488</c:v>
                </c:pt>
                <c:pt idx="58">
                  <c:v>780.68842089259488</c:v>
                </c:pt>
                <c:pt idx="59">
                  <c:v>780.68842089259488</c:v>
                </c:pt>
                <c:pt idx="60">
                  <c:v>780.68842089259488</c:v>
                </c:pt>
                <c:pt idx="61">
                  <c:v>780.68842089259488</c:v>
                </c:pt>
                <c:pt idx="62">
                  <c:v>780.68842089259488</c:v>
                </c:pt>
                <c:pt idx="63">
                  <c:v>780.68842089259488</c:v>
                </c:pt>
                <c:pt idx="64">
                  <c:v>780.68842089259488</c:v>
                </c:pt>
                <c:pt idx="65">
                  <c:v>780.68842089259488</c:v>
                </c:pt>
                <c:pt idx="66">
                  <c:v>780.68842089259488</c:v>
                </c:pt>
                <c:pt idx="67">
                  <c:v>780.68842089259488</c:v>
                </c:pt>
                <c:pt idx="68">
                  <c:v>780.68842089259488</c:v>
                </c:pt>
                <c:pt idx="69">
                  <c:v>780.68842089259488</c:v>
                </c:pt>
                <c:pt idx="70">
                  <c:v>780.68842089259488</c:v>
                </c:pt>
                <c:pt idx="71">
                  <c:v>780.68842089259488</c:v>
                </c:pt>
                <c:pt idx="72">
                  <c:v>780.68842089259488</c:v>
                </c:pt>
                <c:pt idx="73">
                  <c:v>780.68842089259488</c:v>
                </c:pt>
                <c:pt idx="74">
                  <c:v>780.68842089259488</c:v>
                </c:pt>
                <c:pt idx="75">
                  <c:v>780.68842089259488</c:v>
                </c:pt>
                <c:pt idx="76">
                  <c:v>780.68842089259488</c:v>
                </c:pt>
                <c:pt idx="77">
                  <c:v>780.68842089259488</c:v>
                </c:pt>
                <c:pt idx="78">
                  <c:v>780.68842089259488</c:v>
                </c:pt>
                <c:pt idx="79">
                  <c:v>780.68842089259488</c:v>
                </c:pt>
                <c:pt idx="80">
                  <c:v>780.68842089259488</c:v>
                </c:pt>
                <c:pt idx="81">
                  <c:v>780.68842089259488</c:v>
                </c:pt>
                <c:pt idx="82">
                  <c:v>780.68842089259488</c:v>
                </c:pt>
                <c:pt idx="83">
                  <c:v>780.68842089259488</c:v>
                </c:pt>
                <c:pt idx="84">
                  <c:v>780.68842089259488</c:v>
                </c:pt>
                <c:pt idx="85">
                  <c:v>780.68842089259488</c:v>
                </c:pt>
                <c:pt idx="86">
                  <c:v>780.68842089259488</c:v>
                </c:pt>
                <c:pt idx="87">
                  <c:v>780.68842089259488</c:v>
                </c:pt>
                <c:pt idx="88">
                  <c:v>780.68842089259488</c:v>
                </c:pt>
                <c:pt idx="89">
                  <c:v>780.68842089259488</c:v>
                </c:pt>
                <c:pt idx="90">
                  <c:v>780.68842089259488</c:v>
                </c:pt>
                <c:pt idx="91">
                  <c:v>780.68842089259488</c:v>
                </c:pt>
                <c:pt idx="92">
                  <c:v>780.68842089259488</c:v>
                </c:pt>
                <c:pt idx="93">
                  <c:v>780.68842089259488</c:v>
                </c:pt>
                <c:pt idx="94">
                  <c:v>780.68842089259488</c:v>
                </c:pt>
                <c:pt idx="95">
                  <c:v>780.68842089259488</c:v>
                </c:pt>
                <c:pt idx="96">
                  <c:v>780.68842089259488</c:v>
                </c:pt>
                <c:pt idx="97">
                  <c:v>780.68842089259488</c:v>
                </c:pt>
                <c:pt idx="98">
                  <c:v>780.68842089259488</c:v>
                </c:pt>
                <c:pt idx="99">
                  <c:v>780.68842089259488</c:v>
                </c:pt>
                <c:pt idx="100">
                  <c:v>780.68842089259488</c:v>
                </c:pt>
                <c:pt idx="101">
                  <c:v>780.68842089259488</c:v>
                </c:pt>
                <c:pt idx="102">
                  <c:v>780.68842089259488</c:v>
                </c:pt>
                <c:pt idx="103">
                  <c:v>780.68842089259488</c:v>
                </c:pt>
                <c:pt idx="104">
                  <c:v>780.68842089259488</c:v>
                </c:pt>
                <c:pt idx="105">
                  <c:v>780.68842089259488</c:v>
                </c:pt>
                <c:pt idx="106">
                  <c:v>780.68842089259488</c:v>
                </c:pt>
                <c:pt idx="107">
                  <c:v>780.68842089259488</c:v>
                </c:pt>
                <c:pt idx="108">
                  <c:v>780.68842089259488</c:v>
                </c:pt>
                <c:pt idx="109">
                  <c:v>780.68842089259488</c:v>
                </c:pt>
                <c:pt idx="110">
                  <c:v>780.68842089259488</c:v>
                </c:pt>
                <c:pt idx="111">
                  <c:v>780.68842089259488</c:v>
                </c:pt>
                <c:pt idx="112">
                  <c:v>780.68842089259488</c:v>
                </c:pt>
                <c:pt idx="113">
                  <c:v>780.68842089259488</c:v>
                </c:pt>
                <c:pt idx="114">
                  <c:v>79.59984291482354</c:v>
                </c:pt>
                <c:pt idx="115">
                  <c:v>79.59984291482354</c:v>
                </c:pt>
                <c:pt idx="116">
                  <c:v>79.59984291482354</c:v>
                </c:pt>
                <c:pt idx="117">
                  <c:v>79.59984291482354</c:v>
                </c:pt>
                <c:pt idx="118">
                  <c:v>79.59984291482354</c:v>
                </c:pt>
                <c:pt idx="119">
                  <c:v>110.56050466440421</c:v>
                </c:pt>
                <c:pt idx="120">
                  <c:v>112.20229674036523</c:v>
                </c:pt>
                <c:pt idx="121">
                  <c:v>112.20229674036523</c:v>
                </c:pt>
                <c:pt idx="122">
                  <c:v>112.20229674036523</c:v>
                </c:pt>
                <c:pt idx="123">
                  <c:v>112.20229674036523</c:v>
                </c:pt>
                <c:pt idx="124">
                  <c:v>112.20229674036523</c:v>
                </c:pt>
                <c:pt idx="125">
                  <c:v>112.20229674036523</c:v>
                </c:pt>
                <c:pt idx="126">
                  <c:v>112.20229674036523</c:v>
                </c:pt>
                <c:pt idx="127">
                  <c:v>112.20229674036523</c:v>
                </c:pt>
                <c:pt idx="128">
                  <c:v>110.56050466440421</c:v>
                </c:pt>
                <c:pt idx="129">
                  <c:v>110.56050466440421</c:v>
                </c:pt>
                <c:pt idx="130">
                  <c:v>112.20229674036523</c:v>
                </c:pt>
                <c:pt idx="131">
                  <c:v>112.20229674036523</c:v>
                </c:pt>
                <c:pt idx="132">
                  <c:v>112.20229674036523</c:v>
                </c:pt>
                <c:pt idx="133">
                  <c:v>112.20229674036523</c:v>
                </c:pt>
                <c:pt idx="134">
                  <c:v>112.20229674036523</c:v>
                </c:pt>
                <c:pt idx="135">
                  <c:v>112.20229674036523</c:v>
                </c:pt>
                <c:pt idx="136">
                  <c:v>112.20229674036523</c:v>
                </c:pt>
                <c:pt idx="137">
                  <c:v>112.20229674036523</c:v>
                </c:pt>
                <c:pt idx="138">
                  <c:v>112.20229674036523</c:v>
                </c:pt>
                <c:pt idx="139">
                  <c:v>112.20229674036523</c:v>
                </c:pt>
                <c:pt idx="140">
                  <c:v>112.20229674036523</c:v>
                </c:pt>
                <c:pt idx="141">
                  <c:v>112.20229674036523</c:v>
                </c:pt>
                <c:pt idx="142">
                  <c:v>112.20229674036523</c:v>
                </c:pt>
                <c:pt idx="143">
                  <c:v>112.20229674036523</c:v>
                </c:pt>
                <c:pt idx="144">
                  <c:v>112.20229674036523</c:v>
                </c:pt>
                <c:pt idx="145">
                  <c:v>112.20229674036523</c:v>
                </c:pt>
                <c:pt idx="146">
                  <c:v>112.20229674036523</c:v>
                </c:pt>
                <c:pt idx="147">
                  <c:v>112.20229674036523</c:v>
                </c:pt>
                <c:pt idx="148">
                  <c:v>112.20229674036523</c:v>
                </c:pt>
                <c:pt idx="149">
                  <c:v>112.20229674036523</c:v>
                </c:pt>
                <c:pt idx="150">
                  <c:v>112.20229674036523</c:v>
                </c:pt>
                <c:pt idx="151">
                  <c:v>112.20229674036523</c:v>
                </c:pt>
                <c:pt idx="152">
                  <c:v>112.20229674036523</c:v>
                </c:pt>
                <c:pt idx="153">
                  <c:v>112.20229674036523</c:v>
                </c:pt>
                <c:pt idx="154">
                  <c:v>112.20229674036523</c:v>
                </c:pt>
                <c:pt idx="155">
                  <c:v>112.20229674036523</c:v>
                </c:pt>
                <c:pt idx="156">
                  <c:v>197.31888837074524</c:v>
                </c:pt>
                <c:pt idx="157">
                  <c:v>197.31888837074524</c:v>
                </c:pt>
                <c:pt idx="158">
                  <c:v>186.16901967856262</c:v>
                </c:pt>
                <c:pt idx="159">
                  <c:v>186.16901967856262</c:v>
                </c:pt>
                <c:pt idx="160">
                  <c:v>186.16901967856262</c:v>
                </c:pt>
                <c:pt idx="161">
                  <c:v>186.16901967856262</c:v>
                </c:pt>
                <c:pt idx="162">
                  <c:v>186.16901967856262</c:v>
                </c:pt>
                <c:pt idx="163">
                  <c:v>186.16901967856262</c:v>
                </c:pt>
                <c:pt idx="164">
                  <c:v>186.16901967856262</c:v>
                </c:pt>
                <c:pt idx="165">
                  <c:v>186.16901967856262</c:v>
                </c:pt>
                <c:pt idx="166">
                  <c:v>186.16901967856262</c:v>
                </c:pt>
                <c:pt idx="167">
                  <c:v>186.16901967856262</c:v>
                </c:pt>
                <c:pt idx="168">
                  <c:v>186.16901967856262</c:v>
                </c:pt>
                <c:pt idx="169">
                  <c:v>186.16901967856262</c:v>
                </c:pt>
                <c:pt idx="170">
                  <c:v>186.16901967856262</c:v>
                </c:pt>
                <c:pt idx="171">
                  <c:v>186.16901967856262</c:v>
                </c:pt>
                <c:pt idx="172">
                  <c:v>186.16901967856262</c:v>
                </c:pt>
                <c:pt idx="173">
                  <c:v>186.16901967856262</c:v>
                </c:pt>
                <c:pt idx="174">
                  <c:v>186.16901967856262</c:v>
                </c:pt>
                <c:pt idx="175">
                  <c:v>186.16901967856262</c:v>
                </c:pt>
                <c:pt idx="176">
                  <c:v>186.16901967856262</c:v>
                </c:pt>
                <c:pt idx="177">
                  <c:v>186.16901967856262</c:v>
                </c:pt>
                <c:pt idx="178">
                  <c:v>186.16901967856262</c:v>
                </c:pt>
                <c:pt idx="179">
                  <c:v>186.16901967856262</c:v>
                </c:pt>
                <c:pt idx="180">
                  <c:v>186.16901967856262</c:v>
                </c:pt>
                <c:pt idx="181">
                  <c:v>186.16901967856262</c:v>
                </c:pt>
                <c:pt idx="182">
                  <c:v>186.16901967856262</c:v>
                </c:pt>
                <c:pt idx="183">
                  <c:v>186.16901967856262</c:v>
                </c:pt>
                <c:pt idx="184">
                  <c:v>186.16901967856262</c:v>
                </c:pt>
                <c:pt idx="185">
                  <c:v>186.16901967856262</c:v>
                </c:pt>
                <c:pt idx="186">
                  <c:v>186.16901967856262</c:v>
                </c:pt>
                <c:pt idx="187">
                  <c:v>186.16901967856262</c:v>
                </c:pt>
                <c:pt idx="188">
                  <c:v>186.16901967856262</c:v>
                </c:pt>
                <c:pt idx="189">
                  <c:v>186.16901967856262</c:v>
                </c:pt>
                <c:pt idx="190">
                  <c:v>186.16901967856262</c:v>
                </c:pt>
                <c:pt idx="191">
                  <c:v>186.16901967856262</c:v>
                </c:pt>
                <c:pt idx="192">
                  <c:v>186.16901967856262</c:v>
                </c:pt>
                <c:pt idx="193">
                  <c:v>282.69053499300935</c:v>
                </c:pt>
                <c:pt idx="194">
                  <c:v>278.80118935435661</c:v>
                </c:pt>
                <c:pt idx="195">
                  <c:v>278.80118935435661</c:v>
                </c:pt>
                <c:pt idx="196">
                  <c:v>278.80118935435661</c:v>
                </c:pt>
                <c:pt idx="197">
                  <c:v>278.80118935435661</c:v>
                </c:pt>
                <c:pt idx="198">
                  <c:v>263.24380679974507</c:v>
                </c:pt>
                <c:pt idx="199">
                  <c:v>523.86420294178538</c:v>
                </c:pt>
                <c:pt idx="200">
                  <c:v>523.86420294178538</c:v>
                </c:pt>
                <c:pt idx="201">
                  <c:v>523.86420294178538</c:v>
                </c:pt>
                <c:pt idx="202">
                  <c:v>523.86420294178538</c:v>
                </c:pt>
                <c:pt idx="203">
                  <c:v>523.86420294178538</c:v>
                </c:pt>
                <c:pt idx="204">
                  <c:v>523.86420294178538</c:v>
                </c:pt>
                <c:pt idx="205">
                  <c:v>259.35446116109233</c:v>
                </c:pt>
                <c:pt idx="206">
                  <c:v>259.35446116109233</c:v>
                </c:pt>
                <c:pt idx="207">
                  <c:v>259.35446116109233</c:v>
                </c:pt>
                <c:pt idx="208">
                  <c:v>259.35446116109233</c:v>
                </c:pt>
                <c:pt idx="209">
                  <c:v>259.35446116109233</c:v>
                </c:pt>
                <c:pt idx="210">
                  <c:v>259.35446116109233</c:v>
                </c:pt>
                <c:pt idx="211">
                  <c:v>259.35446116109233</c:v>
                </c:pt>
                <c:pt idx="212">
                  <c:v>259.35446116109233</c:v>
                </c:pt>
                <c:pt idx="213">
                  <c:v>259.35446116109233</c:v>
                </c:pt>
                <c:pt idx="214">
                  <c:v>259.35446116109233</c:v>
                </c:pt>
                <c:pt idx="215">
                  <c:v>259.35446116109233</c:v>
                </c:pt>
                <c:pt idx="216">
                  <c:v>239.58577159610638</c:v>
                </c:pt>
                <c:pt idx="217">
                  <c:v>239.58577159610638</c:v>
                </c:pt>
                <c:pt idx="218">
                  <c:v>239.58577159610638</c:v>
                </c:pt>
                <c:pt idx="219">
                  <c:v>239.58577159610638</c:v>
                </c:pt>
                <c:pt idx="220">
                  <c:v>239.58577159610638</c:v>
                </c:pt>
                <c:pt idx="221">
                  <c:v>239.58577159610638</c:v>
                </c:pt>
                <c:pt idx="222">
                  <c:v>239.58577159610638</c:v>
                </c:pt>
                <c:pt idx="223">
                  <c:v>239.58577159610638</c:v>
                </c:pt>
                <c:pt idx="224">
                  <c:v>239.58577159610638</c:v>
                </c:pt>
                <c:pt idx="225">
                  <c:v>239.58577159610638</c:v>
                </c:pt>
                <c:pt idx="226">
                  <c:v>239.58577159610638</c:v>
                </c:pt>
                <c:pt idx="227">
                  <c:v>239.58577159610638</c:v>
                </c:pt>
                <c:pt idx="228">
                  <c:v>239.58577159610638</c:v>
                </c:pt>
                <c:pt idx="229">
                  <c:v>239.58577159610638</c:v>
                </c:pt>
                <c:pt idx="230">
                  <c:v>239.58577159610638</c:v>
                </c:pt>
                <c:pt idx="231">
                  <c:v>239.58577159610638</c:v>
                </c:pt>
                <c:pt idx="232">
                  <c:v>239.58577159610638</c:v>
                </c:pt>
                <c:pt idx="233">
                  <c:v>239.58577159610638</c:v>
                </c:pt>
                <c:pt idx="234">
                  <c:v>239.58577159610638</c:v>
                </c:pt>
                <c:pt idx="235">
                  <c:v>239.58577159610638</c:v>
                </c:pt>
                <c:pt idx="236">
                  <c:v>239.58577159610638</c:v>
                </c:pt>
                <c:pt idx="237">
                  <c:v>239.58577159610638</c:v>
                </c:pt>
                <c:pt idx="238">
                  <c:v>239.58577159610638</c:v>
                </c:pt>
                <c:pt idx="239">
                  <c:v>239.58577159610638</c:v>
                </c:pt>
                <c:pt idx="240">
                  <c:v>239.58577159610638</c:v>
                </c:pt>
                <c:pt idx="241">
                  <c:v>500.74918436144497</c:v>
                </c:pt>
                <c:pt idx="242">
                  <c:v>500.74918436144497</c:v>
                </c:pt>
                <c:pt idx="243">
                  <c:v>500.74918436144497</c:v>
                </c:pt>
                <c:pt idx="244">
                  <c:v>500.74918436144497</c:v>
                </c:pt>
                <c:pt idx="245">
                  <c:v>500.74918436144497</c:v>
                </c:pt>
                <c:pt idx="246">
                  <c:v>500.74918436144497</c:v>
                </c:pt>
                <c:pt idx="247">
                  <c:v>500.74918436144497</c:v>
                </c:pt>
                <c:pt idx="248">
                  <c:v>500.74918436144497</c:v>
                </c:pt>
                <c:pt idx="249">
                  <c:v>500.74918436144497</c:v>
                </c:pt>
                <c:pt idx="250">
                  <c:v>500.74918436144497</c:v>
                </c:pt>
                <c:pt idx="251">
                  <c:v>500.74918436144497</c:v>
                </c:pt>
                <c:pt idx="252">
                  <c:v>500.74918436144497</c:v>
                </c:pt>
                <c:pt idx="253">
                  <c:v>500.74918436144497</c:v>
                </c:pt>
                <c:pt idx="254">
                  <c:v>500.74918436144497</c:v>
                </c:pt>
                <c:pt idx="255">
                  <c:v>500.74918436144497</c:v>
                </c:pt>
                <c:pt idx="256">
                  <c:v>500.74918436144497</c:v>
                </c:pt>
                <c:pt idx="257">
                  <c:v>500.74918436144497</c:v>
                </c:pt>
                <c:pt idx="258">
                  <c:v>500.74918436144497</c:v>
                </c:pt>
                <c:pt idx="259">
                  <c:v>500.74918436144497</c:v>
                </c:pt>
                <c:pt idx="260">
                  <c:v>500.74918436144497</c:v>
                </c:pt>
                <c:pt idx="261">
                  <c:v>500.74918436144497</c:v>
                </c:pt>
                <c:pt idx="262">
                  <c:v>500.74918436144497</c:v>
                </c:pt>
                <c:pt idx="263">
                  <c:v>500.74918436144497</c:v>
                </c:pt>
                <c:pt idx="264">
                  <c:v>500.74918436144497</c:v>
                </c:pt>
                <c:pt idx="265">
                  <c:v>500.74918436144497</c:v>
                </c:pt>
                <c:pt idx="266">
                  <c:v>500.74918436144497</c:v>
                </c:pt>
                <c:pt idx="267">
                  <c:v>500.74918436144497</c:v>
                </c:pt>
                <c:pt idx="268">
                  <c:v>500.74918436144497</c:v>
                </c:pt>
                <c:pt idx="269">
                  <c:v>500.74918436144497</c:v>
                </c:pt>
                <c:pt idx="270">
                  <c:v>500.74918436144497</c:v>
                </c:pt>
                <c:pt idx="271">
                  <c:v>500.74918436144497</c:v>
                </c:pt>
                <c:pt idx="272">
                  <c:v>500.74918436144497</c:v>
                </c:pt>
                <c:pt idx="273">
                  <c:v>500.74918436144497</c:v>
                </c:pt>
                <c:pt idx="274">
                  <c:v>500.74918436144497</c:v>
                </c:pt>
                <c:pt idx="275">
                  <c:v>500.74918436144497</c:v>
                </c:pt>
                <c:pt idx="276">
                  <c:v>500.74918436144497</c:v>
                </c:pt>
                <c:pt idx="277">
                  <c:v>500.74918436144497</c:v>
                </c:pt>
                <c:pt idx="278">
                  <c:v>500.74918436144497</c:v>
                </c:pt>
                <c:pt idx="279">
                  <c:v>500.74918436144497</c:v>
                </c:pt>
                <c:pt idx="280">
                  <c:v>500.74918436144497</c:v>
                </c:pt>
                <c:pt idx="281">
                  <c:v>500.74918436144497</c:v>
                </c:pt>
                <c:pt idx="282">
                  <c:v>500.74918436144497</c:v>
                </c:pt>
                <c:pt idx="283">
                  <c:v>500.74918436144497</c:v>
                </c:pt>
                <c:pt idx="284">
                  <c:v>500.74918436144497</c:v>
                </c:pt>
                <c:pt idx="285">
                  <c:v>182.11948132765423</c:v>
                </c:pt>
                <c:pt idx="286">
                  <c:v>182.11948132765423</c:v>
                </c:pt>
                <c:pt idx="287">
                  <c:v>182.11948132765423</c:v>
                </c:pt>
                <c:pt idx="288">
                  <c:v>182.11948132765423</c:v>
                </c:pt>
                <c:pt idx="289">
                  <c:v>182.11948132765423</c:v>
                </c:pt>
                <c:pt idx="290">
                  <c:v>182.11948132765423</c:v>
                </c:pt>
                <c:pt idx="291">
                  <c:v>182.11948132765423</c:v>
                </c:pt>
                <c:pt idx="292">
                  <c:v>182.11948132765423</c:v>
                </c:pt>
                <c:pt idx="293">
                  <c:v>182.11948132765423</c:v>
                </c:pt>
                <c:pt idx="294">
                  <c:v>182.11948132765423</c:v>
                </c:pt>
                <c:pt idx="295">
                  <c:v>182.11948132765423</c:v>
                </c:pt>
                <c:pt idx="296">
                  <c:v>182.11948132765423</c:v>
                </c:pt>
                <c:pt idx="297">
                  <c:v>182.11948132765423</c:v>
                </c:pt>
                <c:pt idx="298">
                  <c:v>182.11948132765423</c:v>
                </c:pt>
                <c:pt idx="299">
                  <c:v>182.11948132765423</c:v>
                </c:pt>
                <c:pt idx="300">
                  <c:v>182.11948132765423</c:v>
                </c:pt>
                <c:pt idx="301">
                  <c:v>182.11948132765423</c:v>
                </c:pt>
                <c:pt idx="302">
                  <c:v>182.11948132765423</c:v>
                </c:pt>
                <c:pt idx="303">
                  <c:v>182.11948132765423</c:v>
                </c:pt>
                <c:pt idx="304">
                  <c:v>182.11948132765423</c:v>
                </c:pt>
                <c:pt idx="305">
                  <c:v>182.11948132765423</c:v>
                </c:pt>
                <c:pt idx="306">
                  <c:v>182.11948132765423</c:v>
                </c:pt>
                <c:pt idx="307">
                  <c:v>182.11948132765423</c:v>
                </c:pt>
                <c:pt idx="308">
                  <c:v>182.11948132765423</c:v>
                </c:pt>
                <c:pt idx="309">
                  <c:v>182.11948132765423</c:v>
                </c:pt>
                <c:pt idx="310">
                  <c:v>182.11948132765423</c:v>
                </c:pt>
                <c:pt idx="311">
                  <c:v>182.11948132765423</c:v>
                </c:pt>
                <c:pt idx="312">
                  <c:v>182.11948132765423</c:v>
                </c:pt>
                <c:pt idx="313">
                  <c:v>182.11948132765423</c:v>
                </c:pt>
                <c:pt idx="314">
                  <c:v>182.11948132765423</c:v>
                </c:pt>
                <c:pt idx="315">
                  <c:v>182.11948132765423</c:v>
                </c:pt>
                <c:pt idx="316">
                  <c:v>182.11948132765423</c:v>
                </c:pt>
                <c:pt idx="317">
                  <c:v>182.11948132765423</c:v>
                </c:pt>
                <c:pt idx="318">
                  <c:v>182.11948132765423</c:v>
                </c:pt>
                <c:pt idx="319">
                  <c:v>182.11948132765423</c:v>
                </c:pt>
                <c:pt idx="320">
                  <c:v>182.11948132765423</c:v>
                </c:pt>
                <c:pt idx="321">
                  <c:v>182.11948132765423</c:v>
                </c:pt>
                <c:pt idx="322">
                  <c:v>182.11948132765423</c:v>
                </c:pt>
                <c:pt idx="323">
                  <c:v>182.11948132765423</c:v>
                </c:pt>
                <c:pt idx="324">
                  <c:v>182.11948132765423</c:v>
                </c:pt>
                <c:pt idx="325">
                  <c:v>182.11948132765423</c:v>
                </c:pt>
                <c:pt idx="326">
                  <c:v>182.11948132765423</c:v>
                </c:pt>
                <c:pt idx="327">
                  <c:v>182.11948132765423</c:v>
                </c:pt>
                <c:pt idx="328">
                  <c:v>182.11948132765423</c:v>
                </c:pt>
                <c:pt idx="329">
                  <c:v>182.11948132765423</c:v>
                </c:pt>
                <c:pt idx="330">
                  <c:v>182.11948132765423</c:v>
                </c:pt>
                <c:pt idx="331">
                  <c:v>182.11948132765423</c:v>
                </c:pt>
                <c:pt idx="332">
                  <c:v>182.11948132765423</c:v>
                </c:pt>
                <c:pt idx="333">
                  <c:v>500.74918436144497</c:v>
                </c:pt>
                <c:pt idx="334">
                  <c:v>500.74918436144497</c:v>
                </c:pt>
                <c:pt idx="335">
                  <c:v>500.74918436144497</c:v>
                </c:pt>
                <c:pt idx="336">
                  <c:v>500.74918436144497</c:v>
                </c:pt>
                <c:pt idx="337">
                  <c:v>500.74918436144497</c:v>
                </c:pt>
                <c:pt idx="338">
                  <c:v>500.74918436144497</c:v>
                </c:pt>
                <c:pt idx="339">
                  <c:v>500.74918436144497</c:v>
                </c:pt>
                <c:pt idx="340">
                  <c:v>500.74918436144497</c:v>
                </c:pt>
                <c:pt idx="341">
                  <c:v>500.74918436144497</c:v>
                </c:pt>
                <c:pt idx="342">
                  <c:v>500.74918436144497</c:v>
                </c:pt>
                <c:pt idx="343">
                  <c:v>500.74918436144497</c:v>
                </c:pt>
                <c:pt idx="344">
                  <c:v>500.74918436144497</c:v>
                </c:pt>
                <c:pt idx="345">
                  <c:v>500.74918436144497</c:v>
                </c:pt>
                <c:pt idx="346">
                  <c:v>500.74918436144497</c:v>
                </c:pt>
                <c:pt idx="347">
                  <c:v>500.74918436144497</c:v>
                </c:pt>
                <c:pt idx="348">
                  <c:v>500.74918436144497</c:v>
                </c:pt>
                <c:pt idx="349">
                  <c:v>500.74918436144497</c:v>
                </c:pt>
                <c:pt idx="350">
                  <c:v>500.74918436144497</c:v>
                </c:pt>
                <c:pt idx="351">
                  <c:v>500.74918436144497</c:v>
                </c:pt>
                <c:pt idx="352">
                  <c:v>500.74918436144497</c:v>
                </c:pt>
                <c:pt idx="353">
                  <c:v>500.74918436144497</c:v>
                </c:pt>
                <c:pt idx="354">
                  <c:v>500.74918436144497</c:v>
                </c:pt>
                <c:pt idx="355">
                  <c:v>500.74918436144497</c:v>
                </c:pt>
                <c:pt idx="356">
                  <c:v>500.74918436144497</c:v>
                </c:pt>
                <c:pt idx="357">
                  <c:v>500.74918436144497</c:v>
                </c:pt>
                <c:pt idx="358">
                  <c:v>523.86420294178538</c:v>
                </c:pt>
                <c:pt idx="359">
                  <c:v>523.86420294178538</c:v>
                </c:pt>
                <c:pt idx="360">
                  <c:v>523.86420294178538</c:v>
                </c:pt>
                <c:pt idx="361">
                  <c:v>523.86420294178538</c:v>
                </c:pt>
                <c:pt idx="362">
                  <c:v>523.86420294178538</c:v>
                </c:pt>
                <c:pt idx="363">
                  <c:v>523.86420294178538</c:v>
                </c:pt>
                <c:pt idx="364">
                  <c:v>500.74918436144497</c:v>
                </c:pt>
                <c:pt idx="365">
                  <c:v>523.86420294178538</c:v>
                </c:pt>
                <c:pt idx="366">
                  <c:v>523.86420294178538</c:v>
                </c:pt>
                <c:pt idx="367">
                  <c:v>500.74918436144497</c:v>
                </c:pt>
                <c:pt idx="368">
                  <c:v>220.46463902820841</c:v>
                </c:pt>
                <c:pt idx="369">
                  <c:v>220.46463902820841</c:v>
                </c:pt>
                <c:pt idx="370">
                  <c:v>219.75327049269208</c:v>
                </c:pt>
                <c:pt idx="371">
                  <c:v>219.75327049269208</c:v>
                </c:pt>
                <c:pt idx="372">
                  <c:v>219.75327049269208</c:v>
                </c:pt>
                <c:pt idx="373">
                  <c:v>219.75327049269208</c:v>
                </c:pt>
                <c:pt idx="374">
                  <c:v>219.75327049269208</c:v>
                </c:pt>
                <c:pt idx="375">
                  <c:v>219.75327049269208</c:v>
                </c:pt>
                <c:pt idx="376">
                  <c:v>219.75327049269208</c:v>
                </c:pt>
                <c:pt idx="377">
                  <c:v>219.75327049269208</c:v>
                </c:pt>
                <c:pt idx="378">
                  <c:v>219.75327049269208</c:v>
                </c:pt>
                <c:pt idx="379">
                  <c:v>219.75327049269208</c:v>
                </c:pt>
                <c:pt idx="380">
                  <c:v>219.75327049269208</c:v>
                </c:pt>
                <c:pt idx="381">
                  <c:v>219.75327049269208</c:v>
                </c:pt>
                <c:pt idx="382">
                  <c:v>219.75327049269208</c:v>
                </c:pt>
                <c:pt idx="383">
                  <c:v>219.75327049269208</c:v>
                </c:pt>
                <c:pt idx="384">
                  <c:v>219.75327049269208</c:v>
                </c:pt>
                <c:pt idx="385">
                  <c:v>219.75327049269208</c:v>
                </c:pt>
                <c:pt idx="386">
                  <c:v>219.75327049269208</c:v>
                </c:pt>
                <c:pt idx="387">
                  <c:v>219.75327049269208</c:v>
                </c:pt>
                <c:pt idx="388">
                  <c:v>219.75327049269208</c:v>
                </c:pt>
                <c:pt idx="389">
                  <c:v>191.46239168394251</c:v>
                </c:pt>
                <c:pt idx="390">
                  <c:v>191.46239168394251</c:v>
                </c:pt>
                <c:pt idx="391">
                  <c:v>191.46239168394251</c:v>
                </c:pt>
                <c:pt idx="392">
                  <c:v>191.46239168394251</c:v>
                </c:pt>
                <c:pt idx="393">
                  <c:v>191.46239168394251</c:v>
                </c:pt>
                <c:pt idx="394">
                  <c:v>226.95522031937912</c:v>
                </c:pt>
                <c:pt idx="395">
                  <c:v>226.95522031937912</c:v>
                </c:pt>
                <c:pt idx="396">
                  <c:v>226.95522031937912</c:v>
                </c:pt>
                <c:pt idx="397">
                  <c:v>226.95522031937912</c:v>
                </c:pt>
                <c:pt idx="398">
                  <c:v>226.95522031937912</c:v>
                </c:pt>
                <c:pt idx="399">
                  <c:v>226.95522031937912</c:v>
                </c:pt>
                <c:pt idx="400">
                  <c:v>226.95522031937912</c:v>
                </c:pt>
                <c:pt idx="401">
                  <c:v>226.95522031937912</c:v>
                </c:pt>
                <c:pt idx="402">
                  <c:v>226.95522031937912</c:v>
                </c:pt>
                <c:pt idx="403">
                  <c:v>226.95522031937912</c:v>
                </c:pt>
                <c:pt idx="404">
                  <c:v>226.95522031937912</c:v>
                </c:pt>
                <c:pt idx="405">
                  <c:v>226.95522031937912</c:v>
                </c:pt>
                <c:pt idx="406">
                  <c:v>226.95522031937912</c:v>
                </c:pt>
                <c:pt idx="407">
                  <c:v>226.95522031937912</c:v>
                </c:pt>
                <c:pt idx="408">
                  <c:v>226.95522031937912</c:v>
                </c:pt>
                <c:pt idx="409">
                  <c:v>226.95522031937912</c:v>
                </c:pt>
                <c:pt idx="410">
                  <c:v>226.95522031937912</c:v>
                </c:pt>
                <c:pt idx="411">
                  <c:v>226.95522031937912</c:v>
                </c:pt>
                <c:pt idx="412">
                  <c:v>226.95522031937912</c:v>
                </c:pt>
                <c:pt idx="413">
                  <c:v>226.95522031937912</c:v>
                </c:pt>
                <c:pt idx="414">
                  <c:v>226.95522031937912</c:v>
                </c:pt>
                <c:pt idx="415">
                  <c:v>226.95522031937912</c:v>
                </c:pt>
                <c:pt idx="416">
                  <c:v>226.95522031937912</c:v>
                </c:pt>
                <c:pt idx="417">
                  <c:v>226.95522031937912</c:v>
                </c:pt>
                <c:pt idx="418">
                  <c:v>226.95522031937912</c:v>
                </c:pt>
                <c:pt idx="419">
                  <c:v>226.95522031937912</c:v>
                </c:pt>
                <c:pt idx="420">
                  <c:v>226.95522031937912</c:v>
                </c:pt>
                <c:pt idx="421">
                  <c:v>226.95522031937912</c:v>
                </c:pt>
                <c:pt idx="422">
                  <c:v>226.95522031937912</c:v>
                </c:pt>
                <c:pt idx="423">
                  <c:v>226.95522031937912</c:v>
                </c:pt>
                <c:pt idx="424">
                  <c:v>226.95522031937912</c:v>
                </c:pt>
                <c:pt idx="425">
                  <c:v>226.95522031937912</c:v>
                </c:pt>
                <c:pt idx="426">
                  <c:v>226.95522031937912</c:v>
                </c:pt>
                <c:pt idx="427">
                  <c:v>226.95522031937912</c:v>
                </c:pt>
                <c:pt idx="428">
                  <c:v>226.95522031937912</c:v>
                </c:pt>
                <c:pt idx="429">
                  <c:v>226.95522031937912</c:v>
                </c:pt>
                <c:pt idx="430">
                  <c:v>226.95522031937912</c:v>
                </c:pt>
                <c:pt idx="431">
                  <c:v>226.95522031937912</c:v>
                </c:pt>
                <c:pt idx="432">
                  <c:v>226.95522031937912</c:v>
                </c:pt>
                <c:pt idx="433">
                  <c:v>226.95522031937912</c:v>
                </c:pt>
                <c:pt idx="434">
                  <c:v>226.95522031937912</c:v>
                </c:pt>
                <c:pt idx="435">
                  <c:v>226.95522031937912</c:v>
                </c:pt>
                <c:pt idx="436">
                  <c:v>226.95522031937912</c:v>
                </c:pt>
                <c:pt idx="437">
                  <c:v>226.95522031937912</c:v>
                </c:pt>
                <c:pt idx="438">
                  <c:v>226.95522031937912</c:v>
                </c:pt>
                <c:pt idx="439">
                  <c:v>226.95522031937912</c:v>
                </c:pt>
                <c:pt idx="440">
                  <c:v>226.95522031937912</c:v>
                </c:pt>
                <c:pt idx="441">
                  <c:v>226.95522031937912</c:v>
                </c:pt>
                <c:pt idx="442">
                  <c:v>226.95522031937912</c:v>
                </c:pt>
                <c:pt idx="443">
                  <c:v>226.95522031937912</c:v>
                </c:pt>
                <c:pt idx="444">
                  <c:v>226.95522031937912</c:v>
                </c:pt>
                <c:pt idx="445">
                  <c:v>226.95522031937912</c:v>
                </c:pt>
                <c:pt idx="446">
                  <c:v>191.46239168394251</c:v>
                </c:pt>
                <c:pt idx="447">
                  <c:v>191.46239168394251</c:v>
                </c:pt>
                <c:pt idx="448">
                  <c:v>191.46239168394251</c:v>
                </c:pt>
                <c:pt idx="449">
                  <c:v>226.95522031937912</c:v>
                </c:pt>
                <c:pt idx="450">
                  <c:v>226.95522031937912</c:v>
                </c:pt>
                <c:pt idx="451">
                  <c:v>226.95522031937912</c:v>
                </c:pt>
                <c:pt idx="452">
                  <c:v>226.95522031937912</c:v>
                </c:pt>
                <c:pt idx="453">
                  <c:v>226.95522031937912</c:v>
                </c:pt>
                <c:pt idx="454">
                  <c:v>191.46239168394251</c:v>
                </c:pt>
                <c:pt idx="455">
                  <c:v>191.46239168394251</c:v>
                </c:pt>
                <c:pt idx="456">
                  <c:v>191.46239168394251</c:v>
                </c:pt>
                <c:pt idx="457">
                  <c:v>191.46239168394251</c:v>
                </c:pt>
                <c:pt idx="458">
                  <c:v>191.46239168394251</c:v>
                </c:pt>
                <c:pt idx="459">
                  <c:v>191.46239168394251</c:v>
                </c:pt>
                <c:pt idx="460">
                  <c:v>191.46239168394251</c:v>
                </c:pt>
                <c:pt idx="461">
                  <c:v>191.46239168394251</c:v>
                </c:pt>
                <c:pt idx="462">
                  <c:v>191.46239168394251</c:v>
                </c:pt>
                <c:pt idx="463">
                  <c:v>191.46239168394251</c:v>
                </c:pt>
                <c:pt idx="464">
                  <c:v>191.46239168394251</c:v>
                </c:pt>
                <c:pt idx="465">
                  <c:v>191.46239168394251</c:v>
                </c:pt>
                <c:pt idx="466">
                  <c:v>191.46239168394251</c:v>
                </c:pt>
                <c:pt idx="467">
                  <c:v>191.46239168394251</c:v>
                </c:pt>
                <c:pt idx="468">
                  <c:v>191.46239168394251</c:v>
                </c:pt>
                <c:pt idx="469">
                  <c:v>191.46239168394251</c:v>
                </c:pt>
                <c:pt idx="470">
                  <c:v>191.46239168394251</c:v>
                </c:pt>
                <c:pt idx="471">
                  <c:v>265.64322815143237</c:v>
                </c:pt>
                <c:pt idx="472">
                  <c:v>265.64322815143237</c:v>
                </c:pt>
                <c:pt idx="473">
                  <c:v>214.81113443396845</c:v>
                </c:pt>
                <c:pt idx="474">
                  <c:v>214.81113443396845</c:v>
                </c:pt>
                <c:pt idx="475">
                  <c:v>214.81113443396845</c:v>
                </c:pt>
                <c:pt idx="476">
                  <c:v>262.07305844619424</c:v>
                </c:pt>
                <c:pt idx="477">
                  <c:v>262.07305844619424</c:v>
                </c:pt>
                <c:pt idx="478">
                  <c:v>182.11948132765423</c:v>
                </c:pt>
                <c:pt idx="479">
                  <c:v>182.11948132765423</c:v>
                </c:pt>
                <c:pt idx="480">
                  <c:v>265.64322815143237</c:v>
                </c:pt>
                <c:pt idx="481">
                  <c:v>265.64322815143237</c:v>
                </c:pt>
                <c:pt idx="482">
                  <c:v>265.64322815143237</c:v>
                </c:pt>
                <c:pt idx="483">
                  <c:v>265.64322815143237</c:v>
                </c:pt>
                <c:pt idx="484">
                  <c:v>265.64322815143237</c:v>
                </c:pt>
                <c:pt idx="485">
                  <c:v>265.64322815143237</c:v>
                </c:pt>
                <c:pt idx="486">
                  <c:v>265.64322815143237</c:v>
                </c:pt>
                <c:pt idx="487">
                  <c:v>265.64322815143237</c:v>
                </c:pt>
                <c:pt idx="488">
                  <c:v>265.64322815143237</c:v>
                </c:pt>
                <c:pt idx="489">
                  <c:v>265.64322815143237</c:v>
                </c:pt>
                <c:pt idx="490">
                  <c:v>265.64322815143237</c:v>
                </c:pt>
                <c:pt idx="491">
                  <c:v>265.64322815143237</c:v>
                </c:pt>
                <c:pt idx="492">
                  <c:v>265.64322815143237</c:v>
                </c:pt>
                <c:pt idx="493">
                  <c:v>265.64322815143237</c:v>
                </c:pt>
                <c:pt idx="494">
                  <c:v>265.64322815143237</c:v>
                </c:pt>
                <c:pt idx="495">
                  <c:v>265.64322815143237</c:v>
                </c:pt>
                <c:pt idx="496">
                  <c:v>265.64322815143237</c:v>
                </c:pt>
                <c:pt idx="497">
                  <c:v>265.64322815143237</c:v>
                </c:pt>
                <c:pt idx="498">
                  <c:v>265.64322815143237</c:v>
                </c:pt>
                <c:pt idx="499">
                  <c:v>182.11948132765423</c:v>
                </c:pt>
                <c:pt idx="500">
                  <c:v>182.11948132765423</c:v>
                </c:pt>
                <c:pt idx="501">
                  <c:v>182.11948132765423</c:v>
                </c:pt>
                <c:pt idx="502">
                  <c:v>182.11948132765423</c:v>
                </c:pt>
                <c:pt idx="503">
                  <c:v>182.11948132765423</c:v>
                </c:pt>
                <c:pt idx="504">
                  <c:v>182.11948132765423</c:v>
                </c:pt>
                <c:pt idx="505">
                  <c:v>182.11948132765423</c:v>
                </c:pt>
                <c:pt idx="506">
                  <c:v>182.11948132765423</c:v>
                </c:pt>
                <c:pt idx="507">
                  <c:v>182.11948132765423</c:v>
                </c:pt>
                <c:pt idx="508">
                  <c:v>182.11948132765423</c:v>
                </c:pt>
                <c:pt idx="509">
                  <c:v>182.11948132765423</c:v>
                </c:pt>
                <c:pt idx="510">
                  <c:v>182.11948132765423</c:v>
                </c:pt>
                <c:pt idx="511">
                  <c:v>182.11948132765423</c:v>
                </c:pt>
                <c:pt idx="512">
                  <c:v>182.11948132765423</c:v>
                </c:pt>
                <c:pt idx="513">
                  <c:v>182.11948132765423</c:v>
                </c:pt>
                <c:pt idx="514">
                  <c:v>182.11948132765423</c:v>
                </c:pt>
                <c:pt idx="515">
                  <c:v>182.11948132765423</c:v>
                </c:pt>
                <c:pt idx="516">
                  <c:v>182.11948132765423</c:v>
                </c:pt>
                <c:pt idx="517">
                  <c:v>182.11948132765423</c:v>
                </c:pt>
                <c:pt idx="518">
                  <c:v>182.11948132765423</c:v>
                </c:pt>
                <c:pt idx="519">
                  <c:v>182.11948132765423</c:v>
                </c:pt>
                <c:pt idx="520">
                  <c:v>182.11948132765423</c:v>
                </c:pt>
                <c:pt idx="521">
                  <c:v>182.11948132765423</c:v>
                </c:pt>
                <c:pt idx="522">
                  <c:v>182.11948132765423</c:v>
                </c:pt>
                <c:pt idx="523">
                  <c:v>182.11948132765423</c:v>
                </c:pt>
                <c:pt idx="524">
                  <c:v>182.11948132765423</c:v>
                </c:pt>
                <c:pt idx="525">
                  <c:v>182.11948132765423</c:v>
                </c:pt>
                <c:pt idx="526">
                  <c:v>182.11948132765423</c:v>
                </c:pt>
                <c:pt idx="527">
                  <c:v>182.11948132765423</c:v>
                </c:pt>
                <c:pt idx="528">
                  <c:v>182.11948132765423</c:v>
                </c:pt>
                <c:pt idx="529">
                  <c:v>182.11948132765423</c:v>
                </c:pt>
                <c:pt idx="530">
                  <c:v>182.11948132765423</c:v>
                </c:pt>
                <c:pt idx="531">
                  <c:v>182.11948132765423</c:v>
                </c:pt>
                <c:pt idx="532">
                  <c:v>182.11948132765423</c:v>
                </c:pt>
                <c:pt idx="533">
                  <c:v>182.11948132765423</c:v>
                </c:pt>
                <c:pt idx="534">
                  <c:v>182.11948132765423</c:v>
                </c:pt>
                <c:pt idx="535">
                  <c:v>182.11948132765423</c:v>
                </c:pt>
                <c:pt idx="536">
                  <c:v>182.11948132765423</c:v>
                </c:pt>
                <c:pt idx="537">
                  <c:v>182.11948132765423</c:v>
                </c:pt>
                <c:pt idx="538">
                  <c:v>182.11948132765423</c:v>
                </c:pt>
                <c:pt idx="539">
                  <c:v>182.11948132765423</c:v>
                </c:pt>
                <c:pt idx="540">
                  <c:v>182.11948132765423</c:v>
                </c:pt>
                <c:pt idx="541">
                  <c:v>182.11948132765423</c:v>
                </c:pt>
                <c:pt idx="542">
                  <c:v>182.11948132765423</c:v>
                </c:pt>
                <c:pt idx="543">
                  <c:v>265.64322815143237</c:v>
                </c:pt>
                <c:pt idx="544">
                  <c:v>265.64322815143237</c:v>
                </c:pt>
                <c:pt idx="545">
                  <c:v>265.64322815143237</c:v>
                </c:pt>
                <c:pt idx="546">
                  <c:v>265.64322815143237</c:v>
                </c:pt>
                <c:pt idx="547">
                  <c:v>265.64322815143237</c:v>
                </c:pt>
                <c:pt idx="548">
                  <c:v>265.64322815143237</c:v>
                </c:pt>
                <c:pt idx="549">
                  <c:v>265.64322815143237</c:v>
                </c:pt>
                <c:pt idx="550">
                  <c:v>265.64322815143237</c:v>
                </c:pt>
                <c:pt idx="551">
                  <c:v>265.64322815143237</c:v>
                </c:pt>
                <c:pt idx="552">
                  <c:v>265.64322815143237</c:v>
                </c:pt>
                <c:pt idx="553">
                  <c:v>265.64322815143237</c:v>
                </c:pt>
                <c:pt idx="554">
                  <c:v>265.64322815143237</c:v>
                </c:pt>
                <c:pt idx="555">
                  <c:v>265.64322815143237</c:v>
                </c:pt>
                <c:pt idx="556">
                  <c:v>265.64322815143237</c:v>
                </c:pt>
                <c:pt idx="557">
                  <c:v>265.64322815143237</c:v>
                </c:pt>
                <c:pt idx="558">
                  <c:v>265.64322815143237</c:v>
                </c:pt>
                <c:pt idx="559">
                  <c:v>265.64322815143237</c:v>
                </c:pt>
                <c:pt idx="560">
                  <c:v>265.64322815143237</c:v>
                </c:pt>
                <c:pt idx="561">
                  <c:v>265.64322815143237</c:v>
                </c:pt>
                <c:pt idx="562">
                  <c:v>265.64322815143237</c:v>
                </c:pt>
                <c:pt idx="563">
                  <c:v>265.64322815143237</c:v>
                </c:pt>
                <c:pt idx="564">
                  <c:v>265.64322815143237</c:v>
                </c:pt>
                <c:pt idx="565">
                  <c:v>265.64322815143237</c:v>
                </c:pt>
                <c:pt idx="566">
                  <c:v>265.64322815143237</c:v>
                </c:pt>
                <c:pt idx="567">
                  <c:v>265.64322815143237</c:v>
                </c:pt>
                <c:pt idx="568">
                  <c:v>265.64322815143237</c:v>
                </c:pt>
                <c:pt idx="569">
                  <c:v>265.64322815143237</c:v>
                </c:pt>
                <c:pt idx="570">
                  <c:v>265.64322815143237</c:v>
                </c:pt>
                <c:pt idx="571">
                  <c:v>265.64322815143237</c:v>
                </c:pt>
                <c:pt idx="572">
                  <c:v>265.64322815143237</c:v>
                </c:pt>
                <c:pt idx="573">
                  <c:v>265.64322815143237</c:v>
                </c:pt>
                <c:pt idx="574">
                  <c:v>265.64322815143237</c:v>
                </c:pt>
                <c:pt idx="575">
                  <c:v>265.64322815143237</c:v>
                </c:pt>
                <c:pt idx="576">
                  <c:v>265.64322815143237</c:v>
                </c:pt>
                <c:pt idx="577">
                  <c:v>265.64322815143237</c:v>
                </c:pt>
                <c:pt idx="578">
                  <c:v>265.64322815143237</c:v>
                </c:pt>
                <c:pt idx="579">
                  <c:v>265.64322815143237</c:v>
                </c:pt>
                <c:pt idx="580">
                  <c:v>265.64322815143237</c:v>
                </c:pt>
                <c:pt idx="581">
                  <c:v>265.64322815143237</c:v>
                </c:pt>
                <c:pt idx="582">
                  <c:v>265.64322815143237</c:v>
                </c:pt>
                <c:pt idx="583">
                  <c:v>265.64322815143237</c:v>
                </c:pt>
                <c:pt idx="584">
                  <c:v>265.64322815143237</c:v>
                </c:pt>
                <c:pt idx="585">
                  <c:v>265.64322815143237</c:v>
                </c:pt>
                <c:pt idx="586">
                  <c:v>265.64322815143237</c:v>
                </c:pt>
                <c:pt idx="587">
                  <c:v>265.64322815143237</c:v>
                </c:pt>
                <c:pt idx="588">
                  <c:v>265.64322815143237</c:v>
                </c:pt>
                <c:pt idx="589">
                  <c:v>265.64322815143237</c:v>
                </c:pt>
                <c:pt idx="590">
                  <c:v>265.64322815143237</c:v>
                </c:pt>
                <c:pt idx="591">
                  <c:v>265.64322815143237</c:v>
                </c:pt>
                <c:pt idx="592">
                  <c:v>265.64322815143237</c:v>
                </c:pt>
                <c:pt idx="593">
                  <c:v>265.64322815143237</c:v>
                </c:pt>
                <c:pt idx="594">
                  <c:v>265.64322815143237</c:v>
                </c:pt>
                <c:pt idx="595">
                  <c:v>265.64322815143237</c:v>
                </c:pt>
                <c:pt idx="596">
                  <c:v>265.64322815143237</c:v>
                </c:pt>
                <c:pt idx="597">
                  <c:v>265.64322815143237</c:v>
                </c:pt>
                <c:pt idx="598">
                  <c:v>265.64322815143237</c:v>
                </c:pt>
                <c:pt idx="599">
                  <c:v>265.64322815143237</c:v>
                </c:pt>
                <c:pt idx="600">
                  <c:v>265.64322815143237</c:v>
                </c:pt>
                <c:pt idx="601">
                  <c:v>265.64322815143237</c:v>
                </c:pt>
                <c:pt idx="602">
                  <c:v>265.64322815143237</c:v>
                </c:pt>
                <c:pt idx="603">
                  <c:v>265.64322815143237</c:v>
                </c:pt>
                <c:pt idx="604">
                  <c:v>265.64322815143237</c:v>
                </c:pt>
                <c:pt idx="605">
                  <c:v>265.64322815143237</c:v>
                </c:pt>
                <c:pt idx="606">
                  <c:v>265.64322815143237</c:v>
                </c:pt>
                <c:pt idx="607">
                  <c:v>265.64322815143237</c:v>
                </c:pt>
                <c:pt idx="608">
                  <c:v>265.64322815143237</c:v>
                </c:pt>
                <c:pt idx="609">
                  <c:v>265.64322815143237</c:v>
                </c:pt>
                <c:pt idx="610">
                  <c:v>265.64322815143237</c:v>
                </c:pt>
                <c:pt idx="611">
                  <c:v>265.64322815143237</c:v>
                </c:pt>
                <c:pt idx="612">
                  <c:v>265.64322815143237</c:v>
                </c:pt>
                <c:pt idx="613">
                  <c:v>265.64322815143237</c:v>
                </c:pt>
                <c:pt idx="614">
                  <c:v>265.64322815143237</c:v>
                </c:pt>
                <c:pt idx="615">
                  <c:v>265.64322815143237</c:v>
                </c:pt>
                <c:pt idx="616">
                  <c:v>265.64322815143237</c:v>
                </c:pt>
                <c:pt idx="617">
                  <c:v>265.64322815143237</c:v>
                </c:pt>
                <c:pt idx="618">
                  <c:v>265.64322815143237</c:v>
                </c:pt>
                <c:pt idx="619">
                  <c:v>265.64322815143237</c:v>
                </c:pt>
                <c:pt idx="620">
                  <c:v>265.64322815143237</c:v>
                </c:pt>
                <c:pt idx="621">
                  <c:v>265.64322815143237</c:v>
                </c:pt>
                <c:pt idx="622">
                  <c:v>265.64322815143237</c:v>
                </c:pt>
                <c:pt idx="623">
                  <c:v>265.64322815143237</c:v>
                </c:pt>
                <c:pt idx="624">
                  <c:v>265.64322815143237</c:v>
                </c:pt>
                <c:pt idx="625">
                  <c:v>265.64322815143237</c:v>
                </c:pt>
                <c:pt idx="626">
                  <c:v>265.64322815143237</c:v>
                </c:pt>
                <c:pt idx="627">
                  <c:v>265.64322815143237</c:v>
                </c:pt>
                <c:pt idx="628">
                  <c:v>265.64322815143237</c:v>
                </c:pt>
                <c:pt idx="629">
                  <c:v>265.64322815143237</c:v>
                </c:pt>
                <c:pt idx="630">
                  <c:v>265.64322815143237</c:v>
                </c:pt>
                <c:pt idx="631">
                  <c:v>265.64322815143237</c:v>
                </c:pt>
                <c:pt idx="632">
                  <c:v>265.64322815143237</c:v>
                </c:pt>
                <c:pt idx="633">
                  <c:v>265.64322815143237</c:v>
                </c:pt>
                <c:pt idx="634">
                  <c:v>265.64322815143237</c:v>
                </c:pt>
                <c:pt idx="635">
                  <c:v>265.64322815143237</c:v>
                </c:pt>
                <c:pt idx="636">
                  <c:v>265.64322815143237</c:v>
                </c:pt>
                <c:pt idx="637">
                  <c:v>265.64322815143237</c:v>
                </c:pt>
                <c:pt idx="638">
                  <c:v>265.64322815143237</c:v>
                </c:pt>
                <c:pt idx="639">
                  <c:v>265.64322815143237</c:v>
                </c:pt>
                <c:pt idx="640">
                  <c:v>265.64322815143237</c:v>
                </c:pt>
                <c:pt idx="641">
                  <c:v>265.64322815143237</c:v>
                </c:pt>
                <c:pt idx="642">
                  <c:v>265.64322815143237</c:v>
                </c:pt>
                <c:pt idx="643">
                  <c:v>265.64322815143237</c:v>
                </c:pt>
                <c:pt idx="644">
                  <c:v>265.64322815143237</c:v>
                </c:pt>
                <c:pt idx="645">
                  <c:v>265.64322815143237</c:v>
                </c:pt>
                <c:pt idx="646">
                  <c:v>265.64322815143237</c:v>
                </c:pt>
                <c:pt idx="647">
                  <c:v>265.64322815143237</c:v>
                </c:pt>
                <c:pt idx="648">
                  <c:v>265.64322815143237</c:v>
                </c:pt>
                <c:pt idx="649">
                  <c:v>265.64322815143237</c:v>
                </c:pt>
                <c:pt idx="650">
                  <c:v>265.64322815143237</c:v>
                </c:pt>
                <c:pt idx="651">
                  <c:v>265.64322815143237</c:v>
                </c:pt>
                <c:pt idx="652">
                  <c:v>265.64322815143237</c:v>
                </c:pt>
                <c:pt idx="653">
                  <c:v>265.64322815143237</c:v>
                </c:pt>
                <c:pt idx="654">
                  <c:v>265.64322815143237</c:v>
                </c:pt>
                <c:pt idx="655">
                  <c:v>265.64322815143237</c:v>
                </c:pt>
                <c:pt idx="656">
                  <c:v>265.64322815143237</c:v>
                </c:pt>
                <c:pt idx="657">
                  <c:v>265.64322815143237</c:v>
                </c:pt>
                <c:pt idx="658">
                  <c:v>265.64322815143237</c:v>
                </c:pt>
                <c:pt idx="659">
                  <c:v>265.64322815143237</c:v>
                </c:pt>
                <c:pt idx="660">
                  <c:v>265.64322815143237</c:v>
                </c:pt>
                <c:pt idx="661">
                  <c:v>265.64322815143237</c:v>
                </c:pt>
                <c:pt idx="662">
                  <c:v>265.64322815143237</c:v>
                </c:pt>
                <c:pt idx="663">
                  <c:v>265.64322815143237</c:v>
                </c:pt>
                <c:pt idx="664">
                  <c:v>265.64322815143237</c:v>
                </c:pt>
                <c:pt idx="665">
                  <c:v>265.64322815143237</c:v>
                </c:pt>
                <c:pt idx="666">
                  <c:v>265.64322815143237</c:v>
                </c:pt>
                <c:pt idx="667">
                  <c:v>265.64322815143237</c:v>
                </c:pt>
                <c:pt idx="668">
                  <c:v>265.64322815143237</c:v>
                </c:pt>
                <c:pt idx="669">
                  <c:v>265.64322815143237</c:v>
                </c:pt>
                <c:pt idx="670">
                  <c:v>265.64322815143237</c:v>
                </c:pt>
                <c:pt idx="671">
                  <c:v>265.64322815143237</c:v>
                </c:pt>
                <c:pt idx="672">
                  <c:v>265.64322815143237</c:v>
                </c:pt>
                <c:pt idx="673">
                  <c:v>265.64322815143237</c:v>
                </c:pt>
                <c:pt idx="674">
                  <c:v>265.64322815143237</c:v>
                </c:pt>
                <c:pt idx="675">
                  <c:v>265.64322815143237</c:v>
                </c:pt>
                <c:pt idx="676">
                  <c:v>265.64322815143237</c:v>
                </c:pt>
                <c:pt idx="677">
                  <c:v>265.64322815143237</c:v>
                </c:pt>
                <c:pt idx="678">
                  <c:v>265.64322815143237</c:v>
                </c:pt>
                <c:pt idx="679">
                  <c:v>265.64322815143237</c:v>
                </c:pt>
                <c:pt idx="680">
                  <c:v>265.64322815143237</c:v>
                </c:pt>
                <c:pt idx="681">
                  <c:v>265.64322815143237</c:v>
                </c:pt>
                <c:pt idx="682">
                  <c:v>265.64322815143237</c:v>
                </c:pt>
                <c:pt idx="683">
                  <c:v>265.64322815143237</c:v>
                </c:pt>
                <c:pt idx="684">
                  <c:v>265.64322815143237</c:v>
                </c:pt>
                <c:pt idx="685">
                  <c:v>265.64322815143237</c:v>
                </c:pt>
                <c:pt idx="686">
                  <c:v>265.64322815143237</c:v>
                </c:pt>
                <c:pt idx="687">
                  <c:v>265.64322815143237</c:v>
                </c:pt>
                <c:pt idx="688">
                  <c:v>265.64322815143237</c:v>
                </c:pt>
                <c:pt idx="689">
                  <c:v>265.64322815143237</c:v>
                </c:pt>
                <c:pt idx="690">
                  <c:v>265.64322815143237</c:v>
                </c:pt>
                <c:pt idx="691">
                  <c:v>265.64322815143237</c:v>
                </c:pt>
                <c:pt idx="692">
                  <c:v>265.64322815143237</c:v>
                </c:pt>
                <c:pt idx="693">
                  <c:v>265.64322815143237</c:v>
                </c:pt>
                <c:pt idx="694">
                  <c:v>265.64322815143237</c:v>
                </c:pt>
                <c:pt idx="695">
                  <c:v>265.64322815143237</c:v>
                </c:pt>
                <c:pt idx="696">
                  <c:v>265.64322815143237</c:v>
                </c:pt>
                <c:pt idx="697">
                  <c:v>265.64322815143237</c:v>
                </c:pt>
                <c:pt idx="698">
                  <c:v>265.64322815143237</c:v>
                </c:pt>
                <c:pt idx="699">
                  <c:v>265.64322815143237</c:v>
                </c:pt>
                <c:pt idx="700">
                  <c:v>265.64322815143237</c:v>
                </c:pt>
                <c:pt idx="701">
                  <c:v>265.64322815143237</c:v>
                </c:pt>
                <c:pt idx="702">
                  <c:v>265.64322815143237</c:v>
                </c:pt>
                <c:pt idx="703">
                  <c:v>265.64322815143237</c:v>
                </c:pt>
                <c:pt idx="704">
                  <c:v>265.64322815143237</c:v>
                </c:pt>
                <c:pt idx="705">
                  <c:v>265.64322815143237</c:v>
                </c:pt>
                <c:pt idx="706">
                  <c:v>265.64322815143237</c:v>
                </c:pt>
                <c:pt idx="707">
                  <c:v>265.64322815143237</c:v>
                </c:pt>
                <c:pt idx="708">
                  <c:v>265.64322815143237</c:v>
                </c:pt>
                <c:pt idx="709">
                  <c:v>265.64322815143237</c:v>
                </c:pt>
                <c:pt idx="710">
                  <c:v>265.64322815143237</c:v>
                </c:pt>
                <c:pt idx="711">
                  <c:v>265.64322815143237</c:v>
                </c:pt>
                <c:pt idx="712">
                  <c:v>265.64322815143237</c:v>
                </c:pt>
                <c:pt idx="713">
                  <c:v>265.64322815143237</c:v>
                </c:pt>
                <c:pt idx="714">
                  <c:v>265.64322815143237</c:v>
                </c:pt>
                <c:pt idx="715">
                  <c:v>265.64322815143237</c:v>
                </c:pt>
                <c:pt idx="716">
                  <c:v>265.64322815143237</c:v>
                </c:pt>
                <c:pt idx="717">
                  <c:v>265.64322815143237</c:v>
                </c:pt>
                <c:pt idx="718">
                  <c:v>265.64322815143237</c:v>
                </c:pt>
                <c:pt idx="719">
                  <c:v>265.64322815143237</c:v>
                </c:pt>
                <c:pt idx="720">
                  <c:v>265.64322815143237</c:v>
                </c:pt>
                <c:pt idx="721">
                  <c:v>265.64322815143237</c:v>
                </c:pt>
                <c:pt idx="722">
                  <c:v>265.64322815143237</c:v>
                </c:pt>
                <c:pt idx="723">
                  <c:v>265.64322815143237</c:v>
                </c:pt>
                <c:pt idx="724">
                  <c:v>265.64322815143237</c:v>
                </c:pt>
                <c:pt idx="725">
                  <c:v>265.64322815143237</c:v>
                </c:pt>
                <c:pt idx="726">
                  <c:v>265.64322815143237</c:v>
                </c:pt>
                <c:pt idx="727">
                  <c:v>265.64322815143237</c:v>
                </c:pt>
                <c:pt idx="728">
                  <c:v>265.64322815143237</c:v>
                </c:pt>
                <c:pt idx="729">
                  <c:v>265.64322815143237</c:v>
                </c:pt>
                <c:pt idx="730">
                  <c:v>265.64322815143237</c:v>
                </c:pt>
                <c:pt idx="731">
                  <c:v>265.64322815143237</c:v>
                </c:pt>
                <c:pt idx="732">
                  <c:v>265.64322815143237</c:v>
                </c:pt>
                <c:pt idx="733">
                  <c:v>265.64322815143237</c:v>
                </c:pt>
                <c:pt idx="734">
                  <c:v>265.64322815143237</c:v>
                </c:pt>
                <c:pt idx="735">
                  <c:v>265.64322815143237</c:v>
                </c:pt>
                <c:pt idx="736">
                  <c:v>265.64322815143237</c:v>
                </c:pt>
                <c:pt idx="737">
                  <c:v>265.64322815143237</c:v>
                </c:pt>
                <c:pt idx="738">
                  <c:v>265.64322815143237</c:v>
                </c:pt>
                <c:pt idx="739">
                  <c:v>265.64322815143237</c:v>
                </c:pt>
                <c:pt idx="740">
                  <c:v>265.64322815143237</c:v>
                </c:pt>
                <c:pt idx="741">
                  <c:v>265.64322815143237</c:v>
                </c:pt>
                <c:pt idx="742">
                  <c:v>265.64322815143237</c:v>
                </c:pt>
                <c:pt idx="743">
                  <c:v>265.64322815143237</c:v>
                </c:pt>
                <c:pt idx="744">
                  <c:v>265.64322815143237</c:v>
                </c:pt>
                <c:pt idx="745">
                  <c:v>265.64322815143237</c:v>
                </c:pt>
                <c:pt idx="746">
                  <c:v>265.64322815143237</c:v>
                </c:pt>
                <c:pt idx="747">
                  <c:v>265.64322815143237</c:v>
                </c:pt>
                <c:pt idx="748">
                  <c:v>265.64322815143237</c:v>
                </c:pt>
                <c:pt idx="749">
                  <c:v>265.64322815143237</c:v>
                </c:pt>
                <c:pt idx="750">
                  <c:v>182.11948132765423</c:v>
                </c:pt>
                <c:pt idx="751">
                  <c:v>182.11948132765423</c:v>
                </c:pt>
                <c:pt idx="752">
                  <c:v>182.11948132765423</c:v>
                </c:pt>
                <c:pt idx="753">
                  <c:v>182.11948132765423</c:v>
                </c:pt>
                <c:pt idx="754">
                  <c:v>182.11948132765423</c:v>
                </c:pt>
                <c:pt idx="755">
                  <c:v>182.11948132765423</c:v>
                </c:pt>
                <c:pt idx="756">
                  <c:v>182.11948132765423</c:v>
                </c:pt>
                <c:pt idx="757">
                  <c:v>182.11948132765423</c:v>
                </c:pt>
                <c:pt idx="758">
                  <c:v>182.11948132765423</c:v>
                </c:pt>
                <c:pt idx="759">
                  <c:v>182.11948132765423</c:v>
                </c:pt>
                <c:pt idx="760">
                  <c:v>182.11948132765423</c:v>
                </c:pt>
                <c:pt idx="761">
                  <c:v>214.81113443396845</c:v>
                </c:pt>
                <c:pt idx="762">
                  <c:v>214.81113443396845</c:v>
                </c:pt>
                <c:pt idx="763">
                  <c:v>214.81113443396845</c:v>
                </c:pt>
                <c:pt idx="764">
                  <c:v>214.81113443396845</c:v>
                </c:pt>
                <c:pt idx="765">
                  <c:v>214.81113443396845</c:v>
                </c:pt>
                <c:pt idx="766">
                  <c:v>214.81113443396845</c:v>
                </c:pt>
                <c:pt idx="767">
                  <c:v>214.81113443396845</c:v>
                </c:pt>
                <c:pt idx="768">
                  <c:v>214.81113443396845</c:v>
                </c:pt>
                <c:pt idx="769">
                  <c:v>214.81113443396845</c:v>
                </c:pt>
                <c:pt idx="770">
                  <c:v>214.81113443396845</c:v>
                </c:pt>
                <c:pt idx="771">
                  <c:v>214.81113443396845</c:v>
                </c:pt>
                <c:pt idx="772">
                  <c:v>214.81113443396845</c:v>
                </c:pt>
                <c:pt idx="773">
                  <c:v>214.81113443396845</c:v>
                </c:pt>
                <c:pt idx="774">
                  <c:v>214.81113443396845</c:v>
                </c:pt>
                <c:pt idx="775">
                  <c:v>214.81113443396845</c:v>
                </c:pt>
                <c:pt idx="776">
                  <c:v>214.81113443396845</c:v>
                </c:pt>
                <c:pt idx="777">
                  <c:v>214.81113443396845</c:v>
                </c:pt>
                <c:pt idx="778">
                  <c:v>214.81113443396845</c:v>
                </c:pt>
                <c:pt idx="779">
                  <c:v>214.81113443396845</c:v>
                </c:pt>
                <c:pt idx="780">
                  <c:v>214.81113443396845</c:v>
                </c:pt>
                <c:pt idx="781">
                  <c:v>214.81113443396845</c:v>
                </c:pt>
                <c:pt idx="782">
                  <c:v>214.81113443396845</c:v>
                </c:pt>
                <c:pt idx="783">
                  <c:v>214.81113443396845</c:v>
                </c:pt>
                <c:pt idx="784">
                  <c:v>214.81113443396845</c:v>
                </c:pt>
                <c:pt idx="785">
                  <c:v>214.81113443396845</c:v>
                </c:pt>
                <c:pt idx="786">
                  <c:v>214.81113443396845</c:v>
                </c:pt>
                <c:pt idx="787">
                  <c:v>262.07305844619424</c:v>
                </c:pt>
                <c:pt idx="788">
                  <c:v>262.07305844619424</c:v>
                </c:pt>
                <c:pt idx="789">
                  <c:v>262.07305844619424</c:v>
                </c:pt>
                <c:pt idx="790">
                  <c:v>262.07305844619424</c:v>
                </c:pt>
                <c:pt idx="791">
                  <c:v>262.07305844619424</c:v>
                </c:pt>
                <c:pt idx="792">
                  <c:v>262.07305844619424</c:v>
                </c:pt>
                <c:pt idx="793">
                  <c:v>262.07305844619424</c:v>
                </c:pt>
                <c:pt idx="794">
                  <c:v>262.07305844619424</c:v>
                </c:pt>
                <c:pt idx="795">
                  <c:v>262.07305844619424</c:v>
                </c:pt>
                <c:pt idx="796">
                  <c:v>262.07305844619424</c:v>
                </c:pt>
                <c:pt idx="797">
                  <c:v>262.07305844619424</c:v>
                </c:pt>
                <c:pt idx="798">
                  <c:v>236.05429056976001</c:v>
                </c:pt>
                <c:pt idx="799">
                  <c:v>236.05429056976001</c:v>
                </c:pt>
                <c:pt idx="800">
                  <c:v>236.05429056976001</c:v>
                </c:pt>
                <c:pt idx="801">
                  <c:v>236.05429056976001</c:v>
                </c:pt>
                <c:pt idx="802">
                  <c:v>236.05429056976001</c:v>
                </c:pt>
                <c:pt idx="803">
                  <c:v>236.05429056976001</c:v>
                </c:pt>
                <c:pt idx="804">
                  <c:v>236.05429056976001</c:v>
                </c:pt>
                <c:pt idx="805">
                  <c:v>236.05429056976001</c:v>
                </c:pt>
                <c:pt idx="806">
                  <c:v>236.05429056976001</c:v>
                </c:pt>
                <c:pt idx="807">
                  <c:v>236.05429056976001</c:v>
                </c:pt>
                <c:pt idx="808">
                  <c:v>236.05429056976001</c:v>
                </c:pt>
                <c:pt idx="809">
                  <c:v>236.05429056976001</c:v>
                </c:pt>
                <c:pt idx="810">
                  <c:v>236.05429056976001</c:v>
                </c:pt>
                <c:pt idx="811">
                  <c:v>236.05429056976001</c:v>
                </c:pt>
                <c:pt idx="812">
                  <c:v>236.05429056976001</c:v>
                </c:pt>
                <c:pt idx="813">
                  <c:v>236.05429056976001</c:v>
                </c:pt>
                <c:pt idx="814">
                  <c:v>236.05429056976001</c:v>
                </c:pt>
                <c:pt idx="815">
                  <c:v>236.05429056976001</c:v>
                </c:pt>
                <c:pt idx="816">
                  <c:v>236.05429056976001</c:v>
                </c:pt>
                <c:pt idx="817">
                  <c:v>236.05429056976001</c:v>
                </c:pt>
                <c:pt idx="818">
                  <c:v>236.05429056976001</c:v>
                </c:pt>
                <c:pt idx="819">
                  <c:v>236.05429056976001</c:v>
                </c:pt>
                <c:pt idx="820">
                  <c:v>236.05429056976001</c:v>
                </c:pt>
                <c:pt idx="821">
                  <c:v>236.05429056976001</c:v>
                </c:pt>
                <c:pt idx="822">
                  <c:v>236.05429056976001</c:v>
                </c:pt>
                <c:pt idx="823">
                  <c:v>236.05429056976001</c:v>
                </c:pt>
                <c:pt idx="824">
                  <c:v>236.05429056976001</c:v>
                </c:pt>
                <c:pt idx="825">
                  <c:v>236.05429056976001</c:v>
                </c:pt>
                <c:pt idx="826">
                  <c:v>236.05429056976001</c:v>
                </c:pt>
                <c:pt idx="827">
                  <c:v>236.05429056976001</c:v>
                </c:pt>
                <c:pt idx="828">
                  <c:v>236.05429056976001</c:v>
                </c:pt>
                <c:pt idx="829">
                  <c:v>236.05429056976001</c:v>
                </c:pt>
                <c:pt idx="830">
                  <c:v>236.05429056976001</c:v>
                </c:pt>
                <c:pt idx="831">
                  <c:v>236.05429056976001</c:v>
                </c:pt>
                <c:pt idx="832">
                  <c:v>236.05429056976001</c:v>
                </c:pt>
                <c:pt idx="833">
                  <c:v>236.05429056976001</c:v>
                </c:pt>
                <c:pt idx="834">
                  <c:v>236.05429056976001</c:v>
                </c:pt>
                <c:pt idx="835">
                  <c:v>236.05429056976001</c:v>
                </c:pt>
                <c:pt idx="836">
                  <c:v>236.05429056976001</c:v>
                </c:pt>
                <c:pt idx="837">
                  <c:v>236.05429056976001</c:v>
                </c:pt>
                <c:pt idx="838">
                  <c:v>236.05429056976001</c:v>
                </c:pt>
                <c:pt idx="839">
                  <c:v>236.05429056976001</c:v>
                </c:pt>
                <c:pt idx="840">
                  <c:v>236.05429056976001</c:v>
                </c:pt>
                <c:pt idx="841">
                  <c:v>236.05429056976001</c:v>
                </c:pt>
                <c:pt idx="842">
                  <c:v>236.05429056976001</c:v>
                </c:pt>
                <c:pt idx="843">
                  <c:v>236.05429056976001</c:v>
                </c:pt>
                <c:pt idx="844">
                  <c:v>236.05429056976001</c:v>
                </c:pt>
                <c:pt idx="845">
                  <c:v>236.05429056976001</c:v>
                </c:pt>
                <c:pt idx="846">
                  <c:v>236.05429056976001</c:v>
                </c:pt>
                <c:pt idx="847">
                  <c:v>236.05429056976001</c:v>
                </c:pt>
                <c:pt idx="848">
                  <c:v>236.05429056976001</c:v>
                </c:pt>
                <c:pt idx="849">
                  <c:v>236.05429056976001</c:v>
                </c:pt>
                <c:pt idx="850">
                  <c:v>236.05429056976001</c:v>
                </c:pt>
                <c:pt idx="851">
                  <c:v>236.05429056976001</c:v>
                </c:pt>
                <c:pt idx="852">
                  <c:v>236.05429056976001</c:v>
                </c:pt>
                <c:pt idx="853">
                  <c:v>236.05429056976001</c:v>
                </c:pt>
                <c:pt idx="854">
                  <c:v>236.05429056976001</c:v>
                </c:pt>
                <c:pt idx="855">
                  <c:v>236.05429056976001</c:v>
                </c:pt>
                <c:pt idx="856">
                  <c:v>236.05429056976001</c:v>
                </c:pt>
                <c:pt idx="857">
                  <c:v>236.05429056976001</c:v>
                </c:pt>
                <c:pt idx="858">
                  <c:v>236.05429056976001</c:v>
                </c:pt>
                <c:pt idx="859">
                  <c:v>236.05429056976001</c:v>
                </c:pt>
                <c:pt idx="860">
                  <c:v>236.05429056976001</c:v>
                </c:pt>
                <c:pt idx="861">
                  <c:v>236.05429056976001</c:v>
                </c:pt>
                <c:pt idx="862">
                  <c:v>236.05429056976001</c:v>
                </c:pt>
                <c:pt idx="863">
                  <c:v>236.05429056976001</c:v>
                </c:pt>
                <c:pt idx="864">
                  <c:v>236.05429056976001</c:v>
                </c:pt>
                <c:pt idx="865">
                  <c:v>236.05429056976001</c:v>
                </c:pt>
                <c:pt idx="866">
                  <c:v>236.05429056976001</c:v>
                </c:pt>
                <c:pt idx="867">
                  <c:v>236.05429056976001</c:v>
                </c:pt>
                <c:pt idx="868">
                  <c:v>236.05429056976001</c:v>
                </c:pt>
                <c:pt idx="869">
                  <c:v>236.05429056976001</c:v>
                </c:pt>
                <c:pt idx="870">
                  <c:v>236.05429056976001</c:v>
                </c:pt>
                <c:pt idx="871">
                  <c:v>236.05429056976001</c:v>
                </c:pt>
                <c:pt idx="872">
                  <c:v>236.05429056976001</c:v>
                </c:pt>
                <c:pt idx="873">
                  <c:v>236.05429056976001</c:v>
                </c:pt>
                <c:pt idx="874">
                  <c:v>236.05429056976001</c:v>
                </c:pt>
                <c:pt idx="875">
                  <c:v>236.05429056976001</c:v>
                </c:pt>
                <c:pt idx="876">
                  <c:v>236.05429056976001</c:v>
                </c:pt>
                <c:pt idx="877">
                  <c:v>236.05429056976001</c:v>
                </c:pt>
                <c:pt idx="878">
                  <c:v>236.05429056976001</c:v>
                </c:pt>
                <c:pt idx="879">
                  <c:v>236.05429056976001</c:v>
                </c:pt>
                <c:pt idx="880">
                  <c:v>236.05429056976001</c:v>
                </c:pt>
                <c:pt idx="881">
                  <c:v>236.05429056976001</c:v>
                </c:pt>
                <c:pt idx="882">
                  <c:v>236.05429056976001</c:v>
                </c:pt>
                <c:pt idx="883">
                  <c:v>236.05429056976001</c:v>
                </c:pt>
                <c:pt idx="884">
                  <c:v>236.05429056976001</c:v>
                </c:pt>
                <c:pt idx="885">
                  <c:v>236.05429056976001</c:v>
                </c:pt>
                <c:pt idx="886">
                  <c:v>236.05429056976001</c:v>
                </c:pt>
                <c:pt idx="887">
                  <c:v>214.81113443396845</c:v>
                </c:pt>
                <c:pt idx="888">
                  <c:v>214.81113443396845</c:v>
                </c:pt>
                <c:pt idx="889">
                  <c:v>214.81113443396845</c:v>
                </c:pt>
                <c:pt idx="890">
                  <c:v>214.81113443396845</c:v>
                </c:pt>
                <c:pt idx="891">
                  <c:v>214.81113443396845</c:v>
                </c:pt>
                <c:pt idx="892">
                  <c:v>214.81113443396845</c:v>
                </c:pt>
                <c:pt idx="893">
                  <c:v>214.81113443396845</c:v>
                </c:pt>
                <c:pt idx="894">
                  <c:v>262.07305844619424</c:v>
                </c:pt>
                <c:pt idx="895">
                  <c:v>262.07305844619424</c:v>
                </c:pt>
                <c:pt idx="896">
                  <c:v>262.07305844619424</c:v>
                </c:pt>
                <c:pt idx="897">
                  <c:v>262.07305844619424</c:v>
                </c:pt>
                <c:pt idx="898">
                  <c:v>262.07305844619424</c:v>
                </c:pt>
                <c:pt idx="899">
                  <c:v>262.07305844619424</c:v>
                </c:pt>
                <c:pt idx="900">
                  <c:v>262.07305844619424</c:v>
                </c:pt>
                <c:pt idx="901">
                  <c:v>262.07305844619424</c:v>
                </c:pt>
                <c:pt idx="902">
                  <c:v>262.07305844619424</c:v>
                </c:pt>
                <c:pt idx="903">
                  <c:v>262.07305844619424</c:v>
                </c:pt>
                <c:pt idx="904">
                  <c:v>262.07305844619424</c:v>
                </c:pt>
                <c:pt idx="905">
                  <c:v>262.07305844619424</c:v>
                </c:pt>
                <c:pt idx="906">
                  <c:v>262.07305844619424</c:v>
                </c:pt>
                <c:pt idx="907">
                  <c:v>262.07305844619424</c:v>
                </c:pt>
                <c:pt idx="908">
                  <c:v>262.07305844619424</c:v>
                </c:pt>
                <c:pt idx="909">
                  <c:v>262.07305844619424</c:v>
                </c:pt>
                <c:pt idx="910">
                  <c:v>262.07305844619424</c:v>
                </c:pt>
                <c:pt idx="911">
                  <c:v>262.07305844619424</c:v>
                </c:pt>
                <c:pt idx="912">
                  <c:v>262.07305844619424</c:v>
                </c:pt>
                <c:pt idx="913">
                  <c:v>262.07305844619424</c:v>
                </c:pt>
                <c:pt idx="914">
                  <c:v>262.07305844619424</c:v>
                </c:pt>
                <c:pt idx="915">
                  <c:v>262.07305844619424</c:v>
                </c:pt>
                <c:pt idx="916">
                  <c:v>262.07305844619424</c:v>
                </c:pt>
                <c:pt idx="917">
                  <c:v>262.07305844619424</c:v>
                </c:pt>
                <c:pt idx="918">
                  <c:v>262.07305844619424</c:v>
                </c:pt>
                <c:pt idx="919">
                  <c:v>262.07305844619424</c:v>
                </c:pt>
                <c:pt idx="920">
                  <c:v>262.07305844619424</c:v>
                </c:pt>
                <c:pt idx="921">
                  <c:v>262.07305844619424</c:v>
                </c:pt>
                <c:pt idx="922">
                  <c:v>262.07305844619424</c:v>
                </c:pt>
                <c:pt idx="923">
                  <c:v>236.05429056976001</c:v>
                </c:pt>
                <c:pt idx="924">
                  <c:v>236.05429056976001</c:v>
                </c:pt>
                <c:pt idx="925">
                  <c:v>236.05429056976001</c:v>
                </c:pt>
                <c:pt idx="926">
                  <c:v>236.05429056976001</c:v>
                </c:pt>
                <c:pt idx="927">
                  <c:v>236.05429056976001</c:v>
                </c:pt>
                <c:pt idx="928">
                  <c:v>236.05429056976001</c:v>
                </c:pt>
                <c:pt idx="929">
                  <c:v>236.05429056976001</c:v>
                </c:pt>
                <c:pt idx="930">
                  <c:v>236.05429056976001</c:v>
                </c:pt>
                <c:pt idx="931">
                  <c:v>236.05429056976001</c:v>
                </c:pt>
                <c:pt idx="932">
                  <c:v>236.05429056976001</c:v>
                </c:pt>
                <c:pt idx="933">
                  <c:v>236.05429056976001</c:v>
                </c:pt>
                <c:pt idx="934">
                  <c:v>236.05429056976001</c:v>
                </c:pt>
                <c:pt idx="935">
                  <c:v>265.64322815143237</c:v>
                </c:pt>
                <c:pt idx="936">
                  <c:v>265.64322815143237</c:v>
                </c:pt>
                <c:pt idx="937">
                  <c:v>214.81113443396845</c:v>
                </c:pt>
                <c:pt idx="938">
                  <c:v>214.81113443396845</c:v>
                </c:pt>
                <c:pt idx="939">
                  <c:v>214.81113443396845</c:v>
                </c:pt>
                <c:pt idx="940">
                  <c:v>214.81113443396845</c:v>
                </c:pt>
                <c:pt idx="941">
                  <c:v>214.81113443396845</c:v>
                </c:pt>
                <c:pt idx="942">
                  <c:v>214.81113443396845</c:v>
                </c:pt>
                <c:pt idx="943">
                  <c:v>262.07305844619424</c:v>
                </c:pt>
                <c:pt idx="944">
                  <c:v>262.07305844619424</c:v>
                </c:pt>
                <c:pt idx="945">
                  <c:v>262.07305844619424</c:v>
                </c:pt>
                <c:pt idx="946">
                  <c:v>262.07305844619424</c:v>
                </c:pt>
                <c:pt idx="947">
                  <c:v>262.07305844619424</c:v>
                </c:pt>
                <c:pt idx="948">
                  <c:v>262.07305844619424</c:v>
                </c:pt>
                <c:pt idx="949">
                  <c:v>262.07305844619424</c:v>
                </c:pt>
                <c:pt idx="950">
                  <c:v>262.07305844619424</c:v>
                </c:pt>
                <c:pt idx="951">
                  <c:v>262.07305844619424</c:v>
                </c:pt>
                <c:pt idx="952">
                  <c:v>262.07305844619424</c:v>
                </c:pt>
                <c:pt idx="953">
                  <c:v>262.07305844619424</c:v>
                </c:pt>
                <c:pt idx="954">
                  <c:v>236.05429056976001</c:v>
                </c:pt>
                <c:pt idx="955">
                  <c:v>236.05429056976001</c:v>
                </c:pt>
                <c:pt idx="956">
                  <c:v>236.05429056976001</c:v>
                </c:pt>
                <c:pt idx="957">
                  <c:v>236.05429056976001</c:v>
                </c:pt>
                <c:pt idx="958">
                  <c:v>236.05429056976001</c:v>
                </c:pt>
                <c:pt idx="959">
                  <c:v>236.05429056976001</c:v>
                </c:pt>
                <c:pt idx="960">
                  <c:v>236.05429056976001</c:v>
                </c:pt>
                <c:pt idx="961">
                  <c:v>236.05429056976001</c:v>
                </c:pt>
                <c:pt idx="962">
                  <c:v>236.05429056976001</c:v>
                </c:pt>
                <c:pt idx="963">
                  <c:v>236.05429056976001</c:v>
                </c:pt>
                <c:pt idx="964">
                  <c:v>236.05429056976001</c:v>
                </c:pt>
                <c:pt idx="965">
                  <c:v>236.05429056976001</c:v>
                </c:pt>
                <c:pt idx="966">
                  <c:v>236.05429056976001</c:v>
                </c:pt>
                <c:pt idx="967">
                  <c:v>236.05429056976001</c:v>
                </c:pt>
                <c:pt idx="968">
                  <c:v>236.05429056976001</c:v>
                </c:pt>
                <c:pt idx="969">
                  <c:v>236.05429056976001</c:v>
                </c:pt>
                <c:pt idx="970">
                  <c:v>236.05429056976001</c:v>
                </c:pt>
                <c:pt idx="971">
                  <c:v>236.05429056976001</c:v>
                </c:pt>
                <c:pt idx="972">
                  <c:v>236.05429056976001</c:v>
                </c:pt>
                <c:pt idx="973">
                  <c:v>236.05429056976001</c:v>
                </c:pt>
                <c:pt idx="974">
                  <c:v>236.05429056976001</c:v>
                </c:pt>
                <c:pt idx="975">
                  <c:v>236.05429056976001</c:v>
                </c:pt>
                <c:pt idx="976">
                  <c:v>236.05429056976001</c:v>
                </c:pt>
                <c:pt idx="977">
                  <c:v>236.05429056976001</c:v>
                </c:pt>
                <c:pt idx="978">
                  <c:v>236.05429056976001</c:v>
                </c:pt>
                <c:pt idx="979">
                  <c:v>236.05429056976001</c:v>
                </c:pt>
                <c:pt idx="980">
                  <c:v>236.05429056976001</c:v>
                </c:pt>
                <c:pt idx="981">
                  <c:v>236.05429056976001</c:v>
                </c:pt>
                <c:pt idx="982">
                  <c:v>236.05429056976001</c:v>
                </c:pt>
                <c:pt idx="983">
                  <c:v>214.81113443396845</c:v>
                </c:pt>
                <c:pt idx="984">
                  <c:v>214.81113443396845</c:v>
                </c:pt>
                <c:pt idx="985">
                  <c:v>214.81113443396845</c:v>
                </c:pt>
                <c:pt idx="986">
                  <c:v>214.81113443396845</c:v>
                </c:pt>
                <c:pt idx="987">
                  <c:v>214.81113443396845</c:v>
                </c:pt>
                <c:pt idx="988">
                  <c:v>214.81113443396845</c:v>
                </c:pt>
                <c:pt idx="989">
                  <c:v>214.81113443396845</c:v>
                </c:pt>
                <c:pt idx="990">
                  <c:v>214.81113443396845</c:v>
                </c:pt>
                <c:pt idx="991">
                  <c:v>214.81113443396845</c:v>
                </c:pt>
                <c:pt idx="992">
                  <c:v>214.81113443396845</c:v>
                </c:pt>
                <c:pt idx="993">
                  <c:v>214.81113443396845</c:v>
                </c:pt>
                <c:pt idx="994">
                  <c:v>214.81113443396845</c:v>
                </c:pt>
                <c:pt idx="995">
                  <c:v>214.81113443396845</c:v>
                </c:pt>
                <c:pt idx="996">
                  <c:v>214.81113443396845</c:v>
                </c:pt>
                <c:pt idx="997">
                  <c:v>214.81113443396845</c:v>
                </c:pt>
                <c:pt idx="998">
                  <c:v>214.81113443396845</c:v>
                </c:pt>
                <c:pt idx="999">
                  <c:v>214.81113443396845</c:v>
                </c:pt>
                <c:pt idx="1000">
                  <c:v>214.81113443396845</c:v>
                </c:pt>
                <c:pt idx="1001">
                  <c:v>214.81113443396845</c:v>
                </c:pt>
                <c:pt idx="1002">
                  <c:v>214.81113443396845</c:v>
                </c:pt>
                <c:pt idx="1003">
                  <c:v>214.81113443396845</c:v>
                </c:pt>
                <c:pt idx="1004">
                  <c:v>214.81113443396845</c:v>
                </c:pt>
                <c:pt idx="1005">
                  <c:v>214.81113443396845</c:v>
                </c:pt>
                <c:pt idx="1006">
                  <c:v>236.05429056976001</c:v>
                </c:pt>
                <c:pt idx="1007">
                  <c:v>236.05429056976001</c:v>
                </c:pt>
                <c:pt idx="1008">
                  <c:v>236.05429056976001</c:v>
                </c:pt>
                <c:pt idx="1009">
                  <c:v>236.05429056976001</c:v>
                </c:pt>
                <c:pt idx="1010">
                  <c:v>236.05429056976001</c:v>
                </c:pt>
                <c:pt idx="1011">
                  <c:v>236.05429056976001</c:v>
                </c:pt>
                <c:pt idx="1012">
                  <c:v>236.05429056976001</c:v>
                </c:pt>
                <c:pt idx="1013">
                  <c:v>236.05429056976001</c:v>
                </c:pt>
                <c:pt idx="1014">
                  <c:v>236.05429056976001</c:v>
                </c:pt>
                <c:pt idx="1015">
                  <c:v>236.05429056976001</c:v>
                </c:pt>
                <c:pt idx="1016">
                  <c:v>236.05429056976001</c:v>
                </c:pt>
                <c:pt idx="1017">
                  <c:v>236.05429056976001</c:v>
                </c:pt>
                <c:pt idx="1018">
                  <c:v>236.05429056976001</c:v>
                </c:pt>
                <c:pt idx="1019">
                  <c:v>236.05429056976001</c:v>
                </c:pt>
                <c:pt idx="1020">
                  <c:v>236.05429056976001</c:v>
                </c:pt>
                <c:pt idx="1021">
                  <c:v>236.05429056976001</c:v>
                </c:pt>
                <c:pt idx="1022">
                  <c:v>236.05429056976001</c:v>
                </c:pt>
                <c:pt idx="1023">
                  <c:v>236.05429056976001</c:v>
                </c:pt>
                <c:pt idx="1024">
                  <c:v>236.05429056976001</c:v>
                </c:pt>
                <c:pt idx="1025">
                  <c:v>236.05429056976001</c:v>
                </c:pt>
                <c:pt idx="1026">
                  <c:v>236.05429056976001</c:v>
                </c:pt>
                <c:pt idx="1027">
                  <c:v>236.05429056976001</c:v>
                </c:pt>
                <c:pt idx="1028">
                  <c:v>236.05429056976001</c:v>
                </c:pt>
                <c:pt idx="1029">
                  <c:v>236.05429056976001</c:v>
                </c:pt>
                <c:pt idx="1030">
                  <c:v>236.05429056976001</c:v>
                </c:pt>
                <c:pt idx="1031">
                  <c:v>236.05429056976001</c:v>
                </c:pt>
                <c:pt idx="1032">
                  <c:v>236.05429056976001</c:v>
                </c:pt>
                <c:pt idx="1033">
                  <c:v>236.05429056976001</c:v>
                </c:pt>
                <c:pt idx="1034">
                  <c:v>236.05429056976001</c:v>
                </c:pt>
                <c:pt idx="1035">
                  <c:v>236.05429056976001</c:v>
                </c:pt>
                <c:pt idx="1036">
                  <c:v>236.05429056976001</c:v>
                </c:pt>
                <c:pt idx="1037">
                  <c:v>236.05429056976001</c:v>
                </c:pt>
                <c:pt idx="1038">
                  <c:v>236.05429056976001</c:v>
                </c:pt>
                <c:pt idx="1039">
                  <c:v>236.05429056976001</c:v>
                </c:pt>
                <c:pt idx="1040">
                  <c:v>236.05429056976001</c:v>
                </c:pt>
                <c:pt idx="1041">
                  <c:v>214.81113443396845</c:v>
                </c:pt>
                <c:pt idx="1042">
                  <c:v>214.81113443396845</c:v>
                </c:pt>
                <c:pt idx="1043">
                  <c:v>214.81113443396845</c:v>
                </c:pt>
                <c:pt idx="1044">
                  <c:v>214.81113443396845</c:v>
                </c:pt>
                <c:pt idx="1045">
                  <c:v>214.81113443396845</c:v>
                </c:pt>
                <c:pt idx="1046">
                  <c:v>214.81113443396845</c:v>
                </c:pt>
                <c:pt idx="1047">
                  <c:v>214.81113443396845</c:v>
                </c:pt>
                <c:pt idx="1048">
                  <c:v>214.81113443396845</c:v>
                </c:pt>
                <c:pt idx="1049">
                  <c:v>214.81113443396845</c:v>
                </c:pt>
                <c:pt idx="1050">
                  <c:v>214.81113443396845</c:v>
                </c:pt>
                <c:pt idx="1051">
                  <c:v>214.81113443396845</c:v>
                </c:pt>
                <c:pt idx="1052">
                  <c:v>214.81113443396845</c:v>
                </c:pt>
                <c:pt idx="1053">
                  <c:v>214.81113443396845</c:v>
                </c:pt>
                <c:pt idx="1054">
                  <c:v>214.81113443396845</c:v>
                </c:pt>
                <c:pt idx="1055">
                  <c:v>214.81113443396845</c:v>
                </c:pt>
                <c:pt idx="1056">
                  <c:v>214.81113443396845</c:v>
                </c:pt>
                <c:pt idx="1057">
                  <c:v>214.81113443396845</c:v>
                </c:pt>
                <c:pt idx="1058">
                  <c:v>214.81113443396845</c:v>
                </c:pt>
                <c:pt idx="1059">
                  <c:v>214.81113443396845</c:v>
                </c:pt>
                <c:pt idx="1060">
                  <c:v>214.81113443396845</c:v>
                </c:pt>
                <c:pt idx="1061">
                  <c:v>214.81113443396845</c:v>
                </c:pt>
                <c:pt idx="1062">
                  <c:v>214.81113443396845</c:v>
                </c:pt>
                <c:pt idx="1063">
                  <c:v>214.81113443396845</c:v>
                </c:pt>
                <c:pt idx="1064">
                  <c:v>214.81113443396845</c:v>
                </c:pt>
                <c:pt idx="1065">
                  <c:v>214.81113443396845</c:v>
                </c:pt>
                <c:pt idx="1066">
                  <c:v>214.81113443396845</c:v>
                </c:pt>
                <c:pt idx="1067">
                  <c:v>214.81113443396845</c:v>
                </c:pt>
                <c:pt idx="1068">
                  <c:v>214.81113443396845</c:v>
                </c:pt>
                <c:pt idx="1069">
                  <c:v>214.81113443396845</c:v>
                </c:pt>
                <c:pt idx="1070">
                  <c:v>214.81113443396845</c:v>
                </c:pt>
                <c:pt idx="1071">
                  <c:v>214.81113443396845</c:v>
                </c:pt>
                <c:pt idx="1072">
                  <c:v>214.81113443396845</c:v>
                </c:pt>
                <c:pt idx="1073">
                  <c:v>214.81113443396845</c:v>
                </c:pt>
                <c:pt idx="1074">
                  <c:v>214.81113443396845</c:v>
                </c:pt>
                <c:pt idx="1075">
                  <c:v>214.81113443396845</c:v>
                </c:pt>
                <c:pt idx="1076">
                  <c:v>214.81113443396845</c:v>
                </c:pt>
                <c:pt idx="1077">
                  <c:v>214.81113443396845</c:v>
                </c:pt>
                <c:pt idx="1078">
                  <c:v>214.81113443396845</c:v>
                </c:pt>
                <c:pt idx="1079">
                  <c:v>214.81113443396845</c:v>
                </c:pt>
                <c:pt idx="1080">
                  <c:v>214.81113443396845</c:v>
                </c:pt>
                <c:pt idx="1081">
                  <c:v>214.81113443396845</c:v>
                </c:pt>
                <c:pt idx="1082">
                  <c:v>214.81113443396845</c:v>
                </c:pt>
                <c:pt idx="1083">
                  <c:v>214.81113443396845</c:v>
                </c:pt>
                <c:pt idx="1084">
                  <c:v>214.81113443396845</c:v>
                </c:pt>
                <c:pt idx="1085">
                  <c:v>214.81113443396845</c:v>
                </c:pt>
                <c:pt idx="1086">
                  <c:v>182.11948132765423</c:v>
                </c:pt>
                <c:pt idx="1087">
                  <c:v>182.11948132765423</c:v>
                </c:pt>
                <c:pt idx="1088">
                  <c:v>182.11948132765423</c:v>
                </c:pt>
                <c:pt idx="1089">
                  <c:v>182.11948132765423</c:v>
                </c:pt>
                <c:pt idx="1090">
                  <c:v>182.11948132765423</c:v>
                </c:pt>
                <c:pt idx="1091">
                  <c:v>182.11948132765423</c:v>
                </c:pt>
                <c:pt idx="1092">
                  <c:v>182.11948132765423</c:v>
                </c:pt>
                <c:pt idx="1093">
                  <c:v>182.11948132765423</c:v>
                </c:pt>
                <c:pt idx="1094">
                  <c:v>182.11948132765423</c:v>
                </c:pt>
                <c:pt idx="1095">
                  <c:v>182.11948132765423</c:v>
                </c:pt>
                <c:pt idx="1096">
                  <c:v>182.11948132765423</c:v>
                </c:pt>
                <c:pt idx="1097">
                  <c:v>182.11948132765423</c:v>
                </c:pt>
                <c:pt idx="1098">
                  <c:v>182.11948132765423</c:v>
                </c:pt>
                <c:pt idx="1099">
                  <c:v>182.11948132765423</c:v>
                </c:pt>
                <c:pt idx="1100">
                  <c:v>182.11948132765423</c:v>
                </c:pt>
                <c:pt idx="1101">
                  <c:v>182.11948132765423</c:v>
                </c:pt>
                <c:pt idx="1102">
                  <c:v>182.11948132765423</c:v>
                </c:pt>
                <c:pt idx="1103">
                  <c:v>182.11948132765423</c:v>
                </c:pt>
                <c:pt idx="1104">
                  <c:v>182.11948132765423</c:v>
                </c:pt>
                <c:pt idx="1105">
                  <c:v>182.11948132765423</c:v>
                </c:pt>
                <c:pt idx="1106">
                  <c:v>182.11948132765423</c:v>
                </c:pt>
                <c:pt idx="1107">
                  <c:v>182.11948132765423</c:v>
                </c:pt>
                <c:pt idx="1108">
                  <c:v>182.11948132765423</c:v>
                </c:pt>
                <c:pt idx="1109">
                  <c:v>182.11948132765423</c:v>
                </c:pt>
                <c:pt idx="1110">
                  <c:v>182.11948132765423</c:v>
                </c:pt>
                <c:pt idx="1111">
                  <c:v>182.11948132765423</c:v>
                </c:pt>
                <c:pt idx="1112">
                  <c:v>236.05429056976001</c:v>
                </c:pt>
                <c:pt idx="1113">
                  <c:v>236.05429056976001</c:v>
                </c:pt>
                <c:pt idx="1114">
                  <c:v>236.05429056976001</c:v>
                </c:pt>
                <c:pt idx="1115">
                  <c:v>236.05429056976001</c:v>
                </c:pt>
                <c:pt idx="1116">
                  <c:v>236.05429056976001</c:v>
                </c:pt>
                <c:pt idx="1117">
                  <c:v>236.05429056976001</c:v>
                </c:pt>
                <c:pt idx="1118">
                  <c:v>236.05429056976001</c:v>
                </c:pt>
                <c:pt idx="1119">
                  <c:v>236.05429056976001</c:v>
                </c:pt>
                <c:pt idx="1120">
                  <c:v>262.07305844619424</c:v>
                </c:pt>
                <c:pt idx="1121">
                  <c:v>262.07305844619424</c:v>
                </c:pt>
                <c:pt idx="1122">
                  <c:v>262.07305844619424</c:v>
                </c:pt>
                <c:pt idx="1123">
                  <c:v>262.07305844619424</c:v>
                </c:pt>
                <c:pt idx="1124">
                  <c:v>262.07305844619424</c:v>
                </c:pt>
                <c:pt idx="1125">
                  <c:v>262.07305844619424</c:v>
                </c:pt>
                <c:pt idx="1126">
                  <c:v>262.07305844619424</c:v>
                </c:pt>
                <c:pt idx="1127">
                  <c:v>262.07305844619424</c:v>
                </c:pt>
                <c:pt idx="1128">
                  <c:v>262.07305844619424</c:v>
                </c:pt>
                <c:pt idx="1129">
                  <c:v>262.07305844619424</c:v>
                </c:pt>
                <c:pt idx="1130">
                  <c:v>262.07305844619424</c:v>
                </c:pt>
                <c:pt idx="1131">
                  <c:v>262.07305844619424</c:v>
                </c:pt>
                <c:pt idx="1132">
                  <c:v>262.07305844619424</c:v>
                </c:pt>
                <c:pt idx="1133">
                  <c:v>262.07305844619424</c:v>
                </c:pt>
                <c:pt idx="1134">
                  <c:v>262.07305844619424</c:v>
                </c:pt>
                <c:pt idx="1135">
                  <c:v>262.07305844619424</c:v>
                </c:pt>
                <c:pt idx="1136">
                  <c:v>262.07305844619424</c:v>
                </c:pt>
                <c:pt idx="1137">
                  <c:v>262.07305844619424</c:v>
                </c:pt>
                <c:pt idx="1138">
                  <c:v>262.07305844619424</c:v>
                </c:pt>
                <c:pt idx="1139">
                  <c:v>236.05429056976001</c:v>
                </c:pt>
                <c:pt idx="1140">
                  <c:v>236.05429056976001</c:v>
                </c:pt>
                <c:pt idx="1141">
                  <c:v>236.05429056976001</c:v>
                </c:pt>
                <c:pt idx="1142">
                  <c:v>236.05429056976001</c:v>
                </c:pt>
                <c:pt idx="1143">
                  <c:v>236.05429056976001</c:v>
                </c:pt>
                <c:pt idx="1144">
                  <c:v>236.05429056976001</c:v>
                </c:pt>
                <c:pt idx="1145">
                  <c:v>236.05429056976001</c:v>
                </c:pt>
                <c:pt idx="1146">
                  <c:v>236.05429056976001</c:v>
                </c:pt>
                <c:pt idx="1147">
                  <c:v>236.05429056976001</c:v>
                </c:pt>
                <c:pt idx="1148">
                  <c:v>236.05429056976001</c:v>
                </c:pt>
                <c:pt idx="1149">
                  <c:v>236.05429056976001</c:v>
                </c:pt>
                <c:pt idx="1150">
                  <c:v>236.05429056976001</c:v>
                </c:pt>
                <c:pt idx="1151">
                  <c:v>236.05429056976001</c:v>
                </c:pt>
                <c:pt idx="1152">
                  <c:v>236.05429056976001</c:v>
                </c:pt>
                <c:pt idx="1153">
                  <c:v>236.05429056976001</c:v>
                </c:pt>
                <c:pt idx="1154">
                  <c:v>236.05429056976001</c:v>
                </c:pt>
                <c:pt idx="1155">
                  <c:v>236.05429056976001</c:v>
                </c:pt>
                <c:pt idx="1156">
                  <c:v>236.05429056976001</c:v>
                </c:pt>
                <c:pt idx="1157">
                  <c:v>236.05429056976001</c:v>
                </c:pt>
                <c:pt idx="1158">
                  <c:v>236.05429056976001</c:v>
                </c:pt>
                <c:pt idx="1159">
                  <c:v>236.05429056976001</c:v>
                </c:pt>
                <c:pt idx="1160">
                  <c:v>236.05429056976001</c:v>
                </c:pt>
                <c:pt idx="1161">
                  <c:v>236.05429056976001</c:v>
                </c:pt>
                <c:pt idx="1162">
                  <c:v>236.05429056976001</c:v>
                </c:pt>
                <c:pt idx="1163">
                  <c:v>236.05429056976001</c:v>
                </c:pt>
                <c:pt idx="1164">
                  <c:v>236.05429056976001</c:v>
                </c:pt>
                <c:pt idx="1165">
                  <c:v>236.05429056976001</c:v>
                </c:pt>
                <c:pt idx="1166">
                  <c:v>236.05429056976001</c:v>
                </c:pt>
                <c:pt idx="1167">
                  <c:v>236.05429056976001</c:v>
                </c:pt>
                <c:pt idx="1168">
                  <c:v>236.05429056976001</c:v>
                </c:pt>
                <c:pt idx="1169">
                  <c:v>236.05429056976001</c:v>
                </c:pt>
                <c:pt idx="1170">
                  <c:v>236.05429056976001</c:v>
                </c:pt>
                <c:pt idx="1171">
                  <c:v>236.05429056976001</c:v>
                </c:pt>
                <c:pt idx="1172">
                  <c:v>236.05429056976001</c:v>
                </c:pt>
                <c:pt idx="1173">
                  <c:v>236.05429056976001</c:v>
                </c:pt>
                <c:pt idx="1174">
                  <c:v>236.05429056976001</c:v>
                </c:pt>
                <c:pt idx="1175">
                  <c:v>236.05429056976001</c:v>
                </c:pt>
                <c:pt idx="1176">
                  <c:v>236.05429056976001</c:v>
                </c:pt>
                <c:pt idx="1177">
                  <c:v>236.05429056976001</c:v>
                </c:pt>
                <c:pt idx="1178">
                  <c:v>236.05429056976001</c:v>
                </c:pt>
                <c:pt idx="1179">
                  <c:v>236.05429056976001</c:v>
                </c:pt>
                <c:pt idx="1180">
                  <c:v>236.05429056976001</c:v>
                </c:pt>
                <c:pt idx="1181">
                  <c:v>236.05429056976001</c:v>
                </c:pt>
                <c:pt idx="1182">
                  <c:v>236.05429056976001</c:v>
                </c:pt>
                <c:pt idx="1183">
                  <c:v>236.05429056976001</c:v>
                </c:pt>
                <c:pt idx="1184">
                  <c:v>236.05429056976001</c:v>
                </c:pt>
                <c:pt idx="1185">
                  <c:v>236.05429056976001</c:v>
                </c:pt>
                <c:pt idx="1186">
                  <c:v>236.05429056976001</c:v>
                </c:pt>
                <c:pt idx="1187">
                  <c:v>236.05429056976001</c:v>
                </c:pt>
                <c:pt idx="1188">
                  <c:v>236.05429056976001</c:v>
                </c:pt>
                <c:pt idx="1189">
                  <c:v>236.05429056976001</c:v>
                </c:pt>
                <c:pt idx="1190">
                  <c:v>236.05429056976001</c:v>
                </c:pt>
                <c:pt idx="1191">
                  <c:v>236.05429056976001</c:v>
                </c:pt>
                <c:pt idx="1192">
                  <c:v>236.05429056976001</c:v>
                </c:pt>
                <c:pt idx="1193">
                  <c:v>236.05429056976001</c:v>
                </c:pt>
                <c:pt idx="1194">
                  <c:v>236.05429056976001</c:v>
                </c:pt>
                <c:pt idx="1195">
                  <c:v>236.05429056976001</c:v>
                </c:pt>
                <c:pt idx="1196">
                  <c:v>236.05429056976001</c:v>
                </c:pt>
                <c:pt idx="1197">
                  <c:v>236.05429056976001</c:v>
                </c:pt>
                <c:pt idx="1198">
                  <c:v>236.05429056976001</c:v>
                </c:pt>
                <c:pt idx="1199">
                  <c:v>236.05429056976001</c:v>
                </c:pt>
                <c:pt idx="1200">
                  <c:v>236.05429056976001</c:v>
                </c:pt>
                <c:pt idx="1201">
                  <c:v>236.05429056976001</c:v>
                </c:pt>
                <c:pt idx="1202">
                  <c:v>236.05429056976001</c:v>
                </c:pt>
                <c:pt idx="1203">
                  <c:v>236.05429056976001</c:v>
                </c:pt>
                <c:pt idx="1204">
                  <c:v>236.05429056976001</c:v>
                </c:pt>
                <c:pt idx="1205">
                  <c:v>236.05429056976001</c:v>
                </c:pt>
                <c:pt idx="1206">
                  <c:v>236.05429056976001</c:v>
                </c:pt>
                <c:pt idx="1207">
                  <c:v>236.05429056976001</c:v>
                </c:pt>
                <c:pt idx="1208">
                  <c:v>236.05429056976001</c:v>
                </c:pt>
                <c:pt idx="1209">
                  <c:v>236.05429056976001</c:v>
                </c:pt>
                <c:pt idx="1210">
                  <c:v>239.58577159610638</c:v>
                </c:pt>
              </c:numCache>
            </c:numRef>
          </c:yVal>
          <c:smooth val="0"/>
        </c:ser>
        <c:ser>
          <c:idx val="3"/>
          <c:order val="2"/>
          <c:tx>
            <c:v>Best guess</c:v>
          </c:tx>
          <c:spPr>
            <a:ln w="28575">
              <a:noFill/>
            </a:ln>
          </c:spPr>
          <c:marker>
            <c:symbol val="diamond"/>
            <c:size val="9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xVal>
            <c:numRef>
              <c:f>Data!$E$6:$E$1216</c:f>
              <c:numCache>
                <c:formatCode>0</c:formatCode>
                <c:ptCount val="1211"/>
                <c:pt idx="0">
                  <c:v>1991</c:v>
                </c:pt>
                <c:pt idx="1">
                  <c:v>1991</c:v>
                </c:pt>
                <c:pt idx="2">
                  <c:v>1991</c:v>
                </c:pt>
                <c:pt idx="3">
                  <c:v>1991</c:v>
                </c:pt>
                <c:pt idx="4">
                  <c:v>1991</c:v>
                </c:pt>
                <c:pt idx="5">
                  <c:v>1991</c:v>
                </c:pt>
                <c:pt idx="6">
                  <c:v>1991</c:v>
                </c:pt>
                <c:pt idx="7">
                  <c:v>1991</c:v>
                </c:pt>
                <c:pt idx="8">
                  <c:v>1991</c:v>
                </c:pt>
                <c:pt idx="9">
                  <c:v>1991</c:v>
                </c:pt>
                <c:pt idx="10">
                  <c:v>1992</c:v>
                </c:pt>
                <c:pt idx="11">
                  <c:v>1992</c:v>
                </c:pt>
                <c:pt idx="12">
                  <c:v>1997</c:v>
                </c:pt>
                <c:pt idx="13">
                  <c:v>1992</c:v>
                </c:pt>
                <c:pt idx="14">
                  <c:v>1993</c:v>
                </c:pt>
                <c:pt idx="15">
                  <c:v>1993</c:v>
                </c:pt>
                <c:pt idx="16">
                  <c:v>1993</c:v>
                </c:pt>
                <c:pt idx="17">
                  <c:v>1992</c:v>
                </c:pt>
                <c:pt idx="18">
                  <c:v>1993</c:v>
                </c:pt>
                <c:pt idx="19">
                  <c:v>1993</c:v>
                </c:pt>
                <c:pt idx="20">
                  <c:v>1993</c:v>
                </c:pt>
                <c:pt idx="21">
                  <c:v>1993</c:v>
                </c:pt>
                <c:pt idx="22">
                  <c:v>1993</c:v>
                </c:pt>
                <c:pt idx="23">
                  <c:v>1993</c:v>
                </c:pt>
                <c:pt idx="24">
                  <c:v>1993</c:v>
                </c:pt>
                <c:pt idx="25">
                  <c:v>1993</c:v>
                </c:pt>
                <c:pt idx="26">
                  <c:v>1993</c:v>
                </c:pt>
                <c:pt idx="27">
                  <c:v>1993</c:v>
                </c:pt>
                <c:pt idx="28">
                  <c:v>1993</c:v>
                </c:pt>
                <c:pt idx="29">
                  <c:v>1993</c:v>
                </c:pt>
                <c:pt idx="30">
                  <c:v>1993</c:v>
                </c:pt>
                <c:pt idx="31">
                  <c:v>1993</c:v>
                </c:pt>
                <c:pt idx="32">
                  <c:v>1993</c:v>
                </c:pt>
                <c:pt idx="33">
                  <c:v>1993</c:v>
                </c:pt>
                <c:pt idx="34">
                  <c:v>1993</c:v>
                </c:pt>
                <c:pt idx="35">
                  <c:v>1993</c:v>
                </c:pt>
                <c:pt idx="36">
                  <c:v>1993</c:v>
                </c:pt>
                <c:pt idx="37">
                  <c:v>1993</c:v>
                </c:pt>
                <c:pt idx="38">
                  <c:v>1993</c:v>
                </c:pt>
                <c:pt idx="39">
                  <c:v>1993</c:v>
                </c:pt>
                <c:pt idx="40">
                  <c:v>1993</c:v>
                </c:pt>
                <c:pt idx="41">
                  <c:v>1993</c:v>
                </c:pt>
                <c:pt idx="42">
                  <c:v>1993</c:v>
                </c:pt>
                <c:pt idx="43">
                  <c:v>1993</c:v>
                </c:pt>
                <c:pt idx="44">
                  <c:v>1993</c:v>
                </c:pt>
                <c:pt idx="45">
                  <c:v>1993</c:v>
                </c:pt>
                <c:pt idx="46">
                  <c:v>1993</c:v>
                </c:pt>
                <c:pt idx="47">
                  <c:v>1993</c:v>
                </c:pt>
                <c:pt idx="48">
                  <c:v>1993</c:v>
                </c:pt>
                <c:pt idx="49">
                  <c:v>1993</c:v>
                </c:pt>
                <c:pt idx="50">
                  <c:v>1993</c:v>
                </c:pt>
                <c:pt idx="51">
                  <c:v>1993</c:v>
                </c:pt>
                <c:pt idx="52">
                  <c:v>1993</c:v>
                </c:pt>
                <c:pt idx="53">
                  <c:v>1993</c:v>
                </c:pt>
                <c:pt idx="54">
                  <c:v>1993</c:v>
                </c:pt>
                <c:pt idx="55">
                  <c:v>1993</c:v>
                </c:pt>
                <c:pt idx="56">
                  <c:v>1993</c:v>
                </c:pt>
                <c:pt idx="57">
                  <c:v>1993</c:v>
                </c:pt>
                <c:pt idx="58">
                  <c:v>1993</c:v>
                </c:pt>
                <c:pt idx="59">
                  <c:v>1993</c:v>
                </c:pt>
                <c:pt idx="60">
                  <c:v>1993</c:v>
                </c:pt>
                <c:pt idx="61">
                  <c:v>1993</c:v>
                </c:pt>
                <c:pt idx="62">
                  <c:v>1993</c:v>
                </c:pt>
                <c:pt idx="63">
                  <c:v>1993</c:v>
                </c:pt>
                <c:pt idx="64">
                  <c:v>1993</c:v>
                </c:pt>
                <c:pt idx="65">
                  <c:v>1993</c:v>
                </c:pt>
                <c:pt idx="66">
                  <c:v>1993</c:v>
                </c:pt>
                <c:pt idx="67">
                  <c:v>1993</c:v>
                </c:pt>
                <c:pt idx="68">
                  <c:v>1993</c:v>
                </c:pt>
                <c:pt idx="69">
                  <c:v>1993</c:v>
                </c:pt>
                <c:pt idx="70">
                  <c:v>1993</c:v>
                </c:pt>
                <c:pt idx="71">
                  <c:v>1993</c:v>
                </c:pt>
                <c:pt idx="72">
                  <c:v>1993</c:v>
                </c:pt>
                <c:pt idx="73">
                  <c:v>1993</c:v>
                </c:pt>
                <c:pt idx="74">
                  <c:v>1993</c:v>
                </c:pt>
                <c:pt idx="75">
                  <c:v>1993</c:v>
                </c:pt>
                <c:pt idx="76">
                  <c:v>1993</c:v>
                </c:pt>
                <c:pt idx="77">
                  <c:v>1993</c:v>
                </c:pt>
                <c:pt idx="78">
                  <c:v>1993</c:v>
                </c:pt>
                <c:pt idx="79">
                  <c:v>1993</c:v>
                </c:pt>
                <c:pt idx="80">
                  <c:v>1993</c:v>
                </c:pt>
                <c:pt idx="81">
                  <c:v>1993</c:v>
                </c:pt>
                <c:pt idx="82">
                  <c:v>1993</c:v>
                </c:pt>
                <c:pt idx="83">
                  <c:v>1993</c:v>
                </c:pt>
                <c:pt idx="84">
                  <c:v>1993</c:v>
                </c:pt>
                <c:pt idx="85">
                  <c:v>1993</c:v>
                </c:pt>
                <c:pt idx="86">
                  <c:v>1993</c:v>
                </c:pt>
                <c:pt idx="87">
                  <c:v>1993</c:v>
                </c:pt>
                <c:pt idx="88">
                  <c:v>1993</c:v>
                </c:pt>
                <c:pt idx="89">
                  <c:v>1993</c:v>
                </c:pt>
                <c:pt idx="90">
                  <c:v>1993</c:v>
                </c:pt>
                <c:pt idx="91">
                  <c:v>1993</c:v>
                </c:pt>
                <c:pt idx="92">
                  <c:v>1993</c:v>
                </c:pt>
                <c:pt idx="93">
                  <c:v>1993</c:v>
                </c:pt>
                <c:pt idx="94">
                  <c:v>1993</c:v>
                </c:pt>
                <c:pt idx="95">
                  <c:v>1993</c:v>
                </c:pt>
                <c:pt idx="96">
                  <c:v>1993</c:v>
                </c:pt>
                <c:pt idx="97">
                  <c:v>1993</c:v>
                </c:pt>
                <c:pt idx="98">
                  <c:v>1993</c:v>
                </c:pt>
                <c:pt idx="99">
                  <c:v>1993</c:v>
                </c:pt>
                <c:pt idx="100">
                  <c:v>1993</c:v>
                </c:pt>
                <c:pt idx="101">
                  <c:v>1993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1993</c:v>
                </c:pt>
                <c:pt idx="106">
                  <c:v>1993</c:v>
                </c:pt>
                <c:pt idx="107">
                  <c:v>1993</c:v>
                </c:pt>
                <c:pt idx="108">
                  <c:v>1993</c:v>
                </c:pt>
                <c:pt idx="109">
                  <c:v>1993</c:v>
                </c:pt>
                <c:pt idx="110">
                  <c:v>1993</c:v>
                </c:pt>
                <c:pt idx="111">
                  <c:v>1993</c:v>
                </c:pt>
                <c:pt idx="112">
                  <c:v>1993</c:v>
                </c:pt>
                <c:pt idx="113">
                  <c:v>1993</c:v>
                </c:pt>
                <c:pt idx="114">
                  <c:v>1994</c:v>
                </c:pt>
                <c:pt idx="115">
                  <c:v>1994</c:v>
                </c:pt>
                <c:pt idx="116">
                  <c:v>1994</c:v>
                </c:pt>
                <c:pt idx="117">
                  <c:v>1994</c:v>
                </c:pt>
                <c:pt idx="118">
                  <c:v>1994</c:v>
                </c:pt>
                <c:pt idx="119">
                  <c:v>1995</c:v>
                </c:pt>
                <c:pt idx="120">
                  <c:v>1996</c:v>
                </c:pt>
                <c:pt idx="121">
                  <c:v>1996</c:v>
                </c:pt>
                <c:pt idx="122">
                  <c:v>1996</c:v>
                </c:pt>
                <c:pt idx="123">
                  <c:v>1996</c:v>
                </c:pt>
                <c:pt idx="124">
                  <c:v>1996</c:v>
                </c:pt>
                <c:pt idx="125">
                  <c:v>1996</c:v>
                </c:pt>
                <c:pt idx="126">
                  <c:v>1996</c:v>
                </c:pt>
                <c:pt idx="127">
                  <c:v>1996</c:v>
                </c:pt>
                <c:pt idx="128">
                  <c:v>1995</c:v>
                </c:pt>
                <c:pt idx="129">
                  <c:v>1995</c:v>
                </c:pt>
                <c:pt idx="130">
                  <c:v>1996</c:v>
                </c:pt>
                <c:pt idx="131">
                  <c:v>1996</c:v>
                </c:pt>
                <c:pt idx="132">
                  <c:v>1996</c:v>
                </c:pt>
                <c:pt idx="133">
                  <c:v>1996</c:v>
                </c:pt>
                <c:pt idx="134">
                  <c:v>1996</c:v>
                </c:pt>
                <c:pt idx="135">
                  <c:v>1996</c:v>
                </c:pt>
                <c:pt idx="136">
                  <c:v>1996</c:v>
                </c:pt>
                <c:pt idx="137">
                  <c:v>1996</c:v>
                </c:pt>
                <c:pt idx="138">
                  <c:v>1996</c:v>
                </c:pt>
                <c:pt idx="139">
                  <c:v>1996</c:v>
                </c:pt>
                <c:pt idx="140">
                  <c:v>1996</c:v>
                </c:pt>
                <c:pt idx="141">
                  <c:v>1996</c:v>
                </c:pt>
                <c:pt idx="142">
                  <c:v>1996</c:v>
                </c:pt>
                <c:pt idx="143">
                  <c:v>1996</c:v>
                </c:pt>
                <c:pt idx="144">
                  <c:v>1996</c:v>
                </c:pt>
                <c:pt idx="145">
                  <c:v>1996</c:v>
                </c:pt>
                <c:pt idx="146">
                  <c:v>1996</c:v>
                </c:pt>
                <c:pt idx="147">
                  <c:v>1996</c:v>
                </c:pt>
                <c:pt idx="148">
                  <c:v>1996</c:v>
                </c:pt>
                <c:pt idx="149">
                  <c:v>1996</c:v>
                </c:pt>
                <c:pt idx="150">
                  <c:v>1996</c:v>
                </c:pt>
                <c:pt idx="151">
                  <c:v>1996</c:v>
                </c:pt>
                <c:pt idx="152">
                  <c:v>1996</c:v>
                </c:pt>
                <c:pt idx="153">
                  <c:v>1996</c:v>
                </c:pt>
                <c:pt idx="154">
                  <c:v>1996</c:v>
                </c:pt>
                <c:pt idx="155">
                  <c:v>1996</c:v>
                </c:pt>
                <c:pt idx="156">
                  <c:v>1997</c:v>
                </c:pt>
                <c:pt idx="157">
                  <c:v>1997</c:v>
                </c:pt>
                <c:pt idx="158">
                  <c:v>1999</c:v>
                </c:pt>
                <c:pt idx="159">
                  <c:v>1999</c:v>
                </c:pt>
                <c:pt idx="160">
                  <c:v>1999</c:v>
                </c:pt>
                <c:pt idx="161">
                  <c:v>1999</c:v>
                </c:pt>
                <c:pt idx="162">
                  <c:v>1999</c:v>
                </c:pt>
                <c:pt idx="163">
                  <c:v>1999</c:v>
                </c:pt>
                <c:pt idx="164">
                  <c:v>1999</c:v>
                </c:pt>
                <c:pt idx="165">
                  <c:v>1999</c:v>
                </c:pt>
                <c:pt idx="166">
                  <c:v>1999</c:v>
                </c:pt>
                <c:pt idx="167">
                  <c:v>1999</c:v>
                </c:pt>
                <c:pt idx="168">
                  <c:v>1999</c:v>
                </c:pt>
                <c:pt idx="169">
                  <c:v>1999</c:v>
                </c:pt>
                <c:pt idx="170">
                  <c:v>1999</c:v>
                </c:pt>
                <c:pt idx="171">
                  <c:v>1999</c:v>
                </c:pt>
                <c:pt idx="172">
                  <c:v>1999</c:v>
                </c:pt>
                <c:pt idx="173">
                  <c:v>1999</c:v>
                </c:pt>
                <c:pt idx="174">
                  <c:v>1999</c:v>
                </c:pt>
                <c:pt idx="175">
                  <c:v>1999</c:v>
                </c:pt>
                <c:pt idx="176">
                  <c:v>1999</c:v>
                </c:pt>
                <c:pt idx="177">
                  <c:v>1999</c:v>
                </c:pt>
                <c:pt idx="178">
                  <c:v>1999</c:v>
                </c:pt>
                <c:pt idx="179">
                  <c:v>1999</c:v>
                </c:pt>
                <c:pt idx="180">
                  <c:v>1999</c:v>
                </c:pt>
                <c:pt idx="181">
                  <c:v>1999</c:v>
                </c:pt>
                <c:pt idx="182">
                  <c:v>1999</c:v>
                </c:pt>
                <c:pt idx="183">
                  <c:v>1999</c:v>
                </c:pt>
                <c:pt idx="184">
                  <c:v>1999</c:v>
                </c:pt>
                <c:pt idx="185">
                  <c:v>1999</c:v>
                </c:pt>
                <c:pt idx="186">
                  <c:v>1999</c:v>
                </c:pt>
                <c:pt idx="187">
                  <c:v>1999</c:v>
                </c:pt>
                <c:pt idx="188">
                  <c:v>1999</c:v>
                </c:pt>
                <c:pt idx="189">
                  <c:v>1999</c:v>
                </c:pt>
                <c:pt idx="190">
                  <c:v>1999</c:v>
                </c:pt>
                <c:pt idx="191">
                  <c:v>1999</c:v>
                </c:pt>
                <c:pt idx="192">
                  <c:v>1999</c:v>
                </c:pt>
                <c:pt idx="193">
                  <c:v>2000</c:v>
                </c:pt>
                <c:pt idx="194">
                  <c:v>2001</c:v>
                </c:pt>
                <c:pt idx="195">
                  <c:v>2001</c:v>
                </c:pt>
                <c:pt idx="196">
                  <c:v>2001</c:v>
                </c:pt>
                <c:pt idx="197">
                  <c:v>2001</c:v>
                </c:pt>
                <c:pt idx="198">
                  <c:v>2002</c:v>
                </c:pt>
                <c:pt idx="199">
                  <c:v>2005</c:v>
                </c:pt>
                <c:pt idx="200">
                  <c:v>2005</c:v>
                </c:pt>
                <c:pt idx="201">
                  <c:v>2005</c:v>
                </c:pt>
                <c:pt idx="202">
                  <c:v>2005</c:v>
                </c:pt>
                <c:pt idx="203">
                  <c:v>2005</c:v>
                </c:pt>
                <c:pt idx="204">
                  <c:v>2005</c:v>
                </c:pt>
                <c:pt idx="205">
                  <c:v>2003</c:v>
                </c:pt>
                <c:pt idx="206">
                  <c:v>2003</c:v>
                </c:pt>
                <c:pt idx="207">
                  <c:v>2003</c:v>
                </c:pt>
                <c:pt idx="208">
                  <c:v>2003</c:v>
                </c:pt>
                <c:pt idx="209">
                  <c:v>2003</c:v>
                </c:pt>
                <c:pt idx="210">
                  <c:v>2003</c:v>
                </c:pt>
                <c:pt idx="211">
                  <c:v>2003</c:v>
                </c:pt>
                <c:pt idx="212">
                  <c:v>2003</c:v>
                </c:pt>
                <c:pt idx="213">
                  <c:v>2003</c:v>
                </c:pt>
                <c:pt idx="214">
                  <c:v>2003</c:v>
                </c:pt>
                <c:pt idx="215">
                  <c:v>2003</c:v>
                </c:pt>
                <c:pt idx="216">
                  <c:v>2004</c:v>
                </c:pt>
                <c:pt idx="217">
                  <c:v>2004</c:v>
                </c:pt>
                <c:pt idx="218">
                  <c:v>2004</c:v>
                </c:pt>
                <c:pt idx="219">
                  <c:v>2004</c:v>
                </c:pt>
                <c:pt idx="220">
                  <c:v>2004</c:v>
                </c:pt>
                <c:pt idx="221">
                  <c:v>2004</c:v>
                </c:pt>
                <c:pt idx="222">
                  <c:v>2004</c:v>
                </c:pt>
                <c:pt idx="223">
                  <c:v>2004</c:v>
                </c:pt>
                <c:pt idx="224">
                  <c:v>2004</c:v>
                </c:pt>
                <c:pt idx="225">
                  <c:v>2004</c:v>
                </c:pt>
                <c:pt idx="226">
                  <c:v>2004</c:v>
                </c:pt>
                <c:pt idx="227">
                  <c:v>2004</c:v>
                </c:pt>
                <c:pt idx="228">
                  <c:v>2004</c:v>
                </c:pt>
                <c:pt idx="229">
                  <c:v>2004</c:v>
                </c:pt>
                <c:pt idx="230">
                  <c:v>2004</c:v>
                </c:pt>
                <c:pt idx="231">
                  <c:v>2004</c:v>
                </c:pt>
                <c:pt idx="232">
                  <c:v>2004</c:v>
                </c:pt>
                <c:pt idx="233">
                  <c:v>2004</c:v>
                </c:pt>
                <c:pt idx="234">
                  <c:v>2004</c:v>
                </c:pt>
                <c:pt idx="235">
                  <c:v>2004</c:v>
                </c:pt>
                <c:pt idx="236">
                  <c:v>2004</c:v>
                </c:pt>
                <c:pt idx="237">
                  <c:v>2004</c:v>
                </c:pt>
                <c:pt idx="238">
                  <c:v>2004</c:v>
                </c:pt>
                <c:pt idx="239">
                  <c:v>2004</c:v>
                </c:pt>
                <c:pt idx="240">
                  <c:v>2004</c:v>
                </c:pt>
                <c:pt idx="241">
                  <c:v>2006</c:v>
                </c:pt>
                <c:pt idx="242">
                  <c:v>2006</c:v>
                </c:pt>
                <c:pt idx="243">
                  <c:v>2006</c:v>
                </c:pt>
                <c:pt idx="244">
                  <c:v>2006</c:v>
                </c:pt>
                <c:pt idx="245">
                  <c:v>2006</c:v>
                </c:pt>
                <c:pt idx="246">
                  <c:v>2006</c:v>
                </c:pt>
                <c:pt idx="247">
                  <c:v>2006</c:v>
                </c:pt>
                <c:pt idx="248">
                  <c:v>2006</c:v>
                </c:pt>
                <c:pt idx="249">
                  <c:v>2006</c:v>
                </c:pt>
                <c:pt idx="250">
                  <c:v>2006</c:v>
                </c:pt>
                <c:pt idx="251">
                  <c:v>2006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2006</c:v>
                </c:pt>
                <c:pt idx="257">
                  <c:v>2006</c:v>
                </c:pt>
                <c:pt idx="258">
                  <c:v>2006</c:v>
                </c:pt>
                <c:pt idx="259">
                  <c:v>2006</c:v>
                </c:pt>
                <c:pt idx="260">
                  <c:v>2006</c:v>
                </c:pt>
                <c:pt idx="261">
                  <c:v>2006</c:v>
                </c:pt>
                <c:pt idx="262">
                  <c:v>2006</c:v>
                </c:pt>
                <c:pt idx="263">
                  <c:v>2006</c:v>
                </c:pt>
                <c:pt idx="264">
                  <c:v>2006</c:v>
                </c:pt>
                <c:pt idx="265">
                  <c:v>2006</c:v>
                </c:pt>
                <c:pt idx="266">
                  <c:v>2006</c:v>
                </c:pt>
                <c:pt idx="267">
                  <c:v>2006</c:v>
                </c:pt>
                <c:pt idx="268">
                  <c:v>2006</c:v>
                </c:pt>
                <c:pt idx="269">
                  <c:v>2006</c:v>
                </c:pt>
                <c:pt idx="270">
                  <c:v>2006</c:v>
                </c:pt>
                <c:pt idx="271">
                  <c:v>2006</c:v>
                </c:pt>
                <c:pt idx="272">
                  <c:v>2006</c:v>
                </c:pt>
                <c:pt idx="273">
                  <c:v>2006</c:v>
                </c:pt>
                <c:pt idx="274">
                  <c:v>2006</c:v>
                </c:pt>
                <c:pt idx="275">
                  <c:v>2006</c:v>
                </c:pt>
                <c:pt idx="276">
                  <c:v>2006</c:v>
                </c:pt>
                <c:pt idx="277">
                  <c:v>2006</c:v>
                </c:pt>
                <c:pt idx="278">
                  <c:v>2006</c:v>
                </c:pt>
                <c:pt idx="279">
                  <c:v>2006</c:v>
                </c:pt>
                <c:pt idx="280">
                  <c:v>2006</c:v>
                </c:pt>
                <c:pt idx="281">
                  <c:v>2006</c:v>
                </c:pt>
                <c:pt idx="282">
                  <c:v>2006</c:v>
                </c:pt>
                <c:pt idx="283">
                  <c:v>2006</c:v>
                </c:pt>
                <c:pt idx="284">
                  <c:v>2006</c:v>
                </c:pt>
                <c:pt idx="285">
                  <c:v>2011</c:v>
                </c:pt>
                <c:pt idx="286">
                  <c:v>2011</c:v>
                </c:pt>
                <c:pt idx="287">
                  <c:v>2011</c:v>
                </c:pt>
                <c:pt idx="288">
                  <c:v>2011</c:v>
                </c:pt>
                <c:pt idx="289">
                  <c:v>2011</c:v>
                </c:pt>
                <c:pt idx="290">
                  <c:v>2011</c:v>
                </c:pt>
                <c:pt idx="291">
                  <c:v>2011</c:v>
                </c:pt>
                <c:pt idx="292">
                  <c:v>2011</c:v>
                </c:pt>
                <c:pt idx="293">
                  <c:v>2011</c:v>
                </c:pt>
                <c:pt idx="294">
                  <c:v>2011</c:v>
                </c:pt>
                <c:pt idx="295">
                  <c:v>2011</c:v>
                </c:pt>
                <c:pt idx="296">
                  <c:v>2011</c:v>
                </c:pt>
                <c:pt idx="297">
                  <c:v>2011</c:v>
                </c:pt>
                <c:pt idx="298">
                  <c:v>2011</c:v>
                </c:pt>
                <c:pt idx="299">
                  <c:v>2011</c:v>
                </c:pt>
                <c:pt idx="300">
                  <c:v>2011</c:v>
                </c:pt>
                <c:pt idx="301">
                  <c:v>2011</c:v>
                </c:pt>
                <c:pt idx="302">
                  <c:v>2011</c:v>
                </c:pt>
                <c:pt idx="303">
                  <c:v>2011</c:v>
                </c:pt>
                <c:pt idx="304">
                  <c:v>2011</c:v>
                </c:pt>
                <c:pt idx="305">
                  <c:v>2011</c:v>
                </c:pt>
                <c:pt idx="306">
                  <c:v>2011</c:v>
                </c:pt>
                <c:pt idx="307">
                  <c:v>2011</c:v>
                </c:pt>
                <c:pt idx="308">
                  <c:v>2011</c:v>
                </c:pt>
                <c:pt idx="309">
                  <c:v>2011</c:v>
                </c:pt>
                <c:pt idx="310">
                  <c:v>2011</c:v>
                </c:pt>
                <c:pt idx="311">
                  <c:v>2011</c:v>
                </c:pt>
                <c:pt idx="312">
                  <c:v>2011</c:v>
                </c:pt>
                <c:pt idx="313">
                  <c:v>2011</c:v>
                </c:pt>
                <c:pt idx="314">
                  <c:v>2011</c:v>
                </c:pt>
                <c:pt idx="315">
                  <c:v>2011</c:v>
                </c:pt>
                <c:pt idx="316">
                  <c:v>2011</c:v>
                </c:pt>
                <c:pt idx="317">
                  <c:v>2011</c:v>
                </c:pt>
                <c:pt idx="318">
                  <c:v>2011</c:v>
                </c:pt>
                <c:pt idx="319">
                  <c:v>2011</c:v>
                </c:pt>
                <c:pt idx="320">
                  <c:v>2011</c:v>
                </c:pt>
                <c:pt idx="321">
                  <c:v>2011</c:v>
                </c:pt>
                <c:pt idx="322">
                  <c:v>2011</c:v>
                </c:pt>
                <c:pt idx="323">
                  <c:v>2011</c:v>
                </c:pt>
                <c:pt idx="324">
                  <c:v>2011</c:v>
                </c:pt>
                <c:pt idx="325">
                  <c:v>2011</c:v>
                </c:pt>
                <c:pt idx="326">
                  <c:v>2011</c:v>
                </c:pt>
                <c:pt idx="327">
                  <c:v>2011</c:v>
                </c:pt>
                <c:pt idx="328">
                  <c:v>2011</c:v>
                </c:pt>
                <c:pt idx="329">
                  <c:v>2011</c:v>
                </c:pt>
                <c:pt idx="330">
                  <c:v>2011</c:v>
                </c:pt>
                <c:pt idx="331">
                  <c:v>2011</c:v>
                </c:pt>
                <c:pt idx="332">
                  <c:v>2011</c:v>
                </c:pt>
                <c:pt idx="333">
                  <c:v>2006</c:v>
                </c:pt>
                <c:pt idx="334">
                  <c:v>2006</c:v>
                </c:pt>
                <c:pt idx="335">
                  <c:v>2006</c:v>
                </c:pt>
                <c:pt idx="336">
                  <c:v>2006</c:v>
                </c:pt>
                <c:pt idx="337">
                  <c:v>2006</c:v>
                </c:pt>
                <c:pt idx="338">
                  <c:v>2006</c:v>
                </c:pt>
                <c:pt idx="339">
                  <c:v>2006</c:v>
                </c:pt>
                <c:pt idx="340">
                  <c:v>2006</c:v>
                </c:pt>
                <c:pt idx="341">
                  <c:v>2006</c:v>
                </c:pt>
                <c:pt idx="342">
                  <c:v>2006</c:v>
                </c:pt>
                <c:pt idx="343">
                  <c:v>2006</c:v>
                </c:pt>
                <c:pt idx="344">
                  <c:v>2006</c:v>
                </c:pt>
                <c:pt idx="345">
                  <c:v>2006</c:v>
                </c:pt>
                <c:pt idx="346">
                  <c:v>2006</c:v>
                </c:pt>
                <c:pt idx="347">
                  <c:v>2006</c:v>
                </c:pt>
                <c:pt idx="348">
                  <c:v>2006</c:v>
                </c:pt>
                <c:pt idx="349">
                  <c:v>2006</c:v>
                </c:pt>
                <c:pt idx="350">
                  <c:v>2006</c:v>
                </c:pt>
                <c:pt idx="351">
                  <c:v>2006</c:v>
                </c:pt>
                <c:pt idx="352">
                  <c:v>2006</c:v>
                </c:pt>
                <c:pt idx="353">
                  <c:v>2006</c:v>
                </c:pt>
                <c:pt idx="354">
                  <c:v>2006</c:v>
                </c:pt>
                <c:pt idx="355">
                  <c:v>2006</c:v>
                </c:pt>
                <c:pt idx="356">
                  <c:v>2006</c:v>
                </c:pt>
                <c:pt idx="357">
                  <c:v>2006</c:v>
                </c:pt>
                <c:pt idx="358">
                  <c:v>2005</c:v>
                </c:pt>
                <c:pt idx="359">
                  <c:v>2005</c:v>
                </c:pt>
                <c:pt idx="360">
                  <c:v>2005</c:v>
                </c:pt>
                <c:pt idx="361">
                  <c:v>2005</c:v>
                </c:pt>
                <c:pt idx="362">
                  <c:v>2005</c:v>
                </c:pt>
                <c:pt idx="363">
                  <c:v>2005</c:v>
                </c:pt>
                <c:pt idx="364">
                  <c:v>2006</c:v>
                </c:pt>
                <c:pt idx="365">
                  <c:v>2005</c:v>
                </c:pt>
                <c:pt idx="366">
                  <c:v>2005</c:v>
                </c:pt>
                <c:pt idx="367">
                  <c:v>2006</c:v>
                </c:pt>
                <c:pt idx="368">
                  <c:v>2007</c:v>
                </c:pt>
                <c:pt idx="369">
                  <c:v>2007</c:v>
                </c:pt>
                <c:pt idx="370">
                  <c:v>2008</c:v>
                </c:pt>
                <c:pt idx="371">
                  <c:v>2008</c:v>
                </c:pt>
                <c:pt idx="372">
                  <c:v>2008</c:v>
                </c:pt>
                <c:pt idx="373">
                  <c:v>2008</c:v>
                </c:pt>
                <c:pt idx="374">
                  <c:v>2008</c:v>
                </c:pt>
                <c:pt idx="375">
                  <c:v>2008</c:v>
                </c:pt>
                <c:pt idx="376">
                  <c:v>2008</c:v>
                </c:pt>
                <c:pt idx="377">
                  <c:v>2008</c:v>
                </c:pt>
                <c:pt idx="378">
                  <c:v>2008</c:v>
                </c:pt>
                <c:pt idx="379">
                  <c:v>2008</c:v>
                </c:pt>
                <c:pt idx="380">
                  <c:v>2008</c:v>
                </c:pt>
                <c:pt idx="381">
                  <c:v>2008</c:v>
                </c:pt>
                <c:pt idx="382">
                  <c:v>2008</c:v>
                </c:pt>
                <c:pt idx="383">
                  <c:v>2008</c:v>
                </c:pt>
                <c:pt idx="384">
                  <c:v>2008</c:v>
                </c:pt>
                <c:pt idx="385">
                  <c:v>2008</c:v>
                </c:pt>
                <c:pt idx="386">
                  <c:v>2008</c:v>
                </c:pt>
                <c:pt idx="387">
                  <c:v>2008</c:v>
                </c:pt>
                <c:pt idx="388">
                  <c:v>2008</c:v>
                </c:pt>
                <c:pt idx="389">
                  <c:v>2010</c:v>
                </c:pt>
                <c:pt idx="390">
                  <c:v>2010</c:v>
                </c:pt>
                <c:pt idx="391">
                  <c:v>2010</c:v>
                </c:pt>
                <c:pt idx="392">
                  <c:v>2010</c:v>
                </c:pt>
                <c:pt idx="393">
                  <c:v>2010</c:v>
                </c:pt>
                <c:pt idx="394">
                  <c:v>2009</c:v>
                </c:pt>
                <c:pt idx="395">
                  <c:v>2009</c:v>
                </c:pt>
                <c:pt idx="396">
                  <c:v>2009</c:v>
                </c:pt>
                <c:pt idx="397">
                  <c:v>2009</c:v>
                </c:pt>
                <c:pt idx="398">
                  <c:v>2009</c:v>
                </c:pt>
                <c:pt idx="399">
                  <c:v>2009</c:v>
                </c:pt>
                <c:pt idx="400">
                  <c:v>2009</c:v>
                </c:pt>
                <c:pt idx="401">
                  <c:v>2009</c:v>
                </c:pt>
                <c:pt idx="402">
                  <c:v>2009</c:v>
                </c:pt>
                <c:pt idx="403">
                  <c:v>2009</c:v>
                </c:pt>
                <c:pt idx="404">
                  <c:v>2009</c:v>
                </c:pt>
                <c:pt idx="405">
                  <c:v>2009</c:v>
                </c:pt>
                <c:pt idx="406">
                  <c:v>2009</c:v>
                </c:pt>
                <c:pt idx="407">
                  <c:v>2009</c:v>
                </c:pt>
                <c:pt idx="408">
                  <c:v>2009</c:v>
                </c:pt>
                <c:pt idx="409">
                  <c:v>2009</c:v>
                </c:pt>
                <c:pt idx="410">
                  <c:v>2009</c:v>
                </c:pt>
                <c:pt idx="411">
                  <c:v>2009</c:v>
                </c:pt>
                <c:pt idx="412">
                  <c:v>2009</c:v>
                </c:pt>
                <c:pt idx="413">
                  <c:v>2009</c:v>
                </c:pt>
                <c:pt idx="414">
                  <c:v>2009</c:v>
                </c:pt>
                <c:pt idx="415">
                  <c:v>2009</c:v>
                </c:pt>
                <c:pt idx="416">
                  <c:v>2009</c:v>
                </c:pt>
                <c:pt idx="417">
                  <c:v>2009</c:v>
                </c:pt>
                <c:pt idx="418">
                  <c:v>2009</c:v>
                </c:pt>
                <c:pt idx="419">
                  <c:v>2009</c:v>
                </c:pt>
                <c:pt idx="420">
                  <c:v>2009</c:v>
                </c:pt>
                <c:pt idx="421">
                  <c:v>2009</c:v>
                </c:pt>
                <c:pt idx="422">
                  <c:v>2009</c:v>
                </c:pt>
                <c:pt idx="423">
                  <c:v>2009</c:v>
                </c:pt>
                <c:pt idx="424">
                  <c:v>2009</c:v>
                </c:pt>
                <c:pt idx="425">
                  <c:v>2009</c:v>
                </c:pt>
                <c:pt idx="426">
                  <c:v>2009</c:v>
                </c:pt>
                <c:pt idx="427">
                  <c:v>2009</c:v>
                </c:pt>
                <c:pt idx="428">
                  <c:v>2009</c:v>
                </c:pt>
                <c:pt idx="429">
                  <c:v>2009</c:v>
                </c:pt>
                <c:pt idx="430">
                  <c:v>2009</c:v>
                </c:pt>
                <c:pt idx="431">
                  <c:v>2009</c:v>
                </c:pt>
                <c:pt idx="432">
                  <c:v>2009</c:v>
                </c:pt>
                <c:pt idx="433">
                  <c:v>2009</c:v>
                </c:pt>
                <c:pt idx="434">
                  <c:v>2009</c:v>
                </c:pt>
                <c:pt idx="435">
                  <c:v>2009</c:v>
                </c:pt>
                <c:pt idx="436">
                  <c:v>2009</c:v>
                </c:pt>
                <c:pt idx="437">
                  <c:v>2009</c:v>
                </c:pt>
                <c:pt idx="438">
                  <c:v>2009</c:v>
                </c:pt>
                <c:pt idx="439">
                  <c:v>2009</c:v>
                </c:pt>
                <c:pt idx="440">
                  <c:v>2009</c:v>
                </c:pt>
                <c:pt idx="441">
                  <c:v>2009</c:v>
                </c:pt>
                <c:pt idx="442">
                  <c:v>2009</c:v>
                </c:pt>
                <c:pt idx="443">
                  <c:v>2009</c:v>
                </c:pt>
                <c:pt idx="444">
                  <c:v>2009</c:v>
                </c:pt>
                <c:pt idx="445">
                  <c:v>2009</c:v>
                </c:pt>
                <c:pt idx="446">
                  <c:v>2010</c:v>
                </c:pt>
                <c:pt idx="447">
                  <c:v>2010</c:v>
                </c:pt>
                <c:pt idx="448">
                  <c:v>2010</c:v>
                </c:pt>
                <c:pt idx="449">
                  <c:v>2009</c:v>
                </c:pt>
                <c:pt idx="450">
                  <c:v>2009</c:v>
                </c:pt>
                <c:pt idx="451">
                  <c:v>2009</c:v>
                </c:pt>
                <c:pt idx="452">
                  <c:v>2009</c:v>
                </c:pt>
                <c:pt idx="453">
                  <c:v>2009</c:v>
                </c:pt>
                <c:pt idx="454">
                  <c:v>2010</c:v>
                </c:pt>
                <c:pt idx="455">
                  <c:v>2010</c:v>
                </c:pt>
                <c:pt idx="456">
                  <c:v>2010</c:v>
                </c:pt>
                <c:pt idx="457">
                  <c:v>2010</c:v>
                </c:pt>
                <c:pt idx="458">
                  <c:v>2010</c:v>
                </c:pt>
                <c:pt idx="459">
                  <c:v>2010</c:v>
                </c:pt>
                <c:pt idx="460">
                  <c:v>2010</c:v>
                </c:pt>
                <c:pt idx="461">
                  <c:v>2010</c:v>
                </c:pt>
                <c:pt idx="462">
                  <c:v>2010</c:v>
                </c:pt>
                <c:pt idx="463">
                  <c:v>2010</c:v>
                </c:pt>
                <c:pt idx="464">
                  <c:v>2010</c:v>
                </c:pt>
                <c:pt idx="465">
                  <c:v>2010</c:v>
                </c:pt>
                <c:pt idx="466">
                  <c:v>2010</c:v>
                </c:pt>
                <c:pt idx="467">
                  <c:v>2010</c:v>
                </c:pt>
                <c:pt idx="468">
                  <c:v>2010</c:v>
                </c:pt>
                <c:pt idx="469">
                  <c:v>2010</c:v>
                </c:pt>
                <c:pt idx="470">
                  <c:v>2010</c:v>
                </c:pt>
                <c:pt idx="471">
                  <c:v>2012</c:v>
                </c:pt>
                <c:pt idx="472">
                  <c:v>2012</c:v>
                </c:pt>
                <c:pt idx="473">
                  <c:v>2013</c:v>
                </c:pt>
                <c:pt idx="474">
                  <c:v>2013</c:v>
                </c:pt>
                <c:pt idx="475">
                  <c:v>2013</c:v>
                </c:pt>
                <c:pt idx="476">
                  <c:v>2015</c:v>
                </c:pt>
                <c:pt idx="477">
                  <c:v>2015</c:v>
                </c:pt>
                <c:pt idx="478">
                  <c:v>2011</c:v>
                </c:pt>
                <c:pt idx="479">
                  <c:v>2011</c:v>
                </c:pt>
                <c:pt idx="480">
                  <c:v>2012</c:v>
                </c:pt>
                <c:pt idx="481">
                  <c:v>2012</c:v>
                </c:pt>
                <c:pt idx="482">
                  <c:v>2012</c:v>
                </c:pt>
                <c:pt idx="483">
                  <c:v>2012</c:v>
                </c:pt>
                <c:pt idx="484">
                  <c:v>2012</c:v>
                </c:pt>
                <c:pt idx="485">
                  <c:v>2012</c:v>
                </c:pt>
                <c:pt idx="486">
                  <c:v>2012</c:v>
                </c:pt>
                <c:pt idx="487">
                  <c:v>2012</c:v>
                </c:pt>
                <c:pt idx="488">
                  <c:v>2012</c:v>
                </c:pt>
                <c:pt idx="489">
                  <c:v>2012</c:v>
                </c:pt>
                <c:pt idx="490">
                  <c:v>2012</c:v>
                </c:pt>
                <c:pt idx="491">
                  <c:v>2012</c:v>
                </c:pt>
                <c:pt idx="492">
                  <c:v>2012</c:v>
                </c:pt>
                <c:pt idx="493">
                  <c:v>2012</c:v>
                </c:pt>
                <c:pt idx="494">
                  <c:v>2012</c:v>
                </c:pt>
                <c:pt idx="495">
                  <c:v>2012</c:v>
                </c:pt>
                <c:pt idx="496">
                  <c:v>2012</c:v>
                </c:pt>
                <c:pt idx="497">
                  <c:v>2012</c:v>
                </c:pt>
                <c:pt idx="498">
                  <c:v>2012</c:v>
                </c:pt>
                <c:pt idx="499">
                  <c:v>2011</c:v>
                </c:pt>
                <c:pt idx="500">
                  <c:v>2011</c:v>
                </c:pt>
                <c:pt idx="501">
                  <c:v>2011</c:v>
                </c:pt>
                <c:pt idx="502">
                  <c:v>2011</c:v>
                </c:pt>
                <c:pt idx="503">
                  <c:v>2011</c:v>
                </c:pt>
                <c:pt idx="504">
                  <c:v>2011</c:v>
                </c:pt>
                <c:pt idx="505">
                  <c:v>2011</c:v>
                </c:pt>
                <c:pt idx="506">
                  <c:v>2011</c:v>
                </c:pt>
                <c:pt idx="507">
                  <c:v>2011</c:v>
                </c:pt>
                <c:pt idx="508">
                  <c:v>2011</c:v>
                </c:pt>
                <c:pt idx="509">
                  <c:v>2011</c:v>
                </c:pt>
                <c:pt idx="510">
                  <c:v>2011</c:v>
                </c:pt>
                <c:pt idx="511">
                  <c:v>2011</c:v>
                </c:pt>
                <c:pt idx="512">
                  <c:v>2011</c:v>
                </c:pt>
                <c:pt idx="513">
                  <c:v>2011</c:v>
                </c:pt>
                <c:pt idx="514">
                  <c:v>2011</c:v>
                </c:pt>
                <c:pt idx="515">
                  <c:v>2011</c:v>
                </c:pt>
                <c:pt idx="516">
                  <c:v>2011</c:v>
                </c:pt>
                <c:pt idx="517">
                  <c:v>2011</c:v>
                </c:pt>
                <c:pt idx="518">
                  <c:v>2011</c:v>
                </c:pt>
                <c:pt idx="519">
                  <c:v>2011</c:v>
                </c:pt>
                <c:pt idx="520">
                  <c:v>2011</c:v>
                </c:pt>
                <c:pt idx="521">
                  <c:v>2011</c:v>
                </c:pt>
                <c:pt idx="522">
                  <c:v>2011</c:v>
                </c:pt>
                <c:pt idx="523">
                  <c:v>2011</c:v>
                </c:pt>
                <c:pt idx="524">
                  <c:v>2011</c:v>
                </c:pt>
                <c:pt idx="525">
                  <c:v>2011</c:v>
                </c:pt>
                <c:pt idx="526">
                  <c:v>2011</c:v>
                </c:pt>
                <c:pt idx="527">
                  <c:v>2011</c:v>
                </c:pt>
                <c:pt idx="528">
                  <c:v>2011</c:v>
                </c:pt>
                <c:pt idx="529">
                  <c:v>2011</c:v>
                </c:pt>
                <c:pt idx="530">
                  <c:v>2011</c:v>
                </c:pt>
                <c:pt idx="531">
                  <c:v>2011</c:v>
                </c:pt>
                <c:pt idx="532">
                  <c:v>2011</c:v>
                </c:pt>
                <c:pt idx="533">
                  <c:v>2011</c:v>
                </c:pt>
                <c:pt idx="534">
                  <c:v>2011</c:v>
                </c:pt>
                <c:pt idx="535">
                  <c:v>2011</c:v>
                </c:pt>
                <c:pt idx="536">
                  <c:v>2011</c:v>
                </c:pt>
                <c:pt idx="537">
                  <c:v>2011</c:v>
                </c:pt>
                <c:pt idx="538">
                  <c:v>2011</c:v>
                </c:pt>
                <c:pt idx="539">
                  <c:v>2011</c:v>
                </c:pt>
                <c:pt idx="540">
                  <c:v>2011</c:v>
                </c:pt>
                <c:pt idx="541">
                  <c:v>2011</c:v>
                </c:pt>
                <c:pt idx="542">
                  <c:v>2011</c:v>
                </c:pt>
                <c:pt idx="543">
                  <c:v>2012</c:v>
                </c:pt>
                <c:pt idx="544">
                  <c:v>2012</c:v>
                </c:pt>
                <c:pt idx="545">
                  <c:v>2012</c:v>
                </c:pt>
                <c:pt idx="546">
                  <c:v>2012</c:v>
                </c:pt>
                <c:pt idx="547">
                  <c:v>2012</c:v>
                </c:pt>
                <c:pt idx="548">
                  <c:v>2012</c:v>
                </c:pt>
                <c:pt idx="549">
                  <c:v>2012</c:v>
                </c:pt>
                <c:pt idx="550">
                  <c:v>2012</c:v>
                </c:pt>
                <c:pt idx="551">
                  <c:v>2012</c:v>
                </c:pt>
                <c:pt idx="552">
                  <c:v>2012</c:v>
                </c:pt>
                <c:pt idx="553">
                  <c:v>2012</c:v>
                </c:pt>
                <c:pt idx="554">
                  <c:v>2012</c:v>
                </c:pt>
                <c:pt idx="555">
                  <c:v>2012</c:v>
                </c:pt>
                <c:pt idx="556">
                  <c:v>2012</c:v>
                </c:pt>
                <c:pt idx="557">
                  <c:v>2012</c:v>
                </c:pt>
                <c:pt idx="558">
                  <c:v>2012</c:v>
                </c:pt>
                <c:pt idx="559">
                  <c:v>2012</c:v>
                </c:pt>
                <c:pt idx="560">
                  <c:v>2012</c:v>
                </c:pt>
                <c:pt idx="561">
                  <c:v>2012</c:v>
                </c:pt>
                <c:pt idx="562">
                  <c:v>2012</c:v>
                </c:pt>
                <c:pt idx="563">
                  <c:v>2012</c:v>
                </c:pt>
                <c:pt idx="564">
                  <c:v>2012</c:v>
                </c:pt>
                <c:pt idx="565">
                  <c:v>2012</c:v>
                </c:pt>
                <c:pt idx="566">
                  <c:v>2012</c:v>
                </c:pt>
                <c:pt idx="567">
                  <c:v>2012</c:v>
                </c:pt>
                <c:pt idx="568">
                  <c:v>2012</c:v>
                </c:pt>
                <c:pt idx="569">
                  <c:v>2012</c:v>
                </c:pt>
                <c:pt idx="570">
                  <c:v>2012</c:v>
                </c:pt>
                <c:pt idx="571">
                  <c:v>2012</c:v>
                </c:pt>
                <c:pt idx="572">
                  <c:v>2012</c:v>
                </c:pt>
                <c:pt idx="573">
                  <c:v>2012</c:v>
                </c:pt>
                <c:pt idx="574">
                  <c:v>2012</c:v>
                </c:pt>
                <c:pt idx="575">
                  <c:v>2012</c:v>
                </c:pt>
                <c:pt idx="576">
                  <c:v>2012</c:v>
                </c:pt>
                <c:pt idx="577">
                  <c:v>2012</c:v>
                </c:pt>
                <c:pt idx="578">
                  <c:v>2012</c:v>
                </c:pt>
                <c:pt idx="579">
                  <c:v>2012</c:v>
                </c:pt>
                <c:pt idx="580">
                  <c:v>2012</c:v>
                </c:pt>
                <c:pt idx="581">
                  <c:v>2012</c:v>
                </c:pt>
                <c:pt idx="582">
                  <c:v>2012</c:v>
                </c:pt>
                <c:pt idx="583">
                  <c:v>2012</c:v>
                </c:pt>
                <c:pt idx="584">
                  <c:v>2012</c:v>
                </c:pt>
                <c:pt idx="585">
                  <c:v>2012</c:v>
                </c:pt>
                <c:pt idx="586">
                  <c:v>2012</c:v>
                </c:pt>
                <c:pt idx="587">
                  <c:v>2012</c:v>
                </c:pt>
                <c:pt idx="588">
                  <c:v>2012</c:v>
                </c:pt>
                <c:pt idx="589">
                  <c:v>2012</c:v>
                </c:pt>
                <c:pt idx="590">
                  <c:v>2012</c:v>
                </c:pt>
                <c:pt idx="591">
                  <c:v>2012</c:v>
                </c:pt>
                <c:pt idx="592">
                  <c:v>2012</c:v>
                </c:pt>
                <c:pt idx="593">
                  <c:v>2012</c:v>
                </c:pt>
                <c:pt idx="594">
                  <c:v>2012</c:v>
                </c:pt>
                <c:pt idx="595">
                  <c:v>2012</c:v>
                </c:pt>
                <c:pt idx="596">
                  <c:v>2012</c:v>
                </c:pt>
                <c:pt idx="597">
                  <c:v>2012</c:v>
                </c:pt>
                <c:pt idx="598">
                  <c:v>2012</c:v>
                </c:pt>
                <c:pt idx="599">
                  <c:v>2012</c:v>
                </c:pt>
                <c:pt idx="600">
                  <c:v>2012</c:v>
                </c:pt>
                <c:pt idx="601">
                  <c:v>2012</c:v>
                </c:pt>
                <c:pt idx="602">
                  <c:v>2012</c:v>
                </c:pt>
                <c:pt idx="603">
                  <c:v>2012</c:v>
                </c:pt>
                <c:pt idx="604">
                  <c:v>2012</c:v>
                </c:pt>
                <c:pt idx="605">
                  <c:v>2012</c:v>
                </c:pt>
                <c:pt idx="606">
                  <c:v>2012</c:v>
                </c:pt>
                <c:pt idx="607">
                  <c:v>2012</c:v>
                </c:pt>
                <c:pt idx="608">
                  <c:v>2012</c:v>
                </c:pt>
                <c:pt idx="609">
                  <c:v>2012</c:v>
                </c:pt>
                <c:pt idx="610">
                  <c:v>2012</c:v>
                </c:pt>
                <c:pt idx="611">
                  <c:v>2012</c:v>
                </c:pt>
                <c:pt idx="612">
                  <c:v>2012</c:v>
                </c:pt>
                <c:pt idx="613">
                  <c:v>2012</c:v>
                </c:pt>
                <c:pt idx="614">
                  <c:v>2012</c:v>
                </c:pt>
                <c:pt idx="615">
                  <c:v>2012</c:v>
                </c:pt>
                <c:pt idx="616">
                  <c:v>2012</c:v>
                </c:pt>
                <c:pt idx="617">
                  <c:v>2012</c:v>
                </c:pt>
                <c:pt idx="618">
                  <c:v>2012</c:v>
                </c:pt>
                <c:pt idx="619">
                  <c:v>2012</c:v>
                </c:pt>
                <c:pt idx="620">
                  <c:v>2012</c:v>
                </c:pt>
                <c:pt idx="621">
                  <c:v>2012</c:v>
                </c:pt>
                <c:pt idx="622">
                  <c:v>2012</c:v>
                </c:pt>
                <c:pt idx="623">
                  <c:v>2012</c:v>
                </c:pt>
                <c:pt idx="624">
                  <c:v>2012</c:v>
                </c:pt>
                <c:pt idx="625">
                  <c:v>2012</c:v>
                </c:pt>
                <c:pt idx="626">
                  <c:v>2012</c:v>
                </c:pt>
                <c:pt idx="627">
                  <c:v>2012</c:v>
                </c:pt>
                <c:pt idx="628">
                  <c:v>2012</c:v>
                </c:pt>
                <c:pt idx="629">
                  <c:v>2012</c:v>
                </c:pt>
                <c:pt idx="630">
                  <c:v>2012</c:v>
                </c:pt>
                <c:pt idx="631">
                  <c:v>2012</c:v>
                </c:pt>
                <c:pt idx="632">
                  <c:v>2012</c:v>
                </c:pt>
                <c:pt idx="633">
                  <c:v>2012</c:v>
                </c:pt>
                <c:pt idx="634">
                  <c:v>2012</c:v>
                </c:pt>
                <c:pt idx="635">
                  <c:v>2012</c:v>
                </c:pt>
                <c:pt idx="636">
                  <c:v>2012</c:v>
                </c:pt>
                <c:pt idx="637">
                  <c:v>2012</c:v>
                </c:pt>
                <c:pt idx="638">
                  <c:v>2012</c:v>
                </c:pt>
                <c:pt idx="639">
                  <c:v>2012</c:v>
                </c:pt>
                <c:pt idx="640">
                  <c:v>2012</c:v>
                </c:pt>
                <c:pt idx="641">
                  <c:v>2012</c:v>
                </c:pt>
                <c:pt idx="642">
                  <c:v>2012</c:v>
                </c:pt>
                <c:pt idx="643">
                  <c:v>2012</c:v>
                </c:pt>
                <c:pt idx="644">
                  <c:v>2012</c:v>
                </c:pt>
                <c:pt idx="645">
                  <c:v>2012</c:v>
                </c:pt>
                <c:pt idx="646">
                  <c:v>2012</c:v>
                </c:pt>
                <c:pt idx="647">
                  <c:v>2012</c:v>
                </c:pt>
                <c:pt idx="648">
                  <c:v>2012</c:v>
                </c:pt>
                <c:pt idx="649">
                  <c:v>2012</c:v>
                </c:pt>
                <c:pt idx="650">
                  <c:v>2012</c:v>
                </c:pt>
                <c:pt idx="651">
                  <c:v>2012</c:v>
                </c:pt>
                <c:pt idx="652">
                  <c:v>2012</c:v>
                </c:pt>
                <c:pt idx="653">
                  <c:v>2012</c:v>
                </c:pt>
                <c:pt idx="654">
                  <c:v>2012</c:v>
                </c:pt>
                <c:pt idx="655">
                  <c:v>2012</c:v>
                </c:pt>
                <c:pt idx="656">
                  <c:v>2012</c:v>
                </c:pt>
                <c:pt idx="657">
                  <c:v>2012</c:v>
                </c:pt>
                <c:pt idx="658">
                  <c:v>2012</c:v>
                </c:pt>
                <c:pt idx="659">
                  <c:v>2012</c:v>
                </c:pt>
                <c:pt idx="660">
                  <c:v>2012</c:v>
                </c:pt>
                <c:pt idx="661">
                  <c:v>2012</c:v>
                </c:pt>
                <c:pt idx="662">
                  <c:v>2012</c:v>
                </c:pt>
                <c:pt idx="663">
                  <c:v>2012</c:v>
                </c:pt>
                <c:pt idx="664">
                  <c:v>2012</c:v>
                </c:pt>
                <c:pt idx="665">
                  <c:v>2012</c:v>
                </c:pt>
                <c:pt idx="666">
                  <c:v>2012</c:v>
                </c:pt>
                <c:pt idx="667">
                  <c:v>2012</c:v>
                </c:pt>
                <c:pt idx="668">
                  <c:v>2012</c:v>
                </c:pt>
                <c:pt idx="669">
                  <c:v>2012</c:v>
                </c:pt>
                <c:pt idx="670">
                  <c:v>2012</c:v>
                </c:pt>
                <c:pt idx="671">
                  <c:v>2012</c:v>
                </c:pt>
                <c:pt idx="672">
                  <c:v>2012</c:v>
                </c:pt>
                <c:pt idx="673">
                  <c:v>2012</c:v>
                </c:pt>
                <c:pt idx="674">
                  <c:v>2012</c:v>
                </c:pt>
                <c:pt idx="675">
                  <c:v>2012</c:v>
                </c:pt>
                <c:pt idx="676">
                  <c:v>2012</c:v>
                </c:pt>
                <c:pt idx="677">
                  <c:v>2012</c:v>
                </c:pt>
                <c:pt idx="678">
                  <c:v>2012</c:v>
                </c:pt>
                <c:pt idx="679">
                  <c:v>2012</c:v>
                </c:pt>
                <c:pt idx="680">
                  <c:v>2012</c:v>
                </c:pt>
                <c:pt idx="681">
                  <c:v>2012</c:v>
                </c:pt>
                <c:pt idx="682">
                  <c:v>2012</c:v>
                </c:pt>
                <c:pt idx="683">
                  <c:v>2012</c:v>
                </c:pt>
                <c:pt idx="684">
                  <c:v>2012</c:v>
                </c:pt>
                <c:pt idx="685">
                  <c:v>2012</c:v>
                </c:pt>
                <c:pt idx="686">
                  <c:v>2012</c:v>
                </c:pt>
                <c:pt idx="687">
                  <c:v>2012</c:v>
                </c:pt>
                <c:pt idx="688">
                  <c:v>2012</c:v>
                </c:pt>
                <c:pt idx="689">
                  <c:v>2012</c:v>
                </c:pt>
                <c:pt idx="690">
                  <c:v>2012</c:v>
                </c:pt>
                <c:pt idx="691">
                  <c:v>2012</c:v>
                </c:pt>
                <c:pt idx="692">
                  <c:v>2012</c:v>
                </c:pt>
                <c:pt idx="693">
                  <c:v>2012</c:v>
                </c:pt>
                <c:pt idx="694">
                  <c:v>2012</c:v>
                </c:pt>
                <c:pt idx="695">
                  <c:v>2012</c:v>
                </c:pt>
                <c:pt idx="696">
                  <c:v>2012</c:v>
                </c:pt>
                <c:pt idx="697">
                  <c:v>2012</c:v>
                </c:pt>
                <c:pt idx="698">
                  <c:v>2012</c:v>
                </c:pt>
                <c:pt idx="699">
                  <c:v>2012</c:v>
                </c:pt>
                <c:pt idx="700">
                  <c:v>2012</c:v>
                </c:pt>
                <c:pt idx="701">
                  <c:v>2012</c:v>
                </c:pt>
                <c:pt idx="702">
                  <c:v>2012</c:v>
                </c:pt>
                <c:pt idx="703">
                  <c:v>2012</c:v>
                </c:pt>
                <c:pt idx="704">
                  <c:v>2012</c:v>
                </c:pt>
                <c:pt idx="705">
                  <c:v>2012</c:v>
                </c:pt>
                <c:pt idx="706">
                  <c:v>2012</c:v>
                </c:pt>
                <c:pt idx="707">
                  <c:v>2012</c:v>
                </c:pt>
                <c:pt idx="708">
                  <c:v>2012</c:v>
                </c:pt>
                <c:pt idx="709">
                  <c:v>2012</c:v>
                </c:pt>
                <c:pt idx="710">
                  <c:v>2012</c:v>
                </c:pt>
                <c:pt idx="711">
                  <c:v>2012</c:v>
                </c:pt>
                <c:pt idx="712">
                  <c:v>2012</c:v>
                </c:pt>
                <c:pt idx="713">
                  <c:v>2012</c:v>
                </c:pt>
                <c:pt idx="714">
                  <c:v>2012</c:v>
                </c:pt>
                <c:pt idx="715">
                  <c:v>2012</c:v>
                </c:pt>
                <c:pt idx="716">
                  <c:v>2012</c:v>
                </c:pt>
                <c:pt idx="717">
                  <c:v>2012</c:v>
                </c:pt>
                <c:pt idx="718">
                  <c:v>2012</c:v>
                </c:pt>
                <c:pt idx="719">
                  <c:v>2012</c:v>
                </c:pt>
                <c:pt idx="720">
                  <c:v>2012</c:v>
                </c:pt>
                <c:pt idx="721">
                  <c:v>2012</c:v>
                </c:pt>
                <c:pt idx="722">
                  <c:v>2012</c:v>
                </c:pt>
                <c:pt idx="723">
                  <c:v>2012</c:v>
                </c:pt>
                <c:pt idx="724">
                  <c:v>2012</c:v>
                </c:pt>
                <c:pt idx="725">
                  <c:v>2012</c:v>
                </c:pt>
                <c:pt idx="726">
                  <c:v>2012</c:v>
                </c:pt>
                <c:pt idx="727">
                  <c:v>2012</c:v>
                </c:pt>
                <c:pt idx="728">
                  <c:v>2012</c:v>
                </c:pt>
                <c:pt idx="729">
                  <c:v>2012</c:v>
                </c:pt>
                <c:pt idx="730">
                  <c:v>2012</c:v>
                </c:pt>
                <c:pt idx="731">
                  <c:v>2012</c:v>
                </c:pt>
                <c:pt idx="732">
                  <c:v>2012</c:v>
                </c:pt>
                <c:pt idx="733">
                  <c:v>2012</c:v>
                </c:pt>
                <c:pt idx="734">
                  <c:v>2012</c:v>
                </c:pt>
                <c:pt idx="735">
                  <c:v>2012</c:v>
                </c:pt>
                <c:pt idx="736">
                  <c:v>2012</c:v>
                </c:pt>
                <c:pt idx="737">
                  <c:v>2012</c:v>
                </c:pt>
                <c:pt idx="738">
                  <c:v>2012</c:v>
                </c:pt>
                <c:pt idx="739">
                  <c:v>2012</c:v>
                </c:pt>
                <c:pt idx="740">
                  <c:v>2012</c:v>
                </c:pt>
                <c:pt idx="741">
                  <c:v>2012</c:v>
                </c:pt>
                <c:pt idx="742">
                  <c:v>2012</c:v>
                </c:pt>
                <c:pt idx="743">
                  <c:v>2012</c:v>
                </c:pt>
                <c:pt idx="744">
                  <c:v>2012</c:v>
                </c:pt>
                <c:pt idx="745">
                  <c:v>2012</c:v>
                </c:pt>
                <c:pt idx="746">
                  <c:v>2012</c:v>
                </c:pt>
                <c:pt idx="747">
                  <c:v>2012</c:v>
                </c:pt>
                <c:pt idx="748">
                  <c:v>2012</c:v>
                </c:pt>
                <c:pt idx="749">
                  <c:v>2012</c:v>
                </c:pt>
                <c:pt idx="750">
                  <c:v>2011</c:v>
                </c:pt>
                <c:pt idx="751">
                  <c:v>2011</c:v>
                </c:pt>
                <c:pt idx="752">
                  <c:v>2011</c:v>
                </c:pt>
                <c:pt idx="753">
                  <c:v>2011</c:v>
                </c:pt>
                <c:pt idx="754">
                  <c:v>2011</c:v>
                </c:pt>
                <c:pt idx="755">
                  <c:v>2011</c:v>
                </c:pt>
                <c:pt idx="756">
                  <c:v>2011</c:v>
                </c:pt>
                <c:pt idx="757">
                  <c:v>2011</c:v>
                </c:pt>
                <c:pt idx="758">
                  <c:v>2011</c:v>
                </c:pt>
                <c:pt idx="759">
                  <c:v>2011</c:v>
                </c:pt>
                <c:pt idx="760">
                  <c:v>2011</c:v>
                </c:pt>
                <c:pt idx="761">
                  <c:v>2013</c:v>
                </c:pt>
                <c:pt idx="762">
                  <c:v>2013</c:v>
                </c:pt>
                <c:pt idx="763">
                  <c:v>2013</c:v>
                </c:pt>
                <c:pt idx="764">
                  <c:v>2013</c:v>
                </c:pt>
                <c:pt idx="765">
                  <c:v>2013</c:v>
                </c:pt>
                <c:pt idx="766">
                  <c:v>2013</c:v>
                </c:pt>
                <c:pt idx="767">
                  <c:v>2013</c:v>
                </c:pt>
                <c:pt idx="768">
                  <c:v>2013</c:v>
                </c:pt>
                <c:pt idx="769">
                  <c:v>2013</c:v>
                </c:pt>
                <c:pt idx="770">
                  <c:v>2013</c:v>
                </c:pt>
                <c:pt idx="771">
                  <c:v>2013</c:v>
                </c:pt>
                <c:pt idx="772">
                  <c:v>2013</c:v>
                </c:pt>
                <c:pt idx="773">
                  <c:v>2013</c:v>
                </c:pt>
                <c:pt idx="774">
                  <c:v>2013</c:v>
                </c:pt>
                <c:pt idx="775">
                  <c:v>2013</c:v>
                </c:pt>
                <c:pt idx="776">
                  <c:v>2013</c:v>
                </c:pt>
                <c:pt idx="777">
                  <c:v>2013</c:v>
                </c:pt>
                <c:pt idx="778">
                  <c:v>2013</c:v>
                </c:pt>
                <c:pt idx="779">
                  <c:v>2013</c:v>
                </c:pt>
                <c:pt idx="780">
                  <c:v>2013</c:v>
                </c:pt>
                <c:pt idx="781">
                  <c:v>2013</c:v>
                </c:pt>
                <c:pt idx="782">
                  <c:v>2013</c:v>
                </c:pt>
                <c:pt idx="783">
                  <c:v>2013</c:v>
                </c:pt>
                <c:pt idx="784">
                  <c:v>2013</c:v>
                </c:pt>
                <c:pt idx="785">
                  <c:v>2013</c:v>
                </c:pt>
                <c:pt idx="786">
                  <c:v>2013</c:v>
                </c:pt>
                <c:pt idx="787">
                  <c:v>2015</c:v>
                </c:pt>
                <c:pt idx="788">
                  <c:v>2015</c:v>
                </c:pt>
                <c:pt idx="789">
                  <c:v>2015</c:v>
                </c:pt>
                <c:pt idx="790">
                  <c:v>2015</c:v>
                </c:pt>
                <c:pt idx="791">
                  <c:v>2015</c:v>
                </c:pt>
                <c:pt idx="792">
                  <c:v>2015</c:v>
                </c:pt>
                <c:pt idx="793">
                  <c:v>2015</c:v>
                </c:pt>
                <c:pt idx="794">
                  <c:v>2015</c:v>
                </c:pt>
                <c:pt idx="795">
                  <c:v>2015</c:v>
                </c:pt>
                <c:pt idx="796">
                  <c:v>2015</c:v>
                </c:pt>
                <c:pt idx="797">
                  <c:v>2015</c:v>
                </c:pt>
                <c:pt idx="798">
                  <c:v>2014</c:v>
                </c:pt>
                <c:pt idx="799">
                  <c:v>2014</c:v>
                </c:pt>
                <c:pt idx="800">
                  <c:v>2014</c:v>
                </c:pt>
                <c:pt idx="801">
                  <c:v>2014</c:v>
                </c:pt>
                <c:pt idx="802">
                  <c:v>2014</c:v>
                </c:pt>
                <c:pt idx="803">
                  <c:v>2014</c:v>
                </c:pt>
                <c:pt idx="804">
                  <c:v>2014</c:v>
                </c:pt>
                <c:pt idx="805">
                  <c:v>2014</c:v>
                </c:pt>
                <c:pt idx="806">
                  <c:v>2014</c:v>
                </c:pt>
                <c:pt idx="807">
                  <c:v>2014</c:v>
                </c:pt>
                <c:pt idx="808">
                  <c:v>2014</c:v>
                </c:pt>
                <c:pt idx="809">
                  <c:v>2014</c:v>
                </c:pt>
                <c:pt idx="810">
                  <c:v>2014</c:v>
                </c:pt>
                <c:pt idx="811">
                  <c:v>2014</c:v>
                </c:pt>
                <c:pt idx="812">
                  <c:v>2014</c:v>
                </c:pt>
                <c:pt idx="813">
                  <c:v>2014</c:v>
                </c:pt>
                <c:pt idx="814">
                  <c:v>2014</c:v>
                </c:pt>
                <c:pt idx="815">
                  <c:v>2014</c:v>
                </c:pt>
                <c:pt idx="816">
                  <c:v>2014</c:v>
                </c:pt>
                <c:pt idx="817">
                  <c:v>2014</c:v>
                </c:pt>
                <c:pt idx="818">
                  <c:v>2014</c:v>
                </c:pt>
                <c:pt idx="819">
                  <c:v>2014</c:v>
                </c:pt>
                <c:pt idx="820">
                  <c:v>2014</c:v>
                </c:pt>
                <c:pt idx="821">
                  <c:v>2014</c:v>
                </c:pt>
                <c:pt idx="822">
                  <c:v>2014</c:v>
                </c:pt>
                <c:pt idx="823">
                  <c:v>2014</c:v>
                </c:pt>
                <c:pt idx="824">
                  <c:v>2014</c:v>
                </c:pt>
                <c:pt idx="825">
                  <c:v>2014</c:v>
                </c:pt>
                <c:pt idx="826">
                  <c:v>2014</c:v>
                </c:pt>
                <c:pt idx="827">
                  <c:v>2014</c:v>
                </c:pt>
                <c:pt idx="828">
                  <c:v>2014</c:v>
                </c:pt>
                <c:pt idx="829">
                  <c:v>2014</c:v>
                </c:pt>
                <c:pt idx="830">
                  <c:v>2014</c:v>
                </c:pt>
                <c:pt idx="831">
                  <c:v>2014</c:v>
                </c:pt>
                <c:pt idx="832">
                  <c:v>2014</c:v>
                </c:pt>
                <c:pt idx="833">
                  <c:v>2014</c:v>
                </c:pt>
                <c:pt idx="834">
                  <c:v>2014</c:v>
                </c:pt>
                <c:pt idx="835">
                  <c:v>2014</c:v>
                </c:pt>
                <c:pt idx="836">
                  <c:v>2014</c:v>
                </c:pt>
                <c:pt idx="837">
                  <c:v>2014</c:v>
                </c:pt>
                <c:pt idx="838">
                  <c:v>2014</c:v>
                </c:pt>
                <c:pt idx="839">
                  <c:v>2014</c:v>
                </c:pt>
                <c:pt idx="840">
                  <c:v>2014</c:v>
                </c:pt>
                <c:pt idx="841">
                  <c:v>2014</c:v>
                </c:pt>
                <c:pt idx="842">
                  <c:v>2014</c:v>
                </c:pt>
                <c:pt idx="843">
                  <c:v>2014</c:v>
                </c:pt>
                <c:pt idx="844">
                  <c:v>2014</c:v>
                </c:pt>
                <c:pt idx="845">
                  <c:v>2014</c:v>
                </c:pt>
                <c:pt idx="846">
                  <c:v>2014</c:v>
                </c:pt>
                <c:pt idx="847">
                  <c:v>2014</c:v>
                </c:pt>
                <c:pt idx="848">
                  <c:v>2014</c:v>
                </c:pt>
                <c:pt idx="849">
                  <c:v>2014</c:v>
                </c:pt>
                <c:pt idx="850">
                  <c:v>2014</c:v>
                </c:pt>
                <c:pt idx="851">
                  <c:v>2014</c:v>
                </c:pt>
                <c:pt idx="852">
                  <c:v>2014</c:v>
                </c:pt>
                <c:pt idx="853">
                  <c:v>2014</c:v>
                </c:pt>
                <c:pt idx="854">
                  <c:v>2014</c:v>
                </c:pt>
                <c:pt idx="855">
                  <c:v>2014</c:v>
                </c:pt>
                <c:pt idx="856">
                  <c:v>2014</c:v>
                </c:pt>
                <c:pt idx="857">
                  <c:v>2014</c:v>
                </c:pt>
                <c:pt idx="858">
                  <c:v>2014</c:v>
                </c:pt>
                <c:pt idx="859">
                  <c:v>2014</c:v>
                </c:pt>
                <c:pt idx="860">
                  <c:v>2014</c:v>
                </c:pt>
                <c:pt idx="861">
                  <c:v>2014</c:v>
                </c:pt>
                <c:pt idx="862">
                  <c:v>2014</c:v>
                </c:pt>
                <c:pt idx="863">
                  <c:v>2014</c:v>
                </c:pt>
                <c:pt idx="864">
                  <c:v>2014</c:v>
                </c:pt>
                <c:pt idx="865">
                  <c:v>2014</c:v>
                </c:pt>
                <c:pt idx="866">
                  <c:v>2014</c:v>
                </c:pt>
                <c:pt idx="867">
                  <c:v>2014</c:v>
                </c:pt>
                <c:pt idx="868">
                  <c:v>2014</c:v>
                </c:pt>
                <c:pt idx="869">
                  <c:v>2014</c:v>
                </c:pt>
                <c:pt idx="870">
                  <c:v>2014</c:v>
                </c:pt>
                <c:pt idx="871">
                  <c:v>2014</c:v>
                </c:pt>
                <c:pt idx="872">
                  <c:v>2014</c:v>
                </c:pt>
                <c:pt idx="873">
                  <c:v>2014</c:v>
                </c:pt>
                <c:pt idx="874">
                  <c:v>2014</c:v>
                </c:pt>
                <c:pt idx="875">
                  <c:v>2014</c:v>
                </c:pt>
                <c:pt idx="876">
                  <c:v>2014</c:v>
                </c:pt>
                <c:pt idx="877">
                  <c:v>2014</c:v>
                </c:pt>
                <c:pt idx="878">
                  <c:v>2014</c:v>
                </c:pt>
                <c:pt idx="879">
                  <c:v>2014</c:v>
                </c:pt>
                <c:pt idx="880">
                  <c:v>2014</c:v>
                </c:pt>
                <c:pt idx="881">
                  <c:v>2014</c:v>
                </c:pt>
                <c:pt idx="882">
                  <c:v>2014</c:v>
                </c:pt>
                <c:pt idx="883">
                  <c:v>2014</c:v>
                </c:pt>
                <c:pt idx="884">
                  <c:v>2014</c:v>
                </c:pt>
                <c:pt idx="885">
                  <c:v>2014</c:v>
                </c:pt>
                <c:pt idx="886">
                  <c:v>2014</c:v>
                </c:pt>
                <c:pt idx="887">
                  <c:v>2013</c:v>
                </c:pt>
                <c:pt idx="888">
                  <c:v>2013</c:v>
                </c:pt>
                <c:pt idx="889">
                  <c:v>2013</c:v>
                </c:pt>
                <c:pt idx="890">
                  <c:v>2013</c:v>
                </c:pt>
                <c:pt idx="891">
                  <c:v>2013</c:v>
                </c:pt>
                <c:pt idx="892">
                  <c:v>2013</c:v>
                </c:pt>
                <c:pt idx="893">
                  <c:v>2013</c:v>
                </c:pt>
                <c:pt idx="894">
                  <c:v>2015</c:v>
                </c:pt>
                <c:pt idx="895">
                  <c:v>2015</c:v>
                </c:pt>
                <c:pt idx="896">
                  <c:v>2015</c:v>
                </c:pt>
                <c:pt idx="897">
                  <c:v>2015</c:v>
                </c:pt>
                <c:pt idx="898">
                  <c:v>2015</c:v>
                </c:pt>
                <c:pt idx="899">
                  <c:v>2015</c:v>
                </c:pt>
                <c:pt idx="900">
                  <c:v>2015</c:v>
                </c:pt>
                <c:pt idx="901">
                  <c:v>2015</c:v>
                </c:pt>
                <c:pt idx="902">
                  <c:v>2015</c:v>
                </c:pt>
                <c:pt idx="903">
                  <c:v>2015</c:v>
                </c:pt>
                <c:pt idx="904">
                  <c:v>2015</c:v>
                </c:pt>
                <c:pt idx="905">
                  <c:v>2015</c:v>
                </c:pt>
                <c:pt idx="906">
                  <c:v>2015</c:v>
                </c:pt>
                <c:pt idx="907">
                  <c:v>2015</c:v>
                </c:pt>
                <c:pt idx="908">
                  <c:v>2015</c:v>
                </c:pt>
                <c:pt idx="909">
                  <c:v>2015</c:v>
                </c:pt>
                <c:pt idx="910">
                  <c:v>2015</c:v>
                </c:pt>
                <c:pt idx="911">
                  <c:v>2015</c:v>
                </c:pt>
                <c:pt idx="912">
                  <c:v>2015</c:v>
                </c:pt>
                <c:pt idx="913">
                  <c:v>2015</c:v>
                </c:pt>
                <c:pt idx="914">
                  <c:v>2015</c:v>
                </c:pt>
                <c:pt idx="915">
                  <c:v>2015</c:v>
                </c:pt>
                <c:pt idx="916">
                  <c:v>2015</c:v>
                </c:pt>
                <c:pt idx="917">
                  <c:v>2015</c:v>
                </c:pt>
                <c:pt idx="918">
                  <c:v>2015</c:v>
                </c:pt>
                <c:pt idx="919">
                  <c:v>2015</c:v>
                </c:pt>
                <c:pt idx="920">
                  <c:v>2015</c:v>
                </c:pt>
                <c:pt idx="921">
                  <c:v>2015</c:v>
                </c:pt>
                <c:pt idx="922">
                  <c:v>2015</c:v>
                </c:pt>
                <c:pt idx="923">
                  <c:v>2014</c:v>
                </c:pt>
                <c:pt idx="924">
                  <c:v>2014</c:v>
                </c:pt>
                <c:pt idx="925">
                  <c:v>2014</c:v>
                </c:pt>
                <c:pt idx="926">
                  <c:v>2014</c:v>
                </c:pt>
                <c:pt idx="927">
                  <c:v>2014</c:v>
                </c:pt>
                <c:pt idx="928">
                  <c:v>2014</c:v>
                </c:pt>
                <c:pt idx="929">
                  <c:v>2014</c:v>
                </c:pt>
                <c:pt idx="930">
                  <c:v>2014</c:v>
                </c:pt>
                <c:pt idx="931">
                  <c:v>2014</c:v>
                </c:pt>
                <c:pt idx="932">
                  <c:v>2014</c:v>
                </c:pt>
                <c:pt idx="933">
                  <c:v>2014</c:v>
                </c:pt>
                <c:pt idx="934">
                  <c:v>2014</c:v>
                </c:pt>
                <c:pt idx="935">
                  <c:v>2012</c:v>
                </c:pt>
                <c:pt idx="936">
                  <c:v>2012</c:v>
                </c:pt>
                <c:pt idx="937">
                  <c:v>2013</c:v>
                </c:pt>
                <c:pt idx="938">
                  <c:v>2013</c:v>
                </c:pt>
                <c:pt idx="939">
                  <c:v>2013</c:v>
                </c:pt>
                <c:pt idx="940">
                  <c:v>2013</c:v>
                </c:pt>
                <c:pt idx="941">
                  <c:v>2013</c:v>
                </c:pt>
                <c:pt idx="942">
                  <c:v>2013</c:v>
                </c:pt>
                <c:pt idx="943">
                  <c:v>2015</c:v>
                </c:pt>
                <c:pt idx="944">
                  <c:v>2015</c:v>
                </c:pt>
                <c:pt idx="945">
                  <c:v>2015</c:v>
                </c:pt>
                <c:pt idx="946">
                  <c:v>2015</c:v>
                </c:pt>
                <c:pt idx="947">
                  <c:v>2015</c:v>
                </c:pt>
                <c:pt idx="948">
                  <c:v>2015</c:v>
                </c:pt>
                <c:pt idx="949">
                  <c:v>2015</c:v>
                </c:pt>
                <c:pt idx="950">
                  <c:v>2015</c:v>
                </c:pt>
                <c:pt idx="951">
                  <c:v>2015</c:v>
                </c:pt>
                <c:pt idx="952">
                  <c:v>2015</c:v>
                </c:pt>
                <c:pt idx="953">
                  <c:v>2015</c:v>
                </c:pt>
                <c:pt idx="954">
                  <c:v>2014</c:v>
                </c:pt>
                <c:pt idx="955">
                  <c:v>2014</c:v>
                </c:pt>
                <c:pt idx="956">
                  <c:v>2014</c:v>
                </c:pt>
                <c:pt idx="957">
                  <c:v>2014</c:v>
                </c:pt>
                <c:pt idx="958">
                  <c:v>2014</c:v>
                </c:pt>
                <c:pt idx="959">
                  <c:v>2014</c:v>
                </c:pt>
                <c:pt idx="960">
                  <c:v>2014</c:v>
                </c:pt>
                <c:pt idx="961">
                  <c:v>2014</c:v>
                </c:pt>
                <c:pt idx="962">
                  <c:v>2014</c:v>
                </c:pt>
                <c:pt idx="963">
                  <c:v>2014</c:v>
                </c:pt>
                <c:pt idx="964">
                  <c:v>2014</c:v>
                </c:pt>
                <c:pt idx="965">
                  <c:v>2014</c:v>
                </c:pt>
                <c:pt idx="966">
                  <c:v>2014</c:v>
                </c:pt>
                <c:pt idx="967">
                  <c:v>2014</c:v>
                </c:pt>
                <c:pt idx="968">
                  <c:v>2014</c:v>
                </c:pt>
                <c:pt idx="969">
                  <c:v>2014</c:v>
                </c:pt>
                <c:pt idx="970">
                  <c:v>2014</c:v>
                </c:pt>
                <c:pt idx="971">
                  <c:v>2014</c:v>
                </c:pt>
                <c:pt idx="972">
                  <c:v>2014</c:v>
                </c:pt>
                <c:pt idx="973">
                  <c:v>2014</c:v>
                </c:pt>
                <c:pt idx="974">
                  <c:v>2014</c:v>
                </c:pt>
                <c:pt idx="975">
                  <c:v>2014</c:v>
                </c:pt>
                <c:pt idx="976">
                  <c:v>2014</c:v>
                </c:pt>
                <c:pt idx="977">
                  <c:v>2014</c:v>
                </c:pt>
                <c:pt idx="978">
                  <c:v>2014</c:v>
                </c:pt>
                <c:pt idx="979">
                  <c:v>2014</c:v>
                </c:pt>
                <c:pt idx="980">
                  <c:v>2014</c:v>
                </c:pt>
                <c:pt idx="981">
                  <c:v>2014</c:v>
                </c:pt>
                <c:pt idx="982">
                  <c:v>2014</c:v>
                </c:pt>
                <c:pt idx="983">
                  <c:v>2013</c:v>
                </c:pt>
                <c:pt idx="984">
                  <c:v>2013</c:v>
                </c:pt>
                <c:pt idx="985">
                  <c:v>2013</c:v>
                </c:pt>
                <c:pt idx="986">
                  <c:v>2013</c:v>
                </c:pt>
                <c:pt idx="987">
                  <c:v>2013</c:v>
                </c:pt>
                <c:pt idx="988">
                  <c:v>2013</c:v>
                </c:pt>
                <c:pt idx="989">
                  <c:v>2013</c:v>
                </c:pt>
                <c:pt idx="990">
                  <c:v>2013</c:v>
                </c:pt>
                <c:pt idx="991">
                  <c:v>2013</c:v>
                </c:pt>
                <c:pt idx="992">
                  <c:v>2013</c:v>
                </c:pt>
                <c:pt idx="993">
                  <c:v>2013</c:v>
                </c:pt>
                <c:pt idx="994">
                  <c:v>2013</c:v>
                </c:pt>
                <c:pt idx="995">
                  <c:v>2013</c:v>
                </c:pt>
                <c:pt idx="996">
                  <c:v>2013</c:v>
                </c:pt>
                <c:pt idx="997">
                  <c:v>2013</c:v>
                </c:pt>
                <c:pt idx="998">
                  <c:v>2013</c:v>
                </c:pt>
                <c:pt idx="999">
                  <c:v>2013</c:v>
                </c:pt>
                <c:pt idx="1000">
                  <c:v>2013</c:v>
                </c:pt>
                <c:pt idx="1001">
                  <c:v>2013</c:v>
                </c:pt>
                <c:pt idx="1002">
                  <c:v>2013</c:v>
                </c:pt>
                <c:pt idx="1003">
                  <c:v>2013</c:v>
                </c:pt>
                <c:pt idx="1004">
                  <c:v>2013</c:v>
                </c:pt>
                <c:pt idx="1005">
                  <c:v>2013</c:v>
                </c:pt>
                <c:pt idx="1006">
                  <c:v>2014</c:v>
                </c:pt>
                <c:pt idx="1007">
                  <c:v>2014</c:v>
                </c:pt>
                <c:pt idx="1008">
                  <c:v>2014</c:v>
                </c:pt>
                <c:pt idx="1009">
                  <c:v>2014</c:v>
                </c:pt>
                <c:pt idx="1010">
                  <c:v>2014</c:v>
                </c:pt>
                <c:pt idx="1011">
                  <c:v>2014</c:v>
                </c:pt>
                <c:pt idx="1012">
                  <c:v>2014</c:v>
                </c:pt>
                <c:pt idx="1013">
                  <c:v>2014</c:v>
                </c:pt>
                <c:pt idx="1014">
                  <c:v>2014</c:v>
                </c:pt>
                <c:pt idx="1015">
                  <c:v>2014</c:v>
                </c:pt>
                <c:pt idx="1016">
                  <c:v>2014</c:v>
                </c:pt>
                <c:pt idx="1017">
                  <c:v>2014</c:v>
                </c:pt>
                <c:pt idx="1018">
                  <c:v>2014</c:v>
                </c:pt>
                <c:pt idx="1019">
                  <c:v>2014</c:v>
                </c:pt>
                <c:pt idx="1020">
                  <c:v>2014</c:v>
                </c:pt>
                <c:pt idx="1021">
                  <c:v>2014</c:v>
                </c:pt>
                <c:pt idx="1022">
                  <c:v>2014</c:v>
                </c:pt>
                <c:pt idx="1023">
                  <c:v>2014</c:v>
                </c:pt>
                <c:pt idx="1024">
                  <c:v>2014</c:v>
                </c:pt>
                <c:pt idx="1025">
                  <c:v>2014</c:v>
                </c:pt>
                <c:pt idx="1026">
                  <c:v>2014</c:v>
                </c:pt>
                <c:pt idx="1027">
                  <c:v>2014</c:v>
                </c:pt>
                <c:pt idx="1028">
                  <c:v>2014</c:v>
                </c:pt>
                <c:pt idx="1029">
                  <c:v>2014</c:v>
                </c:pt>
                <c:pt idx="1030">
                  <c:v>2014</c:v>
                </c:pt>
                <c:pt idx="1031">
                  <c:v>2014</c:v>
                </c:pt>
                <c:pt idx="1032">
                  <c:v>2014</c:v>
                </c:pt>
                <c:pt idx="1033">
                  <c:v>2014</c:v>
                </c:pt>
                <c:pt idx="1034">
                  <c:v>2014</c:v>
                </c:pt>
                <c:pt idx="1035">
                  <c:v>2014</c:v>
                </c:pt>
                <c:pt idx="1036">
                  <c:v>2014</c:v>
                </c:pt>
                <c:pt idx="1037">
                  <c:v>2014</c:v>
                </c:pt>
                <c:pt idx="1038">
                  <c:v>2014</c:v>
                </c:pt>
                <c:pt idx="1039">
                  <c:v>2014</c:v>
                </c:pt>
                <c:pt idx="1040">
                  <c:v>2014</c:v>
                </c:pt>
                <c:pt idx="1041">
                  <c:v>2013</c:v>
                </c:pt>
                <c:pt idx="1042">
                  <c:v>2013</c:v>
                </c:pt>
                <c:pt idx="1043">
                  <c:v>2013</c:v>
                </c:pt>
                <c:pt idx="1044">
                  <c:v>2013</c:v>
                </c:pt>
                <c:pt idx="1045">
                  <c:v>2013</c:v>
                </c:pt>
                <c:pt idx="1046">
                  <c:v>2013</c:v>
                </c:pt>
                <c:pt idx="1047">
                  <c:v>2013</c:v>
                </c:pt>
                <c:pt idx="1048">
                  <c:v>2013</c:v>
                </c:pt>
                <c:pt idx="1049">
                  <c:v>2013</c:v>
                </c:pt>
                <c:pt idx="1050">
                  <c:v>2013</c:v>
                </c:pt>
                <c:pt idx="1051">
                  <c:v>2013</c:v>
                </c:pt>
                <c:pt idx="1052">
                  <c:v>2013</c:v>
                </c:pt>
                <c:pt idx="1053">
                  <c:v>2013</c:v>
                </c:pt>
                <c:pt idx="1054">
                  <c:v>2013</c:v>
                </c:pt>
                <c:pt idx="1055">
                  <c:v>2013</c:v>
                </c:pt>
                <c:pt idx="1056">
                  <c:v>2013</c:v>
                </c:pt>
                <c:pt idx="1057">
                  <c:v>2013</c:v>
                </c:pt>
                <c:pt idx="1058">
                  <c:v>2013</c:v>
                </c:pt>
                <c:pt idx="1059">
                  <c:v>2013</c:v>
                </c:pt>
                <c:pt idx="1060">
                  <c:v>2013</c:v>
                </c:pt>
                <c:pt idx="1061">
                  <c:v>2013</c:v>
                </c:pt>
                <c:pt idx="1062">
                  <c:v>2013</c:v>
                </c:pt>
                <c:pt idx="1063">
                  <c:v>2013</c:v>
                </c:pt>
                <c:pt idx="1064">
                  <c:v>2013</c:v>
                </c:pt>
                <c:pt idx="1065">
                  <c:v>2013</c:v>
                </c:pt>
                <c:pt idx="1066">
                  <c:v>2013</c:v>
                </c:pt>
                <c:pt idx="1067">
                  <c:v>2013</c:v>
                </c:pt>
                <c:pt idx="1068">
                  <c:v>2013</c:v>
                </c:pt>
                <c:pt idx="1069">
                  <c:v>2013</c:v>
                </c:pt>
                <c:pt idx="1070">
                  <c:v>2013</c:v>
                </c:pt>
                <c:pt idx="1071">
                  <c:v>2013</c:v>
                </c:pt>
                <c:pt idx="1072">
                  <c:v>2013</c:v>
                </c:pt>
                <c:pt idx="1073">
                  <c:v>2013</c:v>
                </c:pt>
                <c:pt idx="1074">
                  <c:v>2013</c:v>
                </c:pt>
                <c:pt idx="1075">
                  <c:v>2013</c:v>
                </c:pt>
                <c:pt idx="1076">
                  <c:v>2013</c:v>
                </c:pt>
                <c:pt idx="1077">
                  <c:v>2013</c:v>
                </c:pt>
                <c:pt idx="1078">
                  <c:v>2013</c:v>
                </c:pt>
                <c:pt idx="1079">
                  <c:v>2013</c:v>
                </c:pt>
                <c:pt idx="1080">
                  <c:v>2013</c:v>
                </c:pt>
                <c:pt idx="1081">
                  <c:v>2013</c:v>
                </c:pt>
                <c:pt idx="1082">
                  <c:v>2013</c:v>
                </c:pt>
                <c:pt idx="1083">
                  <c:v>2013</c:v>
                </c:pt>
                <c:pt idx="1084">
                  <c:v>2013</c:v>
                </c:pt>
                <c:pt idx="1085">
                  <c:v>2013</c:v>
                </c:pt>
                <c:pt idx="1086">
                  <c:v>2011</c:v>
                </c:pt>
                <c:pt idx="1087">
                  <c:v>2011</c:v>
                </c:pt>
                <c:pt idx="1088">
                  <c:v>2011</c:v>
                </c:pt>
                <c:pt idx="1089">
                  <c:v>2011</c:v>
                </c:pt>
                <c:pt idx="1090">
                  <c:v>2011</c:v>
                </c:pt>
                <c:pt idx="1091">
                  <c:v>2011</c:v>
                </c:pt>
                <c:pt idx="1092">
                  <c:v>2011</c:v>
                </c:pt>
                <c:pt idx="1093">
                  <c:v>2011</c:v>
                </c:pt>
                <c:pt idx="1094">
                  <c:v>2011</c:v>
                </c:pt>
                <c:pt idx="1095">
                  <c:v>2011</c:v>
                </c:pt>
                <c:pt idx="1096">
                  <c:v>2011</c:v>
                </c:pt>
                <c:pt idx="1097">
                  <c:v>2011</c:v>
                </c:pt>
                <c:pt idx="1098">
                  <c:v>2011</c:v>
                </c:pt>
                <c:pt idx="1099">
                  <c:v>2011</c:v>
                </c:pt>
                <c:pt idx="1100">
                  <c:v>2011</c:v>
                </c:pt>
                <c:pt idx="1101">
                  <c:v>2011</c:v>
                </c:pt>
                <c:pt idx="1102">
                  <c:v>2011</c:v>
                </c:pt>
                <c:pt idx="1103">
                  <c:v>2011</c:v>
                </c:pt>
                <c:pt idx="1104">
                  <c:v>2011</c:v>
                </c:pt>
                <c:pt idx="1105">
                  <c:v>2011</c:v>
                </c:pt>
                <c:pt idx="1106">
                  <c:v>2011</c:v>
                </c:pt>
                <c:pt idx="1107">
                  <c:v>2011</c:v>
                </c:pt>
                <c:pt idx="1108">
                  <c:v>2011</c:v>
                </c:pt>
                <c:pt idx="1109">
                  <c:v>2011</c:v>
                </c:pt>
                <c:pt idx="1110">
                  <c:v>2011</c:v>
                </c:pt>
                <c:pt idx="1111">
                  <c:v>2011</c:v>
                </c:pt>
                <c:pt idx="1112">
                  <c:v>2014</c:v>
                </c:pt>
                <c:pt idx="1113">
                  <c:v>2014</c:v>
                </c:pt>
                <c:pt idx="1114">
                  <c:v>2014</c:v>
                </c:pt>
                <c:pt idx="1115">
                  <c:v>2014</c:v>
                </c:pt>
                <c:pt idx="1116">
                  <c:v>2014</c:v>
                </c:pt>
                <c:pt idx="1117">
                  <c:v>2014</c:v>
                </c:pt>
                <c:pt idx="1118">
                  <c:v>2014</c:v>
                </c:pt>
                <c:pt idx="1119">
                  <c:v>2014</c:v>
                </c:pt>
                <c:pt idx="1120">
                  <c:v>2015</c:v>
                </c:pt>
                <c:pt idx="1121">
                  <c:v>2015</c:v>
                </c:pt>
                <c:pt idx="1122">
                  <c:v>2015</c:v>
                </c:pt>
                <c:pt idx="1123">
                  <c:v>2015</c:v>
                </c:pt>
                <c:pt idx="1124">
                  <c:v>2015</c:v>
                </c:pt>
                <c:pt idx="1125">
                  <c:v>2015</c:v>
                </c:pt>
                <c:pt idx="1126">
                  <c:v>2015</c:v>
                </c:pt>
                <c:pt idx="1127">
                  <c:v>2015</c:v>
                </c:pt>
                <c:pt idx="1128">
                  <c:v>2015</c:v>
                </c:pt>
                <c:pt idx="1129">
                  <c:v>2015</c:v>
                </c:pt>
                <c:pt idx="1130">
                  <c:v>2015</c:v>
                </c:pt>
                <c:pt idx="1131">
                  <c:v>2015</c:v>
                </c:pt>
                <c:pt idx="1132">
                  <c:v>2015</c:v>
                </c:pt>
                <c:pt idx="1133">
                  <c:v>2015</c:v>
                </c:pt>
                <c:pt idx="1134">
                  <c:v>2015</c:v>
                </c:pt>
                <c:pt idx="1135">
                  <c:v>2015</c:v>
                </c:pt>
                <c:pt idx="1136">
                  <c:v>2015</c:v>
                </c:pt>
                <c:pt idx="1137">
                  <c:v>2015</c:v>
                </c:pt>
                <c:pt idx="1138">
                  <c:v>2015</c:v>
                </c:pt>
                <c:pt idx="1139">
                  <c:v>2014</c:v>
                </c:pt>
                <c:pt idx="1140">
                  <c:v>2014</c:v>
                </c:pt>
                <c:pt idx="1141">
                  <c:v>2014</c:v>
                </c:pt>
                <c:pt idx="1142">
                  <c:v>2014</c:v>
                </c:pt>
                <c:pt idx="1143">
                  <c:v>2014</c:v>
                </c:pt>
                <c:pt idx="1144">
                  <c:v>2014</c:v>
                </c:pt>
                <c:pt idx="1145">
                  <c:v>2014</c:v>
                </c:pt>
                <c:pt idx="1146">
                  <c:v>2014</c:v>
                </c:pt>
                <c:pt idx="1147">
                  <c:v>2014</c:v>
                </c:pt>
                <c:pt idx="1148">
                  <c:v>2014</c:v>
                </c:pt>
                <c:pt idx="1149">
                  <c:v>2014</c:v>
                </c:pt>
                <c:pt idx="1150">
                  <c:v>2014</c:v>
                </c:pt>
                <c:pt idx="1151">
                  <c:v>2014</c:v>
                </c:pt>
                <c:pt idx="1152">
                  <c:v>2014</c:v>
                </c:pt>
                <c:pt idx="1153">
                  <c:v>2014</c:v>
                </c:pt>
                <c:pt idx="1154">
                  <c:v>2014</c:v>
                </c:pt>
                <c:pt idx="1155">
                  <c:v>2014</c:v>
                </c:pt>
                <c:pt idx="1156">
                  <c:v>2014</c:v>
                </c:pt>
                <c:pt idx="1157">
                  <c:v>2014</c:v>
                </c:pt>
                <c:pt idx="1158">
                  <c:v>2014</c:v>
                </c:pt>
                <c:pt idx="1159">
                  <c:v>2014</c:v>
                </c:pt>
                <c:pt idx="1160">
                  <c:v>2014</c:v>
                </c:pt>
                <c:pt idx="1161">
                  <c:v>2014</c:v>
                </c:pt>
                <c:pt idx="1162">
                  <c:v>2014</c:v>
                </c:pt>
                <c:pt idx="1163">
                  <c:v>2014</c:v>
                </c:pt>
                <c:pt idx="1164">
                  <c:v>2014</c:v>
                </c:pt>
                <c:pt idx="1165">
                  <c:v>2014</c:v>
                </c:pt>
                <c:pt idx="1166">
                  <c:v>2014</c:v>
                </c:pt>
                <c:pt idx="1167">
                  <c:v>2014</c:v>
                </c:pt>
                <c:pt idx="1168">
                  <c:v>2014</c:v>
                </c:pt>
                <c:pt idx="1169">
                  <c:v>2014</c:v>
                </c:pt>
                <c:pt idx="1170">
                  <c:v>2014</c:v>
                </c:pt>
                <c:pt idx="1171">
                  <c:v>2014</c:v>
                </c:pt>
                <c:pt idx="1172">
                  <c:v>2014</c:v>
                </c:pt>
                <c:pt idx="1173">
                  <c:v>2014</c:v>
                </c:pt>
                <c:pt idx="1174">
                  <c:v>2014</c:v>
                </c:pt>
                <c:pt idx="1175">
                  <c:v>2014</c:v>
                </c:pt>
                <c:pt idx="1176">
                  <c:v>2014</c:v>
                </c:pt>
                <c:pt idx="1177">
                  <c:v>2014</c:v>
                </c:pt>
                <c:pt idx="1178">
                  <c:v>2014</c:v>
                </c:pt>
                <c:pt idx="1179">
                  <c:v>2014</c:v>
                </c:pt>
                <c:pt idx="1180">
                  <c:v>2014</c:v>
                </c:pt>
                <c:pt idx="1181">
                  <c:v>2014</c:v>
                </c:pt>
                <c:pt idx="1182">
                  <c:v>2014</c:v>
                </c:pt>
                <c:pt idx="1183">
                  <c:v>2014</c:v>
                </c:pt>
                <c:pt idx="1184">
                  <c:v>2014</c:v>
                </c:pt>
                <c:pt idx="1185">
                  <c:v>2014</c:v>
                </c:pt>
                <c:pt idx="1186">
                  <c:v>2014</c:v>
                </c:pt>
                <c:pt idx="1187">
                  <c:v>2014</c:v>
                </c:pt>
                <c:pt idx="1188">
                  <c:v>2014</c:v>
                </c:pt>
                <c:pt idx="1189">
                  <c:v>2014</c:v>
                </c:pt>
                <c:pt idx="1190">
                  <c:v>2014</c:v>
                </c:pt>
                <c:pt idx="1191">
                  <c:v>2014</c:v>
                </c:pt>
                <c:pt idx="1192">
                  <c:v>2014</c:v>
                </c:pt>
                <c:pt idx="1193">
                  <c:v>2014</c:v>
                </c:pt>
                <c:pt idx="1194">
                  <c:v>2014</c:v>
                </c:pt>
                <c:pt idx="1195">
                  <c:v>2014</c:v>
                </c:pt>
                <c:pt idx="1196">
                  <c:v>2014</c:v>
                </c:pt>
                <c:pt idx="1197">
                  <c:v>2014</c:v>
                </c:pt>
                <c:pt idx="1198">
                  <c:v>2014</c:v>
                </c:pt>
                <c:pt idx="1199">
                  <c:v>2014</c:v>
                </c:pt>
                <c:pt idx="1200">
                  <c:v>2014</c:v>
                </c:pt>
                <c:pt idx="1201">
                  <c:v>2014</c:v>
                </c:pt>
                <c:pt idx="1202">
                  <c:v>2014</c:v>
                </c:pt>
                <c:pt idx="1203">
                  <c:v>2014</c:v>
                </c:pt>
                <c:pt idx="1204">
                  <c:v>2014</c:v>
                </c:pt>
                <c:pt idx="1205">
                  <c:v>2014</c:v>
                </c:pt>
                <c:pt idx="1206">
                  <c:v>2014</c:v>
                </c:pt>
                <c:pt idx="1207">
                  <c:v>2014</c:v>
                </c:pt>
                <c:pt idx="1208">
                  <c:v>2014</c:v>
                </c:pt>
                <c:pt idx="1209">
                  <c:v>2014</c:v>
                </c:pt>
                <c:pt idx="1210">
                  <c:v>2004</c:v>
                </c:pt>
              </c:numCache>
            </c:numRef>
          </c:xVal>
          <c:yVal>
            <c:numRef>
              <c:f>Data!$G$6:$G$1216</c:f>
              <c:numCache>
                <c:formatCode>0</c:formatCode>
                <c:ptCount val="1211"/>
                <c:pt idx="0">
                  <c:v>302.91688828027304</c:v>
                </c:pt>
                <c:pt idx="1">
                  <c:v>302.91688828027304</c:v>
                </c:pt>
                <c:pt idx="2">
                  <c:v>302.91688828027304</c:v>
                </c:pt>
                <c:pt idx="3">
                  <c:v>302.91688828027304</c:v>
                </c:pt>
                <c:pt idx="4">
                  <c:v>302.91688828027304</c:v>
                </c:pt>
                <c:pt idx="5">
                  <c:v>302.91688828027304</c:v>
                </c:pt>
                <c:pt idx="6">
                  <c:v>302.91688828027304</c:v>
                </c:pt>
                <c:pt idx="7">
                  <c:v>302.91688828027304</c:v>
                </c:pt>
                <c:pt idx="8">
                  <c:v>302.91688828027304</c:v>
                </c:pt>
                <c:pt idx="9">
                  <c:v>302.91688828027304</c:v>
                </c:pt>
                <c:pt idx="10">
                  <c:v>24.898629037440497</c:v>
                </c:pt>
                <c:pt idx="11">
                  <c:v>24.898629037440497</c:v>
                </c:pt>
                <c:pt idx="12">
                  <c:v>0.54068731338998477</c:v>
                </c:pt>
                <c:pt idx="13">
                  <c:v>24.898629037440497</c:v>
                </c:pt>
                <c:pt idx="14">
                  <c:v>28.094581622231551</c:v>
                </c:pt>
                <c:pt idx="15">
                  <c:v>28.094581622231551</c:v>
                </c:pt>
                <c:pt idx="16">
                  <c:v>28.094581622231551</c:v>
                </c:pt>
                <c:pt idx="17">
                  <c:v>24.898629037440497</c:v>
                </c:pt>
                <c:pt idx="18">
                  <c:v>28.094581622231551</c:v>
                </c:pt>
                <c:pt idx="19">
                  <c:v>28.094581622231551</c:v>
                </c:pt>
                <c:pt idx="20">
                  <c:v>28.094581622231551</c:v>
                </c:pt>
                <c:pt idx="21">
                  <c:v>28.094581622231551</c:v>
                </c:pt>
                <c:pt idx="22">
                  <c:v>28.094581622231551</c:v>
                </c:pt>
                <c:pt idx="23">
                  <c:v>28.094581622231551</c:v>
                </c:pt>
                <c:pt idx="24">
                  <c:v>28.094581622231551</c:v>
                </c:pt>
                <c:pt idx="25">
                  <c:v>28.094581622231551</c:v>
                </c:pt>
                <c:pt idx="26">
                  <c:v>28.094581622231551</c:v>
                </c:pt>
                <c:pt idx="27">
                  <c:v>28.094581622231551</c:v>
                </c:pt>
                <c:pt idx="28">
                  <c:v>28.094581622231551</c:v>
                </c:pt>
                <c:pt idx="29">
                  <c:v>28.094581622231551</c:v>
                </c:pt>
                <c:pt idx="30">
                  <c:v>28.094581622231551</c:v>
                </c:pt>
                <c:pt idx="31">
                  <c:v>28.094581622231551</c:v>
                </c:pt>
                <c:pt idx="32">
                  <c:v>28.094581622231551</c:v>
                </c:pt>
                <c:pt idx="33">
                  <c:v>28.094581622231551</c:v>
                </c:pt>
                <c:pt idx="34">
                  <c:v>28.094581622231551</c:v>
                </c:pt>
                <c:pt idx="35">
                  <c:v>28.094581622231551</c:v>
                </c:pt>
                <c:pt idx="36">
                  <c:v>28.094581622231551</c:v>
                </c:pt>
                <c:pt idx="37">
                  <c:v>28.094581622231551</c:v>
                </c:pt>
                <c:pt idx="38">
                  <c:v>28.094581622231551</c:v>
                </c:pt>
                <c:pt idx="39">
                  <c:v>28.094581622231551</c:v>
                </c:pt>
                <c:pt idx="40">
                  <c:v>28.094581622231551</c:v>
                </c:pt>
                <c:pt idx="41">
                  <c:v>28.094581622231551</c:v>
                </c:pt>
                <c:pt idx="42">
                  <c:v>28.094581622231551</c:v>
                </c:pt>
                <c:pt idx="43">
                  <c:v>28.094581622231551</c:v>
                </c:pt>
                <c:pt idx="44">
                  <c:v>28.094581622231551</c:v>
                </c:pt>
                <c:pt idx="45">
                  <c:v>28.094581622231551</c:v>
                </c:pt>
                <c:pt idx="46">
                  <c:v>28.094581622231551</c:v>
                </c:pt>
                <c:pt idx="47">
                  <c:v>28.094581622231551</c:v>
                </c:pt>
                <c:pt idx="48">
                  <c:v>28.094581622231551</c:v>
                </c:pt>
                <c:pt idx="49">
                  <c:v>28.094581622231551</c:v>
                </c:pt>
                <c:pt idx="50">
                  <c:v>28.094581622231551</c:v>
                </c:pt>
                <c:pt idx="51">
                  <c:v>28.094581622231551</c:v>
                </c:pt>
                <c:pt idx="52">
                  <c:v>28.094581622231551</c:v>
                </c:pt>
                <c:pt idx="53">
                  <c:v>28.094581622231551</c:v>
                </c:pt>
                <c:pt idx="54">
                  <c:v>28.094581622231551</c:v>
                </c:pt>
                <c:pt idx="55">
                  <c:v>28.094581622231551</c:v>
                </c:pt>
                <c:pt idx="56">
                  <c:v>28.094581622231551</c:v>
                </c:pt>
                <c:pt idx="57">
                  <c:v>28.094581622231551</c:v>
                </c:pt>
                <c:pt idx="58">
                  <c:v>28.094581622231551</c:v>
                </c:pt>
                <c:pt idx="59">
                  <c:v>28.094581622231551</c:v>
                </c:pt>
                <c:pt idx="60">
                  <c:v>28.094581622231551</c:v>
                </c:pt>
                <c:pt idx="61">
                  <c:v>28.094581622231551</c:v>
                </c:pt>
                <c:pt idx="62">
                  <c:v>28.094581622231551</c:v>
                </c:pt>
                <c:pt idx="63">
                  <c:v>28.094581622231551</c:v>
                </c:pt>
                <c:pt idx="64">
                  <c:v>28.094581622231551</c:v>
                </c:pt>
                <c:pt idx="65">
                  <c:v>28.094581622231551</c:v>
                </c:pt>
                <c:pt idx="66">
                  <c:v>28.094581622231551</c:v>
                </c:pt>
                <c:pt idx="67">
                  <c:v>28.094581622231551</c:v>
                </c:pt>
                <c:pt idx="68">
                  <c:v>28.094581622231551</c:v>
                </c:pt>
                <c:pt idx="69">
                  <c:v>28.094581622231551</c:v>
                </c:pt>
                <c:pt idx="70">
                  <c:v>28.094581622231551</c:v>
                </c:pt>
                <c:pt idx="71">
                  <c:v>28.094581622231551</c:v>
                </c:pt>
                <c:pt idx="72">
                  <c:v>28.094581622231551</c:v>
                </c:pt>
                <c:pt idx="73">
                  <c:v>28.094581622231551</c:v>
                </c:pt>
                <c:pt idx="74">
                  <c:v>28.094581622231551</c:v>
                </c:pt>
                <c:pt idx="75">
                  <c:v>28.094581622231551</c:v>
                </c:pt>
                <c:pt idx="76">
                  <c:v>28.094581622231551</c:v>
                </c:pt>
                <c:pt idx="77">
                  <c:v>28.094581622231551</c:v>
                </c:pt>
                <c:pt idx="78">
                  <c:v>28.094581622231551</c:v>
                </c:pt>
                <c:pt idx="79">
                  <c:v>28.094581622231551</c:v>
                </c:pt>
                <c:pt idx="80">
                  <c:v>28.094581622231551</c:v>
                </c:pt>
                <c:pt idx="81">
                  <c:v>28.094581622231551</c:v>
                </c:pt>
                <c:pt idx="82">
                  <c:v>28.094581622231551</c:v>
                </c:pt>
                <c:pt idx="83">
                  <c:v>28.094581622231551</c:v>
                </c:pt>
                <c:pt idx="84">
                  <c:v>28.094581622231551</c:v>
                </c:pt>
                <c:pt idx="85">
                  <c:v>28.094581622231551</c:v>
                </c:pt>
                <c:pt idx="86">
                  <c:v>28.094581622231551</c:v>
                </c:pt>
                <c:pt idx="87">
                  <c:v>28.094581622231551</c:v>
                </c:pt>
                <c:pt idx="88">
                  <c:v>28.094581622231551</c:v>
                </c:pt>
                <c:pt idx="89">
                  <c:v>28.094581622231551</c:v>
                </c:pt>
                <c:pt idx="90">
                  <c:v>28.094581622231551</c:v>
                </c:pt>
                <c:pt idx="91">
                  <c:v>28.094581622231551</c:v>
                </c:pt>
                <c:pt idx="92">
                  <c:v>28.094581622231551</c:v>
                </c:pt>
                <c:pt idx="93">
                  <c:v>28.094581622231551</c:v>
                </c:pt>
                <c:pt idx="94">
                  <c:v>28.094581622231551</c:v>
                </c:pt>
                <c:pt idx="95">
                  <c:v>28.094581622231551</c:v>
                </c:pt>
                <c:pt idx="96">
                  <c:v>28.094581622231551</c:v>
                </c:pt>
                <c:pt idx="97">
                  <c:v>28.094581622231551</c:v>
                </c:pt>
                <c:pt idx="98">
                  <c:v>28.094581622231551</c:v>
                </c:pt>
                <c:pt idx="99">
                  <c:v>28.094581622231551</c:v>
                </c:pt>
                <c:pt idx="100">
                  <c:v>28.094581622231551</c:v>
                </c:pt>
                <c:pt idx="101">
                  <c:v>28.094581622231551</c:v>
                </c:pt>
                <c:pt idx="102">
                  <c:v>28.094581622231551</c:v>
                </c:pt>
                <c:pt idx="103">
                  <c:v>28.094581622231551</c:v>
                </c:pt>
                <c:pt idx="104">
                  <c:v>28.094581622231551</c:v>
                </c:pt>
                <c:pt idx="105">
                  <c:v>28.094581622231551</c:v>
                </c:pt>
                <c:pt idx="106">
                  <c:v>28.094581622231551</c:v>
                </c:pt>
                <c:pt idx="107">
                  <c:v>28.094581622231551</c:v>
                </c:pt>
                <c:pt idx="108">
                  <c:v>28.094581622231551</c:v>
                </c:pt>
                <c:pt idx="109">
                  <c:v>28.094581622231551</c:v>
                </c:pt>
                <c:pt idx="110">
                  <c:v>28.094581622231551</c:v>
                </c:pt>
                <c:pt idx="111">
                  <c:v>28.094581622231551</c:v>
                </c:pt>
                <c:pt idx="112">
                  <c:v>28.094581622231551</c:v>
                </c:pt>
                <c:pt idx="113">
                  <c:v>28.094581622231551</c:v>
                </c:pt>
                <c:pt idx="114">
                  <c:v>0.27779376039752229</c:v>
                </c:pt>
                <c:pt idx="115">
                  <c:v>0.27779376039752229</c:v>
                </c:pt>
                <c:pt idx="116">
                  <c:v>0.27779376039752229</c:v>
                </c:pt>
                <c:pt idx="117">
                  <c:v>0.27779376039752229</c:v>
                </c:pt>
                <c:pt idx="118">
                  <c:v>0.27779376039752229</c:v>
                </c:pt>
                <c:pt idx="119">
                  <c:v>0.28532312052241937</c:v>
                </c:pt>
                <c:pt idx="120">
                  <c:v>0.29150512146707191</c:v>
                </c:pt>
                <c:pt idx="121">
                  <c:v>0.29150512146707191</c:v>
                </c:pt>
                <c:pt idx="122">
                  <c:v>0.29150512146707191</c:v>
                </c:pt>
                <c:pt idx="123">
                  <c:v>0.29150512146707191</c:v>
                </c:pt>
                <c:pt idx="124">
                  <c:v>0.29150512146707191</c:v>
                </c:pt>
                <c:pt idx="125">
                  <c:v>0.29150512146707191</c:v>
                </c:pt>
                <c:pt idx="126">
                  <c:v>0.29150512146707191</c:v>
                </c:pt>
                <c:pt idx="127">
                  <c:v>0.29150512146707191</c:v>
                </c:pt>
                <c:pt idx="128">
                  <c:v>0.28532312052241937</c:v>
                </c:pt>
                <c:pt idx="129">
                  <c:v>0.28532312052241937</c:v>
                </c:pt>
                <c:pt idx="130">
                  <c:v>0.29150512146707191</c:v>
                </c:pt>
                <c:pt idx="131">
                  <c:v>0.29150512146707191</c:v>
                </c:pt>
                <c:pt idx="132">
                  <c:v>0.29150512146707191</c:v>
                </c:pt>
                <c:pt idx="133">
                  <c:v>0.29150512146707191</c:v>
                </c:pt>
                <c:pt idx="134">
                  <c:v>0.29150512146707191</c:v>
                </c:pt>
                <c:pt idx="135">
                  <c:v>0.29150512146707191</c:v>
                </c:pt>
                <c:pt idx="136">
                  <c:v>0.29150512146707191</c:v>
                </c:pt>
                <c:pt idx="137">
                  <c:v>0.29150512146707191</c:v>
                </c:pt>
                <c:pt idx="138">
                  <c:v>0.29150512146707191</c:v>
                </c:pt>
                <c:pt idx="139">
                  <c:v>0.29150512146707191</c:v>
                </c:pt>
                <c:pt idx="140">
                  <c:v>0.29150512146707191</c:v>
                </c:pt>
                <c:pt idx="141">
                  <c:v>0.29150512146707191</c:v>
                </c:pt>
                <c:pt idx="142">
                  <c:v>0.29150512146707191</c:v>
                </c:pt>
                <c:pt idx="143">
                  <c:v>0.29150512146707191</c:v>
                </c:pt>
                <c:pt idx="144">
                  <c:v>0.29150512146707191</c:v>
                </c:pt>
                <c:pt idx="145">
                  <c:v>0.29150512146707191</c:v>
                </c:pt>
                <c:pt idx="146">
                  <c:v>0.29150512146707191</c:v>
                </c:pt>
                <c:pt idx="147">
                  <c:v>0.29150512146707191</c:v>
                </c:pt>
                <c:pt idx="148">
                  <c:v>0.29150512146707191</c:v>
                </c:pt>
                <c:pt idx="149">
                  <c:v>0.29150512146707191</c:v>
                </c:pt>
                <c:pt idx="150">
                  <c:v>0.29150512146707191</c:v>
                </c:pt>
                <c:pt idx="151">
                  <c:v>0.29150512146707191</c:v>
                </c:pt>
                <c:pt idx="152">
                  <c:v>0.29150512146707191</c:v>
                </c:pt>
                <c:pt idx="153">
                  <c:v>0.29150512146707191</c:v>
                </c:pt>
                <c:pt idx="154">
                  <c:v>0.29150512146707191</c:v>
                </c:pt>
                <c:pt idx="155">
                  <c:v>0.29150512146707191</c:v>
                </c:pt>
                <c:pt idx="156">
                  <c:v>0.54068731338998477</c:v>
                </c:pt>
                <c:pt idx="157">
                  <c:v>0.54068731338998477</c:v>
                </c:pt>
                <c:pt idx="158">
                  <c:v>0.57480720321912437</c:v>
                </c:pt>
                <c:pt idx="159">
                  <c:v>0.57480720321912437</c:v>
                </c:pt>
                <c:pt idx="160">
                  <c:v>0.57480720321912437</c:v>
                </c:pt>
                <c:pt idx="161">
                  <c:v>0.57480720321912437</c:v>
                </c:pt>
                <c:pt idx="162">
                  <c:v>0.57480720321912437</c:v>
                </c:pt>
                <c:pt idx="163">
                  <c:v>0.57480720321912437</c:v>
                </c:pt>
                <c:pt idx="164">
                  <c:v>0.57480720321912437</c:v>
                </c:pt>
                <c:pt idx="165">
                  <c:v>0.57480720321912437</c:v>
                </c:pt>
                <c:pt idx="166">
                  <c:v>0.57480720321912437</c:v>
                </c:pt>
                <c:pt idx="167">
                  <c:v>0.57480720321912437</c:v>
                </c:pt>
                <c:pt idx="168">
                  <c:v>0.57480720321912437</c:v>
                </c:pt>
                <c:pt idx="169">
                  <c:v>0.57480720321912437</c:v>
                </c:pt>
                <c:pt idx="170">
                  <c:v>0.57480720321912437</c:v>
                </c:pt>
                <c:pt idx="171">
                  <c:v>0.57480720321912437</c:v>
                </c:pt>
                <c:pt idx="172">
                  <c:v>0.57480720321912437</c:v>
                </c:pt>
                <c:pt idx="173">
                  <c:v>0.57480720321912437</c:v>
                </c:pt>
                <c:pt idx="174">
                  <c:v>0.57480720321912437</c:v>
                </c:pt>
                <c:pt idx="175">
                  <c:v>0.57480720321912437</c:v>
                </c:pt>
                <c:pt idx="176">
                  <c:v>0.57480720321912437</c:v>
                </c:pt>
                <c:pt idx="177">
                  <c:v>0.57480720321912437</c:v>
                </c:pt>
                <c:pt idx="178">
                  <c:v>0.57480720321912437</c:v>
                </c:pt>
                <c:pt idx="179">
                  <c:v>0.57480720321912437</c:v>
                </c:pt>
                <c:pt idx="180">
                  <c:v>0.57480720321912437</c:v>
                </c:pt>
                <c:pt idx="181">
                  <c:v>0.57480720321912437</c:v>
                </c:pt>
                <c:pt idx="182">
                  <c:v>0.57480720321912437</c:v>
                </c:pt>
                <c:pt idx="183">
                  <c:v>0.57480720321912437</c:v>
                </c:pt>
                <c:pt idx="184">
                  <c:v>0.57480720321912437</c:v>
                </c:pt>
                <c:pt idx="185">
                  <c:v>0.57480720321912437</c:v>
                </c:pt>
                <c:pt idx="186">
                  <c:v>0.57480720321912437</c:v>
                </c:pt>
                <c:pt idx="187">
                  <c:v>0.57480720321912437</c:v>
                </c:pt>
                <c:pt idx="188">
                  <c:v>0.57480720321912437</c:v>
                </c:pt>
                <c:pt idx="189">
                  <c:v>0.57480720321912437</c:v>
                </c:pt>
                <c:pt idx="190">
                  <c:v>0.57480720321912437</c:v>
                </c:pt>
                <c:pt idx="191">
                  <c:v>0.57480720321912437</c:v>
                </c:pt>
                <c:pt idx="192">
                  <c:v>0.57480720321912437</c:v>
                </c:pt>
                <c:pt idx="193">
                  <c:v>1.1108580159006192</c:v>
                </c:pt>
                <c:pt idx="194">
                  <c:v>1.1317817114055975</c:v>
                </c:pt>
                <c:pt idx="195">
                  <c:v>1.1317817114055975</c:v>
                </c:pt>
                <c:pt idx="196">
                  <c:v>1.1317817114055975</c:v>
                </c:pt>
                <c:pt idx="197">
                  <c:v>1.1317817114055975</c:v>
                </c:pt>
                <c:pt idx="198">
                  <c:v>1.2154764934255065</c:v>
                </c:pt>
                <c:pt idx="199">
                  <c:v>5.2330043573314997</c:v>
                </c:pt>
                <c:pt idx="200">
                  <c:v>5.2330043573314997</c:v>
                </c:pt>
                <c:pt idx="201">
                  <c:v>5.2330043573314997</c:v>
                </c:pt>
                <c:pt idx="202">
                  <c:v>5.2330043573314997</c:v>
                </c:pt>
                <c:pt idx="203">
                  <c:v>5.2330043573314997</c:v>
                </c:pt>
                <c:pt idx="204">
                  <c:v>5.2330043573314997</c:v>
                </c:pt>
                <c:pt idx="205">
                  <c:v>1.2364001889304839</c:v>
                </c:pt>
                <c:pt idx="206">
                  <c:v>1.2364001889304839</c:v>
                </c:pt>
                <c:pt idx="207">
                  <c:v>1.2364001889304839</c:v>
                </c:pt>
                <c:pt idx="208">
                  <c:v>1.2364001889304839</c:v>
                </c:pt>
                <c:pt idx="209">
                  <c:v>1.2364001889304839</c:v>
                </c:pt>
                <c:pt idx="210">
                  <c:v>1.2364001889304839</c:v>
                </c:pt>
                <c:pt idx="211">
                  <c:v>1.2364001889304839</c:v>
                </c:pt>
                <c:pt idx="212">
                  <c:v>1.2364001889304839</c:v>
                </c:pt>
                <c:pt idx="213">
                  <c:v>1.2364001889304839</c:v>
                </c:pt>
                <c:pt idx="214">
                  <c:v>1.2364001889304839</c:v>
                </c:pt>
                <c:pt idx="215">
                  <c:v>1.2364001889304839</c:v>
                </c:pt>
                <c:pt idx="216">
                  <c:v>1.4389796045014025</c:v>
                </c:pt>
                <c:pt idx="217">
                  <c:v>1.4389796045014025</c:v>
                </c:pt>
                <c:pt idx="218">
                  <c:v>1.4389796045014025</c:v>
                </c:pt>
                <c:pt idx="219">
                  <c:v>1.4389796045014025</c:v>
                </c:pt>
                <c:pt idx="220">
                  <c:v>1.4389796045014025</c:v>
                </c:pt>
                <c:pt idx="221">
                  <c:v>1.4389796045014025</c:v>
                </c:pt>
                <c:pt idx="222">
                  <c:v>1.4389796045014025</c:v>
                </c:pt>
                <c:pt idx="223">
                  <c:v>1.4389796045014025</c:v>
                </c:pt>
                <c:pt idx="224">
                  <c:v>1.4389796045014025</c:v>
                </c:pt>
                <c:pt idx="225">
                  <c:v>1.4389796045014025</c:v>
                </c:pt>
                <c:pt idx="226">
                  <c:v>1.4389796045014025</c:v>
                </c:pt>
                <c:pt idx="227">
                  <c:v>1.4389796045014025</c:v>
                </c:pt>
                <c:pt idx="228">
                  <c:v>1.4389796045014025</c:v>
                </c:pt>
                <c:pt idx="229">
                  <c:v>1.4389796045014025</c:v>
                </c:pt>
                <c:pt idx="230">
                  <c:v>1.4389796045014025</c:v>
                </c:pt>
                <c:pt idx="231">
                  <c:v>1.4389796045014025</c:v>
                </c:pt>
                <c:pt idx="232">
                  <c:v>1.4389796045014025</c:v>
                </c:pt>
                <c:pt idx="233">
                  <c:v>1.4389796045014025</c:v>
                </c:pt>
                <c:pt idx="234">
                  <c:v>1.4389796045014025</c:v>
                </c:pt>
                <c:pt idx="235">
                  <c:v>1.4389796045014025</c:v>
                </c:pt>
                <c:pt idx="236">
                  <c:v>1.4389796045014025</c:v>
                </c:pt>
                <c:pt idx="237">
                  <c:v>1.4389796045014025</c:v>
                </c:pt>
                <c:pt idx="238">
                  <c:v>1.4389796045014025</c:v>
                </c:pt>
                <c:pt idx="239">
                  <c:v>1.4389796045014025</c:v>
                </c:pt>
                <c:pt idx="240">
                  <c:v>1.4389796045014025</c:v>
                </c:pt>
                <c:pt idx="241">
                  <c:v>5.2950026937283488</c:v>
                </c:pt>
                <c:pt idx="242">
                  <c:v>5.2950026937283488</c:v>
                </c:pt>
                <c:pt idx="243">
                  <c:v>5.2950026937283488</c:v>
                </c:pt>
                <c:pt idx="244">
                  <c:v>5.2950026937283488</c:v>
                </c:pt>
                <c:pt idx="245">
                  <c:v>5.2950026937283488</c:v>
                </c:pt>
                <c:pt idx="246">
                  <c:v>5.2950026937283488</c:v>
                </c:pt>
                <c:pt idx="247">
                  <c:v>5.2950026937283488</c:v>
                </c:pt>
                <c:pt idx="248">
                  <c:v>5.2950026937283488</c:v>
                </c:pt>
                <c:pt idx="249">
                  <c:v>5.2950026937283488</c:v>
                </c:pt>
                <c:pt idx="250">
                  <c:v>5.2950026937283488</c:v>
                </c:pt>
                <c:pt idx="251">
                  <c:v>5.2950026937283488</c:v>
                </c:pt>
                <c:pt idx="252">
                  <c:v>5.2950026937283488</c:v>
                </c:pt>
                <c:pt idx="253">
                  <c:v>5.2950026937283488</c:v>
                </c:pt>
                <c:pt idx="254">
                  <c:v>5.2950026937283488</c:v>
                </c:pt>
                <c:pt idx="255">
                  <c:v>5.2950026937283488</c:v>
                </c:pt>
                <c:pt idx="256">
                  <c:v>5.2950026937283488</c:v>
                </c:pt>
                <c:pt idx="257">
                  <c:v>5.2950026937283488</c:v>
                </c:pt>
                <c:pt idx="258">
                  <c:v>5.2950026937283488</c:v>
                </c:pt>
                <c:pt idx="259">
                  <c:v>5.2950026937283488</c:v>
                </c:pt>
                <c:pt idx="260">
                  <c:v>5.2950026937283488</c:v>
                </c:pt>
                <c:pt idx="261">
                  <c:v>5.2950026937283488</c:v>
                </c:pt>
                <c:pt idx="262">
                  <c:v>5.2950026937283488</c:v>
                </c:pt>
                <c:pt idx="263">
                  <c:v>5.2950026937283488</c:v>
                </c:pt>
                <c:pt idx="264">
                  <c:v>5.2950026937283488</c:v>
                </c:pt>
                <c:pt idx="265">
                  <c:v>5.2950026937283488</c:v>
                </c:pt>
                <c:pt idx="266">
                  <c:v>5.2950026937283488</c:v>
                </c:pt>
                <c:pt idx="267">
                  <c:v>5.2950026937283488</c:v>
                </c:pt>
                <c:pt idx="268">
                  <c:v>5.2950026937283488</c:v>
                </c:pt>
                <c:pt idx="269">
                  <c:v>5.2950026937283488</c:v>
                </c:pt>
                <c:pt idx="270">
                  <c:v>5.2950026937283488</c:v>
                </c:pt>
                <c:pt idx="271">
                  <c:v>5.2950026937283488</c:v>
                </c:pt>
                <c:pt idx="272">
                  <c:v>5.2950026937283488</c:v>
                </c:pt>
                <c:pt idx="273">
                  <c:v>5.2950026937283488</c:v>
                </c:pt>
                <c:pt idx="274">
                  <c:v>5.2950026937283488</c:v>
                </c:pt>
                <c:pt idx="275">
                  <c:v>5.2950026937283488</c:v>
                </c:pt>
                <c:pt idx="276">
                  <c:v>5.2950026937283488</c:v>
                </c:pt>
                <c:pt idx="277">
                  <c:v>5.2950026937283488</c:v>
                </c:pt>
                <c:pt idx="278">
                  <c:v>5.2950026937283488</c:v>
                </c:pt>
                <c:pt idx="279">
                  <c:v>5.2950026937283488</c:v>
                </c:pt>
                <c:pt idx="280">
                  <c:v>5.2950026937283488</c:v>
                </c:pt>
                <c:pt idx="281">
                  <c:v>5.2950026937283488</c:v>
                </c:pt>
                <c:pt idx="282">
                  <c:v>5.2950026937283488</c:v>
                </c:pt>
                <c:pt idx="283">
                  <c:v>5.2950026937283488</c:v>
                </c:pt>
                <c:pt idx="284">
                  <c:v>5.2950026937283488</c:v>
                </c:pt>
                <c:pt idx="285">
                  <c:v>2.1388579511305732</c:v>
                </c:pt>
                <c:pt idx="286">
                  <c:v>2.1388579511305732</c:v>
                </c:pt>
                <c:pt idx="287">
                  <c:v>2.1388579511305732</c:v>
                </c:pt>
                <c:pt idx="288">
                  <c:v>2.1388579511305732</c:v>
                </c:pt>
                <c:pt idx="289">
                  <c:v>2.1388579511305732</c:v>
                </c:pt>
                <c:pt idx="290">
                  <c:v>2.1388579511305732</c:v>
                </c:pt>
                <c:pt idx="291">
                  <c:v>2.1388579511305732</c:v>
                </c:pt>
                <c:pt idx="292">
                  <c:v>2.1388579511305732</c:v>
                </c:pt>
                <c:pt idx="293">
                  <c:v>2.1388579511305732</c:v>
                </c:pt>
                <c:pt idx="294">
                  <c:v>2.1388579511305732</c:v>
                </c:pt>
                <c:pt idx="295">
                  <c:v>2.1388579511305732</c:v>
                </c:pt>
                <c:pt idx="296">
                  <c:v>2.1388579511305732</c:v>
                </c:pt>
                <c:pt idx="297">
                  <c:v>2.1388579511305732</c:v>
                </c:pt>
                <c:pt idx="298">
                  <c:v>2.1388579511305732</c:v>
                </c:pt>
                <c:pt idx="299">
                  <c:v>2.1388579511305732</c:v>
                </c:pt>
                <c:pt idx="300">
                  <c:v>2.1388579511305732</c:v>
                </c:pt>
                <c:pt idx="301">
                  <c:v>2.1388579511305732</c:v>
                </c:pt>
                <c:pt idx="302">
                  <c:v>2.1388579511305732</c:v>
                </c:pt>
                <c:pt idx="303">
                  <c:v>2.1388579511305732</c:v>
                </c:pt>
                <c:pt idx="304">
                  <c:v>2.1388579511305732</c:v>
                </c:pt>
                <c:pt idx="305">
                  <c:v>2.1388579511305732</c:v>
                </c:pt>
                <c:pt idx="306">
                  <c:v>2.1388579511305732</c:v>
                </c:pt>
                <c:pt idx="307">
                  <c:v>2.1388579511305732</c:v>
                </c:pt>
                <c:pt idx="308">
                  <c:v>2.1388579511305732</c:v>
                </c:pt>
                <c:pt idx="309">
                  <c:v>2.1388579511305732</c:v>
                </c:pt>
                <c:pt idx="310">
                  <c:v>2.1388579511305732</c:v>
                </c:pt>
                <c:pt idx="311">
                  <c:v>2.1388579511305732</c:v>
                </c:pt>
                <c:pt idx="312">
                  <c:v>2.1388579511305732</c:v>
                </c:pt>
                <c:pt idx="313">
                  <c:v>2.1388579511305732</c:v>
                </c:pt>
                <c:pt idx="314">
                  <c:v>2.1388579511305732</c:v>
                </c:pt>
                <c:pt idx="315">
                  <c:v>2.1388579511305732</c:v>
                </c:pt>
                <c:pt idx="316">
                  <c:v>2.1388579511305732</c:v>
                </c:pt>
                <c:pt idx="317">
                  <c:v>2.1388579511305732</c:v>
                </c:pt>
                <c:pt idx="318">
                  <c:v>2.1388579511305732</c:v>
                </c:pt>
                <c:pt idx="319">
                  <c:v>2.1388579511305732</c:v>
                </c:pt>
                <c:pt idx="320">
                  <c:v>2.1388579511305732</c:v>
                </c:pt>
                <c:pt idx="321">
                  <c:v>2.1388579511305732</c:v>
                </c:pt>
                <c:pt idx="322">
                  <c:v>2.1388579511305732</c:v>
                </c:pt>
                <c:pt idx="323">
                  <c:v>2.1388579511305732</c:v>
                </c:pt>
                <c:pt idx="324">
                  <c:v>2.1388579511305732</c:v>
                </c:pt>
                <c:pt idx="325">
                  <c:v>2.1388579511305732</c:v>
                </c:pt>
                <c:pt idx="326">
                  <c:v>2.1388579511305732</c:v>
                </c:pt>
                <c:pt idx="327">
                  <c:v>2.1388579511305732</c:v>
                </c:pt>
                <c:pt idx="328">
                  <c:v>2.1388579511305732</c:v>
                </c:pt>
                <c:pt idx="329">
                  <c:v>2.1388579511305732</c:v>
                </c:pt>
                <c:pt idx="330">
                  <c:v>2.1388579511305732</c:v>
                </c:pt>
                <c:pt idx="331">
                  <c:v>2.1388579511305732</c:v>
                </c:pt>
                <c:pt idx="332">
                  <c:v>2.1388579511305732</c:v>
                </c:pt>
                <c:pt idx="333">
                  <c:v>5.2950026937283488</c:v>
                </c:pt>
                <c:pt idx="334">
                  <c:v>5.2950026937283488</c:v>
                </c:pt>
                <c:pt idx="335">
                  <c:v>5.2950026937283488</c:v>
                </c:pt>
                <c:pt idx="336">
                  <c:v>5.2950026937283488</c:v>
                </c:pt>
                <c:pt idx="337">
                  <c:v>5.2950026937283488</c:v>
                </c:pt>
                <c:pt idx="338">
                  <c:v>5.2950026937283488</c:v>
                </c:pt>
                <c:pt idx="339">
                  <c:v>5.2950026937283488</c:v>
                </c:pt>
                <c:pt idx="340">
                  <c:v>5.2950026937283488</c:v>
                </c:pt>
                <c:pt idx="341">
                  <c:v>5.2950026937283488</c:v>
                </c:pt>
                <c:pt idx="342">
                  <c:v>5.2950026937283488</c:v>
                </c:pt>
                <c:pt idx="343">
                  <c:v>5.2950026937283488</c:v>
                </c:pt>
                <c:pt idx="344">
                  <c:v>5.2950026937283488</c:v>
                </c:pt>
                <c:pt idx="345">
                  <c:v>5.2950026937283488</c:v>
                </c:pt>
                <c:pt idx="346">
                  <c:v>5.2950026937283488</c:v>
                </c:pt>
                <c:pt idx="347">
                  <c:v>5.2950026937283488</c:v>
                </c:pt>
                <c:pt idx="348">
                  <c:v>5.2950026937283488</c:v>
                </c:pt>
                <c:pt idx="349">
                  <c:v>5.2950026937283488</c:v>
                </c:pt>
                <c:pt idx="350">
                  <c:v>5.2950026937283488</c:v>
                </c:pt>
                <c:pt idx="351">
                  <c:v>5.2950026937283488</c:v>
                </c:pt>
                <c:pt idx="352">
                  <c:v>5.2950026937283488</c:v>
                </c:pt>
                <c:pt idx="353">
                  <c:v>5.2950026937283488</c:v>
                </c:pt>
                <c:pt idx="354">
                  <c:v>5.2950026937283488</c:v>
                </c:pt>
                <c:pt idx="355">
                  <c:v>5.2950026937283488</c:v>
                </c:pt>
                <c:pt idx="356">
                  <c:v>5.2950026937283488</c:v>
                </c:pt>
                <c:pt idx="357">
                  <c:v>5.2950026937283488</c:v>
                </c:pt>
                <c:pt idx="358">
                  <c:v>5.2330043573314997</c:v>
                </c:pt>
                <c:pt idx="359">
                  <c:v>5.2330043573314997</c:v>
                </c:pt>
                <c:pt idx="360">
                  <c:v>5.2330043573314997</c:v>
                </c:pt>
                <c:pt idx="361">
                  <c:v>5.2330043573314997</c:v>
                </c:pt>
                <c:pt idx="362">
                  <c:v>5.2330043573314997</c:v>
                </c:pt>
                <c:pt idx="363">
                  <c:v>5.2330043573314997</c:v>
                </c:pt>
                <c:pt idx="364">
                  <c:v>5.2950026937283488</c:v>
                </c:pt>
                <c:pt idx="365">
                  <c:v>5.2330043573314997</c:v>
                </c:pt>
                <c:pt idx="366">
                  <c:v>5.2330043573314997</c:v>
                </c:pt>
                <c:pt idx="367">
                  <c:v>5.2950026937283488</c:v>
                </c:pt>
                <c:pt idx="368">
                  <c:v>2.9581860189791218</c:v>
                </c:pt>
                <c:pt idx="369">
                  <c:v>2.9581860189791218</c:v>
                </c:pt>
                <c:pt idx="370">
                  <c:v>2.9831825211457392</c:v>
                </c:pt>
                <c:pt idx="371">
                  <c:v>2.9831825211457392</c:v>
                </c:pt>
                <c:pt idx="372">
                  <c:v>2.9831825211457392</c:v>
                </c:pt>
                <c:pt idx="373">
                  <c:v>2.9831825211457392</c:v>
                </c:pt>
                <c:pt idx="374">
                  <c:v>2.9831825211457392</c:v>
                </c:pt>
                <c:pt idx="375">
                  <c:v>2.9831825211457392</c:v>
                </c:pt>
                <c:pt idx="376">
                  <c:v>2.9831825211457392</c:v>
                </c:pt>
                <c:pt idx="377">
                  <c:v>2.9831825211457392</c:v>
                </c:pt>
                <c:pt idx="378">
                  <c:v>2.9831825211457392</c:v>
                </c:pt>
                <c:pt idx="379">
                  <c:v>2.9831825211457392</c:v>
                </c:pt>
                <c:pt idx="380">
                  <c:v>2.9831825211457392</c:v>
                </c:pt>
                <c:pt idx="381">
                  <c:v>2.9831825211457392</c:v>
                </c:pt>
                <c:pt idx="382">
                  <c:v>2.9831825211457392</c:v>
                </c:pt>
                <c:pt idx="383">
                  <c:v>2.9831825211457392</c:v>
                </c:pt>
                <c:pt idx="384">
                  <c:v>2.9831825211457392</c:v>
                </c:pt>
                <c:pt idx="385">
                  <c:v>2.9831825211457392</c:v>
                </c:pt>
                <c:pt idx="386">
                  <c:v>2.9831825211457392</c:v>
                </c:pt>
                <c:pt idx="387">
                  <c:v>2.9831825211457392</c:v>
                </c:pt>
                <c:pt idx="388">
                  <c:v>2.9831825211457392</c:v>
                </c:pt>
                <c:pt idx="389">
                  <c:v>1.4741694560324998</c:v>
                </c:pt>
                <c:pt idx="390">
                  <c:v>1.4741694560324998</c:v>
                </c:pt>
                <c:pt idx="391">
                  <c:v>1.4741694560324998</c:v>
                </c:pt>
                <c:pt idx="392">
                  <c:v>1.4741694560324998</c:v>
                </c:pt>
                <c:pt idx="393">
                  <c:v>1.4741694560324998</c:v>
                </c:pt>
                <c:pt idx="394">
                  <c:v>3.3073014644850907</c:v>
                </c:pt>
                <c:pt idx="395">
                  <c:v>3.3073014644850907</c:v>
                </c:pt>
                <c:pt idx="396">
                  <c:v>3.3073014644850907</c:v>
                </c:pt>
                <c:pt idx="397">
                  <c:v>3.3073014644850907</c:v>
                </c:pt>
                <c:pt idx="398">
                  <c:v>3.3073014644850907</c:v>
                </c:pt>
                <c:pt idx="399">
                  <c:v>3.3073014644850907</c:v>
                </c:pt>
                <c:pt idx="400">
                  <c:v>3.3073014644850907</c:v>
                </c:pt>
                <c:pt idx="401">
                  <c:v>3.3073014644850907</c:v>
                </c:pt>
                <c:pt idx="402">
                  <c:v>3.3073014644850907</c:v>
                </c:pt>
                <c:pt idx="403">
                  <c:v>3.3073014644850907</c:v>
                </c:pt>
                <c:pt idx="404">
                  <c:v>3.3073014644850907</c:v>
                </c:pt>
                <c:pt idx="405">
                  <c:v>3.3073014644850907</c:v>
                </c:pt>
                <c:pt idx="406">
                  <c:v>3.3073014644850907</c:v>
                </c:pt>
                <c:pt idx="407">
                  <c:v>3.3073014644850907</c:v>
                </c:pt>
                <c:pt idx="408">
                  <c:v>3.3073014644850907</c:v>
                </c:pt>
                <c:pt idx="409">
                  <c:v>3.3073014644850907</c:v>
                </c:pt>
                <c:pt idx="410">
                  <c:v>3.3073014644850907</c:v>
                </c:pt>
                <c:pt idx="411">
                  <c:v>3.3073014644850907</c:v>
                </c:pt>
                <c:pt idx="412">
                  <c:v>3.3073014644850907</c:v>
                </c:pt>
                <c:pt idx="413">
                  <c:v>3.3073014644850907</c:v>
                </c:pt>
                <c:pt idx="414">
                  <c:v>3.3073014644850907</c:v>
                </c:pt>
                <c:pt idx="415">
                  <c:v>3.3073014644850907</c:v>
                </c:pt>
                <c:pt idx="416">
                  <c:v>3.3073014644850907</c:v>
                </c:pt>
                <c:pt idx="417">
                  <c:v>3.3073014644850907</c:v>
                </c:pt>
                <c:pt idx="418">
                  <c:v>3.3073014644850907</c:v>
                </c:pt>
                <c:pt idx="419">
                  <c:v>3.3073014644850907</c:v>
                </c:pt>
                <c:pt idx="420">
                  <c:v>3.3073014644850907</c:v>
                </c:pt>
                <c:pt idx="421">
                  <c:v>3.3073014644850907</c:v>
                </c:pt>
                <c:pt idx="422">
                  <c:v>3.3073014644850907</c:v>
                </c:pt>
                <c:pt idx="423">
                  <c:v>3.3073014644850907</c:v>
                </c:pt>
                <c:pt idx="424">
                  <c:v>3.3073014644850907</c:v>
                </c:pt>
                <c:pt idx="425">
                  <c:v>3.3073014644850907</c:v>
                </c:pt>
                <c:pt idx="426">
                  <c:v>3.3073014644850907</c:v>
                </c:pt>
                <c:pt idx="427">
                  <c:v>3.3073014644850907</c:v>
                </c:pt>
                <c:pt idx="428">
                  <c:v>3.3073014644850907</c:v>
                </c:pt>
                <c:pt idx="429">
                  <c:v>3.3073014644850907</c:v>
                </c:pt>
                <c:pt idx="430">
                  <c:v>3.3073014644850907</c:v>
                </c:pt>
                <c:pt idx="431">
                  <c:v>3.3073014644850907</c:v>
                </c:pt>
                <c:pt idx="432">
                  <c:v>3.3073014644850907</c:v>
                </c:pt>
                <c:pt idx="433">
                  <c:v>3.3073014644850907</c:v>
                </c:pt>
                <c:pt idx="434">
                  <c:v>3.3073014644850907</c:v>
                </c:pt>
                <c:pt idx="435">
                  <c:v>3.3073014644850907</c:v>
                </c:pt>
                <c:pt idx="436">
                  <c:v>3.3073014644850907</c:v>
                </c:pt>
                <c:pt idx="437">
                  <c:v>3.3073014644850907</c:v>
                </c:pt>
                <c:pt idx="438">
                  <c:v>3.3073014644850907</c:v>
                </c:pt>
                <c:pt idx="439">
                  <c:v>3.3073014644850907</c:v>
                </c:pt>
                <c:pt idx="440">
                  <c:v>3.3073014644850907</c:v>
                </c:pt>
                <c:pt idx="441">
                  <c:v>3.3073014644850907</c:v>
                </c:pt>
                <c:pt idx="442">
                  <c:v>3.3073014644850907</c:v>
                </c:pt>
                <c:pt idx="443">
                  <c:v>3.3073014644850907</c:v>
                </c:pt>
                <c:pt idx="444">
                  <c:v>3.3073014644850907</c:v>
                </c:pt>
                <c:pt idx="445">
                  <c:v>3.3073014644850907</c:v>
                </c:pt>
                <c:pt idx="446">
                  <c:v>1.4741694560324998</c:v>
                </c:pt>
                <c:pt idx="447">
                  <c:v>1.4741694560324998</c:v>
                </c:pt>
                <c:pt idx="448">
                  <c:v>1.4741694560324998</c:v>
                </c:pt>
                <c:pt idx="449">
                  <c:v>3.3073014644850907</c:v>
                </c:pt>
                <c:pt idx="450">
                  <c:v>3.3073014644850907</c:v>
                </c:pt>
                <c:pt idx="451">
                  <c:v>3.3073014644850907</c:v>
                </c:pt>
                <c:pt idx="452">
                  <c:v>3.3073014644850907</c:v>
                </c:pt>
                <c:pt idx="453">
                  <c:v>3.3073014644850907</c:v>
                </c:pt>
                <c:pt idx="454">
                  <c:v>1.4741694560324998</c:v>
                </c:pt>
                <c:pt idx="455">
                  <c:v>1.4741694560324998</c:v>
                </c:pt>
                <c:pt idx="456">
                  <c:v>1.4741694560324998</c:v>
                </c:pt>
                <c:pt idx="457">
                  <c:v>1.4741694560324998</c:v>
                </c:pt>
                <c:pt idx="458">
                  <c:v>1.4741694560324998</c:v>
                </c:pt>
                <c:pt idx="459">
                  <c:v>1.4741694560324998</c:v>
                </c:pt>
                <c:pt idx="460">
                  <c:v>1.4741694560324998</c:v>
                </c:pt>
                <c:pt idx="461">
                  <c:v>1.4741694560324998</c:v>
                </c:pt>
                <c:pt idx="462">
                  <c:v>1.4741694560324998</c:v>
                </c:pt>
                <c:pt idx="463">
                  <c:v>1.4741694560324998</c:v>
                </c:pt>
                <c:pt idx="464">
                  <c:v>1.4741694560324998</c:v>
                </c:pt>
                <c:pt idx="465">
                  <c:v>1.4741694560324998</c:v>
                </c:pt>
                <c:pt idx="466">
                  <c:v>1.4741694560324998</c:v>
                </c:pt>
                <c:pt idx="467">
                  <c:v>1.4741694560324998</c:v>
                </c:pt>
                <c:pt idx="468">
                  <c:v>1.4741694560324998</c:v>
                </c:pt>
                <c:pt idx="469">
                  <c:v>1.4741694560324998</c:v>
                </c:pt>
                <c:pt idx="470">
                  <c:v>1.4741694560324998</c:v>
                </c:pt>
                <c:pt idx="471">
                  <c:v>3.8191206393393822</c:v>
                </c:pt>
                <c:pt idx="472">
                  <c:v>3.8191206393393822</c:v>
                </c:pt>
                <c:pt idx="473">
                  <c:v>7.3617115683267258</c:v>
                </c:pt>
                <c:pt idx="474">
                  <c:v>7.3617115683267258</c:v>
                </c:pt>
                <c:pt idx="475">
                  <c:v>7.3617115683267258</c:v>
                </c:pt>
                <c:pt idx="476">
                  <c:v>12.697082100333608</c:v>
                </c:pt>
                <c:pt idx="477">
                  <c:v>12.697082100333608</c:v>
                </c:pt>
                <c:pt idx="478">
                  <c:v>2.1388579511305732</c:v>
                </c:pt>
                <c:pt idx="479">
                  <c:v>2.1388579511305732</c:v>
                </c:pt>
                <c:pt idx="480">
                  <c:v>3.8191206393393822</c:v>
                </c:pt>
                <c:pt idx="481">
                  <c:v>3.8191206393393822</c:v>
                </c:pt>
                <c:pt idx="482">
                  <c:v>3.8191206393393822</c:v>
                </c:pt>
                <c:pt idx="483">
                  <c:v>3.8191206393393822</c:v>
                </c:pt>
                <c:pt idx="484">
                  <c:v>3.8191206393393822</c:v>
                </c:pt>
                <c:pt idx="485">
                  <c:v>3.8191206393393822</c:v>
                </c:pt>
                <c:pt idx="486">
                  <c:v>3.8191206393393822</c:v>
                </c:pt>
                <c:pt idx="487">
                  <c:v>3.8191206393393822</c:v>
                </c:pt>
                <c:pt idx="488">
                  <c:v>3.8191206393393822</c:v>
                </c:pt>
                <c:pt idx="489">
                  <c:v>3.8191206393393822</c:v>
                </c:pt>
                <c:pt idx="490">
                  <c:v>3.8191206393393822</c:v>
                </c:pt>
                <c:pt idx="491">
                  <c:v>3.8191206393393822</c:v>
                </c:pt>
                <c:pt idx="492">
                  <c:v>3.8191206393393822</c:v>
                </c:pt>
                <c:pt idx="493">
                  <c:v>3.8191206393393822</c:v>
                </c:pt>
                <c:pt idx="494">
                  <c:v>3.8191206393393822</c:v>
                </c:pt>
                <c:pt idx="495">
                  <c:v>3.8191206393393822</c:v>
                </c:pt>
                <c:pt idx="496">
                  <c:v>3.8191206393393822</c:v>
                </c:pt>
                <c:pt idx="497">
                  <c:v>3.8191206393393822</c:v>
                </c:pt>
                <c:pt idx="498">
                  <c:v>3.8191206393393822</c:v>
                </c:pt>
                <c:pt idx="499">
                  <c:v>2.1388579511305732</c:v>
                </c:pt>
                <c:pt idx="500">
                  <c:v>2.1388579511305732</c:v>
                </c:pt>
                <c:pt idx="501">
                  <c:v>2.1388579511305732</c:v>
                </c:pt>
                <c:pt idx="502">
                  <c:v>2.1388579511305732</c:v>
                </c:pt>
                <c:pt idx="503">
                  <c:v>2.1388579511305732</c:v>
                </c:pt>
                <c:pt idx="504">
                  <c:v>2.1388579511305732</c:v>
                </c:pt>
                <c:pt idx="505">
                  <c:v>2.1388579511305732</c:v>
                </c:pt>
                <c:pt idx="506">
                  <c:v>2.1388579511305732</c:v>
                </c:pt>
                <c:pt idx="507">
                  <c:v>2.1388579511305732</c:v>
                </c:pt>
                <c:pt idx="508">
                  <c:v>2.1388579511305732</c:v>
                </c:pt>
                <c:pt idx="509">
                  <c:v>2.1388579511305732</c:v>
                </c:pt>
                <c:pt idx="510">
                  <c:v>2.1388579511305732</c:v>
                </c:pt>
                <c:pt idx="511">
                  <c:v>2.1388579511305732</c:v>
                </c:pt>
                <c:pt idx="512">
                  <c:v>2.1388579511305732</c:v>
                </c:pt>
                <c:pt idx="513">
                  <c:v>2.1388579511305732</c:v>
                </c:pt>
                <c:pt idx="514">
                  <c:v>2.1388579511305732</c:v>
                </c:pt>
                <c:pt idx="515">
                  <c:v>2.1388579511305732</c:v>
                </c:pt>
                <c:pt idx="516">
                  <c:v>2.1388579511305732</c:v>
                </c:pt>
                <c:pt idx="517">
                  <c:v>2.1388579511305732</c:v>
                </c:pt>
                <c:pt idx="518">
                  <c:v>2.1388579511305732</c:v>
                </c:pt>
                <c:pt idx="519">
                  <c:v>2.1388579511305732</c:v>
                </c:pt>
                <c:pt idx="520">
                  <c:v>2.1388579511305732</c:v>
                </c:pt>
                <c:pt idx="521">
                  <c:v>2.1388579511305732</c:v>
                </c:pt>
                <c:pt idx="522">
                  <c:v>2.1388579511305732</c:v>
                </c:pt>
                <c:pt idx="523">
                  <c:v>2.1388579511305732</c:v>
                </c:pt>
                <c:pt idx="524">
                  <c:v>2.1388579511305732</c:v>
                </c:pt>
                <c:pt idx="525">
                  <c:v>2.1388579511305732</c:v>
                </c:pt>
                <c:pt idx="526">
                  <c:v>2.1388579511305732</c:v>
                </c:pt>
                <c:pt idx="527">
                  <c:v>2.1388579511305732</c:v>
                </c:pt>
                <c:pt idx="528">
                  <c:v>2.1388579511305732</c:v>
                </c:pt>
                <c:pt idx="529">
                  <c:v>2.1388579511305732</c:v>
                </c:pt>
                <c:pt idx="530">
                  <c:v>2.1388579511305732</c:v>
                </c:pt>
                <c:pt idx="531">
                  <c:v>2.1388579511305732</c:v>
                </c:pt>
                <c:pt idx="532">
                  <c:v>2.1388579511305732</c:v>
                </c:pt>
                <c:pt idx="533">
                  <c:v>2.1388579511305732</c:v>
                </c:pt>
                <c:pt idx="534">
                  <c:v>2.1388579511305732</c:v>
                </c:pt>
                <c:pt idx="535">
                  <c:v>2.1388579511305732</c:v>
                </c:pt>
                <c:pt idx="536">
                  <c:v>2.1388579511305732</c:v>
                </c:pt>
                <c:pt idx="537">
                  <c:v>2.1388579511305732</c:v>
                </c:pt>
                <c:pt idx="538">
                  <c:v>2.1388579511305732</c:v>
                </c:pt>
                <c:pt idx="539">
                  <c:v>2.1388579511305732</c:v>
                </c:pt>
                <c:pt idx="540">
                  <c:v>2.1388579511305732</c:v>
                </c:pt>
                <c:pt idx="541">
                  <c:v>2.1388579511305732</c:v>
                </c:pt>
                <c:pt idx="542">
                  <c:v>2.1388579511305732</c:v>
                </c:pt>
                <c:pt idx="543">
                  <c:v>3.8191206393393822</c:v>
                </c:pt>
                <c:pt idx="544">
                  <c:v>3.8191206393393822</c:v>
                </c:pt>
                <c:pt idx="545">
                  <c:v>3.8191206393393822</c:v>
                </c:pt>
                <c:pt idx="546">
                  <c:v>3.8191206393393822</c:v>
                </c:pt>
                <c:pt idx="547">
                  <c:v>3.8191206393393822</c:v>
                </c:pt>
                <c:pt idx="548">
                  <c:v>3.8191206393393822</c:v>
                </c:pt>
                <c:pt idx="549">
                  <c:v>3.8191206393393822</c:v>
                </c:pt>
                <c:pt idx="550">
                  <c:v>3.8191206393393822</c:v>
                </c:pt>
                <c:pt idx="551">
                  <c:v>3.8191206393393822</c:v>
                </c:pt>
                <c:pt idx="552">
                  <c:v>3.8191206393393822</c:v>
                </c:pt>
                <c:pt idx="553">
                  <c:v>3.8191206393393822</c:v>
                </c:pt>
                <c:pt idx="554">
                  <c:v>3.8191206393393822</c:v>
                </c:pt>
                <c:pt idx="555">
                  <c:v>3.8191206393393822</c:v>
                </c:pt>
                <c:pt idx="556">
                  <c:v>3.8191206393393822</c:v>
                </c:pt>
                <c:pt idx="557">
                  <c:v>3.8191206393393822</c:v>
                </c:pt>
                <c:pt idx="558">
                  <c:v>3.8191206393393822</c:v>
                </c:pt>
                <c:pt idx="559">
                  <c:v>3.8191206393393822</c:v>
                </c:pt>
                <c:pt idx="560">
                  <c:v>3.8191206393393822</c:v>
                </c:pt>
                <c:pt idx="561">
                  <c:v>3.8191206393393822</c:v>
                </c:pt>
                <c:pt idx="562">
                  <c:v>3.8191206393393822</c:v>
                </c:pt>
                <c:pt idx="563">
                  <c:v>3.8191206393393822</c:v>
                </c:pt>
                <c:pt idx="564">
                  <c:v>3.8191206393393822</c:v>
                </c:pt>
                <c:pt idx="565">
                  <c:v>3.8191206393393822</c:v>
                </c:pt>
                <c:pt idx="566">
                  <c:v>3.8191206393393822</c:v>
                </c:pt>
                <c:pt idx="567">
                  <c:v>3.8191206393393822</c:v>
                </c:pt>
                <c:pt idx="568">
                  <c:v>3.8191206393393822</c:v>
                </c:pt>
                <c:pt idx="569">
                  <c:v>3.8191206393393822</c:v>
                </c:pt>
                <c:pt idx="570">
                  <c:v>3.8191206393393822</c:v>
                </c:pt>
                <c:pt idx="571">
                  <c:v>3.8191206393393822</c:v>
                </c:pt>
                <c:pt idx="572">
                  <c:v>3.8191206393393822</c:v>
                </c:pt>
                <c:pt idx="573">
                  <c:v>3.8191206393393822</c:v>
                </c:pt>
                <c:pt idx="574">
                  <c:v>3.8191206393393822</c:v>
                </c:pt>
                <c:pt idx="575">
                  <c:v>3.8191206393393822</c:v>
                </c:pt>
                <c:pt idx="576">
                  <c:v>3.8191206393393822</c:v>
                </c:pt>
                <c:pt idx="577">
                  <c:v>3.8191206393393822</c:v>
                </c:pt>
                <c:pt idx="578">
                  <c:v>3.8191206393393822</c:v>
                </c:pt>
                <c:pt idx="579">
                  <c:v>3.8191206393393822</c:v>
                </c:pt>
                <c:pt idx="580">
                  <c:v>3.8191206393393822</c:v>
                </c:pt>
                <c:pt idx="581">
                  <c:v>3.8191206393393822</c:v>
                </c:pt>
                <c:pt idx="582">
                  <c:v>3.8191206393393822</c:v>
                </c:pt>
                <c:pt idx="583">
                  <c:v>3.8191206393393822</c:v>
                </c:pt>
                <c:pt idx="584">
                  <c:v>3.8191206393393822</c:v>
                </c:pt>
                <c:pt idx="585">
                  <c:v>3.8191206393393822</c:v>
                </c:pt>
                <c:pt idx="586">
                  <c:v>3.8191206393393822</c:v>
                </c:pt>
                <c:pt idx="587">
                  <c:v>3.8191206393393822</c:v>
                </c:pt>
                <c:pt idx="588">
                  <c:v>3.8191206393393822</c:v>
                </c:pt>
                <c:pt idx="589">
                  <c:v>3.8191206393393822</c:v>
                </c:pt>
                <c:pt idx="590">
                  <c:v>3.8191206393393822</c:v>
                </c:pt>
                <c:pt idx="591">
                  <c:v>3.8191206393393822</c:v>
                </c:pt>
                <c:pt idx="592">
                  <c:v>3.8191206393393822</c:v>
                </c:pt>
                <c:pt idx="593">
                  <c:v>3.8191206393393822</c:v>
                </c:pt>
                <c:pt idx="594">
                  <c:v>3.8191206393393822</c:v>
                </c:pt>
                <c:pt idx="595">
                  <c:v>3.8191206393393822</c:v>
                </c:pt>
                <c:pt idx="596">
                  <c:v>3.8191206393393822</c:v>
                </c:pt>
                <c:pt idx="597">
                  <c:v>3.8191206393393822</c:v>
                </c:pt>
                <c:pt idx="598">
                  <c:v>3.8191206393393822</c:v>
                </c:pt>
                <c:pt idx="599">
                  <c:v>3.8191206393393822</c:v>
                </c:pt>
                <c:pt idx="600">
                  <c:v>3.8191206393393822</c:v>
                </c:pt>
                <c:pt idx="601">
                  <c:v>3.8191206393393822</c:v>
                </c:pt>
                <c:pt idx="602">
                  <c:v>3.8191206393393822</c:v>
                </c:pt>
                <c:pt idx="603">
                  <c:v>3.8191206393393822</c:v>
                </c:pt>
                <c:pt idx="604">
                  <c:v>3.8191206393393822</c:v>
                </c:pt>
                <c:pt idx="605">
                  <c:v>3.8191206393393822</c:v>
                </c:pt>
                <c:pt idx="606">
                  <c:v>3.8191206393393822</c:v>
                </c:pt>
                <c:pt idx="607">
                  <c:v>3.8191206393393822</c:v>
                </c:pt>
                <c:pt idx="608">
                  <c:v>3.8191206393393822</c:v>
                </c:pt>
                <c:pt idx="609">
                  <c:v>3.8191206393393822</c:v>
                </c:pt>
                <c:pt idx="610">
                  <c:v>3.8191206393393822</c:v>
                </c:pt>
                <c:pt idx="611">
                  <c:v>3.8191206393393822</c:v>
                </c:pt>
                <c:pt idx="612">
                  <c:v>3.8191206393393822</c:v>
                </c:pt>
                <c:pt idx="613">
                  <c:v>3.8191206393393822</c:v>
                </c:pt>
                <c:pt idx="614">
                  <c:v>3.8191206393393822</c:v>
                </c:pt>
                <c:pt idx="615">
                  <c:v>3.8191206393393822</c:v>
                </c:pt>
                <c:pt idx="616">
                  <c:v>3.8191206393393822</c:v>
                </c:pt>
                <c:pt idx="617">
                  <c:v>3.8191206393393822</c:v>
                </c:pt>
                <c:pt idx="618">
                  <c:v>3.8191206393393822</c:v>
                </c:pt>
                <c:pt idx="619">
                  <c:v>3.8191206393393822</c:v>
                </c:pt>
                <c:pt idx="620">
                  <c:v>3.8191206393393822</c:v>
                </c:pt>
                <c:pt idx="621">
                  <c:v>3.8191206393393822</c:v>
                </c:pt>
                <c:pt idx="622">
                  <c:v>3.8191206393393822</c:v>
                </c:pt>
                <c:pt idx="623">
                  <c:v>3.8191206393393822</c:v>
                </c:pt>
                <c:pt idx="624">
                  <c:v>3.8191206393393822</c:v>
                </c:pt>
                <c:pt idx="625">
                  <c:v>3.8191206393393822</c:v>
                </c:pt>
                <c:pt idx="626">
                  <c:v>3.8191206393393822</c:v>
                </c:pt>
                <c:pt idx="627">
                  <c:v>3.8191206393393822</c:v>
                </c:pt>
                <c:pt idx="628">
                  <c:v>3.8191206393393822</c:v>
                </c:pt>
                <c:pt idx="629">
                  <c:v>3.8191206393393822</c:v>
                </c:pt>
                <c:pt idx="630">
                  <c:v>3.8191206393393822</c:v>
                </c:pt>
                <c:pt idx="631">
                  <c:v>3.8191206393393822</c:v>
                </c:pt>
                <c:pt idx="632">
                  <c:v>3.8191206393393822</c:v>
                </c:pt>
                <c:pt idx="633">
                  <c:v>3.8191206393393822</c:v>
                </c:pt>
                <c:pt idx="634">
                  <c:v>3.8191206393393822</c:v>
                </c:pt>
                <c:pt idx="635">
                  <c:v>3.8191206393393822</c:v>
                </c:pt>
                <c:pt idx="636">
                  <c:v>3.8191206393393822</c:v>
                </c:pt>
                <c:pt idx="637">
                  <c:v>3.8191206393393822</c:v>
                </c:pt>
                <c:pt idx="638">
                  <c:v>3.8191206393393822</c:v>
                </c:pt>
                <c:pt idx="639">
                  <c:v>3.8191206393393822</c:v>
                </c:pt>
                <c:pt idx="640">
                  <c:v>3.8191206393393822</c:v>
                </c:pt>
                <c:pt idx="641">
                  <c:v>3.8191206393393822</c:v>
                </c:pt>
                <c:pt idx="642">
                  <c:v>3.8191206393393822</c:v>
                </c:pt>
                <c:pt idx="643">
                  <c:v>3.8191206393393822</c:v>
                </c:pt>
                <c:pt idx="644">
                  <c:v>3.8191206393393822</c:v>
                </c:pt>
                <c:pt idx="645">
                  <c:v>3.8191206393393822</c:v>
                </c:pt>
                <c:pt idx="646">
                  <c:v>3.8191206393393822</c:v>
                </c:pt>
                <c:pt idx="647">
                  <c:v>3.8191206393393822</c:v>
                </c:pt>
                <c:pt idx="648">
                  <c:v>3.8191206393393822</c:v>
                </c:pt>
                <c:pt idx="649">
                  <c:v>3.8191206393393822</c:v>
                </c:pt>
                <c:pt idx="650">
                  <c:v>3.8191206393393822</c:v>
                </c:pt>
                <c:pt idx="651">
                  <c:v>3.8191206393393822</c:v>
                </c:pt>
                <c:pt idx="652">
                  <c:v>3.8191206393393822</c:v>
                </c:pt>
                <c:pt idx="653">
                  <c:v>3.8191206393393822</c:v>
                </c:pt>
                <c:pt idx="654">
                  <c:v>3.8191206393393822</c:v>
                </c:pt>
                <c:pt idx="655">
                  <c:v>3.8191206393393822</c:v>
                </c:pt>
                <c:pt idx="656">
                  <c:v>3.8191206393393822</c:v>
                </c:pt>
                <c:pt idx="657">
                  <c:v>3.8191206393393822</c:v>
                </c:pt>
                <c:pt idx="658">
                  <c:v>3.8191206393393822</c:v>
                </c:pt>
                <c:pt idx="659">
                  <c:v>3.8191206393393822</c:v>
                </c:pt>
                <c:pt idx="660">
                  <c:v>3.8191206393393822</c:v>
                </c:pt>
                <c:pt idx="661">
                  <c:v>3.8191206393393822</c:v>
                </c:pt>
                <c:pt idx="662">
                  <c:v>3.8191206393393822</c:v>
                </c:pt>
                <c:pt idx="663">
                  <c:v>3.8191206393393822</c:v>
                </c:pt>
                <c:pt idx="664">
                  <c:v>3.8191206393393822</c:v>
                </c:pt>
                <c:pt idx="665">
                  <c:v>3.8191206393393822</c:v>
                </c:pt>
                <c:pt idx="666">
                  <c:v>3.8191206393393822</c:v>
                </c:pt>
                <c:pt idx="667">
                  <c:v>3.8191206393393822</c:v>
                </c:pt>
                <c:pt idx="668">
                  <c:v>3.8191206393393822</c:v>
                </c:pt>
                <c:pt idx="669">
                  <c:v>3.8191206393393822</c:v>
                </c:pt>
                <c:pt idx="670">
                  <c:v>3.8191206393393822</c:v>
                </c:pt>
                <c:pt idx="671">
                  <c:v>3.8191206393393822</c:v>
                </c:pt>
                <c:pt idx="672">
                  <c:v>3.8191206393393822</c:v>
                </c:pt>
                <c:pt idx="673">
                  <c:v>3.8191206393393822</c:v>
                </c:pt>
                <c:pt idx="674">
                  <c:v>3.8191206393393822</c:v>
                </c:pt>
                <c:pt idx="675">
                  <c:v>3.8191206393393822</c:v>
                </c:pt>
                <c:pt idx="676">
                  <c:v>3.8191206393393822</c:v>
                </c:pt>
                <c:pt idx="677">
                  <c:v>3.8191206393393822</c:v>
                </c:pt>
                <c:pt idx="678">
                  <c:v>3.8191206393393822</c:v>
                </c:pt>
                <c:pt idx="679">
                  <c:v>3.8191206393393822</c:v>
                </c:pt>
                <c:pt idx="680">
                  <c:v>3.8191206393393822</c:v>
                </c:pt>
                <c:pt idx="681">
                  <c:v>3.8191206393393822</c:v>
                </c:pt>
                <c:pt idx="682">
                  <c:v>3.8191206393393822</c:v>
                </c:pt>
                <c:pt idx="683">
                  <c:v>3.8191206393393822</c:v>
                </c:pt>
                <c:pt idx="684">
                  <c:v>3.8191206393393822</c:v>
                </c:pt>
                <c:pt idx="685">
                  <c:v>3.8191206393393822</c:v>
                </c:pt>
                <c:pt idx="686">
                  <c:v>3.8191206393393822</c:v>
                </c:pt>
                <c:pt idx="687">
                  <c:v>3.8191206393393822</c:v>
                </c:pt>
                <c:pt idx="688">
                  <c:v>3.8191206393393822</c:v>
                </c:pt>
                <c:pt idx="689">
                  <c:v>3.8191206393393822</c:v>
                </c:pt>
                <c:pt idx="690">
                  <c:v>3.8191206393393822</c:v>
                </c:pt>
                <c:pt idx="691">
                  <c:v>3.8191206393393822</c:v>
                </c:pt>
                <c:pt idx="692">
                  <c:v>3.8191206393393822</c:v>
                </c:pt>
                <c:pt idx="693">
                  <c:v>3.8191206393393822</c:v>
                </c:pt>
                <c:pt idx="694">
                  <c:v>3.8191206393393822</c:v>
                </c:pt>
                <c:pt idx="695">
                  <c:v>3.8191206393393822</c:v>
                </c:pt>
                <c:pt idx="696">
                  <c:v>3.8191206393393822</c:v>
                </c:pt>
                <c:pt idx="697">
                  <c:v>3.8191206393393822</c:v>
                </c:pt>
                <c:pt idx="698">
                  <c:v>3.8191206393393822</c:v>
                </c:pt>
                <c:pt idx="699">
                  <c:v>3.8191206393393822</c:v>
                </c:pt>
                <c:pt idx="700">
                  <c:v>3.8191206393393822</c:v>
                </c:pt>
                <c:pt idx="701">
                  <c:v>3.8191206393393822</c:v>
                </c:pt>
                <c:pt idx="702">
                  <c:v>3.8191206393393822</c:v>
                </c:pt>
                <c:pt idx="703">
                  <c:v>3.8191206393393822</c:v>
                </c:pt>
                <c:pt idx="704">
                  <c:v>3.8191206393393822</c:v>
                </c:pt>
                <c:pt idx="705">
                  <c:v>3.8191206393393822</c:v>
                </c:pt>
                <c:pt idx="706">
                  <c:v>3.8191206393393822</c:v>
                </c:pt>
                <c:pt idx="707">
                  <c:v>3.8191206393393822</c:v>
                </c:pt>
                <c:pt idx="708">
                  <c:v>3.8191206393393822</c:v>
                </c:pt>
                <c:pt idx="709">
                  <c:v>3.8191206393393822</c:v>
                </c:pt>
                <c:pt idx="710">
                  <c:v>3.8191206393393822</c:v>
                </c:pt>
                <c:pt idx="711">
                  <c:v>3.8191206393393822</c:v>
                </c:pt>
                <c:pt idx="712">
                  <c:v>3.8191206393393822</c:v>
                </c:pt>
                <c:pt idx="713">
                  <c:v>3.8191206393393822</c:v>
                </c:pt>
                <c:pt idx="714">
                  <c:v>3.8191206393393822</c:v>
                </c:pt>
                <c:pt idx="715">
                  <c:v>3.8191206393393822</c:v>
                </c:pt>
                <c:pt idx="716">
                  <c:v>3.8191206393393822</c:v>
                </c:pt>
                <c:pt idx="717">
                  <c:v>3.8191206393393822</c:v>
                </c:pt>
                <c:pt idx="718">
                  <c:v>3.8191206393393822</c:v>
                </c:pt>
                <c:pt idx="719">
                  <c:v>3.8191206393393822</c:v>
                </c:pt>
                <c:pt idx="720">
                  <c:v>3.8191206393393822</c:v>
                </c:pt>
                <c:pt idx="721">
                  <c:v>3.8191206393393822</c:v>
                </c:pt>
                <c:pt idx="722">
                  <c:v>3.8191206393393822</c:v>
                </c:pt>
                <c:pt idx="723">
                  <c:v>3.8191206393393822</c:v>
                </c:pt>
                <c:pt idx="724">
                  <c:v>3.8191206393393822</c:v>
                </c:pt>
                <c:pt idx="725">
                  <c:v>3.8191206393393822</c:v>
                </c:pt>
                <c:pt idx="726">
                  <c:v>3.8191206393393822</c:v>
                </c:pt>
                <c:pt idx="727">
                  <c:v>3.8191206393393822</c:v>
                </c:pt>
                <c:pt idx="728">
                  <c:v>3.8191206393393822</c:v>
                </c:pt>
                <c:pt idx="729">
                  <c:v>3.8191206393393822</c:v>
                </c:pt>
                <c:pt idx="730">
                  <c:v>3.8191206393393822</c:v>
                </c:pt>
                <c:pt idx="731">
                  <c:v>3.8191206393393822</c:v>
                </c:pt>
                <c:pt idx="732">
                  <c:v>3.8191206393393822</c:v>
                </c:pt>
                <c:pt idx="733">
                  <c:v>3.8191206393393822</c:v>
                </c:pt>
                <c:pt idx="734">
                  <c:v>3.8191206393393822</c:v>
                </c:pt>
                <c:pt idx="735">
                  <c:v>3.8191206393393822</c:v>
                </c:pt>
                <c:pt idx="736">
                  <c:v>3.8191206393393822</c:v>
                </c:pt>
                <c:pt idx="737">
                  <c:v>3.8191206393393822</c:v>
                </c:pt>
                <c:pt idx="738">
                  <c:v>3.8191206393393822</c:v>
                </c:pt>
                <c:pt idx="739">
                  <c:v>3.8191206393393822</c:v>
                </c:pt>
                <c:pt idx="740">
                  <c:v>3.8191206393393822</c:v>
                </c:pt>
                <c:pt idx="741">
                  <c:v>3.8191206393393822</c:v>
                </c:pt>
                <c:pt idx="742">
                  <c:v>3.8191206393393822</c:v>
                </c:pt>
                <c:pt idx="743">
                  <c:v>3.8191206393393822</c:v>
                </c:pt>
                <c:pt idx="744">
                  <c:v>3.8191206393393822</c:v>
                </c:pt>
                <c:pt idx="745">
                  <c:v>3.8191206393393822</c:v>
                </c:pt>
                <c:pt idx="746">
                  <c:v>3.8191206393393822</c:v>
                </c:pt>
                <c:pt idx="747">
                  <c:v>3.8191206393393822</c:v>
                </c:pt>
                <c:pt idx="748">
                  <c:v>3.8191206393393822</c:v>
                </c:pt>
                <c:pt idx="749">
                  <c:v>3.8191206393393822</c:v>
                </c:pt>
                <c:pt idx="750">
                  <c:v>2.1388579511305732</c:v>
                </c:pt>
                <c:pt idx="751">
                  <c:v>2.1388579511305732</c:v>
                </c:pt>
                <c:pt idx="752">
                  <c:v>2.1388579511305732</c:v>
                </c:pt>
                <c:pt idx="753">
                  <c:v>2.1388579511305732</c:v>
                </c:pt>
                <c:pt idx="754">
                  <c:v>2.1388579511305732</c:v>
                </c:pt>
                <c:pt idx="755">
                  <c:v>2.1388579511305732</c:v>
                </c:pt>
                <c:pt idx="756">
                  <c:v>2.1388579511305732</c:v>
                </c:pt>
                <c:pt idx="757">
                  <c:v>2.1388579511305732</c:v>
                </c:pt>
                <c:pt idx="758">
                  <c:v>2.1388579511305732</c:v>
                </c:pt>
                <c:pt idx="759">
                  <c:v>2.1388579511305732</c:v>
                </c:pt>
                <c:pt idx="760">
                  <c:v>2.1388579511305732</c:v>
                </c:pt>
                <c:pt idx="761">
                  <c:v>7.3617115683267258</c:v>
                </c:pt>
                <c:pt idx="762">
                  <c:v>7.3617115683267258</c:v>
                </c:pt>
                <c:pt idx="763">
                  <c:v>7.3617115683267258</c:v>
                </c:pt>
                <c:pt idx="764">
                  <c:v>7.3617115683267258</c:v>
                </c:pt>
                <c:pt idx="765">
                  <c:v>7.3617115683267258</c:v>
                </c:pt>
                <c:pt idx="766">
                  <c:v>7.3617115683267258</c:v>
                </c:pt>
                <c:pt idx="767">
                  <c:v>7.3617115683267258</c:v>
                </c:pt>
                <c:pt idx="768">
                  <c:v>7.3617115683267258</c:v>
                </c:pt>
                <c:pt idx="769">
                  <c:v>7.3617115683267258</c:v>
                </c:pt>
                <c:pt idx="770">
                  <c:v>7.3617115683267258</c:v>
                </c:pt>
                <c:pt idx="771">
                  <c:v>7.3617115683267258</c:v>
                </c:pt>
                <c:pt idx="772">
                  <c:v>7.3617115683267258</c:v>
                </c:pt>
                <c:pt idx="773">
                  <c:v>7.3617115683267258</c:v>
                </c:pt>
                <c:pt idx="774">
                  <c:v>7.3617115683267258</c:v>
                </c:pt>
                <c:pt idx="775">
                  <c:v>7.3617115683267258</c:v>
                </c:pt>
                <c:pt idx="776">
                  <c:v>7.3617115683267258</c:v>
                </c:pt>
                <c:pt idx="777">
                  <c:v>7.3617115683267258</c:v>
                </c:pt>
                <c:pt idx="778">
                  <c:v>7.3617115683267258</c:v>
                </c:pt>
                <c:pt idx="779">
                  <c:v>7.3617115683267258</c:v>
                </c:pt>
                <c:pt idx="780">
                  <c:v>7.3617115683267258</c:v>
                </c:pt>
                <c:pt idx="781">
                  <c:v>7.3617115683267258</c:v>
                </c:pt>
                <c:pt idx="782">
                  <c:v>7.3617115683267258</c:v>
                </c:pt>
                <c:pt idx="783">
                  <c:v>7.3617115683267258</c:v>
                </c:pt>
                <c:pt idx="784">
                  <c:v>7.3617115683267258</c:v>
                </c:pt>
                <c:pt idx="785">
                  <c:v>7.3617115683267258</c:v>
                </c:pt>
                <c:pt idx="786">
                  <c:v>7.3617115683267258</c:v>
                </c:pt>
                <c:pt idx="787">
                  <c:v>12.697082100333608</c:v>
                </c:pt>
                <c:pt idx="788">
                  <c:v>12.697082100333608</c:v>
                </c:pt>
                <c:pt idx="789">
                  <c:v>12.697082100333608</c:v>
                </c:pt>
                <c:pt idx="790">
                  <c:v>12.697082100333608</c:v>
                </c:pt>
                <c:pt idx="791">
                  <c:v>12.697082100333608</c:v>
                </c:pt>
                <c:pt idx="792">
                  <c:v>12.697082100333608</c:v>
                </c:pt>
                <c:pt idx="793">
                  <c:v>12.697082100333608</c:v>
                </c:pt>
                <c:pt idx="794">
                  <c:v>12.697082100333608</c:v>
                </c:pt>
                <c:pt idx="795">
                  <c:v>12.697082100333608</c:v>
                </c:pt>
                <c:pt idx="796">
                  <c:v>12.697082100333608</c:v>
                </c:pt>
                <c:pt idx="797">
                  <c:v>12.697082100333608</c:v>
                </c:pt>
                <c:pt idx="798">
                  <c:v>9.9751715831189358</c:v>
                </c:pt>
                <c:pt idx="799">
                  <c:v>9.9751715831189358</c:v>
                </c:pt>
                <c:pt idx="800">
                  <c:v>9.9751715831189358</c:v>
                </c:pt>
                <c:pt idx="801">
                  <c:v>9.9751715831189358</c:v>
                </c:pt>
                <c:pt idx="802">
                  <c:v>9.9751715831189358</c:v>
                </c:pt>
                <c:pt idx="803">
                  <c:v>9.9751715831189358</c:v>
                </c:pt>
                <c:pt idx="804">
                  <c:v>9.9751715831189358</c:v>
                </c:pt>
                <c:pt idx="805">
                  <c:v>9.9751715831189358</c:v>
                </c:pt>
                <c:pt idx="806">
                  <c:v>9.9751715831189358</c:v>
                </c:pt>
                <c:pt idx="807">
                  <c:v>9.9751715831189358</c:v>
                </c:pt>
                <c:pt idx="808">
                  <c:v>9.9751715831189358</c:v>
                </c:pt>
                <c:pt idx="809">
                  <c:v>9.9751715831189358</c:v>
                </c:pt>
                <c:pt idx="810">
                  <c:v>9.9751715831189358</c:v>
                </c:pt>
                <c:pt idx="811">
                  <c:v>9.9751715831189358</c:v>
                </c:pt>
                <c:pt idx="812">
                  <c:v>9.9751715831189358</c:v>
                </c:pt>
                <c:pt idx="813">
                  <c:v>9.9751715831189358</c:v>
                </c:pt>
                <c:pt idx="814">
                  <c:v>9.9751715831189358</c:v>
                </c:pt>
                <c:pt idx="815">
                  <c:v>9.9751715831189358</c:v>
                </c:pt>
                <c:pt idx="816">
                  <c:v>9.9751715831189358</c:v>
                </c:pt>
                <c:pt idx="817">
                  <c:v>9.9751715831189358</c:v>
                </c:pt>
                <c:pt idx="818">
                  <c:v>9.9751715831189358</c:v>
                </c:pt>
                <c:pt idx="819">
                  <c:v>9.9751715831189358</c:v>
                </c:pt>
                <c:pt idx="820">
                  <c:v>9.9751715831189358</c:v>
                </c:pt>
                <c:pt idx="821">
                  <c:v>9.9751715831189358</c:v>
                </c:pt>
                <c:pt idx="822">
                  <c:v>9.9751715831189358</c:v>
                </c:pt>
                <c:pt idx="823">
                  <c:v>9.9751715831189358</c:v>
                </c:pt>
                <c:pt idx="824">
                  <c:v>9.9751715831189358</c:v>
                </c:pt>
                <c:pt idx="825">
                  <c:v>9.9751715831189358</c:v>
                </c:pt>
                <c:pt idx="826">
                  <c:v>9.9751715831189358</c:v>
                </c:pt>
                <c:pt idx="827">
                  <c:v>9.9751715831189358</c:v>
                </c:pt>
                <c:pt idx="828">
                  <c:v>9.9751715831189358</c:v>
                </c:pt>
                <c:pt idx="829">
                  <c:v>9.9751715831189358</c:v>
                </c:pt>
                <c:pt idx="830">
                  <c:v>9.9751715831189358</c:v>
                </c:pt>
                <c:pt idx="831">
                  <c:v>9.9751715831189358</c:v>
                </c:pt>
                <c:pt idx="832">
                  <c:v>9.9751715831189358</c:v>
                </c:pt>
                <c:pt idx="833">
                  <c:v>9.9751715831189358</c:v>
                </c:pt>
                <c:pt idx="834">
                  <c:v>9.9751715831189358</c:v>
                </c:pt>
                <c:pt idx="835">
                  <c:v>9.9751715831189358</c:v>
                </c:pt>
                <c:pt idx="836">
                  <c:v>9.9751715831189358</c:v>
                </c:pt>
                <c:pt idx="837">
                  <c:v>9.9751715831189358</c:v>
                </c:pt>
                <c:pt idx="838">
                  <c:v>9.9751715831189358</c:v>
                </c:pt>
                <c:pt idx="839">
                  <c:v>9.9751715831189358</c:v>
                </c:pt>
                <c:pt idx="840">
                  <c:v>9.9751715831189358</c:v>
                </c:pt>
                <c:pt idx="841">
                  <c:v>9.9751715831189358</c:v>
                </c:pt>
                <c:pt idx="842">
                  <c:v>9.9751715831189358</c:v>
                </c:pt>
                <c:pt idx="843">
                  <c:v>9.9751715831189358</c:v>
                </c:pt>
                <c:pt idx="844">
                  <c:v>9.9751715831189358</c:v>
                </c:pt>
                <c:pt idx="845">
                  <c:v>9.9751715831189358</c:v>
                </c:pt>
                <c:pt idx="846">
                  <c:v>9.9751715831189358</c:v>
                </c:pt>
                <c:pt idx="847">
                  <c:v>9.9751715831189358</c:v>
                </c:pt>
                <c:pt idx="848">
                  <c:v>9.9751715831189358</c:v>
                </c:pt>
                <c:pt idx="849">
                  <c:v>9.9751715831189358</c:v>
                </c:pt>
                <c:pt idx="850">
                  <c:v>9.9751715831189358</c:v>
                </c:pt>
                <c:pt idx="851">
                  <c:v>9.9751715831189358</c:v>
                </c:pt>
                <c:pt idx="852">
                  <c:v>9.9751715831189358</c:v>
                </c:pt>
                <c:pt idx="853">
                  <c:v>9.9751715831189358</c:v>
                </c:pt>
                <c:pt idx="854">
                  <c:v>9.9751715831189358</c:v>
                </c:pt>
                <c:pt idx="855">
                  <c:v>9.9751715831189358</c:v>
                </c:pt>
                <c:pt idx="856">
                  <c:v>9.9751715831189358</c:v>
                </c:pt>
                <c:pt idx="857">
                  <c:v>9.9751715831189358</c:v>
                </c:pt>
                <c:pt idx="858">
                  <c:v>9.9751715831189358</c:v>
                </c:pt>
                <c:pt idx="859">
                  <c:v>9.9751715831189358</c:v>
                </c:pt>
                <c:pt idx="860">
                  <c:v>9.9751715831189358</c:v>
                </c:pt>
                <c:pt idx="861">
                  <c:v>9.9751715831189358</c:v>
                </c:pt>
                <c:pt idx="862">
                  <c:v>9.9751715831189358</c:v>
                </c:pt>
                <c:pt idx="863">
                  <c:v>9.9751715831189358</c:v>
                </c:pt>
                <c:pt idx="864">
                  <c:v>9.9751715831189358</c:v>
                </c:pt>
                <c:pt idx="865">
                  <c:v>9.9751715831189358</c:v>
                </c:pt>
                <c:pt idx="866">
                  <c:v>9.9751715831189358</c:v>
                </c:pt>
                <c:pt idx="867">
                  <c:v>9.9751715831189358</c:v>
                </c:pt>
                <c:pt idx="868">
                  <c:v>9.9751715831189358</c:v>
                </c:pt>
                <c:pt idx="869">
                  <c:v>9.9751715831189358</c:v>
                </c:pt>
                <c:pt idx="870">
                  <c:v>9.9751715831189358</c:v>
                </c:pt>
                <c:pt idx="871">
                  <c:v>9.9751715831189358</c:v>
                </c:pt>
                <c:pt idx="872">
                  <c:v>9.9751715831189358</c:v>
                </c:pt>
                <c:pt idx="873">
                  <c:v>9.9751715831189358</c:v>
                </c:pt>
                <c:pt idx="874">
                  <c:v>9.9751715831189358</c:v>
                </c:pt>
                <c:pt idx="875">
                  <c:v>9.9751715831189358</c:v>
                </c:pt>
                <c:pt idx="876">
                  <c:v>9.9751715831189358</c:v>
                </c:pt>
                <c:pt idx="877">
                  <c:v>9.9751715831189358</c:v>
                </c:pt>
                <c:pt idx="878">
                  <c:v>9.9751715831189358</c:v>
                </c:pt>
                <c:pt idx="879">
                  <c:v>9.9751715831189358</c:v>
                </c:pt>
                <c:pt idx="880">
                  <c:v>9.9751715831189358</c:v>
                </c:pt>
                <c:pt idx="881">
                  <c:v>9.9751715831189358</c:v>
                </c:pt>
                <c:pt idx="882">
                  <c:v>9.9751715831189358</c:v>
                </c:pt>
                <c:pt idx="883">
                  <c:v>9.9751715831189358</c:v>
                </c:pt>
                <c:pt idx="884">
                  <c:v>9.9751715831189358</c:v>
                </c:pt>
                <c:pt idx="885">
                  <c:v>9.9751715831189358</c:v>
                </c:pt>
                <c:pt idx="886">
                  <c:v>9.9751715831189358</c:v>
                </c:pt>
                <c:pt idx="887">
                  <c:v>7.3617115683267258</c:v>
                </c:pt>
                <c:pt idx="888">
                  <c:v>7.3617115683267258</c:v>
                </c:pt>
                <c:pt idx="889">
                  <c:v>7.3617115683267258</c:v>
                </c:pt>
                <c:pt idx="890">
                  <c:v>7.3617115683267258</c:v>
                </c:pt>
                <c:pt idx="891">
                  <c:v>7.3617115683267258</c:v>
                </c:pt>
                <c:pt idx="892">
                  <c:v>7.3617115683267258</c:v>
                </c:pt>
                <c:pt idx="893">
                  <c:v>7.3617115683267258</c:v>
                </c:pt>
                <c:pt idx="894">
                  <c:v>12.697082100333608</c:v>
                </c:pt>
                <c:pt idx="895">
                  <c:v>12.697082100333608</c:v>
                </c:pt>
                <c:pt idx="896">
                  <c:v>12.697082100333608</c:v>
                </c:pt>
                <c:pt idx="897">
                  <c:v>12.697082100333608</c:v>
                </c:pt>
                <c:pt idx="898">
                  <c:v>12.697082100333608</c:v>
                </c:pt>
                <c:pt idx="899">
                  <c:v>12.697082100333608</c:v>
                </c:pt>
                <c:pt idx="900">
                  <c:v>12.697082100333608</c:v>
                </c:pt>
                <c:pt idx="901">
                  <c:v>12.697082100333608</c:v>
                </c:pt>
                <c:pt idx="902">
                  <c:v>12.697082100333608</c:v>
                </c:pt>
                <c:pt idx="903">
                  <c:v>12.697082100333608</c:v>
                </c:pt>
                <c:pt idx="904">
                  <c:v>12.697082100333608</c:v>
                </c:pt>
                <c:pt idx="905">
                  <c:v>12.697082100333608</c:v>
                </c:pt>
                <c:pt idx="906">
                  <c:v>12.697082100333608</c:v>
                </c:pt>
                <c:pt idx="907">
                  <c:v>12.697082100333608</c:v>
                </c:pt>
                <c:pt idx="908">
                  <c:v>12.697082100333608</c:v>
                </c:pt>
                <c:pt idx="909">
                  <c:v>12.697082100333608</c:v>
                </c:pt>
                <c:pt idx="910">
                  <c:v>12.697082100333608</c:v>
                </c:pt>
                <c:pt idx="911">
                  <c:v>12.697082100333608</c:v>
                </c:pt>
                <c:pt idx="912">
                  <c:v>12.697082100333608</c:v>
                </c:pt>
                <c:pt idx="913">
                  <c:v>12.697082100333608</c:v>
                </c:pt>
                <c:pt idx="914">
                  <c:v>12.697082100333608</c:v>
                </c:pt>
                <c:pt idx="915">
                  <c:v>12.697082100333608</c:v>
                </c:pt>
                <c:pt idx="916">
                  <c:v>12.697082100333608</c:v>
                </c:pt>
                <c:pt idx="917">
                  <c:v>12.697082100333608</c:v>
                </c:pt>
                <c:pt idx="918">
                  <c:v>12.697082100333608</c:v>
                </c:pt>
                <c:pt idx="919">
                  <c:v>12.697082100333608</c:v>
                </c:pt>
                <c:pt idx="920">
                  <c:v>12.697082100333608</c:v>
                </c:pt>
                <c:pt idx="921">
                  <c:v>12.697082100333608</c:v>
                </c:pt>
                <c:pt idx="922">
                  <c:v>12.697082100333608</c:v>
                </c:pt>
                <c:pt idx="923">
                  <c:v>9.9751715831189358</c:v>
                </c:pt>
                <c:pt idx="924">
                  <c:v>9.9751715831189358</c:v>
                </c:pt>
                <c:pt idx="925">
                  <c:v>9.9751715831189358</c:v>
                </c:pt>
                <c:pt idx="926">
                  <c:v>9.9751715831189358</c:v>
                </c:pt>
                <c:pt idx="927">
                  <c:v>9.9751715831189358</c:v>
                </c:pt>
                <c:pt idx="928">
                  <c:v>9.9751715831189358</c:v>
                </c:pt>
                <c:pt idx="929">
                  <c:v>9.9751715831189358</c:v>
                </c:pt>
                <c:pt idx="930">
                  <c:v>9.9751715831189358</c:v>
                </c:pt>
                <c:pt idx="931">
                  <c:v>9.9751715831189358</c:v>
                </c:pt>
                <c:pt idx="932">
                  <c:v>9.9751715831189358</c:v>
                </c:pt>
                <c:pt idx="933">
                  <c:v>9.9751715831189358</c:v>
                </c:pt>
                <c:pt idx="934">
                  <c:v>9.9751715831189358</c:v>
                </c:pt>
                <c:pt idx="935">
                  <c:v>3.8191206393393822</c:v>
                </c:pt>
                <c:pt idx="936">
                  <c:v>3.8191206393393822</c:v>
                </c:pt>
                <c:pt idx="937">
                  <c:v>7.3617115683267258</c:v>
                </c:pt>
                <c:pt idx="938">
                  <c:v>7.3617115683267258</c:v>
                </c:pt>
                <c:pt idx="939">
                  <c:v>7.3617115683267258</c:v>
                </c:pt>
                <c:pt idx="940">
                  <c:v>7.3617115683267258</c:v>
                </c:pt>
                <c:pt idx="941">
                  <c:v>7.3617115683267258</c:v>
                </c:pt>
                <c:pt idx="942">
                  <c:v>7.3617115683267258</c:v>
                </c:pt>
                <c:pt idx="943">
                  <c:v>12.697082100333608</c:v>
                </c:pt>
                <c:pt idx="944">
                  <c:v>12.697082100333608</c:v>
                </c:pt>
                <c:pt idx="945">
                  <c:v>12.697082100333608</c:v>
                </c:pt>
                <c:pt idx="946">
                  <c:v>12.697082100333608</c:v>
                </c:pt>
                <c:pt idx="947">
                  <c:v>12.697082100333608</c:v>
                </c:pt>
                <c:pt idx="948">
                  <c:v>12.697082100333608</c:v>
                </c:pt>
                <c:pt idx="949">
                  <c:v>12.697082100333608</c:v>
                </c:pt>
                <c:pt idx="950">
                  <c:v>12.697082100333608</c:v>
                </c:pt>
                <c:pt idx="951">
                  <c:v>12.697082100333608</c:v>
                </c:pt>
                <c:pt idx="952">
                  <c:v>12.697082100333608</c:v>
                </c:pt>
                <c:pt idx="953">
                  <c:v>12.697082100333608</c:v>
                </c:pt>
                <c:pt idx="954">
                  <c:v>9.9751715831189358</c:v>
                </c:pt>
                <c:pt idx="955">
                  <c:v>9.9751715831189358</c:v>
                </c:pt>
                <c:pt idx="956">
                  <c:v>9.9751715831189358</c:v>
                </c:pt>
                <c:pt idx="957">
                  <c:v>9.9751715831189358</c:v>
                </c:pt>
                <c:pt idx="958">
                  <c:v>9.9751715831189358</c:v>
                </c:pt>
                <c:pt idx="959">
                  <c:v>9.9751715831189358</c:v>
                </c:pt>
                <c:pt idx="960">
                  <c:v>9.9751715831189358</c:v>
                </c:pt>
                <c:pt idx="961">
                  <c:v>9.9751715831189358</c:v>
                </c:pt>
                <c:pt idx="962">
                  <c:v>9.9751715831189358</c:v>
                </c:pt>
                <c:pt idx="963">
                  <c:v>9.9751715831189358</c:v>
                </c:pt>
                <c:pt idx="964">
                  <c:v>9.9751715831189358</c:v>
                </c:pt>
                <c:pt idx="965">
                  <c:v>9.9751715831189358</c:v>
                </c:pt>
                <c:pt idx="966">
                  <c:v>9.9751715831189358</c:v>
                </c:pt>
                <c:pt idx="967">
                  <c:v>9.9751715831189358</c:v>
                </c:pt>
                <c:pt idx="968">
                  <c:v>9.9751715831189358</c:v>
                </c:pt>
                <c:pt idx="969">
                  <c:v>9.9751715831189358</c:v>
                </c:pt>
                <c:pt idx="970">
                  <c:v>9.9751715831189358</c:v>
                </c:pt>
                <c:pt idx="971">
                  <c:v>9.9751715831189358</c:v>
                </c:pt>
                <c:pt idx="972">
                  <c:v>9.9751715831189358</c:v>
                </c:pt>
                <c:pt idx="973">
                  <c:v>9.9751715831189358</c:v>
                </c:pt>
                <c:pt idx="974">
                  <c:v>9.9751715831189358</c:v>
                </c:pt>
                <c:pt idx="975">
                  <c:v>9.9751715831189358</c:v>
                </c:pt>
                <c:pt idx="976">
                  <c:v>9.9751715831189358</c:v>
                </c:pt>
                <c:pt idx="977">
                  <c:v>9.9751715831189358</c:v>
                </c:pt>
                <c:pt idx="978">
                  <c:v>9.9751715831189358</c:v>
                </c:pt>
                <c:pt idx="979">
                  <c:v>9.9751715831189358</c:v>
                </c:pt>
                <c:pt idx="980">
                  <c:v>9.9751715831189358</c:v>
                </c:pt>
                <c:pt idx="981">
                  <c:v>9.9751715831189358</c:v>
                </c:pt>
                <c:pt idx="982">
                  <c:v>9.9751715831189358</c:v>
                </c:pt>
                <c:pt idx="983">
                  <c:v>7.3617115683267258</c:v>
                </c:pt>
                <c:pt idx="984">
                  <c:v>7.3617115683267258</c:v>
                </c:pt>
                <c:pt idx="985">
                  <c:v>7.3617115683267258</c:v>
                </c:pt>
                <c:pt idx="986">
                  <c:v>7.3617115683267258</c:v>
                </c:pt>
                <c:pt idx="987">
                  <c:v>7.3617115683267258</c:v>
                </c:pt>
                <c:pt idx="988">
                  <c:v>7.3617115683267258</c:v>
                </c:pt>
                <c:pt idx="989">
                  <c:v>7.3617115683267258</c:v>
                </c:pt>
                <c:pt idx="990">
                  <c:v>7.3617115683267258</c:v>
                </c:pt>
                <c:pt idx="991">
                  <c:v>7.3617115683267258</c:v>
                </c:pt>
                <c:pt idx="992">
                  <c:v>7.3617115683267258</c:v>
                </c:pt>
                <c:pt idx="993">
                  <c:v>7.3617115683267258</c:v>
                </c:pt>
                <c:pt idx="994">
                  <c:v>7.3617115683267258</c:v>
                </c:pt>
                <c:pt idx="995">
                  <c:v>7.3617115683267258</c:v>
                </c:pt>
                <c:pt idx="996">
                  <c:v>7.3617115683267258</c:v>
                </c:pt>
                <c:pt idx="997">
                  <c:v>7.3617115683267258</c:v>
                </c:pt>
                <c:pt idx="998">
                  <c:v>7.3617115683267258</c:v>
                </c:pt>
                <c:pt idx="999">
                  <c:v>7.3617115683267258</c:v>
                </c:pt>
                <c:pt idx="1000">
                  <c:v>7.3617115683267258</c:v>
                </c:pt>
                <c:pt idx="1001">
                  <c:v>7.3617115683267258</c:v>
                </c:pt>
                <c:pt idx="1002">
                  <c:v>7.3617115683267258</c:v>
                </c:pt>
                <c:pt idx="1003">
                  <c:v>7.3617115683267258</c:v>
                </c:pt>
                <c:pt idx="1004">
                  <c:v>7.3617115683267258</c:v>
                </c:pt>
                <c:pt idx="1005">
                  <c:v>7.3617115683267258</c:v>
                </c:pt>
                <c:pt idx="1006">
                  <c:v>9.9751715831189358</c:v>
                </c:pt>
                <c:pt idx="1007">
                  <c:v>9.9751715831189358</c:v>
                </c:pt>
                <c:pt idx="1008">
                  <c:v>9.9751715831189358</c:v>
                </c:pt>
                <c:pt idx="1009">
                  <c:v>9.9751715831189358</c:v>
                </c:pt>
                <c:pt idx="1010">
                  <c:v>9.9751715831189358</c:v>
                </c:pt>
                <c:pt idx="1011">
                  <c:v>9.9751715831189358</c:v>
                </c:pt>
                <c:pt idx="1012">
                  <c:v>9.9751715831189358</c:v>
                </c:pt>
                <c:pt idx="1013">
                  <c:v>9.9751715831189358</c:v>
                </c:pt>
                <c:pt idx="1014">
                  <c:v>9.9751715831189358</c:v>
                </c:pt>
                <c:pt idx="1015">
                  <c:v>9.9751715831189358</c:v>
                </c:pt>
                <c:pt idx="1016">
                  <c:v>9.9751715831189358</c:v>
                </c:pt>
                <c:pt idx="1017">
                  <c:v>9.9751715831189358</c:v>
                </c:pt>
                <c:pt idx="1018">
                  <c:v>9.9751715831189358</c:v>
                </c:pt>
                <c:pt idx="1019">
                  <c:v>9.9751715831189358</c:v>
                </c:pt>
                <c:pt idx="1020">
                  <c:v>9.9751715831189358</c:v>
                </c:pt>
                <c:pt idx="1021">
                  <c:v>9.9751715831189358</c:v>
                </c:pt>
                <c:pt idx="1022">
                  <c:v>9.9751715831189358</c:v>
                </c:pt>
                <c:pt idx="1023">
                  <c:v>9.9751715831189358</c:v>
                </c:pt>
                <c:pt idx="1024">
                  <c:v>9.9751715831189358</c:v>
                </c:pt>
                <c:pt idx="1025">
                  <c:v>9.9751715831189358</c:v>
                </c:pt>
                <c:pt idx="1026">
                  <c:v>9.9751715831189358</c:v>
                </c:pt>
                <c:pt idx="1027">
                  <c:v>9.9751715831189358</c:v>
                </c:pt>
                <c:pt idx="1028">
                  <c:v>9.9751715831189358</c:v>
                </c:pt>
                <c:pt idx="1029">
                  <c:v>9.9751715831189358</c:v>
                </c:pt>
                <c:pt idx="1030">
                  <c:v>9.9751715831189358</c:v>
                </c:pt>
                <c:pt idx="1031">
                  <c:v>9.9751715831189358</c:v>
                </c:pt>
                <c:pt idx="1032">
                  <c:v>9.9751715831189358</c:v>
                </c:pt>
                <c:pt idx="1033">
                  <c:v>9.9751715831189358</c:v>
                </c:pt>
                <c:pt idx="1034">
                  <c:v>9.9751715831189358</c:v>
                </c:pt>
                <c:pt idx="1035">
                  <c:v>9.9751715831189358</c:v>
                </c:pt>
                <c:pt idx="1036">
                  <c:v>9.9751715831189358</c:v>
                </c:pt>
                <c:pt idx="1037">
                  <c:v>9.9751715831189358</c:v>
                </c:pt>
                <c:pt idx="1038">
                  <c:v>9.9751715831189358</c:v>
                </c:pt>
                <c:pt idx="1039">
                  <c:v>9.9751715831189358</c:v>
                </c:pt>
                <c:pt idx="1040">
                  <c:v>9.9751715831189358</c:v>
                </c:pt>
                <c:pt idx="1041">
                  <c:v>7.3617115683267258</c:v>
                </c:pt>
                <c:pt idx="1042">
                  <c:v>7.3617115683267258</c:v>
                </c:pt>
                <c:pt idx="1043">
                  <c:v>7.3617115683267258</c:v>
                </c:pt>
                <c:pt idx="1044">
                  <c:v>7.3617115683267258</c:v>
                </c:pt>
                <c:pt idx="1045">
                  <c:v>7.3617115683267258</c:v>
                </c:pt>
                <c:pt idx="1046">
                  <c:v>7.3617115683267258</c:v>
                </c:pt>
                <c:pt idx="1047">
                  <c:v>7.3617115683267258</c:v>
                </c:pt>
                <c:pt idx="1048">
                  <c:v>7.3617115683267258</c:v>
                </c:pt>
                <c:pt idx="1049">
                  <c:v>7.3617115683267258</c:v>
                </c:pt>
                <c:pt idx="1050">
                  <c:v>7.3617115683267258</c:v>
                </c:pt>
                <c:pt idx="1051">
                  <c:v>7.3617115683267258</c:v>
                </c:pt>
                <c:pt idx="1052">
                  <c:v>7.3617115683267258</c:v>
                </c:pt>
                <c:pt idx="1053">
                  <c:v>7.3617115683267258</c:v>
                </c:pt>
                <c:pt idx="1054">
                  <c:v>7.3617115683267258</c:v>
                </c:pt>
                <c:pt idx="1055">
                  <c:v>7.3617115683267258</c:v>
                </c:pt>
                <c:pt idx="1056">
                  <c:v>7.3617115683267258</c:v>
                </c:pt>
                <c:pt idx="1057">
                  <c:v>7.3617115683267258</c:v>
                </c:pt>
                <c:pt idx="1058">
                  <c:v>7.3617115683267258</c:v>
                </c:pt>
                <c:pt idx="1059">
                  <c:v>7.3617115683267258</c:v>
                </c:pt>
                <c:pt idx="1060">
                  <c:v>7.3617115683267258</c:v>
                </c:pt>
                <c:pt idx="1061">
                  <c:v>7.3617115683267258</c:v>
                </c:pt>
                <c:pt idx="1062">
                  <c:v>7.3617115683267258</c:v>
                </c:pt>
                <c:pt idx="1063">
                  <c:v>7.3617115683267258</c:v>
                </c:pt>
                <c:pt idx="1064">
                  <c:v>7.3617115683267258</c:v>
                </c:pt>
                <c:pt idx="1065">
                  <c:v>7.3617115683267258</c:v>
                </c:pt>
                <c:pt idx="1066">
                  <c:v>7.3617115683267258</c:v>
                </c:pt>
                <c:pt idx="1067">
                  <c:v>7.3617115683267258</c:v>
                </c:pt>
                <c:pt idx="1068">
                  <c:v>7.3617115683267258</c:v>
                </c:pt>
                <c:pt idx="1069">
                  <c:v>7.3617115683267258</c:v>
                </c:pt>
                <c:pt idx="1070">
                  <c:v>7.3617115683267258</c:v>
                </c:pt>
                <c:pt idx="1071">
                  <c:v>7.3617115683267258</c:v>
                </c:pt>
                <c:pt idx="1072">
                  <c:v>7.3617115683267258</c:v>
                </c:pt>
                <c:pt idx="1073">
                  <c:v>7.3617115683267258</c:v>
                </c:pt>
                <c:pt idx="1074">
                  <c:v>7.3617115683267258</c:v>
                </c:pt>
                <c:pt idx="1075">
                  <c:v>7.3617115683267258</c:v>
                </c:pt>
                <c:pt idx="1076">
                  <c:v>7.3617115683267258</c:v>
                </c:pt>
                <c:pt idx="1077">
                  <c:v>7.3617115683267258</c:v>
                </c:pt>
                <c:pt idx="1078">
                  <c:v>7.3617115683267258</c:v>
                </c:pt>
                <c:pt idx="1079">
                  <c:v>7.3617115683267258</c:v>
                </c:pt>
                <c:pt idx="1080">
                  <c:v>7.3617115683267258</c:v>
                </c:pt>
                <c:pt idx="1081">
                  <c:v>7.3617115683267258</c:v>
                </c:pt>
                <c:pt idx="1082">
                  <c:v>7.3617115683267258</c:v>
                </c:pt>
                <c:pt idx="1083">
                  <c:v>7.3617115683267258</c:v>
                </c:pt>
                <c:pt idx="1084">
                  <c:v>7.3617115683267258</c:v>
                </c:pt>
                <c:pt idx="1085">
                  <c:v>7.3617115683267258</c:v>
                </c:pt>
                <c:pt idx="1086">
                  <c:v>2.1388579511305732</c:v>
                </c:pt>
                <c:pt idx="1087">
                  <c:v>2.1388579511305732</c:v>
                </c:pt>
                <c:pt idx="1088">
                  <c:v>2.1388579511305732</c:v>
                </c:pt>
                <c:pt idx="1089">
                  <c:v>2.1388579511305732</c:v>
                </c:pt>
                <c:pt idx="1090">
                  <c:v>2.1388579511305732</c:v>
                </c:pt>
                <c:pt idx="1091">
                  <c:v>2.1388579511305732</c:v>
                </c:pt>
                <c:pt idx="1092">
                  <c:v>2.1388579511305732</c:v>
                </c:pt>
                <c:pt idx="1093">
                  <c:v>2.1388579511305732</c:v>
                </c:pt>
                <c:pt idx="1094">
                  <c:v>2.1388579511305732</c:v>
                </c:pt>
                <c:pt idx="1095">
                  <c:v>2.1388579511305732</c:v>
                </c:pt>
                <c:pt idx="1096">
                  <c:v>2.1388579511305732</c:v>
                </c:pt>
                <c:pt idx="1097">
                  <c:v>2.1388579511305732</c:v>
                </c:pt>
                <c:pt idx="1098">
                  <c:v>2.1388579511305732</c:v>
                </c:pt>
                <c:pt idx="1099">
                  <c:v>2.1388579511305732</c:v>
                </c:pt>
                <c:pt idx="1100">
                  <c:v>2.1388579511305732</c:v>
                </c:pt>
                <c:pt idx="1101">
                  <c:v>2.1388579511305732</c:v>
                </c:pt>
                <c:pt idx="1102">
                  <c:v>2.1388579511305732</c:v>
                </c:pt>
                <c:pt idx="1103">
                  <c:v>2.1388579511305732</c:v>
                </c:pt>
                <c:pt idx="1104">
                  <c:v>2.1388579511305732</c:v>
                </c:pt>
                <c:pt idx="1105">
                  <c:v>2.1388579511305732</c:v>
                </c:pt>
                <c:pt idx="1106">
                  <c:v>2.1388579511305732</c:v>
                </c:pt>
                <c:pt idx="1107">
                  <c:v>2.1388579511305732</c:v>
                </c:pt>
                <c:pt idx="1108">
                  <c:v>2.1388579511305732</c:v>
                </c:pt>
                <c:pt idx="1109">
                  <c:v>2.1388579511305732</c:v>
                </c:pt>
                <c:pt idx="1110">
                  <c:v>2.1388579511305732</c:v>
                </c:pt>
                <c:pt idx="1111">
                  <c:v>2.1388579511305732</c:v>
                </c:pt>
                <c:pt idx="1112">
                  <c:v>9.9751715831189358</c:v>
                </c:pt>
                <c:pt idx="1113">
                  <c:v>9.9751715831189358</c:v>
                </c:pt>
                <c:pt idx="1114">
                  <c:v>9.9751715831189358</c:v>
                </c:pt>
                <c:pt idx="1115">
                  <c:v>9.9751715831189358</c:v>
                </c:pt>
                <c:pt idx="1116">
                  <c:v>9.9751715831189358</c:v>
                </c:pt>
                <c:pt idx="1117">
                  <c:v>9.9751715831189358</c:v>
                </c:pt>
                <c:pt idx="1118">
                  <c:v>9.9751715831189358</c:v>
                </c:pt>
                <c:pt idx="1119">
                  <c:v>9.9751715831189358</c:v>
                </c:pt>
                <c:pt idx="1120">
                  <c:v>12.697082100333608</c:v>
                </c:pt>
                <c:pt idx="1121">
                  <c:v>12.697082100333608</c:v>
                </c:pt>
                <c:pt idx="1122">
                  <c:v>12.697082100333608</c:v>
                </c:pt>
                <c:pt idx="1123">
                  <c:v>12.697082100333608</c:v>
                </c:pt>
                <c:pt idx="1124">
                  <c:v>12.697082100333608</c:v>
                </c:pt>
                <c:pt idx="1125">
                  <c:v>12.697082100333608</c:v>
                </c:pt>
                <c:pt idx="1126">
                  <c:v>12.697082100333608</c:v>
                </c:pt>
                <c:pt idx="1127">
                  <c:v>12.697082100333608</c:v>
                </c:pt>
                <c:pt idx="1128">
                  <c:v>12.697082100333608</c:v>
                </c:pt>
                <c:pt idx="1129">
                  <c:v>12.697082100333608</c:v>
                </c:pt>
                <c:pt idx="1130">
                  <c:v>12.697082100333608</c:v>
                </c:pt>
                <c:pt idx="1131">
                  <c:v>12.697082100333608</c:v>
                </c:pt>
                <c:pt idx="1132">
                  <c:v>12.697082100333608</c:v>
                </c:pt>
                <c:pt idx="1133">
                  <c:v>12.697082100333608</c:v>
                </c:pt>
                <c:pt idx="1134">
                  <c:v>12.697082100333608</c:v>
                </c:pt>
                <c:pt idx="1135">
                  <c:v>12.697082100333608</c:v>
                </c:pt>
                <c:pt idx="1136">
                  <c:v>12.697082100333608</c:v>
                </c:pt>
                <c:pt idx="1137">
                  <c:v>12.697082100333608</c:v>
                </c:pt>
                <c:pt idx="1138">
                  <c:v>12.697082100333608</c:v>
                </c:pt>
                <c:pt idx="1139">
                  <c:v>9.9751715831189358</c:v>
                </c:pt>
                <c:pt idx="1140">
                  <c:v>9.9751715831189358</c:v>
                </c:pt>
                <c:pt idx="1141">
                  <c:v>9.9751715831189358</c:v>
                </c:pt>
                <c:pt idx="1142">
                  <c:v>9.9751715831189358</c:v>
                </c:pt>
                <c:pt idx="1143">
                  <c:v>9.9751715831189358</c:v>
                </c:pt>
                <c:pt idx="1144">
                  <c:v>9.9751715831189358</c:v>
                </c:pt>
                <c:pt idx="1145">
                  <c:v>9.9751715831189358</c:v>
                </c:pt>
                <c:pt idx="1146">
                  <c:v>9.9751715831189358</c:v>
                </c:pt>
                <c:pt idx="1147">
                  <c:v>9.9751715831189358</c:v>
                </c:pt>
                <c:pt idx="1148">
                  <c:v>9.9751715831189358</c:v>
                </c:pt>
                <c:pt idx="1149">
                  <c:v>9.9751715831189358</c:v>
                </c:pt>
                <c:pt idx="1150">
                  <c:v>9.9751715831189358</c:v>
                </c:pt>
                <c:pt idx="1151">
                  <c:v>9.9751715831189358</c:v>
                </c:pt>
                <c:pt idx="1152">
                  <c:v>9.9751715831189358</c:v>
                </c:pt>
                <c:pt idx="1153">
                  <c:v>9.9751715831189358</c:v>
                </c:pt>
                <c:pt idx="1154">
                  <c:v>9.9751715831189358</c:v>
                </c:pt>
                <c:pt idx="1155">
                  <c:v>9.9751715831189358</c:v>
                </c:pt>
                <c:pt idx="1156">
                  <c:v>9.9751715831189358</c:v>
                </c:pt>
                <c:pt idx="1157">
                  <c:v>9.9751715831189358</c:v>
                </c:pt>
                <c:pt idx="1158">
                  <c:v>9.9751715831189358</c:v>
                </c:pt>
                <c:pt idx="1159">
                  <c:v>9.9751715831189358</c:v>
                </c:pt>
                <c:pt idx="1160">
                  <c:v>9.9751715831189358</c:v>
                </c:pt>
                <c:pt idx="1161">
                  <c:v>9.9751715831189358</c:v>
                </c:pt>
                <c:pt idx="1162">
                  <c:v>9.9751715831189358</c:v>
                </c:pt>
                <c:pt idx="1163">
                  <c:v>9.9751715831189358</c:v>
                </c:pt>
                <c:pt idx="1164">
                  <c:v>9.9751715831189358</c:v>
                </c:pt>
                <c:pt idx="1165">
                  <c:v>9.9751715831189358</c:v>
                </c:pt>
                <c:pt idx="1166">
                  <c:v>9.9751715831189358</c:v>
                </c:pt>
                <c:pt idx="1167">
                  <c:v>9.9751715831189358</c:v>
                </c:pt>
                <c:pt idx="1168">
                  <c:v>9.9751715831189358</c:v>
                </c:pt>
                <c:pt idx="1169">
                  <c:v>9.9751715831189358</c:v>
                </c:pt>
                <c:pt idx="1170">
                  <c:v>9.9751715831189358</c:v>
                </c:pt>
                <c:pt idx="1171">
                  <c:v>9.9751715831189358</c:v>
                </c:pt>
                <c:pt idx="1172">
                  <c:v>9.9751715831189358</c:v>
                </c:pt>
                <c:pt idx="1173">
                  <c:v>9.9751715831189358</c:v>
                </c:pt>
                <c:pt idx="1174">
                  <c:v>9.9751715831189358</c:v>
                </c:pt>
                <c:pt idx="1175">
                  <c:v>9.9751715831189358</c:v>
                </c:pt>
                <c:pt idx="1176">
                  <c:v>9.9751715831189358</c:v>
                </c:pt>
                <c:pt idx="1177">
                  <c:v>9.9751715831189358</c:v>
                </c:pt>
                <c:pt idx="1178">
                  <c:v>9.9751715831189358</c:v>
                </c:pt>
                <c:pt idx="1179">
                  <c:v>9.9751715831189358</c:v>
                </c:pt>
                <c:pt idx="1180">
                  <c:v>9.9751715831189358</c:v>
                </c:pt>
                <c:pt idx="1181">
                  <c:v>9.9751715831189358</c:v>
                </c:pt>
                <c:pt idx="1182">
                  <c:v>9.9751715831189358</c:v>
                </c:pt>
                <c:pt idx="1183">
                  <c:v>9.9751715831189358</c:v>
                </c:pt>
                <c:pt idx="1184">
                  <c:v>9.9751715831189358</c:v>
                </c:pt>
                <c:pt idx="1185">
                  <c:v>9.9751715831189358</c:v>
                </c:pt>
                <c:pt idx="1186">
                  <c:v>9.9751715831189358</c:v>
                </c:pt>
                <c:pt idx="1187">
                  <c:v>9.9751715831189358</c:v>
                </c:pt>
                <c:pt idx="1188">
                  <c:v>9.9751715831189358</c:v>
                </c:pt>
                <c:pt idx="1189">
                  <c:v>9.9751715831189358</c:v>
                </c:pt>
                <c:pt idx="1190">
                  <c:v>9.9751715831189358</c:v>
                </c:pt>
                <c:pt idx="1191">
                  <c:v>9.9751715831189358</c:v>
                </c:pt>
                <c:pt idx="1192">
                  <c:v>9.9751715831189358</c:v>
                </c:pt>
                <c:pt idx="1193">
                  <c:v>9.9751715831189358</c:v>
                </c:pt>
                <c:pt idx="1194">
                  <c:v>9.9751715831189358</c:v>
                </c:pt>
                <c:pt idx="1195">
                  <c:v>9.9751715831189358</c:v>
                </c:pt>
                <c:pt idx="1196">
                  <c:v>9.9751715831189358</c:v>
                </c:pt>
                <c:pt idx="1197">
                  <c:v>9.9751715831189358</c:v>
                </c:pt>
                <c:pt idx="1198">
                  <c:v>9.9751715831189358</c:v>
                </c:pt>
                <c:pt idx="1199">
                  <c:v>9.9751715831189358</c:v>
                </c:pt>
                <c:pt idx="1200">
                  <c:v>9.9751715831189358</c:v>
                </c:pt>
                <c:pt idx="1201">
                  <c:v>9.9751715831189358</c:v>
                </c:pt>
                <c:pt idx="1202">
                  <c:v>9.9751715831189358</c:v>
                </c:pt>
                <c:pt idx="1203">
                  <c:v>9.9751715831189358</c:v>
                </c:pt>
                <c:pt idx="1204">
                  <c:v>9.9751715831189358</c:v>
                </c:pt>
                <c:pt idx="1205">
                  <c:v>9.9751715831189358</c:v>
                </c:pt>
                <c:pt idx="1206">
                  <c:v>9.9751715831189358</c:v>
                </c:pt>
                <c:pt idx="1207">
                  <c:v>9.9751715831189358</c:v>
                </c:pt>
                <c:pt idx="1208">
                  <c:v>9.9751715831189358</c:v>
                </c:pt>
                <c:pt idx="1209">
                  <c:v>9.9751715831189358</c:v>
                </c:pt>
                <c:pt idx="1210">
                  <c:v>1.4389796045014025</c:v>
                </c:pt>
              </c:numCache>
            </c:numRef>
          </c:yVal>
          <c:smooth val="0"/>
        </c:ser>
        <c:ser>
          <c:idx val="0"/>
          <c:order val="3"/>
          <c:tx>
            <c:v>Lower bound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xVal>
            <c:numRef>
              <c:f>Data!$E$6:$E$1216</c:f>
              <c:numCache>
                <c:formatCode>0</c:formatCode>
                <c:ptCount val="1211"/>
                <c:pt idx="0">
                  <c:v>1991</c:v>
                </c:pt>
                <c:pt idx="1">
                  <c:v>1991</c:v>
                </c:pt>
                <c:pt idx="2">
                  <c:v>1991</c:v>
                </c:pt>
                <c:pt idx="3">
                  <c:v>1991</c:v>
                </c:pt>
                <c:pt idx="4">
                  <c:v>1991</c:v>
                </c:pt>
                <c:pt idx="5">
                  <c:v>1991</c:v>
                </c:pt>
                <c:pt idx="6">
                  <c:v>1991</c:v>
                </c:pt>
                <c:pt idx="7">
                  <c:v>1991</c:v>
                </c:pt>
                <c:pt idx="8">
                  <c:v>1991</c:v>
                </c:pt>
                <c:pt idx="9">
                  <c:v>1991</c:v>
                </c:pt>
                <c:pt idx="10">
                  <c:v>1992</c:v>
                </c:pt>
                <c:pt idx="11">
                  <c:v>1992</c:v>
                </c:pt>
                <c:pt idx="12">
                  <c:v>1997</c:v>
                </c:pt>
                <c:pt idx="13">
                  <c:v>1992</c:v>
                </c:pt>
                <c:pt idx="14">
                  <c:v>1993</c:v>
                </c:pt>
                <c:pt idx="15">
                  <c:v>1993</c:v>
                </c:pt>
                <c:pt idx="16">
                  <c:v>1993</c:v>
                </c:pt>
                <c:pt idx="17">
                  <c:v>1992</c:v>
                </c:pt>
                <c:pt idx="18">
                  <c:v>1993</c:v>
                </c:pt>
                <c:pt idx="19">
                  <c:v>1993</c:v>
                </c:pt>
                <c:pt idx="20">
                  <c:v>1993</c:v>
                </c:pt>
                <c:pt idx="21">
                  <c:v>1993</c:v>
                </c:pt>
                <c:pt idx="22">
                  <c:v>1993</c:v>
                </c:pt>
                <c:pt idx="23">
                  <c:v>1993</c:v>
                </c:pt>
                <c:pt idx="24">
                  <c:v>1993</c:v>
                </c:pt>
                <c:pt idx="25">
                  <c:v>1993</c:v>
                </c:pt>
                <c:pt idx="26">
                  <c:v>1993</c:v>
                </c:pt>
                <c:pt idx="27">
                  <c:v>1993</c:v>
                </c:pt>
                <c:pt idx="28">
                  <c:v>1993</c:v>
                </c:pt>
                <c:pt idx="29">
                  <c:v>1993</c:v>
                </c:pt>
                <c:pt idx="30">
                  <c:v>1993</c:v>
                </c:pt>
                <c:pt idx="31">
                  <c:v>1993</c:v>
                </c:pt>
                <c:pt idx="32">
                  <c:v>1993</c:v>
                </c:pt>
                <c:pt idx="33">
                  <c:v>1993</c:v>
                </c:pt>
                <c:pt idx="34">
                  <c:v>1993</c:v>
                </c:pt>
                <c:pt idx="35">
                  <c:v>1993</c:v>
                </c:pt>
                <c:pt idx="36">
                  <c:v>1993</c:v>
                </c:pt>
                <c:pt idx="37">
                  <c:v>1993</c:v>
                </c:pt>
                <c:pt idx="38">
                  <c:v>1993</c:v>
                </c:pt>
                <c:pt idx="39">
                  <c:v>1993</c:v>
                </c:pt>
                <c:pt idx="40">
                  <c:v>1993</c:v>
                </c:pt>
                <c:pt idx="41">
                  <c:v>1993</c:v>
                </c:pt>
                <c:pt idx="42">
                  <c:v>1993</c:v>
                </c:pt>
                <c:pt idx="43">
                  <c:v>1993</c:v>
                </c:pt>
                <c:pt idx="44">
                  <c:v>1993</c:v>
                </c:pt>
                <c:pt idx="45">
                  <c:v>1993</c:v>
                </c:pt>
                <c:pt idx="46">
                  <c:v>1993</c:v>
                </c:pt>
                <c:pt idx="47">
                  <c:v>1993</c:v>
                </c:pt>
                <c:pt idx="48">
                  <c:v>1993</c:v>
                </c:pt>
                <c:pt idx="49">
                  <c:v>1993</c:v>
                </c:pt>
                <c:pt idx="50">
                  <c:v>1993</c:v>
                </c:pt>
                <c:pt idx="51">
                  <c:v>1993</c:v>
                </c:pt>
                <c:pt idx="52">
                  <c:v>1993</c:v>
                </c:pt>
                <c:pt idx="53">
                  <c:v>1993</c:v>
                </c:pt>
                <c:pt idx="54">
                  <c:v>1993</c:v>
                </c:pt>
                <c:pt idx="55">
                  <c:v>1993</c:v>
                </c:pt>
                <c:pt idx="56">
                  <c:v>1993</c:v>
                </c:pt>
                <c:pt idx="57">
                  <c:v>1993</c:v>
                </c:pt>
                <c:pt idx="58">
                  <c:v>1993</c:v>
                </c:pt>
                <c:pt idx="59">
                  <c:v>1993</c:v>
                </c:pt>
                <c:pt idx="60">
                  <c:v>1993</c:v>
                </c:pt>
                <c:pt idx="61">
                  <c:v>1993</c:v>
                </c:pt>
                <c:pt idx="62">
                  <c:v>1993</c:v>
                </c:pt>
                <c:pt idx="63">
                  <c:v>1993</c:v>
                </c:pt>
                <c:pt idx="64">
                  <c:v>1993</c:v>
                </c:pt>
                <c:pt idx="65">
                  <c:v>1993</c:v>
                </c:pt>
                <c:pt idx="66">
                  <c:v>1993</c:v>
                </c:pt>
                <c:pt idx="67">
                  <c:v>1993</c:v>
                </c:pt>
                <c:pt idx="68">
                  <c:v>1993</c:v>
                </c:pt>
                <c:pt idx="69">
                  <c:v>1993</c:v>
                </c:pt>
                <c:pt idx="70">
                  <c:v>1993</c:v>
                </c:pt>
                <c:pt idx="71">
                  <c:v>1993</c:v>
                </c:pt>
                <c:pt idx="72">
                  <c:v>1993</c:v>
                </c:pt>
                <c:pt idx="73">
                  <c:v>1993</c:v>
                </c:pt>
                <c:pt idx="74">
                  <c:v>1993</c:v>
                </c:pt>
                <c:pt idx="75">
                  <c:v>1993</c:v>
                </c:pt>
                <c:pt idx="76">
                  <c:v>1993</c:v>
                </c:pt>
                <c:pt idx="77">
                  <c:v>1993</c:v>
                </c:pt>
                <c:pt idx="78">
                  <c:v>1993</c:v>
                </c:pt>
                <c:pt idx="79">
                  <c:v>1993</c:v>
                </c:pt>
                <c:pt idx="80">
                  <c:v>1993</c:v>
                </c:pt>
                <c:pt idx="81">
                  <c:v>1993</c:v>
                </c:pt>
                <c:pt idx="82">
                  <c:v>1993</c:v>
                </c:pt>
                <c:pt idx="83">
                  <c:v>1993</c:v>
                </c:pt>
                <c:pt idx="84">
                  <c:v>1993</c:v>
                </c:pt>
                <c:pt idx="85">
                  <c:v>1993</c:v>
                </c:pt>
                <c:pt idx="86">
                  <c:v>1993</c:v>
                </c:pt>
                <c:pt idx="87">
                  <c:v>1993</c:v>
                </c:pt>
                <c:pt idx="88">
                  <c:v>1993</c:v>
                </c:pt>
                <c:pt idx="89">
                  <c:v>1993</c:v>
                </c:pt>
                <c:pt idx="90">
                  <c:v>1993</c:v>
                </c:pt>
                <c:pt idx="91">
                  <c:v>1993</c:v>
                </c:pt>
                <c:pt idx="92">
                  <c:v>1993</c:v>
                </c:pt>
                <c:pt idx="93">
                  <c:v>1993</c:v>
                </c:pt>
                <c:pt idx="94">
                  <c:v>1993</c:v>
                </c:pt>
                <c:pt idx="95">
                  <c:v>1993</c:v>
                </c:pt>
                <c:pt idx="96">
                  <c:v>1993</c:v>
                </c:pt>
                <c:pt idx="97">
                  <c:v>1993</c:v>
                </c:pt>
                <c:pt idx="98">
                  <c:v>1993</c:v>
                </c:pt>
                <c:pt idx="99">
                  <c:v>1993</c:v>
                </c:pt>
                <c:pt idx="100">
                  <c:v>1993</c:v>
                </c:pt>
                <c:pt idx="101">
                  <c:v>1993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1993</c:v>
                </c:pt>
                <c:pt idx="106">
                  <c:v>1993</c:v>
                </c:pt>
                <c:pt idx="107">
                  <c:v>1993</c:v>
                </c:pt>
                <c:pt idx="108">
                  <c:v>1993</c:v>
                </c:pt>
                <c:pt idx="109">
                  <c:v>1993</c:v>
                </c:pt>
                <c:pt idx="110">
                  <c:v>1993</c:v>
                </c:pt>
                <c:pt idx="111">
                  <c:v>1993</c:v>
                </c:pt>
                <c:pt idx="112">
                  <c:v>1993</c:v>
                </c:pt>
                <c:pt idx="113">
                  <c:v>1993</c:v>
                </c:pt>
                <c:pt idx="114">
                  <c:v>1994</c:v>
                </c:pt>
                <c:pt idx="115">
                  <c:v>1994</c:v>
                </c:pt>
                <c:pt idx="116">
                  <c:v>1994</c:v>
                </c:pt>
                <c:pt idx="117">
                  <c:v>1994</c:v>
                </c:pt>
                <c:pt idx="118">
                  <c:v>1994</c:v>
                </c:pt>
                <c:pt idx="119">
                  <c:v>1995</c:v>
                </c:pt>
                <c:pt idx="120">
                  <c:v>1996</c:v>
                </c:pt>
                <c:pt idx="121">
                  <c:v>1996</c:v>
                </c:pt>
                <c:pt idx="122">
                  <c:v>1996</c:v>
                </c:pt>
                <c:pt idx="123">
                  <c:v>1996</c:v>
                </c:pt>
                <c:pt idx="124">
                  <c:v>1996</c:v>
                </c:pt>
                <c:pt idx="125">
                  <c:v>1996</c:v>
                </c:pt>
                <c:pt idx="126">
                  <c:v>1996</c:v>
                </c:pt>
                <c:pt idx="127">
                  <c:v>1996</c:v>
                </c:pt>
                <c:pt idx="128">
                  <c:v>1995</c:v>
                </c:pt>
                <c:pt idx="129">
                  <c:v>1995</c:v>
                </c:pt>
                <c:pt idx="130">
                  <c:v>1996</c:v>
                </c:pt>
                <c:pt idx="131">
                  <c:v>1996</c:v>
                </c:pt>
                <c:pt idx="132">
                  <c:v>1996</c:v>
                </c:pt>
                <c:pt idx="133">
                  <c:v>1996</c:v>
                </c:pt>
                <c:pt idx="134">
                  <c:v>1996</c:v>
                </c:pt>
                <c:pt idx="135">
                  <c:v>1996</c:v>
                </c:pt>
                <c:pt idx="136">
                  <c:v>1996</c:v>
                </c:pt>
                <c:pt idx="137">
                  <c:v>1996</c:v>
                </c:pt>
                <c:pt idx="138">
                  <c:v>1996</c:v>
                </c:pt>
                <c:pt idx="139">
                  <c:v>1996</c:v>
                </c:pt>
                <c:pt idx="140">
                  <c:v>1996</c:v>
                </c:pt>
                <c:pt idx="141">
                  <c:v>1996</c:v>
                </c:pt>
                <c:pt idx="142">
                  <c:v>1996</c:v>
                </c:pt>
                <c:pt idx="143">
                  <c:v>1996</c:v>
                </c:pt>
                <c:pt idx="144">
                  <c:v>1996</c:v>
                </c:pt>
                <c:pt idx="145">
                  <c:v>1996</c:v>
                </c:pt>
                <c:pt idx="146">
                  <c:v>1996</c:v>
                </c:pt>
                <c:pt idx="147">
                  <c:v>1996</c:v>
                </c:pt>
                <c:pt idx="148">
                  <c:v>1996</c:v>
                </c:pt>
                <c:pt idx="149">
                  <c:v>1996</c:v>
                </c:pt>
                <c:pt idx="150">
                  <c:v>1996</c:v>
                </c:pt>
                <c:pt idx="151">
                  <c:v>1996</c:v>
                </c:pt>
                <c:pt idx="152">
                  <c:v>1996</c:v>
                </c:pt>
                <c:pt idx="153">
                  <c:v>1996</c:v>
                </c:pt>
                <c:pt idx="154">
                  <c:v>1996</c:v>
                </c:pt>
                <c:pt idx="155">
                  <c:v>1996</c:v>
                </c:pt>
                <c:pt idx="156">
                  <c:v>1997</c:v>
                </c:pt>
                <c:pt idx="157">
                  <c:v>1997</c:v>
                </c:pt>
                <c:pt idx="158">
                  <c:v>1999</c:v>
                </c:pt>
                <c:pt idx="159">
                  <c:v>1999</c:v>
                </c:pt>
                <c:pt idx="160">
                  <c:v>1999</c:v>
                </c:pt>
                <c:pt idx="161">
                  <c:v>1999</c:v>
                </c:pt>
                <c:pt idx="162">
                  <c:v>1999</c:v>
                </c:pt>
                <c:pt idx="163">
                  <c:v>1999</c:v>
                </c:pt>
                <c:pt idx="164">
                  <c:v>1999</c:v>
                </c:pt>
                <c:pt idx="165">
                  <c:v>1999</c:v>
                </c:pt>
                <c:pt idx="166">
                  <c:v>1999</c:v>
                </c:pt>
                <c:pt idx="167">
                  <c:v>1999</c:v>
                </c:pt>
                <c:pt idx="168">
                  <c:v>1999</c:v>
                </c:pt>
                <c:pt idx="169">
                  <c:v>1999</c:v>
                </c:pt>
                <c:pt idx="170">
                  <c:v>1999</c:v>
                </c:pt>
                <c:pt idx="171">
                  <c:v>1999</c:v>
                </c:pt>
                <c:pt idx="172">
                  <c:v>1999</c:v>
                </c:pt>
                <c:pt idx="173">
                  <c:v>1999</c:v>
                </c:pt>
                <c:pt idx="174">
                  <c:v>1999</c:v>
                </c:pt>
                <c:pt idx="175">
                  <c:v>1999</c:v>
                </c:pt>
                <c:pt idx="176">
                  <c:v>1999</c:v>
                </c:pt>
                <c:pt idx="177">
                  <c:v>1999</c:v>
                </c:pt>
                <c:pt idx="178">
                  <c:v>1999</c:v>
                </c:pt>
                <c:pt idx="179">
                  <c:v>1999</c:v>
                </c:pt>
                <c:pt idx="180">
                  <c:v>1999</c:v>
                </c:pt>
                <c:pt idx="181">
                  <c:v>1999</c:v>
                </c:pt>
                <c:pt idx="182">
                  <c:v>1999</c:v>
                </c:pt>
                <c:pt idx="183">
                  <c:v>1999</c:v>
                </c:pt>
                <c:pt idx="184">
                  <c:v>1999</c:v>
                </c:pt>
                <c:pt idx="185">
                  <c:v>1999</c:v>
                </c:pt>
                <c:pt idx="186">
                  <c:v>1999</c:v>
                </c:pt>
                <c:pt idx="187">
                  <c:v>1999</c:v>
                </c:pt>
                <c:pt idx="188">
                  <c:v>1999</c:v>
                </c:pt>
                <c:pt idx="189">
                  <c:v>1999</c:v>
                </c:pt>
                <c:pt idx="190">
                  <c:v>1999</c:v>
                </c:pt>
                <c:pt idx="191">
                  <c:v>1999</c:v>
                </c:pt>
                <c:pt idx="192">
                  <c:v>1999</c:v>
                </c:pt>
                <c:pt idx="193">
                  <c:v>2000</c:v>
                </c:pt>
                <c:pt idx="194">
                  <c:v>2001</c:v>
                </c:pt>
                <c:pt idx="195">
                  <c:v>2001</c:v>
                </c:pt>
                <c:pt idx="196">
                  <c:v>2001</c:v>
                </c:pt>
                <c:pt idx="197">
                  <c:v>2001</c:v>
                </c:pt>
                <c:pt idx="198">
                  <c:v>2002</c:v>
                </c:pt>
                <c:pt idx="199">
                  <c:v>2005</c:v>
                </c:pt>
                <c:pt idx="200">
                  <c:v>2005</c:v>
                </c:pt>
                <c:pt idx="201">
                  <c:v>2005</c:v>
                </c:pt>
                <c:pt idx="202">
                  <c:v>2005</c:v>
                </c:pt>
                <c:pt idx="203">
                  <c:v>2005</c:v>
                </c:pt>
                <c:pt idx="204">
                  <c:v>2005</c:v>
                </c:pt>
                <c:pt idx="205">
                  <c:v>2003</c:v>
                </c:pt>
                <c:pt idx="206">
                  <c:v>2003</c:v>
                </c:pt>
                <c:pt idx="207">
                  <c:v>2003</c:v>
                </c:pt>
                <c:pt idx="208">
                  <c:v>2003</c:v>
                </c:pt>
                <c:pt idx="209">
                  <c:v>2003</c:v>
                </c:pt>
                <c:pt idx="210">
                  <c:v>2003</c:v>
                </c:pt>
                <c:pt idx="211">
                  <c:v>2003</c:v>
                </c:pt>
                <c:pt idx="212">
                  <c:v>2003</c:v>
                </c:pt>
                <c:pt idx="213">
                  <c:v>2003</c:v>
                </c:pt>
                <c:pt idx="214">
                  <c:v>2003</c:v>
                </c:pt>
                <c:pt idx="215">
                  <c:v>2003</c:v>
                </c:pt>
                <c:pt idx="216">
                  <c:v>2004</c:v>
                </c:pt>
                <c:pt idx="217">
                  <c:v>2004</c:v>
                </c:pt>
                <c:pt idx="218">
                  <c:v>2004</c:v>
                </c:pt>
                <c:pt idx="219">
                  <c:v>2004</c:v>
                </c:pt>
                <c:pt idx="220">
                  <c:v>2004</c:v>
                </c:pt>
                <c:pt idx="221">
                  <c:v>2004</c:v>
                </c:pt>
                <c:pt idx="222">
                  <c:v>2004</c:v>
                </c:pt>
                <c:pt idx="223">
                  <c:v>2004</c:v>
                </c:pt>
                <c:pt idx="224">
                  <c:v>2004</c:v>
                </c:pt>
                <c:pt idx="225">
                  <c:v>2004</c:v>
                </c:pt>
                <c:pt idx="226">
                  <c:v>2004</c:v>
                </c:pt>
                <c:pt idx="227">
                  <c:v>2004</c:v>
                </c:pt>
                <c:pt idx="228">
                  <c:v>2004</c:v>
                </c:pt>
                <c:pt idx="229">
                  <c:v>2004</c:v>
                </c:pt>
                <c:pt idx="230">
                  <c:v>2004</c:v>
                </c:pt>
                <c:pt idx="231">
                  <c:v>2004</c:v>
                </c:pt>
                <c:pt idx="232">
                  <c:v>2004</c:v>
                </c:pt>
                <c:pt idx="233">
                  <c:v>2004</c:v>
                </c:pt>
                <c:pt idx="234">
                  <c:v>2004</c:v>
                </c:pt>
                <c:pt idx="235">
                  <c:v>2004</c:v>
                </c:pt>
                <c:pt idx="236">
                  <c:v>2004</c:v>
                </c:pt>
                <c:pt idx="237">
                  <c:v>2004</c:v>
                </c:pt>
                <c:pt idx="238">
                  <c:v>2004</c:v>
                </c:pt>
                <c:pt idx="239">
                  <c:v>2004</c:v>
                </c:pt>
                <c:pt idx="240">
                  <c:v>2004</c:v>
                </c:pt>
                <c:pt idx="241">
                  <c:v>2006</c:v>
                </c:pt>
                <c:pt idx="242">
                  <c:v>2006</c:v>
                </c:pt>
                <c:pt idx="243">
                  <c:v>2006</c:v>
                </c:pt>
                <c:pt idx="244">
                  <c:v>2006</c:v>
                </c:pt>
                <c:pt idx="245">
                  <c:v>2006</c:v>
                </c:pt>
                <c:pt idx="246">
                  <c:v>2006</c:v>
                </c:pt>
                <c:pt idx="247">
                  <c:v>2006</c:v>
                </c:pt>
                <c:pt idx="248">
                  <c:v>2006</c:v>
                </c:pt>
                <c:pt idx="249">
                  <c:v>2006</c:v>
                </c:pt>
                <c:pt idx="250">
                  <c:v>2006</c:v>
                </c:pt>
                <c:pt idx="251">
                  <c:v>2006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2006</c:v>
                </c:pt>
                <c:pt idx="257">
                  <c:v>2006</c:v>
                </c:pt>
                <c:pt idx="258">
                  <c:v>2006</c:v>
                </c:pt>
                <c:pt idx="259">
                  <c:v>2006</c:v>
                </c:pt>
                <c:pt idx="260">
                  <c:v>2006</c:v>
                </c:pt>
                <c:pt idx="261">
                  <c:v>2006</c:v>
                </c:pt>
                <c:pt idx="262">
                  <c:v>2006</c:v>
                </c:pt>
                <c:pt idx="263">
                  <c:v>2006</c:v>
                </c:pt>
                <c:pt idx="264">
                  <c:v>2006</c:v>
                </c:pt>
                <c:pt idx="265">
                  <c:v>2006</c:v>
                </c:pt>
                <c:pt idx="266">
                  <c:v>2006</c:v>
                </c:pt>
                <c:pt idx="267">
                  <c:v>2006</c:v>
                </c:pt>
                <c:pt idx="268">
                  <c:v>2006</c:v>
                </c:pt>
                <c:pt idx="269">
                  <c:v>2006</c:v>
                </c:pt>
                <c:pt idx="270">
                  <c:v>2006</c:v>
                </c:pt>
                <c:pt idx="271">
                  <c:v>2006</c:v>
                </c:pt>
                <c:pt idx="272">
                  <c:v>2006</c:v>
                </c:pt>
                <c:pt idx="273">
                  <c:v>2006</c:v>
                </c:pt>
                <c:pt idx="274">
                  <c:v>2006</c:v>
                </c:pt>
                <c:pt idx="275">
                  <c:v>2006</c:v>
                </c:pt>
                <c:pt idx="276">
                  <c:v>2006</c:v>
                </c:pt>
                <c:pt idx="277">
                  <c:v>2006</c:v>
                </c:pt>
                <c:pt idx="278">
                  <c:v>2006</c:v>
                </c:pt>
                <c:pt idx="279">
                  <c:v>2006</c:v>
                </c:pt>
                <c:pt idx="280">
                  <c:v>2006</c:v>
                </c:pt>
                <c:pt idx="281">
                  <c:v>2006</c:v>
                </c:pt>
                <c:pt idx="282">
                  <c:v>2006</c:v>
                </c:pt>
                <c:pt idx="283">
                  <c:v>2006</c:v>
                </c:pt>
                <c:pt idx="284">
                  <c:v>2006</c:v>
                </c:pt>
                <c:pt idx="285">
                  <c:v>2011</c:v>
                </c:pt>
                <c:pt idx="286">
                  <c:v>2011</c:v>
                </c:pt>
                <c:pt idx="287">
                  <c:v>2011</c:v>
                </c:pt>
                <c:pt idx="288">
                  <c:v>2011</c:v>
                </c:pt>
                <c:pt idx="289">
                  <c:v>2011</c:v>
                </c:pt>
                <c:pt idx="290">
                  <c:v>2011</c:v>
                </c:pt>
                <c:pt idx="291">
                  <c:v>2011</c:v>
                </c:pt>
                <c:pt idx="292">
                  <c:v>2011</c:v>
                </c:pt>
                <c:pt idx="293">
                  <c:v>2011</c:v>
                </c:pt>
                <c:pt idx="294">
                  <c:v>2011</c:v>
                </c:pt>
                <c:pt idx="295">
                  <c:v>2011</c:v>
                </c:pt>
                <c:pt idx="296">
                  <c:v>2011</c:v>
                </c:pt>
                <c:pt idx="297">
                  <c:v>2011</c:v>
                </c:pt>
                <c:pt idx="298">
                  <c:v>2011</c:v>
                </c:pt>
                <c:pt idx="299">
                  <c:v>2011</c:v>
                </c:pt>
                <c:pt idx="300">
                  <c:v>2011</c:v>
                </c:pt>
                <c:pt idx="301">
                  <c:v>2011</c:v>
                </c:pt>
                <c:pt idx="302">
                  <c:v>2011</c:v>
                </c:pt>
                <c:pt idx="303">
                  <c:v>2011</c:v>
                </c:pt>
                <c:pt idx="304">
                  <c:v>2011</c:v>
                </c:pt>
                <c:pt idx="305">
                  <c:v>2011</c:v>
                </c:pt>
                <c:pt idx="306">
                  <c:v>2011</c:v>
                </c:pt>
                <c:pt idx="307">
                  <c:v>2011</c:v>
                </c:pt>
                <c:pt idx="308">
                  <c:v>2011</c:v>
                </c:pt>
                <c:pt idx="309">
                  <c:v>2011</c:v>
                </c:pt>
                <c:pt idx="310">
                  <c:v>2011</c:v>
                </c:pt>
                <c:pt idx="311">
                  <c:v>2011</c:v>
                </c:pt>
                <c:pt idx="312">
                  <c:v>2011</c:v>
                </c:pt>
                <c:pt idx="313">
                  <c:v>2011</c:v>
                </c:pt>
                <c:pt idx="314">
                  <c:v>2011</c:v>
                </c:pt>
                <c:pt idx="315">
                  <c:v>2011</c:v>
                </c:pt>
                <c:pt idx="316">
                  <c:v>2011</c:v>
                </c:pt>
                <c:pt idx="317">
                  <c:v>2011</c:v>
                </c:pt>
                <c:pt idx="318">
                  <c:v>2011</c:v>
                </c:pt>
                <c:pt idx="319">
                  <c:v>2011</c:v>
                </c:pt>
                <c:pt idx="320">
                  <c:v>2011</c:v>
                </c:pt>
                <c:pt idx="321">
                  <c:v>2011</c:v>
                </c:pt>
                <c:pt idx="322">
                  <c:v>2011</c:v>
                </c:pt>
                <c:pt idx="323">
                  <c:v>2011</c:v>
                </c:pt>
                <c:pt idx="324">
                  <c:v>2011</c:v>
                </c:pt>
                <c:pt idx="325">
                  <c:v>2011</c:v>
                </c:pt>
                <c:pt idx="326">
                  <c:v>2011</c:v>
                </c:pt>
                <c:pt idx="327">
                  <c:v>2011</c:v>
                </c:pt>
                <c:pt idx="328">
                  <c:v>2011</c:v>
                </c:pt>
                <c:pt idx="329">
                  <c:v>2011</c:v>
                </c:pt>
                <c:pt idx="330">
                  <c:v>2011</c:v>
                </c:pt>
                <c:pt idx="331">
                  <c:v>2011</c:v>
                </c:pt>
                <c:pt idx="332">
                  <c:v>2011</c:v>
                </c:pt>
                <c:pt idx="333">
                  <c:v>2006</c:v>
                </c:pt>
                <c:pt idx="334">
                  <c:v>2006</c:v>
                </c:pt>
                <c:pt idx="335">
                  <c:v>2006</c:v>
                </c:pt>
                <c:pt idx="336">
                  <c:v>2006</c:v>
                </c:pt>
                <c:pt idx="337">
                  <c:v>2006</c:v>
                </c:pt>
                <c:pt idx="338">
                  <c:v>2006</c:v>
                </c:pt>
                <c:pt idx="339">
                  <c:v>2006</c:v>
                </c:pt>
                <c:pt idx="340">
                  <c:v>2006</c:v>
                </c:pt>
                <c:pt idx="341">
                  <c:v>2006</c:v>
                </c:pt>
                <c:pt idx="342">
                  <c:v>2006</c:v>
                </c:pt>
                <c:pt idx="343">
                  <c:v>2006</c:v>
                </c:pt>
                <c:pt idx="344">
                  <c:v>2006</c:v>
                </c:pt>
                <c:pt idx="345">
                  <c:v>2006</c:v>
                </c:pt>
                <c:pt idx="346">
                  <c:v>2006</c:v>
                </c:pt>
                <c:pt idx="347">
                  <c:v>2006</c:v>
                </c:pt>
                <c:pt idx="348">
                  <c:v>2006</c:v>
                </c:pt>
                <c:pt idx="349">
                  <c:v>2006</c:v>
                </c:pt>
                <c:pt idx="350">
                  <c:v>2006</c:v>
                </c:pt>
                <c:pt idx="351">
                  <c:v>2006</c:v>
                </c:pt>
                <c:pt idx="352">
                  <c:v>2006</c:v>
                </c:pt>
                <c:pt idx="353">
                  <c:v>2006</c:v>
                </c:pt>
                <c:pt idx="354">
                  <c:v>2006</c:v>
                </c:pt>
                <c:pt idx="355">
                  <c:v>2006</c:v>
                </c:pt>
                <c:pt idx="356">
                  <c:v>2006</c:v>
                </c:pt>
                <c:pt idx="357">
                  <c:v>2006</c:v>
                </c:pt>
                <c:pt idx="358">
                  <c:v>2005</c:v>
                </c:pt>
                <c:pt idx="359">
                  <c:v>2005</c:v>
                </c:pt>
                <c:pt idx="360">
                  <c:v>2005</c:v>
                </c:pt>
                <c:pt idx="361">
                  <c:v>2005</c:v>
                </c:pt>
                <c:pt idx="362">
                  <c:v>2005</c:v>
                </c:pt>
                <c:pt idx="363">
                  <c:v>2005</c:v>
                </c:pt>
                <c:pt idx="364">
                  <c:v>2006</c:v>
                </c:pt>
                <c:pt idx="365">
                  <c:v>2005</c:v>
                </c:pt>
                <c:pt idx="366">
                  <c:v>2005</c:v>
                </c:pt>
                <c:pt idx="367">
                  <c:v>2006</c:v>
                </c:pt>
                <c:pt idx="368">
                  <c:v>2007</c:v>
                </c:pt>
                <c:pt idx="369">
                  <c:v>2007</c:v>
                </c:pt>
                <c:pt idx="370">
                  <c:v>2008</c:v>
                </c:pt>
                <c:pt idx="371">
                  <c:v>2008</c:v>
                </c:pt>
                <c:pt idx="372">
                  <c:v>2008</c:v>
                </c:pt>
                <c:pt idx="373">
                  <c:v>2008</c:v>
                </c:pt>
                <c:pt idx="374">
                  <c:v>2008</c:v>
                </c:pt>
                <c:pt idx="375">
                  <c:v>2008</c:v>
                </c:pt>
                <c:pt idx="376">
                  <c:v>2008</c:v>
                </c:pt>
                <c:pt idx="377">
                  <c:v>2008</c:v>
                </c:pt>
                <c:pt idx="378">
                  <c:v>2008</c:v>
                </c:pt>
                <c:pt idx="379">
                  <c:v>2008</c:v>
                </c:pt>
                <c:pt idx="380">
                  <c:v>2008</c:v>
                </c:pt>
                <c:pt idx="381">
                  <c:v>2008</c:v>
                </c:pt>
                <c:pt idx="382">
                  <c:v>2008</c:v>
                </c:pt>
                <c:pt idx="383">
                  <c:v>2008</c:v>
                </c:pt>
                <c:pt idx="384">
                  <c:v>2008</c:v>
                </c:pt>
                <c:pt idx="385">
                  <c:v>2008</c:v>
                </c:pt>
                <c:pt idx="386">
                  <c:v>2008</c:v>
                </c:pt>
                <c:pt idx="387">
                  <c:v>2008</c:v>
                </c:pt>
                <c:pt idx="388">
                  <c:v>2008</c:v>
                </c:pt>
                <c:pt idx="389">
                  <c:v>2010</c:v>
                </c:pt>
                <c:pt idx="390">
                  <c:v>2010</c:v>
                </c:pt>
                <c:pt idx="391">
                  <c:v>2010</c:v>
                </c:pt>
                <c:pt idx="392">
                  <c:v>2010</c:v>
                </c:pt>
                <c:pt idx="393">
                  <c:v>2010</c:v>
                </c:pt>
                <c:pt idx="394">
                  <c:v>2009</c:v>
                </c:pt>
                <c:pt idx="395">
                  <c:v>2009</c:v>
                </c:pt>
                <c:pt idx="396">
                  <c:v>2009</c:v>
                </c:pt>
                <c:pt idx="397">
                  <c:v>2009</c:v>
                </c:pt>
                <c:pt idx="398">
                  <c:v>2009</c:v>
                </c:pt>
                <c:pt idx="399">
                  <c:v>2009</c:v>
                </c:pt>
                <c:pt idx="400">
                  <c:v>2009</c:v>
                </c:pt>
                <c:pt idx="401">
                  <c:v>2009</c:v>
                </c:pt>
                <c:pt idx="402">
                  <c:v>2009</c:v>
                </c:pt>
                <c:pt idx="403">
                  <c:v>2009</c:v>
                </c:pt>
                <c:pt idx="404">
                  <c:v>2009</c:v>
                </c:pt>
                <c:pt idx="405">
                  <c:v>2009</c:v>
                </c:pt>
                <c:pt idx="406">
                  <c:v>2009</c:v>
                </c:pt>
                <c:pt idx="407">
                  <c:v>2009</c:v>
                </c:pt>
                <c:pt idx="408">
                  <c:v>2009</c:v>
                </c:pt>
                <c:pt idx="409">
                  <c:v>2009</c:v>
                </c:pt>
                <c:pt idx="410">
                  <c:v>2009</c:v>
                </c:pt>
                <c:pt idx="411">
                  <c:v>2009</c:v>
                </c:pt>
                <c:pt idx="412">
                  <c:v>2009</c:v>
                </c:pt>
                <c:pt idx="413">
                  <c:v>2009</c:v>
                </c:pt>
                <c:pt idx="414">
                  <c:v>2009</c:v>
                </c:pt>
                <c:pt idx="415">
                  <c:v>2009</c:v>
                </c:pt>
                <c:pt idx="416">
                  <c:v>2009</c:v>
                </c:pt>
                <c:pt idx="417">
                  <c:v>2009</c:v>
                </c:pt>
                <c:pt idx="418">
                  <c:v>2009</c:v>
                </c:pt>
                <c:pt idx="419">
                  <c:v>2009</c:v>
                </c:pt>
                <c:pt idx="420">
                  <c:v>2009</c:v>
                </c:pt>
                <c:pt idx="421">
                  <c:v>2009</c:v>
                </c:pt>
                <c:pt idx="422">
                  <c:v>2009</c:v>
                </c:pt>
                <c:pt idx="423">
                  <c:v>2009</c:v>
                </c:pt>
                <c:pt idx="424">
                  <c:v>2009</c:v>
                </c:pt>
                <c:pt idx="425">
                  <c:v>2009</c:v>
                </c:pt>
                <c:pt idx="426">
                  <c:v>2009</c:v>
                </c:pt>
                <c:pt idx="427">
                  <c:v>2009</c:v>
                </c:pt>
                <c:pt idx="428">
                  <c:v>2009</c:v>
                </c:pt>
                <c:pt idx="429">
                  <c:v>2009</c:v>
                </c:pt>
                <c:pt idx="430">
                  <c:v>2009</c:v>
                </c:pt>
                <c:pt idx="431">
                  <c:v>2009</c:v>
                </c:pt>
                <c:pt idx="432">
                  <c:v>2009</c:v>
                </c:pt>
                <c:pt idx="433">
                  <c:v>2009</c:v>
                </c:pt>
                <c:pt idx="434">
                  <c:v>2009</c:v>
                </c:pt>
                <c:pt idx="435">
                  <c:v>2009</c:v>
                </c:pt>
                <c:pt idx="436">
                  <c:v>2009</c:v>
                </c:pt>
                <c:pt idx="437">
                  <c:v>2009</c:v>
                </c:pt>
                <c:pt idx="438">
                  <c:v>2009</c:v>
                </c:pt>
                <c:pt idx="439">
                  <c:v>2009</c:v>
                </c:pt>
                <c:pt idx="440">
                  <c:v>2009</c:v>
                </c:pt>
                <c:pt idx="441">
                  <c:v>2009</c:v>
                </c:pt>
                <c:pt idx="442">
                  <c:v>2009</c:v>
                </c:pt>
                <c:pt idx="443">
                  <c:v>2009</c:v>
                </c:pt>
                <c:pt idx="444">
                  <c:v>2009</c:v>
                </c:pt>
                <c:pt idx="445">
                  <c:v>2009</c:v>
                </c:pt>
                <c:pt idx="446">
                  <c:v>2010</c:v>
                </c:pt>
                <c:pt idx="447">
                  <c:v>2010</c:v>
                </c:pt>
                <c:pt idx="448">
                  <c:v>2010</c:v>
                </c:pt>
                <c:pt idx="449">
                  <c:v>2009</c:v>
                </c:pt>
                <c:pt idx="450">
                  <c:v>2009</c:v>
                </c:pt>
                <c:pt idx="451">
                  <c:v>2009</c:v>
                </c:pt>
                <c:pt idx="452">
                  <c:v>2009</c:v>
                </c:pt>
                <c:pt idx="453">
                  <c:v>2009</c:v>
                </c:pt>
                <c:pt idx="454">
                  <c:v>2010</c:v>
                </c:pt>
                <c:pt idx="455">
                  <c:v>2010</c:v>
                </c:pt>
                <c:pt idx="456">
                  <c:v>2010</c:v>
                </c:pt>
                <c:pt idx="457">
                  <c:v>2010</c:v>
                </c:pt>
                <c:pt idx="458">
                  <c:v>2010</c:v>
                </c:pt>
                <c:pt idx="459">
                  <c:v>2010</c:v>
                </c:pt>
                <c:pt idx="460">
                  <c:v>2010</c:v>
                </c:pt>
                <c:pt idx="461">
                  <c:v>2010</c:v>
                </c:pt>
                <c:pt idx="462">
                  <c:v>2010</c:v>
                </c:pt>
                <c:pt idx="463">
                  <c:v>2010</c:v>
                </c:pt>
                <c:pt idx="464">
                  <c:v>2010</c:v>
                </c:pt>
                <c:pt idx="465">
                  <c:v>2010</c:v>
                </c:pt>
                <c:pt idx="466">
                  <c:v>2010</c:v>
                </c:pt>
                <c:pt idx="467">
                  <c:v>2010</c:v>
                </c:pt>
                <c:pt idx="468">
                  <c:v>2010</c:v>
                </c:pt>
                <c:pt idx="469">
                  <c:v>2010</c:v>
                </c:pt>
                <c:pt idx="470">
                  <c:v>2010</c:v>
                </c:pt>
                <c:pt idx="471">
                  <c:v>2012</c:v>
                </c:pt>
                <c:pt idx="472">
                  <c:v>2012</c:v>
                </c:pt>
                <c:pt idx="473">
                  <c:v>2013</c:v>
                </c:pt>
                <c:pt idx="474">
                  <c:v>2013</c:v>
                </c:pt>
                <c:pt idx="475">
                  <c:v>2013</c:v>
                </c:pt>
                <c:pt idx="476">
                  <c:v>2015</c:v>
                </c:pt>
                <c:pt idx="477">
                  <c:v>2015</c:v>
                </c:pt>
                <c:pt idx="478">
                  <c:v>2011</c:v>
                </c:pt>
                <c:pt idx="479">
                  <c:v>2011</c:v>
                </c:pt>
                <c:pt idx="480">
                  <c:v>2012</c:v>
                </c:pt>
                <c:pt idx="481">
                  <c:v>2012</c:v>
                </c:pt>
                <c:pt idx="482">
                  <c:v>2012</c:v>
                </c:pt>
                <c:pt idx="483">
                  <c:v>2012</c:v>
                </c:pt>
                <c:pt idx="484">
                  <c:v>2012</c:v>
                </c:pt>
                <c:pt idx="485">
                  <c:v>2012</c:v>
                </c:pt>
                <c:pt idx="486">
                  <c:v>2012</c:v>
                </c:pt>
                <c:pt idx="487">
                  <c:v>2012</c:v>
                </c:pt>
                <c:pt idx="488">
                  <c:v>2012</c:v>
                </c:pt>
                <c:pt idx="489">
                  <c:v>2012</c:v>
                </c:pt>
                <c:pt idx="490">
                  <c:v>2012</c:v>
                </c:pt>
                <c:pt idx="491">
                  <c:v>2012</c:v>
                </c:pt>
                <c:pt idx="492">
                  <c:v>2012</c:v>
                </c:pt>
                <c:pt idx="493">
                  <c:v>2012</c:v>
                </c:pt>
                <c:pt idx="494">
                  <c:v>2012</c:v>
                </c:pt>
                <c:pt idx="495">
                  <c:v>2012</c:v>
                </c:pt>
                <c:pt idx="496">
                  <c:v>2012</c:v>
                </c:pt>
                <c:pt idx="497">
                  <c:v>2012</c:v>
                </c:pt>
                <c:pt idx="498">
                  <c:v>2012</c:v>
                </c:pt>
                <c:pt idx="499">
                  <c:v>2011</c:v>
                </c:pt>
                <c:pt idx="500">
                  <c:v>2011</c:v>
                </c:pt>
                <c:pt idx="501">
                  <c:v>2011</c:v>
                </c:pt>
                <c:pt idx="502">
                  <c:v>2011</c:v>
                </c:pt>
                <c:pt idx="503">
                  <c:v>2011</c:v>
                </c:pt>
                <c:pt idx="504">
                  <c:v>2011</c:v>
                </c:pt>
                <c:pt idx="505">
                  <c:v>2011</c:v>
                </c:pt>
                <c:pt idx="506">
                  <c:v>2011</c:v>
                </c:pt>
                <c:pt idx="507">
                  <c:v>2011</c:v>
                </c:pt>
                <c:pt idx="508">
                  <c:v>2011</c:v>
                </c:pt>
                <c:pt idx="509">
                  <c:v>2011</c:v>
                </c:pt>
                <c:pt idx="510">
                  <c:v>2011</c:v>
                </c:pt>
                <c:pt idx="511">
                  <c:v>2011</c:v>
                </c:pt>
                <c:pt idx="512">
                  <c:v>2011</c:v>
                </c:pt>
                <c:pt idx="513">
                  <c:v>2011</c:v>
                </c:pt>
                <c:pt idx="514">
                  <c:v>2011</c:v>
                </c:pt>
                <c:pt idx="515">
                  <c:v>2011</c:v>
                </c:pt>
                <c:pt idx="516">
                  <c:v>2011</c:v>
                </c:pt>
                <c:pt idx="517">
                  <c:v>2011</c:v>
                </c:pt>
                <c:pt idx="518">
                  <c:v>2011</c:v>
                </c:pt>
                <c:pt idx="519">
                  <c:v>2011</c:v>
                </c:pt>
                <c:pt idx="520">
                  <c:v>2011</c:v>
                </c:pt>
                <c:pt idx="521">
                  <c:v>2011</c:v>
                </c:pt>
                <c:pt idx="522">
                  <c:v>2011</c:v>
                </c:pt>
                <c:pt idx="523">
                  <c:v>2011</c:v>
                </c:pt>
                <c:pt idx="524">
                  <c:v>2011</c:v>
                </c:pt>
                <c:pt idx="525">
                  <c:v>2011</c:v>
                </c:pt>
                <c:pt idx="526">
                  <c:v>2011</c:v>
                </c:pt>
                <c:pt idx="527">
                  <c:v>2011</c:v>
                </c:pt>
                <c:pt idx="528">
                  <c:v>2011</c:v>
                </c:pt>
                <c:pt idx="529">
                  <c:v>2011</c:v>
                </c:pt>
                <c:pt idx="530">
                  <c:v>2011</c:v>
                </c:pt>
                <c:pt idx="531">
                  <c:v>2011</c:v>
                </c:pt>
                <c:pt idx="532">
                  <c:v>2011</c:v>
                </c:pt>
                <c:pt idx="533">
                  <c:v>2011</c:v>
                </c:pt>
                <c:pt idx="534">
                  <c:v>2011</c:v>
                </c:pt>
                <c:pt idx="535">
                  <c:v>2011</c:v>
                </c:pt>
                <c:pt idx="536">
                  <c:v>2011</c:v>
                </c:pt>
                <c:pt idx="537">
                  <c:v>2011</c:v>
                </c:pt>
                <c:pt idx="538">
                  <c:v>2011</c:v>
                </c:pt>
                <c:pt idx="539">
                  <c:v>2011</c:v>
                </c:pt>
                <c:pt idx="540">
                  <c:v>2011</c:v>
                </c:pt>
                <c:pt idx="541">
                  <c:v>2011</c:v>
                </c:pt>
                <c:pt idx="542">
                  <c:v>2011</c:v>
                </c:pt>
                <c:pt idx="543">
                  <c:v>2012</c:v>
                </c:pt>
                <c:pt idx="544">
                  <c:v>2012</c:v>
                </c:pt>
                <c:pt idx="545">
                  <c:v>2012</c:v>
                </c:pt>
                <c:pt idx="546">
                  <c:v>2012</c:v>
                </c:pt>
                <c:pt idx="547">
                  <c:v>2012</c:v>
                </c:pt>
                <c:pt idx="548">
                  <c:v>2012</c:v>
                </c:pt>
                <c:pt idx="549">
                  <c:v>2012</c:v>
                </c:pt>
                <c:pt idx="550">
                  <c:v>2012</c:v>
                </c:pt>
                <c:pt idx="551">
                  <c:v>2012</c:v>
                </c:pt>
                <c:pt idx="552">
                  <c:v>2012</c:v>
                </c:pt>
                <c:pt idx="553">
                  <c:v>2012</c:v>
                </c:pt>
                <c:pt idx="554">
                  <c:v>2012</c:v>
                </c:pt>
                <c:pt idx="555">
                  <c:v>2012</c:v>
                </c:pt>
                <c:pt idx="556">
                  <c:v>2012</c:v>
                </c:pt>
                <c:pt idx="557">
                  <c:v>2012</c:v>
                </c:pt>
                <c:pt idx="558">
                  <c:v>2012</c:v>
                </c:pt>
                <c:pt idx="559">
                  <c:v>2012</c:v>
                </c:pt>
                <c:pt idx="560">
                  <c:v>2012</c:v>
                </c:pt>
                <c:pt idx="561">
                  <c:v>2012</c:v>
                </c:pt>
                <c:pt idx="562">
                  <c:v>2012</c:v>
                </c:pt>
                <c:pt idx="563">
                  <c:v>2012</c:v>
                </c:pt>
                <c:pt idx="564">
                  <c:v>2012</c:v>
                </c:pt>
                <c:pt idx="565">
                  <c:v>2012</c:v>
                </c:pt>
                <c:pt idx="566">
                  <c:v>2012</c:v>
                </c:pt>
                <c:pt idx="567">
                  <c:v>2012</c:v>
                </c:pt>
                <c:pt idx="568">
                  <c:v>2012</c:v>
                </c:pt>
                <c:pt idx="569">
                  <c:v>2012</c:v>
                </c:pt>
                <c:pt idx="570">
                  <c:v>2012</c:v>
                </c:pt>
                <c:pt idx="571">
                  <c:v>2012</c:v>
                </c:pt>
                <c:pt idx="572">
                  <c:v>2012</c:v>
                </c:pt>
                <c:pt idx="573">
                  <c:v>2012</c:v>
                </c:pt>
                <c:pt idx="574">
                  <c:v>2012</c:v>
                </c:pt>
                <c:pt idx="575">
                  <c:v>2012</c:v>
                </c:pt>
                <c:pt idx="576">
                  <c:v>2012</c:v>
                </c:pt>
                <c:pt idx="577">
                  <c:v>2012</c:v>
                </c:pt>
                <c:pt idx="578">
                  <c:v>2012</c:v>
                </c:pt>
                <c:pt idx="579">
                  <c:v>2012</c:v>
                </c:pt>
                <c:pt idx="580">
                  <c:v>2012</c:v>
                </c:pt>
                <c:pt idx="581">
                  <c:v>2012</c:v>
                </c:pt>
                <c:pt idx="582">
                  <c:v>2012</c:v>
                </c:pt>
                <c:pt idx="583">
                  <c:v>2012</c:v>
                </c:pt>
                <c:pt idx="584">
                  <c:v>2012</c:v>
                </c:pt>
                <c:pt idx="585">
                  <c:v>2012</c:v>
                </c:pt>
                <c:pt idx="586">
                  <c:v>2012</c:v>
                </c:pt>
                <c:pt idx="587">
                  <c:v>2012</c:v>
                </c:pt>
                <c:pt idx="588">
                  <c:v>2012</c:v>
                </c:pt>
                <c:pt idx="589">
                  <c:v>2012</c:v>
                </c:pt>
                <c:pt idx="590">
                  <c:v>2012</c:v>
                </c:pt>
                <c:pt idx="591">
                  <c:v>2012</c:v>
                </c:pt>
                <c:pt idx="592">
                  <c:v>2012</c:v>
                </c:pt>
                <c:pt idx="593">
                  <c:v>2012</c:v>
                </c:pt>
                <c:pt idx="594">
                  <c:v>2012</c:v>
                </c:pt>
                <c:pt idx="595">
                  <c:v>2012</c:v>
                </c:pt>
                <c:pt idx="596">
                  <c:v>2012</c:v>
                </c:pt>
                <c:pt idx="597">
                  <c:v>2012</c:v>
                </c:pt>
                <c:pt idx="598">
                  <c:v>2012</c:v>
                </c:pt>
                <c:pt idx="599">
                  <c:v>2012</c:v>
                </c:pt>
                <c:pt idx="600">
                  <c:v>2012</c:v>
                </c:pt>
                <c:pt idx="601">
                  <c:v>2012</c:v>
                </c:pt>
                <c:pt idx="602">
                  <c:v>2012</c:v>
                </c:pt>
                <c:pt idx="603">
                  <c:v>2012</c:v>
                </c:pt>
                <c:pt idx="604">
                  <c:v>2012</c:v>
                </c:pt>
                <c:pt idx="605">
                  <c:v>2012</c:v>
                </c:pt>
                <c:pt idx="606">
                  <c:v>2012</c:v>
                </c:pt>
                <c:pt idx="607">
                  <c:v>2012</c:v>
                </c:pt>
                <c:pt idx="608">
                  <c:v>2012</c:v>
                </c:pt>
                <c:pt idx="609">
                  <c:v>2012</c:v>
                </c:pt>
                <c:pt idx="610">
                  <c:v>2012</c:v>
                </c:pt>
                <c:pt idx="611">
                  <c:v>2012</c:v>
                </c:pt>
                <c:pt idx="612">
                  <c:v>2012</c:v>
                </c:pt>
                <c:pt idx="613">
                  <c:v>2012</c:v>
                </c:pt>
                <c:pt idx="614">
                  <c:v>2012</c:v>
                </c:pt>
                <c:pt idx="615">
                  <c:v>2012</c:v>
                </c:pt>
                <c:pt idx="616">
                  <c:v>2012</c:v>
                </c:pt>
                <c:pt idx="617">
                  <c:v>2012</c:v>
                </c:pt>
                <c:pt idx="618">
                  <c:v>2012</c:v>
                </c:pt>
                <c:pt idx="619">
                  <c:v>2012</c:v>
                </c:pt>
                <c:pt idx="620">
                  <c:v>2012</c:v>
                </c:pt>
                <c:pt idx="621">
                  <c:v>2012</c:v>
                </c:pt>
                <c:pt idx="622">
                  <c:v>2012</c:v>
                </c:pt>
                <c:pt idx="623">
                  <c:v>2012</c:v>
                </c:pt>
                <c:pt idx="624">
                  <c:v>2012</c:v>
                </c:pt>
                <c:pt idx="625">
                  <c:v>2012</c:v>
                </c:pt>
                <c:pt idx="626">
                  <c:v>2012</c:v>
                </c:pt>
                <c:pt idx="627">
                  <c:v>2012</c:v>
                </c:pt>
                <c:pt idx="628">
                  <c:v>2012</c:v>
                </c:pt>
                <c:pt idx="629">
                  <c:v>2012</c:v>
                </c:pt>
                <c:pt idx="630">
                  <c:v>2012</c:v>
                </c:pt>
                <c:pt idx="631">
                  <c:v>2012</c:v>
                </c:pt>
                <c:pt idx="632">
                  <c:v>2012</c:v>
                </c:pt>
                <c:pt idx="633">
                  <c:v>2012</c:v>
                </c:pt>
                <c:pt idx="634">
                  <c:v>2012</c:v>
                </c:pt>
                <c:pt idx="635">
                  <c:v>2012</c:v>
                </c:pt>
                <c:pt idx="636">
                  <c:v>2012</c:v>
                </c:pt>
                <c:pt idx="637">
                  <c:v>2012</c:v>
                </c:pt>
                <c:pt idx="638">
                  <c:v>2012</c:v>
                </c:pt>
                <c:pt idx="639">
                  <c:v>2012</c:v>
                </c:pt>
                <c:pt idx="640">
                  <c:v>2012</c:v>
                </c:pt>
                <c:pt idx="641">
                  <c:v>2012</c:v>
                </c:pt>
                <c:pt idx="642">
                  <c:v>2012</c:v>
                </c:pt>
                <c:pt idx="643">
                  <c:v>2012</c:v>
                </c:pt>
                <c:pt idx="644">
                  <c:v>2012</c:v>
                </c:pt>
                <c:pt idx="645">
                  <c:v>2012</c:v>
                </c:pt>
                <c:pt idx="646">
                  <c:v>2012</c:v>
                </c:pt>
                <c:pt idx="647">
                  <c:v>2012</c:v>
                </c:pt>
                <c:pt idx="648">
                  <c:v>2012</c:v>
                </c:pt>
                <c:pt idx="649">
                  <c:v>2012</c:v>
                </c:pt>
                <c:pt idx="650">
                  <c:v>2012</c:v>
                </c:pt>
                <c:pt idx="651">
                  <c:v>2012</c:v>
                </c:pt>
                <c:pt idx="652">
                  <c:v>2012</c:v>
                </c:pt>
                <c:pt idx="653">
                  <c:v>2012</c:v>
                </c:pt>
                <c:pt idx="654">
                  <c:v>2012</c:v>
                </c:pt>
                <c:pt idx="655">
                  <c:v>2012</c:v>
                </c:pt>
                <c:pt idx="656">
                  <c:v>2012</c:v>
                </c:pt>
                <c:pt idx="657">
                  <c:v>2012</c:v>
                </c:pt>
                <c:pt idx="658">
                  <c:v>2012</c:v>
                </c:pt>
                <c:pt idx="659">
                  <c:v>2012</c:v>
                </c:pt>
                <c:pt idx="660">
                  <c:v>2012</c:v>
                </c:pt>
                <c:pt idx="661">
                  <c:v>2012</c:v>
                </c:pt>
                <c:pt idx="662">
                  <c:v>2012</c:v>
                </c:pt>
                <c:pt idx="663">
                  <c:v>2012</c:v>
                </c:pt>
                <c:pt idx="664">
                  <c:v>2012</c:v>
                </c:pt>
                <c:pt idx="665">
                  <c:v>2012</c:v>
                </c:pt>
                <c:pt idx="666">
                  <c:v>2012</c:v>
                </c:pt>
                <c:pt idx="667">
                  <c:v>2012</c:v>
                </c:pt>
                <c:pt idx="668">
                  <c:v>2012</c:v>
                </c:pt>
                <c:pt idx="669">
                  <c:v>2012</c:v>
                </c:pt>
                <c:pt idx="670">
                  <c:v>2012</c:v>
                </c:pt>
                <c:pt idx="671">
                  <c:v>2012</c:v>
                </c:pt>
                <c:pt idx="672">
                  <c:v>2012</c:v>
                </c:pt>
                <c:pt idx="673">
                  <c:v>2012</c:v>
                </c:pt>
                <c:pt idx="674">
                  <c:v>2012</c:v>
                </c:pt>
                <c:pt idx="675">
                  <c:v>2012</c:v>
                </c:pt>
                <c:pt idx="676">
                  <c:v>2012</c:v>
                </c:pt>
                <c:pt idx="677">
                  <c:v>2012</c:v>
                </c:pt>
                <c:pt idx="678">
                  <c:v>2012</c:v>
                </c:pt>
                <c:pt idx="679">
                  <c:v>2012</c:v>
                </c:pt>
                <c:pt idx="680">
                  <c:v>2012</c:v>
                </c:pt>
                <c:pt idx="681">
                  <c:v>2012</c:v>
                </c:pt>
                <c:pt idx="682">
                  <c:v>2012</c:v>
                </c:pt>
                <c:pt idx="683">
                  <c:v>2012</c:v>
                </c:pt>
                <c:pt idx="684">
                  <c:v>2012</c:v>
                </c:pt>
                <c:pt idx="685">
                  <c:v>2012</c:v>
                </c:pt>
                <c:pt idx="686">
                  <c:v>2012</c:v>
                </c:pt>
                <c:pt idx="687">
                  <c:v>2012</c:v>
                </c:pt>
                <c:pt idx="688">
                  <c:v>2012</c:v>
                </c:pt>
                <c:pt idx="689">
                  <c:v>2012</c:v>
                </c:pt>
                <c:pt idx="690">
                  <c:v>2012</c:v>
                </c:pt>
                <c:pt idx="691">
                  <c:v>2012</c:v>
                </c:pt>
                <c:pt idx="692">
                  <c:v>2012</c:v>
                </c:pt>
                <c:pt idx="693">
                  <c:v>2012</c:v>
                </c:pt>
                <c:pt idx="694">
                  <c:v>2012</c:v>
                </c:pt>
                <c:pt idx="695">
                  <c:v>2012</c:v>
                </c:pt>
                <c:pt idx="696">
                  <c:v>2012</c:v>
                </c:pt>
                <c:pt idx="697">
                  <c:v>2012</c:v>
                </c:pt>
                <c:pt idx="698">
                  <c:v>2012</c:v>
                </c:pt>
                <c:pt idx="699">
                  <c:v>2012</c:v>
                </c:pt>
                <c:pt idx="700">
                  <c:v>2012</c:v>
                </c:pt>
                <c:pt idx="701">
                  <c:v>2012</c:v>
                </c:pt>
                <c:pt idx="702">
                  <c:v>2012</c:v>
                </c:pt>
                <c:pt idx="703">
                  <c:v>2012</c:v>
                </c:pt>
                <c:pt idx="704">
                  <c:v>2012</c:v>
                </c:pt>
                <c:pt idx="705">
                  <c:v>2012</c:v>
                </c:pt>
                <c:pt idx="706">
                  <c:v>2012</c:v>
                </c:pt>
                <c:pt idx="707">
                  <c:v>2012</c:v>
                </c:pt>
                <c:pt idx="708">
                  <c:v>2012</c:v>
                </c:pt>
                <c:pt idx="709">
                  <c:v>2012</c:v>
                </c:pt>
                <c:pt idx="710">
                  <c:v>2012</c:v>
                </c:pt>
                <c:pt idx="711">
                  <c:v>2012</c:v>
                </c:pt>
                <c:pt idx="712">
                  <c:v>2012</c:v>
                </c:pt>
                <c:pt idx="713">
                  <c:v>2012</c:v>
                </c:pt>
                <c:pt idx="714">
                  <c:v>2012</c:v>
                </c:pt>
                <c:pt idx="715">
                  <c:v>2012</c:v>
                </c:pt>
                <c:pt idx="716">
                  <c:v>2012</c:v>
                </c:pt>
                <c:pt idx="717">
                  <c:v>2012</c:v>
                </c:pt>
                <c:pt idx="718">
                  <c:v>2012</c:v>
                </c:pt>
                <c:pt idx="719">
                  <c:v>2012</c:v>
                </c:pt>
                <c:pt idx="720">
                  <c:v>2012</c:v>
                </c:pt>
                <c:pt idx="721">
                  <c:v>2012</c:v>
                </c:pt>
                <c:pt idx="722">
                  <c:v>2012</c:v>
                </c:pt>
                <c:pt idx="723">
                  <c:v>2012</c:v>
                </c:pt>
                <c:pt idx="724">
                  <c:v>2012</c:v>
                </c:pt>
                <c:pt idx="725">
                  <c:v>2012</c:v>
                </c:pt>
                <c:pt idx="726">
                  <c:v>2012</c:v>
                </c:pt>
                <c:pt idx="727">
                  <c:v>2012</c:v>
                </c:pt>
                <c:pt idx="728">
                  <c:v>2012</c:v>
                </c:pt>
                <c:pt idx="729">
                  <c:v>2012</c:v>
                </c:pt>
                <c:pt idx="730">
                  <c:v>2012</c:v>
                </c:pt>
                <c:pt idx="731">
                  <c:v>2012</c:v>
                </c:pt>
                <c:pt idx="732">
                  <c:v>2012</c:v>
                </c:pt>
                <c:pt idx="733">
                  <c:v>2012</c:v>
                </c:pt>
                <c:pt idx="734">
                  <c:v>2012</c:v>
                </c:pt>
                <c:pt idx="735">
                  <c:v>2012</c:v>
                </c:pt>
                <c:pt idx="736">
                  <c:v>2012</c:v>
                </c:pt>
                <c:pt idx="737">
                  <c:v>2012</c:v>
                </c:pt>
                <c:pt idx="738">
                  <c:v>2012</c:v>
                </c:pt>
                <c:pt idx="739">
                  <c:v>2012</c:v>
                </c:pt>
                <c:pt idx="740">
                  <c:v>2012</c:v>
                </c:pt>
                <c:pt idx="741">
                  <c:v>2012</c:v>
                </c:pt>
                <c:pt idx="742">
                  <c:v>2012</c:v>
                </c:pt>
                <c:pt idx="743">
                  <c:v>2012</c:v>
                </c:pt>
                <c:pt idx="744">
                  <c:v>2012</c:v>
                </c:pt>
                <c:pt idx="745">
                  <c:v>2012</c:v>
                </c:pt>
                <c:pt idx="746">
                  <c:v>2012</c:v>
                </c:pt>
                <c:pt idx="747">
                  <c:v>2012</c:v>
                </c:pt>
                <c:pt idx="748">
                  <c:v>2012</c:v>
                </c:pt>
                <c:pt idx="749">
                  <c:v>2012</c:v>
                </c:pt>
                <c:pt idx="750">
                  <c:v>2011</c:v>
                </c:pt>
                <c:pt idx="751">
                  <c:v>2011</c:v>
                </c:pt>
                <c:pt idx="752">
                  <c:v>2011</c:v>
                </c:pt>
                <c:pt idx="753">
                  <c:v>2011</c:v>
                </c:pt>
                <c:pt idx="754">
                  <c:v>2011</c:v>
                </c:pt>
                <c:pt idx="755">
                  <c:v>2011</c:v>
                </c:pt>
                <c:pt idx="756">
                  <c:v>2011</c:v>
                </c:pt>
                <c:pt idx="757">
                  <c:v>2011</c:v>
                </c:pt>
                <c:pt idx="758">
                  <c:v>2011</c:v>
                </c:pt>
                <c:pt idx="759">
                  <c:v>2011</c:v>
                </c:pt>
                <c:pt idx="760">
                  <c:v>2011</c:v>
                </c:pt>
                <c:pt idx="761">
                  <c:v>2013</c:v>
                </c:pt>
                <c:pt idx="762">
                  <c:v>2013</c:v>
                </c:pt>
                <c:pt idx="763">
                  <c:v>2013</c:v>
                </c:pt>
                <c:pt idx="764">
                  <c:v>2013</c:v>
                </c:pt>
                <c:pt idx="765">
                  <c:v>2013</c:v>
                </c:pt>
                <c:pt idx="766">
                  <c:v>2013</c:v>
                </c:pt>
                <c:pt idx="767">
                  <c:v>2013</c:v>
                </c:pt>
                <c:pt idx="768">
                  <c:v>2013</c:v>
                </c:pt>
                <c:pt idx="769">
                  <c:v>2013</c:v>
                </c:pt>
                <c:pt idx="770">
                  <c:v>2013</c:v>
                </c:pt>
                <c:pt idx="771">
                  <c:v>2013</c:v>
                </c:pt>
                <c:pt idx="772">
                  <c:v>2013</c:v>
                </c:pt>
                <c:pt idx="773">
                  <c:v>2013</c:v>
                </c:pt>
                <c:pt idx="774">
                  <c:v>2013</c:v>
                </c:pt>
                <c:pt idx="775">
                  <c:v>2013</c:v>
                </c:pt>
                <c:pt idx="776">
                  <c:v>2013</c:v>
                </c:pt>
                <c:pt idx="777">
                  <c:v>2013</c:v>
                </c:pt>
                <c:pt idx="778">
                  <c:v>2013</c:v>
                </c:pt>
                <c:pt idx="779">
                  <c:v>2013</c:v>
                </c:pt>
                <c:pt idx="780">
                  <c:v>2013</c:v>
                </c:pt>
                <c:pt idx="781">
                  <c:v>2013</c:v>
                </c:pt>
                <c:pt idx="782">
                  <c:v>2013</c:v>
                </c:pt>
                <c:pt idx="783">
                  <c:v>2013</c:v>
                </c:pt>
                <c:pt idx="784">
                  <c:v>2013</c:v>
                </c:pt>
                <c:pt idx="785">
                  <c:v>2013</c:v>
                </c:pt>
                <c:pt idx="786">
                  <c:v>2013</c:v>
                </c:pt>
                <c:pt idx="787">
                  <c:v>2015</c:v>
                </c:pt>
                <c:pt idx="788">
                  <c:v>2015</c:v>
                </c:pt>
                <c:pt idx="789">
                  <c:v>2015</c:v>
                </c:pt>
                <c:pt idx="790">
                  <c:v>2015</c:v>
                </c:pt>
                <c:pt idx="791">
                  <c:v>2015</c:v>
                </c:pt>
                <c:pt idx="792">
                  <c:v>2015</c:v>
                </c:pt>
                <c:pt idx="793">
                  <c:v>2015</c:v>
                </c:pt>
                <c:pt idx="794">
                  <c:v>2015</c:v>
                </c:pt>
                <c:pt idx="795">
                  <c:v>2015</c:v>
                </c:pt>
                <c:pt idx="796">
                  <c:v>2015</c:v>
                </c:pt>
                <c:pt idx="797">
                  <c:v>2015</c:v>
                </c:pt>
                <c:pt idx="798">
                  <c:v>2014</c:v>
                </c:pt>
                <c:pt idx="799">
                  <c:v>2014</c:v>
                </c:pt>
                <c:pt idx="800">
                  <c:v>2014</c:v>
                </c:pt>
                <c:pt idx="801">
                  <c:v>2014</c:v>
                </c:pt>
                <c:pt idx="802">
                  <c:v>2014</c:v>
                </c:pt>
                <c:pt idx="803">
                  <c:v>2014</c:v>
                </c:pt>
                <c:pt idx="804">
                  <c:v>2014</c:v>
                </c:pt>
                <c:pt idx="805">
                  <c:v>2014</c:v>
                </c:pt>
                <c:pt idx="806">
                  <c:v>2014</c:v>
                </c:pt>
                <c:pt idx="807">
                  <c:v>2014</c:v>
                </c:pt>
                <c:pt idx="808">
                  <c:v>2014</c:v>
                </c:pt>
                <c:pt idx="809">
                  <c:v>2014</c:v>
                </c:pt>
                <c:pt idx="810">
                  <c:v>2014</c:v>
                </c:pt>
                <c:pt idx="811">
                  <c:v>2014</c:v>
                </c:pt>
                <c:pt idx="812">
                  <c:v>2014</c:v>
                </c:pt>
                <c:pt idx="813">
                  <c:v>2014</c:v>
                </c:pt>
                <c:pt idx="814">
                  <c:v>2014</c:v>
                </c:pt>
                <c:pt idx="815">
                  <c:v>2014</c:v>
                </c:pt>
                <c:pt idx="816">
                  <c:v>2014</c:v>
                </c:pt>
                <c:pt idx="817">
                  <c:v>2014</c:v>
                </c:pt>
                <c:pt idx="818">
                  <c:v>2014</c:v>
                </c:pt>
                <c:pt idx="819">
                  <c:v>2014</c:v>
                </c:pt>
                <c:pt idx="820">
                  <c:v>2014</c:v>
                </c:pt>
                <c:pt idx="821">
                  <c:v>2014</c:v>
                </c:pt>
                <c:pt idx="822">
                  <c:v>2014</c:v>
                </c:pt>
                <c:pt idx="823">
                  <c:v>2014</c:v>
                </c:pt>
                <c:pt idx="824">
                  <c:v>2014</c:v>
                </c:pt>
                <c:pt idx="825">
                  <c:v>2014</c:v>
                </c:pt>
                <c:pt idx="826">
                  <c:v>2014</c:v>
                </c:pt>
                <c:pt idx="827">
                  <c:v>2014</c:v>
                </c:pt>
                <c:pt idx="828">
                  <c:v>2014</c:v>
                </c:pt>
                <c:pt idx="829">
                  <c:v>2014</c:v>
                </c:pt>
                <c:pt idx="830">
                  <c:v>2014</c:v>
                </c:pt>
                <c:pt idx="831">
                  <c:v>2014</c:v>
                </c:pt>
                <c:pt idx="832">
                  <c:v>2014</c:v>
                </c:pt>
                <c:pt idx="833">
                  <c:v>2014</c:v>
                </c:pt>
                <c:pt idx="834">
                  <c:v>2014</c:v>
                </c:pt>
                <c:pt idx="835">
                  <c:v>2014</c:v>
                </c:pt>
                <c:pt idx="836">
                  <c:v>2014</c:v>
                </c:pt>
                <c:pt idx="837">
                  <c:v>2014</c:v>
                </c:pt>
                <c:pt idx="838">
                  <c:v>2014</c:v>
                </c:pt>
                <c:pt idx="839">
                  <c:v>2014</c:v>
                </c:pt>
                <c:pt idx="840">
                  <c:v>2014</c:v>
                </c:pt>
                <c:pt idx="841">
                  <c:v>2014</c:v>
                </c:pt>
                <c:pt idx="842">
                  <c:v>2014</c:v>
                </c:pt>
                <c:pt idx="843">
                  <c:v>2014</c:v>
                </c:pt>
                <c:pt idx="844">
                  <c:v>2014</c:v>
                </c:pt>
                <c:pt idx="845">
                  <c:v>2014</c:v>
                </c:pt>
                <c:pt idx="846">
                  <c:v>2014</c:v>
                </c:pt>
                <c:pt idx="847">
                  <c:v>2014</c:v>
                </c:pt>
                <c:pt idx="848">
                  <c:v>2014</c:v>
                </c:pt>
                <c:pt idx="849">
                  <c:v>2014</c:v>
                </c:pt>
                <c:pt idx="850">
                  <c:v>2014</c:v>
                </c:pt>
                <c:pt idx="851">
                  <c:v>2014</c:v>
                </c:pt>
                <c:pt idx="852">
                  <c:v>2014</c:v>
                </c:pt>
                <c:pt idx="853">
                  <c:v>2014</c:v>
                </c:pt>
                <c:pt idx="854">
                  <c:v>2014</c:v>
                </c:pt>
                <c:pt idx="855">
                  <c:v>2014</c:v>
                </c:pt>
                <c:pt idx="856">
                  <c:v>2014</c:v>
                </c:pt>
                <c:pt idx="857">
                  <c:v>2014</c:v>
                </c:pt>
                <c:pt idx="858">
                  <c:v>2014</c:v>
                </c:pt>
                <c:pt idx="859">
                  <c:v>2014</c:v>
                </c:pt>
                <c:pt idx="860">
                  <c:v>2014</c:v>
                </c:pt>
                <c:pt idx="861">
                  <c:v>2014</c:v>
                </c:pt>
                <c:pt idx="862">
                  <c:v>2014</c:v>
                </c:pt>
                <c:pt idx="863">
                  <c:v>2014</c:v>
                </c:pt>
                <c:pt idx="864">
                  <c:v>2014</c:v>
                </c:pt>
                <c:pt idx="865">
                  <c:v>2014</c:v>
                </c:pt>
                <c:pt idx="866">
                  <c:v>2014</c:v>
                </c:pt>
                <c:pt idx="867">
                  <c:v>2014</c:v>
                </c:pt>
                <c:pt idx="868">
                  <c:v>2014</c:v>
                </c:pt>
                <c:pt idx="869">
                  <c:v>2014</c:v>
                </c:pt>
                <c:pt idx="870">
                  <c:v>2014</c:v>
                </c:pt>
                <c:pt idx="871">
                  <c:v>2014</c:v>
                </c:pt>
                <c:pt idx="872">
                  <c:v>2014</c:v>
                </c:pt>
                <c:pt idx="873">
                  <c:v>2014</c:v>
                </c:pt>
                <c:pt idx="874">
                  <c:v>2014</c:v>
                </c:pt>
                <c:pt idx="875">
                  <c:v>2014</c:v>
                </c:pt>
                <c:pt idx="876">
                  <c:v>2014</c:v>
                </c:pt>
                <c:pt idx="877">
                  <c:v>2014</c:v>
                </c:pt>
                <c:pt idx="878">
                  <c:v>2014</c:v>
                </c:pt>
                <c:pt idx="879">
                  <c:v>2014</c:v>
                </c:pt>
                <c:pt idx="880">
                  <c:v>2014</c:v>
                </c:pt>
                <c:pt idx="881">
                  <c:v>2014</c:v>
                </c:pt>
                <c:pt idx="882">
                  <c:v>2014</c:v>
                </c:pt>
                <c:pt idx="883">
                  <c:v>2014</c:v>
                </c:pt>
                <c:pt idx="884">
                  <c:v>2014</c:v>
                </c:pt>
                <c:pt idx="885">
                  <c:v>2014</c:v>
                </c:pt>
                <c:pt idx="886">
                  <c:v>2014</c:v>
                </c:pt>
                <c:pt idx="887">
                  <c:v>2013</c:v>
                </c:pt>
                <c:pt idx="888">
                  <c:v>2013</c:v>
                </c:pt>
                <c:pt idx="889">
                  <c:v>2013</c:v>
                </c:pt>
                <c:pt idx="890">
                  <c:v>2013</c:v>
                </c:pt>
                <c:pt idx="891">
                  <c:v>2013</c:v>
                </c:pt>
                <c:pt idx="892">
                  <c:v>2013</c:v>
                </c:pt>
                <c:pt idx="893">
                  <c:v>2013</c:v>
                </c:pt>
                <c:pt idx="894">
                  <c:v>2015</c:v>
                </c:pt>
                <c:pt idx="895">
                  <c:v>2015</c:v>
                </c:pt>
                <c:pt idx="896">
                  <c:v>2015</c:v>
                </c:pt>
                <c:pt idx="897">
                  <c:v>2015</c:v>
                </c:pt>
                <c:pt idx="898">
                  <c:v>2015</c:v>
                </c:pt>
                <c:pt idx="899">
                  <c:v>2015</c:v>
                </c:pt>
                <c:pt idx="900">
                  <c:v>2015</c:v>
                </c:pt>
                <c:pt idx="901">
                  <c:v>2015</c:v>
                </c:pt>
                <c:pt idx="902">
                  <c:v>2015</c:v>
                </c:pt>
                <c:pt idx="903">
                  <c:v>2015</c:v>
                </c:pt>
                <c:pt idx="904">
                  <c:v>2015</c:v>
                </c:pt>
                <c:pt idx="905">
                  <c:v>2015</c:v>
                </c:pt>
                <c:pt idx="906">
                  <c:v>2015</c:v>
                </c:pt>
                <c:pt idx="907">
                  <c:v>2015</c:v>
                </c:pt>
                <c:pt idx="908">
                  <c:v>2015</c:v>
                </c:pt>
                <c:pt idx="909">
                  <c:v>2015</c:v>
                </c:pt>
                <c:pt idx="910">
                  <c:v>2015</c:v>
                </c:pt>
                <c:pt idx="911">
                  <c:v>2015</c:v>
                </c:pt>
                <c:pt idx="912">
                  <c:v>2015</c:v>
                </c:pt>
                <c:pt idx="913">
                  <c:v>2015</c:v>
                </c:pt>
                <c:pt idx="914">
                  <c:v>2015</c:v>
                </c:pt>
                <c:pt idx="915">
                  <c:v>2015</c:v>
                </c:pt>
                <c:pt idx="916">
                  <c:v>2015</c:v>
                </c:pt>
                <c:pt idx="917">
                  <c:v>2015</c:v>
                </c:pt>
                <c:pt idx="918">
                  <c:v>2015</c:v>
                </c:pt>
                <c:pt idx="919">
                  <c:v>2015</c:v>
                </c:pt>
                <c:pt idx="920">
                  <c:v>2015</c:v>
                </c:pt>
                <c:pt idx="921">
                  <c:v>2015</c:v>
                </c:pt>
                <c:pt idx="922">
                  <c:v>2015</c:v>
                </c:pt>
                <c:pt idx="923">
                  <c:v>2014</c:v>
                </c:pt>
                <c:pt idx="924">
                  <c:v>2014</c:v>
                </c:pt>
                <c:pt idx="925">
                  <c:v>2014</c:v>
                </c:pt>
                <c:pt idx="926">
                  <c:v>2014</c:v>
                </c:pt>
                <c:pt idx="927">
                  <c:v>2014</c:v>
                </c:pt>
                <c:pt idx="928">
                  <c:v>2014</c:v>
                </c:pt>
                <c:pt idx="929">
                  <c:v>2014</c:v>
                </c:pt>
                <c:pt idx="930">
                  <c:v>2014</c:v>
                </c:pt>
                <c:pt idx="931">
                  <c:v>2014</c:v>
                </c:pt>
                <c:pt idx="932">
                  <c:v>2014</c:v>
                </c:pt>
                <c:pt idx="933">
                  <c:v>2014</c:v>
                </c:pt>
                <c:pt idx="934">
                  <c:v>2014</c:v>
                </c:pt>
                <c:pt idx="935">
                  <c:v>2012</c:v>
                </c:pt>
                <c:pt idx="936">
                  <c:v>2012</c:v>
                </c:pt>
                <c:pt idx="937">
                  <c:v>2013</c:v>
                </c:pt>
                <c:pt idx="938">
                  <c:v>2013</c:v>
                </c:pt>
                <c:pt idx="939">
                  <c:v>2013</c:v>
                </c:pt>
                <c:pt idx="940">
                  <c:v>2013</c:v>
                </c:pt>
                <c:pt idx="941">
                  <c:v>2013</c:v>
                </c:pt>
                <c:pt idx="942">
                  <c:v>2013</c:v>
                </c:pt>
                <c:pt idx="943">
                  <c:v>2015</c:v>
                </c:pt>
                <c:pt idx="944">
                  <c:v>2015</c:v>
                </c:pt>
                <c:pt idx="945">
                  <c:v>2015</c:v>
                </c:pt>
                <c:pt idx="946">
                  <c:v>2015</c:v>
                </c:pt>
                <c:pt idx="947">
                  <c:v>2015</c:v>
                </c:pt>
                <c:pt idx="948">
                  <c:v>2015</c:v>
                </c:pt>
                <c:pt idx="949">
                  <c:v>2015</c:v>
                </c:pt>
                <c:pt idx="950">
                  <c:v>2015</c:v>
                </c:pt>
                <c:pt idx="951">
                  <c:v>2015</c:v>
                </c:pt>
                <c:pt idx="952">
                  <c:v>2015</c:v>
                </c:pt>
                <c:pt idx="953">
                  <c:v>2015</c:v>
                </c:pt>
                <c:pt idx="954">
                  <c:v>2014</c:v>
                </c:pt>
                <c:pt idx="955">
                  <c:v>2014</c:v>
                </c:pt>
                <c:pt idx="956">
                  <c:v>2014</c:v>
                </c:pt>
                <c:pt idx="957">
                  <c:v>2014</c:v>
                </c:pt>
                <c:pt idx="958">
                  <c:v>2014</c:v>
                </c:pt>
                <c:pt idx="959">
                  <c:v>2014</c:v>
                </c:pt>
                <c:pt idx="960">
                  <c:v>2014</c:v>
                </c:pt>
                <c:pt idx="961">
                  <c:v>2014</c:v>
                </c:pt>
                <c:pt idx="962">
                  <c:v>2014</c:v>
                </c:pt>
                <c:pt idx="963">
                  <c:v>2014</c:v>
                </c:pt>
                <c:pt idx="964">
                  <c:v>2014</c:v>
                </c:pt>
                <c:pt idx="965">
                  <c:v>2014</c:v>
                </c:pt>
                <c:pt idx="966">
                  <c:v>2014</c:v>
                </c:pt>
                <c:pt idx="967">
                  <c:v>2014</c:v>
                </c:pt>
                <c:pt idx="968">
                  <c:v>2014</c:v>
                </c:pt>
                <c:pt idx="969">
                  <c:v>2014</c:v>
                </c:pt>
                <c:pt idx="970">
                  <c:v>2014</c:v>
                </c:pt>
                <c:pt idx="971">
                  <c:v>2014</c:v>
                </c:pt>
                <c:pt idx="972">
                  <c:v>2014</c:v>
                </c:pt>
                <c:pt idx="973">
                  <c:v>2014</c:v>
                </c:pt>
                <c:pt idx="974">
                  <c:v>2014</c:v>
                </c:pt>
                <c:pt idx="975">
                  <c:v>2014</c:v>
                </c:pt>
                <c:pt idx="976">
                  <c:v>2014</c:v>
                </c:pt>
                <c:pt idx="977">
                  <c:v>2014</c:v>
                </c:pt>
                <c:pt idx="978">
                  <c:v>2014</c:v>
                </c:pt>
                <c:pt idx="979">
                  <c:v>2014</c:v>
                </c:pt>
                <c:pt idx="980">
                  <c:v>2014</c:v>
                </c:pt>
                <c:pt idx="981">
                  <c:v>2014</c:v>
                </c:pt>
                <c:pt idx="982">
                  <c:v>2014</c:v>
                </c:pt>
                <c:pt idx="983">
                  <c:v>2013</c:v>
                </c:pt>
                <c:pt idx="984">
                  <c:v>2013</c:v>
                </c:pt>
                <c:pt idx="985">
                  <c:v>2013</c:v>
                </c:pt>
                <c:pt idx="986">
                  <c:v>2013</c:v>
                </c:pt>
                <c:pt idx="987">
                  <c:v>2013</c:v>
                </c:pt>
                <c:pt idx="988">
                  <c:v>2013</c:v>
                </c:pt>
                <c:pt idx="989">
                  <c:v>2013</c:v>
                </c:pt>
                <c:pt idx="990">
                  <c:v>2013</c:v>
                </c:pt>
                <c:pt idx="991">
                  <c:v>2013</c:v>
                </c:pt>
                <c:pt idx="992">
                  <c:v>2013</c:v>
                </c:pt>
                <c:pt idx="993">
                  <c:v>2013</c:v>
                </c:pt>
                <c:pt idx="994">
                  <c:v>2013</c:v>
                </c:pt>
                <c:pt idx="995">
                  <c:v>2013</c:v>
                </c:pt>
                <c:pt idx="996">
                  <c:v>2013</c:v>
                </c:pt>
                <c:pt idx="997">
                  <c:v>2013</c:v>
                </c:pt>
                <c:pt idx="998">
                  <c:v>2013</c:v>
                </c:pt>
                <c:pt idx="999">
                  <c:v>2013</c:v>
                </c:pt>
                <c:pt idx="1000">
                  <c:v>2013</c:v>
                </c:pt>
                <c:pt idx="1001">
                  <c:v>2013</c:v>
                </c:pt>
                <c:pt idx="1002">
                  <c:v>2013</c:v>
                </c:pt>
                <c:pt idx="1003">
                  <c:v>2013</c:v>
                </c:pt>
                <c:pt idx="1004">
                  <c:v>2013</c:v>
                </c:pt>
                <c:pt idx="1005">
                  <c:v>2013</c:v>
                </c:pt>
                <c:pt idx="1006">
                  <c:v>2014</c:v>
                </c:pt>
                <c:pt idx="1007">
                  <c:v>2014</c:v>
                </c:pt>
                <c:pt idx="1008">
                  <c:v>2014</c:v>
                </c:pt>
                <c:pt idx="1009">
                  <c:v>2014</c:v>
                </c:pt>
                <c:pt idx="1010">
                  <c:v>2014</c:v>
                </c:pt>
                <c:pt idx="1011">
                  <c:v>2014</c:v>
                </c:pt>
                <c:pt idx="1012">
                  <c:v>2014</c:v>
                </c:pt>
                <c:pt idx="1013">
                  <c:v>2014</c:v>
                </c:pt>
                <c:pt idx="1014">
                  <c:v>2014</c:v>
                </c:pt>
                <c:pt idx="1015">
                  <c:v>2014</c:v>
                </c:pt>
                <c:pt idx="1016">
                  <c:v>2014</c:v>
                </c:pt>
                <c:pt idx="1017">
                  <c:v>2014</c:v>
                </c:pt>
                <c:pt idx="1018">
                  <c:v>2014</c:v>
                </c:pt>
                <c:pt idx="1019">
                  <c:v>2014</c:v>
                </c:pt>
                <c:pt idx="1020">
                  <c:v>2014</c:v>
                </c:pt>
                <c:pt idx="1021">
                  <c:v>2014</c:v>
                </c:pt>
                <c:pt idx="1022">
                  <c:v>2014</c:v>
                </c:pt>
                <c:pt idx="1023">
                  <c:v>2014</c:v>
                </c:pt>
                <c:pt idx="1024">
                  <c:v>2014</c:v>
                </c:pt>
                <c:pt idx="1025">
                  <c:v>2014</c:v>
                </c:pt>
                <c:pt idx="1026">
                  <c:v>2014</c:v>
                </c:pt>
                <c:pt idx="1027">
                  <c:v>2014</c:v>
                </c:pt>
                <c:pt idx="1028">
                  <c:v>2014</c:v>
                </c:pt>
                <c:pt idx="1029">
                  <c:v>2014</c:v>
                </c:pt>
                <c:pt idx="1030">
                  <c:v>2014</c:v>
                </c:pt>
                <c:pt idx="1031">
                  <c:v>2014</c:v>
                </c:pt>
                <c:pt idx="1032">
                  <c:v>2014</c:v>
                </c:pt>
                <c:pt idx="1033">
                  <c:v>2014</c:v>
                </c:pt>
                <c:pt idx="1034">
                  <c:v>2014</c:v>
                </c:pt>
                <c:pt idx="1035">
                  <c:v>2014</c:v>
                </c:pt>
                <c:pt idx="1036">
                  <c:v>2014</c:v>
                </c:pt>
                <c:pt idx="1037">
                  <c:v>2014</c:v>
                </c:pt>
                <c:pt idx="1038">
                  <c:v>2014</c:v>
                </c:pt>
                <c:pt idx="1039">
                  <c:v>2014</c:v>
                </c:pt>
                <c:pt idx="1040">
                  <c:v>2014</c:v>
                </c:pt>
                <c:pt idx="1041">
                  <c:v>2013</c:v>
                </c:pt>
                <c:pt idx="1042">
                  <c:v>2013</c:v>
                </c:pt>
                <c:pt idx="1043">
                  <c:v>2013</c:v>
                </c:pt>
                <c:pt idx="1044">
                  <c:v>2013</c:v>
                </c:pt>
                <c:pt idx="1045">
                  <c:v>2013</c:v>
                </c:pt>
                <c:pt idx="1046">
                  <c:v>2013</c:v>
                </c:pt>
                <c:pt idx="1047">
                  <c:v>2013</c:v>
                </c:pt>
                <c:pt idx="1048">
                  <c:v>2013</c:v>
                </c:pt>
                <c:pt idx="1049">
                  <c:v>2013</c:v>
                </c:pt>
                <c:pt idx="1050">
                  <c:v>2013</c:v>
                </c:pt>
                <c:pt idx="1051">
                  <c:v>2013</c:v>
                </c:pt>
                <c:pt idx="1052">
                  <c:v>2013</c:v>
                </c:pt>
                <c:pt idx="1053">
                  <c:v>2013</c:v>
                </c:pt>
                <c:pt idx="1054">
                  <c:v>2013</c:v>
                </c:pt>
                <c:pt idx="1055">
                  <c:v>2013</c:v>
                </c:pt>
                <c:pt idx="1056">
                  <c:v>2013</c:v>
                </c:pt>
                <c:pt idx="1057">
                  <c:v>2013</c:v>
                </c:pt>
                <c:pt idx="1058">
                  <c:v>2013</c:v>
                </c:pt>
                <c:pt idx="1059">
                  <c:v>2013</c:v>
                </c:pt>
                <c:pt idx="1060">
                  <c:v>2013</c:v>
                </c:pt>
                <c:pt idx="1061">
                  <c:v>2013</c:v>
                </c:pt>
                <c:pt idx="1062">
                  <c:v>2013</c:v>
                </c:pt>
                <c:pt idx="1063">
                  <c:v>2013</c:v>
                </c:pt>
                <c:pt idx="1064">
                  <c:v>2013</c:v>
                </c:pt>
                <c:pt idx="1065">
                  <c:v>2013</c:v>
                </c:pt>
                <c:pt idx="1066">
                  <c:v>2013</c:v>
                </c:pt>
                <c:pt idx="1067">
                  <c:v>2013</c:v>
                </c:pt>
                <c:pt idx="1068">
                  <c:v>2013</c:v>
                </c:pt>
                <c:pt idx="1069">
                  <c:v>2013</c:v>
                </c:pt>
                <c:pt idx="1070">
                  <c:v>2013</c:v>
                </c:pt>
                <c:pt idx="1071">
                  <c:v>2013</c:v>
                </c:pt>
                <c:pt idx="1072">
                  <c:v>2013</c:v>
                </c:pt>
                <c:pt idx="1073">
                  <c:v>2013</c:v>
                </c:pt>
                <c:pt idx="1074">
                  <c:v>2013</c:v>
                </c:pt>
                <c:pt idx="1075">
                  <c:v>2013</c:v>
                </c:pt>
                <c:pt idx="1076">
                  <c:v>2013</c:v>
                </c:pt>
                <c:pt idx="1077">
                  <c:v>2013</c:v>
                </c:pt>
                <c:pt idx="1078">
                  <c:v>2013</c:v>
                </c:pt>
                <c:pt idx="1079">
                  <c:v>2013</c:v>
                </c:pt>
                <c:pt idx="1080">
                  <c:v>2013</c:v>
                </c:pt>
                <c:pt idx="1081">
                  <c:v>2013</c:v>
                </c:pt>
                <c:pt idx="1082">
                  <c:v>2013</c:v>
                </c:pt>
                <c:pt idx="1083">
                  <c:v>2013</c:v>
                </c:pt>
                <c:pt idx="1084">
                  <c:v>2013</c:v>
                </c:pt>
                <c:pt idx="1085">
                  <c:v>2013</c:v>
                </c:pt>
                <c:pt idx="1086">
                  <c:v>2011</c:v>
                </c:pt>
                <c:pt idx="1087">
                  <c:v>2011</c:v>
                </c:pt>
                <c:pt idx="1088">
                  <c:v>2011</c:v>
                </c:pt>
                <c:pt idx="1089">
                  <c:v>2011</c:v>
                </c:pt>
                <c:pt idx="1090">
                  <c:v>2011</c:v>
                </c:pt>
                <c:pt idx="1091">
                  <c:v>2011</c:v>
                </c:pt>
                <c:pt idx="1092">
                  <c:v>2011</c:v>
                </c:pt>
                <c:pt idx="1093">
                  <c:v>2011</c:v>
                </c:pt>
                <c:pt idx="1094">
                  <c:v>2011</c:v>
                </c:pt>
                <c:pt idx="1095">
                  <c:v>2011</c:v>
                </c:pt>
                <c:pt idx="1096">
                  <c:v>2011</c:v>
                </c:pt>
                <c:pt idx="1097">
                  <c:v>2011</c:v>
                </c:pt>
                <c:pt idx="1098">
                  <c:v>2011</c:v>
                </c:pt>
                <c:pt idx="1099">
                  <c:v>2011</c:v>
                </c:pt>
                <c:pt idx="1100">
                  <c:v>2011</c:v>
                </c:pt>
                <c:pt idx="1101">
                  <c:v>2011</c:v>
                </c:pt>
                <c:pt idx="1102">
                  <c:v>2011</c:v>
                </c:pt>
                <c:pt idx="1103">
                  <c:v>2011</c:v>
                </c:pt>
                <c:pt idx="1104">
                  <c:v>2011</c:v>
                </c:pt>
                <c:pt idx="1105">
                  <c:v>2011</c:v>
                </c:pt>
                <c:pt idx="1106">
                  <c:v>2011</c:v>
                </c:pt>
                <c:pt idx="1107">
                  <c:v>2011</c:v>
                </c:pt>
                <c:pt idx="1108">
                  <c:v>2011</c:v>
                </c:pt>
                <c:pt idx="1109">
                  <c:v>2011</c:v>
                </c:pt>
                <c:pt idx="1110">
                  <c:v>2011</c:v>
                </c:pt>
                <c:pt idx="1111">
                  <c:v>2011</c:v>
                </c:pt>
                <c:pt idx="1112">
                  <c:v>2014</c:v>
                </c:pt>
                <c:pt idx="1113">
                  <c:v>2014</c:v>
                </c:pt>
                <c:pt idx="1114">
                  <c:v>2014</c:v>
                </c:pt>
                <c:pt idx="1115">
                  <c:v>2014</c:v>
                </c:pt>
                <c:pt idx="1116">
                  <c:v>2014</c:v>
                </c:pt>
                <c:pt idx="1117">
                  <c:v>2014</c:v>
                </c:pt>
                <c:pt idx="1118">
                  <c:v>2014</c:v>
                </c:pt>
                <c:pt idx="1119">
                  <c:v>2014</c:v>
                </c:pt>
                <c:pt idx="1120">
                  <c:v>2015</c:v>
                </c:pt>
                <c:pt idx="1121">
                  <c:v>2015</c:v>
                </c:pt>
                <c:pt idx="1122">
                  <c:v>2015</c:v>
                </c:pt>
                <c:pt idx="1123">
                  <c:v>2015</c:v>
                </c:pt>
                <c:pt idx="1124">
                  <c:v>2015</c:v>
                </c:pt>
                <c:pt idx="1125">
                  <c:v>2015</c:v>
                </c:pt>
                <c:pt idx="1126">
                  <c:v>2015</c:v>
                </c:pt>
                <c:pt idx="1127">
                  <c:v>2015</c:v>
                </c:pt>
                <c:pt idx="1128">
                  <c:v>2015</c:v>
                </c:pt>
                <c:pt idx="1129">
                  <c:v>2015</c:v>
                </c:pt>
                <c:pt idx="1130">
                  <c:v>2015</c:v>
                </c:pt>
                <c:pt idx="1131">
                  <c:v>2015</c:v>
                </c:pt>
                <c:pt idx="1132">
                  <c:v>2015</c:v>
                </c:pt>
                <c:pt idx="1133">
                  <c:v>2015</c:v>
                </c:pt>
                <c:pt idx="1134">
                  <c:v>2015</c:v>
                </c:pt>
                <c:pt idx="1135">
                  <c:v>2015</c:v>
                </c:pt>
                <c:pt idx="1136">
                  <c:v>2015</c:v>
                </c:pt>
                <c:pt idx="1137">
                  <c:v>2015</c:v>
                </c:pt>
                <c:pt idx="1138">
                  <c:v>2015</c:v>
                </c:pt>
                <c:pt idx="1139">
                  <c:v>2014</c:v>
                </c:pt>
                <c:pt idx="1140">
                  <c:v>2014</c:v>
                </c:pt>
                <c:pt idx="1141">
                  <c:v>2014</c:v>
                </c:pt>
                <c:pt idx="1142">
                  <c:v>2014</c:v>
                </c:pt>
                <c:pt idx="1143">
                  <c:v>2014</c:v>
                </c:pt>
                <c:pt idx="1144">
                  <c:v>2014</c:v>
                </c:pt>
                <c:pt idx="1145">
                  <c:v>2014</c:v>
                </c:pt>
                <c:pt idx="1146">
                  <c:v>2014</c:v>
                </c:pt>
                <c:pt idx="1147">
                  <c:v>2014</c:v>
                </c:pt>
                <c:pt idx="1148">
                  <c:v>2014</c:v>
                </c:pt>
                <c:pt idx="1149">
                  <c:v>2014</c:v>
                </c:pt>
                <c:pt idx="1150">
                  <c:v>2014</c:v>
                </c:pt>
                <c:pt idx="1151">
                  <c:v>2014</c:v>
                </c:pt>
                <c:pt idx="1152">
                  <c:v>2014</c:v>
                </c:pt>
                <c:pt idx="1153">
                  <c:v>2014</c:v>
                </c:pt>
                <c:pt idx="1154">
                  <c:v>2014</c:v>
                </c:pt>
                <c:pt idx="1155">
                  <c:v>2014</c:v>
                </c:pt>
                <c:pt idx="1156">
                  <c:v>2014</c:v>
                </c:pt>
                <c:pt idx="1157">
                  <c:v>2014</c:v>
                </c:pt>
                <c:pt idx="1158">
                  <c:v>2014</c:v>
                </c:pt>
                <c:pt idx="1159">
                  <c:v>2014</c:v>
                </c:pt>
                <c:pt idx="1160">
                  <c:v>2014</c:v>
                </c:pt>
                <c:pt idx="1161">
                  <c:v>2014</c:v>
                </c:pt>
                <c:pt idx="1162">
                  <c:v>2014</c:v>
                </c:pt>
                <c:pt idx="1163">
                  <c:v>2014</c:v>
                </c:pt>
                <c:pt idx="1164">
                  <c:v>2014</c:v>
                </c:pt>
                <c:pt idx="1165">
                  <c:v>2014</c:v>
                </c:pt>
                <c:pt idx="1166">
                  <c:v>2014</c:v>
                </c:pt>
                <c:pt idx="1167">
                  <c:v>2014</c:v>
                </c:pt>
                <c:pt idx="1168">
                  <c:v>2014</c:v>
                </c:pt>
                <c:pt idx="1169">
                  <c:v>2014</c:v>
                </c:pt>
                <c:pt idx="1170">
                  <c:v>2014</c:v>
                </c:pt>
                <c:pt idx="1171">
                  <c:v>2014</c:v>
                </c:pt>
                <c:pt idx="1172">
                  <c:v>2014</c:v>
                </c:pt>
                <c:pt idx="1173">
                  <c:v>2014</c:v>
                </c:pt>
                <c:pt idx="1174">
                  <c:v>2014</c:v>
                </c:pt>
                <c:pt idx="1175">
                  <c:v>2014</c:v>
                </c:pt>
                <c:pt idx="1176">
                  <c:v>2014</c:v>
                </c:pt>
                <c:pt idx="1177">
                  <c:v>2014</c:v>
                </c:pt>
                <c:pt idx="1178">
                  <c:v>2014</c:v>
                </c:pt>
                <c:pt idx="1179">
                  <c:v>2014</c:v>
                </c:pt>
                <c:pt idx="1180">
                  <c:v>2014</c:v>
                </c:pt>
                <c:pt idx="1181">
                  <c:v>2014</c:v>
                </c:pt>
                <c:pt idx="1182">
                  <c:v>2014</c:v>
                </c:pt>
                <c:pt idx="1183">
                  <c:v>2014</c:v>
                </c:pt>
                <c:pt idx="1184">
                  <c:v>2014</c:v>
                </c:pt>
                <c:pt idx="1185">
                  <c:v>2014</c:v>
                </c:pt>
                <c:pt idx="1186">
                  <c:v>2014</c:v>
                </c:pt>
                <c:pt idx="1187">
                  <c:v>2014</c:v>
                </c:pt>
                <c:pt idx="1188">
                  <c:v>2014</c:v>
                </c:pt>
                <c:pt idx="1189">
                  <c:v>2014</c:v>
                </c:pt>
                <c:pt idx="1190">
                  <c:v>2014</c:v>
                </c:pt>
                <c:pt idx="1191">
                  <c:v>2014</c:v>
                </c:pt>
                <c:pt idx="1192">
                  <c:v>2014</c:v>
                </c:pt>
                <c:pt idx="1193">
                  <c:v>2014</c:v>
                </c:pt>
                <c:pt idx="1194">
                  <c:v>2014</c:v>
                </c:pt>
                <c:pt idx="1195">
                  <c:v>2014</c:v>
                </c:pt>
                <c:pt idx="1196">
                  <c:v>2014</c:v>
                </c:pt>
                <c:pt idx="1197">
                  <c:v>2014</c:v>
                </c:pt>
                <c:pt idx="1198">
                  <c:v>2014</c:v>
                </c:pt>
                <c:pt idx="1199">
                  <c:v>2014</c:v>
                </c:pt>
                <c:pt idx="1200">
                  <c:v>2014</c:v>
                </c:pt>
                <c:pt idx="1201">
                  <c:v>2014</c:v>
                </c:pt>
                <c:pt idx="1202">
                  <c:v>2014</c:v>
                </c:pt>
                <c:pt idx="1203">
                  <c:v>2014</c:v>
                </c:pt>
                <c:pt idx="1204">
                  <c:v>2014</c:v>
                </c:pt>
                <c:pt idx="1205">
                  <c:v>2014</c:v>
                </c:pt>
                <c:pt idx="1206">
                  <c:v>2014</c:v>
                </c:pt>
                <c:pt idx="1207">
                  <c:v>2014</c:v>
                </c:pt>
                <c:pt idx="1208">
                  <c:v>2014</c:v>
                </c:pt>
                <c:pt idx="1209">
                  <c:v>2014</c:v>
                </c:pt>
                <c:pt idx="1210">
                  <c:v>2004</c:v>
                </c:pt>
              </c:numCache>
            </c:numRef>
          </c:xVal>
          <c:yVal>
            <c:numRef>
              <c:f>Data!$F$6:$F$1216</c:f>
              <c:numCache>
                <c:formatCode>0</c:formatCode>
                <c:ptCount val="1211"/>
                <c:pt idx="0">
                  <c:v>608.87816739753373</c:v>
                </c:pt>
                <c:pt idx="1">
                  <c:v>608.87816739753373</c:v>
                </c:pt>
                <c:pt idx="2">
                  <c:v>608.87816739753373</c:v>
                </c:pt>
                <c:pt idx="3">
                  <c:v>608.87816739753373</c:v>
                </c:pt>
                <c:pt idx="4">
                  <c:v>608.87816739753373</c:v>
                </c:pt>
                <c:pt idx="5">
                  <c:v>608.87816739753373</c:v>
                </c:pt>
                <c:pt idx="6">
                  <c:v>608.87816739753373</c:v>
                </c:pt>
                <c:pt idx="7">
                  <c:v>608.87816739753373</c:v>
                </c:pt>
                <c:pt idx="8">
                  <c:v>608.87816739753373</c:v>
                </c:pt>
                <c:pt idx="9">
                  <c:v>608.87816739753373</c:v>
                </c:pt>
                <c:pt idx="10">
                  <c:v>167.40528749135353</c:v>
                </c:pt>
                <c:pt idx="11">
                  <c:v>167.40528749135353</c:v>
                </c:pt>
                <c:pt idx="12">
                  <c:v>28.394272714827164</c:v>
                </c:pt>
                <c:pt idx="13">
                  <c:v>167.40528749135353</c:v>
                </c:pt>
                <c:pt idx="14">
                  <c:v>191.34520119916542</c:v>
                </c:pt>
                <c:pt idx="15">
                  <c:v>191.34520119916542</c:v>
                </c:pt>
                <c:pt idx="16">
                  <c:v>191.34520119916542</c:v>
                </c:pt>
                <c:pt idx="17">
                  <c:v>167.40528749135353</c:v>
                </c:pt>
                <c:pt idx="18">
                  <c:v>191.34520119916542</c:v>
                </c:pt>
                <c:pt idx="19">
                  <c:v>191.34520119916542</c:v>
                </c:pt>
                <c:pt idx="20">
                  <c:v>191.34520119916542</c:v>
                </c:pt>
                <c:pt idx="21">
                  <c:v>191.34520119916542</c:v>
                </c:pt>
                <c:pt idx="22">
                  <c:v>191.34520119916542</c:v>
                </c:pt>
                <c:pt idx="23">
                  <c:v>191.34520119916542</c:v>
                </c:pt>
                <c:pt idx="24">
                  <c:v>191.34520119916542</c:v>
                </c:pt>
                <c:pt idx="25">
                  <c:v>191.34520119916542</c:v>
                </c:pt>
                <c:pt idx="26">
                  <c:v>191.34520119916542</c:v>
                </c:pt>
                <c:pt idx="27">
                  <c:v>191.34520119916542</c:v>
                </c:pt>
                <c:pt idx="28">
                  <c:v>191.34520119916542</c:v>
                </c:pt>
                <c:pt idx="29">
                  <c:v>191.34520119916542</c:v>
                </c:pt>
                <c:pt idx="30">
                  <c:v>191.34520119916542</c:v>
                </c:pt>
                <c:pt idx="31">
                  <c:v>191.34520119916542</c:v>
                </c:pt>
                <c:pt idx="32">
                  <c:v>191.34520119916542</c:v>
                </c:pt>
                <c:pt idx="33">
                  <c:v>191.34520119916542</c:v>
                </c:pt>
                <c:pt idx="34">
                  <c:v>191.34520119916542</c:v>
                </c:pt>
                <c:pt idx="35">
                  <c:v>191.34520119916542</c:v>
                </c:pt>
                <c:pt idx="36">
                  <c:v>191.34520119916542</c:v>
                </c:pt>
                <c:pt idx="37">
                  <c:v>191.34520119916542</c:v>
                </c:pt>
                <c:pt idx="38">
                  <c:v>191.34520119916542</c:v>
                </c:pt>
                <c:pt idx="39">
                  <c:v>191.34520119916542</c:v>
                </c:pt>
                <c:pt idx="40">
                  <c:v>191.34520119916542</c:v>
                </c:pt>
                <c:pt idx="41">
                  <c:v>191.34520119916542</c:v>
                </c:pt>
                <c:pt idx="42">
                  <c:v>191.34520119916542</c:v>
                </c:pt>
                <c:pt idx="43">
                  <c:v>191.34520119916542</c:v>
                </c:pt>
                <c:pt idx="44">
                  <c:v>191.34520119916542</c:v>
                </c:pt>
                <c:pt idx="45">
                  <c:v>191.34520119916542</c:v>
                </c:pt>
                <c:pt idx="46">
                  <c:v>191.34520119916542</c:v>
                </c:pt>
                <c:pt idx="47">
                  <c:v>191.34520119916542</c:v>
                </c:pt>
                <c:pt idx="48">
                  <c:v>191.34520119916542</c:v>
                </c:pt>
                <c:pt idx="49">
                  <c:v>191.34520119916542</c:v>
                </c:pt>
                <c:pt idx="50">
                  <c:v>191.34520119916542</c:v>
                </c:pt>
                <c:pt idx="51">
                  <c:v>191.34520119916542</c:v>
                </c:pt>
                <c:pt idx="52">
                  <c:v>191.34520119916542</c:v>
                </c:pt>
                <c:pt idx="53">
                  <c:v>191.34520119916542</c:v>
                </c:pt>
                <c:pt idx="54">
                  <c:v>191.34520119916542</c:v>
                </c:pt>
                <c:pt idx="55">
                  <c:v>191.34520119916542</c:v>
                </c:pt>
                <c:pt idx="56">
                  <c:v>191.34520119916542</c:v>
                </c:pt>
                <c:pt idx="57">
                  <c:v>191.34520119916542</c:v>
                </c:pt>
                <c:pt idx="58">
                  <c:v>191.34520119916542</c:v>
                </c:pt>
                <c:pt idx="59">
                  <c:v>191.34520119916542</c:v>
                </c:pt>
                <c:pt idx="60">
                  <c:v>191.34520119916542</c:v>
                </c:pt>
                <c:pt idx="61">
                  <c:v>191.34520119916542</c:v>
                </c:pt>
                <c:pt idx="62">
                  <c:v>191.34520119916542</c:v>
                </c:pt>
                <c:pt idx="63">
                  <c:v>191.34520119916542</c:v>
                </c:pt>
                <c:pt idx="64">
                  <c:v>191.34520119916542</c:v>
                </c:pt>
                <c:pt idx="65">
                  <c:v>191.34520119916542</c:v>
                </c:pt>
                <c:pt idx="66">
                  <c:v>191.34520119916542</c:v>
                </c:pt>
                <c:pt idx="67">
                  <c:v>191.34520119916542</c:v>
                </c:pt>
                <c:pt idx="68">
                  <c:v>191.34520119916542</c:v>
                </c:pt>
                <c:pt idx="69">
                  <c:v>191.34520119916542</c:v>
                </c:pt>
                <c:pt idx="70">
                  <c:v>191.34520119916542</c:v>
                </c:pt>
                <c:pt idx="71">
                  <c:v>191.34520119916542</c:v>
                </c:pt>
                <c:pt idx="72">
                  <c:v>191.34520119916542</c:v>
                </c:pt>
                <c:pt idx="73">
                  <c:v>191.34520119916542</c:v>
                </c:pt>
                <c:pt idx="74">
                  <c:v>191.34520119916542</c:v>
                </c:pt>
                <c:pt idx="75">
                  <c:v>191.34520119916542</c:v>
                </c:pt>
                <c:pt idx="76">
                  <c:v>191.34520119916542</c:v>
                </c:pt>
                <c:pt idx="77">
                  <c:v>191.34520119916542</c:v>
                </c:pt>
                <c:pt idx="78">
                  <c:v>191.34520119916542</c:v>
                </c:pt>
                <c:pt idx="79">
                  <c:v>191.34520119916542</c:v>
                </c:pt>
                <c:pt idx="80">
                  <c:v>191.34520119916542</c:v>
                </c:pt>
                <c:pt idx="81">
                  <c:v>191.34520119916542</c:v>
                </c:pt>
                <c:pt idx="82">
                  <c:v>191.34520119916542</c:v>
                </c:pt>
                <c:pt idx="83">
                  <c:v>191.34520119916542</c:v>
                </c:pt>
                <c:pt idx="84">
                  <c:v>191.34520119916542</c:v>
                </c:pt>
                <c:pt idx="85">
                  <c:v>191.34520119916542</c:v>
                </c:pt>
                <c:pt idx="86">
                  <c:v>191.34520119916542</c:v>
                </c:pt>
                <c:pt idx="87">
                  <c:v>191.34520119916542</c:v>
                </c:pt>
                <c:pt idx="88">
                  <c:v>191.34520119916542</c:v>
                </c:pt>
                <c:pt idx="89">
                  <c:v>191.34520119916542</c:v>
                </c:pt>
                <c:pt idx="90">
                  <c:v>191.34520119916542</c:v>
                </c:pt>
                <c:pt idx="91">
                  <c:v>191.34520119916542</c:v>
                </c:pt>
                <c:pt idx="92">
                  <c:v>191.34520119916542</c:v>
                </c:pt>
                <c:pt idx="93">
                  <c:v>191.34520119916542</c:v>
                </c:pt>
                <c:pt idx="94">
                  <c:v>191.34520119916542</c:v>
                </c:pt>
                <c:pt idx="95">
                  <c:v>191.34520119916542</c:v>
                </c:pt>
                <c:pt idx="96">
                  <c:v>191.34520119916542</c:v>
                </c:pt>
                <c:pt idx="97">
                  <c:v>191.34520119916542</c:v>
                </c:pt>
                <c:pt idx="98">
                  <c:v>191.34520119916542</c:v>
                </c:pt>
                <c:pt idx="99">
                  <c:v>191.34520119916542</c:v>
                </c:pt>
                <c:pt idx="100">
                  <c:v>191.34520119916542</c:v>
                </c:pt>
                <c:pt idx="101">
                  <c:v>191.34520119916542</c:v>
                </c:pt>
                <c:pt idx="102">
                  <c:v>191.34520119916542</c:v>
                </c:pt>
                <c:pt idx="103">
                  <c:v>191.34520119916542</c:v>
                </c:pt>
                <c:pt idx="104">
                  <c:v>191.34520119916542</c:v>
                </c:pt>
                <c:pt idx="105">
                  <c:v>191.34520119916542</c:v>
                </c:pt>
                <c:pt idx="106">
                  <c:v>191.34520119916542</c:v>
                </c:pt>
                <c:pt idx="107">
                  <c:v>191.34520119916542</c:v>
                </c:pt>
                <c:pt idx="108">
                  <c:v>191.34520119916542</c:v>
                </c:pt>
                <c:pt idx="109">
                  <c:v>191.34520119916542</c:v>
                </c:pt>
                <c:pt idx="110">
                  <c:v>191.34520119916542</c:v>
                </c:pt>
                <c:pt idx="111">
                  <c:v>191.34520119916542</c:v>
                </c:pt>
                <c:pt idx="112">
                  <c:v>191.34520119916542</c:v>
                </c:pt>
                <c:pt idx="113">
                  <c:v>191.34520119916542</c:v>
                </c:pt>
                <c:pt idx="114">
                  <c:v>15.93092439465299</c:v>
                </c:pt>
                <c:pt idx="115">
                  <c:v>15.93092439465299</c:v>
                </c:pt>
                <c:pt idx="116">
                  <c:v>15.93092439465299</c:v>
                </c:pt>
                <c:pt idx="117">
                  <c:v>15.93092439465299</c:v>
                </c:pt>
                <c:pt idx="118">
                  <c:v>15.93092439465299</c:v>
                </c:pt>
                <c:pt idx="119">
                  <c:v>17.290762510300446</c:v>
                </c:pt>
                <c:pt idx="120">
                  <c:v>18.632669458936146</c:v>
                </c:pt>
                <c:pt idx="121">
                  <c:v>18.632669458936146</c:v>
                </c:pt>
                <c:pt idx="122">
                  <c:v>18.632669458936146</c:v>
                </c:pt>
                <c:pt idx="123">
                  <c:v>18.632669458936146</c:v>
                </c:pt>
                <c:pt idx="124">
                  <c:v>18.632669458936146</c:v>
                </c:pt>
                <c:pt idx="125">
                  <c:v>18.632669458936146</c:v>
                </c:pt>
                <c:pt idx="126">
                  <c:v>18.632669458936146</c:v>
                </c:pt>
                <c:pt idx="127">
                  <c:v>18.632669458936146</c:v>
                </c:pt>
                <c:pt idx="128">
                  <c:v>17.290762510300446</c:v>
                </c:pt>
                <c:pt idx="129">
                  <c:v>17.290762510300446</c:v>
                </c:pt>
                <c:pt idx="130">
                  <c:v>18.632669458936146</c:v>
                </c:pt>
                <c:pt idx="131">
                  <c:v>18.632669458936146</c:v>
                </c:pt>
                <c:pt idx="132">
                  <c:v>18.632669458936146</c:v>
                </c:pt>
                <c:pt idx="133">
                  <c:v>18.632669458936146</c:v>
                </c:pt>
                <c:pt idx="134">
                  <c:v>18.632669458936146</c:v>
                </c:pt>
                <c:pt idx="135">
                  <c:v>18.632669458936146</c:v>
                </c:pt>
                <c:pt idx="136">
                  <c:v>18.632669458936146</c:v>
                </c:pt>
                <c:pt idx="137">
                  <c:v>18.632669458936146</c:v>
                </c:pt>
                <c:pt idx="138">
                  <c:v>18.632669458936146</c:v>
                </c:pt>
                <c:pt idx="139">
                  <c:v>18.632669458936146</c:v>
                </c:pt>
                <c:pt idx="140">
                  <c:v>18.632669458936146</c:v>
                </c:pt>
                <c:pt idx="141">
                  <c:v>18.632669458936146</c:v>
                </c:pt>
                <c:pt idx="142">
                  <c:v>18.632669458936146</c:v>
                </c:pt>
                <c:pt idx="143">
                  <c:v>18.632669458936146</c:v>
                </c:pt>
                <c:pt idx="144">
                  <c:v>18.632669458936146</c:v>
                </c:pt>
                <c:pt idx="145">
                  <c:v>18.632669458936146</c:v>
                </c:pt>
                <c:pt idx="146">
                  <c:v>18.632669458936146</c:v>
                </c:pt>
                <c:pt idx="147">
                  <c:v>18.632669458936146</c:v>
                </c:pt>
                <c:pt idx="148">
                  <c:v>18.632669458936146</c:v>
                </c:pt>
                <c:pt idx="149">
                  <c:v>18.632669458936146</c:v>
                </c:pt>
                <c:pt idx="150">
                  <c:v>18.632669458936146</c:v>
                </c:pt>
                <c:pt idx="151">
                  <c:v>18.632669458936146</c:v>
                </c:pt>
                <c:pt idx="152">
                  <c:v>18.632669458936146</c:v>
                </c:pt>
                <c:pt idx="153">
                  <c:v>18.632669458936146</c:v>
                </c:pt>
                <c:pt idx="154">
                  <c:v>18.632669458936146</c:v>
                </c:pt>
                <c:pt idx="155">
                  <c:v>18.632669458936146</c:v>
                </c:pt>
                <c:pt idx="156">
                  <c:v>28.394272714827164</c:v>
                </c:pt>
                <c:pt idx="157">
                  <c:v>28.394272714827164</c:v>
                </c:pt>
                <c:pt idx="158">
                  <c:v>28.394272714827164</c:v>
                </c:pt>
                <c:pt idx="159">
                  <c:v>28.394272714827164</c:v>
                </c:pt>
                <c:pt idx="160">
                  <c:v>28.394272714827164</c:v>
                </c:pt>
                <c:pt idx="161">
                  <c:v>28.394272714827164</c:v>
                </c:pt>
                <c:pt idx="162">
                  <c:v>28.394272714827164</c:v>
                </c:pt>
                <c:pt idx="163">
                  <c:v>28.394272714827164</c:v>
                </c:pt>
                <c:pt idx="164">
                  <c:v>28.394272714827164</c:v>
                </c:pt>
                <c:pt idx="165">
                  <c:v>28.394272714827164</c:v>
                </c:pt>
                <c:pt idx="166">
                  <c:v>28.394272714827164</c:v>
                </c:pt>
                <c:pt idx="167">
                  <c:v>28.394272714827164</c:v>
                </c:pt>
                <c:pt idx="168">
                  <c:v>28.394272714827164</c:v>
                </c:pt>
                <c:pt idx="169">
                  <c:v>28.394272714827164</c:v>
                </c:pt>
                <c:pt idx="170">
                  <c:v>28.394272714827164</c:v>
                </c:pt>
                <c:pt idx="171">
                  <c:v>28.394272714827164</c:v>
                </c:pt>
                <c:pt idx="172">
                  <c:v>28.394272714827164</c:v>
                </c:pt>
                <c:pt idx="173">
                  <c:v>28.394272714827164</c:v>
                </c:pt>
                <c:pt idx="174">
                  <c:v>28.394272714827164</c:v>
                </c:pt>
                <c:pt idx="175">
                  <c:v>28.394272714827164</c:v>
                </c:pt>
                <c:pt idx="176">
                  <c:v>28.394272714827164</c:v>
                </c:pt>
                <c:pt idx="177">
                  <c:v>28.394272714827164</c:v>
                </c:pt>
                <c:pt idx="178">
                  <c:v>28.394272714827164</c:v>
                </c:pt>
                <c:pt idx="179">
                  <c:v>28.394272714827164</c:v>
                </c:pt>
                <c:pt idx="180">
                  <c:v>28.394272714827164</c:v>
                </c:pt>
                <c:pt idx="181">
                  <c:v>28.394272714827164</c:v>
                </c:pt>
                <c:pt idx="182">
                  <c:v>28.394272714827164</c:v>
                </c:pt>
                <c:pt idx="183">
                  <c:v>28.394272714827164</c:v>
                </c:pt>
                <c:pt idx="184">
                  <c:v>28.394272714827164</c:v>
                </c:pt>
                <c:pt idx="185">
                  <c:v>28.394272714827164</c:v>
                </c:pt>
                <c:pt idx="186">
                  <c:v>28.394272714827164</c:v>
                </c:pt>
                <c:pt idx="187">
                  <c:v>28.394272714827164</c:v>
                </c:pt>
                <c:pt idx="188">
                  <c:v>28.394272714827164</c:v>
                </c:pt>
                <c:pt idx="189">
                  <c:v>28.394272714827164</c:v>
                </c:pt>
                <c:pt idx="190">
                  <c:v>28.394272714827164</c:v>
                </c:pt>
                <c:pt idx="191">
                  <c:v>28.394272714827164</c:v>
                </c:pt>
                <c:pt idx="192">
                  <c:v>28.394272714827164</c:v>
                </c:pt>
                <c:pt idx="193">
                  <c:v>29.827011246309265</c:v>
                </c:pt>
                <c:pt idx="194">
                  <c:v>29.761886767605532</c:v>
                </c:pt>
                <c:pt idx="195">
                  <c:v>29.761886767605532</c:v>
                </c:pt>
                <c:pt idx="196">
                  <c:v>29.761886767605532</c:v>
                </c:pt>
                <c:pt idx="197">
                  <c:v>29.761886767605532</c:v>
                </c:pt>
                <c:pt idx="198">
                  <c:v>29.761886767605532</c:v>
                </c:pt>
                <c:pt idx="199">
                  <c:v>72.06588395020114</c:v>
                </c:pt>
                <c:pt idx="200">
                  <c:v>72.06588395020114</c:v>
                </c:pt>
                <c:pt idx="201">
                  <c:v>72.06588395020114</c:v>
                </c:pt>
                <c:pt idx="202">
                  <c:v>72.06588395020114</c:v>
                </c:pt>
                <c:pt idx="203">
                  <c:v>72.06588395020114</c:v>
                </c:pt>
                <c:pt idx="204">
                  <c:v>72.06588395020114</c:v>
                </c:pt>
                <c:pt idx="205">
                  <c:v>29.827011246309265</c:v>
                </c:pt>
                <c:pt idx="206">
                  <c:v>29.827011246309265</c:v>
                </c:pt>
                <c:pt idx="207">
                  <c:v>29.827011246309265</c:v>
                </c:pt>
                <c:pt idx="208">
                  <c:v>29.827011246309265</c:v>
                </c:pt>
                <c:pt idx="209">
                  <c:v>29.827011246309265</c:v>
                </c:pt>
                <c:pt idx="210">
                  <c:v>29.827011246309265</c:v>
                </c:pt>
                <c:pt idx="211">
                  <c:v>29.827011246309265</c:v>
                </c:pt>
                <c:pt idx="212">
                  <c:v>29.827011246309265</c:v>
                </c:pt>
                <c:pt idx="213">
                  <c:v>29.827011246309265</c:v>
                </c:pt>
                <c:pt idx="214">
                  <c:v>29.827011246309265</c:v>
                </c:pt>
                <c:pt idx="215">
                  <c:v>29.827011246309265</c:v>
                </c:pt>
                <c:pt idx="216">
                  <c:v>29.761886767605532</c:v>
                </c:pt>
                <c:pt idx="217">
                  <c:v>29.761886767605532</c:v>
                </c:pt>
                <c:pt idx="218">
                  <c:v>29.761886767605532</c:v>
                </c:pt>
                <c:pt idx="219">
                  <c:v>29.761886767605532</c:v>
                </c:pt>
                <c:pt idx="220">
                  <c:v>29.761886767605532</c:v>
                </c:pt>
                <c:pt idx="221">
                  <c:v>29.761886767605532</c:v>
                </c:pt>
                <c:pt idx="222">
                  <c:v>29.761886767605532</c:v>
                </c:pt>
                <c:pt idx="223">
                  <c:v>29.761886767605532</c:v>
                </c:pt>
                <c:pt idx="224">
                  <c:v>29.761886767605532</c:v>
                </c:pt>
                <c:pt idx="225">
                  <c:v>29.761886767605532</c:v>
                </c:pt>
                <c:pt idx="226">
                  <c:v>29.761886767605532</c:v>
                </c:pt>
                <c:pt idx="227">
                  <c:v>29.761886767605532</c:v>
                </c:pt>
                <c:pt idx="228">
                  <c:v>29.761886767605532</c:v>
                </c:pt>
                <c:pt idx="229">
                  <c:v>29.761886767605532</c:v>
                </c:pt>
                <c:pt idx="230">
                  <c:v>29.761886767605532</c:v>
                </c:pt>
                <c:pt idx="231">
                  <c:v>29.761886767605532</c:v>
                </c:pt>
                <c:pt idx="232">
                  <c:v>29.761886767605532</c:v>
                </c:pt>
                <c:pt idx="233">
                  <c:v>29.761886767605532</c:v>
                </c:pt>
                <c:pt idx="234">
                  <c:v>29.761886767605532</c:v>
                </c:pt>
                <c:pt idx="235">
                  <c:v>29.761886767605532</c:v>
                </c:pt>
                <c:pt idx="236">
                  <c:v>29.761886767605532</c:v>
                </c:pt>
                <c:pt idx="237">
                  <c:v>29.761886767605532</c:v>
                </c:pt>
                <c:pt idx="238">
                  <c:v>29.761886767605532</c:v>
                </c:pt>
                <c:pt idx="239">
                  <c:v>29.761886767605532</c:v>
                </c:pt>
                <c:pt idx="240">
                  <c:v>29.761886767605532</c:v>
                </c:pt>
                <c:pt idx="241">
                  <c:v>71.097990738484512</c:v>
                </c:pt>
                <c:pt idx="242">
                  <c:v>71.097990738484512</c:v>
                </c:pt>
                <c:pt idx="243">
                  <c:v>71.097990738484512</c:v>
                </c:pt>
                <c:pt idx="244">
                  <c:v>71.097990738484512</c:v>
                </c:pt>
                <c:pt idx="245">
                  <c:v>71.097990738484512</c:v>
                </c:pt>
                <c:pt idx="246">
                  <c:v>71.097990738484512</c:v>
                </c:pt>
                <c:pt idx="247">
                  <c:v>71.097990738484512</c:v>
                </c:pt>
                <c:pt idx="248">
                  <c:v>71.097990738484512</c:v>
                </c:pt>
                <c:pt idx="249">
                  <c:v>71.097990738484512</c:v>
                </c:pt>
                <c:pt idx="250">
                  <c:v>71.097990738484512</c:v>
                </c:pt>
                <c:pt idx="251">
                  <c:v>71.097990738484512</c:v>
                </c:pt>
                <c:pt idx="252">
                  <c:v>71.097990738484512</c:v>
                </c:pt>
                <c:pt idx="253">
                  <c:v>71.097990738484512</c:v>
                </c:pt>
                <c:pt idx="254">
                  <c:v>71.097990738484512</c:v>
                </c:pt>
                <c:pt idx="255">
                  <c:v>71.097990738484512</c:v>
                </c:pt>
                <c:pt idx="256">
                  <c:v>71.097990738484512</c:v>
                </c:pt>
                <c:pt idx="257">
                  <c:v>71.097990738484512</c:v>
                </c:pt>
                <c:pt idx="258">
                  <c:v>71.097990738484512</c:v>
                </c:pt>
                <c:pt idx="259">
                  <c:v>71.097990738484512</c:v>
                </c:pt>
                <c:pt idx="260">
                  <c:v>71.097990738484512</c:v>
                </c:pt>
                <c:pt idx="261">
                  <c:v>71.097990738484512</c:v>
                </c:pt>
                <c:pt idx="262">
                  <c:v>71.097990738484512</c:v>
                </c:pt>
                <c:pt idx="263">
                  <c:v>71.097990738484512</c:v>
                </c:pt>
                <c:pt idx="264">
                  <c:v>71.097990738484512</c:v>
                </c:pt>
                <c:pt idx="265">
                  <c:v>71.097990738484512</c:v>
                </c:pt>
                <c:pt idx="266">
                  <c:v>71.097990738484512</c:v>
                </c:pt>
                <c:pt idx="267">
                  <c:v>71.097990738484512</c:v>
                </c:pt>
                <c:pt idx="268">
                  <c:v>71.097990738484512</c:v>
                </c:pt>
                <c:pt idx="269">
                  <c:v>71.097990738484512</c:v>
                </c:pt>
                <c:pt idx="270">
                  <c:v>71.097990738484512</c:v>
                </c:pt>
                <c:pt idx="271">
                  <c:v>71.097990738484512</c:v>
                </c:pt>
                <c:pt idx="272">
                  <c:v>71.097990738484512</c:v>
                </c:pt>
                <c:pt idx="273">
                  <c:v>71.097990738484512</c:v>
                </c:pt>
                <c:pt idx="274">
                  <c:v>71.097990738484512</c:v>
                </c:pt>
                <c:pt idx="275">
                  <c:v>71.097990738484512</c:v>
                </c:pt>
                <c:pt idx="276">
                  <c:v>71.097990738484512</c:v>
                </c:pt>
                <c:pt idx="277">
                  <c:v>71.097990738484512</c:v>
                </c:pt>
                <c:pt idx="278">
                  <c:v>71.097990738484512</c:v>
                </c:pt>
                <c:pt idx="279">
                  <c:v>71.097990738484512</c:v>
                </c:pt>
                <c:pt idx="280">
                  <c:v>71.097990738484512</c:v>
                </c:pt>
                <c:pt idx="281">
                  <c:v>71.097990738484512</c:v>
                </c:pt>
                <c:pt idx="282">
                  <c:v>71.097990738484512</c:v>
                </c:pt>
                <c:pt idx="283">
                  <c:v>71.097990738484512</c:v>
                </c:pt>
                <c:pt idx="284">
                  <c:v>71.097990738484512</c:v>
                </c:pt>
                <c:pt idx="285">
                  <c:v>33.053542446246631</c:v>
                </c:pt>
                <c:pt idx="286">
                  <c:v>33.053542446246631</c:v>
                </c:pt>
                <c:pt idx="287">
                  <c:v>33.053542446246631</c:v>
                </c:pt>
                <c:pt idx="288">
                  <c:v>33.053542446246631</c:v>
                </c:pt>
                <c:pt idx="289">
                  <c:v>33.053542446246631</c:v>
                </c:pt>
                <c:pt idx="290">
                  <c:v>33.053542446246631</c:v>
                </c:pt>
                <c:pt idx="291">
                  <c:v>33.053542446246631</c:v>
                </c:pt>
                <c:pt idx="292">
                  <c:v>33.053542446246631</c:v>
                </c:pt>
                <c:pt idx="293">
                  <c:v>33.053542446246631</c:v>
                </c:pt>
                <c:pt idx="294">
                  <c:v>33.053542446246631</c:v>
                </c:pt>
                <c:pt idx="295">
                  <c:v>33.053542446246631</c:v>
                </c:pt>
                <c:pt idx="296">
                  <c:v>33.053542446246631</c:v>
                </c:pt>
                <c:pt idx="297">
                  <c:v>33.053542446246631</c:v>
                </c:pt>
                <c:pt idx="298">
                  <c:v>33.053542446246631</c:v>
                </c:pt>
                <c:pt idx="299">
                  <c:v>33.053542446246631</c:v>
                </c:pt>
                <c:pt idx="300">
                  <c:v>33.053542446246631</c:v>
                </c:pt>
                <c:pt idx="301">
                  <c:v>33.053542446246631</c:v>
                </c:pt>
                <c:pt idx="302">
                  <c:v>33.053542446246631</c:v>
                </c:pt>
                <c:pt idx="303">
                  <c:v>33.053542446246631</c:v>
                </c:pt>
                <c:pt idx="304">
                  <c:v>33.053542446246631</c:v>
                </c:pt>
                <c:pt idx="305">
                  <c:v>33.053542446246631</c:v>
                </c:pt>
                <c:pt idx="306">
                  <c:v>33.053542446246631</c:v>
                </c:pt>
                <c:pt idx="307">
                  <c:v>33.053542446246631</c:v>
                </c:pt>
                <c:pt idx="308">
                  <c:v>33.053542446246631</c:v>
                </c:pt>
                <c:pt idx="309">
                  <c:v>33.053542446246631</c:v>
                </c:pt>
                <c:pt idx="310">
                  <c:v>33.053542446246631</c:v>
                </c:pt>
                <c:pt idx="311">
                  <c:v>33.053542446246631</c:v>
                </c:pt>
                <c:pt idx="312">
                  <c:v>33.053542446246631</c:v>
                </c:pt>
                <c:pt idx="313">
                  <c:v>33.053542446246631</c:v>
                </c:pt>
                <c:pt idx="314">
                  <c:v>33.053542446246631</c:v>
                </c:pt>
                <c:pt idx="315">
                  <c:v>33.053542446246631</c:v>
                </c:pt>
                <c:pt idx="316">
                  <c:v>33.053542446246631</c:v>
                </c:pt>
                <c:pt idx="317">
                  <c:v>33.053542446246631</c:v>
                </c:pt>
                <c:pt idx="318">
                  <c:v>33.053542446246631</c:v>
                </c:pt>
                <c:pt idx="319">
                  <c:v>33.053542446246631</c:v>
                </c:pt>
                <c:pt idx="320">
                  <c:v>33.053542446246631</c:v>
                </c:pt>
                <c:pt idx="321">
                  <c:v>33.053542446246631</c:v>
                </c:pt>
                <c:pt idx="322">
                  <c:v>33.053542446246631</c:v>
                </c:pt>
                <c:pt idx="323">
                  <c:v>33.053542446246631</c:v>
                </c:pt>
                <c:pt idx="324">
                  <c:v>33.053542446246631</c:v>
                </c:pt>
                <c:pt idx="325">
                  <c:v>33.053542446246631</c:v>
                </c:pt>
                <c:pt idx="326">
                  <c:v>33.053542446246631</c:v>
                </c:pt>
                <c:pt idx="327">
                  <c:v>33.053542446246631</c:v>
                </c:pt>
                <c:pt idx="328">
                  <c:v>33.053542446246631</c:v>
                </c:pt>
                <c:pt idx="329">
                  <c:v>33.053542446246631</c:v>
                </c:pt>
                <c:pt idx="330">
                  <c:v>33.053542446246631</c:v>
                </c:pt>
                <c:pt idx="331">
                  <c:v>33.053542446246631</c:v>
                </c:pt>
                <c:pt idx="332">
                  <c:v>33.053542446246631</c:v>
                </c:pt>
                <c:pt idx="333">
                  <c:v>71.097990738484512</c:v>
                </c:pt>
                <c:pt idx="334">
                  <c:v>71.097990738484512</c:v>
                </c:pt>
                <c:pt idx="335">
                  <c:v>71.097990738484512</c:v>
                </c:pt>
                <c:pt idx="336">
                  <c:v>71.097990738484512</c:v>
                </c:pt>
                <c:pt idx="337">
                  <c:v>71.097990738484512</c:v>
                </c:pt>
                <c:pt idx="338">
                  <c:v>71.097990738484512</c:v>
                </c:pt>
                <c:pt idx="339">
                  <c:v>71.097990738484512</c:v>
                </c:pt>
                <c:pt idx="340">
                  <c:v>71.097990738484512</c:v>
                </c:pt>
                <c:pt idx="341">
                  <c:v>71.097990738484512</c:v>
                </c:pt>
                <c:pt idx="342">
                  <c:v>71.097990738484512</c:v>
                </c:pt>
                <c:pt idx="343">
                  <c:v>71.097990738484512</c:v>
                </c:pt>
                <c:pt idx="344">
                  <c:v>71.097990738484512</c:v>
                </c:pt>
                <c:pt idx="345">
                  <c:v>71.097990738484512</c:v>
                </c:pt>
                <c:pt idx="346">
                  <c:v>71.097990738484512</c:v>
                </c:pt>
                <c:pt idx="347">
                  <c:v>71.097990738484512</c:v>
                </c:pt>
                <c:pt idx="348">
                  <c:v>71.097990738484512</c:v>
                </c:pt>
                <c:pt idx="349">
                  <c:v>71.097990738484512</c:v>
                </c:pt>
                <c:pt idx="350">
                  <c:v>71.097990738484512</c:v>
                </c:pt>
                <c:pt idx="351">
                  <c:v>71.097990738484512</c:v>
                </c:pt>
                <c:pt idx="352">
                  <c:v>71.097990738484512</c:v>
                </c:pt>
                <c:pt idx="353">
                  <c:v>71.097990738484512</c:v>
                </c:pt>
                <c:pt idx="354">
                  <c:v>71.097990738484512</c:v>
                </c:pt>
                <c:pt idx="355">
                  <c:v>71.097990738484512</c:v>
                </c:pt>
                <c:pt idx="356">
                  <c:v>71.097990738484512</c:v>
                </c:pt>
                <c:pt idx="357">
                  <c:v>71.097990738484512</c:v>
                </c:pt>
                <c:pt idx="358">
                  <c:v>72.06588395020114</c:v>
                </c:pt>
                <c:pt idx="359">
                  <c:v>72.06588395020114</c:v>
                </c:pt>
                <c:pt idx="360">
                  <c:v>72.06588395020114</c:v>
                </c:pt>
                <c:pt idx="361">
                  <c:v>72.06588395020114</c:v>
                </c:pt>
                <c:pt idx="362">
                  <c:v>72.06588395020114</c:v>
                </c:pt>
                <c:pt idx="363">
                  <c:v>72.06588395020114</c:v>
                </c:pt>
                <c:pt idx="364">
                  <c:v>71.097990738484512</c:v>
                </c:pt>
                <c:pt idx="365">
                  <c:v>72.06588395020114</c:v>
                </c:pt>
                <c:pt idx="366">
                  <c:v>72.06588395020114</c:v>
                </c:pt>
                <c:pt idx="367">
                  <c:v>71.097990738484512</c:v>
                </c:pt>
                <c:pt idx="368">
                  <c:v>36.860454946312331</c:v>
                </c:pt>
                <c:pt idx="369">
                  <c:v>36.860454946312331</c:v>
                </c:pt>
                <c:pt idx="370">
                  <c:v>38.010308287591222</c:v>
                </c:pt>
                <c:pt idx="371">
                  <c:v>38.010308287591222</c:v>
                </c:pt>
                <c:pt idx="372">
                  <c:v>38.010308287591222</c:v>
                </c:pt>
                <c:pt idx="373">
                  <c:v>38.010308287591222</c:v>
                </c:pt>
                <c:pt idx="374">
                  <c:v>38.010308287591222</c:v>
                </c:pt>
                <c:pt idx="375">
                  <c:v>38.010308287591222</c:v>
                </c:pt>
                <c:pt idx="376">
                  <c:v>38.010308287591222</c:v>
                </c:pt>
                <c:pt idx="377">
                  <c:v>38.010308287591222</c:v>
                </c:pt>
                <c:pt idx="378">
                  <c:v>38.010308287591222</c:v>
                </c:pt>
                <c:pt idx="379">
                  <c:v>38.010308287591222</c:v>
                </c:pt>
                <c:pt idx="380">
                  <c:v>38.010308287591222</c:v>
                </c:pt>
                <c:pt idx="381">
                  <c:v>38.010308287591222</c:v>
                </c:pt>
                <c:pt idx="382">
                  <c:v>38.010308287591222</c:v>
                </c:pt>
                <c:pt idx="383">
                  <c:v>38.010308287591222</c:v>
                </c:pt>
                <c:pt idx="384">
                  <c:v>38.010308287591222</c:v>
                </c:pt>
                <c:pt idx="385">
                  <c:v>38.010308287591222</c:v>
                </c:pt>
                <c:pt idx="386">
                  <c:v>38.010308287591222</c:v>
                </c:pt>
                <c:pt idx="387">
                  <c:v>38.010308287591222</c:v>
                </c:pt>
                <c:pt idx="388">
                  <c:v>38.010308287591222</c:v>
                </c:pt>
                <c:pt idx="389">
                  <c:v>33.819341167042261</c:v>
                </c:pt>
                <c:pt idx="390">
                  <c:v>33.819341167042261</c:v>
                </c:pt>
                <c:pt idx="391">
                  <c:v>33.819341167042261</c:v>
                </c:pt>
                <c:pt idx="392">
                  <c:v>33.819341167042261</c:v>
                </c:pt>
                <c:pt idx="393">
                  <c:v>33.819341167042261</c:v>
                </c:pt>
                <c:pt idx="394">
                  <c:v>37.435381616951773</c:v>
                </c:pt>
                <c:pt idx="395">
                  <c:v>37.435381616951773</c:v>
                </c:pt>
                <c:pt idx="396">
                  <c:v>37.435381616951773</c:v>
                </c:pt>
                <c:pt idx="397">
                  <c:v>37.435381616951773</c:v>
                </c:pt>
                <c:pt idx="398">
                  <c:v>37.435381616951773</c:v>
                </c:pt>
                <c:pt idx="399">
                  <c:v>37.435381616951773</c:v>
                </c:pt>
                <c:pt idx="400">
                  <c:v>37.435381616951773</c:v>
                </c:pt>
                <c:pt idx="401">
                  <c:v>37.435381616951773</c:v>
                </c:pt>
                <c:pt idx="402">
                  <c:v>37.435381616951773</c:v>
                </c:pt>
                <c:pt idx="403">
                  <c:v>37.435381616951773</c:v>
                </c:pt>
                <c:pt idx="404">
                  <c:v>37.435381616951773</c:v>
                </c:pt>
                <c:pt idx="405">
                  <c:v>37.435381616951773</c:v>
                </c:pt>
                <c:pt idx="406">
                  <c:v>37.435381616951773</c:v>
                </c:pt>
                <c:pt idx="407">
                  <c:v>37.435381616951773</c:v>
                </c:pt>
                <c:pt idx="408">
                  <c:v>37.435381616951773</c:v>
                </c:pt>
                <c:pt idx="409">
                  <c:v>37.435381616951773</c:v>
                </c:pt>
                <c:pt idx="410">
                  <c:v>37.435381616951773</c:v>
                </c:pt>
                <c:pt idx="411">
                  <c:v>37.435381616951773</c:v>
                </c:pt>
                <c:pt idx="412">
                  <c:v>37.435381616951773</c:v>
                </c:pt>
                <c:pt idx="413">
                  <c:v>37.435381616951773</c:v>
                </c:pt>
                <c:pt idx="414">
                  <c:v>37.435381616951773</c:v>
                </c:pt>
                <c:pt idx="415">
                  <c:v>37.435381616951773</c:v>
                </c:pt>
                <c:pt idx="416">
                  <c:v>37.435381616951773</c:v>
                </c:pt>
                <c:pt idx="417">
                  <c:v>37.435381616951773</c:v>
                </c:pt>
                <c:pt idx="418">
                  <c:v>37.435381616951773</c:v>
                </c:pt>
                <c:pt idx="419">
                  <c:v>37.435381616951773</c:v>
                </c:pt>
                <c:pt idx="420">
                  <c:v>37.435381616951773</c:v>
                </c:pt>
                <c:pt idx="421">
                  <c:v>37.435381616951773</c:v>
                </c:pt>
                <c:pt idx="422">
                  <c:v>37.435381616951773</c:v>
                </c:pt>
                <c:pt idx="423">
                  <c:v>37.435381616951773</c:v>
                </c:pt>
                <c:pt idx="424">
                  <c:v>37.435381616951773</c:v>
                </c:pt>
                <c:pt idx="425">
                  <c:v>37.435381616951773</c:v>
                </c:pt>
                <c:pt idx="426">
                  <c:v>37.435381616951773</c:v>
                </c:pt>
                <c:pt idx="427">
                  <c:v>37.435381616951773</c:v>
                </c:pt>
                <c:pt idx="428">
                  <c:v>37.435381616951773</c:v>
                </c:pt>
                <c:pt idx="429">
                  <c:v>37.435381616951773</c:v>
                </c:pt>
                <c:pt idx="430">
                  <c:v>37.435381616951773</c:v>
                </c:pt>
                <c:pt idx="431">
                  <c:v>37.435381616951773</c:v>
                </c:pt>
                <c:pt idx="432">
                  <c:v>37.435381616951773</c:v>
                </c:pt>
                <c:pt idx="433">
                  <c:v>37.435381616951773</c:v>
                </c:pt>
                <c:pt idx="434">
                  <c:v>37.435381616951773</c:v>
                </c:pt>
                <c:pt idx="435">
                  <c:v>37.435381616951773</c:v>
                </c:pt>
                <c:pt idx="436">
                  <c:v>37.435381616951773</c:v>
                </c:pt>
                <c:pt idx="437">
                  <c:v>37.435381616951773</c:v>
                </c:pt>
                <c:pt idx="438">
                  <c:v>37.435381616951773</c:v>
                </c:pt>
                <c:pt idx="439">
                  <c:v>37.435381616951773</c:v>
                </c:pt>
                <c:pt idx="440">
                  <c:v>37.435381616951773</c:v>
                </c:pt>
                <c:pt idx="441">
                  <c:v>37.435381616951773</c:v>
                </c:pt>
                <c:pt idx="442">
                  <c:v>37.435381616951773</c:v>
                </c:pt>
                <c:pt idx="443">
                  <c:v>37.435381616951773</c:v>
                </c:pt>
                <c:pt idx="444">
                  <c:v>37.435381616951773</c:v>
                </c:pt>
                <c:pt idx="445">
                  <c:v>37.435381616951773</c:v>
                </c:pt>
                <c:pt idx="446">
                  <c:v>33.819341167042261</c:v>
                </c:pt>
                <c:pt idx="447">
                  <c:v>33.819341167042261</c:v>
                </c:pt>
                <c:pt idx="448">
                  <c:v>33.819341167042261</c:v>
                </c:pt>
                <c:pt idx="449">
                  <c:v>37.435381616951773</c:v>
                </c:pt>
                <c:pt idx="450">
                  <c:v>37.435381616951773</c:v>
                </c:pt>
                <c:pt idx="451">
                  <c:v>37.435381616951773</c:v>
                </c:pt>
                <c:pt idx="452">
                  <c:v>37.435381616951773</c:v>
                </c:pt>
                <c:pt idx="453">
                  <c:v>37.435381616951773</c:v>
                </c:pt>
                <c:pt idx="454">
                  <c:v>33.819341167042261</c:v>
                </c:pt>
                <c:pt idx="455">
                  <c:v>33.819341167042261</c:v>
                </c:pt>
                <c:pt idx="456">
                  <c:v>33.819341167042261</c:v>
                </c:pt>
                <c:pt idx="457">
                  <c:v>33.819341167042261</c:v>
                </c:pt>
                <c:pt idx="458">
                  <c:v>33.819341167042261</c:v>
                </c:pt>
                <c:pt idx="459">
                  <c:v>33.819341167042261</c:v>
                </c:pt>
                <c:pt idx="460">
                  <c:v>33.819341167042261</c:v>
                </c:pt>
                <c:pt idx="461">
                  <c:v>33.819341167042261</c:v>
                </c:pt>
                <c:pt idx="462">
                  <c:v>33.819341167042261</c:v>
                </c:pt>
                <c:pt idx="463">
                  <c:v>33.819341167042261</c:v>
                </c:pt>
                <c:pt idx="464">
                  <c:v>33.819341167042261</c:v>
                </c:pt>
                <c:pt idx="465">
                  <c:v>33.819341167042261</c:v>
                </c:pt>
                <c:pt idx="466">
                  <c:v>33.819341167042261</c:v>
                </c:pt>
                <c:pt idx="467">
                  <c:v>33.819341167042261</c:v>
                </c:pt>
                <c:pt idx="468">
                  <c:v>33.819341167042261</c:v>
                </c:pt>
                <c:pt idx="469">
                  <c:v>33.819341167042261</c:v>
                </c:pt>
                <c:pt idx="470">
                  <c:v>33.819341167042261</c:v>
                </c:pt>
                <c:pt idx="471">
                  <c:v>41.545638202606931</c:v>
                </c:pt>
                <c:pt idx="472">
                  <c:v>41.545638202606931</c:v>
                </c:pt>
                <c:pt idx="473">
                  <c:v>46.610663652887361</c:v>
                </c:pt>
                <c:pt idx="474">
                  <c:v>46.610663652887361</c:v>
                </c:pt>
                <c:pt idx="475">
                  <c:v>46.610663652887361</c:v>
                </c:pt>
                <c:pt idx="476">
                  <c:v>59.915964498406019</c:v>
                </c:pt>
                <c:pt idx="477">
                  <c:v>59.915964498406019</c:v>
                </c:pt>
                <c:pt idx="478">
                  <c:v>33.053542446246631</c:v>
                </c:pt>
                <c:pt idx="479">
                  <c:v>33.053542446246631</c:v>
                </c:pt>
                <c:pt idx="480">
                  <c:v>41.545638202606931</c:v>
                </c:pt>
                <c:pt idx="481">
                  <c:v>41.545638202606931</c:v>
                </c:pt>
                <c:pt idx="482">
                  <c:v>41.545638202606931</c:v>
                </c:pt>
                <c:pt idx="483">
                  <c:v>41.545638202606931</c:v>
                </c:pt>
                <c:pt idx="484">
                  <c:v>41.545638202606931</c:v>
                </c:pt>
                <c:pt idx="485">
                  <c:v>41.545638202606931</c:v>
                </c:pt>
                <c:pt idx="486">
                  <c:v>41.545638202606931</c:v>
                </c:pt>
                <c:pt idx="487">
                  <c:v>41.545638202606931</c:v>
                </c:pt>
                <c:pt idx="488">
                  <c:v>41.545638202606931</c:v>
                </c:pt>
                <c:pt idx="489">
                  <c:v>41.545638202606931</c:v>
                </c:pt>
                <c:pt idx="490">
                  <c:v>41.545638202606931</c:v>
                </c:pt>
                <c:pt idx="491">
                  <c:v>41.545638202606931</c:v>
                </c:pt>
                <c:pt idx="492">
                  <c:v>41.545638202606931</c:v>
                </c:pt>
                <c:pt idx="493">
                  <c:v>41.545638202606931</c:v>
                </c:pt>
                <c:pt idx="494">
                  <c:v>41.545638202606931</c:v>
                </c:pt>
                <c:pt idx="495">
                  <c:v>41.545638202606931</c:v>
                </c:pt>
                <c:pt idx="496">
                  <c:v>41.545638202606931</c:v>
                </c:pt>
                <c:pt idx="497">
                  <c:v>41.545638202606931</c:v>
                </c:pt>
                <c:pt idx="498">
                  <c:v>41.545638202606931</c:v>
                </c:pt>
                <c:pt idx="499">
                  <c:v>33.053542446246631</c:v>
                </c:pt>
                <c:pt idx="500">
                  <c:v>33.053542446246631</c:v>
                </c:pt>
                <c:pt idx="501">
                  <c:v>33.053542446246631</c:v>
                </c:pt>
                <c:pt idx="502">
                  <c:v>33.053542446246631</c:v>
                </c:pt>
                <c:pt idx="503">
                  <c:v>33.053542446246631</c:v>
                </c:pt>
                <c:pt idx="504">
                  <c:v>33.053542446246631</c:v>
                </c:pt>
                <c:pt idx="505">
                  <c:v>33.053542446246631</c:v>
                </c:pt>
                <c:pt idx="506">
                  <c:v>33.053542446246631</c:v>
                </c:pt>
                <c:pt idx="507">
                  <c:v>33.053542446246631</c:v>
                </c:pt>
                <c:pt idx="508">
                  <c:v>33.053542446246631</c:v>
                </c:pt>
                <c:pt idx="509">
                  <c:v>33.053542446246631</c:v>
                </c:pt>
                <c:pt idx="510">
                  <c:v>33.053542446246631</c:v>
                </c:pt>
                <c:pt idx="511">
                  <c:v>33.053542446246631</c:v>
                </c:pt>
                <c:pt idx="512">
                  <c:v>33.053542446246631</c:v>
                </c:pt>
                <c:pt idx="513">
                  <c:v>33.053542446246631</c:v>
                </c:pt>
                <c:pt idx="514">
                  <c:v>33.053542446246631</c:v>
                </c:pt>
                <c:pt idx="515">
                  <c:v>33.053542446246631</c:v>
                </c:pt>
                <c:pt idx="516">
                  <c:v>33.053542446246631</c:v>
                </c:pt>
                <c:pt idx="517">
                  <c:v>33.053542446246631</c:v>
                </c:pt>
                <c:pt idx="518">
                  <c:v>33.053542446246631</c:v>
                </c:pt>
                <c:pt idx="519">
                  <c:v>33.053542446246631</c:v>
                </c:pt>
                <c:pt idx="520">
                  <c:v>33.053542446246631</c:v>
                </c:pt>
                <c:pt idx="521">
                  <c:v>33.053542446246631</c:v>
                </c:pt>
                <c:pt idx="522">
                  <c:v>33.053542446246631</c:v>
                </c:pt>
                <c:pt idx="523">
                  <c:v>33.053542446246631</c:v>
                </c:pt>
                <c:pt idx="524">
                  <c:v>33.053542446246631</c:v>
                </c:pt>
                <c:pt idx="525">
                  <c:v>33.053542446246631</c:v>
                </c:pt>
                <c:pt idx="526">
                  <c:v>33.053542446246631</c:v>
                </c:pt>
                <c:pt idx="527">
                  <c:v>33.053542446246631</c:v>
                </c:pt>
                <c:pt idx="528">
                  <c:v>33.053542446246631</c:v>
                </c:pt>
                <c:pt idx="529">
                  <c:v>33.053542446246631</c:v>
                </c:pt>
                <c:pt idx="530">
                  <c:v>33.053542446246631</c:v>
                </c:pt>
                <c:pt idx="531">
                  <c:v>33.053542446246631</c:v>
                </c:pt>
                <c:pt idx="532">
                  <c:v>33.053542446246631</c:v>
                </c:pt>
                <c:pt idx="533">
                  <c:v>33.053542446246631</c:v>
                </c:pt>
                <c:pt idx="534">
                  <c:v>33.053542446246631</c:v>
                </c:pt>
                <c:pt idx="535">
                  <c:v>33.053542446246631</c:v>
                </c:pt>
                <c:pt idx="536">
                  <c:v>33.053542446246631</c:v>
                </c:pt>
                <c:pt idx="537">
                  <c:v>33.053542446246631</c:v>
                </c:pt>
                <c:pt idx="538">
                  <c:v>33.053542446246631</c:v>
                </c:pt>
                <c:pt idx="539">
                  <c:v>33.053542446246631</c:v>
                </c:pt>
                <c:pt idx="540">
                  <c:v>33.053542446246631</c:v>
                </c:pt>
                <c:pt idx="541">
                  <c:v>33.053542446246631</c:v>
                </c:pt>
                <c:pt idx="542">
                  <c:v>33.053542446246631</c:v>
                </c:pt>
                <c:pt idx="543">
                  <c:v>41.545638202606931</c:v>
                </c:pt>
                <c:pt idx="544">
                  <c:v>41.545638202606931</c:v>
                </c:pt>
                <c:pt idx="545">
                  <c:v>41.545638202606931</c:v>
                </c:pt>
                <c:pt idx="546">
                  <c:v>41.545638202606931</c:v>
                </c:pt>
                <c:pt idx="547">
                  <c:v>41.545638202606931</c:v>
                </c:pt>
                <c:pt idx="548">
                  <c:v>41.545638202606931</c:v>
                </c:pt>
                <c:pt idx="549">
                  <c:v>41.545638202606931</c:v>
                </c:pt>
                <c:pt idx="550">
                  <c:v>41.545638202606931</c:v>
                </c:pt>
                <c:pt idx="551">
                  <c:v>41.545638202606931</c:v>
                </c:pt>
                <c:pt idx="552">
                  <c:v>41.545638202606931</c:v>
                </c:pt>
                <c:pt idx="553">
                  <c:v>41.545638202606931</c:v>
                </c:pt>
                <c:pt idx="554">
                  <c:v>41.545638202606931</c:v>
                </c:pt>
                <c:pt idx="555">
                  <c:v>41.545638202606931</c:v>
                </c:pt>
                <c:pt idx="556">
                  <c:v>41.545638202606931</c:v>
                </c:pt>
                <c:pt idx="557">
                  <c:v>41.545638202606931</c:v>
                </c:pt>
                <c:pt idx="558">
                  <c:v>41.545638202606931</c:v>
                </c:pt>
                <c:pt idx="559">
                  <c:v>41.545638202606931</c:v>
                </c:pt>
                <c:pt idx="560">
                  <c:v>41.545638202606931</c:v>
                </c:pt>
                <c:pt idx="561">
                  <c:v>41.545638202606931</c:v>
                </c:pt>
                <c:pt idx="562">
                  <c:v>41.545638202606931</c:v>
                </c:pt>
                <c:pt idx="563">
                  <c:v>41.545638202606931</c:v>
                </c:pt>
                <c:pt idx="564">
                  <c:v>41.545638202606931</c:v>
                </c:pt>
                <c:pt idx="565">
                  <c:v>41.545638202606931</c:v>
                </c:pt>
                <c:pt idx="566">
                  <c:v>41.545638202606931</c:v>
                </c:pt>
                <c:pt idx="567">
                  <c:v>41.545638202606931</c:v>
                </c:pt>
                <c:pt idx="568">
                  <c:v>41.545638202606931</c:v>
                </c:pt>
                <c:pt idx="569">
                  <c:v>41.545638202606931</c:v>
                </c:pt>
                <c:pt idx="570">
                  <c:v>41.545638202606931</c:v>
                </c:pt>
                <c:pt idx="571">
                  <c:v>41.545638202606931</c:v>
                </c:pt>
                <c:pt idx="572">
                  <c:v>41.545638202606931</c:v>
                </c:pt>
                <c:pt idx="573">
                  <c:v>41.545638202606931</c:v>
                </c:pt>
                <c:pt idx="574">
                  <c:v>41.545638202606931</c:v>
                </c:pt>
                <c:pt idx="575">
                  <c:v>41.545638202606931</c:v>
                </c:pt>
                <c:pt idx="576">
                  <c:v>41.545638202606931</c:v>
                </c:pt>
                <c:pt idx="577">
                  <c:v>41.545638202606931</c:v>
                </c:pt>
                <c:pt idx="578">
                  <c:v>41.545638202606931</c:v>
                </c:pt>
                <c:pt idx="579">
                  <c:v>41.545638202606931</c:v>
                </c:pt>
                <c:pt idx="580">
                  <c:v>41.545638202606931</c:v>
                </c:pt>
                <c:pt idx="581">
                  <c:v>41.545638202606931</c:v>
                </c:pt>
                <c:pt idx="582">
                  <c:v>41.545638202606931</c:v>
                </c:pt>
                <c:pt idx="583">
                  <c:v>41.545638202606931</c:v>
                </c:pt>
                <c:pt idx="584">
                  <c:v>41.545638202606931</c:v>
                </c:pt>
                <c:pt idx="585">
                  <c:v>41.545638202606931</c:v>
                </c:pt>
                <c:pt idx="586">
                  <c:v>41.545638202606931</c:v>
                </c:pt>
                <c:pt idx="587">
                  <c:v>41.545638202606931</c:v>
                </c:pt>
                <c:pt idx="588">
                  <c:v>41.545638202606931</c:v>
                </c:pt>
                <c:pt idx="589">
                  <c:v>41.545638202606931</c:v>
                </c:pt>
                <c:pt idx="590">
                  <c:v>41.545638202606931</c:v>
                </c:pt>
                <c:pt idx="591">
                  <c:v>41.545638202606931</c:v>
                </c:pt>
                <c:pt idx="592">
                  <c:v>41.545638202606931</c:v>
                </c:pt>
                <c:pt idx="593">
                  <c:v>41.545638202606931</c:v>
                </c:pt>
                <c:pt idx="594">
                  <c:v>41.545638202606931</c:v>
                </c:pt>
                <c:pt idx="595">
                  <c:v>41.545638202606931</c:v>
                </c:pt>
                <c:pt idx="596">
                  <c:v>41.545638202606931</c:v>
                </c:pt>
                <c:pt idx="597">
                  <c:v>41.545638202606931</c:v>
                </c:pt>
                <c:pt idx="598">
                  <c:v>41.545638202606931</c:v>
                </c:pt>
                <c:pt idx="599">
                  <c:v>41.545638202606931</c:v>
                </c:pt>
                <c:pt idx="600">
                  <c:v>41.545638202606931</c:v>
                </c:pt>
                <c:pt idx="601">
                  <c:v>41.545638202606931</c:v>
                </c:pt>
                <c:pt idx="602">
                  <c:v>41.545638202606931</c:v>
                </c:pt>
                <c:pt idx="603">
                  <c:v>41.545638202606931</c:v>
                </c:pt>
                <c:pt idx="604">
                  <c:v>41.545638202606931</c:v>
                </c:pt>
                <c:pt idx="605">
                  <c:v>41.545638202606931</c:v>
                </c:pt>
                <c:pt idx="606">
                  <c:v>41.545638202606931</c:v>
                </c:pt>
                <c:pt idx="607">
                  <c:v>41.545638202606931</c:v>
                </c:pt>
                <c:pt idx="608">
                  <c:v>41.545638202606931</c:v>
                </c:pt>
                <c:pt idx="609">
                  <c:v>41.545638202606931</c:v>
                </c:pt>
                <c:pt idx="610">
                  <c:v>41.545638202606931</c:v>
                </c:pt>
                <c:pt idx="611">
                  <c:v>41.545638202606931</c:v>
                </c:pt>
                <c:pt idx="612">
                  <c:v>41.545638202606931</c:v>
                </c:pt>
                <c:pt idx="613">
                  <c:v>41.545638202606931</c:v>
                </c:pt>
                <c:pt idx="614">
                  <c:v>41.545638202606931</c:v>
                </c:pt>
                <c:pt idx="615">
                  <c:v>41.545638202606931</c:v>
                </c:pt>
                <c:pt idx="616">
                  <c:v>41.545638202606931</c:v>
                </c:pt>
                <c:pt idx="617">
                  <c:v>41.545638202606931</c:v>
                </c:pt>
                <c:pt idx="618">
                  <c:v>41.545638202606931</c:v>
                </c:pt>
                <c:pt idx="619">
                  <c:v>41.545638202606931</c:v>
                </c:pt>
                <c:pt idx="620">
                  <c:v>41.545638202606931</c:v>
                </c:pt>
                <c:pt idx="621">
                  <c:v>41.545638202606931</c:v>
                </c:pt>
                <c:pt idx="622">
                  <c:v>41.545638202606931</c:v>
                </c:pt>
                <c:pt idx="623">
                  <c:v>41.545638202606931</c:v>
                </c:pt>
                <c:pt idx="624">
                  <c:v>41.545638202606931</c:v>
                </c:pt>
                <c:pt idx="625">
                  <c:v>41.545638202606931</c:v>
                </c:pt>
                <c:pt idx="626">
                  <c:v>41.545638202606931</c:v>
                </c:pt>
                <c:pt idx="627">
                  <c:v>41.545638202606931</c:v>
                </c:pt>
                <c:pt idx="628">
                  <c:v>41.545638202606931</c:v>
                </c:pt>
                <c:pt idx="629">
                  <c:v>41.545638202606931</c:v>
                </c:pt>
                <c:pt idx="630">
                  <c:v>41.545638202606931</c:v>
                </c:pt>
                <c:pt idx="631">
                  <c:v>41.545638202606931</c:v>
                </c:pt>
                <c:pt idx="632">
                  <c:v>41.545638202606931</c:v>
                </c:pt>
                <c:pt idx="633">
                  <c:v>41.545638202606931</c:v>
                </c:pt>
                <c:pt idx="634">
                  <c:v>41.545638202606931</c:v>
                </c:pt>
                <c:pt idx="635">
                  <c:v>41.545638202606931</c:v>
                </c:pt>
                <c:pt idx="636">
                  <c:v>41.545638202606931</c:v>
                </c:pt>
                <c:pt idx="637">
                  <c:v>41.545638202606931</c:v>
                </c:pt>
                <c:pt idx="638">
                  <c:v>41.545638202606931</c:v>
                </c:pt>
                <c:pt idx="639">
                  <c:v>41.545638202606931</c:v>
                </c:pt>
                <c:pt idx="640">
                  <c:v>41.545638202606931</c:v>
                </c:pt>
                <c:pt idx="641">
                  <c:v>41.545638202606931</c:v>
                </c:pt>
                <c:pt idx="642">
                  <c:v>41.545638202606931</c:v>
                </c:pt>
                <c:pt idx="643">
                  <c:v>41.545638202606931</c:v>
                </c:pt>
                <c:pt idx="644">
                  <c:v>41.545638202606931</c:v>
                </c:pt>
                <c:pt idx="645">
                  <c:v>41.545638202606931</c:v>
                </c:pt>
                <c:pt idx="646">
                  <c:v>41.545638202606931</c:v>
                </c:pt>
                <c:pt idx="647">
                  <c:v>41.545638202606931</c:v>
                </c:pt>
                <c:pt idx="648">
                  <c:v>41.545638202606931</c:v>
                </c:pt>
                <c:pt idx="649">
                  <c:v>41.545638202606931</c:v>
                </c:pt>
                <c:pt idx="650">
                  <c:v>41.545638202606931</c:v>
                </c:pt>
                <c:pt idx="651">
                  <c:v>41.545638202606931</c:v>
                </c:pt>
                <c:pt idx="652">
                  <c:v>41.545638202606931</c:v>
                </c:pt>
                <c:pt idx="653">
                  <c:v>41.545638202606931</c:v>
                </c:pt>
                <c:pt idx="654">
                  <c:v>41.545638202606931</c:v>
                </c:pt>
                <c:pt idx="655">
                  <c:v>41.545638202606931</c:v>
                </c:pt>
                <c:pt idx="656">
                  <c:v>41.545638202606931</c:v>
                </c:pt>
                <c:pt idx="657">
                  <c:v>41.545638202606931</c:v>
                </c:pt>
                <c:pt idx="658">
                  <c:v>41.545638202606931</c:v>
                </c:pt>
                <c:pt idx="659">
                  <c:v>41.545638202606931</c:v>
                </c:pt>
                <c:pt idx="660">
                  <c:v>41.545638202606931</c:v>
                </c:pt>
                <c:pt idx="661">
                  <c:v>41.545638202606931</c:v>
                </c:pt>
                <c:pt idx="662">
                  <c:v>41.545638202606931</c:v>
                </c:pt>
                <c:pt idx="663">
                  <c:v>41.545638202606931</c:v>
                </c:pt>
                <c:pt idx="664">
                  <c:v>41.545638202606931</c:v>
                </c:pt>
                <c:pt idx="665">
                  <c:v>41.545638202606931</c:v>
                </c:pt>
                <c:pt idx="666">
                  <c:v>41.545638202606931</c:v>
                </c:pt>
                <c:pt idx="667">
                  <c:v>41.545638202606931</c:v>
                </c:pt>
                <c:pt idx="668">
                  <c:v>41.545638202606931</c:v>
                </c:pt>
                <c:pt idx="669">
                  <c:v>41.545638202606931</c:v>
                </c:pt>
                <c:pt idx="670">
                  <c:v>41.545638202606931</c:v>
                </c:pt>
                <c:pt idx="671">
                  <c:v>41.545638202606931</c:v>
                </c:pt>
                <c:pt idx="672">
                  <c:v>41.545638202606931</c:v>
                </c:pt>
                <c:pt idx="673">
                  <c:v>41.545638202606931</c:v>
                </c:pt>
                <c:pt idx="674">
                  <c:v>41.545638202606931</c:v>
                </c:pt>
                <c:pt idx="675">
                  <c:v>41.545638202606931</c:v>
                </c:pt>
                <c:pt idx="676">
                  <c:v>41.545638202606931</c:v>
                </c:pt>
                <c:pt idx="677">
                  <c:v>41.545638202606931</c:v>
                </c:pt>
                <c:pt idx="678">
                  <c:v>41.545638202606931</c:v>
                </c:pt>
                <c:pt idx="679">
                  <c:v>41.545638202606931</c:v>
                </c:pt>
                <c:pt idx="680">
                  <c:v>41.545638202606931</c:v>
                </c:pt>
                <c:pt idx="681">
                  <c:v>41.545638202606931</c:v>
                </c:pt>
                <c:pt idx="682">
                  <c:v>41.545638202606931</c:v>
                </c:pt>
                <c:pt idx="683">
                  <c:v>41.545638202606931</c:v>
                </c:pt>
                <c:pt idx="684">
                  <c:v>41.545638202606931</c:v>
                </c:pt>
                <c:pt idx="685">
                  <c:v>41.545638202606931</c:v>
                </c:pt>
                <c:pt idx="686">
                  <c:v>41.545638202606931</c:v>
                </c:pt>
                <c:pt idx="687">
                  <c:v>41.545638202606931</c:v>
                </c:pt>
                <c:pt idx="688">
                  <c:v>41.545638202606931</c:v>
                </c:pt>
                <c:pt idx="689">
                  <c:v>41.545638202606931</c:v>
                </c:pt>
                <c:pt idx="690">
                  <c:v>41.545638202606931</c:v>
                </c:pt>
                <c:pt idx="691">
                  <c:v>41.545638202606931</c:v>
                </c:pt>
                <c:pt idx="692">
                  <c:v>41.545638202606931</c:v>
                </c:pt>
                <c:pt idx="693">
                  <c:v>41.545638202606931</c:v>
                </c:pt>
                <c:pt idx="694">
                  <c:v>41.545638202606931</c:v>
                </c:pt>
                <c:pt idx="695">
                  <c:v>41.545638202606931</c:v>
                </c:pt>
                <c:pt idx="696">
                  <c:v>41.545638202606931</c:v>
                </c:pt>
                <c:pt idx="697">
                  <c:v>41.545638202606931</c:v>
                </c:pt>
                <c:pt idx="698">
                  <c:v>41.545638202606931</c:v>
                </c:pt>
                <c:pt idx="699">
                  <c:v>41.545638202606931</c:v>
                </c:pt>
                <c:pt idx="700">
                  <c:v>41.545638202606931</c:v>
                </c:pt>
                <c:pt idx="701">
                  <c:v>41.545638202606931</c:v>
                </c:pt>
                <c:pt idx="702">
                  <c:v>41.545638202606931</c:v>
                </c:pt>
                <c:pt idx="703">
                  <c:v>41.545638202606931</c:v>
                </c:pt>
                <c:pt idx="704">
                  <c:v>41.545638202606931</c:v>
                </c:pt>
                <c:pt idx="705">
                  <c:v>41.545638202606931</c:v>
                </c:pt>
                <c:pt idx="706">
                  <c:v>41.545638202606931</c:v>
                </c:pt>
                <c:pt idx="707">
                  <c:v>41.545638202606931</c:v>
                </c:pt>
                <c:pt idx="708">
                  <c:v>41.545638202606931</c:v>
                </c:pt>
                <c:pt idx="709">
                  <c:v>41.545638202606931</c:v>
                </c:pt>
                <c:pt idx="710">
                  <c:v>41.545638202606931</c:v>
                </c:pt>
                <c:pt idx="711">
                  <c:v>41.545638202606931</c:v>
                </c:pt>
                <c:pt idx="712">
                  <c:v>41.545638202606931</c:v>
                </c:pt>
                <c:pt idx="713">
                  <c:v>41.545638202606931</c:v>
                </c:pt>
                <c:pt idx="714">
                  <c:v>41.545638202606931</c:v>
                </c:pt>
                <c:pt idx="715">
                  <c:v>41.545638202606931</c:v>
                </c:pt>
                <c:pt idx="716">
                  <c:v>41.545638202606931</c:v>
                </c:pt>
                <c:pt idx="717">
                  <c:v>41.545638202606931</c:v>
                </c:pt>
                <c:pt idx="718">
                  <c:v>41.545638202606931</c:v>
                </c:pt>
                <c:pt idx="719">
                  <c:v>41.545638202606931</c:v>
                </c:pt>
                <c:pt idx="720">
                  <c:v>41.545638202606931</c:v>
                </c:pt>
                <c:pt idx="721">
                  <c:v>41.545638202606931</c:v>
                </c:pt>
                <c:pt idx="722">
                  <c:v>41.545638202606931</c:v>
                </c:pt>
                <c:pt idx="723">
                  <c:v>41.545638202606931</c:v>
                </c:pt>
                <c:pt idx="724">
                  <c:v>41.545638202606931</c:v>
                </c:pt>
                <c:pt idx="725">
                  <c:v>41.545638202606931</c:v>
                </c:pt>
                <c:pt idx="726">
                  <c:v>41.545638202606931</c:v>
                </c:pt>
                <c:pt idx="727">
                  <c:v>41.545638202606931</c:v>
                </c:pt>
                <c:pt idx="728">
                  <c:v>41.545638202606931</c:v>
                </c:pt>
                <c:pt idx="729">
                  <c:v>41.545638202606931</c:v>
                </c:pt>
                <c:pt idx="730">
                  <c:v>41.545638202606931</c:v>
                </c:pt>
                <c:pt idx="731">
                  <c:v>41.545638202606931</c:v>
                </c:pt>
                <c:pt idx="732">
                  <c:v>41.545638202606931</c:v>
                </c:pt>
                <c:pt idx="733">
                  <c:v>41.545638202606931</c:v>
                </c:pt>
                <c:pt idx="734">
                  <c:v>41.545638202606931</c:v>
                </c:pt>
                <c:pt idx="735">
                  <c:v>41.545638202606931</c:v>
                </c:pt>
                <c:pt idx="736">
                  <c:v>41.545638202606931</c:v>
                </c:pt>
                <c:pt idx="737">
                  <c:v>41.545638202606931</c:v>
                </c:pt>
                <c:pt idx="738">
                  <c:v>41.545638202606931</c:v>
                </c:pt>
                <c:pt idx="739">
                  <c:v>41.545638202606931</c:v>
                </c:pt>
                <c:pt idx="740">
                  <c:v>41.545638202606931</c:v>
                </c:pt>
                <c:pt idx="741">
                  <c:v>41.545638202606931</c:v>
                </c:pt>
                <c:pt idx="742">
                  <c:v>41.545638202606931</c:v>
                </c:pt>
                <c:pt idx="743">
                  <c:v>41.545638202606931</c:v>
                </c:pt>
                <c:pt idx="744">
                  <c:v>41.545638202606931</c:v>
                </c:pt>
                <c:pt idx="745">
                  <c:v>41.545638202606931</c:v>
                </c:pt>
                <c:pt idx="746">
                  <c:v>41.545638202606931</c:v>
                </c:pt>
                <c:pt idx="747">
                  <c:v>41.545638202606931</c:v>
                </c:pt>
                <c:pt idx="748">
                  <c:v>41.545638202606931</c:v>
                </c:pt>
                <c:pt idx="749">
                  <c:v>41.545638202606931</c:v>
                </c:pt>
                <c:pt idx="750">
                  <c:v>33.053542446246631</c:v>
                </c:pt>
                <c:pt idx="751">
                  <c:v>33.053542446246631</c:v>
                </c:pt>
                <c:pt idx="752">
                  <c:v>33.053542446246631</c:v>
                </c:pt>
                <c:pt idx="753">
                  <c:v>33.053542446246631</c:v>
                </c:pt>
                <c:pt idx="754">
                  <c:v>33.053542446246631</c:v>
                </c:pt>
                <c:pt idx="755">
                  <c:v>33.053542446246631</c:v>
                </c:pt>
                <c:pt idx="756">
                  <c:v>33.053542446246631</c:v>
                </c:pt>
                <c:pt idx="757">
                  <c:v>33.053542446246631</c:v>
                </c:pt>
                <c:pt idx="758">
                  <c:v>33.053542446246631</c:v>
                </c:pt>
                <c:pt idx="759">
                  <c:v>33.053542446246631</c:v>
                </c:pt>
                <c:pt idx="760">
                  <c:v>33.053542446246631</c:v>
                </c:pt>
                <c:pt idx="761">
                  <c:v>46.610663652887361</c:v>
                </c:pt>
                <c:pt idx="762">
                  <c:v>46.610663652887361</c:v>
                </c:pt>
                <c:pt idx="763">
                  <c:v>46.610663652887361</c:v>
                </c:pt>
                <c:pt idx="764">
                  <c:v>46.610663652887361</c:v>
                </c:pt>
                <c:pt idx="765">
                  <c:v>46.610663652887361</c:v>
                </c:pt>
                <c:pt idx="766">
                  <c:v>46.610663652887361</c:v>
                </c:pt>
                <c:pt idx="767">
                  <c:v>46.610663652887361</c:v>
                </c:pt>
                <c:pt idx="768">
                  <c:v>46.610663652887361</c:v>
                </c:pt>
                <c:pt idx="769">
                  <c:v>46.610663652887361</c:v>
                </c:pt>
                <c:pt idx="770">
                  <c:v>46.610663652887361</c:v>
                </c:pt>
                <c:pt idx="771">
                  <c:v>46.610663652887361</c:v>
                </c:pt>
                <c:pt idx="772">
                  <c:v>46.610663652887361</c:v>
                </c:pt>
                <c:pt idx="773">
                  <c:v>46.610663652887361</c:v>
                </c:pt>
                <c:pt idx="774">
                  <c:v>46.610663652887361</c:v>
                </c:pt>
                <c:pt idx="775">
                  <c:v>46.610663652887361</c:v>
                </c:pt>
                <c:pt idx="776">
                  <c:v>46.610663652887361</c:v>
                </c:pt>
                <c:pt idx="777">
                  <c:v>46.610663652887361</c:v>
                </c:pt>
                <c:pt idx="778">
                  <c:v>46.610663652887361</c:v>
                </c:pt>
                <c:pt idx="779">
                  <c:v>46.610663652887361</c:v>
                </c:pt>
                <c:pt idx="780">
                  <c:v>46.610663652887361</c:v>
                </c:pt>
                <c:pt idx="781">
                  <c:v>46.610663652887361</c:v>
                </c:pt>
                <c:pt idx="782">
                  <c:v>46.610663652887361</c:v>
                </c:pt>
                <c:pt idx="783">
                  <c:v>46.610663652887361</c:v>
                </c:pt>
                <c:pt idx="784">
                  <c:v>46.610663652887361</c:v>
                </c:pt>
                <c:pt idx="785">
                  <c:v>46.610663652887361</c:v>
                </c:pt>
                <c:pt idx="786">
                  <c:v>46.610663652887361</c:v>
                </c:pt>
                <c:pt idx="787">
                  <c:v>59.915964498406019</c:v>
                </c:pt>
                <c:pt idx="788">
                  <c:v>59.915964498406019</c:v>
                </c:pt>
                <c:pt idx="789">
                  <c:v>59.915964498406019</c:v>
                </c:pt>
                <c:pt idx="790">
                  <c:v>59.915964498406019</c:v>
                </c:pt>
                <c:pt idx="791">
                  <c:v>59.915964498406019</c:v>
                </c:pt>
                <c:pt idx="792">
                  <c:v>59.915964498406019</c:v>
                </c:pt>
                <c:pt idx="793">
                  <c:v>59.915964498406019</c:v>
                </c:pt>
                <c:pt idx="794">
                  <c:v>59.915964498406019</c:v>
                </c:pt>
                <c:pt idx="795">
                  <c:v>59.915964498406019</c:v>
                </c:pt>
                <c:pt idx="796">
                  <c:v>59.915964498406019</c:v>
                </c:pt>
                <c:pt idx="797">
                  <c:v>59.915964498406019</c:v>
                </c:pt>
                <c:pt idx="798">
                  <c:v>50.75383375536623</c:v>
                </c:pt>
                <c:pt idx="799">
                  <c:v>50.75383375536623</c:v>
                </c:pt>
                <c:pt idx="800">
                  <c:v>50.75383375536623</c:v>
                </c:pt>
                <c:pt idx="801">
                  <c:v>50.75383375536623</c:v>
                </c:pt>
                <c:pt idx="802">
                  <c:v>50.75383375536623</c:v>
                </c:pt>
                <c:pt idx="803">
                  <c:v>50.75383375536623</c:v>
                </c:pt>
                <c:pt idx="804">
                  <c:v>50.75383375536623</c:v>
                </c:pt>
                <c:pt idx="805">
                  <c:v>50.75383375536623</c:v>
                </c:pt>
                <c:pt idx="806">
                  <c:v>50.75383375536623</c:v>
                </c:pt>
                <c:pt idx="807">
                  <c:v>50.75383375536623</c:v>
                </c:pt>
                <c:pt idx="808">
                  <c:v>50.75383375536623</c:v>
                </c:pt>
                <c:pt idx="809">
                  <c:v>50.75383375536623</c:v>
                </c:pt>
                <c:pt idx="810">
                  <c:v>50.75383375536623</c:v>
                </c:pt>
                <c:pt idx="811">
                  <c:v>50.75383375536623</c:v>
                </c:pt>
                <c:pt idx="812">
                  <c:v>50.75383375536623</c:v>
                </c:pt>
                <c:pt idx="813">
                  <c:v>50.75383375536623</c:v>
                </c:pt>
                <c:pt idx="814">
                  <c:v>50.75383375536623</c:v>
                </c:pt>
                <c:pt idx="815">
                  <c:v>50.75383375536623</c:v>
                </c:pt>
                <c:pt idx="816">
                  <c:v>50.75383375536623</c:v>
                </c:pt>
                <c:pt idx="817">
                  <c:v>50.75383375536623</c:v>
                </c:pt>
                <c:pt idx="818">
                  <c:v>50.75383375536623</c:v>
                </c:pt>
                <c:pt idx="819">
                  <c:v>50.75383375536623</c:v>
                </c:pt>
                <c:pt idx="820">
                  <c:v>50.75383375536623</c:v>
                </c:pt>
                <c:pt idx="821">
                  <c:v>50.75383375536623</c:v>
                </c:pt>
                <c:pt idx="822">
                  <c:v>50.75383375536623</c:v>
                </c:pt>
                <c:pt idx="823">
                  <c:v>50.75383375536623</c:v>
                </c:pt>
                <c:pt idx="824">
                  <c:v>50.75383375536623</c:v>
                </c:pt>
                <c:pt idx="825">
                  <c:v>50.75383375536623</c:v>
                </c:pt>
                <c:pt idx="826">
                  <c:v>50.75383375536623</c:v>
                </c:pt>
                <c:pt idx="827">
                  <c:v>50.75383375536623</c:v>
                </c:pt>
                <c:pt idx="828">
                  <c:v>50.75383375536623</c:v>
                </c:pt>
                <c:pt idx="829">
                  <c:v>50.75383375536623</c:v>
                </c:pt>
                <c:pt idx="830">
                  <c:v>50.75383375536623</c:v>
                </c:pt>
                <c:pt idx="831">
                  <c:v>50.75383375536623</c:v>
                </c:pt>
                <c:pt idx="832">
                  <c:v>50.75383375536623</c:v>
                </c:pt>
                <c:pt idx="833">
                  <c:v>50.75383375536623</c:v>
                </c:pt>
                <c:pt idx="834">
                  <c:v>50.75383375536623</c:v>
                </c:pt>
                <c:pt idx="835">
                  <c:v>50.75383375536623</c:v>
                </c:pt>
                <c:pt idx="836">
                  <c:v>50.75383375536623</c:v>
                </c:pt>
                <c:pt idx="837">
                  <c:v>50.75383375536623</c:v>
                </c:pt>
                <c:pt idx="838">
                  <c:v>50.75383375536623</c:v>
                </c:pt>
                <c:pt idx="839">
                  <c:v>50.75383375536623</c:v>
                </c:pt>
                <c:pt idx="840">
                  <c:v>50.75383375536623</c:v>
                </c:pt>
                <c:pt idx="841">
                  <c:v>50.75383375536623</c:v>
                </c:pt>
                <c:pt idx="842">
                  <c:v>50.75383375536623</c:v>
                </c:pt>
                <c:pt idx="843">
                  <c:v>50.75383375536623</c:v>
                </c:pt>
                <c:pt idx="844">
                  <c:v>50.75383375536623</c:v>
                </c:pt>
                <c:pt idx="845">
                  <c:v>50.75383375536623</c:v>
                </c:pt>
                <c:pt idx="846">
                  <c:v>50.75383375536623</c:v>
                </c:pt>
                <c:pt idx="847">
                  <c:v>50.75383375536623</c:v>
                </c:pt>
                <c:pt idx="848">
                  <c:v>50.75383375536623</c:v>
                </c:pt>
                <c:pt idx="849">
                  <c:v>50.75383375536623</c:v>
                </c:pt>
                <c:pt idx="850">
                  <c:v>50.75383375536623</c:v>
                </c:pt>
                <c:pt idx="851">
                  <c:v>50.75383375536623</c:v>
                </c:pt>
                <c:pt idx="852">
                  <c:v>50.75383375536623</c:v>
                </c:pt>
                <c:pt idx="853">
                  <c:v>50.75383375536623</c:v>
                </c:pt>
                <c:pt idx="854">
                  <c:v>50.75383375536623</c:v>
                </c:pt>
                <c:pt idx="855">
                  <c:v>50.75383375536623</c:v>
                </c:pt>
                <c:pt idx="856">
                  <c:v>50.75383375536623</c:v>
                </c:pt>
                <c:pt idx="857">
                  <c:v>50.75383375536623</c:v>
                </c:pt>
                <c:pt idx="858">
                  <c:v>50.75383375536623</c:v>
                </c:pt>
                <c:pt idx="859">
                  <c:v>50.75383375536623</c:v>
                </c:pt>
                <c:pt idx="860">
                  <c:v>50.75383375536623</c:v>
                </c:pt>
                <c:pt idx="861">
                  <c:v>50.75383375536623</c:v>
                </c:pt>
                <c:pt idx="862">
                  <c:v>50.75383375536623</c:v>
                </c:pt>
                <c:pt idx="863">
                  <c:v>50.75383375536623</c:v>
                </c:pt>
                <c:pt idx="864">
                  <c:v>50.75383375536623</c:v>
                </c:pt>
                <c:pt idx="865">
                  <c:v>50.75383375536623</c:v>
                </c:pt>
                <c:pt idx="866">
                  <c:v>50.75383375536623</c:v>
                </c:pt>
                <c:pt idx="867">
                  <c:v>50.75383375536623</c:v>
                </c:pt>
                <c:pt idx="868">
                  <c:v>50.75383375536623</c:v>
                </c:pt>
                <c:pt idx="869">
                  <c:v>50.75383375536623</c:v>
                </c:pt>
                <c:pt idx="870">
                  <c:v>50.75383375536623</c:v>
                </c:pt>
                <c:pt idx="871">
                  <c:v>50.75383375536623</c:v>
                </c:pt>
                <c:pt idx="872">
                  <c:v>50.75383375536623</c:v>
                </c:pt>
                <c:pt idx="873">
                  <c:v>50.75383375536623</c:v>
                </c:pt>
                <c:pt idx="874">
                  <c:v>50.75383375536623</c:v>
                </c:pt>
                <c:pt idx="875">
                  <c:v>50.75383375536623</c:v>
                </c:pt>
                <c:pt idx="876">
                  <c:v>50.75383375536623</c:v>
                </c:pt>
                <c:pt idx="877">
                  <c:v>50.75383375536623</c:v>
                </c:pt>
                <c:pt idx="878">
                  <c:v>50.75383375536623</c:v>
                </c:pt>
                <c:pt idx="879">
                  <c:v>50.75383375536623</c:v>
                </c:pt>
                <c:pt idx="880">
                  <c:v>50.75383375536623</c:v>
                </c:pt>
                <c:pt idx="881">
                  <c:v>50.75383375536623</c:v>
                </c:pt>
                <c:pt idx="882">
                  <c:v>50.75383375536623</c:v>
                </c:pt>
                <c:pt idx="883">
                  <c:v>50.75383375536623</c:v>
                </c:pt>
                <c:pt idx="884">
                  <c:v>50.75383375536623</c:v>
                </c:pt>
                <c:pt idx="885">
                  <c:v>50.75383375536623</c:v>
                </c:pt>
                <c:pt idx="886">
                  <c:v>50.75383375536623</c:v>
                </c:pt>
                <c:pt idx="887">
                  <c:v>46.610663652887361</c:v>
                </c:pt>
                <c:pt idx="888">
                  <c:v>46.610663652887361</c:v>
                </c:pt>
                <c:pt idx="889">
                  <c:v>46.610663652887361</c:v>
                </c:pt>
                <c:pt idx="890">
                  <c:v>46.610663652887361</c:v>
                </c:pt>
                <c:pt idx="891">
                  <c:v>46.610663652887361</c:v>
                </c:pt>
                <c:pt idx="892">
                  <c:v>46.610663652887361</c:v>
                </c:pt>
                <c:pt idx="893">
                  <c:v>46.610663652887361</c:v>
                </c:pt>
                <c:pt idx="894">
                  <c:v>59.915964498406019</c:v>
                </c:pt>
                <c:pt idx="895">
                  <c:v>59.915964498406019</c:v>
                </c:pt>
                <c:pt idx="896">
                  <c:v>59.915964498406019</c:v>
                </c:pt>
                <c:pt idx="897">
                  <c:v>59.915964498406019</c:v>
                </c:pt>
                <c:pt idx="898">
                  <c:v>59.915964498406019</c:v>
                </c:pt>
                <c:pt idx="899">
                  <c:v>59.915964498406019</c:v>
                </c:pt>
                <c:pt idx="900">
                  <c:v>59.915964498406019</c:v>
                </c:pt>
                <c:pt idx="901">
                  <c:v>59.915964498406019</c:v>
                </c:pt>
                <c:pt idx="902">
                  <c:v>59.915964498406019</c:v>
                </c:pt>
                <c:pt idx="903">
                  <c:v>59.915964498406019</c:v>
                </c:pt>
                <c:pt idx="904">
                  <c:v>59.915964498406019</c:v>
                </c:pt>
                <c:pt idx="905">
                  <c:v>59.915964498406019</c:v>
                </c:pt>
                <c:pt idx="906">
                  <c:v>59.915964498406019</c:v>
                </c:pt>
                <c:pt idx="907">
                  <c:v>59.915964498406019</c:v>
                </c:pt>
                <c:pt idx="908">
                  <c:v>59.915964498406019</c:v>
                </c:pt>
                <c:pt idx="909">
                  <c:v>59.915964498406019</c:v>
                </c:pt>
                <c:pt idx="910">
                  <c:v>59.915964498406019</c:v>
                </c:pt>
                <c:pt idx="911">
                  <c:v>59.915964498406019</c:v>
                </c:pt>
                <c:pt idx="912">
                  <c:v>59.915964498406019</c:v>
                </c:pt>
                <c:pt idx="913">
                  <c:v>59.915964498406019</c:v>
                </c:pt>
                <c:pt idx="914">
                  <c:v>59.915964498406019</c:v>
                </c:pt>
                <c:pt idx="915">
                  <c:v>59.915964498406019</c:v>
                </c:pt>
                <c:pt idx="916">
                  <c:v>59.915964498406019</c:v>
                </c:pt>
                <c:pt idx="917">
                  <c:v>59.915964498406019</c:v>
                </c:pt>
                <c:pt idx="918">
                  <c:v>59.915964498406019</c:v>
                </c:pt>
                <c:pt idx="919">
                  <c:v>59.915964498406019</c:v>
                </c:pt>
                <c:pt idx="920">
                  <c:v>59.915964498406019</c:v>
                </c:pt>
                <c:pt idx="921">
                  <c:v>59.915964498406019</c:v>
                </c:pt>
                <c:pt idx="922">
                  <c:v>59.915964498406019</c:v>
                </c:pt>
                <c:pt idx="923">
                  <c:v>50.75383375536623</c:v>
                </c:pt>
                <c:pt idx="924">
                  <c:v>50.75383375536623</c:v>
                </c:pt>
                <c:pt idx="925">
                  <c:v>50.75383375536623</c:v>
                </c:pt>
                <c:pt idx="926">
                  <c:v>50.75383375536623</c:v>
                </c:pt>
                <c:pt idx="927">
                  <c:v>50.75383375536623</c:v>
                </c:pt>
                <c:pt idx="928">
                  <c:v>50.75383375536623</c:v>
                </c:pt>
                <c:pt idx="929">
                  <c:v>50.75383375536623</c:v>
                </c:pt>
                <c:pt idx="930">
                  <c:v>50.75383375536623</c:v>
                </c:pt>
                <c:pt idx="931">
                  <c:v>50.75383375536623</c:v>
                </c:pt>
                <c:pt idx="932">
                  <c:v>50.75383375536623</c:v>
                </c:pt>
                <c:pt idx="933">
                  <c:v>50.75383375536623</c:v>
                </c:pt>
                <c:pt idx="934">
                  <c:v>50.75383375536623</c:v>
                </c:pt>
                <c:pt idx="935">
                  <c:v>41.545638202606931</c:v>
                </c:pt>
                <c:pt idx="936">
                  <c:v>41.545638202606931</c:v>
                </c:pt>
                <c:pt idx="937">
                  <c:v>46.610663652887361</c:v>
                </c:pt>
                <c:pt idx="938">
                  <c:v>46.610663652887361</c:v>
                </c:pt>
                <c:pt idx="939">
                  <c:v>46.610663652887361</c:v>
                </c:pt>
                <c:pt idx="940">
                  <c:v>46.610663652887361</c:v>
                </c:pt>
                <c:pt idx="941">
                  <c:v>46.610663652887361</c:v>
                </c:pt>
                <c:pt idx="942">
                  <c:v>46.610663652887361</c:v>
                </c:pt>
                <c:pt idx="943">
                  <c:v>59.915964498406019</c:v>
                </c:pt>
                <c:pt idx="944">
                  <c:v>59.915964498406019</c:v>
                </c:pt>
                <c:pt idx="945">
                  <c:v>59.915964498406019</c:v>
                </c:pt>
                <c:pt idx="946">
                  <c:v>59.915964498406019</c:v>
                </c:pt>
                <c:pt idx="947">
                  <c:v>59.915964498406019</c:v>
                </c:pt>
                <c:pt idx="948">
                  <c:v>59.915964498406019</c:v>
                </c:pt>
                <c:pt idx="949">
                  <c:v>59.915964498406019</c:v>
                </c:pt>
                <c:pt idx="950">
                  <c:v>59.915964498406019</c:v>
                </c:pt>
                <c:pt idx="951">
                  <c:v>59.915964498406019</c:v>
                </c:pt>
                <c:pt idx="952">
                  <c:v>59.915964498406019</c:v>
                </c:pt>
                <c:pt idx="953">
                  <c:v>59.915964498406019</c:v>
                </c:pt>
                <c:pt idx="954">
                  <c:v>50.75383375536623</c:v>
                </c:pt>
                <c:pt idx="955">
                  <c:v>50.75383375536623</c:v>
                </c:pt>
                <c:pt idx="956">
                  <c:v>50.75383375536623</c:v>
                </c:pt>
                <c:pt idx="957">
                  <c:v>50.75383375536623</c:v>
                </c:pt>
                <c:pt idx="958">
                  <c:v>50.75383375536623</c:v>
                </c:pt>
                <c:pt idx="959">
                  <c:v>50.75383375536623</c:v>
                </c:pt>
                <c:pt idx="960">
                  <c:v>50.75383375536623</c:v>
                </c:pt>
                <c:pt idx="961">
                  <c:v>50.75383375536623</c:v>
                </c:pt>
                <c:pt idx="962">
                  <c:v>50.75383375536623</c:v>
                </c:pt>
                <c:pt idx="963">
                  <c:v>50.75383375536623</c:v>
                </c:pt>
                <c:pt idx="964">
                  <c:v>50.75383375536623</c:v>
                </c:pt>
                <c:pt idx="965">
                  <c:v>50.75383375536623</c:v>
                </c:pt>
                <c:pt idx="966">
                  <c:v>50.75383375536623</c:v>
                </c:pt>
                <c:pt idx="967">
                  <c:v>50.75383375536623</c:v>
                </c:pt>
                <c:pt idx="968">
                  <c:v>50.75383375536623</c:v>
                </c:pt>
                <c:pt idx="969">
                  <c:v>50.75383375536623</c:v>
                </c:pt>
                <c:pt idx="970">
                  <c:v>50.75383375536623</c:v>
                </c:pt>
                <c:pt idx="971">
                  <c:v>50.75383375536623</c:v>
                </c:pt>
                <c:pt idx="972">
                  <c:v>50.75383375536623</c:v>
                </c:pt>
                <c:pt idx="973">
                  <c:v>50.75383375536623</c:v>
                </c:pt>
                <c:pt idx="974">
                  <c:v>50.75383375536623</c:v>
                </c:pt>
                <c:pt idx="975">
                  <c:v>50.75383375536623</c:v>
                </c:pt>
                <c:pt idx="976">
                  <c:v>50.75383375536623</c:v>
                </c:pt>
                <c:pt idx="977">
                  <c:v>50.75383375536623</c:v>
                </c:pt>
                <c:pt idx="978">
                  <c:v>50.75383375536623</c:v>
                </c:pt>
                <c:pt idx="979">
                  <c:v>50.75383375536623</c:v>
                </c:pt>
                <c:pt idx="980">
                  <c:v>50.75383375536623</c:v>
                </c:pt>
                <c:pt idx="981">
                  <c:v>50.75383375536623</c:v>
                </c:pt>
                <c:pt idx="982">
                  <c:v>50.75383375536623</c:v>
                </c:pt>
                <c:pt idx="983">
                  <c:v>46.610663652887361</c:v>
                </c:pt>
                <c:pt idx="984">
                  <c:v>46.610663652887361</c:v>
                </c:pt>
                <c:pt idx="985">
                  <c:v>46.610663652887361</c:v>
                </c:pt>
                <c:pt idx="986">
                  <c:v>46.610663652887361</c:v>
                </c:pt>
                <c:pt idx="987">
                  <c:v>46.610663652887361</c:v>
                </c:pt>
                <c:pt idx="988">
                  <c:v>46.610663652887361</c:v>
                </c:pt>
                <c:pt idx="989">
                  <c:v>46.610663652887361</c:v>
                </c:pt>
                <c:pt idx="990">
                  <c:v>46.610663652887361</c:v>
                </c:pt>
                <c:pt idx="991">
                  <c:v>46.610663652887361</c:v>
                </c:pt>
                <c:pt idx="992">
                  <c:v>46.610663652887361</c:v>
                </c:pt>
                <c:pt idx="993">
                  <c:v>46.610663652887361</c:v>
                </c:pt>
                <c:pt idx="994">
                  <c:v>46.610663652887361</c:v>
                </c:pt>
                <c:pt idx="995">
                  <c:v>46.610663652887361</c:v>
                </c:pt>
                <c:pt idx="996">
                  <c:v>46.610663652887361</c:v>
                </c:pt>
                <c:pt idx="997">
                  <c:v>46.610663652887361</c:v>
                </c:pt>
                <c:pt idx="998">
                  <c:v>46.610663652887361</c:v>
                </c:pt>
                <c:pt idx="999">
                  <c:v>46.610663652887361</c:v>
                </c:pt>
                <c:pt idx="1000">
                  <c:v>46.610663652887361</c:v>
                </c:pt>
                <c:pt idx="1001">
                  <c:v>46.610663652887361</c:v>
                </c:pt>
                <c:pt idx="1002">
                  <c:v>46.610663652887361</c:v>
                </c:pt>
                <c:pt idx="1003">
                  <c:v>46.610663652887361</c:v>
                </c:pt>
                <c:pt idx="1004">
                  <c:v>46.610663652887361</c:v>
                </c:pt>
                <c:pt idx="1005">
                  <c:v>46.610663652887361</c:v>
                </c:pt>
                <c:pt idx="1006">
                  <c:v>50.75383375536623</c:v>
                </c:pt>
                <c:pt idx="1007">
                  <c:v>50.75383375536623</c:v>
                </c:pt>
                <c:pt idx="1008">
                  <c:v>50.75383375536623</c:v>
                </c:pt>
                <c:pt idx="1009">
                  <c:v>50.75383375536623</c:v>
                </c:pt>
                <c:pt idx="1010">
                  <c:v>50.75383375536623</c:v>
                </c:pt>
                <c:pt idx="1011">
                  <c:v>50.75383375536623</c:v>
                </c:pt>
                <c:pt idx="1012">
                  <c:v>50.75383375536623</c:v>
                </c:pt>
                <c:pt idx="1013">
                  <c:v>50.75383375536623</c:v>
                </c:pt>
                <c:pt idx="1014">
                  <c:v>50.75383375536623</c:v>
                </c:pt>
                <c:pt idx="1015">
                  <c:v>50.75383375536623</c:v>
                </c:pt>
                <c:pt idx="1016">
                  <c:v>50.75383375536623</c:v>
                </c:pt>
                <c:pt idx="1017">
                  <c:v>50.75383375536623</c:v>
                </c:pt>
                <c:pt idx="1018">
                  <c:v>50.75383375536623</c:v>
                </c:pt>
                <c:pt idx="1019">
                  <c:v>50.75383375536623</c:v>
                </c:pt>
                <c:pt idx="1020">
                  <c:v>50.75383375536623</c:v>
                </c:pt>
                <c:pt idx="1021">
                  <c:v>50.75383375536623</c:v>
                </c:pt>
                <c:pt idx="1022">
                  <c:v>50.75383375536623</c:v>
                </c:pt>
                <c:pt idx="1023">
                  <c:v>50.75383375536623</c:v>
                </c:pt>
                <c:pt idx="1024">
                  <c:v>50.75383375536623</c:v>
                </c:pt>
                <c:pt idx="1025">
                  <c:v>50.75383375536623</c:v>
                </c:pt>
                <c:pt idx="1026">
                  <c:v>50.75383375536623</c:v>
                </c:pt>
                <c:pt idx="1027">
                  <c:v>50.75383375536623</c:v>
                </c:pt>
                <c:pt idx="1028">
                  <c:v>50.75383375536623</c:v>
                </c:pt>
                <c:pt idx="1029">
                  <c:v>50.75383375536623</c:v>
                </c:pt>
                <c:pt idx="1030">
                  <c:v>50.75383375536623</c:v>
                </c:pt>
                <c:pt idx="1031">
                  <c:v>50.75383375536623</c:v>
                </c:pt>
                <c:pt idx="1032">
                  <c:v>50.75383375536623</c:v>
                </c:pt>
                <c:pt idx="1033">
                  <c:v>50.75383375536623</c:v>
                </c:pt>
                <c:pt idx="1034">
                  <c:v>50.75383375536623</c:v>
                </c:pt>
                <c:pt idx="1035">
                  <c:v>50.75383375536623</c:v>
                </c:pt>
                <c:pt idx="1036">
                  <c:v>50.75383375536623</c:v>
                </c:pt>
                <c:pt idx="1037">
                  <c:v>50.75383375536623</c:v>
                </c:pt>
                <c:pt idx="1038">
                  <c:v>50.75383375536623</c:v>
                </c:pt>
                <c:pt idx="1039">
                  <c:v>50.75383375536623</c:v>
                </c:pt>
                <c:pt idx="1040">
                  <c:v>50.75383375536623</c:v>
                </c:pt>
                <c:pt idx="1041">
                  <c:v>46.610663652887361</c:v>
                </c:pt>
                <c:pt idx="1042">
                  <c:v>46.610663652887361</c:v>
                </c:pt>
                <c:pt idx="1043">
                  <c:v>46.610663652887361</c:v>
                </c:pt>
                <c:pt idx="1044">
                  <c:v>46.610663652887361</c:v>
                </c:pt>
                <c:pt idx="1045">
                  <c:v>46.610663652887361</c:v>
                </c:pt>
                <c:pt idx="1046">
                  <c:v>46.610663652887361</c:v>
                </c:pt>
                <c:pt idx="1047">
                  <c:v>46.610663652887361</c:v>
                </c:pt>
                <c:pt idx="1048">
                  <c:v>46.610663652887361</c:v>
                </c:pt>
                <c:pt idx="1049">
                  <c:v>46.610663652887361</c:v>
                </c:pt>
                <c:pt idx="1050">
                  <c:v>46.610663652887361</c:v>
                </c:pt>
                <c:pt idx="1051">
                  <c:v>46.610663652887361</c:v>
                </c:pt>
                <c:pt idx="1052">
                  <c:v>46.610663652887361</c:v>
                </c:pt>
                <c:pt idx="1053">
                  <c:v>46.610663652887361</c:v>
                </c:pt>
                <c:pt idx="1054">
                  <c:v>46.610663652887361</c:v>
                </c:pt>
                <c:pt idx="1055">
                  <c:v>46.610663652887361</c:v>
                </c:pt>
                <c:pt idx="1056">
                  <c:v>46.610663652887361</c:v>
                </c:pt>
                <c:pt idx="1057">
                  <c:v>46.610663652887361</c:v>
                </c:pt>
                <c:pt idx="1058">
                  <c:v>46.610663652887361</c:v>
                </c:pt>
                <c:pt idx="1059">
                  <c:v>46.610663652887361</c:v>
                </c:pt>
                <c:pt idx="1060">
                  <c:v>46.610663652887361</c:v>
                </c:pt>
                <c:pt idx="1061">
                  <c:v>46.610663652887361</c:v>
                </c:pt>
                <c:pt idx="1062">
                  <c:v>46.610663652887361</c:v>
                </c:pt>
                <c:pt idx="1063">
                  <c:v>46.610663652887361</c:v>
                </c:pt>
                <c:pt idx="1064">
                  <c:v>46.610663652887361</c:v>
                </c:pt>
                <c:pt idx="1065">
                  <c:v>46.610663652887361</c:v>
                </c:pt>
                <c:pt idx="1066">
                  <c:v>46.610663652887361</c:v>
                </c:pt>
                <c:pt idx="1067">
                  <c:v>46.610663652887361</c:v>
                </c:pt>
                <c:pt idx="1068">
                  <c:v>46.610663652887361</c:v>
                </c:pt>
                <c:pt idx="1069">
                  <c:v>46.610663652887361</c:v>
                </c:pt>
                <c:pt idx="1070">
                  <c:v>46.610663652887361</c:v>
                </c:pt>
                <c:pt idx="1071">
                  <c:v>46.610663652887361</c:v>
                </c:pt>
                <c:pt idx="1072">
                  <c:v>46.610663652887361</c:v>
                </c:pt>
                <c:pt idx="1073">
                  <c:v>46.610663652887361</c:v>
                </c:pt>
                <c:pt idx="1074">
                  <c:v>46.610663652887361</c:v>
                </c:pt>
                <c:pt idx="1075">
                  <c:v>46.610663652887361</c:v>
                </c:pt>
                <c:pt idx="1076">
                  <c:v>46.610663652887361</c:v>
                </c:pt>
                <c:pt idx="1077">
                  <c:v>46.610663652887361</c:v>
                </c:pt>
                <c:pt idx="1078">
                  <c:v>46.610663652887361</c:v>
                </c:pt>
                <c:pt idx="1079">
                  <c:v>46.610663652887361</c:v>
                </c:pt>
                <c:pt idx="1080">
                  <c:v>46.610663652887361</c:v>
                </c:pt>
                <c:pt idx="1081">
                  <c:v>46.610663652887361</c:v>
                </c:pt>
                <c:pt idx="1082">
                  <c:v>46.610663652887361</c:v>
                </c:pt>
                <c:pt idx="1083">
                  <c:v>46.610663652887361</c:v>
                </c:pt>
                <c:pt idx="1084">
                  <c:v>46.610663652887361</c:v>
                </c:pt>
                <c:pt idx="1085">
                  <c:v>46.610663652887361</c:v>
                </c:pt>
                <c:pt idx="1086">
                  <c:v>33.053542446246631</c:v>
                </c:pt>
                <c:pt idx="1087">
                  <c:v>33.053542446246631</c:v>
                </c:pt>
                <c:pt idx="1088">
                  <c:v>33.053542446246631</c:v>
                </c:pt>
                <c:pt idx="1089">
                  <c:v>33.053542446246631</c:v>
                </c:pt>
                <c:pt idx="1090">
                  <c:v>33.053542446246631</c:v>
                </c:pt>
                <c:pt idx="1091">
                  <c:v>33.053542446246631</c:v>
                </c:pt>
                <c:pt idx="1092">
                  <c:v>33.053542446246631</c:v>
                </c:pt>
                <c:pt idx="1093">
                  <c:v>33.053542446246631</c:v>
                </c:pt>
                <c:pt idx="1094">
                  <c:v>33.053542446246631</c:v>
                </c:pt>
                <c:pt idx="1095">
                  <c:v>33.053542446246631</c:v>
                </c:pt>
                <c:pt idx="1096">
                  <c:v>33.053542446246631</c:v>
                </c:pt>
                <c:pt idx="1097">
                  <c:v>33.053542446246631</c:v>
                </c:pt>
                <c:pt idx="1098">
                  <c:v>33.053542446246631</c:v>
                </c:pt>
                <c:pt idx="1099">
                  <c:v>33.053542446246631</c:v>
                </c:pt>
                <c:pt idx="1100">
                  <c:v>33.053542446246631</c:v>
                </c:pt>
                <c:pt idx="1101">
                  <c:v>33.053542446246631</c:v>
                </c:pt>
                <c:pt idx="1102">
                  <c:v>33.053542446246631</c:v>
                </c:pt>
                <c:pt idx="1103">
                  <c:v>33.053542446246631</c:v>
                </c:pt>
                <c:pt idx="1104">
                  <c:v>33.053542446246631</c:v>
                </c:pt>
                <c:pt idx="1105">
                  <c:v>33.053542446246631</c:v>
                </c:pt>
                <c:pt idx="1106">
                  <c:v>33.053542446246631</c:v>
                </c:pt>
                <c:pt idx="1107">
                  <c:v>33.053542446246631</c:v>
                </c:pt>
                <c:pt idx="1108">
                  <c:v>33.053542446246631</c:v>
                </c:pt>
                <c:pt idx="1109">
                  <c:v>33.053542446246631</c:v>
                </c:pt>
                <c:pt idx="1110">
                  <c:v>33.053542446246631</c:v>
                </c:pt>
                <c:pt idx="1111">
                  <c:v>33.053542446246631</c:v>
                </c:pt>
                <c:pt idx="1112">
                  <c:v>50.75383375536623</c:v>
                </c:pt>
                <c:pt idx="1113">
                  <c:v>50.75383375536623</c:v>
                </c:pt>
                <c:pt idx="1114">
                  <c:v>50.75383375536623</c:v>
                </c:pt>
                <c:pt idx="1115">
                  <c:v>50.75383375536623</c:v>
                </c:pt>
                <c:pt idx="1116">
                  <c:v>50.75383375536623</c:v>
                </c:pt>
                <c:pt idx="1117">
                  <c:v>50.75383375536623</c:v>
                </c:pt>
                <c:pt idx="1118">
                  <c:v>50.75383375536623</c:v>
                </c:pt>
                <c:pt idx="1119">
                  <c:v>50.75383375536623</c:v>
                </c:pt>
                <c:pt idx="1120">
                  <c:v>59.915964498406019</c:v>
                </c:pt>
                <c:pt idx="1121">
                  <c:v>59.915964498406019</c:v>
                </c:pt>
                <c:pt idx="1122">
                  <c:v>59.915964498406019</c:v>
                </c:pt>
                <c:pt idx="1123">
                  <c:v>59.915964498406019</c:v>
                </c:pt>
                <c:pt idx="1124">
                  <c:v>59.915964498406019</c:v>
                </c:pt>
                <c:pt idx="1125">
                  <c:v>59.915964498406019</c:v>
                </c:pt>
                <c:pt idx="1126">
                  <c:v>59.915964498406019</c:v>
                </c:pt>
                <c:pt idx="1127">
                  <c:v>59.915964498406019</c:v>
                </c:pt>
                <c:pt idx="1128">
                  <c:v>59.915964498406019</c:v>
                </c:pt>
                <c:pt idx="1129">
                  <c:v>59.915964498406019</c:v>
                </c:pt>
                <c:pt idx="1130">
                  <c:v>59.915964498406019</c:v>
                </c:pt>
                <c:pt idx="1131">
                  <c:v>59.915964498406019</c:v>
                </c:pt>
                <c:pt idx="1132">
                  <c:v>59.915964498406019</c:v>
                </c:pt>
                <c:pt idx="1133">
                  <c:v>59.915964498406019</c:v>
                </c:pt>
                <c:pt idx="1134">
                  <c:v>59.915964498406019</c:v>
                </c:pt>
                <c:pt idx="1135">
                  <c:v>59.915964498406019</c:v>
                </c:pt>
                <c:pt idx="1136">
                  <c:v>59.915964498406019</c:v>
                </c:pt>
                <c:pt idx="1137">
                  <c:v>59.915964498406019</c:v>
                </c:pt>
                <c:pt idx="1138">
                  <c:v>59.915964498406019</c:v>
                </c:pt>
                <c:pt idx="1139">
                  <c:v>50.75383375536623</c:v>
                </c:pt>
                <c:pt idx="1140">
                  <c:v>50.75383375536623</c:v>
                </c:pt>
                <c:pt idx="1141">
                  <c:v>50.75383375536623</c:v>
                </c:pt>
                <c:pt idx="1142">
                  <c:v>50.75383375536623</c:v>
                </c:pt>
                <c:pt idx="1143">
                  <c:v>50.75383375536623</c:v>
                </c:pt>
                <c:pt idx="1144">
                  <c:v>50.75383375536623</c:v>
                </c:pt>
                <c:pt idx="1145">
                  <c:v>50.75383375536623</c:v>
                </c:pt>
                <c:pt idx="1146">
                  <c:v>50.75383375536623</c:v>
                </c:pt>
                <c:pt idx="1147">
                  <c:v>50.75383375536623</c:v>
                </c:pt>
                <c:pt idx="1148">
                  <c:v>50.75383375536623</c:v>
                </c:pt>
                <c:pt idx="1149">
                  <c:v>50.75383375536623</c:v>
                </c:pt>
                <c:pt idx="1150">
                  <c:v>50.75383375536623</c:v>
                </c:pt>
                <c:pt idx="1151">
                  <c:v>50.75383375536623</c:v>
                </c:pt>
                <c:pt idx="1152">
                  <c:v>50.75383375536623</c:v>
                </c:pt>
                <c:pt idx="1153">
                  <c:v>50.75383375536623</c:v>
                </c:pt>
                <c:pt idx="1154">
                  <c:v>50.75383375536623</c:v>
                </c:pt>
                <c:pt idx="1155">
                  <c:v>50.75383375536623</c:v>
                </c:pt>
                <c:pt idx="1156">
                  <c:v>50.75383375536623</c:v>
                </c:pt>
                <c:pt idx="1157">
                  <c:v>50.75383375536623</c:v>
                </c:pt>
                <c:pt idx="1158">
                  <c:v>50.75383375536623</c:v>
                </c:pt>
                <c:pt idx="1159">
                  <c:v>50.75383375536623</c:v>
                </c:pt>
                <c:pt idx="1160">
                  <c:v>50.75383375536623</c:v>
                </c:pt>
                <c:pt idx="1161">
                  <c:v>50.75383375536623</c:v>
                </c:pt>
                <c:pt idx="1162">
                  <c:v>50.75383375536623</c:v>
                </c:pt>
                <c:pt idx="1163">
                  <c:v>50.75383375536623</c:v>
                </c:pt>
                <c:pt idx="1164">
                  <c:v>50.75383375536623</c:v>
                </c:pt>
                <c:pt idx="1165">
                  <c:v>50.75383375536623</c:v>
                </c:pt>
                <c:pt idx="1166">
                  <c:v>50.75383375536623</c:v>
                </c:pt>
                <c:pt idx="1167">
                  <c:v>50.75383375536623</c:v>
                </c:pt>
                <c:pt idx="1168">
                  <c:v>50.75383375536623</c:v>
                </c:pt>
                <c:pt idx="1169">
                  <c:v>50.75383375536623</c:v>
                </c:pt>
                <c:pt idx="1170">
                  <c:v>50.75383375536623</c:v>
                </c:pt>
                <c:pt idx="1171">
                  <c:v>50.75383375536623</c:v>
                </c:pt>
                <c:pt idx="1172">
                  <c:v>50.75383375536623</c:v>
                </c:pt>
                <c:pt idx="1173">
                  <c:v>50.75383375536623</c:v>
                </c:pt>
                <c:pt idx="1174">
                  <c:v>50.75383375536623</c:v>
                </c:pt>
                <c:pt idx="1175">
                  <c:v>50.75383375536623</c:v>
                </c:pt>
                <c:pt idx="1176">
                  <c:v>50.75383375536623</c:v>
                </c:pt>
                <c:pt idx="1177">
                  <c:v>50.75383375536623</c:v>
                </c:pt>
                <c:pt idx="1178">
                  <c:v>50.75383375536623</c:v>
                </c:pt>
                <c:pt idx="1179">
                  <c:v>50.75383375536623</c:v>
                </c:pt>
                <c:pt idx="1180">
                  <c:v>50.75383375536623</c:v>
                </c:pt>
                <c:pt idx="1181">
                  <c:v>50.75383375536623</c:v>
                </c:pt>
                <c:pt idx="1182">
                  <c:v>50.75383375536623</c:v>
                </c:pt>
                <c:pt idx="1183">
                  <c:v>50.75383375536623</c:v>
                </c:pt>
                <c:pt idx="1184">
                  <c:v>50.75383375536623</c:v>
                </c:pt>
                <c:pt idx="1185">
                  <c:v>50.75383375536623</c:v>
                </c:pt>
                <c:pt idx="1186">
                  <c:v>50.75383375536623</c:v>
                </c:pt>
                <c:pt idx="1187">
                  <c:v>50.75383375536623</c:v>
                </c:pt>
                <c:pt idx="1188">
                  <c:v>50.75383375536623</c:v>
                </c:pt>
                <c:pt idx="1189">
                  <c:v>50.75383375536623</c:v>
                </c:pt>
                <c:pt idx="1190">
                  <c:v>50.75383375536623</c:v>
                </c:pt>
                <c:pt idx="1191">
                  <c:v>50.75383375536623</c:v>
                </c:pt>
                <c:pt idx="1192">
                  <c:v>50.75383375536623</c:v>
                </c:pt>
                <c:pt idx="1193">
                  <c:v>50.75383375536623</c:v>
                </c:pt>
                <c:pt idx="1194">
                  <c:v>50.75383375536623</c:v>
                </c:pt>
                <c:pt idx="1195">
                  <c:v>50.75383375536623</c:v>
                </c:pt>
                <c:pt idx="1196">
                  <c:v>50.75383375536623</c:v>
                </c:pt>
                <c:pt idx="1197">
                  <c:v>50.75383375536623</c:v>
                </c:pt>
                <c:pt idx="1198">
                  <c:v>50.75383375536623</c:v>
                </c:pt>
                <c:pt idx="1199">
                  <c:v>50.75383375536623</c:v>
                </c:pt>
                <c:pt idx="1200">
                  <c:v>50.75383375536623</c:v>
                </c:pt>
                <c:pt idx="1201">
                  <c:v>50.75383375536623</c:v>
                </c:pt>
                <c:pt idx="1202">
                  <c:v>50.75383375536623</c:v>
                </c:pt>
                <c:pt idx="1203">
                  <c:v>50.75383375536623</c:v>
                </c:pt>
                <c:pt idx="1204">
                  <c:v>50.75383375536623</c:v>
                </c:pt>
                <c:pt idx="1205">
                  <c:v>50.75383375536623</c:v>
                </c:pt>
                <c:pt idx="1206">
                  <c:v>50.75383375536623</c:v>
                </c:pt>
                <c:pt idx="1207">
                  <c:v>50.75383375536623</c:v>
                </c:pt>
                <c:pt idx="1208">
                  <c:v>50.75383375536623</c:v>
                </c:pt>
                <c:pt idx="1209">
                  <c:v>50.75383375536623</c:v>
                </c:pt>
                <c:pt idx="1210">
                  <c:v>29.761886767605532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722376"/>
        <c:axId val="505722768"/>
      </c:scatterChart>
      <c:valAx>
        <c:axId val="505722376"/>
        <c:scaling>
          <c:orientation val="minMax"/>
          <c:max val="2015"/>
          <c:min val="1990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Year of publication</a:t>
                </a:r>
              </a:p>
            </c:rich>
          </c:tx>
          <c:overlay val="0"/>
        </c:title>
        <c:numFmt formatCode="0" sourceLinked="1"/>
        <c:majorTickMark val="out"/>
        <c:minorTickMark val="out"/>
        <c:tickLblPos val="nextTo"/>
        <c:crossAx val="505722768"/>
        <c:crosses val="autoZero"/>
        <c:crossBetween val="midCat"/>
      </c:valAx>
      <c:valAx>
        <c:axId val="505722768"/>
        <c:scaling>
          <c:orientation val="minMax"/>
          <c:min val="-10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Dollar per tonne of carbon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5057223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1349248383152609"/>
          <c:y val="2.7643785335722454E-2"/>
          <c:w val="0.15823204171921251"/>
          <c:h val="0.1900251901335518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>
          <a:latin typeface="Times New Roman" pitchFamily="18" charset="0"/>
          <a:cs typeface="Times New Roman" pitchFamily="18" charset="0"/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79307521523608E-2"/>
          <c:y val="2.901386293718099E-2"/>
          <c:w val="0.77038176749418585"/>
          <c:h val="0.87049138066309795"/>
        </c:manualLayout>
      </c:layout>
      <c:barChart>
        <c:barDir val="col"/>
        <c:grouping val="clustered"/>
        <c:varyColors val="0"/>
        <c:ser>
          <c:idx val="0"/>
          <c:order val="0"/>
          <c:tx>
            <c:v>Studies</c:v>
          </c:tx>
          <c:spPr>
            <a:solidFill>
              <a:schemeClr val="accent1"/>
            </a:solidFill>
            <a:ln w="31750">
              <a:solidFill>
                <a:schemeClr val="accent1"/>
              </a:solidFill>
            </a:ln>
          </c:spPr>
          <c:invertIfNegative val="0"/>
          <c:cat>
            <c:numRef>
              <c:f>frequence!$A$2:$A$35</c:f>
              <c:numCache>
                <c:formatCode>General</c:formatCod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</c:numCache>
            </c:numRef>
          </c:cat>
          <c:val>
            <c:numRef>
              <c:f>frequence!$B$2:$B$35</c:f>
              <c:numCache>
                <c:formatCode>General</c:formatCode>
                <c:ptCount val="3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2</c:v>
                </c:pt>
                <c:pt idx="16">
                  <c:v>0</c:v>
                </c:pt>
                <c:pt idx="17">
                  <c:v>3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3</c:v>
                </c:pt>
                <c:pt idx="22">
                  <c:v>5</c:v>
                </c:pt>
                <c:pt idx="23">
                  <c:v>4</c:v>
                </c:pt>
                <c:pt idx="24">
                  <c:v>6</c:v>
                </c:pt>
                <c:pt idx="25">
                  <c:v>1</c:v>
                </c:pt>
                <c:pt idx="26">
                  <c:v>3</c:v>
                </c:pt>
                <c:pt idx="27">
                  <c:v>5</c:v>
                </c:pt>
                <c:pt idx="28">
                  <c:v>6</c:v>
                </c:pt>
                <c:pt idx="29">
                  <c:v>8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505723552"/>
        <c:axId val="357627648"/>
      </c:barChart>
      <c:barChart>
        <c:barDir val="col"/>
        <c:grouping val="clustered"/>
        <c:varyColors val="0"/>
        <c:ser>
          <c:idx val="1"/>
          <c:order val="1"/>
          <c:tx>
            <c:v>Estimates</c:v>
          </c:tx>
          <c:spPr>
            <a:solidFill>
              <a:schemeClr val="accent2">
                <a:alpha val="50000"/>
              </a:schemeClr>
            </a:solidFill>
            <a:ln w="31750">
              <a:solidFill>
                <a:schemeClr val="accent2"/>
              </a:solidFill>
            </a:ln>
          </c:spPr>
          <c:invertIfNegative val="0"/>
          <c:cat>
            <c:numRef>
              <c:f>frequence!$A$2:$A$35</c:f>
              <c:numCache>
                <c:formatCode>General</c:formatCod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</c:numCache>
            </c:numRef>
          </c:cat>
          <c:val>
            <c:numRef>
              <c:f>frequence!$C$2:$C$35</c:f>
              <c:numCache>
                <c:formatCode>General</c:formatCode>
                <c:ptCount val="34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4</c:v>
                </c:pt>
                <c:pt idx="11">
                  <c:v>99</c:v>
                </c:pt>
                <c:pt idx="12">
                  <c:v>5</c:v>
                </c:pt>
                <c:pt idx="13">
                  <c:v>3</c:v>
                </c:pt>
                <c:pt idx="14">
                  <c:v>34</c:v>
                </c:pt>
                <c:pt idx="15">
                  <c:v>3</c:v>
                </c:pt>
                <c:pt idx="16">
                  <c:v>0</c:v>
                </c:pt>
                <c:pt idx="17">
                  <c:v>35</c:v>
                </c:pt>
                <c:pt idx="18">
                  <c:v>1</c:v>
                </c:pt>
                <c:pt idx="19">
                  <c:v>4</c:v>
                </c:pt>
                <c:pt idx="20">
                  <c:v>1</c:v>
                </c:pt>
                <c:pt idx="21">
                  <c:v>11</c:v>
                </c:pt>
                <c:pt idx="22">
                  <c:v>26</c:v>
                </c:pt>
                <c:pt idx="23">
                  <c:v>14</c:v>
                </c:pt>
                <c:pt idx="24">
                  <c:v>71</c:v>
                </c:pt>
                <c:pt idx="25">
                  <c:v>2</c:v>
                </c:pt>
                <c:pt idx="26">
                  <c:v>19</c:v>
                </c:pt>
                <c:pt idx="27">
                  <c:v>57</c:v>
                </c:pt>
                <c:pt idx="28">
                  <c:v>25</c:v>
                </c:pt>
                <c:pt idx="29">
                  <c:v>131</c:v>
                </c:pt>
                <c:pt idx="30">
                  <c:v>230</c:v>
                </c:pt>
                <c:pt idx="31">
                  <c:v>110</c:v>
                </c:pt>
                <c:pt idx="32">
                  <c:v>244</c:v>
                </c:pt>
                <c:pt idx="33">
                  <c:v>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57628432"/>
        <c:axId val="357628040"/>
      </c:barChart>
      <c:lineChart>
        <c:grouping val="standard"/>
        <c:varyColors val="0"/>
        <c:ser>
          <c:idx val="2"/>
          <c:order val="2"/>
          <c:tx>
            <c:v>Estimates per study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cat>
            <c:numRef>
              <c:f>frequence!$A$2:$A$35</c:f>
              <c:numCache>
                <c:formatCode>General</c:formatCod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</c:numCache>
            </c:numRef>
          </c:cat>
          <c:val>
            <c:numRef>
              <c:f>frequence!$D$2:$D$35</c:f>
              <c:numCache>
                <c:formatCode>General</c:formatCode>
                <c:ptCount val="34"/>
                <c:pt idx="0">
                  <c:v>2</c:v>
                </c:pt>
                <c:pt idx="9">
                  <c:v>5</c:v>
                </c:pt>
                <c:pt idx="10">
                  <c:v>1</c:v>
                </c:pt>
                <c:pt idx="11">
                  <c:v>19.8</c:v>
                </c:pt>
                <c:pt idx="12">
                  <c:v>1.6666666666666667</c:v>
                </c:pt>
                <c:pt idx="13">
                  <c:v>1.5</c:v>
                </c:pt>
                <c:pt idx="14">
                  <c:v>5.666666666666667</c:v>
                </c:pt>
                <c:pt idx="15">
                  <c:v>1.5</c:v>
                </c:pt>
                <c:pt idx="17">
                  <c:v>11.666666666666666</c:v>
                </c:pt>
                <c:pt idx="18">
                  <c:v>1</c:v>
                </c:pt>
                <c:pt idx="19">
                  <c:v>4</c:v>
                </c:pt>
                <c:pt idx="20">
                  <c:v>1</c:v>
                </c:pt>
                <c:pt idx="21">
                  <c:v>3.6666666666666665</c:v>
                </c:pt>
                <c:pt idx="22">
                  <c:v>5.2</c:v>
                </c:pt>
                <c:pt idx="23">
                  <c:v>3.5</c:v>
                </c:pt>
                <c:pt idx="24">
                  <c:v>11.833333333333334</c:v>
                </c:pt>
                <c:pt idx="25">
                  <c:v>2</c:v>
                </c:pt>
                <c:pt idx="26">
                  <c:v>6.333333333333333</c:v>
                </c:pt>
                <c:pt idx="27">
                  <c:v>11.4</c:v>
                </c:pt>
                <c:pt idx="28">
                  <c:v>4.166666666666667</c:v>
                </c:pt>
                <c:pt idx="29">
                  <c:v>16.375</c:v>
                </c:pt>
                <c:pt idx="30">
                  <c:v>23</c:v>
                </c:pt>
                <c:pt idx="31">
                  <c:v>10</c:v>
                </c:pt>
                <c:pt idx="32">
                  <c:v>20.333333333333332</c:v>
                </c:pt>
                <c:pt idx="33">
                  <c:v>10.285714285714286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723552"/>
        <c:axId val="357627648"/>
      </c:lineChart>
      <c:catAx>
        <c:axId val="50572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57627648"/>
        <c:crosses val="autoZero"/>
        <c:auto val="1"/>
        <c:lblAlgn val="ctr"/>
        <c:lblOffset val="100"/>
        <c:tickLblSkip val="1"/>
        <c:noMultiLvlLbl val="0"/>
      </c:catAx>
      <c:valAx>
        <c:axId val="357627648"/>
        <c:scaling>
          <c:orientation val="minMax"/>
          <c:max val="2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studies, number of estimates per study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723552"/>
        <c:crosses val="autoZero"/>
        <c:crossBetween val="between"/>
      </c:valAx>
      <c:valAx>
        <c:axId val="357628040"/>
        <c:scaling>
          <c:orientation val="minMax"/>
          <c:max val="25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estimates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628432"/>
        <c:crosses val="max"/>
        <c:crossBetween val="between"/>
      </c:valAx>
      <c:catAx>
        <c:axId val="357628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57628040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8.0934717367176501E-2"/>
          <c:y val="3.8326478566050384E-2"/>
          <c:w val="0.21729407307674631"/>
          <c:h val="0.15718009950511191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 b="0">
          <a:latin typeface="Times New Roman" pitchFamily="18" charset="0"/>
          <a:cs typeface="Times New Roman" pitchFamily="18" charset="0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frequence!$B$1</c:f>
              <c:strCache>
                <c:ptCount val="1"/>
                <c:pt idx="0">
                  <c:v>papers</c:v>
                </c:pt>
              </c:strCache>
            </c:strRef>
          </c:tx>
          <c:spPr>
            <a:ln w="38100">
              <a:solidFill>
                <a:schemeClr val="accent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frequence!$A$11:$A$35</c:f>
              <c:numCache>
                <c:formatCode>General</c:formatCode>
                <c:ptCount val="25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</c:numCache>
            </c:numRef>
          </c:cat>
          <c:val>
            <c:numRef>
              <c:f>frequence!$K$11:$K$35</c:f>
              <c:numCache>
                <c:formatCode>0</c:formatCode>
                <c:ptCount val="25"/>
                <c:pt idx="0">
                  <c:v>302.91688828027304</c:v>
                </c:pt>
                <c:pt idx="1">
                  <c:v>24.898629037440497</c:v>
                </c:pt>
                <c:pt idx="2">
                  <c:v>28.094581622231551</c:v>
                </c:pt>
                <c:pt idx="3">
                  <c:v>0.27779376039752229</c:v>
                </c:pt>
                <c:pt idx="4">
                  <c:v>0.28532312052241937</c:v>
                </c:pt>
                <c:pt idx="5">
                  <c:v>0.29150512146707191</c:v>
                </c:pt>
                <c:pt idx="6">
                  <c:v>0.54068731338998477</c:v>
                </c:pt>
                <c:pt idx="7">
                  <c:v>0.54068731338998477</c:v>
                </c:pt>
                <c:pt idx="8">
                  <c:v>0.57480720321912437</c:v>
                </c:pt>
                <c:pt idx="9">
                  <c:v>1.1108580159006192</c:v>
                </c:pt>
                <c:pt idx="10">
                  <c:v>1.1317817114055975</c:v>
                </c:pt>
                <c:pt idx="11">
                  <c:v>1.2154764934255065</c:v>
                </c:pt>
                <c:pt idx="12">
                  <c:v>1.2364001889304839</c:v>
                </c:pt>
                <c:pt idx="13">
                  <c:v>1.4389796045014025</c:v>
                </c:pt>
                <c:pt idx="14">
                  <c:v>5.2330043573314997</c:v>
                </c:pt>
                <c:pt idx="15">
                  <c:v>5.2950026937283488</c:v>
                </c:pt>
                <c:pt idx="16">
                  <c:v>2.9581860189791218</c:v>
                </c:pt>
                <c:pt idx="17">
                  <c:v>2.9831825211457392</c:v>
                </c:pt>
                <c:pt idx="18">
                  <c:v>3.3073014644850907</c:v>
                </c:pt>
                <c:pt idx="19">
                  <c:v>1.4741694560324998</c:v>
                </c:pt>
                <c:pt idx="20">
                  <c:v>2.1388579511305732</c:v>
                </c:pt>
                <c:pt idx="21">
                  <c:v>3.8191206393393822</c:v>
                </c:pt>
                <c:pt idx="22">
                  <c:v>7.3617115683267258</c:v>
                </c:pt>
                <c:pt idx="23">
                  <c:v>9.9751715831189358</c:v>
                </c:pt>
                <c:pt idx="24">
                  <c:v>12.697082100333608</c:v>
                </c:pt>
              </c:numCache>
            </c:numRef>
          </c:val>
          <c:smooth val="0"/>
        </c:ser>
        <c:ser>
          <c:idx val="1"/>
          <c:order val="1"/>
          <c:spPr>
            <a:ln w="2540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frequence!$A$11:$A$35</c:f>
              <c:numCache>
                <c:formatCode>General</c:formatCode>
                <c:ptCount val="25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</c:numCache>
            </c:numRef>
          </c:cat>
          <c:val>
            <c:numRef>
              <c:f>frequence!$L$11:$L$35</c:f>
              <c:numCache>
                <c:formatCode>0</c:formatCode>
                <c:ptCount val="25"/>
                <c:pt idx="0">
                  <c:v>608.87816739753373</c:v>
                </c:pt>
                <c:pt idx="1">
                  <c:v>167.40528749135353</c:v>
                </c:pt>
                <c:pt idx="2">
                  <c:v>191.34520119916542</c:v>
                </c:pt>
                <c:pt idx="3">
                  <c:v>15.93092439465299</c:v>
                </c:pt>
                <c:pt idx="4">
                  <c:v>17.290762510300446</c:v>
                </c:pt>
                <c:pt idx="5">
                  <c:v>18.632669458936146</c:v>
                </c:pt>
                <c:pt idx="6">
                  <c:v>28.394272714827164</c:v>
                </c:pt>
                <c:pt idx="7">
                  <c:v>28.394272714827164</c:v>
                </c:pt>
                <c:pt idx="8">
                  <c:v>28.394272714827164</c:v>
                </c:pt>
                <c:pt idx="9">
                  <c:v>29.827011246309265</c:v>
                </c:pt>
                <c:pt idx="10">
                  <c:v>29.761886767605532</c:v>
                </c:pt>
                <c:pt idx="11">
                  <c:v>29.761886767605532</c:v>
                </c:pt>
                <c:pt idx="12">
                  <c:v>29.827011246309265</c:v>
                </c:pt>
                <c:pt idx="13">
                  <c:v>29.761886767605532</c:v>
                </c:pt>
                <c:pt idx="14">
                  <c:v>72.06588395020114</c:v>
                </c:pt>
                <c:pt idx="15">
                  <c:v>71.097990738484512</c:v>
                </c:pt>
                <c:pt idx="16">
                  <c:v>36.860454946312331</c:v>
                </c:pt>
                <c:pt idx="17">
                  <c:v>38.010308287591222</c:v>
                </c:pt>
                <c:pt idx="18">
                  <c:v>37.435381616951773</c:v>
                </c:pt>
                <c:pt idx="19">
                  <c:v>33.819341167042261</c:v>
                </c:pt>
                <c:pt idx="20">
                  <c:v>33.053542446246631</c:v>
                </c:pt>
                <c:pt idx="21">
                  <c:v>41.545638202606931</c:v>
                </c:pt>
                <c:pt idx="22">
                  <c:v>46.610663652887361</c:v>
                </c:pt>
                <c:pt idx="23">
                  <c:v>50.75383375536623</c:v>
                </c:pt>
                <c:pt idx="24">
                  <c:v>59.915964498406019</c:v>
                </c:pt>
              </c:numCache>
            </c:numRef>
          </c:val>
          <c:smooth val="0"/>
        </c:ser>
        <c:ser>
          <c:idx val="2"/>
          <c:order val="2"/>
          <c:spPr>
            <a:ln w="2540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frequence!$A$11:$A$35</c:f>
              <c:numCache>
                <c:formatCode>General</c:formatCode>
                <c:ptCount val="25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</c:numCache>
            </c:numRef>
          </c:cat>
          <c:val>
            <c:numRef>
              <c:f>frequence!$M$11:$M$35</c:f>
              <c:numCache>
                <c:formatCode>0</c:formatCode>
                <c:ptCount val="25"/>
                <c:pt idx="0">
                  <c:v>914.83944651479442</c:v>
                </c:pt>
                <c:pt idx="1">
                  <c:v>683.10236828102006</c:v>
                </c:pt>
                <c:pt idx="2">
                  <c:v>780.68842089259488</c:v>
                </c:pt>
                <c:pt idx="3">
                  <c:v>79.59984291482354</c:v>
                </c:pt>
                <c:pt idx="4">
                  <c:v>110.56050466440421</c:v>
                </c:pt>
                <c:pt idx="5">
                  <c:v>112.20229674036523</c:v>
                </c:pt>
                <c:pt idx="6">
                  <c:v>197.31888837074524</c:v>
                </c:pt>
                <c:pt idx="7">
                  <c:v>197.31888837074524</c:v>
                </c:pt>
                <c:pt idx="8">
                  <c:v>186.16901967856262</c:v>
                </c:pt>
                <c:pt idx="9">
                  <c:v>282.69053499300935</c:v>
                </c:pt>
                <c:pt idx="10">
                  <c:v>278.80118935435661</c:v>
                </c:pt>
                <c:pt idx="11">
                  <c:v>263.24380679974507</c:v>
                </c:pt>
                <c:pt idx="12">
                  <c:v>259.35446116109233</c:v>
                </c:pt>
                <c:pt idx="13">
                  <c:v>239.58577159610638</c:v>
                </c:pt>
                <c:pt idx="14">
                  <c:v>523.86420294178538</c:v>
                </c:pt>
                <c:pt idx="15">
                  <c:v>500.74918436144497</c:v>
                </c:pt>
                <c:pt idx="16">
                  <c:v>220.46463902820841</c:v>
                </c:pt>
                <c:pt idx="17">
                  <c:v>219.75327049269208</c:v>
                </c:pt>
                <c:pt idx="18">
                  <c:v>226.95522031937912</c:v>
                </c:pt>
                <c:pt idx="19">
                  <c:v>191.46239168394251</c:v>
                </c:pt>
                <c:pt idx="20">
                  <c:v>182.11948132765423</c:v>
                </c:pt>
                <c:pt idx="21">
                  <c:v>265.64322815143237</c:v>
                </c:pt>
                <c:pt idx="22">
                  <c:v>214.81113443396845</c:v>
                </c:pt>
                <c:pt idx="23">
                  <c:v>236.05429056976001</c:v>
                </c:pt>
                <c:pt idx="24">
                  <c:v>262.07305844619424</c:v>
                </c:pt>
              </c:numCache>
            </c:numRef>
          </c:val>
          <c:smooth val="0"/>
        </c:ser>
        <c:ser>
          <c:idx val="3"/>
          <c:order val="3"/>
          <c:spPr>
            <a:ln>
              <a:noFill/>
            </a:ln>
          </c:spPr>
          <c:marker>
            <c:symbol val="circle"/>
            <c:size val="9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frequence!$G$11:$G$35</c:f>
                <c:numCache>
                  <c:formatCode>General</c:formatCode>
                  <c:ptCount val="25"/>
                  <c:pt idx="0">
                    <c:v>174.8730794741636</c:v>
                  </c:pt>
                  <c:pt idx="1">
                    <c:v>1591.8486248156162</c:v>
                  </c:pt>
                  <c:pt idx="2">
                    <c:v>713.79301329552493</c:v>
                  </c:pt>
                  <c:pt idx="3">
                    <c:v>418.42065258127161</c:v>
                  </c:pt>
                  <c:pt idx="4">
                    <c:v>107.67224017112973</c:v>
                  </c:pt>
                  <c:pt idx="5">
                    <c:v>397.05852960195472</c:v>
                  </c:pt>
                  <c:pt idx="6">
                    <c:v>66.305759603345621</c:v>
                  </c:pt>
                  <c:pt idx="8">
                    <c:v>173.33293162056287</c:v>
                  </c:pt>
                  <c:pt idx="9">
                    <c:v>0</c:v>
                  </c:pt>
                  <c:pt idx="10">
                    <c:v>31.001866784495132</c:v>
                  </c:pt>
                  <c:pt idx="11">
                    <c:v>0</c:v>
                  </c:pt>
                  <c:pt idx="12">
                    <c:v>63.934355977645481</c:v>
                  </c:pt>
                  <c:pt idx="13">
                    <c:v>286.00230586115987</c:v>
                  </c:pt>
                  <c:pt idx="14">
                    <c:v>25.735200219570775</c:v>
                  </c:pt>
                  <c:pt idx="15">
                    <c:v>560.72277504664464</c:v>
                  </c:pt>
                  <c:pt idx="16">
                    <c:v>13.487528747209607</c:v>
                  </c:pt>
                  <c:pt idx="17">
                    <c:v>264.54343188215307</c:v>
                  </c:pt>
                  <c:pt idx="18">
                    <c:v>80.643931448541281</c:v>
                  </c:pt>
                  <c:pt idx="19">
                    <c:v>68.353987332839225</c:v>
                  </c:pt>
                  <c:pt idx="20">
                    <c:v>879.80621540219909</c:v>
                  </c:pt>
                  <c:pt idx="21">
                    <c:v>163.35669832849692</c:v>
                  </c:pt>
                  <c:pt idx="22">
                    <c:v>768.16887956179642</c:v>
                  </c:pt>
                  <c:pt idx="23">
                    <c:v>6890.6023247039502</c:v>
                  </c:pt>
                  <c:pt idx="24">
                    <c:v>299.19637874468157</c:v>
                  </c:pt>
                </c:numCache>
              </c:numRef>
            </c:plus>
            <c:minus>
              <c:numRef>
                <c:f>frequence!$G$11:$G$35</c:f>
                <c:numCache>
                  <c:formatCode>General</c:formatCode>
                  <c:ptCount val="25"/>
                  <c:pt idx="0">
                    <c:v>174.8730794741636</c:v>
                  </c:pt>
                  <c:pt idx="1">
                    <c:v>1591.8486248156162</c:v>
                  </c:pt>
                  <c:pt idx="2">
                    <c:v>713.79301329552493</c:v>
                  </c:pt>
                  <c:pt idx="3">
                    <c:v>418.42065258127161</c:v>
                  </c:pt>
                  <c:pt idx="4">
                    <c:v>107.67224017112973</c:v>
                  </c:pt>
                  <c:pt idx="5">
                    <c:v>397.05852960195472</c:v>
                  </c:pt>
                  <c:pt idx="6">
                    <c:v>66.305759603345621</c:v>
                  </c:pt>
                  <c:pt idx="8">
                    <c:v>173.33293162056287</c:v>
                  </c:pt>
                  <c:pt idx="9">
                    <c:v>0</c:v>
                  </c:pt>
                  <c:pt idx="10">
                    <c:v>31.001866784495132</c:v>
                  </c:pt>
                  <c:pt idx="11">
                    <c:v>0</c:v>
                  </c:pt>
                  <c:pt idx="12">
                    <c:v>63.934355977645481</c:v>
                  </c:pt>
                  <c:pt idx="13">
                    <c:v>286.00230586115987</c:v>
                  </c:pt>
                  <c:pt idx="14">
                    <c:v>25.735200219570775</c:v>
                  </c:pt>
                  <c:pt idx="15">
                    <c:v>560.72277504664464</c:v>
                  </c:pt>
                  <c:pt idx="16">
                    <c:v>13.487528747209607</c:v>
                  </c:pt>
                  <c:pt idx="17">
                    <c:v>264.54343188215307</c:v>
                  </c:pt>
                  <c:pt idx="18">
                    <c:v>80.643931448541281</c:v>
                  </c:pt>
                  <c:pt idx="19">
                    <c:v>68.353987332839225</c:v>
                  </c:pt>
                  <c:pt idx="20">
                    <c:v>879.80621540219909</c:v>
                  </c:pt>
                  <c:pt idx="21">
                    <c:v>163.35669832849692</c:v>
                  </c:pt>
                  <c:pt idx="22">
                    <c:v>768.16887956179642</c:v>
                  </c:pt>
                  <c:pt idx="23">
                    <c:v>6890.6023247039502</c:v>
                  </c:pt>
                  <c:pt idx="24">
                    <c:v>299.19637874468157</c:v>
                  </c:pt>
                </c:numCache>
              </c:numRef>
            </c:minus>
            <c:spPr>
              <a:ln w="19050">
                <a:headEnd w="lg" len="lg"/>
                <a:tailEnd w="lg" len="lg"/>
              </a:ln>
            </c:spPr>
          </c:errBars>
          <c:cat>
            <c:numRef>
              <c:f>frequence!$A$11:$A$35</c:f>
              <c:numCache>
                <c:formatCode>General</c:formatCode>
                <c:ptCount val="25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</c:numCache>
            </c:numRef>
          </c:cat>
          <c:val>
            <c:numRef>
              <c:f>frequence!$E$11:$E$35</c:f>
              <c:numCache>
                <c:formatCode>0</c:formatCode>
                <c:ptCount val="25"/>
                <c:pt idx="0">
                  <c:v>145.7549000763251</c:v>
                </c:pt>
                <c:pt idx="1">
                  <c:v>998.13918249316691</c:v>
                </c:pt>
                <c:pt idx="2">
                  <c:v>149.85196541087836</c:v>
                </c:pt>
                <c:pt idx="3">
                  <c:v>349.57831616003779</c:v>
                </c:pt>
                <c:pt idx="4">
                  <c:v>101.32873006763278</c:v>
                </c:pt>
                <c:pt idx="5">
                  <c:v>253.21082634647203</c:v>
                </c:pt>
                <c:pt idx="6">
                  <c:v>64.128515399905623</c:v>
                </c:pt>
                <c:pt idx="8">
                  <c:v>176.54846305695199</c:v>
                </c:pt>
                <c:pt idx="9">
                  <c:v>12.328877586942637</c:v>
                </c:pt>
                <c:pt idx="10">
                  <c:v>36.066004993376836</c:v>
                </c:pt>
                <c:pt idx="11">
                  <c:v>149.34372740092297</c:v>
                </c:pt>
                <c:pt idx="12">
                  <c:v>44.964020734644151</c:v>
                </c:pt>
                <c:pt idx="13">
                  <c:v>204.78310276064062</c:v>
                </c:pt>
                <c:pt idx="14">
                  <c:v>35.412151678392043</c:v>
                </c:pt>
                <c:pt idx="15">
                  <c:v>192.7729546537665</c:v>
                </c:pt>
                <c:pt idx="16">
                  <c:v>148.36281621930772</c:v>
                </c:pt>
                <c:pt idx="17">
                  <c:v>148.15911504906512</c:v>
                </c:pt>
                <c:pt idx="18">
                  <c:v>55.924155754216251</c:v>
                </c:pt>
                <c:pt idx="19">
                  <c:v>57.641126849275253</c:v>
                </c:pt>
                <c:pt idx="20">
                  <c:v>333.21302487383099</c:v>
                </c:pt>
                <c:pt idx="21">
                  <c:v>106.79507908195839</c:v>
                </c:pt>
                <c:pt idx="22">
                  <c:v>292.63422104263151</c:v>
                </c:pt>
                <c:pt idx="23">
                  <c:v>842.25018689809838</c:v>
                </c:pt>
                <c:pt idx="24">
                  <c:v>170.87722731057602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629216"/>
        <c:axId val="391419664"/>
      </c:lineChart>
      <c:catAx>
        <c:axId val="357629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91419664"/>
        <c:crosses val="autoZero"/>
        <c:auto val="1"/>
        <c:lblAlgn val="ctr"/>
        <c:lblOffset val="100"/>
        <c:noMultiLvlLbl val="0"/>
      </c:catAx>
      <c:valAx>
        <c:axId val="391419664"/>
        <c:scaling>
          <c:orientation val="minMax"/>
          <c:max val="2500"/>
          <c:min val="-50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357629216"/>
        <c:crosses val="autoZero"/>
        <c:crossBetween val="between"/>
      </c:valAx>
    </c:plotArea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frequence!$B$1</c:f>
              <c:strCache>
                <c:ptCount val="1"/>
                <c:pt idx="0">
                  <c:v>papers</c:v>
                </c:pt>
              </c:strCache>
            </c:strRef>
          </c:tx>
          <c:spPr>
            <a:ln w="3810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cat>
            <c:numRef>
              <c:f>frequence!$A$11:$A$35</c:f>
              <c:numCache>
                <c:formatCode>General</c:formatCode>
                <c:ptCount val="25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</c:numCache>
            </c:numRef>
          </c:cat>
          <c:val>
            <c:numRef>
              <c:f>frequence!$K$11:$K$35</c:f>
              <c:numCache>
                <c:formatCode>0</c:formatCode>
                <c:ptCount val="25"/>
                <c:pt idx="0">
                  <c:v>302.91688828027304</c:v>
                </c:pt>
                <c:pt idx="1">
                  <c:v>24.898629037440497</c:v>
                </c:pt>
                <c:pt idx="2">
                  <c:v>28.094581622231551</c:v>
                </c:pt>
                <c:pt idx="3">
                  <c:v>0.27779376039752229</c:v>
                </c:pt>
                <c:pt idx="4">
                  <c:v>0.28532312052241937</c:v>
                </c:pt>
                <c:pt idx="5">
                  <c:v>0.29150512146707191</c:v>
                </c:pt>
                <c:pt idx="6">
                  <c:v>0.54068731338998477</c:v>
                </c:pt>
                <c:pt idx="7">
                  <c:v>0.54068731338998477</c:v>
                </c:pt>
                <c:pt idx="8">
                  <c:v>0.57480720321912437</c:v>
                </c:pt>
                <c:pt idx="9">
                  <c:v>1.1108580159006192</c:v>
                </c:pt>
                <c:pt idx="10">
                  <c:v>1.1317817114055975</c:v>
                </c:pt>
                <c:pt idx="11">
                  <c:v>1.2154764934255065</c:v>
                </c:pt>
                <c:pt idx="12">
                  <c:v>1.2364001889304839</c:v>
                </c:pt>
                <c:pt idx="13">
                  <c:v>1.4389796045014025</c:v>
                </c:pt>
                <c:pt idx="14">
                  <c:v>5.2330043573314997</c:v>
                </c:pt>
                <c:pt idx="15">
                  <c:v>5.2950026937283488</c:v>
                </c:pt>
                <c:pt idx="16">
                  <c:v>2.9581860189791218</c:v>
                </c:pt>
                <c:pt idx="17">
                  <c:v>2.9831825211457392</c:v>
                </c:pt>
                <c:pt idx="18">
                  <c:v>3.3073014644850907</c:v>
                </c:pt>
                <c:pt idx="19">
                  <c:v>1.4741694560324998</c:v>
                </c:pt>
                <c:pt idx="20">
                  <c:v>2.1388579511305732</c:v>
                </c:pt>
                <c:pt idx="21">
                  <c:v>3.8191206393393822</c:v>
                </c:pt>
                <c:pt idx="22">
                  <c:v>7.3617115683267258</c:v>
                </c:pt>
                <c:pt idx="23">
                  <c:v>9.9751715831189358</c:v>
                </c:pt>
                <c:pt idx="24">
                  <c:v>12.697082100333608</c:v>
                </c:pt>
              </c:numCache>
            </c:numRef>
          </c:val>
          <c:smooth val="0"/>
        </c:ser>
        <c:ser>
          <c:idx val="1"/>
          <c:order val="1"/>
          <c:spPr>
            <a:ln w="508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frequence!$A$11:$A$35</c:f>
              <c:numCache>
                <c:formatCode>General</c:formatCode>
                <c:ptCount val="25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</c:numCache>
            </c:numRef>
          </c:cat>
          <c:val>
            <c:numRef>
              <c:f>frequence!$L$11:$L$35</c:f>
              <c:numCache>
                <c:formatCode>0</c:formatCode>
                <c:ptCount val="25"/>
                <c:pt idx="0">
                  <c:v>608.87816739753373</c:v>
                </c:pt>
                <c:pt idx="1">
                  <c:v>167.40528749135353</c:v>
                </c:pt>
                <c:pt idx="2">
                  <c:v>191.34520119916542</c:v>
                </c:pt>
                <c:pt idx="3">
                  <c:v>15.93092439465299</c:v>
                </c:pt>
                <c:pt idx="4">
                  <c:v>17.290762510300446</c:v>
                </c:pt>
                <c:pt idx="5">
                  <c:v>18.632669458936146</c:v>
                </c:pt>
                <c:pt idx="6">
                  <c:v>28.394272714827164</c:v>
                </c:pt>
                <c:pt idx="7">
                  <c:v>28.394272714827164</c:v>
                </c:pt>
                <c:pt idx="8">
                  <c:v>28.394272714827164</c:v>
                </c:pt>
                <c:pt idx="9">
                  <c:v>29.827011246309265</c:v>
                </c:pt>
                <c:pt idx="10">
                  <c:v>29.761886767605532</c:v>
                </c:pt>
                <c:pt idx="11">
                  <c:v>29.761886767605532</c:v>
                </c:pt>
                <c:pt idx="12">
                  <c:v>29.827011246309265</c:v>
                </c:pt>
                <c:pt idx="13">
                  <c:v>29.761886767605532</c:v>
                </c:pt>
                <c:pt idx="14">
                  <c:v>72.06588395020114</c:v>
                </c:pt>
                <c:pt idx="15">
                  <c:v>71.097990738484512</c:v>
                </c:pt>
                <c:pt idx="16">
                  <c:v>36.860454946312331</c:v>
                </c:pt>
                <c:pt idx="17">
                  <c:v>38.010308287591222</c:v>
                </c:pt>
                <c:pt idx="18">
                  <c:v>37.435381616951773</c:v>
                </c:pt>
                <c:pt idx="19">
                  <c:v>33.819341167042261</c:v>
                </c:pt>
                <c:pt idx="20">
                  <c:v>33.053542446246631</c:v>
                </c:pt>
                <c:pt idx="21">
                  <c:v>41.545638202606931</c:v>
                </c:pt>
                <c:pt idx="22">
                  <c:v>46.610663652887361</c:v>
                </c:pt>
                <c:pt idx="23">
                  <c:v>50.75383375536623</c:v>
                </c:pt>
                <c:pt idx="24">
                  <c:v>59.915964498406019</c:v>
                </c:pt>
              </c:numCache>
            </c:numRef>
          </c:val>
          <c:smooth val="0"/>
        </c:ser>
        <c:ser>
          <c:idx val="2"/>
          <c:order val="2"/>
          <c:spPr>
            <a:ln w="5080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cat>
            <c:numRef>
              <c:f>frequence!$A$11:$A$35</c:f>
              <c:numCache>
                <c:formatCode>General</c:formatCode>
                <c:ptCount val="25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</c:numCache>
            </c:numRef>
          </c:cat>
          <c:val>
            <c:numRef>
              <c:f>frequence!$M$11:$M$35</c:f>
              <c:numCache>
                <c:formatCode>0</c:formatCode>
                <c:ptCount val="25"/>
                <c:pt idx="0">
                  <c:v>914.83944651479442</c:v>
                </c:pt>
                <c:pt idx="1">
                  <c:v>683.10236828102006</c:v>
                </c:pt>
                <c:pt idx="2">
                  <c:v>780.68842089259488</c:v>
                </c:pt>
                <c:pt idx="3">
                  <c:v>79.59984291482354</c:v>
                </c:pt>
                <c:pt idx="4">
                  <c:v>110.56050466440421</c:v>
                </c:pt>
                <c:pt idx="5">
                  <c:v>112.20229674036523</c:v>
                </c:pt>
                <c:pt idx="6">
                  <c:v>197.31888837074524</c:v>
                </c:pt>
                <c:pt idx="7">
                  <c:v>197.31888837074524</c:v>
                </c:pt>
                <c:pt idx="8">
                  <c:v>186.16901967856262</c:v>
                </c:pt>
                <c:pt idx="9">
                  <c:v>282.69053499300935</c:v>
                </c:pt>
                <c:pt idx="10">
                  <c:v>278.80118935435661</c:v>
                </c:pt>
                <c:pt idx="11">
                  <c:v>263.24380679974507</c:v>
                </c:pt>
                <c:pt idx="12">
                  <c:v>259.35446116109233</c:v>
                </c:pt>
                <c:pt idx="13">
                  <c:v>239.58577159610638</c:v>
                </c:pt>
                <c:pt idx="14">
                  <c:v>523.86420294178538</c:v>
                </c:pt>
                <c:pt idx="15">
                  <c:v>500.74918436144497</c:v>
                </c:pt>
                <c:pt idx="16">
                  <c:v>220.46463902820841</c:v>
                </c:pt>
                <c:pt idx="17">
                  <c:v>219.75327049269208</c:v>
                </c:pt>
                <c:pt idx="18">
                  <c:v>226.95522031937912</c:v>
                </c:pt>
                <c:pt idx="19">
                  <c:v>191.46239168394251</c:v>
                </c:pt>
                <c:pt idx="20">
                  <c:v>182.11948132765423</c:v>
                </c:pt>
                <c:pt idx="21">
                  <c:v>265.64322815143237</c:v>
                </c:pt>
                <c:pt idx="22">
                  <c:v>214.81113443396845</c:v>
                </c:pt>
                <c:pt idx="23">
                  <c:v>236.05429056976001</c:v>
                </c:pt>
                <c:pt idx="24">
                  <c:v>262.07305844619424</c:v>
                </c:pt>
              </c:numCache>
            </c:numRef>
          </c:val>
          <c:smooth val="0"/>
        </c:ser>
        <c:ser>
          <c:idx val="3"/>
          <c:order val="3"/>
          <c:spPr>
            <a:ln w="38100"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frequence!$A$11:$A$35</c:f>
              <c:numCache>
                <c:formatCode>General</c:formatCode>
                <c:ptCount val="25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</c:numCache>
            </c:numRef>
          </c:cat>
          <c:val>
            <c:numRef>
              <c:f>frequence!$J$11:$J$35</c:f>
              <c:numCache>
                <c:formatCode>0</c:formatCode>
                <c:ptCount val="25"/>
                <c:pt idx="0">
                  <c:v>175.05247312679086</c:v>
                </c:pt>
                <c:pt idx="1">
                  <c:v>8.3239048542118645</c:v>
                </c:pt>
                <c:pt idx="2">
                  <c:v>8.9620505937701118</c:v>
                </c:pt>
                <c:pt idx="3">
                  <c:v>3.8439364848159283E-2</c:v>
                </c:pt>
                <c:pt idx="4">
                  <c:v>3.9430070127751016E-2</c:v>
                </c:pt>
                <c:pt idx="5">
                  <c:v>4.0024493295506058E-2</c:v>
                </c:pt>
                <c:pt idx="6">
                  <c:v>4.6761289196729845E-2</c:v>
                </c:pt>
                <c:pt idx="7">
                  <c:v>4.6761289196729845E-2</c:v>
                </c:pt>
                <c:pt idx="8">
                  <c:v>4.7355712364484874E-2</c:v>
                </c:pt>
                <c:pt idx="9">
                  <c:v>4.7553853420403226E-2</c:v>
                </c:pt>
                <c:pt idx="10">
                  <c:v>4.7553853420403226E-2</c:v>
                </c:pt>
                <c:pt idx="11">
                  <c:v>4.7553853420403226E-2</c:v>
                </c:pt>
                <c:pt idx="12">
                  <c:v>4.7553853420403226E-2</c:v>
                </c:pt>
                <c:pt idx="13">
                  <c:v>4.9733405035505045E-2</c:v>
                </c:pt>
                <c:pt idx="14">
                  <c:v>-1.0950421360528739</c:v>
                </c:pt>
                <c:pt idx="15">
                  <c:v>-1.0105516941210007</c:v>
                </c:pt>
                <c:pt idx="16">
                  <c:v>-2.6351078265405854</c:v>
                </c:pt>
                <c:pt idx="17">
                  <c:v>-2.6101698975827885</c:v>
                </c:pt>
                <c:pt idx="18">
                  <c:v>-2.3732595724837133</c:v>
                </c:pt>
                <c:pt idx="19">
                  <c:v>-4.1493595800524936</c:v>
                </c:pt>
                <c:pt idx="20">
                  <c:v>-4.1493595800524936</c:v>
                </c:pt>
                <c:pt idx="21">
                  <c:v>-3.8238157735289251</c:v>
                </c:pt>
                <c:pt idx="22">
                  <c:v>-3.1275863658620802</c:v>
                </c:pt>
                <c:pt idx="23">
                  <c:v>-2.6779760974749438</c:v>
                </c:pt>
                <c:pt idx="24">
                  <c:v>-1.2968407286485211</c:v>
                </c:pt>
              </c:numCache>
            </c:numRef>
          </c:val>
          <c:smooth val="0"/>
        </c:ser>
        <c:ser>
          <c:idx val="4"/>
          <c:order val="4"/>
          <c:spPr>
            <a:ln w="38100"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frequence!$A$11:$A$35</c:f>
              <c:numCache>
                <c:formatCode>General</c:formatCode>
                <c:ptCount val="25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</c:numCache>
            </c:numRef>
          </c:cat>
          <c:val>
            <c:numRef>
              <c:f>frequence!$N$11:$N$35</c:f>
              <c:numCache>
                <c:formatCode>0</c:formatCode>
                <c:ptCount val="25"/>
                <c:pt idx="0">
                  <c:v>1042.7038616682767</c:v>
                </c:pt>
                <c:pt idx="1">
                  <c:v>3541.8717149997269</c:v>
                </c:pt>
                <c:pt idx="2">
                  <c:v>5357.4268857434326</c:v>
                </c:pt>
                <c:pt idx="3">
                  <c:v>1489.6957891742516</c:v>
                </c:pt>
                <c:pt idx="4">
                  <c:v>1341.030554918716</c:v>
                </c:pt>
                <c:pt idx="5">
                  <c:v>1302.0451008065745</c:v>
                </c:pt>
                <c:pt idx="6">
                  <c:v>1363.2480448610816</c:v>
                </c:pt>
                <c:pt idx="7">
                  <c:v>1363.2480448610816</c:v>
                </c:pt>
                <c:pt idx="8">
                  <c:v>1337.5426973346205</c:v>
                </c:pt>
                <c:pt idx="9">
                  <c:v>1313.9490190813458</c:v>
                </c:pt>
                <c:pt idx="10">
                  <c:v>1313.5071005790578</c:v>
                </c:pt>
                <c:pt idx="11">
                  <c:v>1311.739426569907</c:v>
                </c:pt>
                <c:pt idx="12">
                  <c:v>1311.297508067619</c:v>
                </c:pt>
                <c:pt idx="13">
                  <c:v>1260.4092681318709</c:v>
                </c:pt>
                <c:pt idx="14">
                  <c:v>2638.5040822175979</c:v>
                </c:pt>
                <c:pt idx="15">
                  <c:v>2619.7643678008617</c:v>
                </c:pt>
                <c:pt idx="16">
                  <c:v>1302.045100806572</c:v>
                </c:pt>
                <c:pt idx="17">
                  <c:v>1292.792693545525</c:v>
                </c:pt>
                <c:pt idx="18">
                  <c:v>1246.8206946554144</c:v>
                </c:pt>
                <c:pt idx="19">
                  <c:v>1126.2493628467205</c:v>
                </c:pt>
                <c:pt idx="20">
                  <c:v>1102.0664033954088</c:v>
                </c:pt>
                <c:pt idx="21">
                  <c:v>1331.2477479365909</c:v>
                </c:pt>
                <c:pt idx="22">
                  <c:v>1073.2437351183128</c:v>
                </c:pt>
                <c:pt idx="23">
                  <c:v>1169.9980968534812</c:v>
                </c:pt>
                <c:pt idx="24">
                  <c:v>1510.4424297776643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420448"/>
        <c:axId val="391420840"/>
      </c:lineChart>
      <c:lineChart>
        <c:grouping val="standard"/>
        <c:varyColors val="0"/>
        <c:ser>
          <c:idx val="5"/>
          <c:order val="5"/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frequence!$A$11:$A$35</c:f>
              <c:numCache>
                <c:formatCode>General</c:formatCode>
                <c:ptCount val="25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</c:numCache>
            </c:numRef>
          </c:cat>
          <c:val>
            <c:numRef>
              <c:f>frequence!$O$11:$O$35</c:f>
              <c:numCache>
                <c:formatCode>0.00</c:formatCode>
                <c:ptCount val="25"/>
                <c:pt idx="0">
                  <c:v>1</c:v>
                </c:pt>
                <c:pt idx="1">
                  <c:v>2.9117647058823533</c:v>
                </c:pt>
                <c:pt idx="2">
                  <c:v>2.7301587301587302</c:v>
                </c:pt>
                <c:pt idx="3">
                  <c:v>1.1428571428571428</c:v>
                </c:pt>
                <c:pt idx="4">
                  <c:v>1.1293103448275863</c:v>
                </c:pt>
                <c:pt idx="5">
                  <c:v>1.1647058823529413</c:v>
                </c:pt>
                <c:pt idx="6">
                  <c:v>1.2026143790849673</c:v>
                </c:pt>
                <c:pt idx="7">
                  <c:v>1.2026143790849673</c:v>
                </c:pt>
                <c:pt idx="8">
                  <c:v>1.2258064516129032</c:v>
                </c:pt>
                <c:pt idx="9">
                  <c:v>1.3</c:v>
                </c:pt>
                <c:pt idx="10">
                  <c:v>1.3</c:v>
                </c:pt>
                <c:pt idx="11">
                  <c:v>1.2938144329896908</c:v>
                </c:pt>
                <c:pt idx="12">
                  <c:v>1.2923076923076924</c:v>
                </c:pt>
                <c:pt idx="13">
                  <c:v>1.3365853658536586</c:v>
                </c:pt>
                <c:pt idx="14">
                  <c:v>2.6746993746993746</c:v>
                </c:pt>
                <c:pt idx="15">
                  <c:v>2.7166141144571894</c:v>
                </c:pt>
                <c:pt idx="16">
                  <c:v>1.4074074074074074</c:v>
                </c:pt>
                <c:pt idx="17">
                  <c:v>1.3979933110367893</c:v>
                </c:pt>
                <c:pt idx="18">
                  <c:v>1.4276729559748427</c:v>
                </c:pt>
                <c:pt idx="19">
                  <c:v>1.4180790960451977</c:v>
                </c:pt>
                <c:pt idx="20">
                  <c:v>1.4133333333333333</c:v>
                </c:pt>
                <c:pt idx="21">
                  <c:v>1.3828920570264771</c:v>
                </c:pt>
                <c:pt idx="22">
                  <c:v>1.2353403933434199</c:v>
                </c:pt>
                <c:pt idx="23">
                  <c:v>1.2521369863013709</c:v>
                </c:pt>
                <c:pt idx="24">
                  <c:v>1.2253009259259267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256032"/>
        <c:axId val="391421232"/>
      </c:lineChart>
      <c:catAx>
        <c:axId val="391420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91420840"/>
        <c:crosses val="autoZero"/>
        <c:auto val="1"/>
        <c:lblAlgn val="ctr"/>
        <c:lblOffset val="100"/>
        <c:noMultiLvlLbl val="0"/>
      </c:catAx>
      <c:valAx>
        <c:axId val="391420840"/>
        <c:scaling>
          <c:orientation val="minMax"/>
          <c:max val="150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391420448"/>
        <c:crosses val="autoZero"/>
        <c:crossBetween val="between"/>
      </c:valAx>
      <c:valAx>
        <c:axId val="391421232"/>
        <c:scaling>
          <c:orientation val="minMax"/>
          <c:max val="1.5"/>
          <c:min val="1.1000000000000001"/>
        </c:scaling>
        <c:delete val="0"/>
        <c:axPos val="r"/>
        <c:numFmt formatCode="0.00" sourceLinked="1"/>
        <c:majorTickMark val="out"/>
        <c:minorTickMark val="none"/>
        <c:tickLblPos val="nextTo"/>
        <c:crossAx val="389256032"/>
        <c:crosses val="max"/>
        <c:crossBetween val="between"/>
      </c:valAx>
      <c:catAx>
        <c:axId val="389256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1421232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08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8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08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08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08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08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08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0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8541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8541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8541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8541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8541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8541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8541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8541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57"/>
  <sheetViews>
    <sheetView tabSelected="1" zoomScale="130" zoomScaleNormal="130" workbookViewId="0">
      <pane xSplit="1" ySplit="3" topLeftCell="B916" activePane="bottomRight" state="frozen"/>
      <selection pane="topRight" activeCell="B1" sqref="B1"/>
      <selection pane="bottomLeft" activeCell="A6" sqref="A6"/>
      <selection pane="bottomRight" activeCell="A929" sqref="A929"/>
    </sheetView>
  </sheetViews>
  <sheetFormatPr defaultColWidth="11.42578125" defaultRowHeight="12.75" x14ac:dyDescent="0.2"/>
  <cols>
    <col min="1" max="1" width="20.7109375" style="1" customWidth="1"/>
    <col min="2" max="4" width="8.28515625" style="1" customWidth="1"/>
    <col min="5" max="14" width="7.7109375" style="1" customWidth="1"/>
    <col min="15" max="15" width="9.140625" style="1" customWidth="1"/>
    <col min="16" max="34" width="7.7109375" style="1" customWidth="1"/>
    <col min="35" max="35" width="7.7109375" style="3" customWidth="1"/>
    <col min="36" max="16384" width="11.42578125" style="1"/>
  </cols>
  <sheetData>
    <row r="1" spans="1:143" x14ac:dyDescent="0.2">
      <c r="A1" s="1">
        <f>COUNTBLANK(A4:A1216)</f>
        <v>1102</v>
      </c>
      <c r="E1" s="1" t="s">
        <v>2</v>
      </c>
      <c r="F1" s="5">
        <f>COUNTIF(E$4:E$1216,"&lt;2007")</f>
        <v>323</v>
      </c>
      <c r="G1" s="5">
        <f>COUNTIFS($E$4:$E$1216,"&lt;2007",$AQ$4:$AQ$1216,"=3")</f>
        <v>89</v>
      </c>
      <c r="H1" s="5">
        <f>COUNTIFS($E$4:$E$1216,"&lt;2007",$AQ$4:$AQ$1216,"=1")</f>
        <v>49</v>
      </c>
      <c r="I1" s="5">
        <f>COUNTIFS($E$4:$E$1216,"&lt;2007",$AQ$4:$AQ$1216,"=0")</f>
        <v>102</v>
      </c>
      <c r="L1" s="1">
        <f>0.15*L2</f>
        <v>1141.3499999999999</v>
      </c>
      <c r="M1" s="1">
        <f>SUMPRODUCT(M4:M1216,P4:P1216)/SUM(M4:M1216)</f>
        <v>362.78019954551792</v>
      </c>
      <c r="N1" s="5">
        <f>SUM(N4:N1216)</f>
        <v>114.00000000000024</v>
      </c>
      <c r="O1" s="1">
        <f ca="1">MIN(O4:O1216)</f>
        <v>-10.179349711261368</v>
      </c>
      <c r="P1" s="1">
        <f>MIN(P4:P1216)</f>
        <v>-6.6</v>
      </c>
      <c r="R1" s="1">
        <f ca="1">SUMPRODUCT(M4:M1216,R4:R1216)/SUM(M4:M1216)</f>
        <v>27244468.539257336</v>
      </c>
      <c r="AD1" s="5">
        <f>SUM(AD4:AD1216)</f>
        <v>939</v>
      </c>
      <c r="AE1" s="5"/>
      <c r="AF1" s="5"/>
      <c r="AG1" s="5"/>
      <c r="AH1" s="5"/>
      <c r="AI1" s="13"/>
      <c r="AJ1" s="5">
        <f t="shared" ref="AJ1:AO1" si="0">SUM(AJ4:AJ1216)</f>
        <v>208</v>
      </c>
      <c r="AK1" s="5">
        <f t="shared" si="0"/>
        <v>27</v>
      </c>
      <c r="AL1" s="5">
        <f t="shared" si="0"/>
        <v>153</v>
      </c>
      <c r="AM1" s="5">
        <f t="shared" si="0"/>
        <v>185</v>
      </c>
      <c r="AN1" s="5">
        <f t="shared" si="0"/>
        <v>83</v>
      </c>
      <c r="AO1" s="5">
        <f t="shared" si="0"/>
        <v>151</v>
      </c>
      <c r="AP1" s="5"/>
      <c r="AQ1" s="5"/>
      <c r="AR1" s="5">
        <f>SUM(AR4:AR1216)</f>
        <v>155</v>
      </c>
      <c r="AS1" s="5"/>
      <c r="AT1" s="5">
        <f>SUM(AT4:AT1216)</f>
        <v>294</v>
      </c>
      <c r="AU1" s="5"/>
      <c r="AV1" s="5">
        <f t="shared" ref="AV1:CE1" si="1">SUM(AV4:AV1216)</f>
        <v>123</v>
      </c>
      <c r="AW1" s="5">
        <f t="shared" si="1"/>
        <v>77</v>
      </c>
      <c r="AX1" s="5">
        <f t="shared" si="1"/>
        <v>1013</v>
      </c>
      <c r="AY1" s="5">
        <f t="shared" si="1"/>
        <v>104</v>
      </c>
      <c r="AZ1" s="5">
        <f t="shared" si="1"/>
        <v>79</v>
      </c>
      <c r="BA1" s="5">
        <f t="shared" si="1"/>
        <v>32</v>
      </c>
      <c r="BB1" s="5">
        <f t="shared" si="1"/>
        <v>76</v>
      </c>
      <c r="BC1" s="5">
        <f t="shared" si="1"/>
        <v>127</v>
      </c>
      <c r="BD1" s="5">
        <f t="shared" si="1"/>
        <v>299</v>
      </c>
      <c r="BE1" s="5">
        <f t="shared" si="1"/>
        <v>711</v>
      </c>
      <c r="BF1" s="8"/>
      <c r="BG1" s="5">
        <f t="shared" si="1"/>
        <v>2</v>
      </c>
      <c r="BH1" s="5">
        <f t="shared" si="1"/>
        <v>10</v>
      </c>
      <c r="BI1" s="5">
        <f t="shared" si="1"/>
        <v>4</v>
      </c>
      <c r="BJ1" s="5">
        <f t="shared" si="1"/>
        <v>99</v>
      </c>
      <c r="BK1" s="5">
        <f t="shared" si="1"/>
        <v>5</v>
      </c>
      <c r="BL1" s="5">
        <f t="shared" si="1"/>
        <v>3</v>
      </c>
      <c r="BM1" s="5">
        <f t="shared" si="1"/>
        <v>34</v>
      </c>
      <c r="BN1" s="5">
        <f t="shared" si="1"/>
        <v>3</v>
      </c>
      <c r="BO1" s="5">
        <f t="shared" si="1"/>
        <v>35</v>
      </c>
      <c r="BP1" s="5">
        <f t="shared" si="1"/>
        <v>1</v>
      </c>
      <c r="BQ1" s="5">
        <f t="shared" si="1"/>
        <v>4</v>
      </c>
      <c r="BR1" s="5">
        <f t="shared" si="1"/>
        <v>1</v>
      </c>
      <c r="BS1" s="5">
        <f t="shared" si="1"/>
        <v>11</v>
      </c>
      <c r="BT1" s="5">
        <f t="shared" si="1"/>
        <v>26</v>
      </c>
      <c r="BU1" s="5">
        <f t="shared" si="1"/>
        <v>14</v>
      </c>
      <c r="BV1" s="5">
        <f t="shared" si="1"/>
        <v>71</v>
      </c>
      <c r="BW1" s="5">
        <f t="shared" si="1"/>
        <v>2</v>
      </c>
      <c r="BX1" s="5">
        <f t="shared" si="1"/>
        <v>19</v>
      </c>
      <c r="BY1" s="5">
        <f t="shared" si="1"/>
        <v>57</v>
      </c>
      <c r="BZ1" s="5">
        <f t="shared" si="1"/>
        <v>25</v>
      </c>
      <c r="CA1" s="5">
        <f t="shared" si="1"/>
        <v>131</v>
      </c>
      <c r="CB1" s="5">
        <f t="shared" si="1"/>
        <v>230</v>
      </c>
      <c r="CC1" s="5">
        <f t="shared" si="1"/>
        <v>110</v>
      </c>
      <c r="CD1" s="5">
        <f t="shared" si="1"/>
        <v>244</v>
      </c>
      <c r="CE1" s="5">
        <f t="shared" si="1"/>
        <v>72</v>
      </c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</row>
    <row r="2" spans="1:143" x14ac:dyDescent="0.2">
      <c r="E2" s="1" t="s">
        <v>59</v>
      </c>
      <c r="F2" s="5">
        <f>COUNTIF(E$4:E$1216,"&gt;2006")</f>
        <v>890</v>
      </c>
      <c r="G2" s="5">
        <f>COUNTIFS($E$4:$E$1216,"&gt;2006",$AQ$4:$AQ$1216,"=3")</f>
        <v>119</v>
      </c>
      <c r="H2" s="5">
        <f>COUNTIFS($E$4:$E$1216,"&gt;2006",$AQ$4:$AQ$1216,"=1")</f>
        <v>136</v>
      </c>
      <c r="I2" s="5">
        <f>COUNTIFS($E$4:$E$1216,"&gt;2006",$AQ$4:$AQ$1216,"=0")</f>
        <v>49</v>
      </c>
      <c r="L2" s="1">
        <v>7609</v>
      </c>
      <c r="M2" s="1">
        <f ca="1">SQRT(R1-M1*M1)</f>
        <v>5207.0009665905618</v>
      </c>
      <c r="O2" s="1">
        <f ca="1">MAX(O4:O1216)</f>
        <v>105213.22956135857</v>
      </c>
      <c r="P2" s="1">
        <f>MAX(P4:P1216)</f>
        <v>94233.333333333328</v>
      </c>
      <c r="AJ2" s="5"/>
      <c r="AK2" s="5"/>
      <c r="AL2" s="5"/>
      <c r="AM2" s="5"/>
      <c r="AN2" s="5"/>
      <c r="AO2" s="5"/>
      <c r="AV2" s="5">
        <f>SUMPRODUCT(AV4:AV1216,$AD4:$AD1216)</f>
        <v>120</v>
      </c>
      <c r="AW2" s="5">
        <f>SUMPRODUCT(AW4:AW1216,$AD4:$AD1216)</f>
        <v>64</v>
      </c>
      <c r="AX2" s="5">
        <f>SUMPRODUCT(AX4:AX1216,$AD4:$AD1216)</f>
        <v>755</v>
      </c>
      <c r="BB2" s="1" t="s">
        <v>50</v>
      </c>
      <c r="BC2" s="1" t="s">
        <v>20</v>
      </c>
      <c r="BD2" s="1" t="s">
        <v>0</v>
      </c>
      <c r="BE2" s="1" t="s">
        <v>57</v>
      </c>
      <c r="BF2" s="1" t="s">
        <v>69</v>
      </c>
      <c r="BG2" s="5">
        <v>1982</v>
      </c>
      <c r="BH2" s="5">
        <v>1991</v>
      </c>
      <c r="BI2" s="5">
        <v>1992</v>
      </c>
      <c r="BJ2" s="5">
        <v>1993</v>
      </c>
      <c r="BK2" s="5">
        <v>1994</v>
      </c>
      <c r="BL2" s="5">
        <v>1995</v>
      </c>
      <c r="BM2" s="5">
        <v>1996</v>
      </c>
      <c r="BN2" s="5">
        <v>1997</v>
      </c>
      <c r="BO2" s="5">
        <v>1999</v>
      </c>
      <c r="BP2" s="5">
        <v>2000</v>
      </c>
      <c r="BQ2" s="5">
        <v>2001</v>
      </c>
      <c r="BR2" s="5">
        <v>2002</v>
      </c>
      <c r="BS2" s="5">
        <v>2003</v>
      </c>
      <c r="BT2" s="5">
        <v>2004</v>
      </c>
      <c r="BU2" s="5">
        <v>2005</v>
      </c>
      <c r="BV2" s="5">
        <v>2006</v>
      </c>
      <c r="BW2" s="5">
        <v>2007</v>
      </c>
      <c r="BX2" s="5">
        <v>2008</v>
      </c>
      <c r="BY2" s="5">
        <v>2009</v>
      </c>
      <c r="BZ2" s="5">
        <v>2010</v>
      </c>
      <c r="CA2" s="5">
        <v>2011</v>
      </c>
      <c r="CB2" s="5">
        <v>2012</v>
      </c>
      <c r="CC2" s="5">
        <v>2013</v>
      </c>
      <c r="CD2" s="5">
        <v>2014</v>
      </c>
      <c r="CE2" s="5">
        <v>2015</v>
      </c>
      <c r="CF2" s="5"/>
      <c r="CG2" s="5"/>
      <c r="CH2" s="5"/>
      <c r="CI2" s="5"/>
      <c r="CJ2" s="5"/>
      <c r="CK2" s="5"/>
      <c r="CL2" s="5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</row>
    <row r="3" spans="1:143" x14ac:dyDescent="0.2">
      <c r="A3" s="1" t="s">
        <v>4</v>
      </c>
      <c r="B3" s="1" t="s">
        <v>70</v>
      </c>
      <c r="D3" s="1">
        <f>MAX(D4:D1216)</f>
        <v>2015</v>
      </c>
      <c r="E3" s="11" t="s">
        <v>83</v>
      </c>
      <c r="F3" s="11"/>
      <c r="G3" s="11"/>
      <c r="H3" s="11"/>
      <c r="I3" s="11" t="s">
        <v>80</v>
      </c>
      <c r="J3" s="11" t="s">
        <v>129</v>
      </c>
      <c r="K3" s="11" t="s">
        <v>82</v>
      </c>
      <c r="L3" s="11" t="s">
        <v>267</v>
      </c>
      <c r="M3" s="1" t="s">
        <v>8</v>
      </c>
      <c r="N3" s="1" t="s">
        <v>8</v>
      </c>
      <c r="O3" s="5">
        <v>2010</v>
      </c>
      <c r="P3" s="1" t="s">
        <v>1</v>
      </c>
      <c r="Q3" s="1" t="s">
        <v>2</v>
      </c>
      <c r="R3" s="1" t="s">
        <v>60</v>
      </c>
      <c r="S3" s="1" t="s">
        <v>3</v>
      </c>
      <c r="T3" s="4">
        <v>0.01</v>
      </c>
      <c r="U3" s="4">
        <v>0.05</v>
      </c>
      <c r="V3" s="4">
        <v>0.1</v>
      </c>
      <c r="W3" s="4">
        <v>0.25</v>
      </c>
      <c r="X3" s="4">
        <v>0.5</v>
      </c>
      <c r="Y3" s="4">
        <v>0.75</v>
      </c>
      <c r="Z3" s="4">
        <v>0.9</v>
      </c>
      <c r="AA3" s="4">
        <v>0.95</v>
      </c>
      <c r="AB3" s="4">
        <v>0.99</v>
      </c>
      <c r="AC3" s="1" t="s">
        <v>9</v>
      </c>
      <c r="AD3" s="1" t="s">
        <v>10</v>
      </c>
      <c r="AE3" s="1" t="s">
        <v>11</v>
      </c>
      <c r="AF3" s="1" t="s">
        <v>12</v>
      </c>
      <c r="AG3" s="1" t="s">
        <v>13</v>
      </c>
      <c r="AH3" s="1" t="s">
        <v>14</v>
      </c>
      <c r="AI3" s="3" t="s">
        <v>15</v>
      </c>
      <c r="AJ3" s="1" t="s">
        <v>48</v>
      </c>
      <c r="AK3" s="11" t="s">
        <v>229</v>
      </c>
      <c r="AL3" s="11" t="s">
        <v>230</v>
      </c>
      <c r="AM3" s="1" t="s">
        <v>47</v>
      </c>
      <c r="AN3" s="11" t="s">
        <v>231</v>
      </c>
      <c r="AO3" s="1" t="s">
        <v>49</v>
      </c>
      <c r="AP3" s="1" t="s">
        <v>32</v>
      </c>
      <c r="AQ3" s="1" t="s">
        <v>31</v>
      </c>
      <c r="AR3" s="1" t="s">
        <v>33</v>
      </c>
      <c r="AS3" s="11" t="s">
        <v>67</v>
      </c>
      <c r="AT3" s="1" t="s">
        <v>56</v>
      </c>
      <c r="AU3" s="11" t="s">
        <v>68</v>
      </c>
      <c r="AV3" s="1" t="s">
        <v>53</v>
      </c>
      <c r="AW3" s="1" t="s">
        <v>54</v>
      </c>
      <c r="AX3" s="1" t="s">
        <v>55</v>
      </c>
    </row>
    <row r="4" spans="1:143" x14ac:dyDescent="0.2">
      <c r="A4" s="1" t="s">
        <v>20</v>
      </c>
      <c r="B4" s="1" t="s">
        <v>71</v>
      </c>
      <c r="C4" s="1">
        <f>Growth!D9</f>
        <v>0</v>
      </c>
      <c r="D4" s="5">
        <f>IF(B4&gt;0,E4)</f>
        <v>1982</v>
      </c>
      <c r="E4" s="5">
        <v>1982</v>
      </c>
      <c r="F4" s="5">
        <f>LOOKUP($E4,frequence!$A$2:$A$35,frequence!L$2:L$35)</f>
        <v>0</v>
      </c>
      <c r="G4" s="5">
        <f>LOOKUP($E4,frequence!$A$2:$A$35,frequence!K$2:K$35)</f>
        <v>0</v>
      </c>
      <c r="H4" s="5">
        <f>LOOKUP($E4,frequence!$A$2:$A$35,frequence!M$2:M$35)</f>
        <v>0</v>
      </c>
      <c r="I4" s="5">
        <v>1980</v>
      </c>
      <c r="J4" s="7">
        <f>LOOKUP(I4,CPI!A$69:A$103,CPI!O$69:O$103)</f>
        <v>2.6463106796116502</v>
      </c>
      <c r="K4" s="5">
        <v>1980</v>
      </c>
      <c r="L4" s="7">
        <f ca="1">IF(O4&lt;L$1,1,IF(O4&gt;L$2,0,1-(O4-L$1)/(L$2-L$1)))</f>
        <v>1</v>
      </c>
      <c r="M4" s="7">
        <f t="shared" ref="M4:M67" si="2">N4*AC4</f>
        <v>1.1000000000000001</v>
      </c>
      <c r="N4" s="14">
        <v>0.5</v>
      </c>
      <c r="O4" s="1">
        <f ca="1">P4*J4*(1+Growth!G$6)^(2010-K4)</f>
        <v>1065.5367929456841</v>
      </c>
      <c r="P4" s="1">
        <f>70*44/12</f>
        <v>256.66666666666669</v>
      </c>
      <c r="Q4" s="2">
        <f t="shared" ref="Q4:Q113" si="3">P4</f>
        <v>256.66666666666669</v>
      </c>
      <c r="R4" s="21">
        <f ca="1">O4*O4</f>
        <v>1135368.6571209736</v>
      </c>
      <c r="T4" s="4"/>
      <c r="U4" s="4"/>
      <c r="V4" s="4"/>
      <c r="W4" s="4"/>
      <c r="X4" s="2">
        <f t="shared" ref="X4:X35" si="4">P4</f>
        <v>256.66666666666669</v>
      </c>
      <c r="Y4" s="4"/>
      <c r="Z4" s="4"/>
      <c r="AA4" s="4"/>
      <c r="AB4" s="4"/>
      <c r="AC4" s="1">
        <f>SUM(AD4:AI4)</f>
        <v>2.2000000000000002</v>
      </c>
      <c r="AD4" s="5">
        <v>1</v>
      </c>
      <c r="AE4" s="5">
        <v>1</v>
      </c>
      <c r="AF4" s="5">
        <v>0</v>
      </c>
      <c r="AG4" s="5">
        <v>0</v>
      </c>
      <c r="AH4" s="5">
        <v>0</v>
      </c>
      <c r="AI4" s="3">
        <f t="shared" ref="AI4:AI67" si="5">(E4-1980)/10</f>
        <v>0.2</v>
      </c>
      <c r="AJ4" s="5">
        <f t="shared" ref="AJ4:AJ86" si="6">IF($AQ4=3,1,0)</f>
        <v>0</v>
      </c>
      <c r="AK4" s="5">
        <f>IF($AQ4=2,1,0)</f>
        <v>0</v>
      </c>
      <c r="AL4" s="5">
        <f>IF($AQ4=1.5,1,0)</f>
        <v>0</v>
      </c>
      <c r="AM4" s="5">
        <f t="shared" ref="AM4:AM89" si="7">IF($AQ4=1,1,0)</f>
        <v>1</v>
      </c>
      <c r="AN4" s="5">
        <f>IF($AQ4=0.1,1,0)</f>
        <v>0</v>
      </c>
      <c r="AO4" s="5">
        <f t="shared" ref="AO4:AO89" si="8">IF($AQ4=0,1,0)</f>
        <v>0</v>
      </c>
      <c r="AP4" s="11" t="s">
        <v>42</v>
      </c>
      <c r="AQ4" s="1">
        <v>1</v>
      </c>
      <c r="AR4" s="5">
        <v>0</v>
      </c>
      <c r="AS4" s="5">
        <v>0</v>
      </c>
      <c r="AT4" s="5">
        <v>0</v>
      </c>
      <c r="AU4" s="5">
        <v>0</v>
      </c>
      <c r="AV4" s="5">
        <f t="shared" ref="AV4:AV67" si="9">IF(E4&lt;1996,1,0)</f>
        <v>1</v>
      </c>
      <c r="AW4" s="5">
        <f t="shared" ref="AW4:AW67" si="10">IF(E4&lt;2002,IF(E4&gt;1995,1,0),0)</f>
        <v>0</v>
      </c>
      <c r="AX4" s="5">
        <f t="shared" ref="AX4:AX67" si="11">IF(E4&gt;2001,1,0)</f>
        <v>0</v>
      </c>
      <c r="AY4" s="1">
        <f t="shared" ref="AY4:AY173" si="12">AJ4*$AD4*(1-$AV4)*(1-$AR4)</f>
        <v>0</v>
      </c>
      <c r="AZ4" s="1">
        <f t="shared" ref="AZ4:AZ173" si="13">AM4*$AD4*(1-$AV4)*(1-$AR4)</f>
        <v>0</v>
      </c>
      <c r="BA4" s="1">
        <f t="shared" ref="BA4:BA173" si="14">AO4*$AD4*(1-$AV4)*(1-$AR4)</f>
        <v>0</v>
      </c>
      <c r="BB4" s="5">
        <v>0</v>
      </c>
      <c r="BC4" s="5">
        <v>1</v>
      </c>
      <c r="BD4" s="5">
        <v>0</v>
      </c>
      <c r="BE4" s="5">
        <f>1-SUM(BB4:BD4)</f>
        <v>0</v>
      </c>
      <c r="BF4" s="5">
        <v>0</v>
      </c>
      <c r="BG4" s="5">
        <f>IF($E4=BG$2,1,0)</f>
        <v>1</v>
      </c>
      <c r="BH4" s="5">
        <f t="shared" ref="BH4:BN19" si="15">IF($E4=BH$2,1,0)</f>
        <v>0</v>
      </c>
      <c r="BI4" s="5">
        <f t="shared" si="15"/>
        <v>0</v>
      </c>
      <c r="BJ4" s="5">
        <f t="shared" si="15"/>
        <v>0</v>
      </c>
      <c r="BK4" s="5">
        <f t="shared" si="15"/>
        <v>0</v>
      </c>
      <c r="BL4" s="5">
        <f t="shared" si="15"/>
        <v>0</v>
      </c>
      <c r="BM4" s="5">
        <f t="shared" si="15"/>
        <v>0</v>
      </c>
      <c r="BN4" s="5">
        <f t="shared" si="15"/>
        <v>0</v>
      </c>
      <c r="BO4" s="5">
        <f t="shared" ref="BO4:CD19" si="16">IF($E4=BO$2,1,0)</f>
        <v>0</v>
      </c>
      <c r="BP4" s="5">
        <f t="shared" si="16"/>
        <v>0</v>
      </c>
      <c r="BQ4" s="5">
        <f t="shared" si="16"/>
        <v>0</v>
      </c>
      <c r="BR4" s="5">
        <f t="shared" si="16"/>
        <v>0</v>
      </c>
      <c r="BS4" s="5">
        <f t="shared" si="16"/>
        <v>0</v>
      </c>
      <c r="BT4" s="5">
        <f t="shared" si="16"/>
        <v>0</v>
      </c>
      <c r="BU4" s="5">
        <f t="shared" si="16"/>
        <v>0</v>
      </c>
      <c r="BV4" s="5">
        <f t="shared" si="16"/>
        <v>0</v>
      </c>
      <c r="BW4" s="5">
        <f t="shared" si="16"/>
        <v>0</v>
      </c>
      <c r="BX4" s="5">
        <f t="shared" si="16"/>
        <v>0</v>
      </c>
      <c r="BY4" s="5">
        <f t="shared" si="16"/>
        <v>0</v>
      </c>
      <c r="BZ4" s="5">
        <f t="shared" si="16"/>
        <v>0</v>
      </c>
      <c r="CA4" s="5">
        <f t="shared" si="16"/>
        <v>0</v>
      </c>
      <c r="CB4" s="5">
        <f t="shared" si="16"/>
        <v>0</v>
      </c>
      <c r="CC4" s="5">
        <f t="shared" si="16"/>
        <v>0</v>
      </c>
      <c r="CD4" s="5">
        <f t="shared" si="16"/>
        <v>0</v>
      </c>
      <c r="CE4" s="5">
        <f t="shared" ref="CE4:CE67" si="17">IF($E4=CE$2,1,0)</f>
        <v>0</v>
      </c>
    </row>
    <row r="5" spans="1:143" x14ac:dyDescent="0.2">
      <c r="C5" s="1">
        <f>Growth!D10</f>
        <v>0</v>
      </c>
      <c r="D5" s="5" t="b">
        <f t="shared" ref="D5:D68" si="18">IF(B5&gt;0,E5)</f>
        <v>0</v>
      </c>
      <c r="E5" s="5">
        <v>1982</v>
      </c>
      <c r="F5" s="5">
        <f>LOOKUP($E5,frequence!$A$2:$A$35,frequence!L$2:L$35)</f>
        <v>0</v>
      </c>
      <c r="G5" s="5">
        <f>LOOKUP($E5,frequence!$A$2:$A$35,frequence!K$2:K$35)</f>
        <v>0</v>
      </c>
      <c r="H5" s="5">
        <f>LOOKUP($E5,frequence!$A$2:$A$35,frequence!M$2:M$35)</f>
        <v>0</v>
      </c>
      <c r="I5" s="5">
        <v>1980</v>
      </c>
      <c r="J5" s="7">
        <f>LOOKUP(I5,CPI!A$69:A$103,CPI!O$69:O$103)</f>
        <v>2.6463106796116502</v>
      </c>
      <c r="K5" s="5">
        <v>1980</v>
      </c>
      <c r="L5" s="7">
        <f t="shared" ref="L5:L68" ca="1" si="19">IF(O5&lt;L$1,1,IF(O5&gt;L$2,0,1-(O5-L$1)/(L$2-L$1)))</f>
        <v>1</v>
      </c>
      <c r="M5" s="7">
        <f t="shared" si="2"/>
        <v>1.1000000000000001</v>
      </c>
      <c r="N5" s="14">
        <v>0.5</v>
      </c>
      <c r="O5" s="1">
        <f ca="1">P5*J5*(1+Growth!G$6)^(2010-K5)</f>
        <v>152.21954184938343</v>
      </c>
      <c r="P5" s="1">
        <f>10*44/12</f>
        <v>36.666666666666664</v>
      </c>
      <c r="Q5" s="2">
        <f t="shared" ref="Q5" si="20">P5</f>
        <v>36.666666666666664</v>
      </c>
      <c r="R5" s="21">
        <f t="shared" ref="R5:R68" ca="1" si="21">O5*O5</f>
        <v>23170.788920836196</v>
      </c>
      <c r="T5" s="4"/>
      <c r="U5" s="4"/>
      <c r="V5" s="4"/>
      <c r="W5" s="4"/>
      <c r="X5" s="2">
        <f t="shared" si="4"/>
        <v>36.666666666666664</v>
      </c>
      <c r="Y5" s="4"/>
      <c r="Z5" s="4"/>
      <c r="AA5" s="4"/>
      <c r="AB5" s="4"/>
      <c r="AC5" s="1">
        <f>SUM(AD5:AI5)</f>
        <v>2.2000000000000002</v>
      </c>
      <c r="AD5" s="5">
        <v>1</v>
      </c>
      <c r="AE5" s="5">
        <v>1</v>
      </c>
      <c r="AF5" s="5">
        <v>0</v>
      </c>
      <c r="AG5" s="5">
        <v>0</v>
      </c>
      <c r="AH5" s="5">
        <v>0</v>
      </c>
      <c r="AI5" s="3">
        <f t="shared" si="5"/>
        <v>0.2</v>
      </c>
      <c r="AJ5" s="5">
        <f t="shared" si="6"/>
        <v>0</v>
      </c>
      <c r="AK5" s="5">
        <f t="shared" ref="AK5:AK68" si="22">IF($AQ5=2,1,0)</f>
        <v>0</v>
      </c>
      <c r="AL5" s="5">
        <f t="shared" ref="AL5:AL68" si="23">IF($AQ5=1.5,1,0)</f>
        <v>0</v>
      </c>
      <c r="AM5" s="5">
        <f t="shared" si="7"/>
        <v>1</v>
      </c>
      <c r="AN5" s="5">
        <f t="shared" ref="AN5:AN68" si="24">IF($AQ5=0.1,1,0)</f>
        <v>0</v>
      </c>
      <c r="AO5" s="5">
        <f t="shared" si="8"/>
        <v>0</v>
      </c>
      <c r="AP5" s="11" t="s">
        <v>42</v>
      </c>
      <c r="AQ5" s="1">
        <v>1</v>
      </c>
      <c r="AR5" s="5">
        <v>0</v>
      </c>
      <c r="AS5" s="5">
        <v>0</v>
      </c>
      <c r="AT5" s="5">
        <v>0</v>
      </c>
      <c r="AU5" s="5">
        <v>0</v>
      </c>
      <c r="AV5" s="5">
        <f t="shared" si="9"/>
        <v>1</v>
      </c>
      <c r="AW5" s="5">
        <f t="shared" si="10"/>
        <v>0</v>
      </c>
      <c r="AX5" s="5">
        <f t="shared" si="11"/>
        <v>0</v>
      </c>
      <c r="AY5" s="1">
        <f t="shared" ref="AY5" si="25">AJ5*$AD5*(1-$AV5)*(1-$AR5)</f>
        <v>0</v>
      </c>
      <c r="AZ5" s="1">
        <f t="shared" ref="AZ5" si="26">AM5*$AD5*(1-$AV5)*(1-$AR5)</f>
        <v>0</v>
      </c>
      <c r="BA5" s="1">
        <f t="shared" ref="BA5" si="27">AO5*$AD5*(1-$AV5)*(1-$AR5)</f>
        <v>0</v>
      </c>
      <c r="BB5" s="5">
        <v>0</v>
      </c>
      <c r="BC5" s="5">
        <v>1</v>
      </c>
      <c r="BD5" s="5">
        <v>0</v>
      </c>
      <c r="BE5" s="5">
        <f>1-SUM(BB5:BD5)</f>
        <v>0</v>
      </c>
      <c r="BF5" s="5">
        <v>0</v>
      </c>
      <c r="BG5" s="5">
        <f t="shared" ref="BG5:BN20" si="28">IF($E5=BG$2,1,0)</f>
        <v>1</v>
      </c>
      <c r="BH5" s="5">
        <f t="shared" si="15"/>
        <v>0</v>
      </c>
      <c r="BI5" s="5">
        <f t="shared" si="15"/>
        <v>0</v>
      </c>
      <c r="BJ5" s="5">
        <f t="shared" si="15"/>
        <v>0</v>
      </c>
      <c r="BK5" s="5">
        <f t="shared" si="15"/>
        <v>0</v>
      </c>
      <c r="BL5" s="5">
        <f t="shared" si="15"/>
        <v>0</v>
      </c>
      <c r="BM5" s="5">
        <f t="shared" si="15"/>
        <v>0</v>
      </c>
      <c r="BN5" s="5">
        <f t="shared" si="15"/>
        <v>0</v>
      </c>
      <c r="BO5" s="5">
        <f t="shared" si="16"/>
        <v>0</v>
      </c>
      <c r="BP5" s="5">
        <f t="shared" si="16"/>
        <v>0</v>
      </c>
      <c r="BQ5" s="5">
        <f t="shared" si="16"/>
        <v>0</v>
      </c>
      <c r="BR5" s="5">
        <f t="shared" si="16"/>
        <v>0</v>
      </c>
      <c r="BS5" s="5">
        <f t="shared" si="16"/>
        <v>0</v>
      </c>
      <c r="BT5" s="5">
        <f t="shared" si="16"/>
        <v>0</v>
      </c>
      <c r="BU5" s="5">
        <f t="shared" si="16"/>
        <v>0</v>
      </c>
      <c r="BV5" s="5">
        <f t="shared" si="16"/>
        <v>0</v>
      </c>
      <c r="BW5" s="5">
        <f t="shared" si="16"/>
        <v>0</v>
      </c>
      <c r="BX5" s="5">
        <f t="shared" si="16"/>
        <v>0</v>
      </c>
      <c r="BY5" s="5">
        <f t="shared" si="16"/>
        <v>0</v>
      </c>
      <c r="BZ5" s="5">
        <f t="shared" si="16"/>
        <v>0</v>
      </c>
      <c r="CA5" s="5">
        <f t="shared" si="16"/>
        <v>0</v>
      </c>
      <c r="CB5" s="5">
        <f t="shared" si="16"/>
        <v>0</v>
      </c>
      <c r="CC5" s="5">
        <f t="shared" si="16"/>
        <v>0</v>
      </c>
      <c r="CD5" s="5">
        <f t="shared" si="16"/>
        <v>0</v>
      </c>
      <c r="CE5" s="5">
        <f t="shared" si="17"/>
        <v>0</v>
      </c>
    </row>
    <row r="6" spans="1:143" x14ac:dyDescent="0.2">
      <c r="A6" s="1" t="s">
        <v>17</v>
      </c>
      <c r="B6" s="11" t="s">
        <v>85</v>
      </c>
      <c r="C6" s="1">
        <f>Growth!D11</f>
        <v>0</v>
      </c>
      <c r="D6" s="5">
        <f t="shared" si="18"/>
        <v>1991</v>
      </c>
      <c r="E6" s="5">
        <v>1991</v>
      </c>
      <c r="F6" s="5">
        <f ca="1">LOOKUP($E6,frequence!$A$2:$A$35,frequence!L$2:L$35)</f>
        <v>608.87816739753373</v>
      </c>
      <c r="G6" s="5">
        <f ca="1">LOOKUP($E6,frequence!$A$2:$A$35,frequence!K$2:K$35)</f>
        <v>302.91688828027304</v>
      </c>
      <c r="H6" s="5">
        <f ca="1">LOOKUP($E6,frequence!$A$2:$A$35,frequence!M$2:M$35)</f>
        <v>914.83944651479442</v>
      </c>
      <c r="I6" s="5">
        <v>1989</v>
      </c>
      <c r="J6" s="7">
        <f>LOOKUP(I6,CPI!A$69:A$103,CPI!O$69:O$103)</f>
        <v>1.7585161290322582</v>
      </c>
      <c r="K6" s="5">
        <v>1990</v>
      </c>
      <c r="L6" s="7">
        <f t="shared" ca="1" si="19"/>
        <v>1</v>
      </c>
      <c r="M6" s="7">
        <f t="shared" si="2"/>
        <v>3.1</v>
      </c>
      <c r="N6" s="14">
        <v>1</v>
      </c>
      <c r="O6" s="1">
        <f ca="1">P6*J6*(1+Growth!G$6)^(2010-K6)</f>
        <v>282.92625291050393</v>
      </c>
      <c r="P6" s="1">
        <f>32.5*44/12</f>
        <v>119.16666666666667</v>
      </c>
      <c r="Q6" s="2">
        <f t="shared" si="3"/>
        <v>119.16666666666667</v>
      </c>
      <c r="R6" s="21">
        <f t="shared" ca="1" si="21"/>
        <v>80047.264585978439</v>
      </c>
      <c r="X6" s="2">
        <f t="shared" si="4"/>
        <v>119.16666666666667</v>
      </c>
      <c r="AC6" s="1">
        <f t="shared" ref="AC6:AC174" si="29">SUM(AD6:AI6)</f>
        <v>3.1</v>
      </c>
      <c r="AD6" s="5">
        <v>1</v>
      </c>
      <c r="AE6" s="5">
        <v>1</v>
      </c>
      <c r="AF6" s="5">
        <v>0</v>
      </c>
      <c r="AG6" s="5">
        <v>0</v>
      </c>
      <c r="AH6" s="5">
        <v>0</v>
      </c>
      <c r="AI6" s="3">
        <f t="shared" si="5"/>
        <v>1.1000000000000001</v>
      </c>
      <c r="AJ6" s="5">
        <f t="shared" si="6"/>
        <v>0</v>
      </c>
      <c r="AK6" s="5">
        <f t="shared" si="22"/>
        <v>0</v>
      </c>
      <c r="AL6" s="5">
        <f t="shared" si="23"/>
        <v>0</v>
      </c>
      <c r="AM6" s="5">
        <f t="shared" si="7"/>
        <v>1</v>
      </c>
      <c r="AN6" s="5">
        <f t="shared" si="24"/>
        <v>0</v>
      </c>
      <c r="AO6" s="5">
        <f t="shared" si="8"/>
        <v>0</v>
      </c>
      <c r="AP6" s="1">
        <v>3</v>
      </c>
      <c r="AQ6" s="1">
        <v>1</v>
      </c>
      <c r="AR6" s="5">
        <v>0</v>
      </c>
      <c r="AS6" s="5">
        <v>0</v>
      </c>
      <c r="AT6" s="5">
        <v>0</v>
      </c>
      <c r="AU6" s="5">
        <v>0</v>
      </c>
      <c r="AV6" s="5">
        <f t="shared" si="9"/>
        <v>1</v>
      </c>
      <c r="AW6" s="5">
        <f t="shared" si="10"/>
        <v>0</v>
      </c>
      <c r="AX6" s="5">
        <f t="shared" si="11"/>
        <v>0</v>
      </c>
      <c r="AY6" s="1">
        <f t="shared" si="12"/>
        <v>0</v>
      </c>
      <c r="AZ6" s="1">
        <f t="shared" si="13"/>
        <v>0</v>
      </c>
      <c r="BA6" s="1">
        <f t="shared" si="14"/>
        <v>0</v>
      </c>
      <c r="BB6" s="5">
        <v>0</v>
      </c>
      <c r="BC6" s="5">
        <v>0</v>
      </c>
      <c r="BD6" s="5">
        <v>0</v>
      </c>
      <c r="BE6" s="5">
        <f t="shared" ref="BE6:BE174" si="30">1-SUM(BB6:BD6)</f>
        <v>1</v>
      </c>
      <c r="BF6" s="5">
        <v>0</v>
      </c>
      <c r="BG6" s="5">
        <f t="shared" si="28"/>
        <v>0</v>
      </c>
      <c r="BH6" s="5">
        <f t="shared" si="15"/>
        <v>1</v>
      </c>
      <c r="BI6" s="5">
        <f t="shared" si="15"/>
        <v>0</v>
      </c>
      <c r="BJ6" s="5">
        <f t="shared" si="15"/>
        <v>0</v>
      </c>
      <c r="BK6" s="5">
        <f t="shared" si="15"/>
        <v>0</v>
      </c>
      <c r="BL6" s="5">
        <f t="shared" si="15"/>
        <v>0</v>
      </c>
      <c r="BM6" s="5">
        <f t="shared" si="15"/>
        <v>0</v>
      </c>
      <c r="BN6" s="5">
        <f t="shared" si="15"/>
        <v>0</v>
      </c>
      <c r="BO6" s="5">
        <f t="shared" si="16"/>
        <v>0</v>
      </c>
      <c r="BP6" s="5">
        <f t="shared" si="16"/>
        <v>0</v>
      </c>
      <c r="BQ6" s="5">
        <f t="shared" si="16"/>
        <v>0</v>
      </c>
      <c r="BR6" s="5">
        <f t="shared" si="16"/>
        <v>0</v>
      </c>
      <c r="BS6" s="5">
        <f t="shared" si="16"/>
        <v>0</v>
      </c>
      <c r="BT6" s="5">
        <f t="shared" si="16"/>
        <v>0</v>
      </c>
      <c r="BU6" s="5">
        <f t="shared" si="16"/>
        <v>0</v>
      </c>
      <c r="BV6" s="5">
        <f t="shared" si="16"/>
        <v>0</v>
      </c>
      <c r="BW6" s="5">
        <f t="shared" si="16"/>
        <v>0</v>
      </c>
      <c r="BX6" s="5">
        <f t="shared" si="16"/>
        <v>0</v>
      </c>
      <c r="BY6" s="5">
        <f t="shared" si="16"/>
        <v>0</v>
      </c>
      <c r="BZ6" s="5">
        <f t="shared" si="16"/>
        <v>0</v>
      </c>
      <c r="CA6" s="5">
        <f t="shared" si="16"/>
        <v>0</v>
      </c>
      <c r="CB6" s="5">
        <f t="shared" si="16"/>
        <v>0</v>
      </c>
      <c r="CC6" s="5">
        <f t="shared" si="16"/>
        <v>0</v>
      </c>
      <c r="CD6" s="5">
        <f t="shared" si="16"/>
        <v>0</v>
      </c>
      <c r="CE6" s="5">
        <f t="shared" si="17"/>
        <v>0</v>
      </c>
    </row>
    <row r="7" spans="1:143" x14ac:dyDescent="0.2">
      <c r="A7" s="1" t="s">
        <v>20</v>
      </c>
      <c r="B7" s="1" t="s">
        <v>72</v>
      </c>
      <c r="C7" s="1">
        <f>Growth!D12</f>
        <v>0</v>
      </c>
      <c r="D7" s="5">
        <f t="shared" si="18"/>
        <v>1991</v>
      </c>
      <c r="E7" s="5">
        <v>1991</v>
      </c>
      <c r="F7" s="5">
        <f ca="1">LOOKUP($E7,frequence!$A$2:$A$35,frequence!L$2:L$35)</f>
        <v>608.87816739753373</v>
      </c>
      <c r="G7" s="5">
        <f ca="1">LOOKUP($E7,frequence!$A$2:$A$35,frequence!K$2:K$35)</f>
        <v>302.91688828027304</v>
      </c>
      <c r="H7" s="5">
        <f ca="1">LOOKUP($E7,frequence!$A$2:$A$35,frequence!M$2:M$35)</f>
        <v>914.83944651479442</v>
      </c>
      <c r="I7" s="5">
        <v>1989</v>
      </c>
      <c r="J7" s="7">
        <f>LOOKUP(I7,CPI!A$69:A$103,CPI!O$69:O$103)</f>
        <v>1.7585161290322582</v>
      </c>
      <c r="K7" s="5">
        <v>1990</v>
      </c>
      <c r="L7" s="7">
        <f t="shared" ca="1" si="19"/>
        <v>1</v>
      </c>
      <c r="M7" s="7">
        <f t="shared" si="2"/>
        <v>0.19375000000000001</v>
      </c>
      <c r="N7" s="14">
        <f>1/16</f>
        <v>6.25E-2</v>
      </c>
      <c r="O7" s="1">
        <f ca="1">P7*J7*(1+Growth!G$6)^(2010-K7)</f>
        <v>574.03560359749611</v>
      </c>
      <c r="P7" s="1">
        <f>65.94*44/12</f>
        <v>241.77999999999997</v>
      </c>
      <c r="Q7" s="2">
        <f t="shared" si="3"/>
        <v>241.77999999999997</v>
      </c>
      <c r="R7" s="21">
        <f t="shared" ca="1" si="21"/>
        <v>329516.87419754168</v>
      </c>
      <c r="X7" s="2">
        <f t="shared" si="4"/>
        <v>241.77999999999997</v>
      </c>
      <c r="AC7" s="1">
        <f t="shared" si="29"/>
        <v>3.1</v>
      </c>
      <c r="AD7" s="5">
        <v>1</v>
      </c>
      <c r="AE7" s="5">
        <v>1</v>
      </c>
      <c r="AF7" s="5">
        <v>0</v>
      </c>
      <c r="AG7" s="5">
        <v>0</v>
      </c>
      <c r="AH7" s="5">
        <v>0</v>
      </c>
      <c r="AI7" s="3">
        <f t="shared" si="5"/>
        <v>1.1000000000000001</v>
      </c>
      <c r="AJ7" s="5">
        <f t="shared" si="6"/>
        <v>0</v>
      </c>
      <c r="AK7" s="5">
        <f t="shared" si="22"/>
        <v>0</v>
      </c>
      <c r="AL7" s="5">
        <f t="shared" si="23"/>
        <v>0</v>
      </c>
      <c r="AM7" s="5">
        <f t="shared" si="7"/>
        <v>0</v>
      </c>
      <c r="AN7" s="5">
        <f t="shared" si="24"/>
        <v>0</v>
      </c>
      <c r="AO7" s="5">
        <f t="shared" si="8"/>
        <v>1</v>
      </c>
      <c r="AP7" s="1">
        <v>1</v>
      </c>
      <c r="AQ7" s="1">
        <v>0</v>
      </c>
      <c r="AR7" s="5">
        <v>0</v>
      </c>
      <c r="AS7" s="5">
        <v>0</v>
      </c>
      <c r="AT7" s="5">
        <v>0</v>
      </c>
      <c r="AU7" s="5">
        <v>0</v>
      </c>
      <c r="AV7" s="5">
        <f t="shared" si="9"/>
        <v>1</v>
      </c>
      <c r="AW7" s="5">
        <f t="shared" si="10"/>
        <v>0</v>
      </c>
      <c r="AX7" s="5">
        <f t="shared" si="11"/>
        <v>0</v>
      </c>
      <c r="AY7" s="1">
        <f t="shared" si="12"/>
        <v>0</v>
      </c>
      <c r="AZ7" s="1">
        <f t="shared" si="13"/>
        <v>0</v>
      </c>
      <c r="BA7" s="1">
        <f t="shared" si="14"/>
        <v>0</v>
      </c>
      <c r="BB7" s="5">
        <v>0</v>
      </c>
      <c r="BC7" s="5">
        <v>1</v>
      </c>
      <c r="BD7" s="5">
        <v>0</v>
      </c>
      <c r="BE7" s="5">
        <f t="shared" si="30"/>
        <v>0</v>
      </c>
      <c r="BF7" s="5">
        <v>0</v>
      </c>
      <c r="BG7" s="5">
        <f t="shared" si="28"/>
        <v>0</v>
      </c>
      <c r="BH7" s="5">
        <f t="shared" si="15"/>
        <v>1</v>
      </c>
      <c r="BI7" s="5">
        <f t="shared" si="15"/>
        <v>0</v>
      </c>
      <c r="BJ7" s="5">
        <f t="shared" si="15"/>
        <v>0</v>
      </c>
      <c r="BK7" s="5">
        <f t="shared" si="15"/>
        <v>0</v>
      </c>
      <c r="BL7" s="5">
        <f t="shared" si="15"/>
        <v>0</v>
      </c>
      <c r="BM7" s="5">
        <f t="shared" si="15"/>
        <v>0</v>
      </c>
      <c r="BN7" s="5">
        <f t="shared" si="15"/>
        <v>0</v>
      </c>
      <c r="BO7" s="5">
        <f t="shared" si="16"/>
        <v>0</v>
      </c>
      <c r="BP7" s="5">
        <f t="shared" si="16"/>
        <v>0</v>
      </c>
      <c r="BQ7" s="5">
        <f t="shared" si="16"/>
        <v>0</v>
      </c>
      <c r="BR7" s="5">
        <f t="shared" si="16"/>
        <v>0</v>
      </c>
      <c r="BS7" s="5">
        <f t="shared" si="16"/>
        <v>0</v>
      </c>
      <c r="BT7" s="5">
        <f t="shared" si="16"/>
        <v>0</v>
      </c>
      <c r="BU7" s="5">
        <f t="shared" si="16"/>
        <v>0</v>
      </c>
      <c r="BV7" s="5">
        <f t="shared" si="16"/>
        <v>0</v>
      </c>
      <c r="BW7" s="5">
        <f t="shared" si="16"/>
        <v>0</v>
      </c>
      <c r="BX7" s="5">
        <f t="shared" si="16"/>
        <v>0</v>
      </c>
      <c r="BY7" s="5">
        <f t="shared" si="16"/>
        <v>0</v>
      </c>
      <c r="BZ7" s="5">
        <f t="shared" si="16"/>
        <v>0</v>
      </c>
      <c r="CA7" s="5">
        <f t="shared" si="16"/>
        <v>0</v>
      </c>
      <c r="CB7" s="5">
        <f t="shared" si="16"/>
        <v>0</v>
      </c>
      <c r="CC7" s="5">
        <f t="shared" si="16"/>
        <v>0</v>
      </c>
      <c r="CD7" s="5">
        <f t="shared" si="16"/>
        <v>0</v>
      </c>
      <c r="CE7" s="5">
        <f t="shared" si="17"/>
        <v>0</v>
      </c>
    </row>
    <row r="8" spans="1:143" x14ac:dyDescent="0.2">
      <c r="C8" s="1">
        <f>Growth!D13</f>
        <v>0</v>
      </c>
      <c r="D8" s="5" t="b">
        <f t="shared" si="18"/>
        <v>0</v>
      </c>
      <c r="E8" s="5">
        <v>1991</v>
      </c>
      <c r="F8" s="5">
        <f ca="1">LOOKUP($E8,frequence!$A$2:$A$35,frequence!L$2:L$35)</f>
        <v>608.87816739753373</v>
      </c>
      <c r="G8" s="5">
        <f ca="1">LOOKUP($E8,frequence!$A$2:$A$35,frequence!K$2:K$35)</f>
        <v>302.91688828027304</v>
      </c>
      <c r="H8" s="5">
        <f ca="1">LOOKUP($E8,frequence!$A$2:$A$35,frequence!M$2:M$35)</f>
        <v>914.83944651479442</v>
      </c>
      <c r="I8" s="5">
        <v>1989</v>
      </c>
      <c r="J8" s="7">
        <f>LOOKUP(I8,CPI!A$69:A$103,CPI!O$69:O$103)</f>
        <v>1.7585161290322582</v>
      </c>
      <c r="K8" s="5">
        <v>1990</v>
      </c>
      <c r="L8" s="7">
        <f t="shared" ca="1" si="19"/>
        <v>1</v>
      </c>
      <c r="M8" s="7">
        <f t="shared" si="2"/>
        <v>0.38750000000000001</v>
      </c>
      <c r="N8" s="14">
        <f>2/16</f>
        <v>0.125</v>
      </c>
      <c r="O8" s="1">
        <f ca="1">P8*J8*(1+Growth!G$6)^(2010-K8)</f>
        <v>287.01780179874805</v>
      </c>
      <c r="P8" s="1">
        <f>32.97*44/12</f>
        <v>120.88999999999999</v>
      </c>
      <c r="Q8" s="2">
        <f t="shared" ref="Q8:Q15" si="31">P8</f>
        <v>120.88999999999999</v>
      </c>
      <c r="R8" s="21">
        <f t="shared" ca="1" si="21"/>
        <v>82379.218549385419</v>
      </c>
      <c r="X8" s="2">
        <f t="shared" si="4"/>
        <v>120.88999999999999</v>
      </c>
      <c r="AC8" s="1">
        <f t="shared" ref="AC8:AC15" si="32">SUM(AD8:AI8)</f>
        <v>3.1</v>
      </c>
      <c r="AD8" s="5">
        <v>1</v>
      </c>
      <c r="AE8" s="5">
        <v>1</v>
      </c>
      <c r="AF8" s="5">
        <v>0</v>
      </c>
      <c r="AG8" s="5">
        <v>0</v>
      </c>
      <c r="AH8" s="5">
        <v>0</v>
      </c>
      <c r="AI8" s="3">
        <f t="shared" si="5"/>
        <v>1.1000000000000001</v>
      </c>
      <c r="AJ8" s="5">
        <f t="shared" si="6"/>
        <v>0</v>
      </c>
      <c r="AK8" s="5">
        <f t="shared" si="22"/>
        <v>0</v>
      </c>
      <c r="AL8" s="5">
        <f t="shared" si="23"/>
        <v>0</v>
      </c>
      <c r="AM8" s="5">
        <f t="shared" si="7"/>
        <v>0</v>
      </c>
      <c r="AN8" s="5">
        <f t="shared" si="24"/>
        <v>0</v>
      </c>
      <c r="AO8" s="5">
        <f t="shared" si="8"/>
        <v>1</v>
      </c>
      <c r="AP8" s="1">
        <v>1</v>
      </c>
      <c r="AQ8" s="1">
        <v>0</v>
      </c>
      <c r="AR8" s="5">
        <v>0</v>
      </c>
      <c r="AS8" s="5">
        <v>0</v>
      </c>
      <c r="AT8" s="5">
        <v>0</v>
      </c>
      <c r="AU8" s="5">
        <v>0</v>
      </c>
      <c r="AV8" s="5">
        <f t="shared" si="9"/>
        <v>1</v>
      </c>
      <c r="AW8" s="5">
        <f t="shared" si="10"/>
        <v>0</v>
      </c>
      <c r="AX8" s="5">
        <f t="shared" si="11"/>
        <v>0</v>
      </c>
      <c r="AY8" s="1">
        <f t="shared" ref="AY8:AY15" si="33">AJ8*$AD8*(1-$AV8)*(1-$AR8)</f>
        <v>0</v>
      </c>
      <c r="AZ8" s="1">
        <f t="shared" ref="AZ8:AZ15" si="34">AM8*$AD8*(1-$AV8)*(1-$AR8)</f>
        <v>0</v>
      </c>
      <c r="BA8" s="1">
        <f t="shared" ref="BA8:BA15" si="35">AO8*$AD8*(1-$AV8)*(1-$AR8)</f>
        <v>0</v>
      </c>
      <c r="BB8" s="5">
        <v>0</v>
      </c>
      <c r="BC8" s="5">
        <v>1</v>
      </c>
      <c r="BD8" s="5">
        <v>0</v>
      </c>
      <c r="BE8" s="5">
        <f t="shared" ref="BE8:BE15" si="36">1-SUM(BB8:BD8)</f>
        <v>0</v>
      </c>
      <c r="BF8" s="5">
        <v>0</v>
      </c>
      <c r="BG8" s="5">
        <f t="shared" si="28"/>
        <v>0</v>
      </c>
      <c r="BH8" s="5">
        <f t="shared" si="15"/>
        <v>1</v>
      </c>
      <c r="BI8" s="5">
        <f t="shared" si="15"/>
        <v>0</v>
      </c>
      <c r="BJ8" s="5">
        <f t="shared" si="15"/>
        <v>0</v>
      </c>
      <c r="BK8" s="5">
        <f t="shared" si="15"/>
        <v>0</v>
      </c>
      <c r="BL8" s="5">
        <f t="shared" si="15"/>
        <v>0</v>
      </c>
      <c r="BM8" s="5">
        <f t="shared" si="15"/>
        <v>0</v>
      </c>
      <c r="BN8" s="5">
        <f t="shared" si="15"/>
        <v>0</v>
      </c>
      <c r="BO8" s="5">
        <f t="shared" si="16"/>
        <v>0</v>
      </c>
      <c r="BP8" s="5">
        <f t="shared" si="16"/>
        <v>0</v>
      </c>
      <c r="BQ8" s="5">
        <f t="shared" si="16"/>
        <v>0</v>
      </c>
      <c r="BR8" s="5">
        <f t="shared" si="16"/>
        <v>0</v>
      </c>
      <c r="BS8" s="5">
        <f t="shared" si="16"/>
        <v>0</v>
      </c>
      <c r="BT8" s="5">
        <f t="shared" si="16"/>
        <v>0</v>
      </c>
      <c r="BU8" s="5">
        <f t="shared" si="16"/>
        <v>0</v>
      </c>
      <c r="BV8" s="5">
        <f t="shared" si="16"/>
        <v>0</v>
      </c>
      <c r="BW8" s="5">
        <f t="shared" si="16"/>
        <v>0</v>
      </c>
      <c r="BX8" s="5">
        <f t="shared" si="16"/>
        <v>0</v>
      </c>
      <c r="BY8" s="5">
        <f t="shared" si="16"/>
        <v>0</v>
      </c>
      <c r="BZ8" s="5">
        <f t="shared" si="16"/>
        <v>0</v>
      </c>
      <c r="CA8" s="5">
        <f t="shared" si="16"/>
        <v>0</v>
      </c>
      <c r="CB8" s="5">
        <f t="shared" si="16"/>
        <v>0</v>
      </c>
      <c r="CC8" s="5">
        <f t="shared" si="16"/>
        <v>0</v>
      </c>
      <c r="CD8" s="5">
        <f t="shared" si="16"/>
        <v>0</v>
      </c>
      <c r="CE8" s="5">
        <f t="shared" si="17"/>
        <v>0</v>
      </c>
    </row>
    <row r="9" spans="1:143" x14ac:dyDescent="0.2">
      <c r="C9" s="1">
        <f>Growth!D14</f>
        <v>0</v>
      </c>
      <c r="D9" s="5" t="b">
        <f t="shared" si="18"/>
        <v>0</v>
      </c>
      <c r="E9" s="5">
        <v>1991</v>
      </c>
      <c r="F9" s="5">
        <f ca="1">LOOKUP($E9,frequence!$A$2:$A$35,frequence!L$2:L$35)</f>
        <v>608.87816739753373</v>
      </c>
      <c r="G9" s="5">
        <f ca="1">LOOKUP($E9,frequence!$A$2:$A$35,frequence!K$2:K$35)</f>
        <v>302.91688828027304</v>
      </c>
      <c r="H9" s="5">
        <f ca="1">LOOKUP($E9,frequence!$A$2:$A$35,frequence!M$2:M$35)</f>
        <v>914.83944651479442</v>
      </c>
      <c r="I9" s="5">
        <v>1989</v>
      </c>
      <c r="J9" s="7">
        <f>LOOKUP(I9,CPI!A$69:A$103,CPI!O$69:O$103)</f>
        <v>1.7585161290322582</v>
      </c>
      <c r="K9" s="5">
        <v>1990</v>
      </c>
      <c r="L9" s="7">
        <f t="shared" ca="1" si="19"/>
        <v>1</v>
      </c>
      <c r="M9" s="7">
        <f t="shared" si="2"/>
        <v>0.19375000000000001</v>
      </c>
      <c r="N9" s="14">
        <f>1/16</f>
        <v>6.25E-2</v>
      </c>
      <c r="O9" s="1">
        <f ca="1">P9*J9*(1+Growth!G$6)^(2010-K9)</f>
        <v>71.73268689177084</v>
      </c>
      <c r="P9" s="1">
        <f>8.24*44/12</f>
        <v>30.213333333333335</v>
      </c>
      <c r="Q9" s="2">
        <f t="shared" si="31"/>
        <v>30.213333333333335</v>
      </c>
      <c r="R9" s="21">
        <f t="shared" ca="1" si="21"/>
        <v>5145.5783687128323</v>
      </c>
      <c r="X9" s="2">
        <f t="shared" si="4"/>
        <v>30.213333333333335</v>
      </c>
      <c r="AC9" s="1">
        <f t="shared" si="32"/>
        <v>3.1</v>
      </c>
      <c r="AD9" s="5">
        <v>1</v>
      </c>
      <c r="AE9" s="5">
        <v>1</v>
      </c>
      <c r="AF9" s="5">
        <v>0</v>
      </c>
      <c r="AG9" s="5">
        <v>0</v>
      </c>
      <c r="AH9" s="5">
        <v>0</v>
      </c>
      <c r="AI9" s="3">
        <f t="shared" si="5"/>
        <v>1.1000000000000001</v>
      </c>
      <c r="AJ9" s="5">
        <f t="shared" si="6"/>
        <v>0</v>
      </c>
      <c r="AK9" s="5">
        <f t="shared" si="22"/>
        <v>0</v>
      </c>
      <c r="AL9" s="5">
        <f t="shared" si="23"/>
        <v>0</v>
      </c>
      <c r="AM9" s="5">
        <f t="shared" si="7"/>
        <v>0</v>
      </c>
      <c r="AN9" s="5">
        <f t="shared" si="24"/>
        <v>0</v>
      </c>
      <c r="AO9" s="5">
        <f t="shared" si="8"/>
        <v>1</v>
      </c>
      <c r="AP9" s="1">
        <v>1</v>
      </c>
      <c r="AQ9" s="1">
        <v>0</v>
      </c>
      <c r="AR9" s="5">
        <v>0</v>
      </c>
      <c r="AS9" s="5">
        <v>0</v>
      </c>
      <c r="AT9" s="5">
        <v>0</v>
      </c>
      <c r="AU9" s="5">
        <v>0</v>
      </c>
      <c r="AV9" s="5">
        <f t="shared" si="9"/>
        <v>1</v>
      </c>
      <c r="AW9" s="5">
        <f t="shared" si="10"/>
        <v>0</v>
      </c>
      <c r="AX9" s="5">
        <f t="shared" si="11"/>
        <v>0</v>
      </c>
      <c r="AY9" s="1">
        <f t="shared" si="33"/>
        <v>0</v>
      </c>
      <c r="AZ9" s="1">
        <f t="shared" si="34"/>
        <v>0</v>
      </c>
      <c r="BA9" s="1">
        <f t="shared" si="35"/>
        <v>0</v>
      </c>
      <c r="BB9" s="5">
        <v>0</v>
      </c>
      <c r="BC9" s="5">
        <v>1</v>
      </c>
      <c r="BD9" s="5">
        <v>0</v>
      </c>
      <c r="BE9" s="5">
        <f t="shared" si="36"/>
        <v>0</v>
      </c>
      <c r="BF9" s="5">
        <v>0</v>
      </c>
      <c r="BG9" s="5">
        <f t="shared" si="28"/>
        <v>0</v>
      </c>
      <c r="BH9" s="5">
        <f t="shared" si="15"/>
        <v>1</v>
      </c>
      <c r="BI9" s="5">
        <f t="shared" si="15"/>
        <v>0</v>
      </c>
      <c r="BJ9" s="5">
        <f t="shared" si="15"/>
        <v>0</v>
      </c>
      <c r="BK9" s="5">
        <f t="shared" si="15"/>
        <v>0</v>
      </c>
      <c r="BL9" s="5">
        <f t="shared" si="15"/>
        <v>0</v>
      </c>
      <c r="BM9" s="5">
        <f t="shared" si="15"/>
        <v>0</v>
      </c>
      <c r="BN9" s="5">
        <f t="shared" si="15"/>
        <v>0</v>
      </c>
      <c r="BO9" s="5">
        <f t="shared" si="16"/>
        <v>0</v>
      </c>
      <c r="BP9" s="5">
        <f t="shared" si="16"/>
        <v>0</v>
      </c>
      <c r="BQ9" s="5">
        <f t="shared" si="16"/>
        <v>0</v>
      </c>
      <c r="BR9" s="5">
        <f t="shared" si="16"/>
        <v>0</v>
      </c>
      <c r="BS9" s="5">
        <f t="shared" si="16"/>
        <v>0</v>
      </c>
      <c r="BT9" s="5">
        <f t="shared" si="16"/>
        <v>0</v>
      </c>
      <c r="BU9" s="5">
        <f t="shared" si="16"/>
        <v>0</v>
      </c>
      <c r="BV9" s="5">
        <f t="shared" si="16"/>
        <v>0</v>
      </c>
      <c r="BW9" s="5">
        <f t="shared" si="16"/>
        <v>0</v>
      </c>
      <c r="BX9" s="5">
        <f t="shared" si="16"/>
        <v>0</v>
      </c>
      <c r="BY9" s="5">
        <f t="shared" si="16"/>
        <v>0</v>
      </c>
      <c r="BZ9" s="5">
        <f t="shared" si="16"/>
        <v>0</v>
      </c>
      <c r="CA9" s="5">
        <f t="shared" si="16"/>
        <v>0</v>
      </c>
      <c r="CB9" s="5">
        <f t="shared" si="16"/>
        <v>0</v>
      </c>
      <c r="CC9" s="5">
        <f t="shared" si="16"/>
        <v>0</v>
      </c>
      <c r="CD9" s="5">
        <f t="shared" si="16"/>
        <v>0</v>
      </c>
      <c r="CE9" s="5">
        <f t="shared" si="17"/>
        <v>0</v>
      </c>
    </row>
    <row r="10" spans="1:143" x14ac:dyDescent="0.2">
      <c r="C10" s="1">
        <f>Growth!D15</f>
        <v>0</v>
      </c>
      <c r="D10" s="5" t="b">
        <f t="shared" si="18"/>
        <v>0</v>
      </c>
      <c r="E10" s="5">
        <v>1991</v>
      </c>
      <c r="F10" s="5">
        <f ca="1">LOOKUP($E10,frequence!$A$2:$A$35,frequence!L$2:L$35)</f>
        <v>608.87816739753373</v>
      </c>
      <c r="G10" s="5">
        <f ca="1">LOOKUP($E10,frequence!$A$2:$A$35,frequence!K$2:K$35)</f>
        <v>302.91688828027304</v>
      </c>
      <c r="H10" s="5">
        <f ca="1">LOOKUP($E10,frequence!$A$2:$A$35,frequence!M$2:M$35)</f>
        <v>914.83944651479442</v>
      </c>
      <c r="I10" s="5">
        <v>1989</v>
      </c>
      <c r="J10" s="7">
        <f>LOOKUP(I10,CPI!A$69:A$103,CPI!O$69:O$103)</f>
        <v>1.7585161290322582</v>
      </c>
      <c r="K10" s="5">
        <v>1990</v>
      </c>
      <c r="L10" s="7">
        <f t="shared" ca="1" si="19"/>
        <v>1</v>
      </c>
      <c r="M10" s="7">
        <f t="shared" si="2"/>
        <v>0.38750000000000001</v>
      </c>
      <c r="N10" s="14">
        <f>2/16</f>
        <v>0.125</v>
      </c>
      <c r="O10" s="1">
        <f ca="1">P10*J10*(1+Growth!G$6)^(2010-K10)</f>
        <v>127.53444938888869</v>
      </c>
      <c r="P10" s="1">
        <f>14.65*44/12</f>
        <v>53.716666666666669</v>
      </c>
      <c r="Q10" s="2">
        <f t="shared" si="31"/>
        <v>53.716666666666669</v>
      </c>
      <c r="R10" s="21">
        <f t="shared" ca="1" si="21"/>
        <v>16265.03578092701</v>
      </c>
      <c r="X10" s="2">
        <f t="shared" si="4"/>
        <v>53.716666666666669</v>
      </c>
      <c r="AC10" s="1">
        <f t="shared" si="32"/>
        <v>3.1</v>
      </c>
      <c r="AD10" s="5">
        <v>1</v>
      </c>
      <c r="AE10" s="5">
        <v>1</v>
      </c>
      <c r="AF10" s="5">
        <v>0</v>
      </c>
      <c r="AG10" s="5">
        <v>0</v>
      </c>
      <c r="AH10" s="5">
        <v>0</v>
      </c>
      <c r="AI10" s="3">
        <f t="shared" si="5"/>
        <v>1.1000000000000001</v>
      </c>
      <c r="AJ10" s="5">
        <f t="shared" si="6"/>
        <v>0</v>
      </c>
      <c r="AK10" s="5">
        <f t="shared" si="22"/>
        <v>0</v>
      </c>
      <c r="AL10" s="5">
        <f t="shared" si="23"/>
        <v>0</v>
      </c>
      <c r="AM10" s="5">
        <f t="shared" si="7"/>
        <v>1</v>
      </c>
      <c r="AN10" s="5">
        <f t="shared" si="24"/>
        <v>0</v>
      </c>
      <c r="AO10" s="5">
        <f t="shared" si="8"/>
        <v>0</v>
      </c>
      <c r="AP10" s="1">
        <v>3</v>
      </c>
      <c r="AQ10" s="1">
        <v>1</v>
      </c>
      <c r="AR10" s="5">
        <v>0</v>
      </c>
      <c r="AS10" s="5">
        <v>0</v>
      </c>
      <c r="AT10" s="5">
        <v>0</v>
      </c>
      <c r="AU10" s="5">
        <v>0</v>
      </c>
      <c r="AV10" s="5">
        <f t="shared" si="9"/>
        <v>1</v>
      </c>
      <c r="AW10" s="5">
        <f t="shared" si="10"/>
        <v>0</v>
      </c>
      <c r="AX10" s="5">
        <f t="shared" si="11"/>
        <v>0</v>
      </c>
      <c r="AY10" s="1">
        <f t="shared" si="33"/>
        <v>0</v>
      </c>
      <c r="AZ10" s="1">
        <f t="shared" si="34"/>
        <v>0</v>
      </c>
      <c r="BA10" s="1">
        <f t="shared" si="35"/>
        <v>0</v>
      </c>
      <c r="BB10" s="5">
        <v>0</v>
      </c>
      <c r="BC10" s="5">
        <v>1</v>
      </c>
      <c r="BD10" s="5">
        <v>0</v>
      </c>
      <c r="BE10" s="5">
        <f t="shared" si="36"/>
        <v>0</v>
      </c>
      <c r="BF10" s="5">
        <v>0</v>
      </c>
      <c r="BG10" s="5">
        <f t="shared" si="28"/>
        <v>0</v>
      </c>
      <c r="BH10" s="5">
        <f t="shared" si="15"/>
        <v>1</v>
      </c>
      <c r="BI10" s="5">
        <f t="shared" si="15"/>
        <v>0</v>
      </c>
      <c r="BJ10" s="5">
        <f t="shared" si="15"/>
        <v>0</v>
      </c>
      <c r="BK10" s="5">
        <f t="shared" si="15"/>
        <v>0</v>
      </c>
      <c r="BL10" s="5">
        <f t="shared" si="15"/>
        <v>0</v>
      </c>
      <c r="BM10" s="5">
        <f t="shared" si="15"/>
        <v>0</v>
      </c>
      <c r="BN10" s="5">
        <f t="shared" si="15"/>
        <v>0</v>
      </c>
      <c r="BO10" s="5">
        <f t="shared" si="16"/>
        <v>0</v>
      </c>
      <c r="BP10" s="5">
        <f t="shared" si="16"/>
        <v>0</v>
      </c>
      <c r="BQ10" s="5">
        <f t="shared" si="16"/>
        <v>0</v>
      </c>
      <c r="BR10" s="5">
        <f t="shared" si="16"/>
        <v>0</v>
      </c>
      <c r="BS10" s="5">
        <f t="shared" si="16"/>
        <v>0</v>
      </c>
      <c r="BT10" s="5">
        <f t="shared" si="16"/>
        <v>0</v>
      </c>
      <c r="BU10" s="5">
        <f t="shared" si="16"/>
        <v>0</v>
      </c>
      <c r="BV10" s="5">
        <f t="shared" si="16"/>
        <v>0</v>
      </c>
      <c r="BW10" s="5">
        <f t="shared" si="16"/>
        <v>0</v>
      </c>
      <c r="BX10" s="5">
        <f t="shared" si="16"/>
        <v>0</v>
      </c>
      <c r="BY10" s="5">
        <f t="shared" si="16"/>
        <v>0</v>
      </c>
      <c r="BZ10" s="5">
        <f t="shared" si="16"/>
        <v>0</v>
      </c>
      <c r="CA10" s="5">
        <f t="shared" si="16"/>
        <v>0</v>
      </c>
      <c r="CB10" s="5">
        <f t="shared" si="16"/>
        <v>0</v>
      </c>
      <c r="CC10" s="5">
        <f t="shared" si="16"/>
        <v>0</v>
      </c>
      <c r="CD10" s="5">
        <f t="shared" si="16"/>
        <v>0</v>
      </c>
      <c r="CE10" s="5">
        <f t="shared" si="17"/>
        <v>0</v>
      </c>
    </row>
    <row r="11" spans="1:143" x14ac:dyDescent="0.2">
      <c r="C11" s="1">
        <f>Growth!D16</f>
        <v>0</v>
      </c>
      <c r="D11" s="5" t="b">
        <f t="shared" si="18"/>
        <v>0</v>
      </c>
      <c r="E11" s="5">
        <v>1991</v>
      </c>
      <c r="F11" s="5">
        <f ca="1">LOOKUP($E11,frequence!$A$2:$A$35,frequence!L$2:L$35)</f>
        <v>608.87816739753373</v>
      </c>
      <c r="G11" s="5">
        <f ca="1">LOOKUP($E11,frequence!$A$2:$A$35,frequence!K$2:K$35)</f>
        <v>302.91688828027304</v>
      </c>
      <c r="H11" s="5">
        <f ca="1">LOOKUP($E11,frequence!$A$2:$A$35,frequence!M$2:M$35)</f>
        <v>914.83944651479442</v>
      </c>
      <c r="I11" s="5">
        <v>1989</v>
      </c>
      <c r="J11" s="7">
        <f>LOOKUP(I11,CPI!A$69:A$103,CPI!O$69:O$103)</f>
        <v>1.7585161290322582</v>
      </c>
      <c r="K11" s="5">
        <v>1990</v>
      </c>
      <c r="L11" s="7">
        <f t="shared" ca="1" si="19"/>
        <v>1</v>
      </c>
      <c r="M11" s="7">
        <f t="shared" si="2"/>
        <v>0.77500000000000002</v>
      </c>
      <c r="N11" s="14">
        <f>4/16</f>
        <v>0.25</v>
      </c>
      <c r="O11" s="1">
        <f ca="1">P11*J11*(1+Growth!G$6)^(2010-K11)</f>
        <v>63.81075181027672</v>
      </c>
      <c r="P11" s="1">
        <f>7.33*44/12</f>
        <v>26.876666666666665</v>
      </c>
      <c r="Q11" s="2">
        <f t="shared" si="31"/>
        <v>26.876666666666665</v>
      </c>
      <c r="R11" s="21">
        <f t="shared" ca="1" si="21"/>
        <v>4071.8120465927336</v>
      </c>
      <c r="X11" s="2">
        <f t="shared" si="4"/>
        <v>26.876666666666665</v>
      </c>
      <c r="AC11" s="1">
        <f t="shared" si="32"/>
        <v>3.1</v>
      </c>
      <c r="AD11" s="5">
        <v>1</v>
      </c>
      <c r="AE11" s="5">
        <v>1</v>
      </c>
      <c r="AF11" s="5">
        <v>0</v>
      </c>
      <c r="AG11" s="5">
        <v>0</v>
      </c>
      <c r="AH11" s="5">
        <v>0</v>
      </c>
      <c r="AI11" s="3">
        <f t="shared" si="5"/>
        <v>1.1000000000000001</v>
      </c>
      <c r="AJ11" s="5">
        <f t="shared" si="6"/>
        <v>0</v>
      </c>
      <c r="AK11" s="5">
        <f t="shared" si="22"/>
        <v>0</v>
      </c>
      <c r="AL11" s="5">
        <f t="shared" si="23"/>
        <v>0</v>
      </c>
      <c r="AM11" s="5">
        <f t="shared" si="7"/>
        <v>1</v>
      </c>
      <c r="AN11" s="5">
        <f t="shared" si="24"/>
        <v>0</v>
      </c>
      <c r="AO11" s="5">
        <f t="shared" si="8"/>
        <v>0</v>
      </c>
      <c r="AP11" s="1">
        <v>3</v>
      </c>
      <c r="AQ11" s="1">
        <v>1</v>
      </c>
      <c r="AR11" s="5">
        <v>0</v>
      </c>
      <c r="AS11" s="5">
        <v>0</v>
      </c>
      <c r="AT11" s="5">
        <v>0</v>
      </c>
      <c r="AU11" s="5">
        <v>0</v>
      </c>
      <c r="AV11" s="5">
        <f t="shared" si="9"/>
        <v>1</v>
      </c>
      <c r="AW11" s="5">
        <f t="shared" si="10"/>
        <v>0</v>
      </c>
      <c r="AX11" s="5">
        <f t="shared" si="11"/>
        <v>0</v>
      </c>
      <c r="AY11" s="1">
        <f t="shared" si="33"/>
        <v>0</v>
      </c>
      <c r="AZ11" s="1">
        <f t="shared" si="34"/>
        <v>0</v>
      </c>
      <c r="BA11" s="1">
        <f t="shared" si="35"/>
        <v>0</v>
      </c>
      <c r="BB11" s="5">
        <v>0</v>
      </c>
      <c r="BC11" s="5">
        <v>1</v>
      </c>
      <c r="BD11" s="5">
        <v>0</v>
      </c>
      <c r="BE11" s="5">
        <f t="shared" si="36"/>
        <v>0</v>
      </c>
      <c r="BF11" s="5">
        <v>0</v>
      </c>
      <c r="BG11" s="5">
        <f t="shared" si="28"/>
        <v>0</v>
      </c>
      <c r="BH11" s="5">
        <f t="shared" si="15"/>
        <v>1</v>
      </c>
      <c r="BI11" s="5">
        <f t="shared" si="15"/>
        <v>0</v>
      </c>
      <c r="BJ11" s="5">
        <f t="shared" si="15"/>
        <v>0</v>
      </c>
      <c r="BK11" s="5">
        <f t="shared" si="15"/>
        <v>0</v>
      </c>
      <c r="BL11" s="5">
        <f t="shared" si="15"/>
        <v>0</v>
      </c>
      <c r="BM11" s="5">
        <f t="shared" si="15"/>
        <v>0</v>
      </c>
      <c r="BN11" s="5">
        <f t="shared" si="15"/>
        <v>0</v>
      </c>
      <c r="BO11" s="5">
        <f t="shared" si="16"/>
        <v>0</v>
      </c>
      <c r="BP11" s="5">
        <f t="shared" si="16"/>
        <v>0</v>
      </c>
      <c r="BQ11" s="5">
        <f t="shared" si="16"/>
        <v>0</v>
      </c>
      <c r="BR11" s="5">
        <f t="shared" si="16"/>
        <v>0</v>
      </c>
      <c r="BS11" s="5">
        <f t="shared" si="16"/>
        <v>0</v>
      </c>
      <c r="BT11" s="5">
        <f t="shared" si="16"/>
        <v>0</v>
      </c>
      <c r="BU11" s="5">
        <f t="shared" si="16"/>
        <v>0</v>
      </c>
      <c r="BV11" s="5">
        <f t="shared" si="16"/>
        <v>0</v>
      </c>
      <c r="BW11" s="5">
        <f t="shared" si="16"/>
        <v>0</v>
      </c>
      <c r="BX11" s="5">
        <f t="shared" si="16"/>
        <v>0</v>
      </c>
      <c r="BY11" s="5">
        <f t="shared" si="16"/>
        <v>0</v>
      </c>
      <c r="BZ11" s="5">
        <f t="shared" si="16"/>
        <v>0</v>
      </c>
      <c r="CA11" s="5">
        <f t="shared" si="16"/>
        <v>0</v>
      </c>
      <c r="CB11" s="5">
        <f t="shared" si="16"/>
        <v>0</v>
      </c>
      <c r="CC11" s="5">
        <f t="shared" si="16"/>
        <v>0</v>
      </c>
      <c r="CD11" s="5">
        <f t="shared" si="16"/>
        <v>0</v>
      </c>
      <c r="CE11" s="5">
        <f t="shared" si="17"/>
        <v>0</v>
      </c>
    </row>
    <row r="12" spans="1:143" x14ac:dyDescent="0.2">
      <c r="C12" s="1">
        <f>Growth!D17</f>
        <v>0</v>
      </c>
      <c r="D12" s="5" t="b">
        <f t="shared" si="18"/>
        <v>0</v>
      </c>
      <c r="E12" s="5">
        <v>1991</v>
      </c>
      <c r="F12" s="5">
        <f ca="1">LOOKUP($E12,frequence!$A$2:$A$35,frequence!L$2:L$35)</f>
        <v>608.87816739753373</v>
      </c>
      <c r="G12" s="5">
        <f ca="1">LOOKUP($E12,frequence!$A$2:$A$35,frequence!K$2:K$35)</f>
        <v>302.91688828027304</v>
      </c>
      <c r="H12" s="5">
        <f ca="1">LOOKUP($E12,frequence!$A$2:$A$35,frequence!M$2:M$35)</f>
        <v>914.83944651479442</v>
      </c>
      <c r="I12" s="5">
        <v>1989</v>
      </c>
      <c r="J12" s="7">
        <f>LOOKUP(I12,CPI!A$69:A$103,CPI!O$69:O$103)</f>
        <v>1.7585161290322582</v>
      </c>
      <c r="K12" s="5">
        <v>1990</v>
      </c>
      <c r="L12" s="7">
        <f t="shared" ca="1" si="19"/>
        <v>1</v>
      </c>
      <c r="M12" s="7">
        <f t="shared" si="2"/>
        <v>0.38750000000000001</v>
      </c>
      <c r="N12" s="14">
        <f>2/16</f>
        <v>0.125</v>
      </c>
      <c r="O12" s="1">
        <f ca="1">P12*J12*(1+Growth!G$6)^(2010-K12)</f>
        <v>15.93092439465299</v>
      </c>
      <c r="P12" s="1">
        <f>1.83*44/12</f>
        <v>6.7100000000000009</v>
      </c>
      <c r="Q12" s="2">
        <f t="shared" si="31"/>
        <v>6.7100000000000009</v>
      </c>
      <c r="R12" s="21">
        <f t="shared" ca="1" si="21"/>
        <v>253.79435206814975</v>
      </c>
      <c r="X12" s="2">
        <f t="shared" si="4"/>
        <v>6.7100000000000009</v>
      </c>
      <c r="AC12" s="1">
        <f t="shared" si="32"/>
        <v>3.1</v>
      </c>
      <c r="AD12" s="5">
        <v>1</v>
      </c>
      <c r="AE12" s="5">
        <v>1</v>
      </c>
      <c r="AF12" s="5">
        <v>0</v>
      </c>
      <c r="AG12" s="5">
        <v>0</v>
      </c>
      <c r="AH12" s="5">
        <v>0</v>
      </c>
      <c r="AI12" s="3">
        <f t="shared" si="5"/>
        <v>1.1000000000000001</v>
      </c>
      <c r="AJ12" s="5">
        <f t="shared" si="6"/>
        <v>0</v>
      </c>
      <c r="AK12" s="5">
        <f t="shared" si="22"/>
        <v>0</v>
      </c>
      <c r="AL12" s="5">
        <f t="shared" si="23"/>
        <v>0</v>
      </c>
      <c r="AM12" s="5">
        <f t="shared" si="7"/>
        <v>1</v>
      </c>
      <c r="AN12" s="5">
        <f t="shared" si="24"/>
        <v>0</v>
      </c>
      <c r="AO12" s="5">
        <f t="shared" si="8"/>
        <v>0</v>
      </c>
      <c r="AP12" s="1">
        <v>3</v>
      </c>
      <c r="AQ12" s="1">
        <v>1</v>
      </c>
      <c r="AR12" s="5">
        <v>0</v>
      </c>
      <c r="AS12" s="5">
        <v>0</v>
      </c>
      <c r="AT12" s="5">
        <v>0</v>
      </c>
      <c r="AU12" s="5">
        <v>0</v>
      </c>
      <c r="AV12" s="5">
        <f t="shared" si="9"/>
        <v>1</v>
      </c>
      <c r="AW12" s="5">
        <f t="shared" si="10"/>
        <v>0</v>
      </c>
      <c r="AX12" s="5">
        <f t="shared" si="11"/>
        <v>0</v>
      </c>
      <c r="AY12" s="1">
        <f t="shared" si="33"/>
        <v>0</v>
      </c>
      <c r="AZ12" s="1">
        <f t="shared" si="34"/>
        <v>0</v>
      </c>
      <c r="BA12" s="1">
        <f t="shared" si="35"/>
        <v>0</v>
      </c>
      <c r="BB12" s="5">
        <v>0</v>
      </c>
      <c r="BC12" s="5">
        <v>1</v>
      </c>
      <c r="BD12" s="5">
        <v>0</v>
      </c>
      <c r="BE12" s="5">
        <f t="shared" si="36"/>
        <v>0</v>
      </c>
      <c r="BF12" s="5">
        <v>0</v>
      </c>
      <c r="BG12" s="5">
        <f t="shared" si="28"/>
        <v>0</v>
      </c>
      <c r="BH12" s="5">
        <f t="shared" si="15"/>
        <v>1</v>
      </c>
      <c r="BI12" s="5">
        <f t="shared" si="15"/>
        <v>0</v>
      </c>
      <c r="BJ12" s="5">
        <f t="shared" si="15"/>
        <v>0</v>
      </c>
      <c r="BK12" s="5">
        <f t="shared" si="15"/>
        <v>0</v>
      </c>
      <c r="BL12" s="5">
        <f t="shared" si="15"/>
        <v>0</v>
      </c>
      <c r="BM12" s="5">
        <f t="shared" si="15"/>
        <v>0</v>
      </c>
      <c r="BN12" s="5">
        <f t="shared" si="15"/>
        <v>0</v>
      </c>
      <c r="BO12" s="5">
        <f t="shared" si="16"/>
        <v>0</v>
      </c>
      <c r="BP12" s="5">
        <f t="shared" si="16"/>
        <v>0</v>
      </c>
      <c r="BQ12" s="5">
        <f t="shared" si="16"/>
        <v>0</v>
      </c>
      <c r="BR12" s="5">
        <f t="shared" si="16"/>
        <v>0</v>
      </c>
      <c r="BS12" s="5">
        <f t="shared" si="16"/>
        <v>0</v>
      </c>
      <c r="BT12" s="5">
        <f t="shared" si="16"/>
        <v>0</v>
      </c>
      <c r="BU12" s="5">
        <f t="shared" si="16"/>
        <v>0</v>
      </c>
      <c r="BV12" s="5">
        <f t="shared" si="16"/>
        <v>0</v>
      </c>
      <c r="BW12" s="5">
        <f t="shared" si="16"/>
        <v>0</v>
      </c>
      <c r="BX12" s="5">
        <f t="shared" si="16"/>
        <v>0</v>
      </c>
      <c r="BY12" s="5">
        <f t="shared" si="16"/>
        <v>0</v>
      </c>
      <c r="BZ12" s="5">
        <f t="shared" si="16"/>
        <v>0</v>
      </c>
      <c r="CA12" s="5">
        <f t="shared" si="16"/>
        <v>0</v>
      </c>
      <c r="CB12" s="5">
        <f t="shared" si="16"/>
        <v>0</v>
      </c>
      <c r="CC12" s="5">
        <f t="shared" si="16"/>
        <v>0</v>
      </c>
      <c r="CD12" s="5">
        <f t="shared" si="16"/>
        <v>0</v>
      </c>
      <c r="CE12" s="5">
        <f t="shared" si="17"/>
        <v>0</v>
      </c>
    </row>
    <row r="13" spans="1:143" x14ac:dyDescent="0.2">
      <c r="C13" s="1">
        <f>Growth!D18</f>
        <v>0</v>
      </c>
      <c r="D13" s="5" t="b">
        <f t="shared" si="18"/>
        <v>0</v>
      </c>
      <c r="E13" s="5">
        <v>1991</v>
      </c>
      <c r="F13" s="5">
        <f ca="1">LOOKUP($E13,frequence!$A$2:$A$35,frequence!L$2:L$35)</f>
        <v>608.87816739753373</v>
      </c>
      <c r="G13" s="5">
        <f ca="1">LOOKUP($E13,frequence!$A$2:$A$35,frequence!K$2:K$35)</f>
        <v>302.91688828027304</v>
      </c>
      <c r="H13" s="5">
        <f ca="1">LOOKUP($E13,frequence!$A$2:$A$35,frequence!M$2:M$35)</f>
        <v>914.83944651479442</v>
      </c>
      <c r="I13" s="5">
        <v>1989</v>
      </c>
      <c r="J13" s="7">
        <f>LOOKUP(I13,CPI!A$69:A$103,CPI!O$69:O$103)</f>
        <v>1.7585161290322582</v>
      </c>
      <c r="K13" s="5">
        <v>1990</v>
      </c>
      <c r="L13" s="7">
        <f t="shared" ca="1" si="19"/>
        <v>1</v>
      </c>
      <c r="M13" s="7">
        <f t="shared" si="2"/>
        <v>0.19375000000000001</v>
      </c>
      <c r="N13" s="14">
        <f>1/16</f>
        <v>6.25E-2</v>
      </c>
      <c r="O13" s="1">
        <f ca="1">P13*J13*(1+Growth!G$6)^(2010-K13)</f>
        <v>21.241232526203987</v>
      </c>
      <c r="P13" s="1">
        <f>2.44*44/12</f>
        <v>8.9466666666666672</v>
      </c>
      <c r="Q13" s="2">
        <f t="shared" si="31"/>
        <v>8.9466666666666672</v>
      </c>
      <c r="R13" s="21">
        <f t="shared" ca="1" si="21"/>
        <v>451.18995923226623</v>
      </c>
      <c r="X13" s="2">
        <f t="shared" si="4"/>
        <v>8.9466666666666672</v>
      </c>
      <c r="AC13" s="1">
        <f t="shared" si="32"/>
        <v>3.1</v>
      </c>
      <c r="AD13" s="5">
        <v>1</v>
      </c>
      <c r="AE13" s="5">
        <v>1</v>
      </c>
      <c r="AF13" s="5">
        <v>0</v>
      </c>
      <c r="AG13" s="5">
        <v>0</v>
      </c>
      <c r="AH13" s="5">
        <v>0</v>
      </c>
      <c r="AI13" s="3">
        <f t="shared" si="5"/>
        <v>1.1000000000000001</v>
      </c>
      <c r="AJ13" s="5">
        <f t="shared" si="6"/>
        <v>0</v>
      </c>
      <c r="AK13" s="5">
        <f t="shared" si="22"/>
        <v>0</v>
      </c>
      <c r="AL13" s="5">
        <f t="shared" si="23"/>
        <v>0</v>
      </c>
      <c r="AM13" s="5">
        <f t="shared" si="7"/>
        <v>0</v>
      </c>
      <c r="AN13" s="5">
        <f t="shared" si="24"/>
        <v>0</v>
      </c>
      <c r="AO13" s="5">
        <f t="shared" si="8"/>
        <v>0</v>
      </c>
      <c r="AP13" s="1">
        <v>6</v>
      </c>
      <c r="AQ13" s="1">
        <v>4</v>
      </c>
      <c r="AR13" s="5">
        <v>0</v>
      </c>
      <c r="AS13" s="5">
        <v>0</v>
      </c>
      <c r="AT13" s="5">
        <v>0</v>
      </c>
      <c r="AU13" s="5">
        <v>0</v>
      </c>
      <c r="AV13" s="5">
        <f t="shared" si="9"/>
        <v>1</v>
      </c>
      <c r="AW13" s="5">
        <f t="shared" si="10"/>
        <v>0</v>
      </c>
      <c r="AX13" s="5">
        <f t="shared" si="11"/>
        <v>0</v>
      </c>
      <c r="AY13" s="1">
        <f t="shared" si="33"/>
        <v>0</v>
      </c>
      <c r="AZ13" s="1">
        <f t="shared" si="34"/>
        <v>0</v>
      </c>
      <c r="BA13" s="1">
        <f t="shared" si="35"/>
        <v>0</v>
      </c>
      <c r="BB13" s="5">
        <v>0</v>
      </c>
      <c r="BC13" s="5">
        <v>1</v>
      </c>
      <c r="BD13" s="5">
        <v>0</v>
      </c>
      <c r="BE13" s="5">
        <f t="shared" si="36"/>
        <v>0</v>
      </c>
      <c r="BF13" s="5">
        <v>0</v>
      </c>
      <c r="BG13" s="5">
        <f t="shared" si="28"/>
        <v>0</v>
      </c>
      <c r="BH13" s="5">
        <f t="shared" si="15"/>
        <v>1</v>
      </c>
      <c r="BI13" s="5">
        <f t="shared" si="15"/>
        <v>0</v>
      </c>
      <c r="BJ13" s="5">
        <f t="shared" si="15"/>
        <v>0</v>
      </c>
      <c r="BK13" s="5">
        <f t="shared" si="15"/>
        <v>0</v>
      </c>
      <c r="BL13" s="5">
        <f t="shared" si="15"/>
        <v>0</v>
      </c>
      <c r="BM13" s="5">
        <f t="shared" si="15"/>
        <v>0</v>
      </c>
      <c r="BN13" s="5">
        <f t="shared" si="15"/>
        <v>0</v>
      </c>
      <c r="BO13" s="5">
        <f t="shared" si="16"/>
        <v>0</v>
      </c>
      <c r="BP13" s="5">
        <f t="shared" si="16"/>
        <v>0</v>
      </c>
      <c r="BQ13" s="5">
        <f t="shared" si="16"/>
        <v>0</v>
      </c>
      <c r="BR13" s="5">
        <f t="shared" si="16"/>
        <v>0</v>
      </c>
      <c r="BS13" s="5">
        <f t="shared" si="16"/>
        <v>0</v>
      </c>
      <c r="BT13" s="5">
        <f t="shared" si="16"/>
        <v>0</v>
      </c>
      <c r="BU13" s="5">
        <f t="shared" si="16"/>
        <v>0</v>
      </c>
      <c r="BV13" s="5">
        <f t="shared" si="16"/>
        <v>0</v>
      </c>
      <c r="BW13" s="5">
        <f t="shared" si="16"/>
        <v>0</v>
      </c>
      <c r="BX13" s="5">
        <f t="shared" si="16"/>
        <v>0</v>
      </c>
      <c r="BY13" s="5">
        <f t="shared" si="16"/>
        <v>0</v>
      </c>
      <c r="BZ13" s="5">
        <f t="shared" si="16"/>
        <v>0</v>
      </c>
      <c r="CA13" s="5">
        <f t="shared" si="16"/>
        <v>0</v>
      </c>
      <c r="CB13" s="5">
        <f t="shared" si="16"/>
        <v>0</v>
      </c>
      <c r="CC13" s="5">
        <f t="shared" si="16"/>
        <v>0</v>
      </c>
      <c r="CD13" s="5">
        <f t="shared" si="16"/>
        <v>0</v>
      </c>
      <c r="CE13" s="5">
        <f t="shared" si="17"/>
        <v>0</v>
      </c>
    </row>
    <row r="14" spans="1:143" x14ac:dyDescent="0.2">
      <c r="C14" s="1">
        <f>Growth!D19</f>
        <v>0</v>
      </c>
      <c r="D14" s="5" t="b">
        <f t="shared" si="18"/>
        <v>0</v>
      </c>
      <c r="E14" s="5">
        <v>1991</v>
      </c>
      <c r="F14" s="5">
        <f ca="1">LOOKUP($E14,frequence!$A$2:$A$35,frequence!L$2:L$35)</f>
        <v>608.87816739753373</v>
      </c>
      <c r="G14" s="5">
        <f ca="1">LOOKUP($E14,frequence!$A$2:$A$35,frequence!K$2:K$35)</f>
        <v>302.91688828027304</v>
      </c>
      <c r="H14" s="5">
        <f ca="1">LOOKUP($E14,frequence!$A$2:$A$35,frequence!M$2:M$35)</f>
        <v>914.83944651479442</v>
      </c>
      <c r="I14" s="5">
        <v>1989</v>
      </c>
      <c r="J14" s="7">
        <f>LOOKUP(I14,CPI!A$69:A$103,CPI!O$69:O$103)</f>
        <v>1.7585161290322582</v>
      </c>
      <c r="K14" s="5">
        <v>1990</v>
      </c>
      <c r="L14" s="7">
        <f t="shared" ca="1" si="19"/>
        <v>1</v>
      </c>
      <c r="M14" s="7">
        <f t="shared" si="2"/>
        <v>0.38750000000000001</v>
      </c>
      <c r="N14" s="14">
        <f>2/16</f>
        <v>0.125</v>
      </c>
      <c r="O14" s="1">
        <f ca="1">P14*J14*(1+Growth!G$6)^(2010-K14)</f>
        <v>10.620616263101994</v>
      </c>
      <c r="P14" s="1">
        <f>1.22*44/12</f>
        <v>4.4733333333333336</v>
      </c>
      <c r="Q14" s="2">
        <f t="shared" si="31"/>
        <v>4.4733333333333336</v>
      </c>
      <c r="R14" s="21">
        <f t="shared" ca="1" si="21"/>
        <v>112.79748980806656</v>
      </c>
      <c r="X14" s="2">
        <f t="shared" si="4"/>
        <v>4.4733333333333336</v>
      </c>
      <c r="AC14" s="1">
        <f t="shared" si="32"/>
        <v>3.1</v>
      </c>
      <c r="AD14" s="5">
        <v>1</v>
      </c>
      <c r="AE14" s="5">
        <v>1</v>
      </c>
      <c r="AF14" s="5">
        <v>0</v>
      </c>
      <c r="AG14" s="5">
        <v>0</v>
      </c>
      <c r="AH14" s="5">
        <v>0</v>
      </c>
      <c r="AI14" s="3">
        <f t="shared" si="5"/>
        <v>1.1000000000000001</v>
      </c>
      <c r="AJ14" s="5">
        <f t="shared" si="6"/>
        <v>0</v>
      </c>
      <c r="AK14" s="5">
        <f t="shared" si="22"/>
        <v>0</v>
      </c>
      <c r="AL14" s="5">
        <f t="shared" si="23"/>
        <v>0</v>
      </c>
      <c r="AM14" s="5">
        <f t="shared" si="7"/>
        <v>0</v>
      </c>
      <c r="AN14" s="5">
        <f t="shared" si="24"/>
        <v>0</v>
      </c>
      <c r="AO14" s="5">
        <f t="shared" si="8"/>
        <v>0</v>
      </c>
      <c r="AP14" s="1">
        <v>6</v>
      </c>
      <c r="AQ14" s="1">
        <v>4</v>
      </c>
      <c r="AR14" s="5">
        <v>0</v>
      </c>
      <c r="AS14" s="5">
        <v>0</v>
      </c>
      <c r="AT14" s="5">
        <v>0</v>
      </c>
      <c r="AU14" s="5">
        <v>0</v>
      </c>
      <c r="AV14" s="5">
        <f t="shared" si="9"/>
        <v>1</v>
      </c>
      <c r="AW14" s="5">
        <f t="shared" si="10"/>
        <v>0</v>
      </c>
      <c r="AX14" s="5">
        <f t="shared" si="11"/>
        <v>0</v>
      </c>
      <c r="AY14" s="1">
        <f t="shared" si="33"/>
        <v>0</v>
      </c>
      <c r="AZ14" s="1">
        <f t="shared" si="34"/>
        <v>0</v>
      </c>
      <c r="BA14" s="1">
        <f t="shared" si="35"/>
        <v>0</v>
      </c>
      <c r="BB14" s="5">
        <v>0</v>
      </c>
      <c r="BC14" s="5">
        <v>1</v>
      </c>
      <c r="BD14" s="5">
        <v>0</v>
      </c>
      <c r="BE14" s="5">
        <f t="shared" si="36"/>
        <v>0</v>
      </c>
      <c r="BF14" s="5">
        <v>0</v>
      </c>
      <c r="BG14" s="5">
        <f t="shared" si="28"/>
        <v>0</v>
      </c>
      <c r="BH14" s="5">
        <f t="shared" si="15"/>
        <v>1</v>
      </c>
      <c r="BI14" s="5">
        <f t="shared" si="15"/>
        <v>0</v>
      </c>
      <c r="BJ14" s="5">
        <f t="shared" si="15"/>
        <v>0</v>
      </c>
      <c r="BK14" s="5">
        <f t="shared" si="15"/>
        <v>0</v>
      </c>
      <c r="BL14" s="5">
        <f t="shared" si="15"/>
        <v>0</v>
      </c>
      <c r="BM14" s="5">
        <f t="shared" si="15"/>
        <v>0</v>
      </c>
      <c r="BN14" s="5">
        <f t="shared" si="15"/>
        <v>0</v>
      </c>
      <c r="BO14" s="5">
        <f t="shared" si="16"/>
        <v>0</v>
      </c>
      <c r="BP14" s="5">
        <f t="shared" si="16"/>
        <v>0</v>
      </c>
      <c r="BQ14" s="5">
        <f t="shared" si="16"/>
        <v>0</v>
      </c>
      <c r="BR14" s="5">
        <f t="shared" si="16"/>
        <v>0</v>
      </c>
      <c r="BS14" s="5">
        <f t="shared" si="16"/>
        <v>0</v>
      </c>
      <c r="BT14" s="5">
        <f t="shared" si="16"/>
        <v>0</v>
      </c>
      <c r="BU14" s="5">
        <f t="shared" si="16"/>
        <v>0</v>
      </c>
      <c r="BV14" s="5">
        <f t="shared" si="16"/>
        <v>0</v>
      </c>
      <c r="BW14" s="5">
        <f t="shared" si="16"/>
        <v>0</v>
      </c>
      <c r="BX14" s="5">
        <f t="shared" si="16"/>
        <v>0</v>
      </c>
      <c r="BY14" s="5">
        <f t="shared" si="16"/>
        <v>0</v>
      </c>
      <c r="BZ14" s="5">
        <f t="shared" si="16"/>
        <v>0</v>
      </c>
      <c r="CA14" s="5">
        <f t="shared" si="16"/>
        <v>0</v>
      </c>
      <c r="CB14" s="5">
        <f t="shared" si="16"/>
        <v>0</v>
      </c>
      <c r="CC14" s="5">
        <f t="shared" si="16"/>
        <v>0</v>
      </c>
      <c r="CD14" s="5">
        <f t="shared" si="16"/>
        <v>0</v>
      </c>
      <c r="CE14" s="5">
        <f t="shared" si="17"/>
        <v>0</v>
      </c>
    </row>
    <row r="15" spans="1:143" x14ac:dyDescent="0.2">
      <c r="C15" s="1">
        <f>Growth!D20</f>
        <v>0</v>
      </c>
      <c r="D15" s="5" t="b">
        <f t="shared" si="18"/>
        <v>0</v>
      </c>
      <c r="E15" s="5">
        <v>1991</v>
      </c>
      <c r="F15" s="5">
        <f ca="1">LOOKUP($E15,frequence!$A$2:$A$35,frequence!L$2:L$35)</f>
        <v>608.87816739753373</v>
      </c>
      <c r="G15" s="5">
        <f ca="1">LOOKUP($E15,frequence!$A$2:$A$35,frequence!K$2:K$35)</f>
        <v>302.91688828027304</v>
      </c>
      <c r="H15" s="5">
        <f ca="1">LOOKUP($E15,frequence!$A$2:$A$35,frequence!M$2:M$35)</f>
        <v>914.83944651479442</v>
      </c>
      <c r="I15" s="5">
        <v>1989</v>
      </c>
      <c r="J15" s="7">
        <f>LOOKUP(I15,CPI!A$69:A$103,CPI!O$69:O$103)</f>
        <v>1.7585161290322582</v>
      </c>
      <c r="K15" s="5">
        <v>1990</v>
      </c>
      <c r="L15" s="7">
        <f t="shared" ca="1" si="19"/>
        <v>1</v>
      </c>
      <c r="M15" s="7">
        <f t="shared" si="2"/>
        <v>0.19375000000000001</v>
      </c>
      <c r="N15" s="14">
        <f>1/16</f>
        <v>6.25E-2</v>
      </c>
      <c r="O15" s="1">
        <f ca="1">P15*J15*(1+Growth!G$6)^(2010-K15)</f>
        <v>2.6986811816078835</v>
      </c>
      <c r="P15" s="1">
        <f>0.31*44/12</f>
        <v>1.1366666666666667</v>
      </c>
      <c r="Q15" s="2">
        <f t="shared" si="31"/>
        <v>1.1366666666666667</v>
      </c>
      <c r="R15" s="21">
        <f t="shared" ca="1" si="21"/>
        <v>7.2828801199645223</v>
      </c>
      <c r="X15" s="2">
        <f t="shared" si="4"/>
        <v>1.1366666666666667</v>
      </c>
      <c r="AC15" s="1">
        <f t="shared" si="32"/>
        <v>3.1</v>
      </c>
      <c r="AD15" s="5">
        <v>1</v>
      </c>
      <c r="AE15" s="5">
        <v>1</v>
      </c>
      <c r="AF15" s="5">
        <v>0</v>
      </c>
      <c r="AG15" s="5">
        <v>0</v>
      </c>
      <c r="AH15" s="5">
        <v>0</v>
      </c>
      <c r="AI15" s="3">
        <f t="shared" si="5"/>
        <v>1.1000000000000001</v>
      </c>
      <c r="AJ15" s="5">
        <f t="shared" si="6"/>
        <v>0</v>
      </c>
      <c r="AK15" s="5">
        <f t="shared" si="22"/>
        <v>0</v>
      </c>
      <c r="AL15" s="5">
        <f t="shared" si="23"/>
        <v>0</v>
      </c>
      <c r="AM15" s="5">
        <f t="shared" si="7"/>
        <v>0</v>
      </c>
      <c r="AN15" s="5">
        <f t="shared" si="24"/>
        <v>0</v>
      </c>
      <c r="AO15" s="5">
        <f t="shared" si="8"/>
        <v>0</v>
      </c>
      <c r="AP15" s="1">
        <v>6</v>
      </c>
      <c r="AQ15" s="1">
        <v>4</v>
      </c>
      <c r="AR15" s="5">
        <v>0</v>
      </c>
      <c r="AS15" s="5">
        <v>0</v>
      </c>
      <c r="AT15" s="5">
        <v>0</v>
      </c>
      <c r="AU15" s="5">
        <v>0</v>
      </c>
      <c r="AV15" s="5">
        <f t="shared" si="9"/>
        <v>1</v>
      </c>
      <c r="AW15" s="5">
        <f t="shared" si="10"/>
        <v>0</v>
      </c>
      <c r="AX15" s="5">
        <f t="shared" si="11"/>
        <v>0</v>
      </c>
      <c r="AY15" s="1">
        <f t="shared" si="33"/>
        <v>0</v>
      </c>
      <c r="AZ15" s="1">
        <f t="shared" si="34"/>
        <v>0</v>
      </c>
      <c r="BA15" s="1">
        <f t="shared" si="35"/>
        <v>0</v>
      </c>
      <c r="BB15" s="5">
        <v>0</v>
      </c>
      <c r="BC15" s="5">
        <v>1</v>
      </c>
      <c r="BD15" s="5">
        <v>0</v>
      </c>
      <c r="BE15" s="5">
        <f t="shared" si="36"/>
        <v>0</v>
      </c>
      <c r="BF15" s="5">
        <v>0</v>
      </c>
      <c r="BG15" s="5">
        <f t="shared" si="28"/>
        <v>0</v>
      </c>
      <c r="BH15" s="5">
        <f t="shared" si="15"/>
        <v>1</v>
      </c>
      <c r="BI15" s="5">
        <f t="shared" si="15"/>
        <v>0</v>
      </c>
      <c r="BJ15" s="5">
        <f t="shared" si="15"/>
        <v>0</v>
      </c>
      <c r="BK15" s="5">
        <f t="shared" si="15"/>
        <v>0</v>
      </c>
      <c r="BL15" s="5">
        <f t="shared" si="15"/>
        <v>0</v>
      </c>
      <c r="BM15" s="5">
        <f t="shared" si="15"/>
        <v>0</v>
      </c>
      <c r="BN15" s="5">
        <f t="shared" si="15"/>
        <v>0</v>
      </c>
      <c r="BO15" s="5">
        <f t="shared" si="16"/>
        <v>0</v>
      </c>
      <c r="BP15" s="5">
        <f t="shared" si="16"/>
        <v>0</v>
      </c>
      <c r="BQ15" s="5">
        <f t="shared" si="16"/>
        <v>0</v>
      </c>
      <c r="BR15" s="5">
        <f t="shared" si="16"/>
        <v>0</v>
      </c>
      <c r="BS15" s="5">
        <f t="shared" si="16"/>
        <v>0</v>
      </c>
      <c r="BT15" s="5">
        <f t="shared" si="16"/>
        <v>0</v>
      </c>
      <c r="BU15" s="5">
        <f t="shared" si="16"/>
        <v>0</v>
      </c>
      <c r="BV15" s="5">
        <f t="shared" si="16"/>
        <v>0</v>
      </c>
      <c r="BW15" s="5">
        <f t="shared" si="16"/>
        <v>0</v>
      </c>
      <c r="BX15" s="5">
        <f t="shared" si="16"/>
        <v>0</v>
      </c>
      <c r="BY15" s="5">
        <f t="shared" si="16"/>
        <v>0</v>
      </c>
      <c r="BZ15" s="5">
        <f t="shared" si="16"/>
        <v>0</v>
      </c>
      <c r="CA15" s="5">
        <f t="shared" si="16"/>
        <v>0</v>
      </c>
      <c r="CB15" s="5">
        <f t="shared" si="16"/>
        <v>0</v>
      </c>
      <c r="CC15" s="5">
        <f t="shared" si="16"/>
        <v>0</v>
      </c>
      <c r="CD15" s="5">
        <f t="shared" si="16"/>
        <v>0</v>
      </c>
      <c r="CE15" s="5">
        <f t="shared" si="17"/>
        <v>0</v>
      </c>
    </row>
    <row r="16" spans="1:143" x14ac:dyDescent="0.2">
      <c r="A16" s="11" t="s">
        <v>268</v>
      </c>
      <c r="B16" s="1" t="s">
        <v>86</v>
      </c>
      <c r="C16" s="1">
        <f>Growth!D21</f>
        <v>1</v>
      </c>
      <c r="D16" s="5">
        <f t="shared" si="18"/>
        <v>1992</v>
      </c>
      <c r="E16" s="5">
        <v>1992</v>
      </c>
      <c r="F16" s="5">
        <f ca="1">LOOKUP($E16,frequence!$A$2:$A$35,frequence!L$2:L$35)</f>
        <v>167.40528749135353</v>
      </c>
      <c r="G16" s="5">
        <f ca="1">LOOKUP($E16,frequence!$A$2:$A$35,frequence!K$2:K$35)</f>
        <v>24.898629037440497</v>
      </c>
      <c r="H16" s="5">
        <f ca="1">LOOKUP($E16,frequence!$A$2:$A$35,frequence!M$2:M$35)</f>
        <v>683.10236828102006</v>
      </c>
      <c r="I16" s="5">
        <v>1984</v>
      </c>
      <c r="J16" s="7">
        <f>LOOKUP(I16,CPI!A$69:A$103,CPI!O$69:O$103)</f>
        <v>2.0987102983638115</v>
      </c>
      <c r="K16" s="5">
        <v>1986</v>
      </c>
      <c r="L16" s="7">
        <f t="shared" ca="1" si="19"/>
        <v>1</v>
      </c>
      <c r="M16" s="7">
        <f t="shared" si="2"/>
        <v>3.2</v>
      </c>
      <c r="N16" s="14">
        <v>1</v>
      </c>
      <c r="O16" s="1">
        <f ca="1">P16*J16*(1+Growth!G$6)^(2010-K16)</f>
        <v>44.129645206691066</v>
      </c>
      <c r="P16" s="1">
        <f>4*44/12</f>
        <v>14.666666666666666</v>
      </c>
      <c r="Q16" s="2">
        <f t="shared" si="3"/>
        <v>14.666666666666666</v>
      </c>
      <c r="R16" s="21">
        <f t="shared" ca="1" si="21"/>
        <v>1947.4255860684318</v>
      </c>
      <c r="X16" s="2">
        <f t="shared" si="4"/>
        <v>14.666666666666666</v>
      </c>
      <c r="AC16" s="1">
        <f t="shared" si="29"/>
        <v>3.2</v>
      </c>
      <c r="AD16" s="5">
        <v>1</v>
      </c>
      <c r="AE16" s="5">
        <v>1</v>
      </c>
      <c r="AF16" s="5">
        <v>0</v>
      </c>
      <c r="AG16" s="5">
        <v>0</v>
      </c>
      <c r="AH16" s="5">
        <v>0</v>
      </c>
      <c r="AI16" s="3">
        <f t="shared" si="5"/>
        <v>1.2</v>
      </c>
      <c r="AJ16" s="5">
        <f t="shared" si="6"/>
        <v>0</v>
      </c>
      <c r="AK16" s="5">
        <f t="shared" si="22"/>
        <v>1</v>
      </c>
      <c r="AL16" s="5">
        <f t="shared" si="23"/>
        <v>0</v>
      </c>
      <c r="AM16" s="5">
        <f t="shared" si="7"/>
        <v>0</v>
      </c>
      <c r="AN16" s="5">
        <f t="shared" si="24"/>
        <v>0</v>
      </c>
      <c r="AO16" s="5">
        <f t="shared" si="8"/>
        <v>0</v>
      </c>
      <c r="AP16" s="1">
        <v>4</v>
      </c>
      <c r="AQ16" s="1">
        <v>2</v>
      </c>
      <c r="AR16" s="5">
        <v>0</v>
      </c>
      <c r="AS16" s="5">
        <v>0</v>
      </c>
      <c r="AT16" s="5">
        <v>0</v>
      </c>
      <c r="AU16" s="5">
        <v>0</v>
      </c>
      <c r="AV16" s="5">
        <f t="shared" si="9"/>
        <v>1</v>
      </c>
      <c r="AW16" s="5">
        <f t="shared" si="10"/>
        <v>0</v>
      </c>
      <c r="AX16" s="5">
        <f t="shared" si="11"/>
        <v>0</v>
      </c>
      <c r="AY16" s="1">
        <f t="shared" si="12"/>
        <v>0</v>
      </c>
      <c r="AZ16" s="1">
        <f t="shared" si="13"/>
        <v>0</v>
      </c>
      <c r="BA16" s="1">
        <f t="shared" si="14"/>
        <v>0</v>
      </c>
      <c r="BB16" s="5">
        <v>0</v>
      </c>
      <c r="BC16" s="5">
        <v>0</v>
      </c>
      <c r="BD16" s="5">
        <v>0</v>
      </c>
      <c r="BE16" s="5">
        <f t="shared" si="30"/>
        <v>1</v>
      </c>
      <c r="BF16" s="5">
        <v>0</v>
      </c>
      <c r="BG16" s="5">
        <f t="shared" si="28"/>
        <v>0</v>
      </c>
      <c r="BH16" s="5">
        <f t="shared" si="15"/>
        <v>0</v>
      </c>
      <c r="BI16" s="5">
        <f t="shared" si="15"/>
        <v>1</v>
      </c>
      <c r="BJ16" s="5">
        <f t="shared" si="15"/>
        <v>0</v>
      </c>
      <c r="BK16" s="5">
        <f t="shared" si="15"/>
        <v>0</v>
      </c>
      <c r="BL16" s="5">
        <f t="shared" si="15"/>
        <v>0</v>
      </c>
      <c r="BM16" s="5">
        <f t="shared" si="15"/>
        <v>0</v>
      </c>
      <c r="BN16" s="5">
        <f t="shared" si="15"/>
        <v>0</v>
      </c>
      <c r="BO16" s="5">
        <f t="shared" si="16"/>
        <v>0</v>
      </c>
      <c r="BP16" s="5">
        <f t="shared" si="16"/>
        <v>0</v>
      </c>
      <c r="BQ16" s="5">
        <f t="shared" si="16"/>
        <v>0</v>
      </c>
      <c r="BR16" s="5">
        <f t="shared" si="16"/>
        <v>0</v>
      </c>
      <c r="BS16" s="5">
        <f t="shared" si="16"/>
        <v>0</v>
      </c>
      <c r="BT16" s="5">
        <f t="shared" si="16"/>
        <v>0</v>
      </c>
      <c r="BU16" s="5">
        <f t="shared" si="16"/>
        <v>0</v>
      </c>
      <c r="BV16" s="5">
        <f t="shared" si="16"/>
        <v>0</v>
      </c>
      <c r="BW16" s="5">
        <f t="shared" si="16"/>
        <v>0</v>
      </c>
      <c r="BX16" s="5">
        <f t="shared" si="16"/>
        <v>0</v>
      </c>
      <c r="BY16" s="5">
        <f t="shared" si="16"/>
        <v>0</v>
      </c>
      <c r="BZ16" s="5">
        <f t="shared" si="16"/>
        <v>0</v>
      </c>
      <c r="CA16" s="5">
        <f t="shared" si="16"/>
        <v>0</v>
      </c>
      <c r="CB16" s="5">
        <f t="shared" si="16"/>
        <v>0</v>
      </c>
      <c r="CC16" s="5">
        <f t="shared" si="16"/>
        <v>0</v>
      </c>
      <c r="CD16" s="5">
        <f t="shared" si="16"/>
        <v>0</v>
      </c>
      <c r="CE16" s="5">
        <f t="shared" si="17"/>
        <v>0</v>
      </c>
    </row>
    <row r="17" spans="1:83" x14ac:dyDescent="0.2">
      <c r="A17" s="1" t="s">
        <v>5</v>
      </c>
      <c r="B17" s="1" t="s">
        <v>88</v>
      </c>
      <c r="C17" s="1">
        <f>Growth!D22</f>
        <v>1</v>
      </c>
      <c r="D17" s="5">
        <f t="shared" si="18"/>
        <v>1992</v>
      </c>
      <c r="E17" s="5">
        <v>1992</v>
      </c>
      <c r="F17" s="5">
        <f ca="1">LOOKUP($E17,frequence!$A$2:$A$35,frequence!L$2:L$35)</f>
        <v>167.40528749135353</v>
      </c>
      <c r="G17" s="5">
        <f ca="1">LOOKUP($E17,frequence!$A$2:$A$35,frequence!K$2:K$35)</f>
        <v>24.898629037440497</v>
      </c>
      <c r="H17" s="5">
        <f ca="1">LOOKUP($E17,frequence!$A$2:$A$35,frequence!M$2:M$35)</f>
        <v>683.10236828102006</v>
      </c>
      <c r="I17" s="5">
        <v>1989</v>
      </c>
      <c r="J17" s="7">
        <f>LOOKUP(I17,CPI!A$69:A$103,CPI!O$69:O$103)</f>
        <v>1.7585161290322582</v>
      </c>
      <c r="K17" s="5">
        <v>1990</v>
      </c>
      <c r="L17" s="7">
        <f t="shared" ca="1" si="19"/>
        <v>1</v>
      </c>
      <c r="M17" s="7">
        <f t="shared" si="2"/>
        <v>4.2</v>
      </c>
      <c r="N17" s="14">
        <v>1</v>
      </c>
      <c r="O17" s="1">
        <f ca="1">P17*J17*(1+Growth!G$6)^(2010-K17)</f>
        <v>154.08599004664367</v>
      </c>
      <c r="P17" s="2">
        <f>(U17+AA17)/2</f>
        <v>64.900000000000006</v>
      </c>
      <c r="Q17" s="2">
        <f t="shared" si="3"/>
        <v>64.900000000000006</v>
      </c>
      <c r="R17" s="21">
        <f t="shared" ca="1" si="21"/>
        <v>23742.492328654374</v>
      </c>
      <c r="S17" s="1">
        <f>(X17-U17)/2</f>
        <v>29.550000000000004</v>
      </c>
      <c r="U17" s="1">
        <v>5.8</v>
      </c>
      <c r="X17" s="2">
        <f t="shared" si="4"/>
        <v>64.900000000000006</v>
      </c>
      <c r="AA17" s="1">
        <v>124</v>
      </c>
      <c r="AC17" s="1">
        <f t="shared" si="29"/>
        <v>4.2</v>
      </c>
      <c r="AD17" s="5">
        <v>0</v>
      </c>
      <c r="AE17" s="5">
        <v>1</v>
      </c>
      <c r="AF17" s="5">
        <v>1</v>
      </c>
      <c r="AG17" s="5">
        <v>0</v>
      </c>
      <c r="AH17" s="5">
        <v>1</v>
      </c>
      <c r="AI17" s="3">
        <f t="shared" si="5"/>
        <v>1.2</v>
      </c>
      <c r="AJ17" s="5">
        <f t="shared" si="6"/>
        <v>0</v>
      </c>
      <c r="AK17" s="5">
        <f t="shared" si="22"/>
        <v>0</v>
      </c>
      <c r="AL17" s="5">
        <f t="shared" si="23"/>
        <v>0</v>
      </c>
      <c r="AM17" s="5">
        <f t="shared" si="7"/>
        <v>0</v>
      </c>
      <c r="AN17" s="5">
        <f t="shared" si="24"/>
        <v>0</v>
      </c>
      <c r="AO17" s="5">
        <f t="shared" si="8"/>
        <v>0</v>
      </c>
      <c r="AP17" s="1" t="s">
        <v>42</v>
      </c>
      <c r="AQ17" s="1" t="s">
        <v>42</v>
      </c>
      <c r="AR17" s="5">
        <v>0</v>
      </c>
      <c r="AS17" s="5">
        <v>0</v>
      </c>
      <c r="AT17" s="5">
        <v>0</v>
      </c>
      <c r="AU17" s="5">
        <v>0</v>
      </c>
      <c r="AV17" s="5">
        <f t="shared" si="9"/>
        <v>1</v>
      </c>
      <c r="AW17" s="5">
        <f t="shared" si="10"/>
        <v>0</v>
      </c>
      <c r="AX17" s="5">
        <f t="shared" si="11"/>
        <v>0</v>
      </c>
      <c r="AY17" s="1">
        <f t="shared" si="12"/>
        <v>0</v>
      </c>
      <c r="AZ17" s="1">
        <f t="shared" si="13"/>
        <v>0</v>
      </c>
      <c r="BA17" s="1">
        <f t="shared" si="14"/>
        <v>0</v>
      </c>
      <c r="BB17" s="5">
        <v>0</v>
      </c>
      <c r="BC17" s="5">
        <v>0</v>
      </c>
      <c r="BD17" s="5">
        <v>0</v>
      </c>
      <c r="BE17" s="5">
        <f t="shared" si="30"/>
        <v>1</v>
      </c>
      <c r="BF17" s="5">
        <v>0</v>
      </c>
      <c r="BG17" s="5">
        <f t="shared" si="28"/>
        <v>0</v>
      </c>
      <c r="BH17" s="5">
        <f t="shared" si="15"/>
        <v>0</v>
      </c>
      <c r="BI17" s="5">
        <f t="shared" si="15"/>
        <v>1</v>
      </c>
      <c r="BJ17" s="5">
        <f t="shared" si="15"/>
        <v>0</v>
      </c>
      <c r="BK17" s="5">
        <f t="shared" si="15"/>
        <v>0</v>
      </c>
      <c r="BL17" s="5">
        <f t="shared" si="15"/>
        <v>0</v>
      </c>
      <c r="BM17" s="5">
        <f t="shared" si="15"/>
        <v>0</v>
      </c>
      <c r="BN17" s="5">
        <f t="shared" si="15"/>
        <v>0</v>
      </c>
      <c r="BO17" s="5">
        <f t="shared" si="16"/>
        <v>0</v>
      </c>
      <c r="BP17" s="5">
        <f t="shared" si="16"/>
        <v>0</v>
      </c>
      <c r="BQ17" s="5">
        <f t="shared" si="16"/>
        <v>0</v>
      </c>
      <c r="BR17" s="5">
        <f t="shared" si="16"/>
        <v>0</v>
      </c>
      <c r="BS17" s="5">
        <f t="shared" si="16"/>
        <v>0</v>
      </c>
      <c r="BT17" s="5">
        <f t="shared" si="16"/>
        <v>0</v>
      </c>
      <c r="BU17" s="5">
        <f t="shared" si="16"/>
        <v>0</v>
      </c>
      <c r="BV17" s="5">
        <f t="shared" si="16"/>
        <v>0</v>
      </c>
      <c r="BW17" s="5">
        <f t="shared" si="16"/>
        <v>0</v>
      </c>
      <c r="BX17" s="5">
        <f t="shared" si="16"/>
        <v>0</v>
      </c>
      <c r="BY17" s="5">
        <f t="shared" si="16"/>
        <v>0</v>
      </c>
      <c r="BZ17" s="5">
        <f t="shared" si="16"/>
        <v>0</v>
      </c>
      <c r="CA17" s="5">
        <f t="shared" si="16"/>
        <v>0</v>
      </c>
      <c r="CB17" s="5">
        <f t="shared" si="16"/>
        <v>0</v>
      </c>
      <c r="CC17" s="5">
        <f t="shared" si="16"/>
        <v>0</v>
      </c>
      <c r="CD17" s="5">
        <f t="shared" si="16"/>
        <v>0</v>
      </c>
      <c r="CE17" s="5">
        <f t="shared" si="17"/>
        <v>0</v>
      </c>
    </row>
    <row r="18" spans="1:83" x14ac:dyDescent="0.2">
      <c r="A18" s="1" t="s">
        <v>5</v>
      </c>
      <c r="B18" s="1" t="s">
        <v>89</v>
      </c>
      <c r="C18" s="1">
        <f>Growth!D23</f>
        <v>1</v>
      </c>
      <c r="D18" s="5">
        <f t="shared" si="18"/>
        <v>1997</v>
      </c>
      <c r="E18" s="5">
        <v>1997</v>
      </c>
      <c r="F18" s="5">
        <f ca="1">LOOKUP($E18,frequence!$A$2:$A$35,frequence!L$2:L$35)</f>
        <v>28.394272714827164</v>
      </c>
      <c r="G18" s="5">
        <f ca="1">LOOKUP($E18,frequence!$A$2:$A$35,frequence!K$2:K$35)</f>
        <v>0.54068731338998477</v>
      </c>
      <c r="H18" s="5">
        <f ca="1">LOOKUP($E18,frequence!$A$2:$A$35,frequence!M$2:M$35)</f>
        <v>197.31888837074524</v>
      </c>
      <c r="I18" s="18">
        <v>1995</v>
      </c>
      <c r="J18" s="7">
        <f>LOOKUP(I18,CPI!A$69:A$103,CPI!O$69:O$103)</f>
        <v>1.4308136482939633</v>
      </c>
      <c r="K18" s="18">
        <v>1995</v>
      </c>
      <c r="L18" s="7">
        <f t="shared" ca="1" si="19"/>
        <v>1</v>
      </c>
      <c r="M18" s="7">
        <f t="shared" si="2"/>
        <v>4.7</v>
      </c>
      <c r="N18" s="14">
        <v>1</v>
      </c>
      <c r="O18" s="1">
        <f ca="1">P18*J18*(1+Growth!G$6)^(2010-K18)</f>
        <v>157.70476717600803</v>
      </c>
      <c r="P18" s="2">
        <f>(U18+AA18)/2</f>
        <v>88</v>
      </c>
      <c r="Q18" s="2">
        <f t="shared" si="3"/>
        <v>88</v>
      </c>
      <c r="R18" s="21">
        <f t="shared" ca="1" si="21"/>
        <v>24870.793590038902</v>
      </c>
      <c r="S18" s="1">
        <f>(X18-U18)/2</f>
        <v>40</v>
      </c>
      <c r="U18" s="1">
        <v>8</v>
      </c>
      <c r="X18" s="2">
        <f t="shared" si="4"/>
        <v>88</v>
      </c>
      <c r="AA18" s="1">
        <v>168</v>
      </c>
      <c r="AC18" s="1">
        <f t="shared" si="29"/>
        <v>4.7</v>
      </c>
      <c r="AD18" s="5">
        <v>0</v>
      </c>
      <c r="AE18" s="5">
        <v>1</v>
      </c>
      <c r="AF18" s="5">
        <v>1</v>
      </c>
      <c r="AG18" s="5">
        <v>0</v>
      </c>
      <c r="AH18" s="5">
        <v>1</v>
      </c>
      <c r="AI18" s="3">
        <f t="shared" si="5"/>
        <v>1.7</v>
      </c>
      <c r="AJ18" s="5">
        <f t="shared" si="6"/>
        <v>0</v>
      </c>
      <c r="AK18" s="5">
        <f t="shared" si="22"/>
        <v>0</v>
      </c>
      <c r="AL18" s="5">
        <f t="shared" si="23"/>
        <v>0</v>
      </c>
      <c r="AM18" s="5">
        <f t="shared" si="7"/>
        <v>0</v>
      </c>
      <c r="AN18" s="5">
        <f t="shared" si="24"/>
        <v>0</v>
      </c>
      <c r="AO18" s="5">
        <f t="shared" si="8"/>
        <v>0</v>
      </c>
      <c r="AP18" s="1" t="s">
        <v>42</v>
      </c>
      <c r="AQ18" s="1" t="s">
        <v>42</v>
      </c>
      <c r="AR18" s="5">
        <v>0</v>
      </c>
      <c r="AS18" s="5">
        <v>0</v>
      </c>
      <c r="AT18" s="5">
        <v>0</v>
      </c>
      <c r="AU18" s="5">
        <v>0</v>
      </c>
      <c r="AV18" s="5">
        <f t="shared" si="9"/>
        <v>0</v>
      </c>
      <c r="AW18" s="5">
        <f t="shared" si="10"/>
        <v>1</v>
      </c>
      <c r="AX18" s="5">
        <f t="shared" si="11"/>
        <v>0</v>
      </c>
      <c r="AY18" s="1">
        <f t="shared" si="12"/>
        <v>0</v>
      </c>
      <c r="AZ18" s="1">
        <f t="shared" si="13"/>
        <v>0</v>
      </c>
      <c r="BA18" s="1">
        <f t="shared" si="14"/>
        <v>0</v>
      </c>
      <c r="BB18" s="5">
        <v>0</v>
      </c>
      <c r="BC18" s="5">
        <v>0</v>
      </c>
      <c r="BD18" s="5">
        <v>0</v>
      </c>
      <c r="BE18" s="5">
        <f t="shared" si="30"/>
        <v>1</v>
      </c>
      <c r="BF18" s="5">
        <v>1</v>
      </c>
      <c r="BG18" s="5">
        <f t="shared" si="28"/>
        <v>0</v>
      </c>
      <c r="BH18" s="5">
        <f t="shared" si="15"/>
        <v>0</v>
      </c>
      <c r="BI18" s="5">
        <f t="shared" si="15"/>
        <v>0</v>
      </c>
      <c r="BJ18" s="5">
        <f t="shared" si="15"/>
        <v>0</v>
      </c>
      <c r="BK18" s="5">
        <f t="shared" si="15"/>
        <v>0</v>
      </c>
      <c r="BL18" s="5">
        <f t="shared" si="15"/>
        <v>0</v>
      </c>
      <c r="BM18" s="5">
        <f t="shared" si="15"/>
        <v>0</v>
      </c>
      <c r="BN18" s="5">
        <f t="shared" si="15"/>
        <v>1</v>
      </c>
      <c r="BO18" s="5">
        <f t="shared" si="16"/>
        <v>0</v>
      </c>
      <c r="BP18" s="5">
        <f t="shared" si="16"/>
        <v>0</v>
      </c>
      <c r="BQ18" s="5">
        <f t="shared" si="16"/>
        <v>0</v>
      </c>
      <c r="BR18" s="5">
        <f t="shared" si="16"/>
        <v>0</v>
      </c>
      <c r="BS18" s="5">
        <f t="shared" si="16"/>
        <v>0</v>
      </c>
      <c r="BT18" s="5">
        <f t="shared" si="16"/>
        <v>0</v>
      </c>
      <c r="BU18" s="5">
        <f t="shared" si="16"/>
        <v>0</v>
      </c>
      <c r="BV18" s="5">
        <f t="shared" si="16"/>
        <v>0</v>
      </c>
      <c r="BW18" s="5">
        <f t="shared" si="16"/>
        <v>0</v>
      </c>
      <c r="BX18" s="5">
        <f t="shared" si="16"/>
        <v>0</v>
      </c>
      <c r="BY18" s="5">
        <f t="shared" si="16"/>
        <v>0</v>
      </c>
      <c r="BZ18" s="5">
        <f t="shared" si="16"/>
        <v>0</v>
      </c>
      <c r="CA18" s="5">
        <f t="shared" si="16"/>
        <v>0</v>
      </c>
      <c r="CB18" s="5">
        <f t="shared" si="16"/>
        <v>0</v>
      </c>
      <c r="CC18" s="5">
        <f t="shared" si="16"/>
        <v>0</v>
      </c>
      <c r="CD18" s="5">
        <f t="shared" si="16"/>
        <v>0</v>
      </c>
      <c r="CE18" s="5">
        <f t="shared" si="17"/>
        <v>0</v>
      </c>
    </row>
    <row r="19" spans="1:83" x14ac:dyDescent="0.2">
      <c r="A19" s="1" t="s">
        <v>90</v>
      </c>
      <c r="B19" s="1" t="s">
        <v>91</v>
      </c>
      <c r="C19" s="1">
        <f>Growth!D24</f>
        <v>0</v>
      </c>
      <c r="D19" s="5">
        <f t="shared" si="18"/>
        <v>1992</v>
      </c>
      <c r="E19" s="5">
        <v>1992</v>
      </c>
      <c r="F19" s="5">
        <f ca="1">LOOKUP($E19,frequence!$A$2:$A$35,frequence!L$2:L$35)</f>
        <v>167.40528749135353</v>
      </c>
      <c r="G19" s="5">
        <f ca="1">LOOKUP($E19,frequence!$A$2:$A$35,frequence!K$2:K$35)</f>
        <v>24.898629037440497</v>
      </c>
      <c r="H19" s="5">
        <f ca="1">LOOKUP($E19,frequence!$A$2:$A$35,frequence!M$2:M$35)</f>
        <v>683.10236828102006</v>
      </c>
      <c r="I19" s="18">
        <v>1990</v>
      </c>
      <c r="J19" s="7">
        <f>LOOKUP(I19,CPI!A$69:A$103,CPI!O$69:O$103)</f>
        <v>1.6683703136954862</v>
      </c>
      <c r="K19" s="18">
        <v>1990</v>
      </c>
      <c r="L19" s="7">
        <f t="shared" ca="1" si="19"/>
        <v>0.59601794425758936</v>
      </c>
      <c r="M19" s="7">
        <f t="shared" si="2"/>
        <v>3.2</v>
      </c>
      <c r="N19" s="14">
        <v>1</v>
      </c>
      <c r="O19" s="1">
        <f ca="1">P19*J19*(1+Growth!G$6)^(2010-K19)</f>
        <v>3754.1645428224019</v>
      </c>
      <c r="P19" s="1">
        <f>455/0.273</f>
        <v>1666.6666666666665</v>
      </c>
      <c r="Q19" s="2">
        <f t="shared" si="3"/>
        <v>1666.6666666666665</v>
      </c>
      <c r="R19" s="21">
        <f t="shared" ca="1" si="21"/>
        <v>14093751.414584935</v>
      </c>
      <c r="X19" s="2">
        <f t="shared" si="4"/>
        <v>1666.6666666666665</v>
      </c>
      <c r="AC19" s="1">
        <f t="shared" si="29"/>
        <v>3.2</v>
      </c>
      <c r="AD19" s="5">
        <v>0</v>
      </c>
      <c r="AE19" s="5">
        <v>1</v>
      </c>
      <c r="AF19" s="5">
        <v>0</v>
      </c>
      <c r="AG19" s="5">
        <v>0</v>
      </c>
      <c r="AH19" s="5">
        <v>1</v>
      </c>
      <c r="AI19" s="3">
        <f t="shared" si="5"/>
        <v>1.2</v>
      </c>
      <c r="AJ19" s="5">
        <f t="shared" si="6"/>
        <v>0</v>
      </c>
      <c r="AK19" s="5">
        <f t="shared" si="22"/>
        <v>0</v>
      </c>
      <c r="AL19" s="5">
        <f t="shared" si="23"/>
        <v>0</v>
      </c>
      <c r="AM19" s="5">
        <f t="shared" si="7"/>
        <v>0</v>
      </c>
      <c r="AN19" s="5">
        <f t="shared" si="24"/>
        <v>0</v>
      </c>
      <c r="AO19" s="5">
        <f t="shared" si="8"/>
        <v>0</v>
      </c>
      <c r="AP19" s="1">
        <v>0</v>
      </c>
      <c r="AQ19" s="1">
        <v>-2</v>
      </c>
      <c r="AR19" s="5">
        <v>0</v>
      </c>
      <c r="AS19" s="5">
        <v>0</v>
      </c>
      <c r="AT19" s="5">
        <v>0</v>
      </c>
      <c r="AU19" s="5">
        <v>0</v>
      </c>
      <c r="AV19" s="5">
        <f t="shared" si="9"/>
        <v>1</v>
      </c>
      <c r="AW19" s="5">
        <f t="shared" si="10"/>
        <v>0</v>
      </c>
      <c r="AX19" s="5">
        <f t="shared" si="11"/>
        <v>0</v>
      </c>
      <c r="AY19" s="1">
        <f t="shared" si="12"/>
        <v>0</v>
      </c>
      <c r="AZ19" s="1">
        <f t="shared" si="13"/>
        <v>0</v>
      </c>
      <c r="BA19" s="1">
        <f t="shared" si="14"/>
        <v>0</v>
      </c>
      <c r="BB19" s="5">
        <v>0</v>
      </c>
      <c r="BC19" s="5">
        <v>0</v>
      </c>
      <c r="BD19" s="5">
        <v>0</v>
      </c>
      <c r="BE19" s="5">
        <f t="shared" si="30"/>
        <v>1</v>
      </c>
      <c r="BF19" s="5">
        <v>0</v>
      </c>
      <c r="BG19" s="5">
        <f t="shared" si="28"/>
        <v>0</v>
      </c>
      <c r="BH19" s="5">
        <f t="shared" si="15"/>
        <v>0</v>
      </c>
      <c r="BI19" s="5">
        <f t="shared" si="15"/>
        <v>1</v>
      </c>
      <c r="BJ19" s="5">
        <f t="shared" si="15"/>
        <v>0</v>
      </c>
      <c r="BK19" s="5">
        <f t="shared" si="15"/>
        <v>0</v>
      </c>
      <c r="BL19" s="5">
        <f t="shared" si="15"/>
        <v>0</v>
      </c>
      <c r="BM19" s="5">
        <f t="shared" si="15"/>
        <v>0</v>
      </c>
      <c r="BN19" s="5">
        <f t="shared" si="15"/>
        <v>0</v>
      </c>
      <c r="BO19" s="5">
        <f t="shared" si="16"/>
        <v>0</v>
      </c>
      <c r="BP19" s="5">
        <f t="shared" si="16"/>
        <v>0</v>
      </c>
      <c r="BQ19" s="5">
        <f t="shared" si="16"/>
        <v>0</v>
      </c>
      <c r="BR19" s="5">
        <f t="shared" si="16"/>
        <v>0</v>
      </c>
      <c r="BS19" s="5">
        <f t="shared" si="16"/>
        <v>0</v>
      </c>
      <c r="BT19" s="5">
        <f t="shared" si="16"/>
        <v>0</v>
      </c>
      <c r="BU19" s="5">
        <f t="shared" si="16"/>
        <v>0</v>
      </c>
      <c r="BV19" s="5">
        <f t="shared" si="16"/>
        <v>0</v>
      </c>
      <c r="BW19" s="5">
        <f t="shared" si="16"/>
        <v>0</v>
      </c>
      <c r="BX19" s="5">
        <f t="shared" si="16"/>
        <v>0</v>
      </c>
      <c r="BY19" s="5">
        <f t="shared" si="16"/>
        <v>0</v>
      </c>
      <c r="BZ19" s="5">
        <f t="shared" si="16"/>
        <v>0</v>
      </c>
      <c r="CA19" s="5">
        <f t="shared" si="16"/>
        <v>0</v>
      </c>
      <c r="CB19" s="5">
        <f t="shared" si="16"/>
        <v>0</v>
      </c>
      <c r="CC19" s="5">
        <f t="shared" si="16"/>
        <v>0</v>
      </c>
      <c r="CD19" s="5">
        <f t="shared" ref="CD19:CD38" si="37">IF($E19=CD$2,1,0)</f>
        <v>0</v>
      </c>
      <c r="CE19" s="5">
        <f t="shared" si="17"/>
        <v>0</v>
      </c>
    </row>
    <row r="20" spans="1:83" x14ac:dyDescent="0.2">
      <c r="A20" s="11" t="s">
        <v>268</v>
      </c>
      <c r="B20" s="1" t="s">
        <v>87</v>
      </c>
      <c r="C20" s="1">
        <f>Growth!D25</f>
        <v>0.25</v>
      </c>
      <c r="D20" s="5">
        <f t="shared" si="18"/>
        <v>1993</v>
      </c>
      <c r="E20" s="5">
        <v>1993</v>
      </c>
      <c r="F20" s="5">
        <f ca="1">LOOKUP($E20,frequence!$A$2:$A$35,frequence!L$2:L$35)</f>
        <v>191.34520119916542</v>
      </c>
      <c r="G20" s="5">
        <f ca="1">LOOKUP($E20,frequence!$A$2:$A$35,frequence!K$2:K$35)</f>
        <v>28.094581622231551</v>
      </c>
      <c r="H20" s="5">
        <f ca="1">LOOKUP($E20,frequence!$A$2:$A$35,frequence!M$2:M$35)</f>
        <v>780.68842089259488</v>
      </c>
      <c r="I20" s="5">
        <v>1989</v>
      </c>
      <c r="J20" s="7">
        <f>LOOKUP(I20,CPI!A$69:A$103,CPI!O$69:O$103)</f>
        <v>1.7585161290322582</v>
      </c>
      <c r="K20" s="5">
        <v>1989</v>
      </c>
      <c r="L20" s="7">
        <f t="shared" ca="1" si="19"/>
        <v>1</v>
      </c>
      <c r="M20" s="7">
        <f t="shared" si="2"/>
        <v>0.57499999999999996</v>
      </c>
      <c r="N20" s="14">
        <v>0.25</v>
      </c>
      <c r="O20" s="1">
        <f ca="1">P20*J20*(1+Growth!G$6)^(2010-K20)</f>
        <v>4.4587055194554539</v>
      </c>
      <c r="P20" s="1">
        <v>1.85</v>
      </c>
      <c r="Q20" s="2">
        <f t="shared" si="3"/>
        <v>1.85</v>
      </c>
      <c r="R20" s="21">
        <f t="shared" ca="1" si="21"/>
        <v>19.88005490922253</v>
      </c>
      <c r="X20" s="2">
        <f t="shared" si="4"/>
        <v>1.85</v>
      </c>
      <c r="AC20" s="1">
        <f t="shared" si="29"/>
        <v>2.2999999999999998</v>
      </c>
      <c r="AD20" s="5">
        <v>1</v>
      </c>
      <c r="AE20" s="5">
        <v>0</v>
      </c>
      <c r="AF20" s="5">
        <v>0</v>
      </c>
      <c r="AG20" s="5">
        <v>0</v>
      </c>
      <c r="AH20" s="5">
        <v>0</v>
      </c>
      <c r="AI20" s="3">
        <f t="shared" si="5"/>
        <v>1.3</v>
      </c>
      <c r="AJ20" s="5">
        <f t="shared" si="6"/>
        <v>0</v>
      </c>
      <c r="AK20" s="5">
        <f t="shared" si="22"/>
        <v>1</v>
      </c>
      <c r="AL20" s="5">
        <f t="shared" si="23"/>
        <v>0</v>
      </c>
      <c r="AM20" s="5">
        <f t="shared" si="7"/>
        <v>0</v>
      </c>
      <c r="AN20" s="5">
        <f t="shared" si="24"/>
        <v>0</v>
      </c>
      <c r="AO20" s="5">
        <f t="shared" si="8"/>
        <v>0</v>
      </c>
      <c r="AP20" s="1">
        <v>4</v>
      </c>
      <c r="AQ20" s="1">
        <v>2</v>
      </c>
      <c r="AR20" s="5">
        <v>0</v>
      </c>
      <c r="AS20" s="5">
        <v>0</v>
      </c>
      <c r="AT20" s="5">
        <v>0</v>
      </c>
      <c r="AU20" s="5">
        <v>0</v>
      </c>
      <c r="AV20" s="5">
        <f t="shared" si="9"/>
        <v>1</v>
      </c>
      <c r="AW20" s="5">
        <f t="shared" si="10"/>
        <v>0</v>
      </c>
      <c r="AX20" s="5">
        <f t="shared" si="11"/>
        <v>0</v>
      </c>
      <c r="AY20" s="1">
        <f t="shared" si="12"/>
        <v>0</v>
      </c>
      <c r="AZ20" s="1">
        <f t="shared" si="13"/>
        <v>0</v>
      </c>
      <c r="BA20" s="1">
        <f t="shared" si="14"/>
        <v>0</v>
      </c>
      <c r="BB20" s="5">
        <v>0</v>
      </c>
      <c r="BC20" s="5">
        <v>0</v>
      </c>
      <c r="BD20" s="5">
        <v>0</v>
      </c>
      <c r="BE20" s="5">
        <f t="shared" si="30"/>
        <v>1</v>
      </c>
      <c r="BF20" s="5">
        <v>0</v>
      </c>
      <c r="BG20" s="5">
        <f t="shared" si="28"/>
        <v>0</v>
      </c>
      <c r="BH20" s="5">
        <f t="shared" si="28"/>
        <v>0</v>
      </c>
      <c r="BI20" s="5">
        <f t="shared" si="28"/>
        <v>0</v>
      </c>
      <c r="BJ20" s="5">
        <f t="shared" si="28"/>
        <v>1</v>
      </c>
      <c r="BK20" s="5">
        <f t="shared" si="28"/>
        <v>0</v>
      </c>
      <c r="BL20" s="5">
        <f t="shared" si="28"/>
        <v>0</v>
      </c>
      <c r="BM20" s="5">
        <f t="shared" si="28"/>
        <v>0</v>
      </c>
      <c r="BN20" s="5">
        <f t="shared" si="28"/>
        <v>0</v>
      </c>
      <c r="BO20" s="5">
        <f t="shared" ref="BO20:CC34" si="38">IF($E20=BO$2,1,0)</f>
        <v>0</v>
      </c>
      <c r="BP20" s="5">
        <f t="shared" si="38"/>
        <v>0</v>
      </c>
      <c r="BQ20" s="5">
        <f t="shared" si="38"/>
        <v>0</v>
      </c>
      <c r="BR20" s="5">
        <f t="shared" si="38"/>
        <v>0</v>
      </c>
      <c r="BS20" s="5">
        <f t="shared" si="38"/>
        <v>0</v>
      </c>
      <c r="BT20" s="5">
        <f t="shared" si="38"/>
        <v>0</v>
      </c>
      <c r="BU20" s="5">
        <f t="shared" si="38"/>
        <v>0</v>
      </c>
      <c r="BV20" s="5">
        <f t="shared" si="38"/>
        <v>0</v>
      </c>
      <c r="BW20" s="5">
        <f t="shared" si="38"/>
        <v>0</v>
      </c>
      <c r="BX20" s="5">
        <f t="shared" si="38"/>
        <v>0</v>
      </c>
      <c r="BY20" s="5">
        <f t="shared" si="38"/>
        <v>0</v>
      </c>
      <c r="BZ20" s="5">
        <f t="shared" si="38"/>
        <v>0</v>
      </c>
      <c r="CA20" s="5">
        <f t="shared" si="38"/>
        <v>0</v>
      </c>
      <c r="CB20" s="5">
        <f t="shared" si="38"/>
        <v>0</v>
      </c>
      <c r="CC20" s="5">
        <f t="shared" si="38"/>
        <v>0</v>
      </c>
      <c r="CD20" s="5">
        <f t="shared" si="37"/>
        <v>0</v>
      </c>
      <c r="CE20" s="5">
        <f t="shared" si="17"/>
        <v>0</v>
      </c>
    </row>
    <row r="21" spans="1:83" x14ac:dyDescent="0.2">
      <c r="A21" s="14"/>
      <c r="B21" s="14"/>
      <c r="C21" s="1">
        <f>Growth!D26</f>
        <v>0.5</v>
      </c>
      <c r="D21" s="5" t="b">
        <f t="shared" si="18"/>
        <v>0</v>
      </c>
      <c r="E21" s="5">
        <v>1993</v>
      </c>
      <c r="F21" s="5">
        <f ca="1">LOOKUP($E21,frequence!$A$2:$A$35,frequence!L$2:L$35)</f>
        <v>191.34520119916542</v>
      </c>
      <c r="G21" s="5">
        <f ca="1">LOOKUP($E21,frequence!$A$2:$A$35,frequence!K$2:K$35)</f>
        <v>28.094581622231551</v>
      </c>
      <c r="H21" s="5">
        <f ca="1">LOOKUP($E21,frequence!$A$2:$A$35,frequence!M$2:M$35)</f>
        <v>780.68842089259488</v>
      </c>
      <c r="I21" s="5">
        <v>1989</v>
      </c>
      <c r="J21" s="7">
        <f>LOOKUP(I21,CPI!A$69:A$103,CPI!O$69:O$103)</f>
        <v>1.7585161290322582</v>
      </c>
      <c r="K21" s="5">
        <v>1989</v>
      </c>
      <c r="L21" s="7">
        <f t="shared" ca="1" si="19"/>
        <v>1</v>
      </c>
      <c r="M21" s="7">
        <f t="shared" si="2"/>
        <v>1.1499999999999999</v>
      </c>
      <c r="N21" s="14">
        <v>0.5</v>
      </c>
      <c r="O21" s="1">
        <f ca="1">P21*J21*(1+Growth!G$6)^(2010-K21)</f>
        <v>7.1821310529606759</v>
      </c>
      <c r="P21" s="1">
        <v>2.98</v>
      </c>
      <c r="Q21" s="2">
        <f t="shared" si="3"/>
        <v>2.98</v>
      </c>
      <c r="R21" s="21">
        <f t="shared" ca="1" si="21"/>
        <v>51.583006461902023</v>
      </c>
      <c r="X21" s="2">
        <f t="shared" si="4"/>
        <v>2.98</v>
      </c>
      <c r="AC21" s="1">
        <f t="shared" si="29"/>
        <v>2.2999999999999998</v>
      </c>
      <c r="AD21" s="5">
        <v>1</v>
      </c>
      <c r="AE21" s="5">
        <v>0</v>
      </c>
      <c r="AF21" s="5">
        <v>0</v>
      </c>
      <c r="AG21" s="5">
        <v>0</v>
      </c>
      <c r="AH21" s="5">
        <v>0</v>
      </c>
      <c r="AI21" s="3">
        <f t="shared" si="5"/>
        <v>1.3</v>
      </c>
      <c r="AJ21" s="5">
        <f t="shared" si="6"/>
        <v>0</v>
      </c>
      <c r="AK21" s="5">
        <f t="shared" si="22"/>
        <v>1</v>
      </c>
      <c r="AL21" s="5">
        <f t="shared" si="23"/>
        <v>0</v>
      </c>
      <c r="AM21" s="5">
        <f t="shared" si="7"/>
        <v>0</v>
      </c>
      <c r="AN21" s="5">
        <f t="shared" si="24"/>
        <v>0</v>
      </c>
      <c r="AO21" s="5">
        <f t="shared" si="8"/>
        <v>0</v>
      </c>
      <c r="AP21" s="1">
        <v>4</v>
      </c>
      <c r="AQ21" s="1">
        <v>2</v>
      </c>
      <c r="AR21" s="5">
        <v>0</v>
      </c>
      <c r="AS21" s="5">
        <v>0</v>
      </c>
      <c r="AT21" s="5">
        <v>0</v>
      </c>
      <c r="AU21" s="5">
        <v>0</v>
      </c>
      <c r="AV21" s="5">
        <f t="shared" si="9"/>
        <v>1</v>
      </c>
      <c r="AW21" s="5">
        <f t="shared" si="10"/>
        <v>0</v>
      </c>
      <c r="AX21" s="5">
        <f t="shared" si="11"/>
        <v>0</v>
      </c>
      <c r="AY21" s="1">
        <f t="shared" si="12"/>
        <v>0</v>
      </c>
      <c r="AZ21" s="1">
        <f t="shared" si="13"/>
        <v>0</v>
      </c>
      <c r="BA21" s="1">
        <f t="shared" si="14"/>
        <v>0</v>
      </c>
      <c r="BB21" s="5">
        <v>0</v>
      </c>
      <c r="BC21" s="5">
        <v>0</v>
      </c>
      <c r="BD21" s="5">
        <v>0</v>
      </c>
      <c r="BE21" s="5">
        <f t="shared" si="30"/>
        <v>1</v>
      </c>
      <c r="BF21" s="5">
        <v>0</v>
      </c>
      <c r="BG21" s="5">
        <f t="shared" ref="BG21:BN36" si="39">IF($E21=BG$2,1,0)</f>
        <v>0</v>
      </c>
      <c r="BH21" s="5">
        <f t="shared" si="39"/>
        <v>0</v>
      </c>
      <c r="BI21" s="5">
        <f t="shared" si="39"/>
        <v>0</v>
      </c>
      <c r="BJ21" s="5">
        <f t="shared" si="39"/>
        <v>1</v>
      </c>
      <c r="BK21" s="5">
        <f t="shared" si="39"/>
        <v>0</v>
      </c>
      <c r="BL21" s="5">
        <f t="shared" si="39"/>
        <v>0</v>
      </c>
      <c r="BM21" s="5">
        <f t="shared" si="39"/>
        <v>0</v>
      </c>
      <c r="BN21" s="5">
        <f t="shared" si="39"/>
        <v>0</v>
      </c>
      <c r="BO21" s="5">
        <f t="shared" si="38"/>
        <v>0</v>
      </c>
      <c r="BP21" s="5">
        <f t="shared" si="38"/>
        <v>0</v>
      </c>
      <c r="BQ21" s="5">
        <f t="shared" si="38"/>
        <v>0</v>
      </c>
      <c r="BR21" s="5">
        <f t="shared" si="38"/>
        <v>0</v>
      </c>
      <c r="BS21" s="5">
        <f t="shared" si="38"/>
        <v>0</v>
      </c>
      <c r="BT21" s="5">
        <f t="shared" si="38"/>
        <v>0</v>
      </c>
      <c r="BU21" s="5">
        <f t="shared" si="38"/>
        <v>0</v>
      </c>
      <c r="BV21" s="5">
        <f t="shared" si="38"/>
        <v>0</v>
      </c>
      <c r="BW21" s="5">
        <f t="shared" si="38"/>
        <v>0</v>
      </c>
      <c r="BX21" s="5">
        <f t="shared" si="38"/>
        <v>0</v>
      </c>
      <c r="BY21" s="5">
        <f t="shared" si="38"/>
        <v>0</v>
      </c>
      <c r="BZ21" s="5">
        <f t="shared" si="38"/>
        <v>0</v>
      </c>
      <c r="CA21" s="5">
        <f t="shared" si="38"/>
        <v>0</v>
      </c>
      <c r="CB21" s="5">
        <f t="shared" si="38"/>
        <v>0</v>
      </c>
      <c r="CC21" s="5">
        <f t="shared" si="38"/>
        <v>0</v>
      </c>
      <c r="CD21" s="5">
        <f t="shared" si="37"/>
        <v>0</v>
      </c>
      <c r="CE21" s="5">
        <f t="shared" si="17"/>
        <v>0</v>
      </c>
    </row>
    <row r="22" spans="1:83" x14ac:dyDescent="0.2">
      <c r="C22" s="1">
        <f>Growth!D27</f>
        <v>0.25</v>
      </c>
      <c r="D22" s="5" t="b">
        <f t="shared" si="18"/>
        <v>0</v>
      </c>
      <c r="E22" s="5">
        <v>1993</v>
      </c>
      <c r="F22" s="5">
        <f ca="1">LOOKUP($E22,frequence!$A$2:$A$35,frequence!L$2:L$35)</f>
        <v>191.34520119916542</v>
      </c>
      <c r="G22" s="5">
        <f ca="1">LOOKUP($E22,frequence!$A$2:$A$35,frequence!K$2:K$35)</f>
        <v>28.094581622231551</v>
      </c>
      <c r="H22" s="5">
        <f ca="1">LOOKUP($E22,frequence!$A$2:$A$35,frequence!M$2:M$35)</f>
        <v>780.68842089259488</v>
      </c>
      <c r="I22" s="5">
        <v>1989</v>
      </c>
      <c r="J22" s="7">
        <f>LOOKUP(I22,CPI!A$69:A$103,CPI!O$69:O$103)</f>
        <v>1.7585161290322582</v>
      </c>
      <c r="K22" s="5">
        <v>1989</v>
      </c>
      <c r="L22" s="7">
        <f t="shared" ca="1" si="19"/>
        <v>1</v>
      </c>
      <c r="M22" s="7">
        <f t="shared" si="2"/>
        <v>0.57499999999999996</v>
      </c>
      <c r="N22" s="14">
        <v>0.25</v>
      </c>
      <c r="O22" s="1">
        <f ca="1">P22*J22*(1+Growth!G$6)^(2010-K22)</f>
        <v>21.160775384226422</v>
      </c>
      <c r="P22" s="1">
        <v>8.7799999999999994</v>
      </c>
      <c r="Q22" s="2">
        <f t="shared" si="3"/>
        <v>8.7799999999999994</v>
      </c>
      <c r="R22" s="21">
        <f t="shared" ca="1" si="21"/>
        <v>447.7784148616829</v>
      </c>
      <c r="X22" s="2">
        <f t="shared" si="4"/>
        <v>8.7799999999999994</v>
      </c>
      <c r="AC22" s="1">
        <f t="shared" si="29"/>
        <v>2.2999999999999998</v>
      </c>
      <c r="AD22" s="5">
        <v>1</v>
      </c>
      <c r="AE22" s="5">
        <v>0</v>
      </c>
      <c r="AF22" s="5">
        <v>0</v>
      </c>
      <c r="AG22" s="5">
        <v>0</v>
      </c>
      <c r="AH22" s="5">
        <v>0</v>
      </c>
      <c r="AI22" s="3">
        <f t="shared" si="5"/>
        <v>1.3</v>
      </c>
      <c r="AJ22" s="5">
        <f t="shared" si="6"/>
        <v>0</v>
      </c>
      <c r="AK22" s="5">
        <f t="shared" si="22"/>
        <v>1</v>
      </c>
      <c r="AL22" s="5">
        <f t="shared" si="23"/>
        <v>0</v>
      </c>
      <c r="AM22" s="5">
        <f t="shared" si="7"/>
        <v>0</v>
      </c>
      <c r="AN22" s="5">
        <f t="shared" si="24"/>
        <v>0</v>
      </c>
      <c r="AO22" s="5">
        <f t="shared" si="8"/>
        <v>0</v>
      </c>
      <c r="AP22" s="1">
        <v>4</v>
      </c>
      <c r="AQ22" s="1">
        <v>2</v>
      </c>
      <c r="AR22" s="5">
        <v>0</v>
      </c>
      <c r="AS22" s="5">
        <v>0</v>
      </c>
      <c r="AT22" s="5">
        <v>0</v>
      </c>
      <c r="AU22" s="5">
        <v>0</v>
      </c>
      <c r="AV22" s="5">
        <f t="shared" si="9"/>
        <v>1</v>
      </c>
      <c r="AW22" s="5">
        <f t="shared" si="10"/>
        <v>0</v>
      </c>
      <c r="AX22" s="5">
        <f t="shared" si="11"/>
        <v>0</v>
      </c>
      <c r="AY22" s="1">
        <f t="shared" si="12"/>
        <v>0</v>
      </c>
      <c r="AZ22" s="1">
        <f t="shared" si="13"/>
        <v>0</v>
      </c>
      <c r="BA22" s="1">
        <f t="shared" si="14"/>
        <v>0</v>
      </c>
      <c r="BB22" s="5">
        <v>0</v>
      </c>
      <c r="BC22" s="5">
        <v>0</v>
      </c>
      <c r="BD22" s="5">
        <v>0</v>
      </c>
      <c r="BE22" s="5">
        <f t="shared" si="30"/>
        <v>1</v>
      </c>
      <c r="BF22" s="5">
        <v>0</v>
      </c>
      <c r="BG22" s="5">
        <f t="shared" si="39"/>
        <v>0</v>
      </c>
      <c r="BH22" s="5">
        <f t="shared" si="39"/>
        <v>0</v>
      </c>
      <c r="BI22" s="5">
        <f t="shared" si="39"/>
        <v>0</v>
      </c>
      <c r="BJ22" s="5">
        <f t="shared" si="39"/>
        <v>1</v>
      </c>
      <c r="BK22" s="5">
        <f t="shared" si="39"/>
        <v>0</v>
      </c>
      <c r="BL22" s="5">
        <f t="shared" si="39"/>
        <v>0</v>
      </c>
      <c r="BM22" s="5">
        <f t="shared" si="39"/>
        <v>0</v>
      </c>
      <c r="BN22" s="5">
        <f t="shared" si="39"/>
        <v>0</v>
      </c>
      <c r="BO22" s="5">
        <f t="shared" si="38"/>
        <v>0</v>
      </c>
      <c r="BP22" s="5">
        <f t="shared" si="38"/>
        <v>0</v>
      </c>
      <c r="BQ22" s="5">
        <f t="shared" si="38"/>
        <v>0</v>
      </c>
      <c r="BR22" s="5">
        <f t="shared" si="38"/>
        <v>0</v>
      </c>
      <c r="BS22" s="5">
        <f t="shared" si="38"/>
        <v>0</v>
      </c>
      <c r="BT22" s="5">
        <f t="shared" si="38"/>
        <v>0</v>
      </c>
      <c r="BU22" s="5">
        <f t="shared" si="38"/>
        <v>0</v>
      </c>
      <c r="BV22" s="5">
        <f t="shared" si="38"/>
        <v>0</v>
      </c>
      <c r="BW22" s="5">
        <f t="shared" si="38"/>
        <v>0</v>
      </c>
      <c r="BX22" s="5">
        <f t="shared" si="38"/>
        <v>0</v>
      </c>
      <c r="BY22" s="5">
        <f t="shared" si="38"/>
        <v>0</v>
      </c>
      <c r="BZ22" s="5">
        <f t="shared" si="38"/>
        <v>0</v>
      </c>
      <c r="CA22" s="5">
        <f t="shared" si="38"/>
        <v>0</v>
      </c>
      <c r="CB22" s="5">
        <f t="shared" si="38"/>
        <v>0</v>
      </c>
      <c r="CC22" s="5">
        <f t="shared" si="38"/>
        <v>0</v>
      </c>
      <c r="CD22" s="5">
        <f t="shared" si="37"/>
        <v>0</v>
      </c>
      <c r="CE22" s="5">
        <f t="shared" si="17"/>
        <v>0</v>
      </c>
    </row>
    <row r="23" spans="1:83" x14ac:dyDescent="0.2">
      <c r="A23" s="1" t="s">
        <v>166</v>
      </c>
      <c r="B23" s="1" t="s">
        <v>167</v>
      </c>
      <c r="C23" s="1">
        <f>Growth!D28</f>
        <v>0</v>
      </c>
      <c r="D23" s="5">
        <f t="shared" si="18"/>
        <v>1992</v>
      </c>
      <c r="E23" s="5">
        <v>1992</v>
      </c>
      <c r="F23" s="5">
        <f ca="1">LOOKUP($E23,frequence!$A$2:$A$35,frequence!L$2:L$35)</f>
        <v>167.40528749135353</v>
      </c>
      <c r="G23" s="5">
        <f ca="1">LOOKUP($E23,frequence!$A$2:$A$35,frequence!K$2:K$35)</f>
        <v>24.898629037440497</v>
      </c>
      <c r="H23" s="5">
        <f ca="1">LOOKUP($E23,frequence!$A$2:$A$35,frequence!M$2:M$35)</f>
        <v>683.10236828102006</v>
      </c>
      <c r="I23" s="5">
        <v>1989</v>
      </c>
      <c r="J23" s="7">
        <f>LOOKUP(I23,CPI!A$69:A$103,CPI!O$69:O$103)</f>
        <v>1.7585161290322582</v>
      </c>
      <c r="K23" s="5">
        <v>1989</v>
      </c>
      <c r="L23" s="7">
        <f t="shared" ca="1" si="19"/>
        <v>1</v>
      </c>
      <c r="M23" s="7">
        <f t="shared" si="2"/>
        <v>2.2000000000000002</v>
      </c>
      <c r="N23" s="14">
        <v>1</v>
      </c>
      <c r="O23" s="1">
        <f ca="1">P23*J23*(1+Growth!G$6)^(2010-K23)</f>
        <v>40.176551896931038</v>
      </c>
      <c r="P23" s="1">
        <v>16.670000000000002</v>
      </c>
      <c r="Q23" s="2">
        <f t="shared" ref="Q23" si="40">P23</f>
        <v>16.670000000000002</v>
      </c>
      <c r="R23" s="21">
        <f t="shared" ca="1" si="21"/>
        <v>1614.1553223267929</v>
      </c>
      <c r="X23" s="2">
        <f t="shared" si="4"/>
        <v>16.670000000000002</v>
      </c>
      <c r="AC23" s="1">
        <f t="shared" ref="AC23" si="41">SUM(AD23:AI23)</f>
        <v>2.2000000000000002</v>
      </c>
      <c r="AD23" s="5">
        <v>1</v>
      </c>
      <c r="AE23" s="5">
        <v>0</v>
      </c>
      <c r="AF23" s="5">
        <v>0</v>
      </c>
      <c r="AG23" s="5">
        <v>0</v>
      </c>
      <c r="AH23" s="5">
        <v>0</v>
      </c>
      <c r="AI23" s="3">
        <f t="shared" si="5"/>
        <v>1.2</v>
      </c>
      <c r="AJ23" s="5">
        <f t="shared" si="6"/>
        <v>0</v>
      </c>
      <c r="AK23" s="5">
        <f t="shared" si="22"/>
        <v>1</v>
      </c>
      <c r="AL23" s="5">
        <f t="shared" si="23"/>
        <v>0</v>
      </c>
      <c r="AM23" s="5">
        <f t="shared" si="7"/>
        <v>0</v>
      </c>
      <c r="AN23" s="5">
        <f t="shared" si="24"/>
        <v>0</v>
      </c>
      <c r="AO23" s="5">
        <f t="shared" si="8"/>
        <v>0</v>
      </c>
      <c r="AP23" s="1">
        <v>4</v>
      </c>
      <c r="AQ23" s="1">
        <v>2</v>
      </c>
      <c r="AR23" s="5">
        <v>0</v>
      </c>
      <c r="AS23" s="5">
        <v>0</v>
      </c>
      <c r="AT23" s="5">
        <v>0</v>
      </c>
      <c r="AU23" s="5">
        <v>0</v>
      </c>
      <c r="AV23" s="5">
        <f t="shared" si="9"/>
        <v>1</v>
      </c>
      <c r="AW23" s="5">
        <f t="shared" si="10"/>
        <v>0</v>
      </c>
      <c r="AX23" s="5">
        <f t="shared" si="11"/>
        <v>0</v>
      </c>
      <c r="AY23" s="1">
        <f t="shared" ref="AY23" si="42">AJ23*$AD23*(1-$AV23)*(1-$AR23)</f>
        <v>0</v>
      </c>
      <c r="AZ23" s="1">
        <f t="shared" ref="AZ23" si="43">AM23*$AD23*(1-$AV23)*(1-$AR23)</f>
        <v>0</v>
      </c>
      <c r="BA23" s="1">
        <f t="shared" ref="BA23" si="44">AO23*$AD23*(1-$AV23)*(1-$AR23)</f>
        <v>0</v>
      </c>
      <c r="BB23" s="5">
        <v>0</v>
      </c>
      <c r="BC23" s="5">
        <v>0</v>
      </c>
      <c r="BD23" s="5">
        <v>0</v>
      </c>
      <c r="BE23" s="5">
        <f t="shared" ref="BE23" si="45">1-SUM(BB23:BD23)</f>
        <v>1</v>
      </c>
      <c r="BF23" s="5">
        <v>0</v>
      </c>
      <c r="BG23" s="5">
        <f t="shared" si="39"/>
        <v>0</v>
      </c>
      <c r="BH23" s="5">
        <f t="shared" si="39"/>
        <v>0</v>
      </c>
      <c r="BI23" s="5">
        <f t="shared" si="39"/>
        <v>1</v>
      </c>
      <c r="BJ23" s="5">
        <f t="shared" si="39"/>
        <v>0</v>
      </c>
      <c r="BK23" s="5">
        <f t="shared" si="39"/>
        <v>0</v>
      </c>
      <c r="BL23" s="5">
        <f t="shared" si="39"/>
        <v>0</v>
      </c>
      <c r="BM23" s="5">
        <f t="shared" si="39"/>
        <v>0</v>
      </c>
      <c r="BN23" s="5">
        <f t="shared" si="39"/>
        <v>0</v>
      </c>
      <c r="BO23" s="5">
        <f t="shared" si="38"/>
        <v>0</v>
      </c>
      <c r="BP23" s="5">
        <f t="shared" si="38"/>
        <v>0</v>
      </c>
      <c r="BQ23" s="5">
        <f t="shared" si="38"/>
        <v>0</v>
      </c>
      <c r="BR23" s="5">
        <f t="shared" si="38"/>
        <v>0</v>
      </c>
      <c r="BS23" s="5">
        <f t="shared" si="38"/>
        <v>0</v>
      </c>
      <c r="BT23" s="5">
        <f t="shared" si="38"/>
        <v>0</v>
      </c>
      <c r="BU23" s="5">
        <f t="shared" si="38"/>
        <v>0</v>
      </c>
      <c r="BV23" s="5">
        <f t="shared" si="38"/>
        <v>0</v>
      </c>
      <c r="BW23" s="5">
        <f t="shared" si="38"/>
        <v>0</v>
      </c>
      <c r="BX23" s="5">
        <f t="shared" si="38"/>
        <v>0</v>
      </c>
      <c r="BY23" s="5">
        <f t="shared" si="38"/>
        <v>0</v>
      </c>
      <c r="BZ23" s="5">
        <f t="shared" si="38"/>
        <v>0</v>
      </c>
      <c r="CA23" s="5">
        <f t="shared" si="38"/>
        <v>0</v>
      </c>
      <c r="CB23" s="5">
        <f t="shared" si="38"/>
        <v>0</v>
      </c>
      <c r="CC23" s="5">
        <f t="shared" si="38"/>
        <v>0</v>
      </c>
      <c r="CD23" s="5">
        <f t="shared" si="37"/>
        <v>0</v>
      </c>
      <c r="CE23" s="5">
        <f t="shared" si="17"/>
        <v>0</v>
      </c>
    </row>
    <row r="24" spans="1:83" x14ac:dyDescent="0.2">
      <c r="A24" s="1" t="s">
        <v>137</v>
      </c>
      <c r="B24" s="1" t="s">
        <v>138</v>
      </c>
      <c r="C24" s="1">
        <f>Growth!D29</f>
        <v>0</v>
      </c>
      <c r="D24" s="5">
        <f t="shared" si="18"/>
        <v>1993</v>
      </c>
      <c r="E24" s="5">
        <v>1993</v>
      </c>
      <c r="F24" s="5">
        <f ca="1">LOOKUP($E24,frequence!$A$2:$A$35,frequence!L$2:L$35)</f>
        <v>191.34520119916542</v>
      </c>
      <c r="G24" s="5">
        <f ca="1">LOOKUP($E24,frequence!$A$2:$A$35,frequence!K$2:K$35)</f>
        <v>28.094581622231551</v>
      </c>
      <c r="H24" s="5">
        <f ca="1">LOOKUP($E24,frequence!$A$2:$A$35,frequence!M$2:M$35)</f>
        <v>780.68842089259488</v>
      </c>
      <c r="I24" s="5">
        <v>1991</v>
      </c>
      <c r="J24" s="7">
        <f>LOOKUP(I24,CPI!A$69:A$103,CPI!O$69:O$103)</f>
        <v>1.600998531571219</v>
      </c>
      <c r="K24" s="5">
        <v>1990</v>
      </c>
      <c r="L24" s="7">
        <f t="shared" ca="1" si="19"/>
        <v>1</v>
      </c>
      <c r="M24" s="7">
        <f t="shared" si="2"/>
        <v>2.946428571428571E-2</v>
      </c>
      <c r="N24" s="14">
        <f>1/112</f>
        <v>8.9285714285714281E-3</v>
      </c>
      <c r="O24" s="1">
        <f ca="1">P24*J24*(1+Growth!G$6)^(2010-K24)</f>
        <v>1.5851284473467744E-2</v>
      </c>
      <c r="P24" s="1">
        <f>44/12*0.002</f>
        <v>7.3333333333333332E-3</v>
      </c>
      <c r="Q24" s="2">
        <f t="shared" ref="Q24:Q83" si="46">P24</f>
        <v>7.3333333333333332E-3</v>
      </c>
      <c r="R24" s="21">
        <f t="shared" ca="1" si="21"/>
        <v>2.512632194587996E-4</v>
      </c>
      <c r="X24" s="2">
        <f t="shared" si="4"/>
        <v>7.3333333333333332E-3</v>
      </c>
      <c r="AC24" s="1">
        <f t="shared" ref="AC24:AC83" si="47">SUM(AD24:AI24)</f>
        <v>3.3</v>
      </c>
      <c r="AD24" s="5">
        <v>1</v>
      </c>
      <c r="AE24" s="5">
        <v>0</v>
      </c>
      <c r="AF24" s="5">
        <v>1</v>
      </c>
      <c r="AG24" s="5">
        <v>0</v>
      </c>
      <c r="AH24" s="5">
        <v>0</v>
      </c>
      <c r="AI24" s="3">
        <f t="shared" si="5"/>
        <v>1.3</v>
      </c>
      <c r="AJ24" s="5">
        <f t="shared" si="6"/>
        <v>0</v>
      </c>
      <c r="AK24" s="5">
        <f t="shared" si="22"/>
        <v>0</v>
      </c>
      <c r="AL24" s="5">
        <f t="shared" si="23"/>
        <v>0</v>
      </c>
      <c r="AM24" s="5">
        <f t="shared" si="7"/>
        <v>0</v>
      </c>
      <c r="AN24" s="5">
        <f t="shared" si="24"/>
        <v>0</v>
      </c>
      <c r="AO24" s="5">
        <f t="shared" si="8"/>
        <v>1</v>
      </c>
      <c r="AP24" s="11" t="s">
        <v>42</v>
      </c>
      <c r="AQ24" s="1">
        <v>0</v>
      </c>
      <c r="AR24" s="5">
        <v>0</v>
      </c>
      <c r="AS24" s="5">
        <v>0</v>
      </c>
      <c r="AT24" s="5">
        <v>0</v>
      </c>
      <c r="AU24" s="5">
        <v>0</v>
      </c>
      <c r="AV24" s="5">
        <f t="shared" si="9"/>
        <v>1</v>
      </c>
      <c r="AW24" s="5">
        <f t="shared" si="10"/>
        <v>0</v>
      </c>
      <c r="AX24" s="5">
        <f t="shared" si="11"/>
        <v>0</v>
      </c>
      <c r="AY24" s="1">
        <f t="shared" ref="AY24:AY83" si="48">AJ24*$AD24*(1-$AV24)*(1-$AR24)</f>
        <v>0</v>
      </c>
      <c r="AZ24" s="1">
        <f t="shared" ref="AZ24:AZ83" si="49">AM24*$AD24*(1-$AV24)*(1-$AR24)</f>
        <v>0</v>
      </c>
      <c r="BA24" s="1">
        <f t="shared" ref="BA24:BA83" si="50">AO24*$AD24*(1-$AV24)*(1-$AR24)</f>
        <v>0</v>
      </c>
      <c r="BB24" s="5">
        <v>0</v>
      </c>
      <c r="BC24" s="5">
        <v>0</v>
      </c>
      <c r="BD24" s="5">
        <v>0</v>
      </c>
      <c r="BE24" s="5">
        <f t="shared" ref="BE24:BE83" si="51">1-SUM(BB24:BD24)</f>
        <v>1</v>
      </c>
      <c r="BF24" s="5">
        <v>0</v>
      </c>
      <c r="BG24" s="5">
        <f t="shared" si="39"/>
        <v>0</v>
      </c>
      <c r="BH24" s="5">
        <f t="shared" si="39"/>
        <v>0</v>
      </c>
      <c r="BI24" s="5">
        <f t="shared" si="39"/>
        <v>0</v>
      </c>
      <c r="BJ24" s="5">
        <f t="shared" si="39"/>
        <v>1</v>
      </c>
      <c r="BK24" s="5">
        <f t="shared" si="39"/>
        <v>0</v>
      </c>
      <c r="BL24" s="5">
        <f t="shared" si="39"/>
        <v>0</v>
      </c>
      <c r="BM24" s="5">
        <f t="shared" si="39"/>
        <v>0</v>
      </c>
      <c r="BN24" s="5">
        <f t="shared" si="39"/>
        <v>0</v>
      </c>
      <c r="BO24" s="5">
        <f t="shared" si="38"/>
        <v>0</v>
      </c>
      <c r="BP24" s="5">
        <f t="shared" si="38"/>
        <v>0</v>
      </c>
      <c r="BQ24" s="5">
        <f t="shared" si="38"/>
        <v>0</v>
      </c>
      <c r="BR24" s="5">
        <f t="shared" si="38"/>
        <v>0</v>
      </c>
      <c r="BS24" s="5">
        <f t="shared" si="38"/>
        <v>0</v>
      </c>
      <c r="BT24" s="5">
        <f t="shared" si="38"/>
        <v>0</v>
      </c>
      <c r="BU24" s="5">
        <f t="shared" si="38"/>
        <v>0</v>
      </c>
      <c r="BV24" s="5">
        <f t="shared" si="38"/>
        <v>0</v>
      </c>
      <c r="BW24" s="5">
        <f t="shared" si="38"/>
        <v>0</v>
      </c>
      <c r="BX24" s="5">
        <f t="shared" si="38"/>
        <v>0</v>
      </c>
      <c r="BY24" s="5">
        <f t="shared" si="38"/>
        <v>0</v>
      </c>
      <c r="BZ24" s="5">
        <f t="shared" si="38"/>
        <v>0</v>
      </c>
      <c r="CA24" s="5">
        <f t="shared" si="38"/>
        <v>0</v>
      </c>
      <c r="CB24" s="5">
        <f t="shared" si="38"/>
        <v>0</v>
      </c>
      <c r="CC24" s="5">
        <f t="shared" si="38"/>
        <v>0</v>
      </c>
      <c r="CD24" s="5">
        <f t="shared" si="37"/>
        <v>0</v>
      </c>
      <c r="CE24" s="5">
        <f t="shared" si="17"/>
        <v>0</v>
      </c>
    </row>
    <row r="25" spans="1:83" x14ac:dyDescent="0.2">
      <c r="C25" s="1">
        <f>Growth!D30</f>
        <v>0</v>
      </c>
      <c r="D25" s="5" t="b">
        <f t="shared" si="18"/>
        <v>0</v>
      </c>
      <c r="E25" s="5">
        <v>1993</v>
      </c>
      <c r="F25" s="5">
        <f ca="1">LOOKUP($E25,frequence!$A$2:$A$35,frequence!L$2:L$35)</f>
        <v>191.34520119916542</v>
      </c>
      <c r="G25" s="5">
        <f ca="1">LOOKUP($E25,frequence!$A$2:$A$35,frequence!K$2:K$35)</f>
        <v>28.094581622231551</v>
      </c>
      <c r="H25" s="5">
        <f ca="1">LOOKUP($E25,frequence!$A$2:$A$35,frequence!M$2:M$35)</f>
        <v>780.68842089259488</v>
      </c>
      <c r="I25" s="5">
        <v>1991</v>
      </c>
      <c r="J25" s="7">
        <f>LOOKUP(I25,CPI!A$69:A$103,CPI!O$69:O$103)</f>
        <v>1.600998531571219</v>
      </c>
      <c r="K25" s="5">
        <v>1990</v>
      </c>
      <c r="L25" s="7">
        <f t="shared" ca="1" si="19"/>
        <v>1</v>
      </c>
      <c r="M25" s="7">
        <f t="shared" si="2"/>
        <v>2.946428571428571E-2</v>
      </c>
      <c r="N25" s="14">
        <f>1/112</f>
        <v>8.9285714285714281E-3</v>
      </c>
      <c r="O25" s="1">
        <f ca="1">P25*J25*(1+Growth!G$6)^(2010-K25)</f>
        <v>9.5107706840806452E-2</v>
      </c>
      <c r="P25" s="1">
        <f>44/12*0.012</f>
        <v>4.3999999999999997E-2</v>
      </c>
      <c r="Q25" s="2">
        <f t="shared" si="46"/>
        <v>4.3999999999999997E-2</v>
      </c>
      <c r="R25" s="21">
        <f t="shared" ca="1" si="21"/>
        <v>9.0454759005167817E-3</v>
      </c>
      <c r="X25" s="2">
        <f t="shared" si="4"/>
        <v>4.3999999999999997E-2</v>
      </c>
      <c r="AC25" s="1">
        <f t="shared" si="47"/>
        <v>3.3</v>
      </c>
      <c r="AD25" s="5">
        <v>1</v>
      </c>
      <c r="AE25" s="5">
        <v>0</v>
      </c>
      <c r="AF25" s="5">
        <v>1</v>
      </c>
      <c r="AG25" s="5">
        <v>0</v>
      </c>
      <c r="AH25" s="5">
        <v>0</v>
      </c>
      <c r="AI25" s="3">
        <f t="shared" si="5"/>
        <v>1.3</v>
      </c>
      <c r="AJ25" s="5">
        <f t="shared" si="6"/>
        <v>0</v>
      </c>
      <c r="AK25" s="5">
        <f t="shared" si="22"/>
        <v>0</v>
      </c>
      <c r="AL25" s="5">
        <f t="shared" si="23"/>
        <v>0</v>
      </c>
      <c r="AM25" s="5">
        <f t="shared" si="7"/>
        <v>0</v>
      </c>
      <c r="AN25" s="5">
        <f t="shared" si="24"/>
        <v>0</v>
      </c>
      <c r="AO25" s="5">
        <f t="shared" si="8"/>
        <v>1</v>
      </c>
      <c r="AP25" s="11" t="s">
        <v>42</v>
      </c>
      <c r="AQ25" s="1">
        <v>0</v>
      </c>
      <c r="AR25" s="5">
        <v>0</v>
      </c>
      <c r="AS25" s="5">
        <v>0</v>
      </c>
      <c r="AT25" s="5">
        <v>0</v>
      </c>
      <c r="AU25" s="5">
        <v>0</v>
      </c>
      <c r="AV25" s="5">
        <f t="shared" si="9"/>
        <v>1</v>
      </c>
      <c r="AW25" s="5">
        <f t="shared" si="10"/>
        <v>0</v>
      </c>
      <c r="AX25" s="5">
        <f t="shared" si="11"/>
        <v>0</v>
      </c>
      <c r="AY25" s="1">
        <f t="shared" si="48"/>
        <v>0</v>
      </c>
      <c r="AZ25" s="1">
        <f t="shared" si="49"/>
        <v>0</v>
      </c>
      <c r="BA25" s="1">
        <f t="shared" si="50"/>
        <v>0</v>
      </c>
      <c r="BB25" s="5">
        <v>0</v>
      </c>
      <c r="BC25" s="5">
        <v>0</v>
      </c>
      <c r="BD25" s="5">
        <v>0</v>
      </c>
      <c r="BE25" s="5">
        <f t="shared" si="51"/>
        <v>1</v>
      </c>
      <c r="BF25" s="5">
        <v>0</v>
      </c>
      <c r="BG25" s="5">
        <f t="shared" si="39"/>
        <v>0</v>
      </c>
      <c r="BH25" s="5">
        <f t="shared" si="39"/>
        <v>0</v>
      </c>
      <c r="BI25" s="5">
        <f t="shared" si="39"/>
        <v>0</v>
      </c>
      <c r="BJ25" s="5">
        <f t="shared" si="39"/>
        <v>1</v>
      </c>
      <c r="BK25" s="5">
        <f t="shared" si="39"/>
        <v>0</v>
      </c>
      <c r="BL25" s="5">
        <f t="shared" si="39"/>
        <v>0</v>
      </c>
      <c r="BM25" s="5">
        <f t="shared" si="39"/>
        <v>0</v>
      </c>
      <c r="BN25" s="5">
        <f t="shared" si="39"/>
        <v>0</v>
      </c>
      <c r="BO25" s="5">
        <f t="shared" si="38"/>
        <v>0</v>
      </c>
      <c r="BP25" s="5">
        <f t="shared" si="38"/>
        <v>0</v>
      </c>
      <c r="BQ25" s="5">
        <f t="shared" si="38"/>
        <v>0</v>
      </c>
      <c r="BR25" s="5">
        <f t="shared" si="38"/>
        <v>0</v>
      </c>
      <c r="BS25" s="5">
        <f t="shared" si="38"/>
        <v>0</v>
      </c>
      <c r="BT25" s="5">
        <f t="shared" si="38"/>
        <v>0</v>
      </c>
      <c r="BU25" s="5">
        <f t="shared" si="38"/>
        <v>0</v>
      </c>
      <c r="BV25" s="5">
        <f t="shared" si="38"/>
        <v>0</v>
      </c>
      <c r="BW25" s="5">
        <f t="shared" si="38"/>
        <v>0</v>
      </c>
      <c r="BX25" s="5">
        <f t="shared" si="38"/>
        <v>0</v>
      </c>
      <c r="BY25" s="5">
        <f t="shared" si="38"/>
        <v>0</v>
      </c>
      <c r="BZ25" s="5">
        <f t="shared" si="38"/>
        <v>0</v>
      </c>
      <c r="CA25" s="5">
        <f t="shared" si="38"/>
        <v>0</v>
      </c>
      <c r="CB25" s="5">
        <f t="shared" si="38"/>
        <v>0</v>
      </c>
      <c r="CC25" s="5">
        <f t="shared" si="38"/>
        <v>0</v>
      </c>
      <c r="CD25" s="5">
        <f t="shared" si="37"/>
        <v>0</v>
      </c>
      <c r="CE25" s="5">
        <f t="shared" si="17"/>
        <v>0</v>
      </c>
    </row>
    <row r="26" spans="1:83" x14ac:dyDescent="0.2">
      <c r="C26" s="1">
        <f>Growth!D31</f>
        <v>0</v>
      </c>
      <c r="D26" s="5" t="b">
        <f t="shared" si="18"/>
        <v>0</v>
      </c>
      <c r="E26" s="5">
        <v>1993</v>
      </c>
      <c r="F26" s="5">
        <f ca="1">LOOKUP($E26,frequence!$A$2:$A$35,frequence!L$2:L$35)</f>
        <v>191.34520119916542</v>
      </c>
      <c r="G26" s="5">
        <f ca="1">LOOKUP($E26,frequence!$A$2:$A$35,frequence!K$2:K$35)</f>
        <v>28.094581622231551</v>
      </c>
      <c r="H26" s="5">
        <f ca="1">LOOKUP($E26,frequence!$A$2:$A$35,frequence!M$2:M$35)</f>
        <v>780.68842089259488</v>
      </c>
      <c r="I26" s="5">
        <v>1991</v>
      </c>
      <c r="J26" s="7">
        <f>LOOKUP(I26,CPI!A$69:A$103,CPI!O$69:O$103)</f>
        <v>1.600998531571219</v>
      </c>
      <c r="K26" s="5">
        <v>1990</v>
      </c>
      <c r="L26" s="7">
        <f t="shared" ca="1" si="19"/>
        <v>1</v>
      </c>
      <c r="M26" s="7">
        <f t="shared" si="2"/>
        <v>5.892857142857142E-2</v>
      </c>
      <c r="N26" s="14">
        <f>2/112</f>
        <v>1.7857142857142856E-2</v>
      </c>
      <c r="O26" s="1">
        <f ca="1">P26*J26*(1+Growth!G$6)^(2010-K26)</f>
        <v>2.3776926710201613E-2</v>
      </c>
      <c r="P26" s="1">
        <f>44/12*0.003</f>
        <v>1.0999999999999999E-2</v>
      </c>
      <c r="Q26" s="2">
        <f t="shared" si="46"/>
        <v>1.0999999999999999E-2</v>
      </c>
      <c r="R26" s="21">
        <f t="shared" ca="1" si="21"/>
        <v>5.6534224378229885E-4</v>
      </c>
      <c r="X26" s="2">
        <f t="shared" si="4"/>
        <v>1.0999999999999999E-2</v>
      </c>
      <c r="AC26" s="1">
        <f t="shared" si="47"/>
        <v>3.3</v>
      </c>
      <c r="AD26" s="5">
        <v>1</v>
      </c>
      <c r="AE26" s="5">
        <v>0</v>
      </c>
      <c r="AF26" s="5">
        <v>1</v>
      </c>
      <c r="AG26" s="5">
        <v>0</v>
      </c>
      <c r="AH26" s="5">
        <v>0</v>
      </c>
      <c r="AI26" s="3">
        <f t="shared" si="5"/>
        <v>1.3</v>
      </c>
      <c r="AJ26" s="5">
        <f t="shared" si="6"/>
        <v>0</v>
      </c>
      <c r="AK26" s="5">
        <f t="shared" si="22"/>
        <v>0</v>
      </c>
      <c r="AL26" s="5">
        <f t="shared" si="23"/>
        <v>0</v>
      </c>
      <c r="AM26" s="5">
        <f t="shared" si="7"/>
        <v>0</v>
      </c>
      <c r="AN26" s="5">
        <f t="shared" si="24"/>
        <v>0</v>
      </c>
      <c r="AO26" s="5">
        <f t="shared" si="8"/>
        <v>1</v>
      </c>
      <c r="AP26" s="11" t="s">
        <v>42</v>
      </c>
      <c r="AQ26" s="1">
        <v>0</v>
      </c>
      <c r="AR26" s="5">
        <v>0</v>
      </c>
      <c r="AS26" s="5">
        <v>0</v>
      </c>
      <c r="AT26" s="5">
        <v>0</v>
      </c>
      <c r="AU26" s="5">
        <v>0</v>
      </c>
      <c r="AV26" s="5">
        <f t="shared" si="9"/>
        <v>1</v>
      </c>
      <c r="AW26" s="5">
        <f t="shared" si="10"/>
        <v>0</v>
      </c>
      <c r="AX26" s="5">
        <f t="shared" si="11"/>
        <v>0</v>
      </c>
      <c r="AY26" s="1">
        <f t="shared" si="48"/>
        <v>0</v>
      </c>
      <c r="AZ26" s="1">
        <f t="shared" si="49"/>
        <v>0</v>
      </c>
      <c r="BA26" s="1">
        <f t="shared" si="50"/>
        <v>0</v>
      </c>
      <c r="BB26" s="5">
        <v>0</v>
      </c>
      <c r="BC26" s="5">
        <v>0</v>
      </c>
      <c r="BD26" s="5">
        <v>0</v>
      </c>
      <c r="BE26" s="5">
        <f t="shared" si="51"/>
        <v>1</v>
      </c>
      <c r="BF26" s="5">
        <v>0</v>
      </c>
      <c r="BG26" s="5">
        <f t="shared" si="39"/>
        <v>0</v>
      </c>
      <c r="BH26" s="5">
        <f t="shared" si="39"/>
        <v>0</v>
      </c>
      <c r="BI26" s="5">
        <f t="shared" si="39"/>
        <v>0</v>
      </c>
      <c r="BJ26" s="5">
        <f t="shared" si="39"/>
        <v>1</v>
      </c>
      <c r="BK26" s="5">
        <f t="shared" si="39"/>
        <v>0</v>
      </c>
      <c r="BL26" s="5">
        <f t="shared" si="39"/>
        <v>0</v>
      </c>
      <c r="BM26" s="5">
        <f t="shared" si="39"/>
        <v>0</v>
      </c>
      <c r="BN26" s="5">
        <f t="shared" si="39"/>
        <v>0</v>
      </c>
      <c r="BO26" s="5">
        <f t="shared" si="38"/>
        <v>0</v>
      </c>
      <c r="BP26" s="5">
        <f t="shared" si="38"/>
        <v>0</v>
      </c>
      <c r="BQ26" s="5">
        <f t="shared" si="38"/>
        <v>0</v>
      </c>
      <c r="BR26" s="5">
        <f t="shared" si="38"/>
        <v>0</v>
      </c>
      <c r="BS26" s="5">
        <f t="shared" si="38"/>
        <v>0</v>
      </c>
      <c r="BT26" s="5">
        <f t="shared" si="38"/>
        <v>0</v>
      </c>
      <c r="BU26" s="5">
        <f t="shared" si="38"/>
        <v>0</v>
      </c>
      <c r="BV26" s="5">
        <f t="shared" si="38"/>
        <v>0</v>
      </c>
      <c r="BW26" s="5">
        <f t="shared" si="38"/>
        <v>0</v>
      </c>
      <c r="BX26" s="5">
        <f t="shared" si="38"/>
        <v>0</v>
      </c>
      <c r="BY26" s="5">
        <f t="shared" si="38"/>
        <v>0</v>
      </c>
      <c r="BZ26" s="5">
        <f t="shared" si="38"/>
        <v>0</v>
      </c>
      <c r="CA26" s="5">
        <f t="shared" si="38"/>
        <v>0</v>
      </c>
      <c r="CB26" s="5">
        <f t="shared" si="38"/>
        <v>0</v>
      </c>
      <c r="CC26" s="5">
        <f t="shared" si="38"/>
        <v>0</v>
      </c>
      <c r="CD26" s="5">
        <f t="shared" si="37"/>
        <v>0</v>
      </c>
      <c r="CE26" s="5">
        <f t="shared" si="17"/>
        <v>0</v>
      </c>
    </row>
    <row r="27" spans="1:83" x14ac:dyDescent="0.2">
      <c r="C27" s="1">
        <f>Growth!D32</f>
        <v>0</v>
      </c>
      <c r="D27" s="5" t="b">
        <f t="shared" si="18"/>
        <v>0</v>
      </c>
      <c r="E27" s="5">
        <v>1993</v>
      </c>
      <c r="F27" s="5">
        <f ca="1">LOOKUP($E27,frequence!$A$2:$A$35,frequence!L$2:L$35)</f>
        <v>191.34520119916542</v>
      </c>
      <c r="G27" s="5">
        <f ca="1">LOOKUP($E27,frequence!$A$2:$A$35,frequence!K$2:K$35)</f>
        <v>28.094581622231551</v>
      </c>
      <c r="H27" s="5">
        <f ca="1">LOOKUP($E27,frequence!$A$2:$A$35,frequence!M$2:M$35)</f>
        <v>780.68842089259488</v>
      </c>
      <c r="I27" s="5">
        <v>1991</v>
      </c>
      <c r="J27" s="7">
        <f>LOOKUP(I27,CPI!A$69:A$103,CPI!O$69:O$103)</f>
        <v>1.600998531571219</v>
      </c>
      <c r="K27" s="5">
        <v>1990</v>
      </c>
      <c r="L27" s="7">
        <f t="shared" ca="1" si="19"/>
        <v>1</v>
      </c>
      <c r="M27" s="7">
        <f t="shared" si="2"/>
        <v>5.892857142857142E-2</v>
      </c>
      <c r="N27" s="14">
        <f>2/112</f>
        <v>1.7857142857142856E-2</v>
      </c>
      <c r="O27" s="1">
        <f ca="1">P27*J27*(1+Growth!G$6)^(2010-K27)</f>
        <v>0.14266156026120969</v>
      </c>
      <c r="P27" s="1">
        <f>44/12*0.018</f>
        <v>6.5999999999999989E-2</v>
      </c>
      <c r="Q27" s="2">
        <f t="shared" si="46"/>
        <v>6.5999999999999989E-2</v>
      </c>
      <c r="R27" s="21">
        <f t="shared" ca="1" si="21"/>
        <v>2.0352320776162763E-2</v>
      </c>
      <c r="X27" s="2">
        <f t="shared" si="4"/>
        <v>6.5999999999999989E-2</v>
      </c>
      <c r="AC27" s="1">
        <f t="shared" si="47"/>
        <v>3.3</v>
      </c>
      <c r="AD27" s="5">
        <v>1</v>
      </c>
      <c r="AE27" s="5">
        <v>0</v>
      </c>
      <c r="AF27" s="5">
        <v>1</v>
      </c>
      <c r="AG27" s="5">
        <v>0</v>
      </c>
      <c r="AH27" s="5">
        <v>0</v>
      </c>
      <c r="AI27" s="3">
        <f t="shared" si="5"/>
        <v>1.3</v>
      </c>
      <c r="AJ27" s="5">
        <f t="shared" si="6"/>
        <v>0</v>
      </c>
      <c r="AK27" s="5">
        <f t="shared" si="22"/>
        <v>0</v>
      </c>
      <c r="AL27" s="5">
        <f t="shared" si="23"/>
        <v>0</v>
      </c>
      <c r="AM27" s="5">
        <f t="shared" si="7"/>
        <v>0</v>
      </c>
      <c r="AN27" s="5">
        <f t="shared" si="24"/>
        <v>0</v>
      </c>
      <c r="AO27" s="5">
        <f t="shared" si="8"/>
        <v>1</v>
      </c>
      <c r="AP27" s="11" t="s">
        <v>42</v>
      </c>
      <c r="AQ27" s="1">
        <v>0</v>
      </c>
      <c r="AR27" s="5">
        <v>0</v>
      </c>
      <c r="AS27" s="5">
        <v>0</v>
      </c>
      <c r="AT27" s="5">
        <v>0</v>
      </c>
      <c r="AU27" s="5">
        <v>0</v>
      </c>
      <c r="AV27" s="5">
        <f t="shared" si="9"/>
        <v>1</v>
      </c>
      <c r="AW27" s="5">
        <f t="shared" si="10"/>
        <v>0</v>
      </c>
      <c r="AX27" s="5">
        <f t="shared" si="11"/>
        <v>0</v>
      </c>
      <c r="AY27" s="1">
        <f t="shared" si="48"/>
        <v>0</v>
      </c>
      <c r="AZ27" s="1">
        <f t="shared" si="49"/>
        <v>0</v>
      </c>
      <c r="BA27" s="1">
        <f t="shared" si="50"/>
        <v>0</v>
      </c>
      <c r="BB27" s="5">
        <v>0</v>
      </c>
      <c r="BC27" s="5">
        <v>0</v>
      </c>
      <c r="BD27" s="5">
        <v>0</v>
      </c>
      <c r="BE27" s="5">
        <f t="shared" si="51"/>
        <v>1</v>
      </c>
      <c r="BF27" s="5">
        <v>0</v>
      </c>
      <c r="BG27" s="5">
        <f t="shared" si="39"/>
        <v>0</v>
      </c>
      <c r="BH27" s="5">
        <f t="shared" si="39"/>
        <v>0</v>
      </c>
      <c r="BI27" s="5">
        <f t="shared" si="39"/>
        <v>0</v>
      </c>
      <c r="BJ27" s="5">
        <f t="shared" si="39"/>
        <v>1</v>
      </c>
      <c r="BK27" s="5">
        <f t="shared" si="39"/>
        <v>0</v>
      </c>
      <c r="BL27" s="5">
        <f t="shared" si="39"/>
        <v>0</v>
      </c>
      <c r="BM27" s="5">
        <f t="shared" si="39"/>
        <v>0</v>
      </c>
      <c r="BN27" s="5">
        <f t="shared" si="39"/>
        <v>0</v>
      </c>
      <c r="BO27" s="5">
        <f t="shared" si="38"/>
        <v>0</v>
      </c>
      <c r="BP27" s="5">
        <f t="shared" si="38"/>
        <v>0</v>
      </c>
      <c r="BQ27" s="5">
        <f t="shared" si="38"/>
        <v>0</v>
      </c>
      <c r="BR27" s="5">
        <f t="shared" si="38"/>
        <v>0</v>
      </c>
      <c r="BS27" s="5">
        <f t="shared" si="38"/>
        <v>0</v>
      </c>
      <c r="BT27" s="5">
        <f t="shared" si="38"/>
        <v>0</v>
      </c>
      <c r="BU27" s="5">
        <f t="shared" si="38"/>
        <v>0</v>
      </c>
      <c r="BV27" s="5">
        <f t="shared" si="38"/>
        <v>0</v>
      </c>
      <c r="BW27" s="5">
        <f t="shared" si="38"/>
        <v>0</v>
      </c>
      <c r="BX27" s="5">
        <f t="shared" si="38"/>
        <v>0</v>
      </c>
      <c r="BY27" s="5">
        <f t="shared" si="38"/>
        <v>0</v>
      </c>
      <c r="BZ27" s="5">
        <f t="shared" si="38"/>
        <v>0</v>
      </c>
      <c r="CA27" s="5">
        <f t="shared" si="38"/>
        <v>0</v>
      </c>
      <c r="CB27" s="5">
        <f t="shared" si="38"/>
        <v>0</v>
      </c>
      <c r="CC27" s="5">
        <f t="shared" si="38"/>
        <v>0</v>
      </c>
      <c r="CD27" s="5">
        <f t="shared" si="37"/>
        <v>0</v>
      </c>
      <c r="CE27" s="5">
        <f t="shared" si="17"/>
        <v>0</v>
      </c>
    </row>
    <row r="28" spans="1:83" x14ac:dyDescent="0.2">
      <c r="C28" s="1">
        <f>Growth!D33</f>
        <v>0</v>
      </c>
      <c r="D28" s="5" t="b">
        <f t="shared" si="18"/>
        <v>0</v>
      </c>
      <c r="E28" s="5">
        <v>1993</v>
      </c>
      <c r="F28" s="5">
        <f ca="1">LOOKUP($E28,frequence!$A$2:$A$35,frequence!L$2:L$35)</f>
        <v>191.34520119916542</v>
      </c>
      <c r="G28" s="5">
        <f ca="1">LOOKUP($E28,frequence!$A$2:$A$35,frequence!K$2:K$35)</f>
        <v>28.094581622231551</v>
      </c>
      <c r="H28" s="5">
        <f ca="1">LOOKUP($E28,frequence!$A$2:$A$35,frequence!M$2:M$35)</f>
        <v>780.68842089259488</v>
      </c>
      <c r="I28" s="5">
        <v>1991</v>
      </c>
      <c r="J28" s="7">
        <f>LOOKUP(I28,CPI!A$69:A$103,CPI!O$69:O$103)</f>
        <v>1.600998531571219</v>
      </c>
      <c r="K28" s="5">
        <v>1990</v>
      </c>
      <c r="L28" s="7">
        <f t="shared" ca="1" si="19"/>
        <v>1</v>
      </c>
      <c r="M28" s="7">
        <f t="shared" si="2"/>
        <v>5.892857142857142E-2</v>
      </c>
      <c r="N28" s="14">
        <f>2/112</f>
        <v>1.7857142857142856E-2</v>
      </c>
      <c r="O28" s="1">
        <f ca="1">P28*J28*(1+Growth!G$6)^(2010-K28)</f>
        <v>4.7553853420403226E-2</v>
      </c>
      <c r="P28" s="1">
        <f>44/12*0.006</f>
        <v>2.1999999999999999E-2</v>
      </c>
      <c r="Q28" s="2">
        <f t="shared" si="46"/>
        <v>2.1999999999999999E-2</v>
      </c>
      <c r="R28" s="21">
        <f t="shared" ca="1" si="21"/>
        <v>2.2613689751291954E-3</v>
      </c>
      <c r="X28" s="2">
        <f t="shared" si="4"/>
        <v>2.1999999999999999E-2</v>
      </c>
      <c r="AC28" s="1">
        <f t="shared" si="47"/>
        <v>3.3</v>
      </c>
      <c r="AD28" s="5">
        <v>1</v>
      </c>
      <c r="AE28" s="5">
        <v>0</v>
      </c>
      <c r="AF28" s="5">
        <v>1</v>
      </c>
      <c r="AG28" s="5">
        <v>0</v>
      </c>
      <c r="AH28" s="5">
        <v>0</v>
      </c>
      <c r="AI28" s="3">
        <f t="shared" si="5"/>
        <v>1.3</v>
      </c>
      <c r="AJ28" s="5">
        <f t="shared" si="6"/>
        <v>0</v>
      </c>
      <c r="AK28" s="5">
        <f t="shared" si="22"/>
        <v>0</v>
      </c>
      <c r="AL28" s="5">
        <f t="shared" si="23"/>
        <v>0</v>
      </c>
      <c r="AM28" s="5">
        <f t="shared" si="7"/>
        <v>0</v>
      </c>
      <c r="AN28" s="5">
        <f t="shared" si="24"/>
        <v>0</v>
      </c>
      <c r="AO28" s="5">
        <f t="shared" si="8"/>
        <v>1</v>
      </c>
      <c r="AP28" s="11" t="s">
        <v>42</v>
      </c>
      <c r="AQ28" s="1">
        <v>0</v>
      </c>
      <c r="AR28" s="5">
        <v>0</v>
      </c>
      <c r="AS28" s="5">
        <v>0</v>
      </c>
      <c r="AT28" s="5">
        <v>0</v>
      </c>
      <c r="AU28" s="5">
        <v>0</v>
      </c>
      <c r="AV28" s="5">
        <f t="shared" si="9"/>
        <v>1</v>
      </c>
      <c r="AW28" s="5">
        <f t="shared" si="10"/>
        <v>0</v>
      </c>
      <c r="AX28" s="5">
        <f t="shared" si="11"/>
        <v>0</v>
      </c>
      <c r="AY28" s="1">
        <f t="shared" si="48"/>
        <v>0</v>
      </c>
      <c r="AZ28" s="1">
        <f t="shared" si="49"/>
        <v>0</v>
      </c>
      <c r="BA28" s="1">
        <f t="shared" si="50"/>
        <v>0</v>
      </c>
      <c r="BB28" s="5">
        <v>0</v>
      </c>
      <c r="BC28" s="5">
        <v>0</v>
      </c>
      <c r="BD28" s="5">
        <v>0</v>
      </c>
      <c r="BE28" s="5">
        <f t="shared" si="51"/>
        <v>1</v>
      </c>
      <c r="BF28" s="5">
        <v>0</v>
      </c>
      <c r="BG28" s="5">
        <f t="shared" si="39"/>
        <v>0</v>
      </c>
      <c r="BH28" s="5">
        <f t="shared" si="39"/>
        <v>0</v>
      </c>
      <c r="BI28" s="5">
        <f t="shared" si="39"/>
        <v>0</v>
      </c>
      <c r="BJ28" s="5">
        <f t="shared" si="39"/>
        <v>1</v>
      </c>
      <c r="BK28" s="5">
        <f t="shared" si="39"/>
        <v>0</v>
      </c>
      <c r="BL28" s="5">
        <f t="shared" si="39"/>
        <v>0</v>
      </c>
      <c r="BM28" s="5">
        <f t="shared" si="39"/>
        <v>0</v>
      </c>
      <c r="BN28" s="5">
        <f t="shared" si="39"/>
        <v>0</v>
      </c>
      <c r="BO28" s="5">
        <f t="shared" si="38"/>
        <v>0</v>
      </c>
      <c r="BP28" s="5">
        <f t="shared" si="38"/>
        <v>0</v>
      </c>
      <c r="BQ28" s="5">
        <f t="shared" si="38"/>
        <v>0</v>
      </c>
      <c r="BR28" s="5">
        <f t="shared" si="38"/>
        <v>0</v>
      </c>
      <c r="BS28" s="5">
        <f t="shared" si="38"/>
        <v>0</v>
      </c>
      <c r="BT28" s="5">
        <f t="shared" si="38"/>
        <v>0</v>
      </c>
      <c r="BU28" s="5">
        <f t="shared" si="38"/>
        <v>0</v>
      </c>
      <c r="BV28" s="5">
        <f t="shared" si="38"/>
        <v>0</v>
      </c>
      <c r="BW28" s="5">
        <f t="shared" si="38"/>
        <v>0</v>
      </c>
      <c r="BX28" s="5">
        <f t="shared" si="38"/>
        <v>0</v>
      </c>
      <c r="BY28" s="5">
        <f t="shared" si="38"/>
        <v>0</v>
      </c>
      <c r="BZ28" s="5">
        <f t="shared" si="38"/>
        <v>0</v>
      </c>
      <c r="CA28" s="5">
        <f t="shared" si="38"/>
        <v>0</v>
      </c>
      <c r="CB28" s="5">
        <f t="shared" si="38"/>
        <v>0</v>
      </c>
      <c r="CC28" s="5">
        <f t="shared" si="38"/>
        <v>0</v>
      </c>
      <c r="CD28" s="5">
        <f t="shared" si="37"/>
        <v>0</v>
      </c>
      <c r="CE28" s="5">
        <f t="shared" si="17"/>
        <v>0</v>
      </c>
    </row>
    <row r="29" spans="1:83" x14ac:dyDescent="0.2">
      <c r="C29" s="1">
        <f>Growth!D34</f>
        <v>0</v>
      </c>
      <c r="D29" s="5" t="b">
        <f t="shared" si="18"/>
        <v>0</v>
      </c>
      <c r="E29" s="5">
        <v>1993</v>
      </c>
      <c r="F29" s="5">
        <f ca="1">LOOKUP($E29,frequence!$A$2:$A$35,frequence!L$2:L$35)</f>
        <v>191.34520119916542</v>
      </c>
      <c r="G29" s="5">
        <f ca="1">LOOKUP($E29,frequence!$A$2:$A$35,frequence!K$2:K$35)</f>
        <v>28.094581622231551</v>
      </c>
      <c r="H29" s="5">
        <f ca="1">LOOKUP($E29,frequence!$A$2:$A$35,frequence!M$2:M$35)</f>
        <v>780.68842089259488</v>
      </c>
      <c r="I29" s="5">
        <v>1991</v>
      </c>
      <c r="J29" s="7">
        <f>LOOKUP(I29,CPI!A$69:A$103,CPI!O$69:O$103)</f>
        <v>1.600998531571219</v>
      </c>
      <c r="K29" s="5">
        <v>1990</v>
      </c>
      <c r="L29" s="7">
        <f t="shared" ca="1" si="19"/>
        <v>1</v>
      </c>
      <c r="M29" s="7">
        <f t="shared" si="2"/>
        <v>5.892857142857142E-2</v>
      </c>
      <c r="N29" s="14">
        <f>2/112</f>
        <v>1.7857142857142856E-2</v>
      </c>
      <c r="O29" s="1">
        <f ca="1">P29*J29*(1+Growth!G$6)^(2010-K29)</f>
        <v>0.28532312052241937</v>
      </c>
      <c r="P29" s="1">
        <f>44/12*0.036</f>
        <v>0.13199999999999998</v>
      </c>
      <c r="Q29" s="2">
        <f t="shared" si="46"/>
        <v>0.13199999999999998</v>
      </c>
      <c r="R29" s="21">
        <f t="shared" ca="1" si="21"/>
        <v>8.1409283104651051E-2</v>
      </c>
      <c r="X29" s="2">
        <f t="shared" si="4"/>
        <v>0.13199999999999998</v>
      </c>
      <c r="AC29" s="1">
        <f t="shared" si="47"/>
        <v>3.3</v>
      </c>
      <c r="AD29" s="5">
        <v>1</v>
      </c>
      <c r="AE29" s="5">
        <v>0</v>
      </c>
      <c r="AF29" s="5">
        <v>1</v>
      </c>
      <c r="AG29" s="5">
        <v>0</v>
      </c>
      <c r="AH29" s="5">
        <v>0</v>
      </c>
      <c r="AI29" s="3">
        <f t="shared" si="5"/>
        <v>1.3</v>
      </c>
      <c r="AJ29" s="5">
        <f t="shared" si="6"/>
        <v>0</v>
      </c>
      <c r="AK29" s="5">
        <f t="shared" si="22"/>
        <v>0</v>
      </c>
      <c r="AL29" s="5">
        <f t="shared" si="23"/>
        <v>0</v>
      </c>
      <c r="AM29" s="5">
        <f t="shared" si="7"/>
        <v>0</v>
      </c>
      <c r="AN29" s="5">
        <f t="shared" si="24"/>
        <v>0</v>
      </c>
      <c r="AO29" s="5">
        <f t="shared" si="8"/>
        <v>1</v>
      </c>
      <c r="AP29" s="11" t="s">
        <v>42</v>
      </c>
      <c r="AQ29" s="1">
        <v>0</v>
      </c>
      <c r="AR29" s="5">
        <v>0</v>
      </c>
      <c r="AS29" s="5">
        <v>0</v>
      </c>
      <c r="AT29" s="5">
        <v>0</v>
      </c>
      <c r="AU29" s="5">
        <v>0</v>
      </c>
      <c r="AV29" s="5">
        <f t="shared" si="9"/>
        <v>1</v>
      </c>
      <c r="AW29" s="5">
        <f t="shared" si="10"/>
        <v>0</v>
      </c>
      <c r="AX29" s="5">
        <f t="shared" si="11"/>
        <v>0</v>
      </c>
      <c r="AY29" s="1">
        <f t="shared" si="48"/>
        <v>0</v>
      </c>
      <c r="AZ29" s="1">
        <f t="shared" si="49"/>
        <v>0</v>
      </c>
      <c r="BA29" s="1">
        <f t="shared" si="50"/>
        <v>0</v>
      </c>
      <c r="BB29" s="5">
        <v>0</v>
      </c>
      <c r="BC29" s="5">
        <v>0</v>
      </c>
      <c r="BD29" s="5">
        <v>0</v>
      </c>
      <c r="BE29" s="5">
        <f t="shared" si="51"/>
        <v>1</v>
      </c>
      <c r="BF29" s="5">
        <v>0</v>
      </c>
      <c r="BG29" s="5">
        <f t="shared" si="39"/>
        <v>0</v>
      </c>
      <c r="BH29" s="5">
        <f t="shared" si="39"/>
        <v>0</v>
      </c>
      <c r="BI29" s="5">
        <f t="shared" si="39"/>
        <v>0</v>
      </c>
      <c r="BJ29" s="5">
        <f t="shared" si="39"/>
        <v>1</v>
      </c>
      <c r="BK29" s="5">
        <f t="shared" si="39"/>
        <v>0</v>
      </c>
      <c r="BL29" s="5">
        <f t="shared" si="39"/>
        <v>0</v>
      </c>
      <c r="BM29" s="5">
        <f t="shared" si="39"/>
        <v>0</v>
      </c>
      <c r="BN29" s="5">
        <f t="shared" si="39"/>
        <v>0</v>
      </c>
      <c r="BO29" s="5">
        <f t="shared" si="38"/>
        <v>0</v>
      </c>
      <c r="BP29" s="5">
        <f t="shared" si="38"/>
        <v>0</v>
      </c>
      <c r="BQ29" s="5">
        <f t="shared" si="38"/>
        <v>0</v>
      </c>
      <c r="BR29" s="5">
        <f t="shared" si="38"/>
        <v>0</v>
      </c>
      <c r="BS29" s="5">
        <f t="shared" si="38"/>
        <v>0</v>
      </c>
      <c r="BT29" s="5">
        <f t="shared" si="38"/>
        <v>0</v>
      </c>
      <c r="BU29" s="5">
        <f t="shared" si="38"/>
        <v>0</v>
      </c>
      <c r="BV29" s="5">
        <f t="shared" si="38"/>
        <v>0</v>
      </c>
      <c r="BW29" s="5">
        <f t="shared" si="38"/>
        <v>0</v>
      </c>
      <c r="BX29" s="5">
        <f t="shared" si="38"/>
        <v>0</v>
      </c>
      <c r="BY29" s="5">
        <f t="shared" si="38"/>
        <v>0</v>
      </c>
      <c r="BZ29" s="5">
        <f t="shared" si="38"/>
        <v>0</v>
      </c>
      <c r="CA29" s="5">
        <f t="shared" si="38"/>
        <v>0</v>
      </c>
      <c r="CB29" s="5">
        <f t="shared" si="38"/>
        <v>0</v>
      </c>
      <c r="CC29" s="5">
        <f t="shared" si="38"/>
        <v>0</v>
      </c>
      <c r="CD29" s="5">
        <f t="shared" si="37"/>
        <v>0</v>
      </c>
      <c r="CE29" s="5">
        <f t="shared" si="17"/>
        <v>0</v>
      </c>
    </row>
    <row r="30" spans="1:83" x14ac:dyDescent="0.2">
      <c r="C30" s="1">
        <f>Growth!D35</f>
        <v>0</v>
      </c>
      <c r="D30" s="5" t="b">
        <f t="shared" si="18"/>
        <v>0</v>
      </c>
      <c r="E30" s="5">
        <v>1993</v>
      </c>
      <c r="F30" s="5">
        <f ca="1">LOOKUP($E30,frequence!$A$2:$A$35,frequence!L$2:L$35)</f>
        <v>191.34520119916542</v>
      </c>
      <c r="G30" s="5">
        <f ca="1">LOOKUP($E30,frequence!$A$2:$A$35,frequence!K$2:K$35)</f>
        <v>28.094581622231551</v>
      </c>
      <c r="H30" s="5">
        <f ca="1">LOOKUP($E30,frequence!$A$2:$A$35,frequence!M$2:M$35)</f>
        <v>780.68842089259488</v>
      </c>
      <c r="I30" s="5">
        <v>1991</v>
      </c>
      <c r="J30" s="7">
        <f>LOOKUP(I30,CPI!A$69:A$103,CPI!O$69:O$103)</f>
        <v>1.600998531571219</v>
      </c>
      <c r="K30" s="5">
        <v>1990</v>
      </c>
      <c r="L30" s="7">
        <f t="shared" ca="1" si="19"/>
        <v>1</v>
      </c>
      <c r="M30" s="7">
        <f t="shared" si="2"/>
        <v>2.946428571428571E-2</v>
      </c>
      <c r="N30" s="14">
        <f t="shared" ref="N30:N35" si="52">1/112</f>
        <v>8.9285714285714281E-3</v>
      </c>
      <c r="O30" s="1">
        <f ca="1">P30*J30*(1+Growth!G$6)^(2010-K30)</f>
        <v>8.7182064604072587E-2</v>
      </c>
      <c r="P30" s="1">
        <f>44/12*0.011</f>
        <v>4.0333333333333332E-2</v>
      </c>
      <c r="Q30" s="2">
        <f t="shared" si="46"/>
        <v>4.0333333333333332E-2</v>
      </c>
      <c r="R30" s="21">
        <f t="shared" ca="1" si="21"/>
        <v>7.6007123886286864E-3</v>
      </c>
      <c r="X30" s="2">
        <f t="shared" si="4"/>
        <v>4.0333333333333332E-2</v>
      </c>
      <c r="AC30" s="1">
        <f t="shared" si="47"/>
        <v>3.3</v>
      </c>
      <c r="AD30" s="5">
        <v>1</v>
      </c>
      <c r="AE30" s="5">
        <v>0</v>
      </c>
      <c r="AF30" s="5">
        <v>1</v>
      </c>
      <c r="AG30" s="5">
        <v>0</v>
      </c>
      <c r="AH30" s="5">
        <v>0</v>
      </c>
      <c r="AI30" s="3">
        <f t="shared" si="5"/>
        <v>1.3</v>
      </c>
      <c r="AJ30" s="5">
        <f t="shared" si="6"/>
        <v>0</v>
      </c>
      <c r="AK30" s="5">
        <f t="shared" si="22"/>
        <v>0</v>
      </c>
      <c r="AL30" s="5">
        <f t="shared" si="23"/>
        <v>0</v>
      </c>
      <c r="AM30" s="5">
        <f t="shared" si="7"/>
        <v>0</v>
      </c>
      <c r="AN30" s="5">
        <f t="shared" si="24"/>
        <v>0</v>
      </c>
      <c r="AO30" s="5">
        <f t="shared" si="8"/>
        <v>1</v>
      </c>
      <c r="AP30" s="11" t="s">
        <v>42</v>
      </c>
      <c r="AQ30" s="1">
        <v>0</v>
      </c>
      <c r="AR30" s="5">
        <v>0</v>
      </c>
      <c r="AS30" s="5">
        <v>0</v>
      </c>
      <c r="AT30" s="5">
        <v>0</v>
      </c>
      <c r="AU30" s="5">
        <v>0</v>
      </c>
      <c r="AV30" s="5">
        <f t="shared" si="9"/>
        <v>1</v>
      </c>
      <c r="AW30" s="5">
        <f t="shared" si="10"/>
        <v>0</v>
      </c>
      <c r="AX30" s="5">
        <f t="shared" si="11"/>
        <v>0</v>
      </c>
      <c r="AY30" s="1">
        <f t="shared" si="48"/>
        <v>0</v>
      </c>
      <c r="AZ30" s="1">
        <f t="shared" si="49"/>
        <v>0</v>
      </c>
      <c r="BA30" s="1">
        <f t="shared" si="50"/>
        <v>0</v>
      </c>
      <c r="BB30" s="5">
        <v>0</v>
      </c>
      <c r="BC30" s="5">
        <v>0</v>
      </c>
      <c r="BD30" s="5">
        <v>0</v>
      </c>
      <c r="BE30" s="5">
        <f t="shared" si="51"/>
        <v>1</v>
      </c>
      <c r="BF30" s="5">
        <v>0</v>
      </c>
      <c r="BG30" s="5">
        <f t="shared" si="39"/>
        <v>0</v>
      </c>
      <c r="BH30" s="5">
        <f t="shared" si="39"/>
        <v>0</v>
      </c>
      <c r="BI30" s="5">
        <f t="shared" si="39"/>
        <v>0</v>
      </c>
      <c r="BJ30" s="5">
        <f t="shared" si="39"/>
        <v>1</v>
      </c>
      <c r="BK30" s="5">
        <f t="shared" si="39"/>
        <v>0</v>
      </c>
      <c r="BL30" s="5">
        <f t="shared" si="39"/>
        <v>0</v>
      </c>
      <c r="BM30" s="5">
        <f t="shared" si="39"/>
        <v>0</v>
      </c>
      <c r="BN30" s="5">
        <f t="shared" si="39"/>
        <v>0</v>
      </c>
      <c r="BO30" s="5">
        <f t="shared" si="38"/>
        <v>0</v>
      </c>
      <c r="BP30" s="5">
        <f t="shared" si="38"/>
        <v>0</v>
      </c>
      <c r="BQ30" s="5">
        <f t="shared" si="38"/>
        <v>0</v>
      </c>
      <c r="BR30" s="5">
        <f t="shared" si="38"/>
        <v>0</v>
      </c>
      <c r="BS30" s="5">
        <f t="shared" si="38"/>
        <v>0</v>
      </c>
      <c r="BT30" s="5">
        <f t="shared" si="38"/>
        <v>0</v>
      </c>
      <c r="BU30" s="5">
        <f t="shared" si="38"/>
        <v>0</v>
      </c>
      <c r="BV30" s="5">
        <f t="shared" si="38"/>
        <v>0</v>
      </c>
      <c r="BW30" s="5">
        <f t="shared" si="38"/>
        <v>0</v>
      </c>
      <c r="BX30" s="5">
        <f t="shared" si="38"/>
        <v>0</v>
      </c>
      <c r="BY30" s="5">
        <f t="shared" si="38"/>
        <v>0</v>
      </c>
      <c r="BZ30" s="5">
        <f t="shared" si="38"/>
        <v>0</v>
      </c>
      <c r="CA30" s="5">
        <f t="shared" si="38"/>
        <v>0</v>
      </c>
      <c r="CB30" s="5">
        <f t="shared" si="38"/>
        <v>0</v>
      </c>
      <c r="CC30" s="5">
        <f t="shared" si="38"/>
        <v>0</v>
      </c>
      <c r="CD30" s="5">
        <f t="shared" si="37"/>
        <v>0</v>
      </c>
      <c r="CE30" s="5">
        <f t="shared" si="17"/>
        <v>0</v>
      </c>
    </row>
    <row r="31" spans="1:83" x14ac:dyDescent="0.2">
      <c r="C31" s="1">
        <f>Growth!D36</f>
        <v>0</v>
      </c>
      <c r="D31" s="5" t="b">
        <f t="shared" si="18"/>
        <v>0</v>
      </c>
      <c r="E31" s="5">
        <v>1993</v>
      </c>
      <c r="F31" s="5">
        <f ca="1">LOOKUP($E31,frequence!$A$2:$A$35,frequence!L$2:L$35)</f>
        <v>191.34520119916542</v>
      </c>
      <c r="G31" s="5">
        <f ca="1">LOOKUP($E31,frequence!$A$2:$A$35,frequence!K$2:K$35)</f>
        <v>28.094581622231551</v>
      </c>
      <c r="H31" s="5">
        <f ca="1">LOOKUP($E31,frequence!$A$2:$A$35,frequence!M$2:M$35)</f>
        <v>780.68842089259488</v>
      </c>
      <c r="I31" s="5">
        <v>1991</v>
      </c>
      <c r="J31" s="7">
        <f>LOOKUP(I31,CPI!A$69:A$103,CPI!O$69:O$103)</f>
        <v>1.600998531571219</v>
      </c>
      <c r="K31" s="5">
        <v>1990</v>
      </c>
      <c r="L31" s="7">
        <f t="shared" ca="1" si="19"/>
        <v>1</v>
      </c>
      <c r="M31" s="7">
        <f t="shared" si="2"/>
        <v>2.946428571428571E-2</v>
      </c>
      <c r="N31" s="14">
        <f t="shared" si="52"/>
        <v>8.9285714285714281E-3</v>
      </c>
      <c r="O31" s="1">
        <f ca="1">P31*J31*(1+Growth!G$6)^(2010-K31)</f>
        <v>0.52309238762443544</v>
      </c>
      <c r="P31" s="1">
        <f>44/12*0.066</f>
        <v>0.24199999999999999</v>
      </c>
      <c r="Q31" s="2">
        <f t="shared" si="46"/>
        <v>0.24199999999999999</v>
      </c>
      <c r="R31" s="21">
        <f t="shared" ca="1" si="21"/>
        <v>0.2736256459906326</v>
      </c>
      <c r="X31" s="2">
        <f t="shared" si="4"/>
        <v>0.24199999999999999</v>
      </c>
      <c r="AC31" s="1">
        <f t="shared" si="47"/>
        <v>3.3</v>
      </c>
      <c r="AD31" s="5">
        <v>1</v>
      </c>
      <c r="AE31" s="5">
        <v>0</v>
      </c>
      <c r="AF31" s="5">
        <v>1</v>
      </c>
      <c r="AG31" s="5">
        <v>0</v>
      </c>
      <c r="AH31" s="5">
        <v>0</v>
      </c>
      <c r="AI31" s="3">
        <f t="shared" si="5"/>
        <v>1.3</v>
      </c>
      <c r="AJ31" s="5">
        <f t="shared" si="6"/>
        <v>0</v>
      </c>
      <c r="AK31" s="5">
        <f t="shared" si="22"/>
        <v>0</v>
      </c>
      <c r="AL31" s="5">
        <f t="shared" si="23"/>
        <v>0</v>
      </c>
      <c r="AM31" s="5">
        <f t="shared" si="7"/>
        <v>0</v>
      </c>
      <c r="AN31" s="5">
        <f t="shared" si="24"/>
        <v>0</v>
      </c>
      <c r="AO31" s="5">
        <f t="shared" si="8"/>
        <v>1</v>
      </c>
      <c r="AP31" s="11" t="s">
        <v>42</v>
      </c>
      <c r="AQ31" s="1">
        <v>0</v>
      </c>
      <c r="AR31" s="5">
        <v>0</v>
      </c>
      <c r="AS31" s="5">
        <v>0</v>
      </c>
      <c r="AT31" s="5">
        <v>0</v>
      </c>
      <c r="AU31" s="5">
        <v>0</v>
      </c>
      <c r="AV31" s="5">
        <f t="shared" si="9"/>
        <v>1</v>
      </c>
      <c r="AW31" s="5">
        <f t="shared" si="10"/>
        <v>0</v>
      </c>
      <c r="AX31" s="5">
        <f t="shared" si="11"/>
        <v>0</v>
      </c>
      <c r="AY31" s="1">
        <f t="shared" si="48"/>
        <v>0</v>
      </c>
      <c r="AZ31" s="1">
        <f t="shared" si="49"/>
        <v>0</v>
      </c>
      <c r="BA31" s="1">
        <f t="shared" si="50"/>
        <v>0</v>
      </c>
      <c r="BB31" s="5">
        <v>0</v>
      </c>
      <c r="BC31" s="5">
        <v>0</v>
      </c>
      <c r="BD31" s="5">
        <v>0</v>
      </c>
      <c r="BE31" s="5">
        <f t="shared" si="51"/>
        <v>1</v>
      </c>
      <c r="BF31" s="5">
        <v>0</v>
      </c>
      <c r="BG31" s="5">
        <f t="shared" si="39"/>
        <v>0</v>
      </c>
      <c r="BH31" s="5">
        <f t="shared" si="39"/>
        <v>0</v>
      </c>
      <c r="BI31" s="5">
        <f t="shared" si="39"/>
        <v>0</v>
      </c>
      <c r="BJ31" s="5">
        <f t="shared" si="39"/>
        <v>1</v>
      </c>
      <c r="BK31" s="5">
        <f t="shared" si="39"/>
        <v>0</v>
      </c>
      <c r="BL31" s="5">
        <f t="shared" si="39"/>
        <v>0</v>
      </c>
      <c r="BM31" s="5">
        <f t="shared" si="39"/>
        <v>0</v>
      </c>
      <c r="BN31" s="5">
        <f t="shared" si="39"/>
        <v>0</v>
      </c>
      <c r="BO31" s="5">
        <f t="shared" si="38"/>
        <v>0</v>
      </c>
      <c r="BP31" s="5">
        <f t="shared" si="38"/>
        <v>0</v>
      </c>
      <c r="BQ31" s="5">
        <f t="shared" si="38"/>
        <v>0</v>
      </c>
      <c r="BR31" s="5">
        <f t="shared" si="38"/>
        <v>0</v>
      </c>
      <c r="BS31" s="5">
        <f t="shared" si="38"/>
        <v>0</v>
      </c>
      <c r="BT31" s="5">
        <f t="shared" si="38"/>
        <v>0</v>
      </c>
      <c r="BU31" s="5">
        <f t="shared" si="38"/>
        <v>0</v>
      </c>
      <c r="BV31" s="5">
        <f t="shared" si="38"/>
        <v>0</v>
      </c>
      <c r="BW31" s="5">
        <f t="shared" si="38"/>
        <v>0</v>
      </c>
      <c r="BX31" s="5">
        <f t="shared" si="38"/>
        <v>0</v>
      </c>
      <c r="BY31" s="5">
        <f t="shared" si="38"/>
        <v>0</v>
      </c>
      <c r="BZ31" s="5">
        <f t="shared" si="38"/>
        <v>0</v>
      </c>
      <c r="CA31" s="5">
        <f t="shared" si="38"/>
        <v>0</v>
      </c>
      <c r="CB31" s="5">
        <f t="shared" si="38"/>
        <v>0</v>
      </c>
      <c r="CC31" s="5">
        <f t="shared" si="38"/>
        <v>0</v>
      </c>
      <c r="CD31" s="5">
        <f t="shared" si="37"/>
        <v>0</v>
      </c>
      <c r="CE31" s="5">
        <f t="shared" si="17"/>
        <v>0</v>
      </c>
    </row>
    <row r="32" spans="1:83" x14ac:dyDescent="0.2">
      <c r="C32" s="1">
        <f>Growth!D37</f>
        <v>0</v>
      </c>
      <c r="D32" s="5" t="b">
        <f t="shared" si="18"/>
        <v>0</v>
      </c>
      <c r="E32" s="5">
        <v>1993</v>
      </c>
      <c r="F32" s="5">
        <f ca="1">LOOKUP($E32,frequence!$A$2:$A$35,frequence!L$2:L$35)</f>
        <v>191.34520119916542</v>
      </c>
      <c r="G32" s="5">
        <f ca="1">LOOKUP($E32,frequence!$A$2:$A$35,frequence!K$2:K$35)</f>
        <v>28.094581622231551</v>
      </c>
      <c r="H32" s="5">
        <f ca="1">LOOKUP($E32,frequence!$A$2:$A$35,frequence!M$2:M$35)</f>
        <v>780.68842089259488</v>
      </c>
      <c r="I32" s="5">
        <v>1991</v>
      </c>
      <c r="J32" s="7">
        <f>LOOKUP(I32,CPI!A$69:A$103,CPI!O$69:O$103)</f>
        <v>1.600998531571219</v>
      </c>
      <c r="K32" s="5">
        <v>1990</v>
      </c>
      <c r="L32" s="7">
        <f t="shared" ca="1" si="19"/>
        <v>1</v>
      </c>
      <c r="M32" s="7">
        <f t="shared" si="2"/>
        <v>2.946428571428571E-2</v>
      </c>
      <c r="N32" s="14">
        <f t="shared" si="52"/>
        <v>8.9285714285714281E-3</v>
      </c>
      <c r="O32" s="1">
        <f ca="1">P32*J32*(1+Growth!G$6)^(2010-K32)</f>
        <v>0.21399234039181453</v>
      </c>
      <c r="P32" s="1">
        <f>44/12*0.027</f>
        <v>9.8999999999999991E-2</v>
      </c>
      <c r="Q32" s="2">
        <f t="shared" si="46"/>
        <v>9.8999999999999991E-2</v>
      </c>
      <c r="R32" s="21">
        <f t="shared" ca="1" si="21"/>
        <v>4.5792721746366213E-2</v>
      </c>
      <c r="X32" s="2">
        <f t="shared" si="4"/>
        <v>9.8999999999999991E-2</v>
      </c>
      <c r="AC32" s="1">
        <f t="shared" si="47"/>
        <v>3.3</v>
      </c>
      <c r="AD32" s="5">
        <v>1</v>
      </c>
      <c r="AE32" s="5">
        <v>0</v>
      </c>
      <c r="AF32" s="5">
        <v>1</v>
      </c>
      <c r="AG32" s="5">
        <v>0</v>
      </c>
      <c r="AH32" s="5">
        <v>0</v>
      </c>
      <c r="AI32" s="3">
        <f t="shared" si="5"/>
        <v>1.3</v>
      </c>
      <c r="AJ32" s="5">
        <f t="shared" si="6"/>
        <v>0</v>
      </c>
      <c r="AK32" s="5">
        <f t="shared" si="22"/>
        <v>0</v>
      </c>
      <c r="AL32" s="5">
        <f t="shared" si="23"/>
        <v>0</v>
      </c>
      <c r="AM32" s="5">
        <f t="shared" si="7"/>
        <v>0</v>
      </c>
      <c r="AN32" s="5">
        <f t="shared" si="24"/>
        <v>0</v>
      </c>
      <c r="AO32" s="5">
        <f t="shared" si="8"/>
        <v>1</v>
      </c>
      <c r="AP32" s="11" t="s">
        <v>42</v>
      </c>
      <c r="AQ32" s="1">
        <v>0</v>
      </c>
      <c r="AR32" s="5">
        <v>0</v>
      </c>
      <c r="AS32" s="5">
        <v>0</v>
      </c>
      <c r="AT32" s="5">
        <v>0</v>
      </c>
      <c r="AU32" s="5">
        <v>0</v>
      </c>
      <c r="AV32" s="5">
        <f t="shared" si="9"/>
        <v>1</v>
      </c>
      <c r="AW32" s="5">
        <f t="shared" si="10"/>
        <v>0</v>
      </c>
      <c r="AX32" s="5">
        <f t="shared" si="11"/>
        <v>0</v>
      </c>
      <c r="AY32" s="1">
        <f t="shared" si="48"/>
        <v>0</v>
      </c>
      <c r="AZ32" s="1">
        <f t="shared" si="49"/>
        <v>0</v>
      </c>
      <c r="BA32" s="1">
        <f t="shared" si="50"/>
        <v>0</v>
      </c>
      <c r="BB32" s="5">
        <v>0</v>
      </c>
      <c r="BC32" s="5">
        <v>0</v>
      </c>
      <c r="BD32" s="5">
        <v>0</v>
      </c>
      <c r="BE32" s="5">
        <f t="shared" si="51"/>
        <v>1</v>
      </c>
      <c r="BF32" s="5">
        <v>0</v>
      </c>
      <c r="BG32" s="5">
        <f t="shared" si="39"/>
        <v>0</v>
      </c>
      <c r="BH32" s="5">
        <f t="shared" si="39"/>
        <v>0</v>
      </c>
      <c r="BI32" s="5">
        <f t="shared" si="39"/>
        <v>0</v>
      </c>
      <c r="BJ32" s="5">
        <f t="shared" si="39"/>
        <v>1</v>
      </c>
      <c r="BK32" s="5">
        <f t="shared" si="39"/>
        <v>0</v>
      </c>
      <c r="BL32" s="5">
        <f t="shared" si="39"/>
        <v>0</v>
      </c>
      <c r="BM32" s="5">
        <f t="shared" si="39"/>
        <v>0</v>
      </c>
      <c r="BN32" s="5">
        <f t="shared" si="39"/>
        <v>0</v>
      </c>
      <c r="BO32" s="5">
        <f t="shared" si="38"/>
        <v>0</v>
      </c>
      <c r="BP32" s="5">
        <f t="shared" si="38"/>
        <v>0</v>
      </c>
      <c r="BQ32" s="5">
        <f t="shared" si="38"/>
        <v>0</v>
      </c>
      <c r="BR32" s="5">
        <f t="shared" si="38"/>
        <v>0</v>
      </c>
      <c r="BS32" s="5">
        <f t="shared" si="38"/>
        <v>0</v>
      </c>
      <c r="BT32" s="5">
        <f t="shared" si="38"/>
        <v>0</v>
      </c>
      <c r="BU32" s="5">
        <f t="shared" si="38"/>
        <v>0</v>
      </c>
      <c r="BV32" s="5">
        <f t="shared" si="38"/>
        <v>0</v>
      </c>
      <c r="BW32" s="5">
        <f t="shared" si="38"/>
        <v>0</v>
      </c>
      <c r="BX32" s="5">
        <f t="shared" si="38"/>
        <v>0</v>
      </c>
      <c r="BY32" s="5">
        <f t="shared" si="38"/>
        <v>0</v>
      </c>
      <c r="BZ32" s="5">
        <f t="shared" si="38"/>
        <v>0</v>
      </c>
      <c r="CA32" s="5">
        <f t="shared" si="38"/>
        <v>0</v>
      </c>
      <c r="CB32" s="5">
        <f t="shared" si="38"/>
        <v>0</v>
      </c>
      <c r="CC32" s="5">
        <f t="shared" si="38"/>
        <v>0</v>
      </c>
      <c r="CD32" s="5">
        <f t="shared" si="37"/>
        <v>0</v>
      </c>
      <c r="CE32" s="5">
        <f t="shared" si="17"/>
        <v>0</v>
      </c>
    </row>
    <row r="33" spans="3:83" x14ac:dyDescent="0.2">
      <c r="C33" s="1">
        <f>Growth!D38</f>
        <v>0</v>
      </c>
      <c r="D33" s="5" t="b">
        <f t="shared" si="18"/>
        <v>0</v>
      </c>
      <c r="E33" s="5">
        <v>1993</v>
      </c>
      <c r="F33" s="5">
        <f ca="1">LOOKUP($E33,frequence!$A$2:$A$35,frequence!L$2:L$35)</f>
        <v>191.34520119916542</v>
      </c>
      <c r="G33" s="5">
        <f ca="1">LOOKUP($E33,frequence!$A$2:$A$35,frequence!K$2:K$35)</f>
        <v>28.094581622231551</v>
      </c>
      <c r="H33" s="5">
        <f ca="1">LOOKUP($E33,frequence!$A$2:$A$35,frequence!M$2:M$35)</f>
        <v>780.68842089259488</v>
      </c>
      <c r="I33" s="5">
        <v>1991</v>
      </c>
      <c r="J33" s="7">
        <f>LOOKUP(I33,CPI!A$69:A$103,CPI!O$69:O$103)</f>
        <v>1.600998531571219</v>
      </c>
      <c r="K33" s="5">
        <v>1990</v>
      </c>
      <c r="L33" s="7">
        <f t="shared" ca="1" si="19"/>
        <v>1</v>
      </c>
      <c r="M33" s="7">
        <f t="shared" si="2"/>
        <v>2.946428571428571E-2</v>
      </c>
      <c r="N33" s="14">
        <f t="shared" si="52"/>
        <v>8.9285714285714281E-3</v>
      </c>
      <c r="O33" s="1">
        <f ca="1">P33*J33*(1+Growth!G$6)^(2010-K33)</f>
        <v>1.2839540423508873</v>
      </c>
      <c r="P33" s="1">
        <f>44/12*0.162</f>
        <v>0.59399999999999997</v>
      </c>
      <c r="Q33" s="2">
        <f t="shared" si="46"/>
        <v>0.59399999999999997</v>
      </c>
      <c r="R33" s="21">
        <f t="shared" ca="1" si="21"/>
        <v>1.648537982869184</v>
      </c>
      <c r="X33" s="2">
        <f t="shared" si="4"/>
        <v>0.59399999999999997</v>
      </c>
      <c r="AC33" s="1">
        <f t="shared" si="47"/>
        <v>3.3</v>
      </c>
      <c r="AD33" s="5">
        <v>1</v>
      </c>
      <c r="AE33" s="5">
        <v>0</v>
      </c>
      <c r="AF33" s="5">
        <v>1</v>
      </c>
      <c r="AG33" s="5">
        <v>0</v>
      </c>
      <c r="AH33" s="5">
        <v>0</v>
      </c>
      <c r="AI33" s="3">
        <f t="shared" si="5"/>
        <v>1.3</v>
      </c>
      <c r="AJ33" s="5">
        <f t="shared" si="6"/>
        <v>0</v>
      </c>
      <c r="AK33" s="5">
        <f t="shared" si="22"/>
        <v>0</v>
      </c>
      <c r="AL33" s="5">
        <f t="shared" si="23"/>
        <v>0</v>
      </c>
      <c r="AM33" s="5">
        <f t="shared" si="7"/>
        <v>0</v>
      </c>
      <c r="AN33" s="5">
        <f t="shared" si="24"/>
        <v>0</v>
      </c>
      <c r="AO33" s="5">
        <f t="shared" si="8"/>
        <v>1</v>
      </c>
      <c r="AP33" s="11" t="s">
        <v>42</v>
      </c>
      <c r="AQ33" s="1">
        <v>0</v>
      </c>
      <c r="AR33" s="5">
        <v>0</v>
      </c>
      <c r="AS33" s="5">
        <v>0</v>
      </c>
      <c r="AT33" s="5">
        <v>0</v>
      </c>
      <c r="AU33" s="5">
        <v>0</v>
      </c>
      <c r="AV33" s="5">
        <f t="shared" si="9"/>
        <v>1</v>
      </c>
      <c r="AW33" s="5">
        <f t="shared" si="10"/>
        <v>0</v>
      </c>
      <c r="AX33" s="5">
        <f t="shared" si="11"/>
        <v>0</v>
      </c>
      <c r="AY33" s="1">
        <f t="shared" si="48"/>
        <v>0</v>
      </c>
      <c r="AZ33" s="1">
        <f t="shared" si="49"/>
        <v>0</v>
      </c>
      <c r="BA33" s="1">
        <f t="shared" si="50"/>
        <v>0</v>
      </c>
      <c r="BB33" s="5">
        <v>0</v>
      </c>
      <c r="BC33" s="5">
        <v>0</v>
      </c>
      <c r="BD33" s="5">
        <v>0</v>
      </c>
      <c r="BE33" s="5">
        <f t="shared" si="51"/>
        <v>1</v>
      </c>
      <c r="BF33" s="5">
        <v>0</v>
      </c>
      <c r="BG33" s="5">
        <f t="shared" si="39"/>
        <v>0</v>
      </c>
      <c r="BH33" s="5">
        <f t="shared" si="39"/>
        <v>0</v>
      </c>
      <c r="BI33" s="5">
        <f t="shared" si="39"/>
        <v>0</v>
      </c>
      <c r="BJ33" s="5">
        <f t="shared" si="39"/>
        <v>1</v>
      </c>
      <c r="BK33" s="5">
        <f t="shared" si="39"/>
        <v>0</v>
      </c>
      <c r="BL33" s="5">
        <f t="shared" si="39"/>
        <v>0</v>
      </c>
      <c r="BM33" s="5">
        <f t="shared" si="39"/>
        <v>0</v>
      </c>
      <c r="BN33" s="5">
        <f t="shared" si="39"/>
        <v>0</v>
      </c>
      <c r="BO33" s="5">
        <f t="shared" si="38"/>
        <v>0</v>
      </c>
      <c r="BP33" s="5">
        <f t="shared" si="38"/>
        <v>0</v>
      </c>
      <c r="BQ33" s="5">
        <f t="shared" si="38"/>
        <v>0</v>
      </c>
      <c r="BR33" s="5">
        <f t="shared" si="38"/>
        <v>0</v>
      </c>
      <c r="BS33" s="5">
        <f t="shared" si="38"/>
        <v>0</v>
      </c>
      <c r="BT33" s="5">
        <f t="shared" si="38"/>
        <v>0</v>
      </c>
      <c r="BU33" s="5">
        <f t="shared" si="38"/>
        <v>0</v>
      </c>
      <c r="BV33" s="5">
        <f t="shared" si="38"/>
        <v>0</v>
      </c>
      <c r="BW33" s="5">
        <f t="shared" si="38"/>
        <v>0</v>
      </c>
      <c r="BX33" s="5">
        <f t="shared" si="38"/>
        <v>0</v>
      </c>
      <c r="BY33" s="5">
        <f t="shared" si="38"/>
        <v>0</v>
      </c>
      <c r="BZ33" s="5">
        <f t="shared" si="38"/>
        <v>0</v>
      </c>
      <c r="CA33" s="5">
        <f t="shared" si="38"/>
        <v>0</v>
      </c>
      <c r="CB33" s="5">
        <f t="shared" si="38"/>
        <v>0</v>
      </c>
      <c r="CC33" s="5">
        <f t="shared" si="38"/>
        <v>0</v>
      </c>
      <c r="CD33" s="5">
        <f t="shared" si="37"/>
        <v>0</v>
      </c>
      <c r="CE33" s="5">
        <f t="shared" si="17"/>
        <v>0</v>
      </c>
    </row>
    <row r="34" spans="3:83" x14ac:dyDescent="0.2">
      <c r="C34" s="1">
        <f>Growth!D39</f>
        <v>0</v>
      </c>
      <c r="D34" s="5" t="b">
        <f t="shared" si="18"/>
        <v>0</v>
      </c>
      <c r="E34" s="5">
        <v>1993</v>
      </c>
      <c r="F34" s="5">
        <f ca="1">LOOKUP($E34,frequence!$A$2:$A$35,frequence!L$2:L$35)</f>
        <v>191.34520119916542</v>
      </c>
      <c r="G34" s="5">
        <f ca="1">LOOKUP($E34,frequence!$A$2:$A$35,frequence!K$2:K$35)</f>
        <v>28.094581622231551</v>
      </c>
      <c r="H34" s="5">
        <f ca="1">LOOKUP($E34,frequence!$A$2:$A$35,frequence!M$2:M$35)</f>
        <v>780.68842089259488</v>
      </c>
      <c r="I34" s="5">
        <v>1991</v>
      </c>
      <c r="J34" s="7">
        <f>LOOKUP(I34,CPI!A$69:A$103,CPI!O$69:O$103)</f>
        <v>1.600998531571219</v>
      </c>
      <c r="K34" s="5">
        <v>1990</v>
      </c>
      <c r="L34" s="7">
        <f t="shared" ca="1" si="19"/>
        <v>1</v>
      </c>
      <c r="M34" s="7">
        <f t="shared" si="2"/>
        <v>2.946428571428571E-2</v>
      </c>
      <c r="N34" s="14">
        <f t="shared" si="52"/>
        <v>8.9285714285714281E-3</v>
      </c>
      <c r="O34" s="1">
        <f ca="1">P34*J34*(1+Growth!G$6)^(2010-K34)</f>
        <v>3.1702568946935489E-2</v>
      </c>
      <c r="P34" s="1">
        <f>44/12*0.004</f>
        <v>1.4666666666666666E-2</v>
      </c>
      <c r="Q34" s="2">
        <f t="shared" si="46"/>
        <v>1.4666666666666666E-2</v>
      </c>
      <c r="R34" s="21">
        <f t="shared" ca="1" si="21"/>
        <v>1.0050528778351984E-3</v>
      </c>
      <c r="X34" s="2">
        <f t="shared" si="4"/>
        <v>1.4666666666666666E-2</v>
      </c>
      <c r="AC34" s="1">
        <f t="shared" si="47"/>
        <v>3.3</v>
      </c>
      <c r="AD34" s="5">
        <v>1</v>
      </c>
      <c r="AE34" s="5">
        <v>0</v>
      </c>
      <c r="AF34" s="5">
        <v>1</v>
      </c>
      <c r="AG34" s="5">
        <v>0</v>
      </c>
      <c r="AH34" s="5">
        <v>0</v>
      </c>
      <c r="AI34" s="3">
        <f t="shared" si="5"/>
        <v>1.3</v>
      </c>
      <c r="AJ34" s="5">
        <f t="shared" si="6"/>
        <v>0</v>
      </c>
      <c r="AK34" s="5">
        <f t="shared" si="22"/>
        <v>0</v>
      </c>
      <c r="AL34" s="5">
        <f t="shared" si="23"/>
        <v>0</v>
      </c>
      <c r="AM34" s="5">
        <f t="shared" si="7"/>
        <v>0</v>
      </c>
      <c r="AN34" s="5">
        <f t="shared" si="24"/>
        <v>0</v>
      </c>
      <c r="AO34" s="5">
        <f t="shared" si="8"/>
        <v>1</v>
      </c>
      <c r="AP34" s="11" t="s">
        <v>42</v>
      </c>
      <c r="AQ34" s="1">
        <v>0</v>
      </c>
      <c r="AR34" s="5">
        <v>0</v>
      </c>
      <c r="AS34" s="5">
        <v>0</v>
      </c>
      <c r="AT34" s="5">
        <v>0</v>
      </c>
      <c r="AU34" s="5">
        <v>0</v>
      </c>
      <c r="AV34" s="5">
        <f t="shared" si="9"/>
        <v>1</v>
      </c>
      <c r="AW34" s="5">
        <f t="shared" si="10"/>
        <v>0</v>
      </c>
      <c r="AX34" s="5">
        <f t="shared" si="11"/>
        <v>0</v>
      </c>
      <c r="AY34" s="1">
        <f t="shared" si="48"/>
        <v>0</v>
      </c>
      <c r="AZ34" s="1">
        <f t="shared" si="49"/>
        <v>0</v>
      </c>
      <c r="BA34" s="1">
        <f t="shared" si="50"/>
        <v>0</v>
      </c>
      <c r="BB34" s="5">
        <v>0</v>
      </c>
      <c r="BC34" s="5">
        <v>0</v>
      </c>
      <c r="BD34" s="5">
        <v>0</v>
      </c>
      <c r="BE34" s="5">
        <f t="shared" si="51"/>
        <v>1</v>
      </c>
      <c r="BF34" s="5">
        <v>0</v>
      </c>
      <c r="BG34" s="5">
        <f t="shared" si="39"/>
        <v>0</v>
      </c>
      <c r="BH34" s="5">
        <f t="shared" si="39"/>
        <v>0</v>
      </c>
      <c r="BI34" s="5">
        <f t="shared" si="39"/>
        <v>0</v>
      </c>
      <c r="BJ34" s="5">
        <f t="shared" si="39"/>
        <v>1</v>
      </c>
      <c r="BK34" s="5">
        <f t="shared" si="39"/>
        <v>0</v>
      </c>
      <c r="BL34" s="5">
        <f t="shared" si="39"/>
        <v>0</v>
      </c>
      <c r="BM34" s="5">
        <f t="shared" si="39"/>
        <v>0</v>
      </c>
      <c r="BN34" s="5">
        <f t="shared" si="39"/>
        <v>0</v>
      </c>
      <c r="BO34" s="5">
        <f t="shared" si="38"/>
        <v>0</v>
      </c>
      <c r="BP34" s="5">
        <f t="shared" si="38"/>
        <v>0</v>
      </c>
      <c r="BQ34" s="5">
        <f t="shared" si="38"/>
        <v>0</v>
      </c>
      <c r="BR34" s="5">
        <f t="shared" si="38"/>
        <v>0</v>
      </c>
      <c r="BS34" s="5">
        <f t="shared" si="38"/>
        <v>0</v>
      </c>
      <c r="BT34" s="5">
        <f t="shared" si="38"/>
        <v>0</v>
      </c>
      <c r="BU34" s="5">
        <f t="shared" si="38"/>
        <v>0</v>
      </c>
      <c r="BV34" s="5">
        <f t="shared" si="38"/>
        <v>0</v>
      </c>
      <c r="BW34" s="5">
        <f t="shared" si="38"/>
        <v>0</v>
      </c>
      <c r="BX34" s="5">
        <f t="shared" si="38"/>
        <v>0</v>
      </c>
      <c r="BY34" s="5">
        <f t="shared" si="38"/>
        <v>0</v>
      </c>
      <c r="BZ34" s="5">
        <f t="shared" si="38"/>
        <v>0</v>
      </c>
      <c r="CA34" s="5">
        <f t="shared" si="38"/>
        <v>0</v>
      </c>
      <c r="CB34" s="5">
        <f t="shared" si="38"/>
        <v>0</v>
      </c>
      <c r="CC34" s="5">
        <f t="shared" si="38"/>
        <v>0</v>
      </c>
      <c r="CD34" s="5">
        <f t="shared" si="37"/>
        <v>0</v>
      </c>
      <c r="CE34" s="5">
        <f t="shared" si="17"/>
        <v>0</v>
      </c>
    </row>
    <row r="35" spans="3:83" x14ac:dyDescent="0.2">
      <c r="C35" s="1">
        <f>Growth!D40</f>
        <v>0</v>
      </c>
      <c r="D35" s="5" t="b">
        <f t="shared" si="18"/>
        <v>0</v>
      </c>
      <c r="E35" s="5">
        <v>1993</v>
      </c>
      <c r="F35" s="5">
        <f ca="1">LOOKUP($E35,frequence!$A$2:$A$35,frequence!L$2:L$35)</f>
        <v>191.34520119916542</v>
      </c>
      <c r="G35" s="5">
        <f ca="1">LOOKUP($E35,frequence!$A$2:$A$35,frequence!K$2:K$35)</f>
        <v>28.094581622231551</v>
      </c>
      <c r="H35" s="5">
        <f ca="1">LOOKUP($E35,frequence!$A$2:$A$35,frequence!M$2:M$35)</f>
        <v>780.68842089259488</v>
      </c>
      <c r="I35" s="5">
        <v>1991</v>
      </c>
      <c r="J35" s="7">
        <f>LOOKUP(I35,CPI!A$69:A$103,CPI!O$69:O$103)</f>
        <v>1.600998531571219</v>
      </c>
      <c r="K35" s="5">
        <v>1990</v>
      </c>
      <c r="L35" s="7">
        <f t="shared" ca="1" si="19"/>
        <v>1</v>
      </c>
      <c r="M35" s="7">
        <f t="shared" si="2"/>
        <v>2.946428571428571E-2</v>
      </c>
      <c r="N35" s="14">
        <f t="shared" si="52"/>
        <v>8.9285714285714281E-3</v>
      </c>
      <c r="O35" s="1">
        <f ca="1">P35*J35*(1+Growth!G$6)^(2010-K35)</f>
        <v>0.1902154136816129</v>
      </c>
      <c r="P35" s="1">
        <f>44/12*0.024</f>
        <v>8.7999999999999995E-2</v>
      </c>
      <c r="Q35" s="2">
        <f t="shared" si="46"/>
        <v>8.7999999999999995E-2</v>
      </c>
      <c r="R35" s="21">
        <f t="shared" ca="1" si="21"/>
        <v>3.6181903602067127E-2</v>
      </c>
      <c r="X35" s="2">
        <f t="shared" si="4"/>
        <v>8.7999999999999995E-2</v>
      </c>
      <c r="AC35" s="1">
        <f t="shared" si="47"/>
        <v>3.3</v>
      </c>
      <c r="AD35" s="5">
        <v>1</v>
      </c>
      <c r="AE35" s="5">
        <v>0</v>
      </c>
      <c r="AF35" s="5">
        <v>1</v>
      </c>
      <c r="AG35" s="5">
        <v>0</v>
      </c>
      <c r="AH35" s="5">
        <v>0</v>
      </c>
      <c r="AI35" s="3">
        <f t="shared" si="5"/>
        <v>1.3</v>
      </c>
      <c r="AJ35" s="5">
        <f t="shared" si="6"/>
        <v>0</v>
      </c>
      <c r="AK35" s="5">
        <f t="shared" si="22"/>
        <v>0</v>
      </c>
      <c r="AL35" s="5">
        <f t="shared" si="23"/>
        <v>0</v>
      </c>
      <c r="AM35" s="5">
        <f t="shared" si="7"/>
        <v>0</v>
      </c>
      <c r="AN35" s="5">
        <f t="shared" si="24"/>
        <v>0</v>
      </c>
      <c r="AO35" s="5">
        <f t="shared" si="8"/>
        <v>1</v>
      </c>
      <c r="AP35" s="11" t="s">
        <v>42</v>
      </c>
      <c r="AQ35" s="1">
        <v>0</v>
      </c>
      <c r="AR35" s="5">
        <v>0</v>
      </c>
      <c r="AS35" s="5">
        <v>0</v>
      </c>
      <c r="AT35" s="5">
        <v>0</v>
      </c>
      <c r="AU35" s="5">
        <v>0</v>
      </c>
      <c r="AV35" s="5">
        <f t="shared" si="9"/>
        <v>1</v>
      </c>
      <c r="AW35" s="5">
        <f t="shared" si="10"/>
        <v>0</v>
      </c>
      <c r="AX35" s="5">
        <f t="shared" si="11"/>
        <v>0</v>
      </c>
      <c r="AY35" s="1">
        <f t="shared" si="48"/>
        <v>0</v>
      </c>
      <c r="AZ35" s="1">
        <f t="shared" si="49"/>
        <v>0</v>
      </c>
      <c r="BA35" s="1">
        <f t="shared" si="50"/>
        <v>0</v>
      </c>
      <c r="BB35" s="5">
        <v>0</v>
      </c>
      <c r="BC35" s="5">
        <v>0</v>
      </c>
      <c r="BD35" s="5">
        <v>0</v>
      </c>
      <c r="BE35" s="5">
        <f t="shared" si="51"/>
        <v>1</v>
      </c>
      <c r="BF35" s="5">
        <v>0</v>
      </c>
      <c r="BG35" s="5">
        <f t="shared" si="39"/>
        <v>0</v>
      </c>
      <c r="BH35" s="5">
        <f t="shared" si="39"/>
        <v>0</v>
      </c>
      <c r="BI35" s="5">
        <f t="shared" si="39"/>
        <v>0</v>
      </c>
      <c r="BJ35" s="5">
        <f t="shared" si="39"/>
        <v>1</v>
      </c>
      <c r="BK35" s="5">
        <f t="shared" si="39"/>
        <v>0</v>
      </c>
      <c r="BL35" s="5">
        <f t="shared" si="39"/>
        <v>0</v>
      </c>
      <c r="BM35" s="5">
        <f t="shared" si="39"/>
        <v>0</v>
      </c>
      <c r="BN35" s="5">
        <f t="shared" si="39"/>
        <v>0</v>
      </c>
      <c r="BO35" s="5">
        <f t="shared" ref="BO35:CC50" si="53">IF($E35=BO$2,1,0)</f>
        <v>0</v>
      </c>
      <c r="BP35" s="5">
        <f t="shared" si="53"/>
        <v>0</v>
      </c>
      <c r="BQ35" s="5">
        <f t="shared" si="53"/>
        <v>0</v>
      </c>
      <c r="BR35" s="5">
        <f t="shared" si="53"/>
        <v>0</v>
      </c>
      <c r="BS35" s="5">
        <f t="shared" si="53"/>
        <v>0</v>
      </c>
      <c r="BT35" s="5">
        <f t="shared" si="53"/>
        <v>0</v>
      </c>
      <c r="BU35" s="5">
        <f t="shared" si="53"/>
        <v>0</v>
      </c>
      <c r="BV35" s="5">
        <f t="shared" si="53"/>
        <v>0</v>
      </c>
      <c r="BW35" s="5">
        <f t="shared" si="53"/>
        <v>0</v>
      </c>
      <c r="BX35" s="5">
        <f t="shared" si="53"/>
        <v>0</v>
      </c>
      <c r="BY35" s="5">
        <f t="shared" si="53"/>
        <v>0</v>
      </c>
      <c r="BZ35" s="5">
        <f t="shared" si="53"/>
        <v>0</v>
      </c>
      <c r="CA35" s="5">
        <f t="shared" si="53"/>
        <v>0</v>
      </c>
      <c r="CB35" s="5">
        <f t="shared" si="53"/>
        <v>0</v>
      </c>
      <c r="CC35" s="5">
        <f t="shared" si="53"/>
        <v>0</v>
      </c>
      <c r="CD35" s="5">
        <f t="shared" si="37"/>
        <v>0</v>
      </c>
      <c r="CE35" s="5">
        <f t="shared" si="17"/>
        <v>0</v>
      </c>
    </row>
    <row r="36" spans="3:83" x14ac:dyDescent="0.2">
      <c r="C36" s="1">
        <f>Growth!D41</f>
        <v>0</v>
      </c>
      <c r="D36" s="5" t="b">
        <f t="shared" si="18"/>
        <v>0</v>
      </c>
      <c r="E36" s="5">
        <v>1993</v>
      </c>
      <c r="F36" s="5">
        <f ca="1">LOOKUP($E36,frequence!$A$2:$A$35,frequence!L$2:L$35)</f>
        <v>191.34520119916542</v>
      </c>
      <c r="G36" s="5">
        <f ca="1">LOOKUP($E36,frequence!$A$2:$A$35,frequence!K$2:K$35)</f>
        <v>28.094581622231551</v>
      </c>
      <c r="H36" s="5">
        <f ca="1">LOOKUP($E36,frequence!$A$2:$A$35,frequence!M$2:M$35)</f>
        <v>780.68842089259488</v>
      </c>
      <c r="I36" s="5">
        <v>1991</v>
      </c>
      <c r="J36" s="7">
        <f>LOOKUP(I36,CPI!A$69:A$103,CPI!O$69:O$103)</f>
        <v>1.600998531571219</v>
      </c>
      <c r="K36" s="5">
        <v>1990</v>
      </c>
      <c r="L36" s="7">
        <f t="shared" ca="1" si="19"/>
        <v>1</v>
      </c>
      <c r="M36" s="7">
        <f t="shared" si="2"/>
        <v>5.892857142857142E-2</v>
      </c>
      <c r="N36" s="14">
        <f>2/112</f>
        <v>1.7857142857142856E-2</v>
      </c>
      <c r="O36" s="1">
        <f ca="1">P36*J36*(1+Growth!G$6)^(2010-K36)</f>
        <v>4.7553853420403226E-2</v>
      </c>
      <c r="P36" s="1">
        <f>44/12*0.006</f>
        <v>2.1999999999999999E-2</v>
      </c>
      <c r="Q36" s="2">
        <f t="shared" si="46"/>
        <v>2.1999999999999999E-2</v>
      </c>
      <c r="R36" s="21">
        <f t="shared" ca="1" si="21"/>
        <v>2.2613689751291954E-3</v>
      </c>
      <c r="X36" s="2">
        <f t="shared" ref="X36:X67" si="54">P36</f>
        <v>2.1999999999999999E-2</v>
      </c>
      <c r="AC36" s="1">
        <f t="shared" si="47"/>
        <v>3.3</v>
      </c>
      <c r="AD36" s="5">
        <v>1</v>
      </c>
      <c r="AE36" s="5">
        <v>0</v>
      </c>
      <c r="AF36" s="5">
        <v>1</v>
      </c>
      <c r="AG36" s="5">
        <v>0</v>
      </c>
      <c r="AH36" s="5">
        <v>0</v>
      </c>
      <c r="AI36" s="3">
        <f t="shared" si="5"/>
        <v>1.3</v>
      </c>
      <c r="AJ36" s="5">
        <f t="shared" si="6"/>
        <v>0</v>
      </c>
      <c r="AK36" s="5">
        <f t="shared" si="22"/>
        <v>0</v>
      </c>
      <c r="AL36" s="5">
        <f t="shared" si="23"/>
        <v>0</v>
      </c>
      <c r="AM36" s="5">
        <f t="shared" si="7"/>
        <v>0</v>
      </c>
      <c r="AN36" s="5">
        <f t="shared" si="24"/>
        <v>0</v>
      </c>
      <c r="AO36" s="5">
        <f t="shared" si="8"/>
        <v>1</v>
      </c>
      <c r="AP36" s="11" t="s">
        <v>42</v>
      </c>
      <c r="AQ36" s="1">
        <v>0</v>
      </c>
      <c r="AR36" s="5">
        <v>0</v>
      </c>
      <c r="AS36" s="5">
        <v>0</v>
      </c>
      <c r="AT36" s="5">
        <v>0</v>
      </c>
      <c r="AU36" s="5">
        <v>0</v>
      </c>
      <c r="AV36" s="5">
        <f t="shared" si="9"/>
        <v>1</v>
      </c>
      <c r="AW36" s="5">
        <f t="shared" si="10"/>
        <v>0</v>
      </c>
      <c r="AX36" s="5">
        <f t="shared" si="11"/>
        <v>0</v>
      </c>
      <c r="AY36" s="1">
        <f t="shared" si="48"/>
        <v>0</v>
      </c>
      <c r="AZ36" s="1">
        <f t="shared" si="49"/>
        <v>0</v>
      </c>
      <c r="BA36" s="1">
        <f t="shared" si="50"/>
        <v>0</v>
      </c>
      <c r="BB36" s="5">
        <v>0</v>
      </c>
      <c r="BC36" s="5">
        <v>0</v>
      </c>
      <c r="BD36" s="5">
        <v>0</v>
      </c>
      <c r="BE36" s="5">
        <f t="shared" si="51"/>
        <v>1</v>
      </c>
      <c r="BF36" s="5">
        <v>0</v>
      </c>
      <c r="BG36" s="5">
        <f t="shared" si="39"/>
        <v>0</v>
      </c>
      <c r="BH36" s="5">
        <f t="shared" si="39"/>
        <v>0</v>
      </c>
      <c r="BI36" s="5">
        <f t="shared" si="39"/>
        <v>0</v>
      </c>
      <c r="BJ36" s="5">
        <f t="shared" si="39"/>
        <v>1</v>
      </c>
      <c r="BK36" s="5">
        <f t="shared" si="39"/>
        <v>0</v>
      </c>
      <c r="BL36" s="5">
        <f t="shared" si="39"/>
        <v>0</v>
      </c>
      <c r="BM36" s="5">
        <f t="shared" si="39"/>
        <v>0</v>
      </c>
      <c r="BN36" s="5">
        <f t="shared" ref="BN36:CB51" si="55">IF($E36=BN$2,1,0)</f>
        <v>0</v>
      </c>
      <c r="BO36" s="5">
        <f t="shared" si="53"/>
        <v>0</v>
      </c>
      <c r="BP36" s="5">
        <f t="shared" si="53"/>
        <v>0</v>
      </c>
      <c r="BQ36" s="5">
        <f t="shared" si="53"/>
        <v>0</v>
      </c>
      <c r="BR36" s="5">
        <f t="shared" si="53"/>
        <v>0</v>
      </c>
      <c r="BS36" s="5">
        <f t="shared" si="53"/>
        <v>0</v>
      </c>
      <c r="BT36" s="5">
        <f t="shared" si="53"/>
        <v>0</v>
      </c>
      <c r="BU36" s="5">
        <f t="shared" si="53"/>
        <v>0</v>
      </c>
      <c r="BV36" s="5">
        <f t="shared" si="53"/>
        <v>0</v>
      </c>
      <c r="BW36" s="5">
        <f t="shared" si="53"/>
        <v>0</v>
      </c>
      <c r="BX36" s="5">
        <f t="shared" si="53"/>
        <v>0</v>
      </c>
      <c r="BY36" s="5">
        <f t="shared" si="53"/>
        <v>0</v>
      </c>
      <c r="BZ36" s="5">
        <f t="shared" si="53"/>
        <v>0</v>
      </c>
      <c r="CA36" s="5">
        <f t="shared" si="53"/>
        <v>0</v>
      </c>
      <c r="CB36" s="5">
        <f t="shared" si="53"/>
        <v>0</v>
      </c>
      <c r="CC36" s="5">
        <f t="shared" si="53"/>
        <v>0</v>
      </c>
      <c r="CD36" s="5">
        <f t="shared" si="37"/>
        <v>0</v>
      </c>
      <c r="CE36" s="5">
        <f t="shared" si="17"/>
        <v>0</v>
      </c>
    </row>
    <row r="37" spans="3:83" x14ac:dyDescent="0.2">
      <c r="C37" s="1">
        <f>Growth!D42</f>
        <v>0</v>
      </c>
      <c r="D37" s="5" t="b">
        <f t="shared" si="18"/>
        <v>0</v>
      </c>
      <c r="E37" s="5">
        <v>1993</v>
      </c>
      <c r="F37" s="5">
        <f ca="1">LOOKUP($E37,frequence!$A$2:$A$35,frequence!L$2:L$35)</f>
        <v>191.34520119916542</v>
      </c>
      <c r="G37" s="5">
        <f ca="1">LOOKUP($E37,frequence!$A$2:$A$35,frequence!K$2:K$35)</f>
        <v>28.094581622231551</v>
      </c>
      <c r="H37" s="5">
        <f ca="1">LOOKUP($E37,frequence!$A$2:$A$35,frequence!M$2:M$35)</f>
        <v>780.68842089259488</v>
      </c>
      <c r="I37" s="5">
        <v>1991</v>
      </c>
      <c r="J37" s="7">
        <f>LOOKUP(I37,CPI!A$69:A$103,CPI!O$69:O$103)</f>
        <v>1.600998531571219</v>
      </c>
      <c r="K37" s="5">
        <v>1990</v>
      </c>
      <c r="L37" s="7">
        <f t="shared" ca="1" si="19"/>
        <v>1</v>
      </c>
      <c r="M37" s="7">
        <f t="shared" si="2"/>
        <v>5.892857142857142E-2</v>
      </c>
      <c r="N37" s="14">
        <f>2/112</f>
        <v>1.7857142857142856E-2</v>
      </c>
      <c r="O37" s="1">
        <f ca="1">P37*J37*(1+Growth!G$6)^(2010-K37)</f>
        <v>0.28532312052241937</v>
      </c>
      <c r="P37" s="1">
        <f>44/12*0.036</f>
        <v>0.13199999999999998</v>
      </c>
      <c r="Q37" s="2">
        <f t="shared" si="46"/>
        <v>0.13199999999999998</v>
      </c>
      <c r="R37" s="21">
        <f t="shared" ca="1" si="21"/>
        <v>8.1409283104651051E-2</v>
      </c>
      <c r="X37" s="2">
        <f t="shared" si="54"/>
        <v>0.13199999999999998</v>
      </c>
      <c r="AC37" s="1">
        <f t="shared" si="47"/>
        <v>3.3</v>
      </c>
      <c r="AD37" s="5">
        <v>1</v>
      </c>
      <c r="AE37" s="5">
        <v>0</v>
      </c>
      <c r="AF37" s="5">
        <v>1</v>
      </c>
      <c r="AG37" s="5">
        <v>0</v>
      </c>
      <c r="AH37" s="5">
        <v>0</v>
      </c>
      <c r="AI37" s="3">
        <f t="shared" si="5"/>
        <v>1.3</v>
      </c>
      <c r="AJ37" s="5">
        <f t="shared" si="6"/>
        <v>0</v>
      </c>
      <c r="AK37" s="5">
        <f t="shared" si="22"/>
        <v>0</v>
      </c>
      <c r="AL37" s="5">
        <f t="shared" si="23"/>
        <v>0</v>
      </c>
      <c r="AM37" s="5">
        <f t="shared" si="7"/>
        <v>0</v>
      </c>
      <c r="AN37" s="5">
        <f t="shared" si="24"/>
        <v>0</v>
      </c>
      <c r="AO37" s="5">
        <f t="shared" si="8"/>
        <v>1</v>
      </c>
      <c r="AP37" s="11" t="s">
        <v>42</v>
      </c>
      <c r="AQ37" s="1">
        <v>0</v>
      </c>
      <c r="AR37" s="5">
        <v>0</v>
      </c>
      <c r="AS37" s="5">
        <v>0</v>
      </c>
      <c r="AT37" s="5">
        <v>0</v>
      </c>
      <c r="AU37" s="5">
        <v>0</v>
      </c>
      <c r="AV37" s="5">
        <f t="shared" si="9"/>
        <v>1</v>
      </c>
      <c r="AW37" s="5">
        <f t="shared" si="10"/>
        <v>0</v>
      </c>
      <c r="AX37" s="5">
        <f t="shared" si="11"/>
        <v>0</v>
      </c>
      <c r="AY37" s="1">
        <f t="shared" si="48"/>
        <v>0</v>
      </c>
      <c r="AZ37" s="1">
        <f t="shared" si="49"/>
        <v>0</v>
      </c>
      <c r="BA37" s="1">
        <f t="shared" si="50"/>
        <v>0</v>
      </c>
      <c r="BB37" s="5">
        <v>0</v>
      </c>
      <c r="BC37" s="5">
        <v>0</v>
      </c>
      <c r="BD37" s="5">
        <v>0</v>
      </c>
      <c r="BE37" s="5">
        <f t="shared" si="51"/>
        <v>1</v>
      </c>
      <c r="BF37" s="5">
        <v>0</v>
      </c>
      <c r="BG37" s="5">
        <f t="shared" ref="BG37:BN52" si="56">IF($E37=BG$2,1,0)</f>
        <v>0</v>
      </c>
      <c r="BH37" s="5">
        <f t="shared" si="56"/>
        <v>0</v>
      </c>
      <c r="BI37" s="5">
        <f t="shared" si="56"/>
        <v>0</v>
      </c>
      <c r="BJ37" s="5">
        <f t="shared" si="56"/>
        <v>1</v>
      </c>
      <c r="BK37" s="5">
        <f t="shared" si="56"/>
        <v>0</v>
      </c>
      <c r="BL37" s="5">
        <f t="shared" si="56"/>
        <v>0</v>
      </c>
      <c r="BM37" s="5">
        <f t="shared" si="56"/>
        <v>0</v>
      </c>
      <c r="BN37" s="5">
        <f t="shared" si="55"/>
        <v>0</v>
      </c>
      <c r="BO37" s="5">
        <f t="shared" si="53"/>
        <v>0</v>
      </c>
      <c r="BP37" s="5">
        <f t="shared" si="53"/>
        <v>0</v>
      </c>
      <c r="BQ37" s="5">
        <f t="shared" si="53"/>
        <v>0</v>
      </c>
      <c r="BR37" s="5">
        <f t="shared" si="53"/>
        <v>0</v>
      </c>
      <c r="BS37" s="5">
        <f t="shared" si="53"/>
        <v>0</v>
      </c>
      <c r="BT37" s="5">
        <f t="shared" si="53"/>
        <v>0</v>
      </c>
      <c r="BU37" s="5">
        <f t="shared" si="53"/>
        <v>0</v>
      </c>
      <c r="BV37" s="5">
        <f t="shared" si="53"/>
        <v>0</v>
      </c>
      <c r="BW37" s="5">
        <f t="shared" si="53"/>
        <v>0</v>
      </c>
      <c r="BX37" s="5">
        <f t="shared" si="53"/>
        <v>0</v>
      </c>
      <c r="BY37" s="5">
        <f t="shared" si="53"/>
        <v>0</v>
      </c>
      <c r="BZ37" s="5">
        <f t="shared" si="53"/>
        <v>0</v>
      </c>
      <c r="CA37" s="5">
        <f t="shared" si="53"/>
        <v>0</v>
      </c>
      <c r="CB37" s="5">
        <f t="shared" si="53"/>
        <v>0</v>
      </c>
      <c r="CC37" s="5">
        <f t="shared" si="53"/>
        <v>0</v>
      </c>
      <c r="CD37" s="5">
        <f t="shared" si="37"/>
        <v>0</v>
      </c>
      <c r="CE37" s="5">
        <f t="shared" si="17"/>
        <v>0</v>
      </c>
    </row>
    <row r="38" spans="3:83" x14ac:dyDescent="0.2">
      <c r="C38" s="1">
        <f>Growth!D43</f>
        <v>0</v>
      </c>
      <c r="D38" s="5" t="b">
        <f t="shared" si="18"/>
        <v>0</v>
      </c>
      <c r="E38" s="5">
        <v>1993</v>
      </c>
      <c r="F38" s="5">
        <f ca="1">LOOKUP($E38,frequence!$A$2:$A$35,frequence!L$2:L$35)</f>
        <v>191.34520119916542</v>
      </c>
      <c r="G38" s="5">
        <f ca="1">LOOKUP($E38,frequence!$A$2:$A$35,frequence!K$2:K$35)</f>
        <v>28.094581622231551</v>
      </c>
      <c r="H38" s="5">
        <f ca="1">LOOKUP($E38,frequence!$A$2:$A$35,frequence!M$2:M$35)</f>
        <v>780.68842089259488</v>
      </c>
      <c r="I38" s="5">
        <v>1991</v>
      </c>
      <c r="J38" s="7">
        <f>LOOKUP(I38,CPI!A$69:A$103,CPI!O$69:O$103)</f>
        <v>1.600998531571219</v>
      </c>
      <c r="K38" s="5">
        <v>1990</v>
      </c>
      <c r="L38" s="7">
        <f t="shared" ca="1" si="19"/>
        <v>1</v>
      </c>
      <c r="M38" s="7">
        <f t="shared" si="2"/>
        <v>5.892857142857142E-2</v>
      </c>
      <c r="N38" s="14">
        <f>2/112</f>
        <v>1.7857142857142856E-2</v>
      </c>
      <c r="O38" s="1">
        <f ca="1">P38*J38*(1+Growth!G$6)^(2010-K38)</f>
        <v>8.7182064604072587E-2</v>
      </c>
      <c r="P38" s="1">
        <f>44/12*0.011</f>
        <v>4.0333333333333332E-2</v>
      </c>
      <c r="Q38" s="2">
        <f t="shared" si="46"/>
        <v>4.0333333333333332E-2</v>
      </c>
      <c r="R38" s="21">
        <f t="shared" ca="1" si="21"/>
        <v>7.6007123886286864E-3</v>
      </c>
      <c r="X38" s="2">
        <f t="shared" si="54"/>
        <v>4.0333333333333332E-2</v>
      </c>
      <c r="AC38" s="1">
        <f t="shared" si="47"/>
        <v>3.3</v>
      </c>
      <c r="AD38" s="5">
        <v>1</v>
      </c>
      <c r="AE38" s="5">
        <v>0</v>
      </c>
      <c r="AF38" s="5">
        <v>1</v>
      </c>
      <c r="AG38" s="5">
        <v>0</v>
      </c>
      <c r="AH38" s="5">
        <v>0</v>
      </c>
      <c r="AI38" s="3">
        <f t="shared" si="5"/>
        <v>1.3</v>
      </c>
      <c r="AJ38" s="5">
        <f t="shared" si="6"/>
        <v>0</v>
      </c>
      <c r="AK38" s="5">
        <f t="shared" si="22"/>
        <v>0</v>
      </c>
      <c r="AL38" s="5">
        <f t="shared" si="23"/>
        <v>0</v>
      </c>
      <c r="AM38" s="5">
        <f t="shared" si="7"/>
        <v>0</v>
      </c>
      <c r="AN38" s="5">
        <f t="shared" si="24"/>
        <v>0</v>
      </c>
      <c r="AO38" s="5">
        <f t="shared" si="8"/>
        <v>1</v>
      </c>
      <c r="AP38" s="11" t="s">
        <v>42</v>
      </c>
      <c r="AQ38" s="1">
        <v>0</v>
      </c>
      <c r="AR38" s="5">
        <v>0</v>
      </c>
      <c r="AS38" s="5">
        <v>0</v>
      </c>
      <c r="AT38" s="5">
        <v>0</v>
      </c>
      <c r="AU38" s="5">
        <v>0</v>
      </c>
      <c r="AV38" s="5">
        <f t="shared" si="9"/>
        <v>1</v>
      </c>
      <c r="AW38" s="5">
        <f t="shared" si="10"/>
        <v>0</v>
      </c>
      <c r="AX38" s="5">
        <f t="shared" si="11"/>
        <v>0</v>
      </c>
      <c r="AY38" s="1">
        <f t="shared" si="48"/>
        <v>0</v>
      </c>
      <c r="AZ38" s="1">
        <f t="shared" si="49"/>
        <v>0</v>
      </c>
      <c r="BA38" s="1">
        <f t="shared" si="50"/>
        <v>0</v>
      </c>
      <c r="BB38" s="5">
        <v>0</v>
      </c>
      <c r="BC38" s="5">
        <v>0</v>
      </c>
      <c r="BD38" s="5">
        <v>0</v>
      </c>
      <c r="BE38" s="5">
        <f t="shared" si="51"/>
        <v>1</v>
      </c>
      <c r="BF38" s="5">
        <v>0</v>
      </c>
      <c r="BG38" s="5">
        <f t="shared" si="56"/>
        <v>0</v>
      </c>
      <c r="BH38" s="5">
        <f t="shared" si="56"/>
        <v>0</v>
      </c>
      <c r="BI38" s="5">
        <f t="shared" si="56"/>
        <v>0</v>
      </c>
      <c r="BJ38" s="5">
        <f t="shared" si="56"/>
        <v>1</v>
      </c>
      <c r="BK38" s="5">
        <f t="shared" si="56"/>
        <v>0</v>
      </c>
      <c r="BL38" s="5">
        <f t="shared" si="56"/>
        <v>0</v>
      </c>
      <c r="BM38" s="5">
        <f t="shared" si="56"/>
        <v>0</v>
      </c>
      <c r="BN38" s="5">
        <f t="shared" si="55"/>
        <v>0</v>
      </c>
      <c r="BO38" s="5">
        <f t="shared" si="53"/>
        <v>0</v>
      </c>
      <c r="BP38" s="5">
        <f t="shared" si="53"/>
        <v>0</v>
      </c>
      <c r="BQ38" s="5">
        <f t="shared" si="53"/>
        <v>0</v>
      </c>
      <c r="BR38" s="5">
        <f t="shared" si="53"/>
        <v>0</v>
      </c>
      <c r="BS38" s="5">
        <f t="shared" si="53"/>
        <v>0</v>
      </c>
      <c r="BT38" s="5">
        <f t="shared" si="53"/>
        <v>0</v>
      </c>
      <c r="BU38" s="5">
        <f t="shared" si="53"/>
        <v>0</v>
      </c>
      <c r="BV38" s="5">
        <f t="shared" si="53"/>
        <v>0</v>
      </c>
      <c r="BW38" s="5">
        <f t="shared" si="53"/>
        <v>0</v>
      </c>
      <c r="BX38" s="5">
        <f t="shared" si="53"/>
        <v>0</v>
      </c>
      <c r="BY38" s="5">
        <f t="shared" si="53"/>
        <v>0</v>
      </c>
      <c r="BZ38" s="5">
        <f t="shared" si="53"/>
        <v>0</v>
      </c>
      <c r="CA38" s="5">
        <f t="shared" si="53"/>
        <v>0</v>
      </c>
      <c r="CB38" s="5">
        <f t="shared" si="53"/>
        <v>0</v>
      </c>
      <c r="CC38" s="5">
        <f t="shared" si="53"/>
        <v>0</v>
      </c>
      <c r="CD38" s="5">
        <f t="shared" si="37"/>
        <v>0</v>
      </c>
      <c r="CE38" s="5">
        <f t="shared" si="17"/>
        <v>0</v>
      </c>
    </row>
    <row r="39" spans="3:83" x14ac:dyDescent="0.2">
      <c r="C39" s="1">
        <f>Growth!D44</f>
        <v>0</v>
      </c>
      <c r="D39" s="5" t="b">
        <f t="shared" si="18"/>
        <v>0</v>
      </c>
      <c r="E39" s="5">
        <v>1993</v>
      </c>
      <c r="F39" s="5">
        <f ca="1">LOOKUP($E39,frequence!$A$2:$A$35,frequence!L$2:L$35)</f>
        <v>191.34520119916542</v>
      </c>
      <c r="G39" s="5">
        <f ca="1">LOOKUP($E39,frequence!$A$2:$A$35,frequence!K$2:K$35)</f>
        <v>28.094581622231551</v>
      </c>
      <c r="H39" s="5">
        <f ca="1">LOOKUP($E39,frequence!$A$2:$A$35,frequence!M$2:M$35)</f>
        <v>780.68842089259488</v>
      </c>
      <c r="I39" s="5">
        <v>1991</v>
      </c>
      <c r="J39" s="7">
        <f>LOOKUP(I39,CPI!A$69:A$103,CPI!O$69:O$103)</f>
        <v>1.600998531571219</v>
      </c>
      <c r="K39" s="5">
        <v>1990</v>
      </c>
      <c r="L39" s="7">
        <f t="shared" ca="1" si="19"/>
        <v>1</v>
      </c>
      <c r="M39" s="7">
        <f t="shared" si="2"/>
        <v>5.892857142857142E-2</v>
      </c>
      <c r="N39" s="14">
        <f>2/112</f>
        <v>1.7857142857142856E-2</v>
      </c>
      <c r="O39" s="1">
        <f ca="1">P39*J39*(1+Growth!G$6)^(2010-K39)</f>
        <v>0.52309238762443544</v>
      </c>
      <c r="P39" s="1">
        <f>44/12*0.066</f>
        <v>0.24199999999999999</v>
      </c>
      <c r="Q39" s="2">
        <f t="shared" si="46"/>
        <v>0.24199999999999999</v>
      </c>
      <c r="R39" s="21">
        <f t="shared" ca="1" si="21"/>
        <v>0.2736256459906326</v>
      </c>
      <c r="X39" s="2">
        <f t="shared" si="54"/>
        <v>0.24199999999999999</v>
      </c>
      <c r="AC39" s="1">
        <f t="shared" si="47"/>
        <v>3.3</v>
      </c>
      <c r="AD39" s="5">
        <v>1</v>
      </c>
      <c r="AE39" s="5">
        <v>0</v>
      </c>
      <c r="AF39" s="5">
        <v>1</v>
      </c>
      <c r="AG39" s="5">
        <v>0</v>
      </c>
      <c r="AH39" s="5">
        <v>0</v>
      </c>
      <c r="AI39" s="3">
        <f t="shared" si="5"/>
        <v>1.3</v>
      </c>
      <c r="AJ39" s="5">
        <f t="shared" si="6"/>
        <v>0</v>
      </c>
      <c r="AK39" s="5">
        <f t="shared" si="22"/>
        <v>0</v>
      </c>
      <c r="AL39" s="5">
        <f t="shared" si="23"/>
        <v>0</v>
      </c>
      <c r="AM39" s="5">
        <f t="shared" si="7"/>
        <v>0</v>
      </c>
      <c r="AN39" s="5">
        <f t="shared" si="24"/>
        <v>0</v>
      </c>
      <c r="AO39" s="5">
        <f t="shared" si="8"/>
        <v>1</v>
      </c>
      <c r="AP39" s="11" t="s">
        <v>42</v>
      </c>
      <c r="AQ39" s="1">
        <v>0</v>
      </c>
      <c r="AR39" s="5">
        <v>0</v>
      </c>
      <c r="AS39" s="5">
        <v>0</v>
      </c>
      <c r="AT39" s="5">
        <v>0</v>
      </c>
      <c r="AU39" s="5">
        <v>0</v>
      </c>
      <c r="AV39" s="5">
        <f t="shared" si="9"/>
        <v>1</v>
      </c>
      <c r="AW39" s="5">
        <f t="shared" si="10"/>
        <v>0</v>
      </c>
      <c r="AX39" s="5">
        <f t="shared" si="11"/>
        <v>0</v>
      </c>
      <c r="AY39" s="1">
        <f t="shared" si="48"/>
        <v>0</v>
      </c>
      <c r="AZ39" s="1">
        <f t="shared" si="49"/>
        <v>0</v>
      </c>
      <c r="BA39" s="1">
        <f t="shared" si="50"/>
        <v>0</v>
      </c>
      <c r="BB39" s="5">
        <v>0</v>
      </c>
      <c r="BC39" s="5">
        <v>0</v>
      </c>
      <c r="BD39" s="5">
        <v>0</v>
      </c>
      <c r="BE39" s="5">
        <f t="shared" si="51"/>
        <v>1</v>
      </c>
      <c r="BF39" s="5">
        <v>0</v>
      </c>
      <c r="BG39" s="5">
        <f t="shared" si="56"/>
        <v>0</v>
      </c>
      <c r="BH39" s="5">
        <f t="shared" si="56"/>
        <v>0</v>
      </c>
      <c r="BI39" s="5">
        <f t="shared" si="56"/>
        <v>0</v>
      </c>
      <c r="BJ39" s="5">
        <f t="shared" si="56"/>
        <v>1</v>
      </c>
      <c r="BK39" s="5">
        <f t="shared" si="56"/>
        <v>0</v>
      </c>
      <c r="BL39" s="5">
        <f t="shared" si="56"/>
        <v>0</v>
      </c>
      <c r="BM39" s="5">
        <f t="shared" si="56"/>
        <v>0</v>
      </c>
      <c r="BN39" s="5">
        <f t="shared" si="55"/>
        <v>0</v>
      </c>
      <c r="BO39" s="5">
        <f t="shared" si="53"/>
        <v>0</v>
      </c>
      <c r="BP39" s="5">
        <f t="shared" si="53"/>
        <v>0</v>
      </c>
      <c r="BQ39" s="5">
        <f t="shared" si="53"/>
        <v>0</v>
      </c>
      <c r="BR39" s="5">
        <f t="shared" si="53"/>
        <v>0</v>
      </c>
      <c r="BS39" s="5">
        <f t="shared" si="53"/>
        <v>0</v>
      </c>
      <c r="BT39" s="5">
        <f t="shared" si="53"/>
        <v>0</v>
      </c>
      <c r="BU39" s="5">
        <f t="shared" si="53"/>
        <v>0</v>
      </c>
      <c r="BV39" s="5">
        <f t="shared" si="53"/>
        <v>0</v>
      </c>
      <c r="BW39" s="5">
        <f t="shared" si="53"/>
        <v>0</v>
      </c>
      <c r="BX39" s="5">
        <f t="shared" si="53"/>
        <v>0</v>
      </c>
      <c r="BY39" s="5">
        <f t="shared" si="53"/>
        <v>0</v>
      </c>
      <c r="BZ39" s="5">
        <f t="shared" si="53"/>
        <v>0</v>
      </c>
      <c r="CA39" s="5">
        <f t="shared" si="53"/>
        <v>0</v>
      </c>
      <c r="CB39" s="5">
        <f t="shared" si="53"/>
        <v>0</v>
      </c>
      <c r="CC39" s="5">
        <f t="shared" si="53"/>
        <v>0</v>
      </c>
      <c r="CD39" s="5">
        <f t="shared" ref="CD39:CD58" si="57">IF($E39=CD$2,1,0)</f>
        <v>0</v>
      </c>
      <c r="CE39" s="5">
        <f t="shared" si="17"/>
        <v>0</v>
      </c>
    </row>
    <row r="40" spans="3:83" x14ac:dyDescent="0.2">
      <c r="C40" s="1">
        <f>Growth!D45</f>
        <v>0</v>
      </c>
      <c r="D40" s="5" t="b">
        <f t="shared" si="18"/>
        <v>0</v>
      </c>
      <c r="E40" s="5">
        <v>1993</v>
      </c>
      <c r="F40" s="5">
        <f ca="1">LOOKUP($E40,frequence!$A$2:$A$35,frequence!L$2:L$35)</f>
        <v>191.34520119916542</v>
      </c>
      <c r="G40" s="5">
        <f ca="1">LOOKUP($E40,frequence!$A$2:$A$35,frequence!K$2:K$35)</f>
        <v>28.094581622231551</v>
      </c>
      <c r="H40" s="5">
        <f ca="1">LOOKUP($E40,frequence!$A$2:$A$35,frequence!M$2:M$35)</f>
        <v>780.68842089259488</v>
      </c>
      <c r="I40" s="5">
        <v>1991</v>
      </c>
      <c r="J40" s="7">
        <f>LOOKUP(I40,CPI!A$69:A$103,CPI!O$69:O$103)</f>
        <v>1.600998531571219</v>
      </c>
      <c r="K40" s="5">
        <v>1990</v>
      </c>
      <c r="L40" s="7">
        <f t="shared" ca="1" si="19"/>
        <v>1</v>
      </c>
      <c r="M40" s="7">
        <f t="shared" si="2"/>
        <v>2.946428571428571E-2</v>
      </c>
      <c r="N40" s="14">
        <f>1/112</f>
        <v>8.9285714285714281E-3</v>
      </c>
      <c r="O40" s="1">
        <f ca="1">P40*J40*(1+Growth!G$6)^(2010-K40)</f>
        <v>0.16643848697141131</v>
      </c>
      <c r="P40" s="1">
        <f>44/12*0.021</f>
        <v>7.6999999999999999E-2</v>
      </c>
      <c r="Q40" s="2">
        <f t="shared" si="46"/>
        <v>7.6999999999999999E-2</v>
      </c>
      <c r="R40" s="21">
        <f t="shared" ca="1" si="21"/>
        <v>2.7701769945332654E-2</v>
      </c>
      <c r="X40" s="2">
        <f t="shared" si="54"/>
        <v>7.6999999999999999E-2</v>
      </c>
      <c r="AC40" s="1">
        <f t="shared" si="47"/>
        <v>3.3</v>
      </c>
      <c r="AD40" s="5">
        <v>1</v>
      </c>
      <c r="AE40" s="5">
        <v>0</v>
      </c>
      <c r="AF40" s="5">
        <v>1</v>
      </c>
      <c r="AG40" s="5">
        <v>0</v>
      </c>
      <c r="AH40" s="5">
        <v>0</v>
      </c>
      <c r="AI40" s="3">
        <f t="shared" si="5"/>
        <v>1.3</v>
      </c>
      <c r="AJ40" s="5">
        <f t="shared" si="6"/>
        <v>0</v>
      </c>
      <c r="AK40" s="5">
        <f t="shared" si="22"/>
        <v>0</v>
      </c>
      <c r="AL40" s="5">
        <f t="shared" si="23"/>
        <v>0</v>
      </c>
      <c r="AM40" s="5">
        <f t="shared" si="7"/>
        <v>0</v>
      </c>
      <c r="AN40" s="5">
        <f t="shared" si="24"/>
        <v>0</v>
      </c>
      <c r="AO40" s="5">
        <f t="shared" si="8"/>
        <v>1</v>
      </c>
      <c r="AP40" s="11" t="s">
        <v>42</v>
      </c>
      <c r="AQ40" s="1">
        <v>0</v>
      </c>
      <c r="AR40" s="5">
        <v>0</v>
      </c>
      <c r="AS40" s="5">
        <v>0</v>
      </c>
      <c r="AT40" s="5">
        <v>0</v>
      </c>
      <c r="AU40" s="5">
        <v>0</v>
      </c>
      <c r="AV40" s="5">
        <f t="shared" si="9"/>
        <v>1</v>
      </c>
      <c r="AW40" s="5">
        <f t="shared" si="10"/>
        <v>0</v>
      </c>
      <c r="AX40" s="5">
        <f t="shared" si="11"/>
        <v>0</v>
      </c>
      <c r="AY40" s="1">
        <f t="shared" si="48"/>
        <v>0</v>
      </c>
      <c r="AZ40" s="1">
        <f t="shared" si="49"/>
        <v>0</v>
      </c>
      <c r="BA40" s="1">
        <f t="shared" si="50"/>
        <v>0</v>
      </c>
      <c r="BB40" s="5">
        <v>0</v>
      </c>
      <c r="BC40" s="5">
        <v>0</v>
      </c>
      <c r="BD40" s="5">
        <v>0</v>
      </c>
      <c r="BE40" s="5">
        <f t="shared" si="51"/>
        <v>1</v>
      </c>
      <c r="BF40" s="5">
        <v>0</v>
      </c>
      <c r="BG40" s="5">
        <f t="shared" si="56"/>
        <v>0</v>
      </c>
      <c r="BH40" s="5">
        <f t="shared" si="56"/>
        <v>0</v>
      </c>
      <c r="BI40" s="5">
        <f t="shared" si="56"/>
        <v>0</v>
      </c>
      <c r="BJ40" s="5">
        <f t="shared" si="56"/>
        <v>1</v>
      </c>
      <c r="BK40" s="5">
        <f t="shared" si="56"/>
        <v>0</v>
      </c>
      <c r="BL40" s="5">
        <f t="shared" si="56"/>
        <v>0</v>
      </c>
      <c r="BM40" s="5">
        <f t="shared" si="56"/>
        <v>0</v>
      </c>
      <c r="BN40" s="5">
        <f t="shared" si="55"/>
        <v>0</v>
      </c>
      <c r="BO40" s="5">
        <f t="shared" si="53"/>
        <v>0</v>
      </c>
      <c r="BP40" s="5">
        <f t="shared" si="53"/>
        <v>0</v>
      </c>
      <c r="BQ40" s="5">
        <f t="shared" si="53"/>
        <v>0</v>
      </c>
      <c r="BR40" s="5">
        <f t="shared" si="53"/>
        <v>0</v>
      </c>
      <c r="BS40" s="5">
        <f t="shared" si="53"/>
        <v>0</v>
      </c>
      <c r="BT40" s="5">
        <f t="shared" si="53"/>
        <v>0</v>
      </c>
      <c r="BU40" s="5">
        <f t="shared" si="53"/>
        <v>0</v>
      </c>
      <c r="BV40" s="5">
        <f t="shared" si="53"/>
        <v>0</v>
      </c>
      <c r="BW40" s="5">
        <f t="shared" si="53"/>
        <v>0</v>
      </c>
      <c r="BX40" s="5">
        <f t="shared" si="53"/>
        <v>0</v>
      </c>
      <c r="BY40" s="5">
        <f t="shared" si="53"/>
        <v>0</v>
      </c>
      <c r="BZ40" s="5">
        <f t="shared" si="53"/>
        <v>0</v>
      </c>
      <c r="CA40" s="5">
        <f t="shared" si="53"/>
        <v>0</v>
      </c>
      <c r="CB40" s="5">
        <f t="shared" si="53"/>
        <v>0</v>
      </c>
      <c r="CC40" s="5">
        <f t="shared" si="53"/>
        <v>0</v>
      </c>
      <c r="CD40" s="5">
        <f t="shared" si="57"/>
        <v>0</v>
      </c>
      <c r="CE40" s="5">
        <f t="shared" si="17"/>
        <v>0</v>
      </c>
    </row>
    <row r="41" spans="3:83" x14ac:dyDescent="0.2">
      <c r="C41" s="1">
        <f>Growth!D46</f>
        <v>0</v>
      </c>
      <c r="D41" s="5" t="b">
        <f t="shared" si="18"/>
        <v>0</v>
      </c>
      <c r="E41" s="5">
        <v>1993</v>
      </c>
      <c r="F41" s="5">
        <f ca="1">LOOKUP($E41,frequence!$A$2:$A$35,frequence!L$2:L$35)</f>
        <v>191.34520119916542</v>
      </c>
      <c r="G41" s="5">
        <f ca="1">LOOKUP($E41,frequence!$A$2:$A$35,frequence!K$2:K$35)</f>
        <v>28.094581622231551</v>
      </c>
      <c r="H41" s="5">
        <f ca="1">LOOKUP($E41,frequence!$A$2:$A$35,frequence!M$2:M$35)</f>
        <v>780.68842089259488</v>
      </c>
      <c r="I41" s="5">
        <v>1991</v>
      </c>
      <c r="J41" s="7">
        <f>LOOKUP(I41,CPI!A$69:A$103,CPI!O$69:O$103)</f>
        <v>1.600998531571219</v>
      </c>
      <c r="K41" s="5">
        <v>1990</v>
      </c>
      <c r="L41" s="7">
        <f t="shared" ca="1" si="19"/>
        <v>1</v>
      </c>
      <c r="M41" s="7">
        <f t="shared" si="2"/>
        <v>2.946428571428571E-2</v>
      </c>
      <c r="N41" s="14">
        <f>1/112</f>
        <v>8.9285714285714281E-3</v>
      </c>
      <c r="O41" s="1">
        <f ca="1">P41*J41*(1+Growth!G$6)^(2010-K41)</f>
        <v>0.9986309218284678</v>
      </c>
      <c r="P41" s="1">
        <f>44/12*0.126</f>
        <v>0.46199999999999997</v>
      </c>
      <c r="Q41" s="2">
        <f t="shared" si="46"/>
        <v>0.46199999999999997</v>
      </c>
      <c r="R41" s="21">
        <f t="shared" ca="1" si="21"/>
        <v>0.99726371803197533</v>
      </c>
      <c r="X41" s="2">
        <f t="shared" si="54"/>
        <v>0.46199999999999997</v>
      </c>
      <c r="AC41" s="1">
        <f t="shared" si="47"/>
        <v>3.3</v>
      </c>
      <c r="AD41" s="5">
        <v>1</v>
      </c>
      <c r="AE41" s="5">
        <v>0</v>
      </c>
      <c r="AF41" s="5">
        <v>1</v>
      </c>
      <c r="AG41" s="5">
        <v>0</v>
      </c>
      <c r="AH41" s="5">
        <v>0</v>
      </c>
      <c r="AI41" s="3">
        <f t="shared" si="5"/>
        <v>1.3</v>
      </c>
      <c r="AJ41" s="5">
        <f t="shared" si="6"/>
        <v>0</v>
      </c>
      <c r="AK41" s="5">
        <f t="shared" si="22"/>
        <v>0</v>
      </c>
      <c r="AL41" s="5">
        <f t="shared" si="23"/>
        <v>0</v>
      </c>
      <c r="AM41" s="5">
        <f t="shared" si="7"/>
        <v>0</v>
      </c>
      <c r="AN41" s="5">
        <f t="shared" si="24"/>
        <v>0</v>
      </c>
      <c r="AO41" s="5">
        <f t="shared" si="8"/>
        <v>1</v>
      </c>
      <c r="AP41" s="11" t="s">
        <v>42</v>
      </c>
      <c r="AQ41" s="1">
        <v>0</v>
      </c>
      <c r="AR41" s="5">
        <v>0</v>
      </c>
      <c r="AS41" s="5">
        <v>0</v>
      </c>
      <c r="AT41" s="5">
        <v>0</v>
      </c>
      <c r="AU41" s="5">
        <v>0</v>
      </c>
      <c r="AV41" s="5">
        <f t="shared" si="9"/>
        <v>1</v>
      </c>
      <c r="AW41" s="5">
        <f t="shared" si="10"/>
        <v>0</v>
      </c>
      <c r="AX41" s="5">
        <f t="shared" si="11"/>
        <v>0</v>
      </c>
      <c r="AY41" s="1">
        <f t="shared" si="48"/>
        <v>0</v>
      </c>
      <c r="AZ41" s="1">
        <f t="shared" si="49"/>
        <v>0</v>
      </c>
      <c r="BA41" s="1">
        <f t="shared" si="50"/>
        <v>0</v>
      </c>
      <c r="BB41" s="5">
        <v>0</v>
      </c>
      <c r="BC41" s="5">
        <v>0</v>
      </c>
      <c r="BD41" s="5">
        <v>0</v>
      </c>
      <c r="BE41" s="5">
        <f t="shared" si="51"/>
        <v>1</v>
      </c>
      <c r="BF41" s="5">
        <v>0</v>
      </c>
      <c r="BG41" s="5">
        <f t="shared" si="56"/>
        <v>0</v>
      </c>
      <c r="BH41" s="5">
        <f t="shared" si="56"/>
        <v>0</v>
      </c>
      <c r="BI41" s="5">
        <f t="shared" si="56"/>
        <v>0</v>
      </c>
      <c r="BJ41" s="5">
        <f t="shared" si="56"/>
        <v>1</v>
      </c>
      <c r="BK41" s="5">
        <f t="shared" si="56"/>
        <v>0</v>
      </c>
      <c r="BL41" s="5">
        <f t="shared" si="56"/>
        <v>0</v>
      </c>
      <c r="BM41" s="5">
        <f t="shared" si="56"/>
        <v>0</v>
      </c>
      <c r="BN41" s="5">
        <f t="shared" si="55"/>
        <v>0</v>
      </c>
      <c r="BO41" s="5">
        <f t="shared" si="53"/>
        <v>0</v>
      </c>
      <c r="BP41" s="5">
        <f t="shared" si="53"/>
        <v>0</v>
      </c>
      <c r="BQ41" s="5">
        <f t="shared" si="53"/>
        <v>0</v>
      </c>
      <c r="BR41" s="5">
        <f t="shared" si="53"/>
        <v>0</v>
      </c>
      <c r="BS41" s="5">
        <f t="shared" si="53"/>
        <v>0</v>
      </c>
      <c r="BT41" s="5">
        <f t="shared" si="53"/>
        <v>0</v>
      </c>
      <c r="BU41" s="5">
        <f t="shared" si="53"/>
        <v>0</v>
      </c>
      <c r="BV41" s="5">
        <f t="shared" si="53"/>
        <v>0</v>
      </c>
      <c r="BW41" s="5">
        <f t="shared" si="53"/>
        <v>0</v>
      </c>
      <c r="BX41" s="5">
        <f t="shared" si="53"/>
        <v>0</v>
      </c>
      <c r="BY41" s="5">
        <f t="shared" si="53"/>
        <v>0</v>
      </c>
      <c r="BZ41" s="5">
        <f t="shared" si="53"/>
        <v>0</v>
      </c>
      <c r="CA41" s="5">
        <f t="shared" si="53"/>
        <v>0</v>
      </c>
      <c r="CB41" s="5">
        <f t="shared" si="53"/>
        <v>0</v>
      </c>
      <c r="CC41" s="5">
        <f t="shared" si="53"/>
        <v>0</v>
      </c>
      <c r="CD41" s="5">
        <f t="shared" si="57"/>
        <v>0</v>
      </c>
      <c r="CE41" s="5">
        <f t="shared" si="17"/>
        <v>0</v>
      </c>
    </row>
    <row r="42" spans="3:83" x14ac:dyDescent="0.2">
      <c r="C42" s="1">
        <f>Growth!D47</f>
        <v>0</v>
      </c>
      <c r="D42" s="5" t="b">
        <f t="shared" si="18"/>
        <v>0</v>
      </c>
      <c r="E42" s="5">
        <v>1993</v>
      </c>
      <c r="F42" s="5">
        <f ca="1">LOOKUP($E42,frequence!$A$2:$A$35,frequence!L$2:L$35)</f>
        <v>191.34520119916542</v>
      </c>
      <c r="G42" s="5">
        <f ca="1">LOOKUP($E42,frequence!$A$2:$A$35,frequence!K$2:K$35)</f>
        <v>28.094581622231551</v>
      </c>
      <c r="H42" s="5">
        <f ca="1">LOOKUP($E42,frequence!$A$2:$A$35,frequence!M$2:M$35)</f>
        <v>780.68842089259488</v>
      </c>
      <c r="I42" s="5">
        <v>1991</v>
      </c>
      <c r="J42" s="7">
        <f>LOOKUP(I42,CPI!A$69:A$103,CPI!O$69:O$103)</f>
        <v>1.600998531571219</v>
      </c>
      <c r="K42" s="5">
        <v>1990</v>
      </c>
      <c r="L42" s="7">
        <f t="shared" ca="1" si="19"/>
        <v>1</v>
      </c>
      <c r="M42" s="7">
        <f t="shared" si="2"/>
        <v>2.946428571428571E-2</v>
      </c>
      <c r="N42" s="14">
        <f>1/112</f>
        <v>8.9285714285714281E-3</v>
      </c>
      <c r="O42" s="1">
        <f ca="1">P42*J42*(1+Growth!G$6)^(2010-K42)</f>
        <v>0.43591032302036292</v>
      </c>
      <c r="P42" s="1">
        <f>44/12*0.055</f>
        <v>0.20166666666666666</v>
      </c>
      <c r="Q42" s="2">
        <f t="shared" si="46"/>
        <v>0.20166666666666666</v>
      </c>
      <c r="R42" s="21">
        <f t="shared" ca="1" si="21"/>
        <v>0.19001780971571713</v>
      </c>
      <c r="X42" s="2">
        <f t="shared" si="54"/>
        <v>0.20166666666666666</v>
      </c>
      <c r="AC42" s="1">
        <f t="shared" si="47"/>
        <v>3.3</v>
      </c>
      <c r="AD42" s="5">
        <v>1</v>
      </c>
      <c r="AE42" s="5">
        <v>0</v>
      </c>
      <c r="AF42" s="5">
        <v>1</v>
      </c>
      <c r="AG42" s="5">
        <v>0</v>
      </c>
      <c r="AH42" s="5">
        <v>0</v>
      </c>
      <c r="AI42" s="3">
        <f t="shared" si="5"/>
        <v>1.3</v>
      </c>
      <c r="AJ42" s="5">
        <f t="shared" si="6"/>
        <v>0</v>
      </c>
      <c r="AK42" s="5">
        <f t="shared" si="22"/>
        <v>0</v>
      </c>
      <c r="AL42" s="5">
        <f t="shared" si="23"/>
        <v>0</v>
      </c>
      <c r="AM42" s="5">
        <f t="shared" si="7"/>
        <v>0</v>
      </c>
      <c r="AN42" s="5">
        <f t="shared" si="24"/>
        <v>0</v>
      </c>
      <c r="AO42" s="5">
        <f t="shared" si="8"/>
        <v>1</v>
      </c>
      <c r="AP42" s="11" t="s">
        <v>42</v>
      </c>
      <c r="AQ42" s="1">
        <v>0</v>
      </c>
      <c r="AR42" s="5">
        <v>0</v>
      </c>
      <c r="AS42" s="5">
        <v>0</v>
      </c>
      <c r="AT42" s="5">
        <v>0</v>
      </c>
      <c r="AU42" s="5">
        <v>0</v>
      </c>
      <c r="AV42" s="5">
        <f t="shared" si="9"/>
        <v>1</v>
      </c>
      <c r="AW42" s="5">
        <f t="shared" si="10"/>
        <v>0</v>
      </c>
      <c r="AX42" s="5">
        <f t="shared" si="11"/>
        <v>0</v>
      </c>
      <c r="AY42" s="1">
        <f t="shared" si="48"/>
        <v>0</v>
      </c>
      <c r="AZ42" s="1">
        <f t="shared" si="49"/>
        <v>0</v>
      </c>
      <c r="BA42" s="1">
        <f t="shared" si="50"/>
        <v>0</v>
      </c>
      <c r="BB42" s="5">
        <v>0</v>
      </c>
      <c r="BC42" s="5">
        <v>0</v>
      </c>
      <c r="BD42" s="5">
        <v>0</v>
      </c>
      <c r="BE42" s="5">
        <f t="shared" si="51"/>
        <v>1</v>
      </c>
      <c r="BF42" s="5">
        <v>0</v>
      </c>
      <c r="BG42" s="5">
        <f t="shared" si="56"/>
        <v>0</v>
      </c>
      <c r="BH42" s="5">
        <f t="shared" si="56"/>
        <v>0</v>
      </c>
      <c r="BI42" s="5">
        <f t="shared" si="56"/>
        <v>0</v>
      </c>
      <c r="BJ42" s="5">
        <f t="shared" si="56"/>
        <v>1</v>
      </c>
      <c r="BK42" s="5">
        <f t="shared" si="56"/>
        <v>0</v>
      </c>
      <c r="BL42" s="5">
        <f t="shared" si="56"/>
        <v>0</v>
      </c>
      <c r="BM42" s="5">
        <f t="shared" si="56"/>
        <v>0</v>
      </c>
      <c r="BN42" s="5">
        <f t="shared" si="55"/>
        <v>0</v>
      </c>
      <c r="BO42" s="5">
        <f t="shared" si="53"/>
        <v>0</v>
      </c>
      <c r="BP42" s="5">
        <f t="shared" si="53"/>
        <v>0</v>
      </c>
      <c r="BQ42" s="5">
        <f t="shared" si="53"/>
        <v>0</v>
      </c>
      <c r="BR42" s="5">
        <f t="shared" si="53"/>
        <v>0</v>
      </c>
      <c r="BS42" s="5">
        <f t="shared" si="53"/>
        <v>0</v>
      </c>
      <c r="BT42" s="5">
        <f t="shared" si="53"/>
        <v>0</v>
      </c>
      <c r="BU42" s="5">
        <f t="shared" si="53"/>
        <v>0</v>
      </c>
      <c r="BV42" s="5">
        <f t="shared" si="53"/>
        <v>0</v>
      </c>
      <c r="BW42" s="5">
        <f t="shared" si="53"/>
        <v>0</v>
      </c>
      <c r="BX42" s="5">
        <f t="shared" si="53"/>
        <v>0</v>
      </c>
      <c r="BY42" s="5">
        <f t="shared" si="53"/>
        <v>0</v>
      </c>
      <c r="BZ42" s="5">
        <f t="shared" si="53"/>
        <v>0</v>
      </c>
      <c r="CA42" s="5">
        <f t="shared" si="53"/>
        <v>0</v>
      </c>
      <c r="CB42" s="5">
        <f t="shared" si="53"/>
        <v>0</v>
      </c>
      <c r="CC42" s="5">
        <f t="shared" si="53"/>
        <v>0</v>
      </c>
      <c r="CD42" s="5">
        <f t="shared" si="57"/>
        <v>0</v>
      </c>
      <c r="CE42" s="5">
        <f t="shared" si="17"/>
        <v>0</v>
      </c>
    </row>
    <row r="43" spans="3:83" x14ac:dyDescent="0.2">
      <c r="C43" s="1">
        <f>Growth!D48</f>
        <v>0</v>
      </c>
      <c r="D43" s="5" t="b">
        <f t="shared" si="18"/>
        <v>0</v>
      </c>
      <c r="E43" s="5">
        <v>1993</v>
      </c>
      <c r="F43" s="5">
        <f ca="1">LOOKUP($E43,frequence!$A$2:$A$35,frequence!L$2:L$35)</f>
        <v>191.34520119916542</v>
      </c>
      <c r="G43" s="5">
        <f ca="1">LOOKUP($E43,frequence!$A$2:$A$35,frequence!K$2:K$35)</f>
        <v>28.094581622231551</v>
      </c>
      <c r="H43" s="5">
        <f ca="1">LOOKUP($E43,frequence!$A$2:$A$35,frequence!M$2:M$35)</f>
        <v>780.68842089259488</v>
      </c>
      <c r="I43" s="5">
        <v>1991</v>
      </c>
      <c r="J43" s="7">
        <f>LOOKUP(I43,CPI!A$69:A$103,CPI!O$69:O$103)</f>
        <v>1.600998531571219</v>
      </c>
      <c r="K43" s="5">
        <v>1990</v>
      </c>
      <c r="L43" s="7">
        <f t="shared" ca="1" si="19"/>
        <v>1</v>
      </c>
      <c r="M43" s="7">
        <f t="shared" si="2"/>
        <v>2.946428571428571E-2</v>
      </c>
      <c r="N43" s="14">
        <f>1/112</f>
        <v>8.9285714285714281E-3</v>
      </c>
      <c r="O43" s="1">
        <f ca="1">P43*J43*(1+Growth!G$6)^(2010-K43)</f>
        <v>2.6154619381221775</v>
      </c>
      <c r="P43" s="1">
        <f>44/12*0.33</f>
        <v>1.21</v>
      </c>
      <c r="Q43" s="2">
        <f t="shared" si="46"/>
        <v>1.21</v>
      </c>
      <c r="R43" s="21">
        <f t="shared" ca="1" si="21"/>
        <v>6.8406411497658173</v>
      </c>
      <c r="X43" s="2">
        <f t="shared" si="54"/>
        <v>1.21</v>
      </c>
      <c r="AC43" s="1">
        <f t="shared" si="47"/>
        <v>3.3</v>
      </c>
      <c r="AD43" s="5">
        <v>1</v>
      </c>
      <c r="AE43" s="5">
        <v>0</v>
      </c>
      <c r="AF43" s="5">
        <v>1</v>
      </c>
      <c r="AG43" s="5">
        <v>0</v>
      </c>
      <c r="AH43" s="5">
        <v>0</v>
      </c>
      <c r="AI43" s="3">
        <f t="shared" si="5"/>
        <v>1.3</v>
      </c>
      <c r="AJ43" s="5">
        <f t="shared" si="6"/>
        <v>0</v>
      </c>
      <c r="AK43" s="5">
        <f t="shared" si="22"/>
        <v>0</v>
      </c>
      <c r="AL43" s="5">
        <f t="shared" si="23"/>
        <v>0</v>
      </c>
      <c r="AM43" s="5">
        <f t="shared" si="7"/>
        <v>0</v>
      </c>
      <c r="AN43" s="5">
        <f t="shared" si="24"/>
        <v>0</v>
      </c>
      <c r="AO43" s="5">
        <f t="shared" si="8"/>
        <v>1</v>
      </c>
      <c r="AP43" s="11" t="s">
        <v>42</v>
      </c>
      <c r="AQ43" s="1">
        <v>0</v>
      </c>
      <c r="AR43" s="5">
        <v>0</v>
      </c>
      <c r="AS43" s="5">
        <v>0</v>
      </c>
      <c r="AT43" s="5">
        <v>0</v>
      </c>
      <c r="AU43" s="5">
        <v>0</v>
      </c>
      <c r="AV43" s="5">
        <f t="shared" si="9"/>
        <v>1</v>
      </c>
      <c r="AW43" s="5">
        <f t="shared" si="10"/>
        <v>0</v>
      </c>
      <c r="AX43" s="5">
        <f t="shared" si="11"/>
        <v>0</v>
      </c>
      <c r="AY43" s="1">
        <f t="shared" si="48"/>
        <v>0</v>
      </c>
      <c r="AZ43" s="1">
        <f t="shared" si="49"/>
        <v>0</v>
      </c>
      <c r="BA43" s="1">
        <f t="shared" si="50"/>
        <v>0</v>
      </c>
      <c r="BB43" s="5">
        <v>0</v>
      </c>
      <c r="BC43" s="5">
        <v>0</v>
      </c>
      <c r="BD43" s="5">
        <v>0</v>
      </c>
      <c r="BE43" s="5">
        <f t="shared" si="51"/>
        <v>1</v>
      </c>
      <c r="BF43" s="5">
        <v>0</v>
      </c>
      <c r="BG43" s="5">
        <f t="shared" si="56"/>
        <v>0</v>
      </c>
      <c r="BH43" s="5">
        <f t="shared" si="56"/>
        <v>0</v>
      </c>
      <c r="BI43" s="5">
        <f t="shared" si="56"/>
        <v>0</v>
      </c>
      <c r="BJ43" s="5">
        <f t="shared" si="56"/>
        <v>1</v>
      </c>
      <c r="BK43" s="5">
        <f t="shared" si="56"/>
        <v>0</v>
      </c>
      <c r="BL43" s="5">
        <f t="shared" si="56"/>
        <v>0</v>
      </c>
      <c r="BM43" s="5">
        <f t="shared" si="56"/>
        <v>0</v>
      </c>
      <c r="BN43" s="5">
        <f t="shared" si="55"/>
        <v>0</v>
      </c>
      <c r="BO43" s="5">
        <f t="shared" si="53"/>
        <v>0</v>
      </c>
      <c r="BP43" s="5">
        <f t="shared" si="53"/>
        <v>0</v>
      </c>
      <c r="BQ43" s="5">
        <f t="shared" si="53"/>
        <v>0</v>
      </c>
      <c r="BR43" s="5">
        <f t="shared" si="53"/>
        <v>0</v>
      </c>
      <c r="BS43" s="5">
        <f t="shared" si="53"/>
        <v>0</v>
      </c>
      <c r="BT43" s="5">
        <f t="shared" si="53"/>
        <v>0</v>
      </c>
      <c r="BU43" s="5">
        <f t="shared" si="53"/>
        <v>0</v>
      </c>
      <c r="BV43" s="5">
        <f t="shared" si="53"/>
        <v>0</v>
      </c>
      <c r="BW43" s="5">
        <f t="shared" si="53"/>
        <v>0</v>
      </c>
      <c r="BX43" s="5">
        <f t="shared" si="53"/>
        <v>0</v>
      </c>
      <c r="BY43" s="5">
        <f t="shared" si="53"/>
        <v>0</v>
      </c>
      <c r="BZ43" s="5">
        <f t="shared" si="53"/>
        <v>0</v>
      </c>
      <c r="CA43" s="5">
        <f t="shared" si="53"/>
        <v>0</v>
      </c>
      <c r="CB43" s="5">
        <f t="shared" si="53"/>
        <v>0</v>
      </c>
      <c r="CC43" s="5">
        <f t="shared" si="53"/>
        <v>0</v>
      </c>
      <c r="CD43" s="5">
        <f t="shared" si="57"/>
        <v>0</v>
      </c>
      <c r="CE43" s="5">
        <f t="shared" si="17"/>
        <v>0</v>
      </c>
    </row>
    <row r="44" spans="3:83" x14ac:dyDescent="0.2">
      <c r="C44" s="1">
        <f>Growth!D49</f>
        <v>0</v>
      </c>
      <c r="D44" s="5" t="b">
        <f t="shared" si="18"/>
        <v>0</v>
      </c>
      <c r="E44" s="5">
        <v>1993</v>
      </c>
      <c r="F44" s="5">
        <f ca="1">LOOKUP($E44,frequence!$A$2:$A$35,frequence!L$2:L$35)</f>
        <v>191.34520119916542</v>
      </c>
      <c r="G44" s="5">
        <f ca="1">LOOKUP($E44,frequence!$A$2:$A$35,frequence!K$2:K$35)</f>
        <v>28.094581622231551</v>
      </c>
      <c r="H44" s="5">
        <f ca="1">LOOKUP($E44,frequence!$A$2:$A$35,frequence!M$2:M$35)</f>
        <v>780.68842089259488</v>
      </c>
      <c r="I44" s="5">
        <v>1991</v>
      </c>
      <c r="J44" s="7">
        <f>LOOKUP(I44,CPI!A$69:A$103,CPI!O$69:O$103)</f>
        <v>1.600998531571219</v>
      </c>
      <c r="K44" s="5">
        <v>1990</v>
      </c>
      <c r="L44" s="7">
        <f t="shared" ca="1" si="19"/>
        <v>1</v>
      </c>
      <c r="M44" s="7">
        <f t="shared" si="2"/>
        <v>5.892857142857142E-2</v>
      </c>
      <c r="N44" s="14">
        <f>2/112</f>
        <v>1.7857142857142856E-2</v>
      </c>
      <c r="O44" s="1">
        <f ca="1">P44*J44*(1+Growth!G$6)^(2010-K44)</f>
        <v>3.9628211183669361E-2</v>
      </c>
      <c r="P44" s="1">
        <f>44/12*0.005</f>
        <v>1.8333333333333333E-2</v>
      </c>
      <c r="Q44" s="2">
        <f t="shared" si="46"/>
        <v>1.8333333333333333E-2</v>
      </c>
      <c r="R44" s="21">
        <f t="shared" ca="1" si="21"/>
        <v>1.5703951216174974E-3</v>
      </c>
      <c r="X44" s="2">
        <f t="shared" si="54"/>
        <v>1.8333333333333333E-2</v>
      </c>
      <c r="AC44" s="1">
        <f t="shared" si="47"/>
        <v>3.3</v>
      </c>
      <c r="AD44" s="5">
        <v>1</v>
      </c>
      <c r="AE44" s="5">
        <v>0</v>
      </c>
      <c r="AF44" s="5">
        <v>1</v>
      </c>
      <c r="AG44" s="5">
        <v>0</v>
      </c>
      <c r="AH44" s="5">
        <v>0</v>
      </c>
      <c r="AI44" s="3">
        <f t="shared" si="5"/>
        <v>1.3</v>
      </c>
      <c r="AJ44" s="5">
        <f t="shared" si="6"/>
        <v>0</v>
      </c>
      <c r="AK44" s="5">
        <f t="shared" si="22"/>
        <v>0</v>
      </c>
      <c r="AL44" s="5">
        <f t="shared" si="23"/>
        <v>0</v>
      </c>
      <c r="AM44" s="5">
        <f t="shared" si="7"/>
        <v>0</v>
      </c>
      <c r="AN44" s="5">
        <f t="shared" si="24"/>
        <v>0</v>
      </c>
      <c r="AO44" s="5">
        <f t="shared" si="8"/>
        <v>1</v>
      </c>
      <c r="AP44" s="11" t="s">
        <v>42</v>
      </c>
      <c r="AQ44" s="1">
        <v>0</v>
      </c>
      <c r="AR44" s="5">
        <v>0</v>
      </c>
      <c r="AS44" s="5">
        <v>0</v>
      </c>
      <c r="AT44" s="5">
        <v>0</v>
      </c>
      <c r="AU44" s="5">
        <v>0</v>
      </c>
      <c r="AV44" s="5">
        <f t="shared" si="9"/>
        <v>1</v>
      </c>
      <c r="AW44" s="5">
        <f t="shared" si="10"/>
        <v>0</v>
      </c>
      <c r="AX44" s="5">
        <f t="shared" si="11"/>
        <v>0</v>
      </c>
      <c r="AY44" s="1">
        <f t="shared" si="48"/>
        <v>0</v>
      </c>
      <c r="AZ44" s="1">
        <f t="shared" si="49"/>
        <v>0</v>
      </c>
      <c r="BA44" s="1">
        <f t="shared" si="50"/>
        <v>0</v>
      </c>
      <c r="BB44" s="5">
        <v>0</v>
      </c>
      <c r="BC44" s="5">
        <v>0</v>
      </c>
      <c r="BD44" s="5">
        <v>0</v>
      </c>
      <c r="BE44" s="5">
        <f t="shared" si="51"/>
        <v>1</v>
      </c>
      <c r="BF44" s="5">
        <v>0</v>
      </c>
      <c r="BG44" s="5">
        <f t="shared" si="56"/>
        <v>0</v>
      </c>
      <c r="BH44" s="5">
        <f t="shared" si="56"/>
        <v>0</v>
      </c>
      <c r="BI44" s="5">
        <f t="shared" si="56"/>
        <v>0</v>
      </c>
      <c r="BJ44" s="5">
        <f t="shared" si="56"/>
        <v>1</v>
      </c>
      <c r="BK44" s="5">
        <f t="shared" si="56"/>
        <v>0</v>
      </c>
      <c r="BL44" s="5">
        <f t="shared" si="56"/>
        <v>0</v>
      </c>
      <c r="BM44" s="5">
        <f t="shared" si="56"/>
        <v>0</v>
      </c>
      <c r="BN44" s="5">
        <f t="shared" si="55"/>
        <v>0</v>
      </c>
      <c r="BO44" s="5">
        <f t="shared" si="53"/>
        <v>0</v>
      </c>
      <c r="BP44" s="5">
        <f t="shared" si="53"/>
        <v>0</v>
      </c>
      <c r="BQ44" s="5">
        <f t="shared" si="53"/>
        <v>0</v>
      </c>
      <c r="BR44" s="5">
        <f t="shared" si="53"/>
        <v>0</v>
      </c>
      <c r="BS44" s="5">
        <f t="shared" si="53"/>
        <v>0</v>
      </c>
      <c r="BT44" s="5">
        <f t="shared" si="53"/>
        <v>0</v>
      </c>
      <c r="BU44" s="5">
        <f t="shared" si="53"/>
        <v>0</v>
      </c>
      <c r="BV44" s="5">
        <f t="shared" si="53"/>
        <v>0</v>
      </c>
      <c r="BW44" s="5">
        <f t="shared" si="53"/>
        <v>0</v>
      </c>
      <c r="BX44" s="5">
        <f t="shared" si="53"/>
        <v>0</v>
      </c>
      <c r="BY44" s="5">
        <f t="shared" si="53"/>
        <v>0</v>
      </c>
      <c r="BZ44" s="5">
        <f t="shared" si="53"/>
        <v>0</v>
      </c>
      <c r="CA44" s="5">
        <f t="shared" si="53"/>
        <v>0</v>
      </c>
      <c r="CB44" s="5">
        <f t="shared" si="53"/>
        <v>0</v>
      </c>
      <c r="CC44" s="5">
        <f t="shared" si="53"/>
        <v>0</v>
      </c>
      <c r="CD44" s="5">
        <f t="shared" si="57"/>
        <v>0</v>
      </c>
      <c r="CE44" s="5">
        <f t="shared" si="17"/>
        <v>0</v>
      </c>
    </row>
    <row r="45" spans="3:83" x14ac:dyDescent="0.2">
      <c r="C45" s="1">
        <f>Growth!D50</f>
        <v>0</v>
      </c>
      <c r="D45" s="5" t="b">
        <f t="shared" si="18"/>
        <v>0</v>
      </c>
      <c r="E45" s="5">
        <v>1993</v>
      </c>
      <c r="F45" s="5">
        <f ca="1">LOOKUP($E45,frequence!$A$2:$A$35,frequence!L$2:L$35)</f>
        <v>191.34520119916542</v>
      </c>
      <c r="G45" s="5">
        <f ca="1">LOOKUP($E45,frequence!$A$2:$A$35,frequence!K$2:K$35)</f>
        <v>28.094581622231551</v>
      </c>
      <c r="H45" s="5">
        <f ca="1">LOOKUP($E45,frequence!$A$2:$A$35,frequence!M$2:M$35)</f>
        <v>780.68842089259488</v>
      </c>
      <c r="I45" s="5">
        <v>1991</v>
      </c>
      <c r="J45" s="7">
        <f>LOOKUP(I45,CPI!A$69:A$103,CPI!O$69:O$103)</f>
        <v>1.600998531571219</v>
      </c>
      <c r="K45" s="5">
        <v>1990</v>
      </c>
      <c r="L45" s="7">
        <f t="shared" ca="1" si="19"/>
        <v>1</v>
      </c>
      <c r="M45" s="7">
        <f t="shared" si="2"/>
        <v>5.892857142857142E-2</v>
      </c>
      <c r="N45" s="14">
        <f>2/112</f>
        <v>1.7857142857142856E-2</v>
      </c>
      <c r="O45" s="1">
        <f ca="1">P45*J45*(1+Growth!G$6)^(2010-K45)</f>
        <v>0.23776926710201612</v>
      </c>
      <c r="P45" s="1">
        <f>44/12*0.03</f>
        <v>0.10999999999999999</v>
      </c>
      <c r="Q45" s="2">
        <f t="shared" si="46"/>
        <v>0.10999999999999999</v>
      </c>
      <c r="R45" s="21">
        <f t="shared" ca="1" si="21"/>
        <v>5.6534224378229886E-2</v>
      </c>
      <c r="X45" s="2">
        <f t="shared" si="54"/>
        <v>0.10999999999999999</v>
      </c>
      <c r="AC45" s="1">
        <f t="shared" si="47"/>
        <v>3.3</v>
      </c>
      <c r="AD45" s="5">
        <v>1</v>
      </c>
      <c r="AE45" s="5">
        <v>0</v>
      </c>
      <c r="AF45" s="5">
        <v>1</v>
      </c>
      <c r="AG45" s="5">
        <v>0</v>
      </c>
      <c r="AH45" s="5">
        <v>0</v>
      </c>
      <c r="AI45" s="3">
        <f t="shared" si="5"/>
        <v>1.3</v>
      </c>
      <c r="AJ45" s="5">
        <f t="shared" si="6"/>
        <v>0</v>
      </c>
      <c r="AK45" s="5">
        <f t="shared" si="22"/>
        <v>0</v>
      </c>
      <c r="AL45" s="5">
        <f t="shared" si="23"/>
        <v>0</v>
      </c>
      <c r="AM45" s="5">
        <f t="shared" si="7"/>
        <v>0</v>
      </c>
      <c r="AN45" s="5">
        <f t="shared" si="24"/>
        <v>0</v>
      </c>
      <c r="AO45" s="5">
        <f t="shared" si="8"/>
        <v>1</v>
      </c>
      <c r="AP45" s="11" t="s">
        <v>42</v>
      </c>
      <c r="AQ45" s="1">
        <v>0</v>
      </c>
      <c r="AR45" s="5">
        <v>0</v>
      </c>
      <c r="AS45" s="5">
        <v>0</v>
      </c>
      <c r="AT45" s="5">
        <v>0</v>
      </c>
      <c r="AU45" s="5">
        <v>0</v>
      </c>
      <c r="AV45" s="5">
        <f t="shared" si="9"/>
        <v>1</v>
      </c>
      <c r="AW45" s="5">
        <f t="shared" si="10"/>
        <v>0</v>
      </c>
      <c r="AX45" s="5">
        <f t="shared" si="11"/>
        <v>0</v>
      </c>
      <c r="AY45" s="1">
        <f t="shared" si="48"/>
        <v>0</v>
      </c>
      <c r="AZ45" s="1">
        <f t="shared" si="49"/>
        <v>0</v>
      </c>
      <c r="BA45" s="1">
        <f t="shared" si="50"/>
        <v>0</v>
      </c>
      <c r="BB45" s="5">
        <v>0</v>
      </c>
      <c r="BC45" s="5">
        <v>0</v>
      </c>
      <c r="BD45" s="5">
        <v>0</v>
      </c>
      <c r="BE45" s="5">
        <f t="shared" si="51"/>
        <v>1</v>
      </c>
      <c r="BF45" s="5">
        <v>0</v>
      </c>
      <c r="BG45" s="5">
        <f t="shared" si="56"/>
        <v>0</v>
      </c>
      <c r="BH45" s="5">
        <f t="shared" si="56"/>
        <v>0</v>
      </c>
      <c r="BI45" s="5">
        <f t="shared" si="56"/>
        <v>0</v>
      </c>
      <c r="BJ45" s="5">
        <f t="shared" si="56"/>
        <v>1</v>
      </c>
      <c r="BK45" s="5">
        <f t="shared" si="56"/>
        <v>0</v>
      </c>
      <c r="BL45" s="5">
        <f t="shared" si="56"/>
        <v>0</v>
      </c>
      <c r="BM45" s="5">
        <f t="shared" si="56"/>
        <v>0</v>
      </c>
      <c r="BN45" s="5">
        <f t="shared" si="55"/>
        <v>0</v>
      </c>
      <c r="BO45" s="5">
        <f t="shared" si="53"/>
        <v>0</v>
      </c>
      <c r="BP45" s="5">
        <f t="shared" si="53"/>
        <v>0</v>
      </c>
      <c r="BQ45" s="5">
        <f t="shared" si="53"/>
        <v>0</v>
      </c>
      <c r="BR45" s="5">
        <f t="shared" si="53"/>
        <v>0</v>
      </c>
      <c r="BS45" s="5">
        <f t="shared" si="53"/>
        <v>0</v>
      </c>
      <c r="BT45" s="5">
        <f t="shared" si="53"/>
        <v>0</v>
      </c>
      <c r="BU45" s="5">
        <f t="shared" si="53"/>
        <v>0</v>
      </c>
      <c r="BV45" s="5">
        <f t="shared" si="53"/>
        <v>0</v>
      </c>
      <c r="BW45" s="5">
        <f t="shared" si="53"/>
        <v>0</v>
      </c>
      <c r="BX45" s="5">
        <f t="shared" si="53"/>
        <v>0</v>
      </c>
      <c r="BY45" s="5">
        <f t="shared" si="53"/>
        <v>0</v>
      </c>
      <c r="BZ45" s="5">
        <f t="shared" si="53"/>
        <v>0</v>
      </c>
      <c r="CA45" s="5">
        <f t="shared" si="53"/>
        <v>0</v>
      </c>
      <c r="CB45" s="5">
        <f t="shared" si="53"/>
        <v>0</v>
      </c>
      <c r="CC45" s="5">
        <f t="shared" si="53"/>
        <v>0</v>
      </c>
      <c r="CD45" s="5">
        <f t="shared" si="57"/>
        <v>0</v>
      </c>
      <c r="CE45" s="5">
        <f t="shared" si="17"/>
        <v>0</v>
      </c>
    </row>
    <row r="46" spans="3:83" x14ac:dyDescent="0.2">
      <c r="C46" s="1">
        <f>Growth!D51</f>
        <v>0</v>
      </c>
      <c r="D46" s="5" t="b">
        <f t="shared" si="18"/>
        <v>0</v>
      </c>
      <c r="E46" s="5">
        <v>1993</v>
      </c>
      <c r="F46" s="5">
        <f ca="1">LOOKUP($E46,frequence!$A$2:$A$35,frequence!L$2:L$35)</f>
        <v>191.34520119916542</v>
      </c>
      <c r="G46" s="5">
        <f ca="1">LOOKUP($E46,frequence!$A$2:$A$35,frequence!K$2:K$35)</f>
        <v>28.094581622231551</v>
      </c>
      <c r="H46" s="5">
        <f ca="1">LOOKUP($E46,frequence!$A$2:$A$35,frequence!M$2:M$35)</f>
        <v>780.68842089259488</v>
      </c>
      <c r="I46" s="5">
        <v>1991</v>
      </c>
      <c r="J46" s="7">
        <f>LOOKUP(I46,CPI!A$69:A$103,CPI!O$69:O$103)</f>
        <v>1.600998531571219</v>
      </c>
      <c r="K46" s="5">
        <v>1990</v>
      </c>
      <c r="L46" s="7">
        <f t="shared" ca="1" si="19"/>
        <v>1</v>
      </c>
      <c r="M46" s="7">
        <f t="shared" si="2"/>
        <v>0.11785714285714284</v>
      </c>
      <c r="N46" s="14">
        <f>4/112</f>
        <v>3.5714285714285712E-2</v>
      </c>
      <c r="O46" s="1">
        <f ca="1">P46*J46*(1+Growth!G$6)^(2010-K46)</f>
        <v>5.5479495657137098E-2</v>
      </c>
      <c r="P46" s="1">
        <f>44/12*0.007</f>
        <v>2.5666666666666667E-2</v>
      </c>
      <c r="Q46" s="2">
        <f t="shared" si="46"/>
        <v>2.5666666666666667E-2</v>
      </c>
      <c r="R46" s="21">
        <f t="shared" ca="1" si="21"/>
        <v>3.0779744383702943E-3</v>
      </c>
      <c r="X46" s="2">
        <f t="shared" si="54"/>
        <v>2.5666666666666667E-2</v>
      </c>
      <c r="AC46" s="1">
        <f t="shared" si="47"/>
        <v>3.3</v>
      </c>
      <c r="AD46" s="5">
        <v>1</v>
      </c>
      <c r="AE46" s="5">
        <v>0</v>
      </c>
      <c r="AF46" s="5">
        <v>1</v>
      </c>
      <c r="AG46" s="5">
        <v>0</v>
      </c>
      <c r="AH46" s="5">
        <v>0</v>
      </c>
      <c r="AI46" s="3">
        <f t="shared" si="5"/>
        <v>1.3</v>
      </c>
      <c r="AJ46" s="5">
        <f t="shared" si="6"/>
        <v>0</v>
      </c>
      <c r="AK46" s="5">
        <f t="shared" si="22"/>
        <v>0</v>
      </c>
      <c r="AL46" s="5">
        <f t="shared" si="23"/>
        <v>0</v>
      </c>
      <c r="AM46" s="5">
        <f t="shared" si="7"/>
        <v>0</v>
      </c>
      <c r="AN46" s="5">
        <f t="shared" si="24"/>
        <v>0</v>
      </c>
      <c r="AO46" s="5">
        <f t="shared" si="8"/>
        <v>1</v>
      </c>
      <c r="AP46" s="11" t="s">
        <v>42</v>
      </c>
      <c r="AQ46" s="1">
        <v>0</v>
      </c>
      <c r="AR46" s="5">
        <v>0</v>
      </c>
      <c r="AS46" s="5">
        <v>0</v>
      </c>
      <c r="AT46" s="5">
        <v>0</v>
      </c>
      <c r="AU46" s="5">
        <v>0</v>
      </c>
      <c r="AV46" s="5">
        <f t="shared" si="9"/>
        <v>1</v>
      </c>
      <c r="AW46" s="5">
        <f t="shared" si="10"/>
        <v>0</v>
      </c>
      <c r="AX46" s="5">
        <f t="shared" si="11"/>
        <v>0</v>
      </c>
      <c r="AY46" s="1">
        <f t="shared" si="48"/>
        <v>0</v>
      </c>
      <c r="AZ46" s="1">
        <f t="shared" si="49"/>
        <v>0</v>
      </c>
      <c r="BA46" s="1">
        <f t="shared" si="50"/>
        <v>0</v>
      </c>
      <c r="BB46" s="5">
        <v>0</v>
      </c>
      <c r="BC46" s="5">
        <v>0</v>
      </c>
      <c r="BD46" s="5">
        <v>0</v>
      </c>
      <c r="BE46" s="5">
        <f t="shared" si="51"/>
        <v>1</v>
      </c>
      <c r="BF46" s="5">
        <v>0</v>
      </c>
      <c r="BG46" s="5">
        <f t="shared" si="56"/>
        <v>0</v>
      </c>
      <c r="BH46" s="5">
        <f t="shared" si="56"/>
        <v>0</v>
      </c>
      <c r="BI46" s="5">
        <f t="shared" si="56"/>
        <v>0</v>
      </c>
      <c r="BJ46" s="5">
        <f t="shared" si="56"/>
        <v>1</v>
      </c>
      <c r="BK46" s="5">
        <f t="shared" si="56"/>
        <v>0</v>
      </c>
      <c r="BL46" s="5">
        <f t="shared" si="56"/>
        <v>0</v>
      </c>
      <c r="BM46" s="5">
        <f t="shared" si="56"/>
        <v>0</v>
      </c>
      <c r="BN46" s="5">
        <f t="shared" si="55"/>
        <v>0</v>
      </c>
      <c r="BO46" s="5">
        <f t="shared" si="53"/>
        <v>0</v>
      </c>
      <c r="BP46" s="5">
        <f t="shared" si="53"/>
        <v>0</v>
      </c>
      <c r="BQ46" s="5">
        <f t="shared" si="53"/>
        <v>0</v>
      </c>
      <c r="BR46" s="5">
        <f t="shared" si="53"/>
        <v>0</v>
      </c>
      <c r="BS46" s="5">
        <f t="shared" si="53"/>
        <v>0</v>
      </c>
      <c r="BT46" s="5">
        <f t="shared" si="53"/>
        <v>0</v>
      </c>
      <c r="BU46" s="5">
        <f t="shared" si="53"/>
        <v>0</v>
      </c>
      <c r="BV46" s="5">
        <f t="shared" si="53"/>
        <v>0</v>
      </c>
      <c r="BW46" s="5">
        <f t="shared" si="53"/>
        <v>0</v>
      </c>
      <c r="BX46" s="5">
        <f t="shared" si="53"/>
        <v>0</v>
      </c>
      <c r="BY46" s="5">
        <f t="shared" si="53"/>
        <v>0</v>
      </c>
      <c r="BZ46" s="5">
        <f t="shared" si="53"/>
        <v>0</v>
      </c>
      <c r="CA46" s="5">
        <f t="shared" si="53"/>
        <v>0</v>
      </c>
      <c r="CB46" s="5">
        <f t="shared" si="53"/>
        <v>0</v>
      </c>
      <c r="CC46" s="5">
        <f t="shared" si="53"/>
        <v>0</v>
      </c>
      <c r="CD46" s="5">
        <f t="shared" si="57"/>
        <v>0</v>
      </c>
      <c r="CE46" s="5">
        <f t="shared" si="17"/>
        <v>0</v>
      </c>
    </row>
    <row r="47" spans="3:83" x14ac:dyDescent="0.2">
      <c r="C47" s="1">
        <f>Growth!D52</f>
        <v>0</v>
      </c>
      <c r="D47" s="5" t="b">
        <f t="shared" si="18"/>
        <v>0</v>
      </c>
      <c r="E47" s="5">
        <v>1993</v>
      </c>
      <c r="F47" s="5">
        <f ca="1">LOOKUP($E47,frequence!$A$2:$A$35,frequence!L$2:L$35)</f>
        <v>191.34520119916542</v>
      </c>
      <c r="G47" s="5">
        <f ca="1">LOOKUP($E47,frequence!$A$2:$A$35,frequence!K$2:K$35)</f>
        <v>28.094581622231551</v>
      </c>
      <c r="H47" s="5">
        <f ca="1">LOOKUP($E47,frequence!$A$2:$A$35,frequence!M$2:M$35)</f>
        <v>780.68842089259488</v>
      </c>
      <c r="I47" s="5">
        <v>1991</v>
      </c>
      <c r="J47" s="7">
        <f>LOOKUP(I47,CPI!A$69:A$103,CPI!O$69:O$103)</f>
        <v>1.600998531571219</v>
      </c>
      <c r="K47" s="5">
        <v>1990</v>
      </c>
      <c r="L47" s="7">
        <f t="shared" ca="1" si="19"/>
        <v>1</v>
      </c>
      <c r="M47" s="7">
        <f t="shared" si="2"/>
        <v>0.11785714285714284</v>
      </c>
      <c r="N47" s="14">
        <f>4/112</f>
        <v>3.5714285714285712E-2</v>
      </c>
      <c r="O47" s="1">
        <f ca="1">P47*J47*(1+Growth!G$6)^(2010-K47)</f>
        <v>0.33287697394282262</v>
      </c>
      <c r="P47" s="1">
        <f>44/12*0.042</f>
        <v>0.154</v>
      </c>
      <c r="Q47" s="2">
        <f t="shared" si="46"/>
        <v>0.154</v>
      </c>
      <c r="R47" s="21">
        <f t="shared" ca="1" si="21"/>
        <v>0.11080707978133061</v>
      </c>
      <c r="X47" s="2">
        <f t="shared" si="54"/>
        <v>0.154</v>
      </c>
      <c r="AC47" s="1">
        <f t="shared" si="47"/>
        <v>3.3</v>
      </c>
      <c r="AD47" s="5">
        <v>1</v>
      </c>
      <c r="AE47" s="5">
        <v>0</v>
      </c>
      <c r="AF47" s="5">
        <v>1</v>
      </c>
      <c r="AG47" s="5">
        <v>0</v>
      </c>
      <c r="AH47" s="5">
        <v>0</v>
      </c>
      <c r="AI47" s="3">
        <f t="shared" si="5"/>
        <v>1.3</v>
      </c>
      <c r="AJ47" s="5">
        <f t="shared" si="6"/>
        <v>0</v>
      </c>
      <c r="AK47" s="5">
        <f t="shared" si="22"/>
        <v>0</v>
      </c>
      <c r="AL47" s="5">
        <f t="shared" si="23"/>
        <v>0</v>
      </c>
      <c r="AM47" s="5">
        <f t="shared" si="7"/>
        <v>0</v>
      </c>
      <c r="AN47" s="5">
        <f t="shared" si="24"/>
        <v>0</v>
      </c>
      <c r="AO47" s="5">
        <f t="shared" si="8"/>
        <v>1</v>
      </c>
      <c r="AP47" s="11" t="s">
        <v>42</v>
      </c>
      <c r="AQ47" s="1">
        <v>0</v>
      </c>
      <c r="AR47" s="5">
        <v>0</v>
      </c>
      <c r="AS47" s="5">
        <v>0</v>
      </c>
      <c r="AT47" s="5">
        <v>0</v>
      </c>
      <c r="AU47" s="5">
        <v>0</v>
      </c>
      <c r="AV47" s="5">
        <f t="shared" si="9"/>
        <v>1</v>
      </c>
      <c r="AW47" s="5">
        <f t="shared" si="10"/>
        <v>0</v>
      </c>
      <c r="AX47" s="5">
        <f t="shared" si="11"/>
        <v>0</v>
      </c>
      <c r="AY47" s="1">
        <f t="shared" si="48"/>
        <v>0</v>
      </c>
      <c r="AZ47" s="1">
        <f t="shared" si="49"/>
        <v>0</v>
      </c>
      <c r="BA47" s="1">
        <f t="shared" si="50"/>
        <v>0</v>
      </c>
      <c r="BB47" s="5">
        <v>0</v>
      </c>
      <c r="BC47" s="5">
        <v>0</v>
      </c>
      <c r="BD47" s="5">
        <v>0</v>
      </c>
      <c r="BE47" s="5">
        <f t="shared" si="51"/>
        <v>1</v>
      </c>
      <c r="BF47" s="5">
        <v>0</v>
      </c>
      <c r="BG47" s="5">
        <f t="shared" si="56"/>
        <v>0</v>
      </c>
      <c r="BH47" s="5">
        <f t="shared" si="56"/>
        <v>0</v>
      </c>
      <c r="BI47" s="5">
        <f t="shared" si="56"/>
        <v>0</v>
      </c>
      <c r="BJ47" s="5">
        <f t="shared" si="56"/>
        <v>1</v>
      </c>
      <c r="BK47" s="5">
        <f t="shared" si="56"/>
        <v>0</v>
      </c>
      <c r="BL47" s="5">
        <f t="shared" si="56"/>
        <v>0</v>
      </c>
      <c r="BM47" s="5">
        <f t="shared" si="56"/>
        <v>0</v>
      </c>
      <c r="BN47" s="5">
        <f t="shared" si="55"/>
        <v>0</v>
      </c>
      <c r="BO47" s="5">
        <f t="shared" si="53"/>
        <v>0</v>
      </c>
      <c r="BP47" s="5">
        <f t="shared" si="53"/>
        <v>0</v>
      </c>
      <c r="BQ47" s="5">
        <f t="shared" si="53"/>
        <v>0</v>
      </c>
      <c r="BR47" s="5">
        <f t="shared" si="53"/>
        <v>0</v>
      </c>
      <c r="BS47" s="5">
        <f t="shared" si="53"/>
        <v>0</v>
      </c>
      <c r="BT47" s="5">
        <f t="shared" si="53"/>
        <v>0</v>
      </c>
      <c r="BU47" s="5">
        <f t="shared" si="53"/>
        <v>0</v>
      </c>
      <c r="BV47" s="5">
        <f t="shared" si="53"/>
        <v>0</v>
      </c>
      <c r="BW47" s="5">
        <f t="shared" si="53"/>
        <v>0</v>
      </c>
      <c r="BX47" s="5">
        <f t="shared" si="53"/>
        <v>0</v>
      </c>
      <c r="BY47" s="5">
        <f t="shared" si="53"/>
        <v>0</v>
      </c>
      <c r="BZ47" s="5">
        <f t="shared" si="53"/>
        <v>0</v>
      </c>
      <c r="CA47" s="5">
        <f t="shared" si="53"/>
        <v>0</v>
      </c>
      <c r="CB47" s="5">
        <f t="shared" si="53"/>
        <v>0</v>
      </c>
      <c r="CC47" s="5">
        <f t="shared" si="53"/>
        <v>0</v>
      </c>
      <c r="CD47" s="5">
        <f t="shared" si="57"/>
        <v>0</v>
      </c>
      <c r="CE47" s="5">
        <f t="shared" si="17"/>
        <v>0</v>
      </c>
    </row>
    <row r="48" spans="3:83" x14ac:dyDescent="0.2">
      <c r="C48" s="1">
        <f>Growth!D53</f>
        <v>0</v>
      </c>
      <c r="D48" s="5" t="b">
        <f t="shared" si="18"/>
        <v>0</v>
      </c>
      <c r="E48" s="5">
        <v>1993</v>
      </c>
      <c r="F48" s="5">
        <f ca="1">LOOKUP($E48,frequence!$A$2:$A$35,frequence!L$2:L$35)</f>
        <v>191.34520119916542</v>
      </c>
      <c r="G48" s="5">
        <f ca="1">LOOKUP($E48,frequence!$A$2:$A$35,frequence!K$2:K$35)</f>
        <v>28.094581622231551</v>
      </c>
      <c r="H48" s="5">
        <f ca="1">LOOKUP($E48,frequence!$A$2:$A$35,frequence!M$2:M$35)</f>
        <v>780.68842089259488</v>
      </c>
      <c r="I48" s="5">
        <v>1991</v>
      </c>
      <c r="J48" s="7">
        <f>LOOKUP(I48,CPI!A$69:A$103,CPI!O$69:O$103)</f>
        <v>1.600998531571219</v>
      </c>
      <c r="K48" s="5">
        <v>1990</v>
      </c>
      <c r="L48" s="7">
        <f t="shared" ca="1" si="19"/>
        <v>1</v>
      </c>
      <c r="M48" s="7">
        <f t="shared" si="2"/>
        <v>0.11785714285714284</v>
      </c>
      <c r="N48" s="14">
        <f>4/112</f>
        <v>3.5714285714285712E-2</v>
      </c>
      <c r="O48" s="1">
        <f ca="1">P48*J48*(1+Growth!G$6)^(2010-K48)</f>
        <v>0.1109589913142742</v>
      </c>
      <c r="P48" s="1">
        <f>44/12*0.014</f>
        <v>5.1333333333333335E-2</v>
      </c>
      <c r="Q48" s="2">
        <f t="shared" si="46"/>
        <v>5.1333333333333335E-2</v>
      </c>
      <c r="R48" s="21">
        <f t="shared" ca="1" si="21"/>
        <v>1.2311897753481177E-2</v>
      </c>
      <c r="X48" s="2">
        <f t="shared" si="54"/>
        <v>5.1333333333333335E-2</v>
      </c>
      <c r="AC48" s="1">
        <f t="shared" si="47"/>
        <v>3.3</v>
      </c>
      <c r="AD48" s="5">
        <v>1</v>
      </c>
      <c r="AE48" s="5">
        <v>0</v>
      </c>
      <c r="AF48" s="5">
        <v>1</v>
      </c>
      <c r="AG48" s="5">
        <v>0</v>
      </c>
      <c r="AH48" s="5">
        <v>0</v>
      </c>
      <c r="AI48" s="3">
        <f t="shared" si="5"/>
        <v>1.3</v>
      </c>
      <c r="AJ48" s="5">
        <f t="shared" si="6"/>
        <v>0</v>
      </c>
      <c r="AK48" s="5">
        <f t="shared" si="22"/>
        <v>0</v>
      </c>
      <c r="AL48" s="5">
        <f t="shared" si="23"/>
        <v>0</v>
      </c>
      <c r="AM48" s="5">
        <f t="shared" si="7"/>
        <v>0</v>
      </c>
      <c r="AN48" s="5">
        <f t="shared" si="24"/>
        <v>0</v>
      </c>
      <c r="AO48" s="5">
        <f t="shared" si="8"/>
        <v>1</v>
      </c>
      <c r="AP48" s="11" t="s">
        <v>42</v>
      </c>
      <c r="AQ48" s="1">
        <v>0</v>
      </c>
      <c r="AR48" s="5">
        <v>0</v>
      </c>
      <c r="AS48" s="5">
        <v>0</v>
      </c>
      <c r="AT48" s="5">
        <v>0</v>
      </c>
      <c r="AU48" s="5">
        <v>0</v>
      </c>
      <c r="AV48" s="5">
        <f t="shared" si="9"/>
        <v>1</v>
      </c>
      <c r="AW48" s="5">
        <f t="shared" si="10"/>
        <v>0</v>
      </c>
      <c r="AX48" s="5">
        <f t="shared" si="11"/>
        <v>0</v>
      </c>
      <c r="AY48" s="1">
        <f t="shared" si="48"/>
        <v>0</v>
      </c>
      <c r="AZ48" s="1">
        <f t="shared" si="49"/>
        <v>0</v>
      </c>
      <c r="BA48" s="1">
        <f t="shared" si="50"/>
        <v>0</v>
      </c>
      <c r="BB48" s="5">
        <v>0</v>
      </c>
      <c r="BC48" s="5">
        <v>0</v>
      </c>
      <c r="BD48" s="5">
        <v>0</v>
      </c>
      <c r="BE48" s="5">
        <f t="shared" si="51"/>
        <v>1</v>
      </c>
      <c r="BF48" s="5">
        <v>0</v>
      </c>
      <c r="BG48" s="5">
        <f t="shared" si="56"/>
        <v>0</v>
      </c>
      <c r="BH48" s="5">
        <f t="shared" si="56"/>
        <v>0</v>
      </c>
      <c r="BI48" s="5">
        <f t="shared" si="56"/>
        <v>0</v>
      </c>
      <c r="BJ48" s="5">
        <f t="shared" si="56"/>
        <v>1</v>
      </c>
      <c r="BK48" s="5">
        <f t="shared" si="56"/>
        <v>0</v>
      </c>
      <c r="BL48" s="5">
        <f t="shared" si="56"/>
        <v>0</v>
      </c>
      <c r="BM48" s="5">
        <f t="shared" si="56"/>
        <v>0</v>
      </c>
      <c r="BN48" s="5">
        <f t="shared" si="55"/>
        <v>0</v>
      </c>
      <c r="BO48" s="5">
        <f t="shared" si="53"/>
        <v>0</v>
      </c>
      <c r="BP48" s="5">
        <f t="shared" si="53"/>
        <v>0</v>
      </c>
      <c r="BQ48" s="5">
        <f t="shared" si="53"/>
        <v>0</v>
      </c>
      <c r="BR48" s="5">
        <f t="shared" si="53"/>
        <v>0</v>
      </c>
      <c r="BS48" s="5">
        <f t="shared" si="53"/>
        <v>0</v>
      </c>
      <c r="BT48" s="5">
        <f t="shared" si="53"/>
        <v>0</v>
      </c>
      <c r="BU48" s="5">
        <f t="shared" si="53"/>
        <v>0</v>
      </c>
      <c r="BV48" s="5">
        <f t="shared" si="53"/>
        <v>0</v>
      </c>
      <c r="BW48" s="5">
        <f t="shared" si="53"/>
        <v>0</v>
      </c>
      <c r="BX48" s="5">
        <f t="shared" si="53"/>
        <v>0</v>
      </c>
      <c r="BY48" s="5">
        <f t="shared" si="53"/>
        <v>0</v>
      </c>
      <c r="BZ48" s="5">
        <f t="shared" si="53"/>
        <v>0</v>
      </c>
      <c r="CA48" s="5">
        <f t="shared" si="53"/>
        <v>0</v>
      </c>
      <c r="CB48" s="5">
        <f t="shared" si="53"/>
        <v>0</v>
      </c>
      <c r="CC48" s="5">
        <f t="shared" si="53"/>
        <v>0</v>
      </c>
      <c r="CD48" s="5">
        <f t="shared" si="57"/>
        <v>0</v>
      </c>
      <c r="CE48" s="5">
        <f t="shared" si="17"/>
        <v>0</v>
      </c>
    </row>
    <row r="49" spans="3:83" x14ac:dyDescent="0.2">
      <c r="C49" s="1">
        <f>Growth!D54</f>
        <v>0</v>
      </c>
      <c r="D49" s="5" t="b">
        <f t="shared" si="18"/>
        <v>0</v>
      </c>
      <c r="E49" s="5">
        <v>1993</v>
      </c>
      <c r="F49" s="5">
        <f ca="1">LOOKUP($E49,frequence!$A$2:$A$35,frequence!L$2:L$35)</f>
        <v>191.34520119916542</v>
      </c>
      <c r="G49" s="5">
        <f ca="1">LOOKUP($E49,frequence!$A$2:$A$35,frequence!K$2:K$35)</f>
        <v>28.094581622231551</v>
      </c>
      <c r="H49" s="5">
        <f ca="1">LOOKUP($E49,frequence!$A$2:$A$35,frequence!M$2:M$35)</f>
        <v>780.68842089259488</v>
      </c>
      <c r="I49" s="5">
        <v>1991</v>
      </c>
      <c r="J49" s="7">
        <f>LOOKUP(I49,CPI!A$69:A$103,CPI!O$69:O$103)</f>
        <v>1.600998531571219</v>
      </c>
      <c r="K49" s="5">
        <v>1990</v>
      </c>
      <c r="L49" s="7">
        <f t="shared" ca="1" si="19"/>
        <v>1</v>
      </c>
      <c r="M49" s="7">
        <f t="shared" si="2"/>
        <v>0.11785714285714284</v>
      </c>
      <c r="N49" s="14">
        <f>4/112</f>
        <v>3.5714285714285712E-2</v>
      </c>
      <c r="O49" s="1">
        <f ca="1">P49*J49*(1+Growth!G$6)^(2010-K49)</f>
        <v>0.66575394788564524</v>
      </c>
      <c r="P49" s="1">
        <f>44/12*0.084</f>
        <v>0.308</v>
      </c>
      <c r="Q49" s="2">
        <f t="shared" si="46"/>
        <v>0.308</v>
      </c>
      <c r="R49" s="21">
        <f t="shared" ca="1" si="21"/>
        <v>0.44322831912532246</v>
      </c>
      <c r="X49" s="2">
        <f t="shared" si="54"/>
        <v>0.308</v>
      </c>
      <c r="AC49" s="1">
        <f t="shared" si="47"/>
        <v>3.3</v>
      </c>
      <c r="AD49" s="5">
        <v>1</v>
      </c>
      <c r="AE49" s="5">
        <v>0</v>
      </c>
      <c r="AF49" s="5">
        <v>1</v>
      </c>
      <c r="AG49" s="5">
        <v>0</v>
      </c>
      <c r="AH49" s="5">
        <v>0</v>
      </c>
      <c r="AI49" s="3">
        <f t="shared" si="5"/>
        <v>1.3</v>
      </c>
      <c r="AJ49" s="5">
        <f t="shared" si="6"/>
        <v>0</v>
      </c>
      <c r="AK49" s="5">
        <f t="shared" si="22"/>
        <v>0</v>
      </c>
      <c r="AL49" s="5">
        <f t="shared" si="23"/>
        <v>0</v>
      </c>
      <c r="AM49" s="5">
        <f t="shared" si="7"/>
        <v>0</v>
      </c>
      <c r="AN49" s="5">
        <f t="shared" si="24"/>
        <v>0</v>
      </c>
      <c r="AO49" s="5">
        <f t="shared" si="8"/>
        <v>1</v>
      </c>
      <c r="AP49" s="11" t="s">
        <v>42</v>
      </c>
      <c r="AQ49" s="1">
        <v>0</v>
      </c>
      <c r="AR49" s="5">
        <v>0</v>
      </c>
      <c r="AS49" s="5">
        <v>0</v>
      </c>
      <c r="AT49" s="5">
        <v>0</v>
      </c>
      <c r="AU49" s="5">
        <v>0</v>
      </c>
      <c r="AV49" s="5">
        <f t="shared" si="9"/>
        <v>1</v>
      </c>
      <c r="AW49" s="5">
        <f t="shared" si="10"/>
        <v>0</v>
      </c>
      <c r="AX49" s="5">
        <f t="shared" si="11"/>
        <v>0</v>
      </c>
      <c r="AY49" s="1">
        <f t="shared" si="48"/>
        <v>0</v>
      </c>
      <c r="AZ49" s="1">
        <f t="shared" si="49"/>
        <v>0</v>
      </c>
      <c r="BA49" s="1">
        <f t="shared" si="50"/>
        <v>0</v>
      </c>
      <c r="BB49" s="5">
        <v>0</v>
      </c>
      <c r="BC49" s="5">
        <v>0</v>
      </c>
      <c r="BD49" s="5">
        <v>0</v>
      </c>
      <c r="BE49" s="5">
        <f t="shared" si="51"/>
        <v>1</v>
      </c>
      <c r="BF49" s="5">
        <v>0</v>
      </c>
      <c r="BG49" s="5">
        <f t="shared" si="56"/>
        <v>0</v>
      </c>
      <c r="BH49" s="5">
        <f t="shared" si="56"/>
        <v>0</v>
      </c>
      <c r="BI49" s="5">
        <f t="shared" si="56"/>
        <v>0</v>
      </c>
      <c r="BJ49" s="5">
        <f t="shared" si="56"/>
        <v>1</v>
      </c>
      <c r="BK49" s="5">
        <f t="shared" si="56"/>
        <v>0</v>
      </c>
      <c r="BL49" s="5">
        <f t="shared" si="56"/>
        <v>0</v>
      </c>
      <c r="BM49" s="5">
        <f t="shared" si="56"/>
        <v>0</v>
      </c>
      <c r="BN49" s="5">
        <f t="shared" si="55"/>
        <v>0</v>
      </c>
      <c r="BO49" s="5">
        <f t="shared" si="53"/>
        <v>0</v>
      </c>
      <c r="BP49" s="5">
        <f t="shared" si="53"/>
        <v>0</v>
      </c>
      <c r="BQ49" s="5">
        <f t="shared" si="53"/>
        <v>0</v>
      </c>
      <c r="BR49" s="5">
        <f t="shared" si="53"/>
        <v>0</v>
      </c>
      <c r="BS49" s="5">
        <f t="shared" si="53"/>
        <v>0</v>
      </c>
      <c r="BT49" s="5">
        <f t="shared" si="53"/>
        <v>0</v>
      </c>
      <c r="BU49" s="5">
        <f t="shared" si="53"/>
        <v>0</v>
      </c>
      <c r="BV49" s="5">
        <f t="shared" si="53"/>
        <v>0</v>
      </c>
      <c r="BW49" s="5">
        <f t="shared" si="53"/>
        <v>0</v>
      </c>
      <c r="BX49" s="5">
        <f t="shared" si="53"/>
        <v>0</v>
      </c>
      <c r="BY49" s="5">
        <f t="shared" si="53"/>
        <v>0</v>
      </c>
      <c r="BZ49" s="5">
        <f t="shared" si="53"/>
        <v>0</v>
      </c>
      <c r="CA49" s="5">
        <f t="shared" si="53"/>
        <v>0</v>
      </c>
      <c r="CB49" s="5">
        <f t="shared" si="53"/>
        <v>0</v>
      </c>
      <c r="CC49" s="5">
        <f t="shared" si="53"/>
        <v>0</v>
      </c>
      <c r="CD49" s="5">
        <f t="shared" si="57"/>
        <v>0</v>
      </c>
      <c r="CE49" s="5">
        <f t="shared" si="17"/>
        <v>0</v>
      </c>
    </row>
    <row r="50" spans="3:83" x14ac:dyDescent="0.2">
      <c r="C50" s="1">
        <f>Growth!D55</f>
        <v>0</v>
      </c>
      <c r="D50" s="5" t="b">
        <f t="shared" si="18"/>
        <v>0</v>
      </c>
      <c r="E50" s="5">
        <v>1993</v>
      </c>
      <c r="F50" s="5">
        <f ca="1">LOOKUP($E50,frequence!$A$2:$A$35,frequence!L$2:L$35)</f>
        <v>191.34520119916542</v>
      </c>
      <c r="G50" s="5">
        <f ca="1">LOOKUP($E50,frequence!$A$2:$A$35,frequence!K$2:K$35)</f>
        <v>28.094581622231551</v>
      </c>
      <c r="H50" s="5">
        <f ca="1">LOOKUP($E50,frequence!$A$2:$A$35,frequence!M$2:M$35)</f>
        <v>780.68842089259488</v>
      </c>
      <c r="I50" s="5">
        <v>1991</v>
      </c>
      <c r="J50" s="7">
        <f>LOOKUP(I50,CPI!A$69:A$103,CPI!O$69:O$103)</f>
        <v>1.600998531571219</v>
      </c>
      <c r="K50" s="5">
        <v>1990</v>
      </c>
      <c r="L50" s="7">
        <f t="shared" ca="1" si="19"/>
        <v>1</v>
      </c>
      <c r="M50" s="7">
        <f t="shared" si="2"/>
        <v>5.892857142857142E-2</v>
      </c>
      <c r="N50" s="14">
        <f t="shared" ref="N50:N55" si="58">2/112</f>
        <v>1.7857142857142856E-2</v>
      </c>
      <c r="O50" s="1">
        <f ca="1">P50*J50*(1+Growth!G$6)^(2010-K50)</f>
        <v>0.20606669815508064</v>
      </c>
      <c r="P50" s="1">
        <f>44/12*0.026</f>
        <v>9.5333333333333325E-2</v>
      </c>
      <c r="Q50" s="2">
        <f t="shared" si="46"/>
        <v>9.5333333333333325E-2</v>
      </c>
      <c r="R50" s="21">
        <f t="shared" ca="1" si="21"/>
        <v>4.2463484088537111E-2</v>
      </c>
      <c r="X50" s="2">
        <f t="shared" si="54"/>
        <v>9.5333333333333325E-2</v>
      </c>
      <c r="AC50" s="1">
        <f t="shared" si="47"/>
        <v>3.3</v>
      </c>
      <c r="AD50" s="5">
        <v>1</v>
      </c>
      <c r="AE50" s="5">
        <v>0</v>
      </c>
      <c r="AF50" s="5">
        <v>1</v>
      </c>
      <c r="AG50" s="5">
        <v>0</v>
      </c>
      <c r="AH50" s="5">
        <v>0</v>
      </c>
      <c r="AI50" s="3">
        <f t="shared" si="5"/>
        <v>1.3</v>
      </c>
      <c r="AJ50" s="5">
        <f t="shared" si="6"/>
        <v>0</v>
      </c>
      <c r="AK50" s="5">
        <f t="shared" si="22"/>
        <v>0</v>
      </c>
      <c r="AL50" s="5">
        <f t="shared" si="23"/>
        <v>0</v>
      </c>
      <c r="AM50" s="5">
        <f t="shared" si="7"/>
        <v>0</v>
      </c>
      <c r="AN50" s="5">
        <f t="shared" si="24"/>
        <v>0</v>
      </c>
      <c r="AO50" s="5">
        <f t="shared" si="8"/>
        <v>1</v>
      </c>
      <c r="AP50" s="11" t="s">
        <v>42</v>
      </c>
      <c r="AQ50" s="1">
        <v>0</v>
      </c>
      <c r="AR50" s="5">
        <v>0</v>
      </c>
      <c r="AS50" s="5">
        <v>0</v>
      </c>
      <c r="AT50" s="5">
        <v>0</v>
      </c>
      <c r="AU50" s="5">
        <v>0</v>
      </c>
      <c r="AV50" s="5">
        <f t="shared" si="9"/>
        <v>1</v>
      </c>
      <c r="AW50" s="5">
        <f t="shared" si="10"/>
        <v>0</v>
      </c>
      <c r="AX50" s="5">
        <f t="shared" si="11"/>
        <v>0</v>
      </c>
      <c r="AY50" s="1">
        <f t="shared" si="48"/>
        <v>0</v>
      </c>
      <c r="AZ50" s="1">
        <f t="shared" si="49"/>
        <v>0</v>
      </c>
      <c r="BA50" s="1">
        <f t="shared" si="50"/>
        <v>0</v>
      </c>
      <c r="BB50" s="5">
        <v>0</v>
      </c>
      <c r="BC50" s="5">
        <v>0</v>
      </c>
      <c r="BD50" s="5">
        <v>0</v>
      </c>
      <c r="BE50" s="5">
        <f t="shared" si="51"/>
        <v>1</v>
      </c>
      <c r="BF50" s="5">
        <v>0</v>
      </c>
      <c r="BG50" s="5">
        <f t="shared" si="56"/>
        <v>0</v>
      </c>
      <c r="BH50" s="5">
        <f t="shared" si="56"/>
        <v>0</v>
      </c>
      <c r="BI50" s="5">
        <f t="shared" si="56"/>
        <v>0</v>
      </c>
      <c r="BJ50" s="5">
        <f t="shared" si="56"/>
        <v>1</v>
      </c>
      <c r="BK50" s="5">
        <f t="shared" si="56"/>
        <v>0</v>
      </c>
      <c r="BL50" s="5">
        <f t="shared" si="56"/>
        <v>0</v>
      </c>
      <c r="BM50" s="5">
        <f t="shared" si="56"/>
        <v>0</v>
      </c>
      <c r="BN50" s="5">
        <f t="shared" si="55"/>
        <v>0</v>
      </c>
      <c r="BO50" s="5">
        <f t="shared" si="53"/>
        <v>0</v>
      </c>
      <c r="BP50" s="5">
        <f t="shared" si="53"/>
        <v>0</v>
      </c>
      <c r="BQ50" s="5">
        <f t="shared" si="53"/>
        <v>0</v>
      </c>
      <c r="BR50" s="5">
        <f t="shared" si="53"/>
        <v>0</v>
      </c>
      <c r="BS50" s="5">
        <f t="shared" si="53"/>
        <v>0</v>
      </c>
      <c r="BT50" s="5">
        <f t="shared" si="53"/>
        <v>0</v>
      </c>
      <c r="BU50" s="5">
        <f t="shared" si="53"/>
        <v>0</v>
      </c>
      <c r="BV50" s="5">
        <f t="shared" si="53"/>
        <v>0</v>
      </c>
      <c r="BW50" s="5">
        <f t="shared" si="53"/>
        <v>0</v>
      </c>
      <c r="BX50" s="5">
        <f t="shared" si="53"/>
        <v>0</v>
      </c>
      <c r="BY50" s="5">
        <f t="shared" si="53"/>
        <v>0</v>
      </c>
      <c r="BZ50" s="5">
        <f t="shared" si="53"/>
        <v>0</v>
      </c>
      <c r="CA50" s="5">
        <f t="shared" si="53"/>
        <v>0</v>
      </c>
      <c r="CB50" s="5">
        <f t="shared" si="53"/>
        <v>0</v>
      </c>
      <c r="CC50" s="5">
        <f t="shared" ref="CC50:CE69" si="59">IF($E50=CC$2,1,0)</f>
        <v>0</v>
      </c>
      <c r="CD50" s="5">
        <f t="shared" si="57"/>
        <v>0</v>
      </c>
      <c r="CE50" s="5">
        <f t="shared" si="17"/>
        <v>0</v>
      </c>
    </row>
    <row r="51" spans="3:83" x14ac:dyDescent="0.2">
      <c r="C51" s="1">
        <f>Growth!D56</f>
        <v>0</v>
      </c>
      <c r="D51" s="5" t="b">
        <f t="shared" si="18"/>
        <v>0</v>
      </c>
      <c r="E51" s="5">
        <v>1993</v>
      </c>
      <c r="F51" s="5">
        <f ca="1">LOOKUP($E51,frequence!$A$2:$A$35,frequence!L$2:L$35)</f>
        <v>191.34520119916542</v>
      </c>
      <c r="G51" s="5">
        <f ca="1">LOOKUP($E51,frequence!$A$2:$A$35,frequence!K$2:K$35)</f>
        <v>28.094581622231551</v>
      </c>
      <c r="H51" s="5">
        <f ca="1">LOOKUP($E51,frequence!$A$2:$A$35,frequence!M$2:M$35)</f>
        <v>780.68842089259488</v>
      </c>
      <c r="I51" s="5">
        <v>1991</v>
      </c>
      <c r="J51" s="7">
        <f>LOOKUP(I51,CPI!A$69:A$103,CPI!O$69:O$103)</f>
        <v>1.600998531571219</v>
      </c>
      <c r="K51" s="5">
        <v>1990</v>
      </c>
      <c r="L51" s="7">
        <f t="shared" ca="1" si="19"/>
        <v>1</v>
      </c>
      <c r="M51" s="7">
        <f t="shared" si="2"/>
        <v>5.892857142857142E-2</v>
      </c>
      <c r="N51" s="14">
        <f t="shared" si="58"/>
        <v>1.7857142857142856E-2</v>
      </c>
      <c r="O51" s="1">
        <f ca="1">P51*J51*(1+Growth!G$6)^(2010-K51)</f>
        <v>1.2364001889304839</v>
      </c>
      <c r="P51" s="1">
        <f>44/12*0.156</f>
        <v>0.57199999999999995</v>
      </c>
      <c r="Q51" s="2">
        <f t="shared" si="46"/>
        <v>0.57199999999999995</v>
      </c>
      <c r="R51" s="21">
        <f t="shared" ca="1" si="21"/>
        <v>1.5286854271873362</v>
      </c>
      <c r="X51" s="2">
        <f t="shared" si="54"/>
        <v>0.57199999999999995</v>
      </c>
      <c r="AC51" s="1">
        <f t="shared" si="47"/>
        <v>3.3</v>
      </c>
      <c r="AD51" s="5">
        <v>1</v>
      </c>
      <c r="AE51" s="5">
        <v>0</v>
      </c>
      <c r="AF51" s="5">
        <v>1</v>
      </c>
      <c r="AG51" s="5">
        <v>0</v>
      </c>
      <c r="AH51" s="5">
        <v>0</v>
      </c>
      <c r="AI51" s="3">
        <f t="shared" si="5"/>
        <v>1.3</v>
      </c>
      <c r="AJ51" s="5">
        <f t="shared" si="6"/>
        <v>0</v>
      </c>
      <c r="AK51" s="5">
        <f t="shared" si="22"/>
        <v>0</v>
      </c>
      <c r="AL51" s="5">
        <f t="shared" si="23"/>
        <v>0</v>
      </c>
      <c r="AM51" s="5">
        <f t="shared" si="7"/>
        <v>0</v>
      </c>
      <c r="AN51" s="5">
        <f t="shared" si="24"/>
        <v>0</v>
      </c>
      <c r="AO51" s="5">
        <f t="shared" si="8"/>
        <v>1</v>
      </c>
      <c r="AP51" s="11" t="s">
        <v>42</v>
      </c>
      <c r="AQ51" s="1">
        <v>0</v>
      </c>
      <c r="AR51" s="5">
        <v>0</v>
      </c>
      <c r="AS51" s="5">
        <v>0</v>
      </c>
      <c r="AT51" s="5">
        <v>0</v>
      </c>
      <c r="AU51" s="5">
        <v>0</v>
      </c>
      <c r="AV51" s="5">
        <f t="shared" si="9"/>
        <v>1</v>
      </c>
      <c r="AW51" s="5">
        <f t="shared" si="10"/>
        <v>0</v>
      </c>
      <c r="AX51" s="5">
        <f t="shared" si="11"/>
        <v>0</v>
      </c>
      <c r="AY51" s="1">
        <f t="shared" si="48"/>
        <v>0</v>
      </c>
      <c r="AZ51" s="1">
        <f t="shared" si="49"/>
        <v>0</v>
      </c>
      <c r="BA51" s="1">
        <f t="shared" si="50"/>
        <v>0</v>
      </c>
      <c r="BB51" s="5">
        <v>0</v>
      </c>
      <c r="BC51" s="5">
        <v>0</v>
      </c>
      <c r="BD51" s="5">
        <v>0</v>
      </c>
      <c r="BE51" s="5">
        <f t="shared" si="51"/>
        <v>1</v>
      </c>
      <c r="BF51" s="5">
        <v>0</v>
      </c>
      <c r="BG51" s="5">
        <f t="shared" si="56"/>
        <v>0</v>
      </c>
      <c r="BH51" s="5">
        <f t="shared" si="56"/>
        <v>0</v>
      </c>
      <c r="BI51" s="5">
        <f t="shared" si="56"/>
        <v>0</v>
      </c>
      <c r="BJ51" s="5">
        <f t="shared" si="56"/>
        <v>1</v>
      </c>
      <c r="BK51" s="5">
        <f t="shared" si="56"/>
        <v>0</v>
      </c>
      <c r="BL51" s="5">
        <f t="shared" si="56"/>
        <v>0</v>
      </c>
      <c r="BM51" s="5">
        <f t="shared" si="56"/>
        <v>0</v>
      </c>
      <c r="BN51" s="5">
        <f t="shared" si="55"/>
        <v>0</v>
      </c>
      <c r="BO51" s="5">
        <f t="shared" si="55"/>
        <v>0</v>
      </c>
      <c r="BP51" s="5">
        <f t="shared" si="55"/>
        <v>0</v>
      </c>
      <c r="BQ51" s="5">
        <f t="shared" si="55"/>
        <v>0</v>
      </c>
      <c r="BR51" s="5">
        <f t="shared" si="55"/>
        <v>0</v>
      </c>
      <c r="BS51" s="5">
        <f t="shared" si="55"/>
        <v>0</v>
      </c>
      <c r="BT51" s="5">
        <f t="shared" si="55"/>
        <v>0</v>
      </c>
      <c r="BU51" s="5">
        <f t="shared" si="55"/>
        <v>0</v>
      </c>
      <c r="BV51" s="5">
        <f t="shared" si="55"/>
        <v>0</v>
      </c>
      <c r="BW51" s="5">
        <f t="shared" si="55"/>
        <v>0</v>
      </c>
      <c r="BX51" s="5">
        <f t="shared" si="55"/>
        <v>0</v>
      </c>
      <c r="BY51" s="5">
        <f t="shared" si="55"/>
        <v>0</v>
      </c>
      <c r="BZ51" s="5">
        <f t="shared" si="55"/>
        <v>0</v>
      </c>
      <c r="CA51" s="5">
        <f t="shared" si="55"/>
        <v>0</v>
      </c>
      <c r="CB51" s="5">
        <f t="shared" si="55"/>
        <v>0</v>
      </c>
      <c r="CC51" s="5">
        <f t="shared" si="59"/>
        <v>0</v>
      </c>
      <c r="CD51" s="5">
        <f t="shared" si="57"/>
        <v>0</v>
      </c>
      <c r="CE51" s="5">
        <f t="shared" si="17"/>
        <v>0</v>
      </c>
    </row>
    <row r="52" spans="3:83" x14ac:dyDescent="0.2">
      <c r="C52" s="1">
        <f>Growth!D57</f>
        <v>0</v>
      </c>
      <c r="D52" s="5" t="b">
        <f t="shared" si="18"/>
        <v>0</v>
      </c>
      <c r="E52" s="5">
        <v>1993</v>
      </c>
      <c r="F52" s="5">
        <f ca="1">LOOKUP($E52,frequence!$A$2:$A$35,frequence!L$2:L$35)</f>
        <v>191.34520119916542</v>
      </c>
      <c r="G52" s="5">
        <f ca="1">LOOKUP($E52,frequence!$A$2:$A$35,frequence!K$2:K$35)</f>
        <v>28.094581622231551</v>
      </c>
      <c r="H52" s="5">
        <f ca="1">LOOKUP($E52,frequence!$A$2:$A$35,frequence!M$2:M$35)</f>
        <v>780.68842089259488</v>
      </c>
      <c r="I52" s="5">
        <v>1991</v>
      </c>
      <c r="J52" s="7">
        <f>LOOKUP(I52,CPI!A$69:A$103,CPI!O$69:O$103)</f>
        <v>1.600998531571219</v>
      </c>
      <c r="K52" s="5">
        <v>1990</v>
      </c>
      <c r="L52" s="7">
        <f t="shared" ca="1" si="19"/>
        <v>1</v>
      </c>
      <c r="M52" s="7">
        <f t="shared" si="2"/>
        <v>5.892857142857142E-2</v>
      </c>
      <c r="N52" s="14">
        <f t="shared" si="58"/>
        <v>1.7857142857142856E-2</v>
      </c>
      <c r="O52" s="1">
        <f ca="1">P52*J52*(1+Growth!G$6)^(2010-K52)</f>
        <v>0.54686931433463715</v>
      </c>
      <c r="P52" s="1">
        <f>44/12*0.069</f>
        <v>0.253</v>
      </c>
      <c r="Q52" s="2">
        <f t="shared" si="46"/>
        <v>0.253</v>
      </c>
      <c r="R52" s="21">
        <f t="shared" ca="1" si="21"/>
        <v>0.29906604696083616</v>
      </c>
      <c r="X52" s="2">
        <f t="shared" si="54"/>
        <v>0.253</v>
      </c>
      <c r="AC52" s="1">
        <f t="shared" si="47"/>
        <v>3.3</v>
      </c>
      <c r="AD52" s="5">
        <v>1</v>
      </c>
      <c r="AE52" s="5">
        <v>0</v>
      </c>
      <c r="AF52" s="5">
        <v>1</v>
      </c>
      <c r="AG52" s="5">
        <v>0</v>
      </c>
      <c r="AH52" s="5">
        <v>0</v>
      </c>
      <c r="AI52" s="3">
        <f t="shared" si="5"/>
        <v>1.3</v>
      </c>
      <c r="AJ52" s="5">
        <f t="shared" si="6"/>
        <v>0</v>
      </c>
      <c r="AK52" s="5">
        <f t="shared" si="22"/>
        <v>0</v>
      </c>
      <c r="AL52" s="5">
        <f t="shared" si="23"/>
        <v>0</v>
      </c>
      <c r="AM52" s="5">
        <f t="shared" si="7"/>
        <v>0</v>
      </c>
      <c r="AN52" s="5">
        <f t="shared" si="24"/>
        <v>0</v>
      </c>
      <c r="AO52" s="5">
        <f t="shared" si="8"/>
        <v>1</v>
      </c>
      <c r="AP52" s="11" t="s">
        <v>42</v>
      </c>
      <c r="AQ52" s="1">
        <v>0</v>
      </c>
      <c r="AR52" s="5">
        <v>0</v>
      </c>
      <c r="AS52" s="5">
        <v>0</v>
      </c>
      <c r="AT52" s="5">
        <v>0</v>
      </c>
      <c r="AU52" s="5">
        <v>0</v>
      </c>
      <c r="AV52" s="5">
        <f t="shared" si="9"/>
        <v>1</v>
      </c>
      <c r="AW52" s="5">
        <f t="shared" si="10"/>
        <v>0</v>
      </c>
      <c r="AX52" s="5">
        <f t="shared" si="11"/>
        <v>0</v>
      </c>
      <c r="AY52" s="1">
        <f t="shared" si="48"/>
        <v>0</v>
      </c>
      <c r="AZ52" s="1">
        <f t="shared" si="49"/>
        <v>0</v>
      </c>
      <c r="BA52" s="1">
        <f t="shared" si="50"/>
        <v>0</v>
      </c>
      <c r="BB52" s="5">
        <v>0</v>
      </c>
      <c r="BC52" s="5">
        <v>0</v>
      </c>
      <c r="BD52" s="5">
        <v>0</v>
      </c>
      <c r="BE52" s="5">
        <f t="shared" si="51"/>
        <v>1</v>
      </c>
      <c r="BF52" s="5">
        <v>0</v>
      </c>
      <c r="BG52" s="5">
        <f t="shared" si="56"/>
        <v>0</v>
      </c>
      <c r="BH52" s="5">
        <f t="shared" si="56"/>
        <v>0</v>
      </c>
      <c r="BI52" s="5">
        <f t="shared" si="56"/>
        <v>0</v>
      </c>
      <c r="BJ52" s="5">
        <f t="shared" si="56"/>
        <v>1</v>
      </c>
      <c r="BK52" s="5">
        <f t="shared" si="56"/>
        <v>0</v>
      </c>
      <c r="BL52" s="5">
        <f t="shared" si="56"/>
        <v>0</v>
      </c>
      <c r="BM52" s="5">
        <f t="shared" si="56"/>
        <v>0</v>
      </c>
      <c r="BN52" s="5">
        <f t="shared" si="56"/>
        <v>0</v>
      </c>
      <c r="BO52" s="5">
        <f t="shared" ref="BO52:CB67" si="60">IF($E52=BO$2,1,0)</f>
        <v>0</v>
      </c>
      <c r="BP52" s="5">
        <f t="shared" si="60"/>
        <v>0</v>
      </c>
      <c r="BQ52" s="5">
        <f t="shared" si="60"/>
        <v>0</v>
      </c>
      <c r="BR52" s="5">
        <f t="shared" si="60"/>
        <v>0</v>
      </c>
      <c r="BS52" s="5">
        <f t="shared" si="60"/>
        <v>0</v>
      </c>
      <c r="BT52" s="5">
        <f t="shared" si="60"/>
        <v>0</v>
      </c>
      <c r="BU52" s="5">
        <f t="shared" si="60"/>
        <v>0</v>
      </c>
      <c r="BV52" s="5">
        <f t="shared" si="60"/>
        <v>0</v>
      </c>
      <c r="BW52" s="5">
        <f t="shared" si="60"/>
        <v>0</v>
      </c>
      <c r="BX52" s="5">
        <f t="shared" si="60"/>
        <v>0</v>
      </c>
      <c r="BY52" s="5">
        <f t="shared" si="60"/>
        <v>0</v>
      </c>
      <c r="BZ52" s="5">
        <f t="shared" si="60"/>
        <v>0</v>
      </c>
      <c r="CA52" s="5">
        <f t="shared" si="60"/>
        <v>0</v>
      </c>
      <c r="CB52" s="5">
        <f t="shared" si="60"/>
        <v>0</v>
      </c>
      <c r="CC52" s="5">
        <f t="shared" si="59"/>
        <v>0</v>
      </c>
      <c r="CD52" s="5">
        <f t="shared" si="57"/>
        <v>0</v>
      </c>
      <c r="CE52" s="5">
        <f t="shared" si="17"/>
        <v>0</v>
      </c>
    </row>
    <row r="53" spans="3:83" x14ac:dyDescent="0.2">
      <c r="C53" s="1">
        <f>Growth!D58</f>
        <v>0</v>
      </c>
      <c r="D53" s="5" t="b">
        <f t="shared" si="18"/>
        <v>0</v>
      </c>
      <c r="E53" s="5">
        <v>1993</v>
      </c>
      <c r="F53" s="5">
        <f ca="1">LOOKUP($E53,frequence!$A$2:$A$35,frequence!L$2:L$35)</f>
        <v>191.34520119916542</v>
      </c>
      <c r="G53" s="5">
        <f ca="1">LOOKUP($E53,frequence!$A$2:$A$35,frequence!K$2:K$35)</f>
        <v>28.094581622231551</v>
      </c>
      <c r="H53" s="5">
        <f ca="1">LOOKUP($E53,frequence!$A$2:$A$35,frequence!M$2:M$35)</f>
        <v>780.68842089259488</v>
      </c>
      <c r="I53" s="5">
        <v>1991</v>
      </c>
      <c r="J53" s="7">
        <f>LOOKUP(I53,CPI!A$69:A$103,CPI!O$69:O$103)</f>
        <v>1.600998531571219</v>
      </c>
      <c r="K53" s="5">
        <v>1990</v>
      </c>
      <c r="L53" s="7">
        <f t="shared" ca="1" si="19"/>
        <v>1</v>
      </c>
      <c r="M53" s="7">
        <f t="shared" si="2"/>
        <v>5.892857142857142E-2</v>
      </c>
      <c r="N53" s="14">
        <f t="shared" si="58"/>
        <v>1.7857142857142856E-2</v>
      </c>
      <c r="O53" s="1">
        <f ca="1">P53*J53*(1+Growth!G$6)^(2010-K53)</f>
        <v>3.2812158860078227</v>
      </c>
      <c r="P53" s="1">
        <f>44/12*0.414</f>
        <v>1.5179999999999998</v>
      </c>
      <c r="Q53" s="2">
        <f t="shared" si="46"/>
        <v>1.5179999999999998</v>
      </c>
      <c r="R53" s="21">
        <f t="shared" ca="1" si="21"/>
        <v>10.766377690590101</v>
      </c>
      <c r="X53" s="2">
        <f t="shared" si="54"/>
        <v>1.5179999999999998</v>
      </c>
      <c r="AC53" s="1">
        <f t="shared" si="47"/>
        <v>3.3</v>
      </c>
      <c r="AD53" s="5">
        <v>1</v>
      </c>
      <c r="AE53" s="5">
        <v>0</v>
      </c>
      <c r="AF53" s="5">
        <v>1</v>
      </c>
      <c r="AG53" s="5">
        <v>0</v>
      </c>
      <c r="AH53" s="5">
        <v>0</v>
      </c>
      <c r="AI53" s="3">
        <f t="shared" si="5"/>
        <v>1.3</v>
      </c>
      <c r="AJ53" s="5">
        <f t="shared" si="6"/>
        <v>0</v>
      </c>
      <c r="AK53" s="5">
        <f t="shared" si="22"/>
        <v>0</v>
      </c>
      <c r="AL53" s="5">
        <f t="shared" si="23"/>
        <v>0</v>
      </c>
      <c r="AM53" s="5">
        <f t="shared" si="7"/>
        <v>0</v>
      </c>
      <c r="AN53" s="5">
        <f t="shared" si="24"/>
        <v>0</v>
      </c>
      <c r="AO53" s="5">
        <f t="shared" si="8"/>
        <v>1</v>
      </c>
      <c r="AP53" s="11" t="s">
        <v>42</v>
      </c>
      <c r="AQ53" s="1">
        <v>0</v>
      </c>
      <c r="AR53" s="5">
        <v>0</v>
      </c>
      <c r="AS53" s="5">
        <v>0</v>
      </c>
      <c r="AT53" s="5">
        <v>0</v>
      </c>
      <c r="AU53" s="5">
        <v>0</v>
      </c>
      <c r="AV53" s="5">
        <f t="shared" si="9"/>
        <v>1</v>
      </c>
      <c r="AW53" s="5">
        <f t="shared" si="10"/>
        <v>0</v>
      </c>
      <c r="AX53" s="5">
        <f t="shared" si="11"/>
        <v>0</v>
      </c>
      <c r="AY53" s="1">
        <f t="shared" si="48"/>
        <v>0</v>
      </c>
      <c r="AZ53" s="1">
        <f t="shared" si="49"/>
        <v>0</v>
      </c>
      <c r="BA53" s="1">
        <f t="shared" si="50"/>
        <v>0</v>
      </c>
      <c r="BB53" s="5">
        <v>0</v>
      </c>
      <c r="BC53" s="5">
        <v>0</v>
      </c>
      <c r="BD53" s="5">
        <v>0</v>
      </c>
      <c r="BE53" s="5">
        <f t="shared" si="51"/>
        <v>1</v>
      </c>
      <c r="BF53" s="5">
        <v>0</v>
      </c>
      <c r="BG53" s="5">
        <f t="shared" ref="BG53:BN68" si="61">IF($E53=BG$2,1,0)</f>
        <v>0</v>
      </c>
      <c r="BH53" s="5">
        <f t="shared" si="61"/>
        <v>0</v>
      </c>
      <c r="BI53" s="5">
        <f t="shared" si="61"/>
        <v>0</v>
      </c>
      <c r="BJ53" s="5">
        <f t="shared" si="61"/>
        <v>1</v>
      </c>
      <c r="BK53" s="5">
        <f t="shared" si="61"/>
        <v>0</v>
      </c>
      <c r="BL53" s="5">
        <f t="shared" si="61"/>
        <v>0</v>
      </c>
      <c r="BM53" s="5">
        <f t="shared" si="61"/>
        <v>0</v>
      </c>
      <c r="BN53" s="5">
        <f t="shared" si="61"/>
        <v>0</v>
      </c>
      <c r="BO53" s="5">
        <f t="shared" si="60"/>
        <v>0</v>
      </c>
      <c r="BP53" s="5">
        <f t="shared" si="60"/>
        <v>0</v>
      </c>
      <c r="BQ53" s="5">
        <f t="shared" si="60"/>
        <v>0</v>
      </c>
      <c r="BR53" s="5">
        <f t="shared" si="60"/>
        <v>0</v>
      </c>
      <c r="BS53" s="5">
        <f t="shared" si="60"/>
        <v>0</v>
      </c>
      <c r="BT53" s="5">
        <f t="shared" si="60"/>
        <v>0</v>
      </c>
      <c r="BU53" s="5">
        <f t="shared" si="60"/>
        <v>0</v>
      </c>
      <c r="BV53" s="5">
        <f t="shared" si="60"/>
        <v>0</v>
      </c>
      <c r="BW53" s="5">
        <f t="shared" si="60"/>
        <v>0</v>
      </c>
      <c r="BX53" s="5">
        <f t="shared" si="60"/>
        <v>0</v>
      </c>
      <c r="BY53" s="5">
        <f t="shared" si="60"/>
        <v>0</v>
      </c>
      <c r="BZ53" s="5">
        <f t="shared" si="60"/>
        <v>0</v>
      </c>
      <c r="CA53" s="5">
        <f t="shared" si="60"/>
        <v>0</v>
      </c>
      <c r="CB53" s="5">
        <f t="shared" si="60"/>
        <v>0</v>
      </c>
      <c r="CC53" s="5">
        <f t="shared" si="59"/>
        <v>0</v>
      </c>
      <c r="CD53" s="5">
        <f t="shared" si="57"/>
        <v>0</v>
      </c>
      <c r="CE53" s="5">
        <f t="shared" si="17"/>
        <v>0</v>
      </c>
    </row>
    <row r="54" spans="3:83" x14ac:dyDescent="0.2">
      <c r="C54" s="1">
        <f>Growth!D59</f>
        <v>0</v>
      </c>
      <c r="D54" s="5" t="b">
        <f t="shared" si="18"/>
        <v>0</v>
      </c>
      <c r="E54" s="5">
        <v>1993</v>
      </c>
      <c r="F54" s="5">
        <f ca="1">LOOKUP($E54,frequence!$A$2:$A$35,frequence!L$2:L$35)</f>
        <v>191.34520119916542</v>
      </c>
      <c r="G54" s="5">
        <f ca="1">LOOKUP($E54,frequence!$A$2:$A$35,frequence!K$2:K$35)</f>
        <v>28.094581622231551</v>
      </c>
      <c r="H54" s="5">
        <f ca="1">LOOKUP($E54,frequence!$A$2:$A$35,frequence!M$2:M$35)</f>
        <v>780.68842089259488</v>
      </c>
      <c r="I54" s="5">
        <v>1991</v>
      </c>
      <c r="J54" s="7">
        <f>LOOKUP(I54,CPI!A$69:A$103,CPI!O$69:O$103)</f>
        <v>1.600998531571219</v>
      </c>
      <c r="K54" s="5">
        <v>1990</v>
      </c>
      <c r="L54" s="7">
        <f t="shared" ca="1" si="19"/>
        <v>1</v>
      </c>
      <c r="M54" s="7">
        <f t="shared" si="2"/>
        <v>5.892857142857142E-2</v>
      </c>
      <c r="N54" s="14">
        <f t="shared" si="58"/>
        <v>1.7857142857142856E-2</v>
      </c>
      <c r="O54" s="1">
        <f ca="1">P54*J54*(1+Growth!G$6)^(2010-K54)</f>
        <v>0.16643848697141131</v>
      </c>
      <c r="P54" s="1">
        <f>44/12*0.021</f>
        <v>7.6999999999999999E-2</v>
      </c>
      <c r="Q54" s="2">
        <f t="shared" si="46"/>
        <v>7.6999999999999999E-2</v>
      </c>
      <c r="R54" s="21">
        <f t="shared" ca="1" si="21"/>
        <v>2.7701769945332654E-2</v>
      </c>
      <c r="X54" s="2">
        <f t="shared" si="54"/>
        <v>7.6999999999999999E-2</v>
      </c>
      <c r="AC54" s="1">
        <f t="shared" si="47"/>
        <v>3.3</v>
      </c>
      <c r="AD54" s="5">
        <v>1</v>
      </c>
      <c r="AE54" s="5">
        <v>0</v>
      </c>
      <c r="AF54" s="5">
        <v>1</v>
      </c>
      <c r="AG54" s="5">
        <v>0</v>
      </c>
      <c r="AH54" s="5">
        <v>0</v>
      </c>
      <c r="AI54" s="3">
        <f t="shared" si="5"/>
        <v>1.3</v>
      </c>
      <c r="AJ54" s="5">
        <f t="shared" si="6"/>
        <v>0</v>
      </c>
      <c r="AK54" s="5">
        <f t="shared" si="22"/>
        <v>0</v>
      </c>
      <c r="AL54" s="5">
        <f t="shared" si="23"/>
        <v>0</v>
      </c>
      <c r="AM54" s="5">
        <f t="shared" si="7"/>
        <v>0</v>
      </c>
      <c r="AN54" s="5">
        <f t="shared" si="24"/>
        <v>0</v>
      </c>
      <c r="AO54" s="5">
        <f t="shared" si="8"/>
        <v>1</v>
      </c>
      <c r="AP54" s="11" t="s">
        <v>42</v>
      </c>
      <c r="AQ54" s="1">
        <v>0</v>
      </c>
      <c r="AR54" s="5">
        <v>0</v>
      </c>
      <c r="AS54" s="5">
        <v>0</v>
      </c>
      <c r="AT54" s="5">
        <v>0</v>
      </c>
      <c r="AU54" s="5">
        <v>0</v>
      </c>
      <c r="AV54" s="5">
        <f t="shared" si="9"/>
        <v>1</v>
      </c>
      <c r="AW54" s="5">
        <f t="shared" si="10"/>
        <v>0</v>
      </c>
      <c r="AX54" s="5">
        <f t="shared" si="11"/>
        <v>0</v>
      </c>
      <c r="AY54" s="1">
        <f t="shared" si="48"/>
        <v>0</v>
      </c>
      <c r="AZ54" s="1">
        <f t="shared" si="49"/>
        <v>0</v>
      </c>
      <c r="BA54" s="1">
        <f t="shared" si="50"/>
        <v>0</v>
      </c>
      <c r="BB54" s="5">
        <v>0</v>
      </c>
      <c r="BC54" s="5">
        <v>0</v>
      </c>
      <c r="BD54" s="5">
        <v>0</v>
      </c>
      <c r="BE54" s="5">
        <f t="shared" si="51"/>
        <v>1</v>
      </c>
      <c r="BF54" s="5">
        <v>0</v>
      </c>
      <c r="BG54" s="5">
        <f t="shared" si="61"/>
        <v>0</v>
      </c>
      <c r="BH54" s="5">
        <f t="shared" si="61"/>
        <v>0</v>
      </c>
      <c r="BI54" s="5">
        <f t="shared" si="61"/>
        <v>0</v>
      </c>
      <c r="BJ54" s="5">
        <f t="shared" si="61"/>
        <v>1</v>
      </c>
      <c r="BK54" s="5">
        <f t="shared" si="61"/>
        <v>0</v>
      </c>
      <c r="BL54" s="5">
        <f t="shared" si="61"/>
        <v>0</v>
      </c>
      <c r="BM54" s="5">
        <f t="shared" si="61"/>
        <v>0</v>
      </c>
      <c r="BN54" s="5">
        <f t="shared" si="61"/>
        <v>0</v>
      </c>
      <c r="BO54" s="5">
        <f t="shared" si="60"/>
        <v>0</v>
      </c>
      <c r="BP54" s="5">
        <f t="shared" si="60"/>
        <v>0</v>
      </c>
      <c r="BQ54" s="5">
        <f t="shared" si="60"/>
        <v>0</v>
      </c>
      <c r="BR54" s="5">
        <f t="shared" si="60"/>
        <v>0</v>
      </c>
      <c r="BS54" s="5">
        <f t="shared" si="60"/>
        <v>0</v>
      </c>
      <c r="BT54" s="5">
        <f t="shared" si="60"/>
        <v>0</v>
      </c>
      <c r="BU54" s="5">
        <f t="shared" si="60"/>
        <v>0</v>
      </c>
      <c r="BV54" s="5">
        <f t="shared" si="60"/>
        <v>0</v>
      </c>
      <c r="BW54" s="5">
        <f t="shared" si="60"/>
        <v>0</v>
      </c>
      <c r="BX54" s="5">
        <f t="shared" si="60"/>
        <v>0</v>
      </c>
      <c r="BY54" s="5">
        <f t="shared" si="60"/>
        <v>0</v>
      </c>
      <c r="BZ54" s="5">
        <f t="shared" si="60"/>
        <v>0</v>
      </c>
      <c r="CA54" s="5">
        <f t="shared" si="60"/>
        <v>0</v>
      </c>
      <c r="CB54" s="5">
        <f t="shared" si="60"/>
        <v>0</v>
      </c>
      <c r="CC54" s="5">
        <f t="shared" si="59"/>
        <v>0</v>
      </c>
      <c r="CD54" s="5">
        <f t="shared" si="57"/>
        <v>0</v>
      </c>
      <c r="CE54" s="5">
        <f t="shared" si="17"/>
        <v>0</v>
      </c>
    </row>
    <row r="55" spans="3:83" x14ac:dyDescent="0.2">
      <c r="C55" s="1">
        <f>Growth!D60</f>
        <v>0</v>
      </c>
      <c r="D55" s="5" t="b">
        <f t="shared" si="18"/>
        <v>0</v>
      </c>
      <c r="E55" s="5">
        <v>1993</v>
      </c>
      <c r="F55" s="5">
        <f ca="1">LOOKUP($E55,frequence!$A$2:$A$35,frequence!L$2:L$35)</f>
        <v>191.34520119916542</v>
      </c>
      <c r="G55" s="5">
        <f ca="1">LOOKUP($E55,frequence!$A$2:$A$35,frequence!K$2:K$35)</f>
        <v>28.094581622231551</v>
      </c>
      <c r="H55" s="5">
        <f ca="1">LOOKUP($E55,frequence!$A$2:$A$35,frequence!M$2:M$35)</f>
        <v>780.68842089259488</v>
      </c>
      <c r="I55" s="5">
        <v>1991</v>
      </c>
      <c r="J55" s="7">
        <f>LOOKUP(I55,CPI!A$69:A$103,CPI!O$69:O$103)</f>
        <v>1.600998531571219</v>
      </c>
      <c r="K55" s="5">
        <v>1990</v>
      </c>
      <c r="L55" s="7">
        <f t="shared" ca="1" si="19"/>
        <v>1</v>
      </c>
      <c r="M55" s="7">
        <f t="shared" si="2"/>
        <v>5.892857142857142E-2</v>
      </c>
      <c r="N55" s="14">
        <f t="shared" si="58"/>
        <v>1.7857142857142856E-2</v>
      </c>
      <c r="O55" s="1">
        <f ca="1">P55*J55*(1+Growth!G$6)^(2010-K55)</f>
        <v>0.9986309218284678</v>
      </c>
      <c r="P55" s="1">
        <f>44/12*0.126</f>
        <v>0.46199999999999997</v>
      </c>
      <c r="Q55" s="2">
        <f t="shared" si="46"/>
        <v>0.46199999999999997</v>
      </c>
      <c r="R55" s="21">
        <f t="shared" ca="1" si="21"/>
        <v>0.99726371803197533</v>
      </c>
      <c r="X55" s="2">
        <f t="shared" si="54"/>
        <v>0.46199999999999997</v>
      </c>
      <c r="AC55" s="1">
        <f t="shared" si="47"/>
        <v>3.3</v>
      </c>
      <c r="AD55" s="5">
        <v>1</v>
      </c>
      <c r="AE55" s="5">
        <v>0</v>
      </c>
      <c r="AF55" s="5">
        <v>1</v>
      </c>
      <c r="AG55" s="5">
        <v>0</v>
      </c>
      <c r="AH55" s="5">
        <v>0</v>
      </c>
      <c r="AI55" s="3">
        <f t="shared" si="5"/>
        <v>1.3</v>
      </c>
      <c r="AJ55" s="5">
        <f t="shared" si="6"/>
        <v>0</v>
      </c>
      <c r="AK55" s="5">
        <f t="shared" si="22"/>
        <v>0</v>
      </c>
      <c r="AL55" s="5">
        <f t="shared" si="23"/>
        <v>0</v>
      </c>
      <c r="AM55" s="5">
        <f t="shared" si="7"/>
        <v>0</v>
      </c>
      <c r="AN55" s="5">
        <f t="shared" si="24"/>
        <v>0</v>
      </c>
      <c r="AO55" s="5">
        <f t="shared" si="8"/>
        <v>1</v>
      </c>
      <c r="AP55" s="11" t="s">
        <v>42</v>
      </c>
      <c r="AQ55" s="1">
        <v>0</v>
      </c>
      <c r="AR55" s="5">
        <v>0</v>
      </c>
      <c r="AS55" s="5">
        <v>0</v>
      </c>
      <c r="AT55" s="5">
        <v>0</v>
      </c>
      <c r="AU55" s="5">
        <v>0</v>
      </c>
      <c r="AV55" s="5">
        <f t="shared" si="9"/>
        <v>1</v>
      </c>
      <c r="AW55" s="5">
        <f t="shared" si="10"/>
        <v>0</v>
      </c>
      <c r="AX55" s="5">
        <f t="shared" si="11"/>
        <v>0</v>
      </c>
      <c r="AY55" s="1">
        <f t="shared" si="48"/>
        <v>0</v>
      </c>
      <c r="AZ55" s="1">
        <f t="shared" si="49"/>
        <v>0</v>
      </c>
      <c r="BA55" s="1">
        <f t="shared" si="50"/>
        <v>0</v>
      </c>
      <c r="BB55" s="5">
        <v>0</v>
      </c>
      <c r="BC55" s="5">
        <v>0</v>
      </c>
      <c r="BD55" s="5">
        <v>0</v>
      </c>
      <c r="BE55" s="5">
        <f t="shared" si="51"/>
        <v>1</v>
      </c>
      <c r="BF55" s="5">
        <v>0</v>
      </c>
      <c r="BG55" s="5">
        <f t="shared" si="61"/>
        <v>0</v>
      </c>
      <c r="BH55" s="5">
        <f t="shared" si="61"/>
        <v>0</v>
      </c>
      <c r="BI55" s="5">
        <f t="shared" si="61"/>
        <v>0</v>
      </c>
      <c r="BJ55" s="5">
        <f t="shared" si="61"/>
        <v>1</v>
      </c>
      <c r="BK55" s="5">
        <f t="shared" si="61"/>
        <v>0</v>
      </c>
      <c r="BL55" s="5">
        <f t="shared" si="61"/>
        <v>0</v>
      </c>
      <c r="BM55" s="5">
        <f t="shared" si="61"/>
        <v>0</v>
      </c>
      <c r="BN55" s="5">
        <f t="shared" si="61"/>
        <v>0</v>
      </c>
      <c r="BO55" s="5">
        <f t="shared" si="60"/>
        <v>0</v>
      </c>
      <c r="BP55" s="5">
        <f t="shared" si="60"/>
        <v>0</v>
      </c>
      <c r="BQ55" s="5">
        <f t="shared" si="60"/>
        <v>0</v>
      </c>
      <c r="BR55" s="5">
        <f t="shared" si="60"/>
        <v>0</v>
      </c>
      <c r="BS55" s="5">
        <f t="shared" si="60"/>
        <v>0</v>
      </c>
      <c r="BT55" s="5">
        <f t="shared" si="60"/>
        <v>0</v>
      </c>
      <c r="BU55" s="5">
        <f t="shared" si="60"/>
        <v>0</v>
      </c>
      <c r="BV55" s="5">
        <f t="shared" si="60"/>
        <v>0</v>
      </c>
      <c r="BW55" s="5">
        <f t="shared" si="60"/>
        <v>0</v>
      </c>
      <c r="BX55" s="5">
        <f t="shared" si="60"/>
        <v>0</v>
      </c>
      <c r="BY55" s="5">
        <f t="shared" si="60"/>
        <v>0</v>
      </c>
      <c r="BZ55" s="5">
        <f t="shared" si="60"/>
        <v>0</v>
      </c>
      <c r="CA55" s="5">
        <f t="shared" si="60"/>
        <v>0</v>
      </c>
      <c r="CB55" s="5">
        <f t="shared" si="60"/>
        <v>0</v>
      </c>
      <c r="CC55" s="5">
        <f t="shared" si="59"/>
        <v>0</v>
      </c>
      <c r="CD55" s="5">
        <f t="shared" si="57"/>
        <v>0</v>
      </c>
      <c r="CE55" s="5">
        <f t="shared" si="17"/>
        <v>0</v>
      </c>
    </row>
    <row r="56" spans="3:83" x14ac:dyDescent="0.2">
      <c r="C56" s="1">
        <f>Growth!D61</f>
        <v>0</v>
      </c>
      <c r="D56" s="5" t="b">
        <f t="shared" si="18"/>
        <v>0</v>
      </c>
      <c r="E56" s="5">
        <v>1993</v>
      </c>
      <c r="F56" s="5">
        <f ca="1">LOOKUP($E56,frequence!$A$2:$A$35,frequence!L$2:L$35)</f>
        <v>191.34520119916542</v>
      </c>
      <c r="G56" s="5">
        <f ca="1">LOOKUP($E56,frequence!$A$2:$A$35,frequence!K$2:K$35)</f>
        <v>28.094581622231551</v>
      </c>
      <c r="H56" s="5">
        <f ca="1">LOOKUP($E56,frequence!$A$2:$A$35,frequence!M$2:M$35)</f>
        <v>780.68842089259488</v>
      </c>
      <c r="I56" s="5">
        <v>1991</v>
      </c>
      <c r="J56" s="7">
        <f>LOOKUP(I56,CPI!A$69:A$103,CPI!O$69:O$103)</f>
        <v>1.600998531571219</v>
      </c>
      <c r="K56" s="5">
        <v>1990</v>
      </c>
      <c r="L56" s="7">
        <f t="shared" ca="1" si="19"/>
        <v>1</v>
      </c>
      <c r="M56" s="7">
        <f t="shared" si="2"/>
        <v>0.11785714285714284</v>
      </c>
      <c r="N56" s="14">
        <f>4/112</f>
        <v>3.5714285714285712E-2</v>
      </c>
      <c r="O56" s="1">
        <f ca="1">P56*J56*(1+Growth!G$6)^(2010-K56)</f>
        <v>0.24569490933875002</v>
      </c>
      <c r="P56" s="1">
        <f>44/12*0.031</f>
        <v>0.11366666666666667</v>
      </c>
      <c r="Q56" s="2">
        <f t="shared" si="46"/>
        <v>0.11366666666666667</v>
      </c>
      <c r="R56" s="21">
        <f t="shared" ca="1" si="21"/>
        <v>6.0365988474976588E-2</v>
      </c>
      <c r="X56" s="2">
        <f t="shared" si="54"/>
        <v>0.11366666666666667</v>
      </c>
      <c r="AC56" s="1">
        <f t="shared" si="47"/>
        <v>3.3</v>
      </c>
      <c r="AD56" s="5">
        <v>1</v>
      </c>
      <c r="AE56" s="5">
        <v>0</v>
      </c>
      <c r="AF56" s="5">
        <v>1</v>
      </c>
      <c r="AG56" s="5">
        <v>0</v>
      </c>
      <c r="AH56" s="5">
        <v>0</v>
      </c>
      <c r="AI56" s="3">
        <f t="shared" si="5"/>
        <v>1.3</v>
      </c>
      <c r="AJ56" s="5">
        <f t="shared" si="6"/>
        <v>0</v>
      </c>
      <c r="AK56" s="5">
        <f t="shared" si="22"/>
        <v>0</v>
      </c>
      <c r="AL56" s="5">
        <f t="shared" si="23"/>
        <v>0</v>
      </c>
      <c r="AM56" s="5">
        <f t="shared" si="7"/>
        <v>0</v>
      </c>
      <c r="AN56" s="5">
        <f t="shared" si="24"/>
        <v>0</v>
      </c>
      <c r="AO56" s="5">
        <f t="shared" si="8"/>
        <v>1</v>
      </c>
      <c r="AP56" s="11" t="s">
        <v>42</v>
      </c>
      <c r="AQ56" s="1">
        <v>0</v>
      </c>
      <c r="AR56" s="5">
        <v>0</v>
      </c>
      <c r="AS56" s="5">
        <v>0</v>
      </c>
      <c r="AT56" s="5">
        <v>0</v>
      </c>
      <c r="AU56" s="5">
        <v>0</v>
      </c>
      <c r="AV56" s="5">
        <f t="shared" si="9"/>
        <v>1</v>
      </c>
      <c r="AW56" s="5">
        <f t="shared" si="10"/>
        <v>0</v>
      </c>
      <c r="AX56" s="5">
        <f t="shared" si="11"/>
        <v>0</v>
      </c>
      <c r="AY56" s="1">
        <f t="shared" si="48"/>
        <v>0</v>
      </c>
      <c r="AZ56" s="1">
        <f t="shared" si="49"/>
        <v>0</v>
      </c>
      <c r="BA56" s="1">
        <f t="shared" si="50"/>
        <v>0</v>
      </c>
      <c r="BB56" s="5">
        <v>0</v>
      </c>
      <c r="BC56" s="5">
        <v>0</v>
      </c>
      <c r="BD56" s="5">
        <v>0</v>
      </c>
      <c r="BE56" s="5">
        <f t="shared" si="51"/>
        <v>1</v>
      </c>
      <c r="BF56" s="5">
        <v>0</v>
      </c>
      <c r="BG56" s="5">
        <f t="shared" si="61"/>
        <v>0</v>
      </c>
      <c r="BH56" s="5">
        <f t="shared" si="61"/>
        <v>0</v>
      </c>
      <c r="BI56" s="5">
        <f t="shared" si="61"/>
        <v>0</v>
      </c>
      <c r="BJ56" s="5">
        <f t="shared" si="61"/>
        <v>1</v>
      </c>
      <c r="BK56" s="5">
        <f t="shared" si="61"/>
        <v>0</v>
      </c>
      <c r="BL56" s="5">
        <f t="shared" si="61"/>
        <v>0</v>
      </c>
      <c r="BM56" s="5">
        <f t="shared" si="61"/>
        <v>0</v>
      </c>
      <c r="BN56" s="5">
        <f t="shared" si="61"/>
        <v>0</v>
      </c>
      <c r="BO56" s="5">
        <f t="shared" si="60"/>
        <v>0</v>
      </c>
      <c r="BP56" s="5">
        <f t="shared" si="60"/>
        <v>0</v>
      </c>
      <c r="BQ56" s="5">
        <f t="shared" si="60"/>
        <v>0</v>
      </c>
      <c r="BR56" s="5">
        <f t="shared" si="60"/>
        <v>0</v>
      </c>
      <c r="BS56" s="5">
        <f t="shared" si="60"/>
        <v>0</v>
      </c>
      <c r="BT56" s="5">
        <f t="shared" si="60"/>
        <v>0</v>
      </c>
      <c r="BU56" s="5">
        <f t="shared" si="60"/>
        <v>0</v>
      </c>
      <c r="BV56" s="5">
        <f t="shared" si="60"/>
        <v>0</v>
      </c>
      <c r="BW56" s="5">
        <f t="shared" si="60"/>
        <v>0</v>
      </c>
      <c r="BX56" s="5">
        <f t="shared" si="60"/>
        <v>0</v>
      </c>
      <c r="BY56" s="5">
        <f t="shared" si="60"/>
        <v>0</v>
      </c>
      <c r="BZ56" s="5">
        <f t="shared" si="60"/>
        <v>0</v>
      </c>
      <c r="CA56" s="5">
        <f t="shared" si="60"/>
        <v>0</v>
      </c>
      <c r="CB56" s="5">
        <f t="shared" si="60"/>
        <v>0</v>
      </c>
      <c r="CC56" s="5">
        <f t="shared" si="59"/>
        <v>0</v>
      </c>
      <c r="CD56" s="5">
        <f t="shared" si="57"/>
        <v>0</v>
      </c>
      <c r="CE56" s="5">
        <f t="shared" si="17"/>
        <v>0</v>
      </c>
    </row>
    <row r="57" spans="3:83" x14ac:dyDescent="0.2">
      <c r="C57" s="1">
        <f>Growth!D62</f>
        <v>0</v>
      </c>
      <c r="D57" s="5" t="b">
        <f t="shared" si="18"/>
        <v>0</v>
      </c>
      <c r="E57" s="5">
        <v>1993</v>
      </c>
      <c r="F57" s="5">
        <f ca="1">LOOKUP($E57,frequence!$A$2:$A$35,frequence!L$2:L$35)</f>
        <v>191.34520119916542</v>
      </c>
      <c r="G57" s="5">
        <f ca="1">LOOKUP($E57,frequence!$A$2:$A$35,frequence!K$2:K$35)</f>
        <v>28.094581622231551</v>
      </c>
      <c r="H57" s="5">
        <f ca="1">LOOKUP($E57,frequence!$A$2:$A$35,frequence!M$2:M$35)</f>
        <v>780.68842089259488</v>
      </c>
      <c r="I57" s="5">
        <v>1991</v>
      </c>
      <c r="J57" s="7">
        <f>LOOKUP(I57,CPI!A$69:A$103,CPI!O$69:O$103)</f>
        <v>1.600998531571219</v>
      </c>
      <c r="K57" s="5">
        <v>1990</v>
      </c>
      <c r="L57" s="7">
        <f t="shared" ca="1" si="19"/>
        <v>1</v>
      </c>
      <c r="M57" s="7">
        <f t="shared" si="2"/>
        <v>0.11785714285714284</v>
      </c>
      <c r="N57" s="14">
        <f>4/112</f>
        <v>3.5714285714285712E-2</v>
      </c>
      <c r="O57" s="1">
        <f ca="1">P57*J57*(1+Growth!G$6)^(2010-K57)</f>
        <v>1.4741694560324998</v>
      </c>
      <c r="P57" s="1">
        <f>44/12*0.186</f>
        <v>0.68199999999999994</v>
      </c>
      <c r="Q57" s="2">
        <f t="shared" si="46"/>
        <v>0.68199999999999994</v>
      </c>
      <c r="R57" s="21">
        <f t="shared" ca="1" si="21"/>
        <v>2.1731755850991563</v>
      </c>
      <c r="X57" s="2">
        <f t="shared" si="54"/>
        <v>0.68199999999999994</v>
      </c>
      <c r="AC57" s="1">
        <f t="shared" si="47"/>
        <v>3.3</v>
      </c>
      <c r="AD57" s="5">
        <v>1</v>
      </c>
      <c r="AE57" s="5">
        <v>0</v>
      </c>
      <c r="AF57" s="5">
        <v>1</v>
      </c>
      <c r="AG57" s="5">
        <v>0</v>
      </c>
      <c r="AH57" s="5">
        <v>0</v>
      </c>
      <c r="AI57" s="3">
        <f t="shared" si="5"/>
        <v>1.3</v>
      </c>
      <c r="AJ57" s="5">
        <f t="shared" si="6"/>
        <v>0</v>
      </c>
      <c r="AK57" s="5">
        <f t="shared" si="22"/>
        <v>0</v>
      </c>
      <c r="AL57" s="5">
        <f t="shared" si="23"/>
        <v>0</v>
      </c>
      <c r="AM57" s="5">
        <f t="shared" si="7"/>
        <v>0</v>
      </c>
      <c r="AN57" s="5">
        <f t="shared" si="24"/>
        <v>0</v>
      </c>
      <c r="AO57" s="5">
        <f t="shared" si="8"/>
        <v>1</v>
      </c>
      <c r="AP57" s="11" t="s">
        <v>42</v>
      </c>
      <c r="AQ57" s="1">
        <v>0</v>
      </c>
      <c r="AR57" s="5">
        <v>0</v>
      </c>
      <c r="AS57" s="5">
        <v>0</v>
      </c>
      <c r="AT57" s="5">
        <v>0</v>
      </c>
      <c r="AU57" s="5">
        <v>0</v>
      </c>
      <c r="AV57" s="5">
        <f t="shared" si="9"/>
        <v>1</v>
      </c>
      <c r="AW57" s="5">
        <f t="shared" si="10"/>
        <v>0</v>
      </c>
      <c r="AX57" s="5">
        <f t="shared" si="11"/>
        <v>0</v>
      </c>
      <c r="AY57" s="1">
        <f t="shared" si="48"/>
        <v>0</v>
      </c>
      <c r="AZ57" s="1">
        <f t="shared" si="49"/>
        <v>0</v>
      </c>
      <c r="BA57" s="1">
        <f t="shared" si="50"/>
        <v>0</v>
      </c>
      <c r="BB57" s="5">
        <v>0</v>
      </c>
      <c r="BC57" s="5">
        <v>0</v>
      </c>
      <c r="BD57" s="5">
        <v>0</v>
      </c>
      <c r="BE57" s="5">
        <f t="shared" si="51"/>
        <v>1</v>
      </c>
      <c r="BF57" s="5">
        <v>0</v>
      </c>
      <c r="BG57" s="5">
        <f t="shared" si="61"/>
        <v>0</v>
      </c>
      <c r="BH57" s="5">
        <f t="shared" si="61"/>
        <v>0</v>
      </c>
      <c r="BI57" s="5">
        <f t="shared" si="61"/>
        <v>0</v>
      </c>
      <c r="BJ57" s="5">
        <f t="shared" si="61"/>
        <v>1</v>
      </c>
      <c r="BK57" s="5">
        <f t="shared" si="61"/>
        <v>0</v>
      </c>
      <c r="BL57" s="5">
        <f t="shared" si="61"/>
        <v>0</v>
      </c>
      <c r="BM57" s="5">
        <f t="shared" si="61"/>
        <v>0</v>
      </c>
      <c r="BN57" s="5">
        <f t="shared" si="61"/>
        <v>0</v>
      </c>
      <c r="BO57" s="5">
        <f t="shared" si="60"/>
        <v>0</v>
      </c>
      <c r="BP57" s="5">
        <f t="shared" si="60"/>
        <v>0</v>
      </c>
      <c r="BQ57" s="5">
        <f t="shared" si="60"/>
        <v>0</v>
      </c>
      <c r="BR57" s="5">
        <f t="shared" si="60"/>
        <v>0</v>
      </c>
      <c r="BS57" s="5">
        <f t="shared" si="60"/>
        <v>0</v>
      </c>
      <c r="BT57" s="5">
        <f t="shared" si="60"/>
        <v>0</v>
      </c>
      <c r="BU57" s="5">
        <f t="shared" si="60"/>
        <v>0</v>
      </c>
      <c r="BV57" s="5">
        <f t="shared" si="60"/>
        <v>0</v>
      </c>
      <c r="BW57" s="5">
        <f t="shared" si="60"/>
        <v>0</v>
      </c>
      <c r="BX57" s="5">
        <f t="shared" si="60"/>
        <v>0</v>
      </c>
      <c r="BY57" s="5">
        <f t="shared" si="60"/>
        <v>0</v>
      </c>
      <c r="BZ57" s="5">
        <f t="shared" si="60"/>
        <v>0</v>
      </c>
      <c r="CA57" s="5">
        <f t="shared" si="60"/>
        <v>0</v>
      </c>
      <c r="CB57" s="5">
        <f t="shared" si="60"/>
        <v>0</v>
      </c>
      <c r="CC57" s="5">
        <f t="shared" si="59"/>
        <v>0</v>
      </c>
      <c r="CD57" s="5">
        <f t="shared" si="57"/>
        <v>0</v>
      </c>
      <c r="CE57" s="5">
        <f t="shared" si="17"/>
        <v>0</v>
      </c>
    </row>
    <row r="58" spans="3:83" x14ac:dyDescent="0.2">
      <c r="C58" s="1">
        <f>Growth!D63</f>
        <v>0</v>
      </c>
      <c r="D58" s="5" t="b">
        <f t="shared" si="18"/>
        <v>0</v>
      </c>
      <c r="E58" s="5">
        <v>1993</v>
      </c>
      <c r="F58" s="5">
        <f ca="1">LOOKUP($E58,frequence!$A$2:$A$35,frequence!L$2:L$35)</f>
        <v>191.34520119916542</v>
      </c>
      <c r="G58" s="5">
        <f ca="1">LOOKUP($E58,frequence!$A$2:$A$35,frequence!K$2:K$35)</f>
        <v>28.094581622231551</v>
      </c>
      <c r="H58" s="5">
        <f ca="1">LOOKUP($E58,frequence!$A$2:$A$35,frequence!M$2:M$35)</f>
        <v>780.68842089259488</v>
      </c>
      <c r="I58" s="5">
        <v>1991</v>
      </c>
      <c r="J58" s="7">
        <f>LOOKUP(I58,CPI!A$69:A$103,CPI!O$69:O$103)</f>
        <v>1.600998531571219</v>
      </c>
      <c r="K58" s="5">
        <v>1990</v>
      </c>
      <c r="L58" s="7">
        <f t="shared" ca="1" si="19"/>
        <v>1</v>
      </c>
      <c r="M58" s="7">
        <f t="shared" si="2"/>
        <v>0.11785714285714284</v>
      </c>
      <c r="N58" s="14">
        <f>4/112</f>
        <v>3.5714285714285712E-2</v>
      </c>
      <c r="O58" s="1">
        <f ca="1">P58*J58*(1+Growth!G$6)^(2010-K58)</f>
        <v>0.49138981867750003</v>
      </c>
      <c r="P58" s="1">
        <f>44/12*0.062</f>
        <v>0.22733333333333333</v>
      </c>
      <c r="Q58" s="2">
        <f t="shared" si="46"/>
        <v>0.22733333333333333</v>
      </c>
      <c r="R58" s="21">
        <f t="shared" ca="1" si="21"/>
        <v>0.24146395389990635</v>
      </c>
      <c r="X58" s="2">
        <f t="shared" si="54"/>
        <v>0.22733333333333333</v>
      </c>
      <c r="AC58" s="1">
        <f t="shared" si="47"/>
        <v>3.3</v>
      </c>
      <c r="AD58" s="5">
        <v>1</v>
      </c>
      <c r="AE58" s="5">
        <v>0</v>
      </c>
      <c r="AF58" s="5">
        <v>1</v>
      </c>
      <c r="AG58" s="5">
        <v>0</v>
      </c>
      <c r="AH58" s="5">
        <v>0</v>
      </c>
      <c r="AI58" s="3">
        <f t="shared" si="5"/>
        <v>1.3</v>
      </c>
      <c r="AJ58" s="5">
        <f t="shared" si="6"/>
        <v>0</v>
      </c>
      <c r="AK58" s="5">
        <f t="shared" si="22"/>
        <v>0</v>
      </c>
      <c r="AL58" s="5">
        <f t="shared" si="23"/>
        <v>0</v>
      </c>
      <c r="AM58" s="5">
        <f t="shared" si="7"/>
        <v>0</v>
      </c>
      <c r="AN58" s="5">
        <f t="shared" si="24"/>
        <v>0</v>
      </c>
      <c r="AO58" s="5">
        <f t="shared" si="8"/>
        <v>1</v>
      </c>
      <c r="AP58" s="11" t="s">
        <v>42</v>
      </c>
      <c r="AQ58" s="1">
        <v>0</v>
      </c>
      <c r="AR58" s="5">
        <v>0</v>
      </c>
      <c r="AS58" s="5">
        <v>0</v>
      </c>
      <c r="AT58" s="5">
        <v>0</v>
      </c>
      <c r="AU58" s="5">
        <v>0</v>
      </c>
      <c r="AV58" s="5">
        <f t="shared" si="9"/>
        <v>1</v>
      </c>
      <c r="AW58" s="5">
        <f t="shared" si="10"/>
        <v>0</v>
      </c>
      <c r="AX58" s="5">
        <f t="shared" si="11"/>
        <v>0</v>
      </c>
      <c r="AY58" s="1">
        <f t="shared" si="48"/>
        <v>0</v>
      </c>
      <c r="AZ58" s="1">
        <f t="shared" si="49"/>
        <v>0</v>
      </c>
      <c r="BA58" s="1">
        <f t="shared" si="50"/>
        <v>0</v>
      </c>
      <c r="BB58" s="5">
        <v>0</v>
      </c>
      <c r="BC58" s="5">
        <v>0</v>
      </c>
      <c r="BD58" s="5">
        <v>0</v>
      </c>
      <c r="BE58" s="5">
        <f t="shared" si="51"/>
        <v>1</v>
      </c>
      <c r="BF58" s="5">
        <v>0</v>
      </c>
      <c r="BG58" s="5">
        <f t="shared" si="61"/>
        <v>0</v>
      </c>
      <c r="BH58" s="5">
        <f t="shared" si="61"/>
        <v>0</v>
      </c>
      <c r="BI58" s="5">
        <f t="shared" si="61"/>
        <v>0</v>
      </c>
      <c r="BJ58" s="5">
        <f t="shared" si="61"/>
        <v>1</v>
      </c>
      <c r="BK58" s="5">
        <f t="shared" si="61"/>
        <v>0</v>
      </c>
      <c r="BL58" s="5">
        <f t="shared" si="61"/>
        <v>0</v>
      </c>
      <c r="BM58" s="5">
        <f t="shared" si="61"/>
        <v>0</v>
      </c>
      <c r="BN58" s="5">
        <f t="shared" si="61"/>
        <v>0</v>
      </c>
      <c r="BO58" s="5">
        <f t="shared" si="60"/>
        <v>0</v>
      </c>
      <c r="BP58" s="5">
        <f t="shared" si="60"/>
        <v>0</v>
      </c>
      <c r="BQ58" s="5">
        <f t="shared" si="60"/>
        <v>0</v>
      </c>
      <c r="BR58" s="5">
        <f t="shared" si="60"/>
        <v>0</v>
      </c>
      <c r="BS58" s="5">
        <f t="shared" si="60"/>
        <v>0</v>
      </c>
      <c r="BT58" s="5">
        <f t="shared" si="60"/>
        <v>0</v>
      </c>
      <c r="BU58" s="5">
        <f t="shared" si="60"/>
        <v>0</v>
      </c>
      <c r="BV58" s="5">
        <f t="shared" si="60"/>
        <v>0</v>
      </c>
      <c r="BW58" s="5">
        <f t="shared" si="60"/>
        <v>0</v>
      </c>
      <c r="BX58" s="5">
        <f t="shared" si="60"/>
        <v>0</v>
      </c>
      <c r="BY58" s="5">
        <f t="shared" si="60"/>
        <v>0</v>
      </c>
      <c r="BZ58" s="5">
        <f t="shared" si="60"/>
        <v>0</v>
      </c>
      <c r="CA58" s="5">
        <f t="shared" si="60"/>
        <v>0</v>
      </c>
      <c r="CB58" s="5">
        <f t="shared" si="60"/>
        <v>0</v>
      </c>
      <c r="CC58" s="5">
        <f t="shared" si="59"/>
        <v>0</v>
      </c>
      <c r="CD58" s="5">
        <f t="shared" si="57"/>
        <v>0</v>
      </c>
      <c r="CE58" s="5">
        <f t="shared" si="17"/>
        <v>0</v>
      </c>
    </row>
    <row r="59" spans="3:83" x14ac:dyDescent="0.2">
      <c r="C59" s="1">
        <f>Growth!D64</f>
        <v>0</v>
      </c>
      <c r="D59" s="5" t="b">
        <f t="shared" si="18"/>
        <v>0</v>
      </c>
      <c r="E59" s="5">
        <v>1993</v>
      </c>
      <c r="F59" s="5">
        <f ca="1">LOOKUP($E59,frequence!$A$2:$A$35,frequence!L$2:L$35)</f>
        <v>191.34520119916542</v>
      </c>
      <c r="G59" s="5">
        <f ca="1">LOOKUP($E59,frequence!$A$2:$A$35,frequence!K$2:K$35)</f>
        <v>28.094581622231551</v>
      </c>
      <c r="H59" s="5">
        <f ca="1">LOOKUP($E59,frequence!$A$2:$A$35,frequence!M$2:M$35)</f>
        <v>780.68842089259488</v>
      </c>
      <c r="I59" s="5">
        <v>1991</v>
      </c>
      <c r="J59" s="7">
        <f>LOOKUP(I59,CPI!A$69:A$103,CPI!O$69:O$103)</f>
        <v>1.600998531571219</v>
      </c>
      <c r="K59" s="5">
        <v>1990</v>
      </c>
      <c r="L59" s="7">
        <f t="shared" ca="1" si="19"/>
        <v>1</v>
      </c>
      <c r="M59" s="7">
        <f t="shared" si="2"/>
        <v>0.11785714285714284</v>
      </c>
      <c r="N59" s="14">
        <f>4/112</f>
        <v>3.5714285714285712E-2</v>
      </c>
      <c r="O59" s="1">
        <f ca="1">P59*J59*(1+Growth!G$6)^(2010-K59)</f>
        <v>2.9483389120649997</v>
      </c>
      <c r="P59" s="1">
        <f>44/12*0.372</f>
        <v>1.3639999999999999</v>
      </c>
      <c r="Q59" s="2">
        <f t="shared" si="46"/>
        <v>1.3639999999999999</v>
      </c>
      <c r="R59" s="21">
        <f t="shared" ca="1" si="21"/>
        <v>8.6927023403966253</v>
      </c>
      <c r="X59" s="2">
        <f t="shared" si="54"/>
        <v>1.3639999999999999</v>
      </c>
      <c r="AC59" s="1">
        <f t="shared" si="47"/>
        <v>3.3</v>
      </c>
      <c r="AD59" s="5">
        <v>1</v>
      </c>
      <c r="AE59" s="5">
        <v>0</v>
      </c>
      <c r="AF59" s="5">
        <v>1</v>
      </c>
      <c r="AG59" s="5">
        <v>0</v>
      </c>
      <c r="AH59" s="5">
        <v>0</v>
      </c>
      <c r="AI59" s="3">
        <f t="shared" si="5"/>
        <v>1.3</v>
      </c>
      <c r="AJ59" s="5">
        <f t="shared" si="6"/>
        <v>0</v>
      </c>
      <c r="AK59" s="5">
        <f t="shared" si="22"/>
        <v>0</v>
      </c>
      <c r="AL59" s="5">
        <f t="shared" si="23"/>
        <v>0</v>
      </c>
      <c r="AM59" s="5">
        <f t="shared" si="7"/>
        <v>0</v>
      </c>
      <c r="AN59" s="5">
        <f t="shared" si="24"/>
        <v>0</v>
      </c>
      <c r="AO59" s="5">
        <f t="shared" si="8"/>
        <v>1</v>
      </c>
      <c r="AP59" s="11" t="s">
        <v>42</v>
      </c>
      <c r="AQ59" s="1">
        <v>0</v>
      </c>
      <c r="AR59" s="5">
        <v>0</v>
      </c>
      <c r="AS59" s="5">
        <v>0</v>
      </c>
      <c r="AT59" s="5">
        <v>0</v>
      </c>
      <c r="AU59" s="5">
        <v>0</v>
      </c>
      <c r="AV59" s="5">
        <f t="shared" si="9"/>
        <v>1</v>
      </c>
      <c r="AW59" s="5">
        <f t="shared" si="10"/>
        <v>0</v>
      </c>
      <c r="AX59" s="5">
        <f t="shared" si="11"/>
        <v>0</v>
      </c>
      <c r="AY59" s="1">
        <f t="shared" si="48"/>
        <v>0</v>
      </c>
      <c r="AZ59" s="1">
        <f t="shared" si="49"/>
        <v>0</v>
      </c>
      <c r="BA59" s="1">
        <f t="shared" si="50"/>
        <v>0</v>
      </c>
      <c r="BB59" s="5">
        <v>0</v>
      </c>
      <c r="BC59" s="5">
        <v>0</v>
      </c>
      <c r="BD59" s="5">
        <v>0</v>
      </c>
      <c r="BE59" s="5">
        <f t="shared" si="51"/>
        <v>1</v>
      </c>
      <c r="BF59" s="5">
        <v>0</v>
      </c>
      <c r="BG59" s="5">
        <f t="shared" si="61"/>
        <v>0</v>
      </c>
      <c r="BH59" s="5">
        <f t="shared" si="61"/>
        <v>0</v>
      </c>
      <c r="BI59" s="5">
        <f t="shared" si="61"/>
        <v>0</v>
      </c>
      <c r="BJ59" s="5">
        <f t="shared" si="61"/>
        <v>1</v>
      </c>
      <c r="BK59" s="5">
        <f t="shared" si="61"/>
        <v>0</v>
      </c>
      <c r="BL59" s="5">
        <f t="shared" si="61"/>
        <v>0</v>
      </c>
      <c r="BM59" s="5">
        <f t="shared" si="61"/>
        <v>0</v>
      </c>
      <c r="BN59" s="5">
        <f t="shared" si="61"/>
        <v>0</v>
      </c>
      <c r="BO59" s="5">
        <f t="shared" si="60"/>
        <v>0</v>
      </c>
      <c r="BP59" s="5">
        <f t="shared" si="60"/>
        <v>0</v>
      </c>
      <c r="BQ59" s="5">
        <f t="shared" si="60"/>
        <v>0</v>
      </c>
      <c r="BR59" s="5">
        <f t="shared" si="60"/>
        <v>0</v>
      </c>
      <c r="BS59" s="5">
        <f t="shared" si="60"/>
        <v>0</v>
      </c>
      <c r="BT59" s="5">
        <f t="shared" si="60"/>
        <v>0</v>
      </c>
      <c r="BU59" s="5">
        <f t="shared" si="60"/>
        <v>0</v>
      </c>
      <c r="BV59" s="5">
        <f t="shared" si="60"/>
        <v>0</v>
      </c>
      <c r="BW59" s="5">
        <f t="shared" si="60"/>
        <v>0</v>
      </c>
      <c r="BX59" s="5">
        <f t="shared" si="60"/>
        <v>0</v>
      </c>
      <c r="BY59" s="5">
        <f t="shared" si="60"/>
        <v>0</v>
      </c>
      <c r="BZ59" s="5">
        <f t="shared" si="60"/>
        <v>0</v>
      </c>
      <c r="CA59" s="5">
        <f t="shared" si="60"/>
        <v>0</v>
      </c>
      <c r="CB59" s="5">
        <f t="shared" si="60"/>
        <v>0</v>
      </c>
      <c r="CC59" s="5">
        <f t="shared" si="59"/>
        <v>0</v>
      </c>
      <c r="CD59" s="5">
        <f t="shared" si="59"/>
        <v>0</v>
      </c>
      <c r="CE59" s="5">
        <f t="shared" si="17"/>
        <v>0</v>
      </c>
    </row>
    <row r="60" spans="3:83" x14ac:dyDescent="0.2">
      <c r="C60" s="1">
        <f>Growth!D65</f>
        <v>0</v>
      </c>
      <c r="D60" s="5" t="b">
        <f t="shared" si="18"/>
        <v>0</v>
      </c>
      <c r="E60" s="5">
        <v>1993</v>
      </c>
      <c r="F60" s="5">
        <f ca="1">LOOKUP($E60,frequence!$A$2:$A$35,frequence!L$2:L$35)</f>
        <v>191.34520119916542</v>
      </c>
      <c r="G60" s="5">
        <f ca="1">LOOKUP($E60,frequence!$A$2:$A$35,frequence!K$2:K$35)</f>
        <v>28.094581622231551</v>
      </c>
      <c r="H60" s="5">
        <f ca="1">LOOKUP($E60,frequence!$A$2:$A$35,frequence!M$2:M$35)</f>
        <v>780.68842089259488</v>
      </c>
      <c r="I60" s="5">
        <v>1991</v>
      </c>
      <c r="J60" s="7">
        <f>LOOKUP(I60,CPI!A$69:A$103,CPI!O$69:O$103)</f>
        <v>1.600998531571219</v>
      </c>
      <c r="K60" s="5">
        <v>1990</v>
      </c>
      <c r="L60" s="7">
        <f t="shared" ca="1" si="19"/>
        <v>1</v>
      </c>
      <c r="M60" s="7">
        <f t="shared" si="2"/>
        <v>5.892857142857142E-2</v>
      </c>
      <c r="N60" s="14">
        <f>2/112</f>
        <v>1.7857142857142856E-2</v>
      </c>
      <c r="O60" s="1">
        <f ca="1">P60*J60*(1+Growth!G$6)^(2010-K60)</f>
        <v>0.93522578393459677</v>
      </c>
      <c r="P60" s="1">
        <f>44/12*0.118</f>
        <v>0.43266666666666664</v>
      </c>
      <c r="Q60" s="2">
        <f t="shared" si="46"/>
        <v>0.43266666666666664</v>
      </c>
      <c r="R60" s="21">
        <f t="shared" ca="1" si="21"/>
        <v>0.87464726693608108</v>
      </c>
      <c r="X60" s="2">
        <f t="shared" si="54"/>
        <v>0.43266666666666664</v>
      </c>
      <c r="AC60" s="1">
        <f t="shared" si="47"/>
        <v>3.3</v>
      </c>
      <c r="AD60" s="5">
        <v>1</v>
      </c>
      <c r="AE60" s="5">
        <v>0</v>
      </c>
      <c r="AF60" s="5">
        <v>1</v>
      </c>
      <c r="AG60" s="5">
        <v>0</v>
      </c>
      <c r="AH60" s="5">
        <v>0</v>
      </c>
      <c r="AI60" s="3">
        <f t="shared" si="5"/>
        <v>1.3</v>
      </c>
      <c r="AJ60" s="5">
        <f t="shared" si="6"/>
        <v>0</v>
      </c>
      <c r="AK60" s="5">
        <f t="shared" si="22"/>
        <v>0</v>
      </c>
      <c r="AL60" s="5">
        <f t="shared" si="23"/>
        <v>0</v>
      </c>
      <c r="AM60" s="5">
        <f t="shared" si="7"/>
        <v>0</v>
      </c>
      <c r="AN60" s="5">
        <f t="shared" si="24"/>
        <v>0</v>
      </c>
      <c r="AO60" s="5">
        <f t="shared" si="8"/>
        <v>1</v>
      </c>
      <c r="AP60" s="11" t="s">
        <v>42</v>
      </c>
      <c r="AQ60" s="1">
        <v>0</v>
      </c>
      <c r="AR60" s="5">
        <v>0</v>
      </c>
      <c r="AS60" s="5">
        <v>0</v>
      </c>
      <c r="AT60" s="5">
        <v>0</v>
      </c>
      <c r="AU60" s="5">
        <v>0</v>
      </c>
      <c r="AV60" s="5">
        <f t="shared" si="9"/>
        <v>1</v>
      </c>
      <c r="AW60" s="5">
        <f t="shared" si="10"/>
        <v>0</v>
      </c>
      <c r="AX60" s="5">
        <f t="shared" si="11"/>
        <v>0</v>
      </c>
      <c r="AY60" s="1">
        <f t="shared" si="48"/>
        <v>0</v>
      </c>
      <c r="AZ60" s="1">
        <f t="shared" si="49"/>
        <v>0</v>
      </c>
      <c r="BA60" s="1">
        <f t="shared" si="50"/>
        <v>0</v>
      </c>
      <c r="BB60" s="5">
        <v>0</v>
      </c>
      <c r="BC60" s="5">
        <v>0</v>
      </c>
      <c r="BD60" s="5">
        <v>0</v>
      </c>
      <c r="BE60" s="5">
        <f t="shared" si="51"/>
        <v>1</v>
      </c>
      <c r="BF60" s="5">
        <v>0</v>
      </c>
      <c r="BG60" s="5">
        <f t="shared" si="61"/>
        <v>0</v>
      </c>
      <c r="BH60" s="5">
        <f t="shared" si="61"/>
        <v>0</v>
      </c>
      <c r="BI60" s="5">
        <f t="shared" si="61"/>
        <v>0</v>
      </c>
      <c r="BJ60" s="5">
        <f t="shared" si="61"/>
        <v>1</v>
      </c>
      <c r="BK60" s="5">
        <f t="shared" si="61"/>
        <v>0</v>
      </c>
      <c r="BL60" s="5">
        <f t="shared" si="61"/>
        <v>0</v>
      </c>
      <c r="BM60" s="5">
        <f t="shared" si="61"/>
        <v>0</v>
      </c>
      <c r="BN60" s="5">
        <f t="shared" si="61"/>
        <v>0</v>
      </c>
      <c r="BO60" s="5">
        <f t="shared" si="60"/>
        <v>0</v>
      </c>
      <c r="BP60" s="5">
        <f t="shared" si="60"/>
        <v>0</v>
      </c>
      <c r="BQ60" s="5">
        <f t="shared" si="60"/>
        <v>0</v>
      </c>
      <c r="BR60" s="5">
        <f t="shared" si="60"/>
        <v>0</v>
      </c>
      <c r="BS60" s="5">
        <f t="shared" si="60"/>
        <v>0</v>
      </c>
      <c r="BT60" s="5">
        <f t="shared" si="60"/>
        <v>0</v>
      </c>
      <c r="BU60" s="5">
        <f t="shared" si="60"/>
        <v>0</v>
      </c>
      <c r="BV60" s="5">
        <f t="shared" si="60"/>
        <v>0</v>
      </c>
      <c r="BW60" s="5">
        <f t="shared" si="60"/>
        <v>0</v>
      </c>
      <c r="BX60" s="5">
        <f t="shared" si="60"/>
        <v>0</v>
      </c>
      <c r="BY60" s="5">
        <f t="shared" si="60"/>
        <v>0</v>
      </c>
      <c r="BZ60" s="5">
        <f t="shared" si="60"/>
        <v>0</v>
      </c>
      <c r="CA60" s="5">
        <f t="shared" si="60"/>
        <v>0</v>
      </c>
      <c r="CB60" s="5">
        <f t="shared" si="60"/>
        <v>0</v>
      </c>
      <c r="CC60" s="5">
        <f t="shared" si="59"/>
        <v>0</v>
      </c>
      <c r="CD60" s="5">
        <f t="shared" si="59"/>
        <v>0</v>
      </c>
      <c r="CE60" s="5">
        <f t="shared" si="17"/>
        <v>0</v>
      </c>
    </row>
    <row r="61" spans="3:83" x14ac:dyDescent="0.2">
      <c r="C61" s="1">
        <f>Growth!D66</f>
        <v>0</v>
      </c>
      <c r="D61" s="5" t="b">
        <f t="shared" si="18"/>
        <v>0</v>
      </c>
      <c r="E61" s="5">
        <v>1993</v>
      </c>
      <c r="F61" s="5">
        <f ca="1">LOOKUP($E61,frequence!$A$2:$A$35,frequence!L$2:L$35)</f>
        <v>191.34520119916542</v>
      </c>
      <c r="G61" s="5">
        <f ca="1">LOOKUP($E61,frequence!$A$2:$A$35,frequence!K$2:K$35)</f>
        <v>28.094581622231551</v>
      </c>
      <c r="H61" s="5">
        <f ca="1">LOOKUP($E61,frequence!$A$2:$A$35,frequence!M$2:M$35)</f>
        <v>780.68842089259488</v>
      </c>
      <c r="I61" s="5">
        <v>1991</v>
      </c>
      <c r="J61" s="7">
        <f>LOOKUP(I61,CPI!A$69:A$103,CPI!O$69:O$103)</f>
        <v>1.600998531571219</v>
      </c>
      <c r="K61" s="5">
        <v>1990</v>
      </c>
      <c r="L61" s="7">
        <f t="shared" ca="1" si="19"/>
        <v>1</v>
      </c>
      <c r="M61" s="7">
        <f t="shared" si="2"/>
        <v>5.892857142857142E-2</v>
      </c>
      <c r="N61" s="14">
        <f>2/112</f>
        <v>1.7857142857142856E-2</v>
      </c>
      <c r="O61" s="1">
        <f ca="1">P61*J61*(1+Growth!G$6)^(2010-K61)</f>
        <v>5.6113547036075806</v>
      </c>
      <c r="P61" s="1">
        <f>44/12*0.708</f>
        <v>2.5959999999999996</v>
      </c>
      <c r="Q61" s="2">
        <f t="shared" si="46"/>
        <v>2.5959999999999996</v>
      </c>
      <c r="R61" s="21">
        <f t="shared" ca="1" si="21"/>
        <v>31.487301609698918</v>
      </c>
      <c r="X61" s="2">
        <f t="shared" si="54"/>
        <v>2.5959999999999996</v>
      </c>
      <c r="AC61" s="1">
        <f t="shared" si="47"/>
        <v>3.3</v>
      </c>
      <c r="AD61" s="5">
        <v>1</v>
      </c>
      <c r="AE61" s="5">
        <v>0</v>
      </c>
      <c r="AF61" s="5">
        <v>1</v>
      </c>
      <c r="AG61" s="5">
        <v>0</v>
      </c>
      <c r="AH61" s="5">
        <v>0</v>
      </c>
      <c r="AI61" s="3">
        <f t="shared" si="5"/>
        <v>1.3</v>
      </c>
      <c r="AJ61" s="5">
        <f t="shared" si="6"/>
        <v>0</v>
      </c>
      <c r="AK61" s="5">
        <f t="shared" si="22"/>
        <v>0</v>
      </c>
      <c r="AL61" s="5">
        <f t="shared" si="23"/>
        <v>0</v>
      </c>
      <c r="AM61" s="5">
        <f t="shared" si="7"/>
        <v>0</v>
      </c>
      <c r="AN61" s="5">
        <f t="shared" si="24"/>
        <v>0</v>
      </c>
      <c r="AO61" s="5">
        <f t="shared" si="8"/>
        <v>1</v>
      </c>
      <c r="AP61" s="11" t="s">
        <v>42</v>
      </c>
      <c r="AQ61" s="1">
        <v>0</v>
      </c>
      <c r="AR61" s="5">
        <v>0</v>
      </c>
      <c r="AS61" s="5">
        <v>0</v>
      </c>
      <c r="AT61" s="5">
        <v>0</v>
      </c>
      <c r="AU61" s="5">
        <v>0</v>
      </c>
      <c r="AV61" s="5">
        <f t="shared" si="9"/>
        <v>1</v>
      </c>
      <c r="AW61" s="5">
        <f t="shared" si="10"/>
        <v>0</v>
      </c>
      <c r="AX61" s="5">
        <f t="shared" si="11"/>
        <v>0</v>
      </c>
      <c r="AY61" s="1">
        <f t="shared" si="48"/>
        <v>0</v>
      </c>
      <c r="AZ61" s="1">
        <f t="shared" si="49"/>
        <v>0</v>
      </c>
      <c r="BA61" s="1">
        <f t="shared" si="50"/>
        <v>0</v>
      </c>
      <c r="BB61" s="5">
        <v>0</v>
      </c>
      <c r="BC61" s="5">
        <v>0</v>
      </c>
      <c r="BD61" s="5">
        <v>0</v>
      </c>
      <c r="BE61" s="5">
        <f t="shared" si="51"/>
        <v>1</v>
      </c>
      <c r="BF61" s="5">
        <v>0</v>
      </c>
      <c r="BG61" s="5">
        <f t="shared" si="61"/>
        <v>0</v>
      </c>
      <c r="BH61" s="5">
        <f t="shared" si="61"/>
        <v>0</v>
      </c>
      <c r="BI61" s="5">
        <f t="shared" si="61"/>
        <v>0</v>
      </c>
      <c r="BJ61" s="5">
        <f t="shared" si="61"/>
        <v>1</v>
      </c>
      <c r="BK61" s="5">
        <f t="shared" si="61"/>
        <v>0</v>
      </c>
      <c r="BL61" s="5">
        <f t="shared" si="61"/>
        <v>0</v>
      </c>
      <c r="BM61" s="5">
        <f t="shared" si="61"/>
        <v>0</v>
      </c>
      <c r="BN61" s="5">
        <f t="shared" si="61"/>
        <v>0</v>
      </c>
      <c r="BO61" s="5">
        <f t="shared" si="60"/>
        <v>0</v>
      </c>
      <c r="BP61" s="5">
        <f t="shared" si="60"/>
        <v>0</v>
      </c>
      <c r="BQ61" s="5">
        <f t="shared" si="60"/>
        <v>0</v>
      </c>
      <c r="BR61" s="5">
        <f t="shared" si="60"/>
        <v>0</v>
      </c>
      <c r="BS61" s="5">
        <f t="shared" si="60"/>
        <v>0</v>
      </c>
      <c r="BT61" s="5">
        <f t="shared" si="60"/>
        <v>0</v>
      </c>
      <c r="BU61" s="5">
        <f t="shared" si="60"/>
        <v>0</v>
      </c>
      <c r="BV61" s="5">
        <f t="shared" si="60"/>
        <v>0</v>
      </c>
      <c r="BW61" s="5">
        <f t="shared" si="60"/>
        <v>0</v>
      </c>
      <c r="BX61" s="5">
        <f t="shared" si="60"/>
        <v>0</v>
      </c>
      <c r="BY61" s="5">
        <f t="shared" si="60"/>
        <v>0</v>
      </c>
      <c r="BZ61" s="5">
        <f t="shared" si="60"/>
        <v>0</v>
      </c>
      <c r="CA61" s="5">
        <f t="shared" si="60"/>
        <v>0</v>
      </c>
      <c r="CB61" s="5">
        <f t="shared" si="60"/>
        <v>0</v>
      </c>
      <c r="CC61" s="5">
        <f t="shared" si="59"/>
        <v>0</v>
      </c>
      <c r="CD61" s="5">
        <f t="shared" si="59"/>
        <v>0</v>
      </c>
      <c r="CE61" s="5">
        <f t="shared" si="17"/>
        <v>0</v>
      </c>
    </row>
    <row r="62" spans="3:83" x14ac:dyDescent="0.2">
      <c r="C62" s="1">
        <f>Growth!D67</f>
        <v>0</v>
      </c>
      <c r="D62" s="5" t="b">
        <f t="shared" si="18"/>
        <v>0</v>
      </c>
      <c r="E62" s="5">
        <v>1993</v>
      </c>
      <c r="F62" s="5">
        <f ca="1">LOOKUP($E62,frequence!$A$2:$A$35,frequence!L$2:L$35)</f>
        <v>191.34520119916542</v>
      </c>
      <c r="G62" s="5">
        <f ca="1">LOOKUP($E62,frequence!$A$2:$A$35,frequence!K$2:K$35)</f>
        <v>28.094581622231551</v>
      </c>
      <c r="H62" s="5">
        <f ca="1">LOOKUP($E62,frequence!$A$2:$A$35,frequence!M$2:M$35)</f>
        <v>780.68842089259488</v>
      </c>
      <c r="I62" s="5">
        <v>1991</v>
      </c>
      <c r="J62" s="7">
        <f>LOOKUP(I62,CPI!A$69:A$103,CPI!O$69:O$103)</f>
        <v>1.600998531571219</v>
      </c>
      <c r="K62" s="5">
        <v>1990</v>
      </c>
      <c r="L62" s="7">
        <f t="shared" ca="1" si="19"/>
        <v>1</v>
      </c>
      <c r="M62" s="7">
        <f t="shared" si="2"/>
        <v>5.892857142857142E-2</v>
      </c>
      <c r="N62" s="14">
        <f>2/112</f>
        <v>1.7857142857142856E-2</v>
      </c>
      <c r="O62" s="1">
        <f ca="1">P62*J62*(1+Growth!G$6)^(2010-K62)</f>
        <v>2.4490234511507665</v>
      </c>
      <c r="P62" s="1">
        <f>44/12*0.309</f>
        <v>1.133</v>
      </c>
      <c r="Q62" s="2">
        <f t="shared" si="46"/>
        <v>1.133</v>
      </c>
      <c r="R62" s="21">
        <f t="shared" ca="1" si="21"/>
        <v>5.9977158642864108</v>
      </c>
      <c r="X62" s="2">
        <f t="shared" si="54"/>
        <v>1.133</v>
      </c>
      <c r="AC62" s="1">
        <f t="shared" si="47"/>
        <v>3.3</v>
      </c>
      <c r="AD62" s="5">
        <v>1</v>
      </c>
      <c r="AE62" s="5">
        <v>0</v>
      </c>
      <c r="AF62" s="5">
        <v>1</v>
      </c>
      <c r="AG62" s="5">
        <v>0</v>
      </c>
      <c r="AH62" s="5">
        <v>0</v>
      </c>
      <c r="AI62" s="3">
        <f t="shared" si="5"/>
        <v>1.3</v>
      </c>
      <c r="AJ62" s="5">
        <f t="shared" si="6"/>
        <v>0</v>
      </c>
      <c r="AK62" s="5">
        <f t="shared" si="22"/>
        <v>0</v>
      </c>
      <c r="AL62" s="5">
        <f t="shared" si="23"/>
        <v>0</v>
      </c>
      <c r="AM62" s="5">
        <f t="shared" si="7"/>
        <v>0</v>
      </c>
      <c r="AN62" s="5">
        <f t="shared" si="24"/>
        <v>0</v>
      </c>
      <c r="AO62" s="5">
        <f t="shared" si="8"/>
        <v>1</v>
      </c>
      <c r="AP62" s="11" t="s">
        <v>42</v>
      </c>
      <c r="AQ62" s="1">
        <v>0</v>
      </c>
      <c r="AR62" s="5">
        <v>0</v>
      </c>
      <c r="AS62" s="5">
        <v>0</v>
      </c>
      <c r="AT62" s="5">
        <v>0</v>
      </c>
      <c r="AU62" s="5">
        <v>0</v>
      </c>
      <c r="AV62" s="5">
        <f t="shared" si="9"/>
        <v>1</v>
      </c>
      <c r="AW62" s="5">
        <f t="shared" si="10"/>
        <v>0</v>
      </c>
      <c r="AX62" s="5">
        <f t="shared" si="11"/>
        <v>0</v>
      </c>
      <c r="AY62" s="1">
        <f t="shared" si="48"/>
        <v>0</v>
      </c>
      <c r="AZ62" s="1">
        <f t="shared" si="49"/>
        <v>0</v>
      </c>
      <c r="BA62" s="1">
        <f t="shared" si="50"/>
        <v>0</v>
      </c>
      <c r="BB62" s="5">
        <v>0</v>
      </c>
      <c r="BC62" s="5">
        <v>0</v>
      </c>
      <c r="BD62" s="5">
        <v>0</v>
      </c>
      <c r="BE62" s="5">
        <f t="shared" si="51"/>
        <v>1</v>
      </c>
      <c r="BF62" s="5">
        <v>0</v>
      </c>
      <c r="BG62" s="5">
        <f t="shared" si="61"/>
        <v>0</v>
      </c>
      <c r="BH62" s="5">
        <f t="shared" si="61"/>
        <v>0</v>
      </c>
      <c r="BI62" s="5">
        <f t="shared" si="61"/>
        <v>0</v>
      </c>
      <c r="BJ62" s="5">
        <f t="shared" si="61"/>
        <v>1</v>
      </c>
      <c r="BK62" s="5">
        <f t="shared" si="61"/>
        <v>0</v>
      </c>
      <c r="BL62" s="5">
        <f t="shared" si="61"/>
        <v>0</v>
      </c>
      <c r="BM62" s="5">
        <f t="shared" si="61"/>
        <v>0</v>
      </c>
      <c r="BN62" s="5">
        <f t="shared" si="61"/>
        <v>0</v>
      </c>
      <c r="BO62" s="5">
        <f t="shared" si="60"/>
        <v>0</v>
      </c>
      <c r="BP62" s="5">
        <f t="shared" si="60"/>
        <v>0</v>
      </c>
      <c r="BQ62" s="5">
        <f t="shared" si="60"/>
        <v>0</v>
      </c>
      <c r="BR62" s="5">
        <f t="shared" si="60"/>
        <v>0</v>
      </c>
      <c r="BS62" s="5">
        <f t="shared" si="60"/>
        <v>0</v>
      </c>
      <c r="BT62" s="5">
        <f t="shared" si="60"/>
        <v>0</v>
      </c>
      <c r="BU62" s="5">
        <f t="shared" si="60"/>
        <v>0</v>
      </c>
      <c r="BV62" s="5">
        <f t="shared" si="60"/>
        <v>0</v>
      </c>
      <c r="BW62" s="5">
        <f t="shared" si="60"/>
        <v>0</v>
      </c>
      <c r="BX62" s="5">
        <f t="shared" si="60"/>
        <v>0</v>
      </c>
      <c r="BY62" s="5">
        <f t="shared" si="60"/>
        <v>0</v>
      </c>
      <c r="BZ62" s="5">
        <f t="shared" si="60"/>
        <v>0</v>
      </c>
      <c r="CA62" s="5">
        <f t="shared" si="60"/>
        <v>0</v>
      </c>
      <c r="CB62" s="5">
        <f t="shared" si="60"/>
        <v>0</v>
      </c>
      <c r="CC62" s="5">
        <f t="shared" si="59"/>
        <v>0</v>
      </c>
      <c r="CD62" s="5">
        <f t="shared" si="59"/>
        <v>0</v>
      </c>
      <c r="CE62" s="5">
        <f t="shared" si="17"/>
        <v>0</v>
      </c>
    </row>
    <row r="63" spans="3:83" x14ac:dyDescent="0.2">
      <c r="C63" s="1">
        <f>Growth!D68</f>
        <v>0</v>
      </c>
      <c r="D63" s="5" t="b">
        <f t="shared" si="18"/>
        <v>0</v>
      </c>
      <c r="E63" s="5">
        <v>1993</v>
      </c>
      <c r="F63" s="5">
        <f ca="1">LOOKUP($E63,frequence!$A$2:$A$35,frequence!L$2:L$35)</f>
        <v>191.34520119916542</v>
      </c>
      <c r="G63" s="5">
        <f ca="1">LOOKUP($E63,frequence!$A$2:$A$35,frequence!K$2:K$35)</f>
        <v>28.094581622231551</v>
      </c>
      <c r="H63" s="5">
        <f ca="1">LOOKUP($E63,frequence!$A$2:$A$35,frequence!M$2:M$35)</f>
        <v>780.68842089259488</v>
      </c>
      <c r="I63" s="5">
        <v>1991</v>
      </c>
      <c r="J63" s="7">
        <f>LOOKUP(I63,CPI!A$69:A$103,CPI!O$69:O$103)</f>
        <v>1.600998531571219</v>
      </c>
      <c r="K63" s="5">
        <v>1990</v>
      </c>
      <c r="L63" s="7">
        <f t="shared" ca="1" si="19"/>
        <v>1</v>
      </c>
      <c r="M63" s="7">
        <f t="shared" si="2"/>
        <v>5.892857142857142E-2</v>
      </c>
      <c r="N63" s="14">
        <f>2/112</f>
        <v>1.7857142857142856E-2</v>
      </c>
      <c r="O63" s="1">
        <f ca="1">P63*J63*(1+Growth!G$6)^(2010-K63)</f>
        <v>14.694140706904598</v>
      </c>
      <c r="P63" s="1">
        <f>44/12*1.854</f>
        <v>6.798</v>
      </c>
      <c r="Q63" s="2">
        <f t="shared" si="46"/>
        <v>6.798</v>
      </c>
      <c r="R63" s="21">
        <f t="shared" ca="1" si="21"/>
        <v>215.91777111431077</v>
      </c>
      <c r="X63" s="2">
        <f t="shared" si="54"/>
        <v>6.798</v>
      </c>
      <c r="AC63" s="1">
        <f t="shared" si="47"/>
        <v>3.3</v>
      </c>
      <c r="AD63" s="5">
        <v>1</v>
      </c>
      <c r="AE63" s="5">
        <v>0</v>
      </c>
      <c r="AF63" s="5">
        <v>1</v>
      </c>
      <c r="AG63" s="5">
        <v>0</v>
      </c>
      <c r="AH63" s="5">
        <v>0</v>
      </c>
      <c r="AI63" s="3">
        <f t="shared" si="5"/>
        <v>1.3</v>
      </c>
      <c r="AJ63" s="5">
        <f t="shared" si="6"/>
        <v>0</v>
      </c>
      <c r="AK63" s="5">
        <f t="shared" si="22"/>
        <v>0</v>
      </c>
      <c r="AL63" s="5">
        <f t="shared" si="23"/>
        <v>0</v>
      </c>
      <c r="AM63" s="5">
        <f t="shared" si="7"/>
        <v>0</v>
      </c>
      <c r="AN63" s="5">
        <f t="shared" si="24"/>
        <v>0</v>
      </c>
      <c r="AO63" s="5">
        <f t="shared" si="8"/>
        <v>1</v>
      </c>
      <c r="AP63" s="11" t="s">
        <v>42</v>
      </c>
      <c r="AQ63" s="1">
        <v>0</v>
      </c>
      <c r="AR63" s="5">
        <v>0</v>
      </c>
      <c r="AS63" s="5">
        <v>0</v>
      </c>
      <c r="AT63" s="5">
        <v>0</v>
      </c>
      <c r="AU63" s="5">
        <v>0</v>
      </c>
      <c r="AV63" s="5">
        <f t="shared" si="9"/>
        <v>1</v>
      </c>
      <c r="AW63" s="5">
        <f t="shared" si="10"/>
        <v>0</v>
      </c>
      <c r="AX63" s="5">
        <f t="shared" si="11"/>
        <v>0</v>
      </c>
      <c r="AY63" s="1">
        <f t="shared" si="48"/>
        <v>0</v>
      </c>
      <c r="AZ63" s="1">
        <f t="shared" si="49"/>
        <v>0</v>
      </c>
      <c r="BA63" s="1">
        <f t="shared" si="50"/>
        <v>0</v>
      </c>
      <c r="BB63" s="5">
        <v>0</v>
      </c>
      <c r="BC63" s="5">
        <v>0</v>
      </c>
      <c r="BD63" s="5">
        <v>0</v>
      </c>
      <c r="BE63" s="5">
        <f t="shared" si="51"/>
        <v>1</v>
      </c>
      <c r="BF63" s="5">
        <v>0</v>
      </c>
      <c r="BG63" s="5">
        <f t="shared" si="61"/>
        <v>0</v>
      </c>
      <c r="BH63" s="5">
        <f t="shared" si="61"/>
        <v>0</v>
      </c>
      <c r="BI63" s="5">
        <f t="shared" si="61"/>
        <v>0</v>
      </c>
      <c r="BJ63" s="5">
        <f t="shared" si="61"/>
        <v>1</v>
      </c>
      <c r="BK63" s="5">
        <f t="shared" si="61"/>
        <v>0</v>
      </c>
      <c r="BL63" s="5">
        <f t="shared" si="61"/>
        <v>0</v>
      </c>
      <c r="BM63" s="5">
        <f t="shared" si="61"/>
        <v>0</v>
      </c>
      <c r="BN63" s="5">
        <f t="shared" si="61"/>
        <v>0</v>
      </c>
      <c r="BO63" s="5">
        <f t="shared" si="60"/>
        <v>0</v>
      </c>
      <c r="BP63" s="5">
        <f t="shared" si="60"/>
        <v>0</v>
      </c>
      <c r="BQ63" s="5">
        <f t="shared" si="60"/>
        <v>0</v>
      </c>
      <c r="BR63" s="5">
        <f t="shared" si="60"/>
        <v>0</v>
      </c>
      <c r="BS63" s="5">
        <f t="shared" si="60"/>
        <v>0</v>
      </c>
      <c r="BT63" s="5">
        <f t="shared" si="60"/>
        <v>0</v>
      </c>
      <c r="BU63" s="5">
        <f t="shared" si="60"/>
        <v>0</v>
      </c>
      <c r="BV63" s="5">
        <f t="shared" si="60"/>
        <v>0</v>
      </c>
      <c r="BW63" s="5">
        <f t="shared" si="60"/>
        <v>0</v>
      </c>
      <c r="BX63" s="5">
        <f t="shared" si="60"/>
        <v>0</v>
      </c>
      <c r="BY63" s="5">
        <f t="shared" si="60"/>
        <v>0</v>
      </c>
      <c r="BZ63" s="5">
        <f t="shared" si="60"/>
        <v>0</v>
      </c>
      <c r="CA63" s="5">
        <f t="shared" si="60"/>
        <v>0</v>
      </c>
      <c r="CB63" s="5">
        <f t="shared" si="60"/>
        <v>0</v>
      </c>
      <c r="CC63" s="5">
        <f t="shared" si="59"/>
        <v>0</v>
      </c>
      <c r="CD63" s="5">
        <f t="shared" si="59"/>
        <v>0</v>
      </c>
      <c r="CE63" s="5">
        <f t="shared" si="17"/>
        <v>0</v>
      </c>
    </row>
    <row r="64" spans="3:83" x14ac:dyDescent="0.2">
      <c r="C64" s="1">
        <f>Growth!D69</f>
        <v>0</v>
      </c>
      <c r="D64" s="5" t="b">
        <f t="shared" si="18"/>
        <v>0</v>
      </c>
      <c r="E64" s="5">
        <v>1993</v>
      </c>
      <c r="F64" s="5">
        <f ca="1">LOOKUP($E64,frequence!$A$2:$A$35,frequence!L$2:L$35)</f>
        <v>191.34520119916542</v>
      </c>
      <c r="G64" s="5">
        <f ca="1">LOOKUP($E64,frequence!$A$2:$A$35,frequence!K$2:K$35)</f>
        <v>28.094581622231551</v>
      </c>
      <c r="H64" s="5">
        <f ca="1">LOOKUP($E64,frequence!$A$2:$A$35,frequence!M$2:M$35)</f>
        <v>780.68842089259488</v>
      </c>
      <c r="I64" s="5">
        <v>1991</v>
      </c>
      <c r="J64" s="7">
        <f>LOOKUP(I64,CPI!A$69:A$103,CPI!O$69:O$103)</f>
        <v>1.600998531571219</v>
      </c>
      <c r="K64" s="5">
        <v>1990</v>
      </c>
      <c r="L64" s="7">
        <f t="shared" ca="1" si="19"/>
        <v>1</v>
      </c>
      <c r="M64" s="7">
        <f t="shared" si="2"/>
        <v>2.946428571428571E-2</v>
      </c>
      <c r="N64" s="14">
        <f>1/112</f>
        <v>8.9285714285714281E-3</v>
      </c>
      <c r="O64" s="1">
        <f ca="1">P64*J64*(1+Growth!G$6)^(2010-K64)</f>
        <v>0.72915908577951627</v>
      </c>
      <c r="P64" s="1">
        <f>44/12*0.092</f>
        <v>0.33733333333333332</v>
      </c>
      <c r="Q64" s="2">
        <f t="shared" si="46"/>
        <v>0.33733333333333332</v>
      </c>
      <c r="R64" s="21">
        <f t="shared" ca="1" si="21"/>
        <v>0.53167297237481992</v>
      </c>
      <c r="X64" s="2">
        <f t="shared" si="54"/>
        <v>0.33733333333333332</v>
      </c>
      <c r="AC64" s="1">
        <f t="shared" si="47"/>
        <v>3.3</v>
      </c>
      <c r="AD64" s="5">
        <v>1</v>
      </c>
      <c r="AE64" s="5">
        <v>0</v>
      </c>
      <c r="AF64" s="5">
        <v>1</v>
      </c>
      <c r="AG64" s="5">
        <v>0</v>
      </c>
      <c r="AH64" s="5">
        <v>0</v>
      </c>
      <c r="AI64" s="3">
        <f t="shared" si="5"/>
        <v>1.3</v>
      </c>
      <c r="AJ64" s="5">
        <f t="shared" si="6"/>
        <v>0</v>
      </c>
      <c r="AK64" s="5">
        <f t="shared" si="22"/>
        <v>0</v>
      </c>
      <c r="AL64" s="5">
        <f t="shared" si="23"/>
        <v>0</v>
      </c>
      <c r="AM64" s="5">
        <f t="shared" si="7"/>
        <v>0</v>
      </c>
      <c r="AN64" s="5">
        <f t="shared" si="24"/>
        <v>0</v>
      </c>
      <c r="AO64" s="5">
        <f t="shared" si="8"/>
        <v>1</v>
      </c>
      <c r="AP64" s="11" t="s">
        <v>42</v>
      </c>
      <c r="AQ64" s="1">
        <v>0</v>
      </c>
      <c r="AR64" s="5">
        <v>0</v>
      </c>
      <c r="AS64" s="5">
        <v>0</v>
      </c>
      <c r="AT64" s="5">
        <v>0</v>
      </c>
      <c r="AU64" s="5">
        <v>0</v>
      </c>
      <c r="AV64" s="5">
        <f t="shared" si="9"/>
        <v>1</v>
      </c>
      <c r="AW64" s="5">
        <f t="shared" si="10"/>
        <v>0</v>
      </c>
      <c r="AX64" s="5">
        <f t="shared" si="11"/>
        <v>0</v>
      </c>
      <c r="AY64" s="1">
        <f t="shared" si="48"/>
        <v>0</v>
      </c>
      <c r="AZ64" s="1">
        <f t="shared" si="49"/>
        <v>0</v>
      </c>
      <c r="BA64" s="1">
        <f t="shared" si="50"/>
        <v>0</v>
      </c>
      <c r="BB64" s="5">
        <v>0</v>
      </c>
      <c r="BC64" s="5">
        <v>0</v>
      </c>
      <c r="BD64" s="5">
        <v>0</v>
      </c>
      <c r="BE64" s="5">
        <f t="shared" si="51"/>
        <v>1</v>
      </c>
      <c r="BF64" s="5">
        <v>0</v>
      </c>
      <c r="BG64" s="5">
        <f t="shared" si="61"/>
        <v>0</v>
      </c>
      <c r="BH64" s="5">
        <f t="shared" si="61"/>
        <v>0</v>
      </c>
      <c r="BI64" s="5">
        <f t="shared" si="61"/>
        <v>0</v>
      </c>
      <c r="BJ64" s="5">
        <f t="shared" si="61"/>
        <v>1</v>
      </c>
      <c r="BK64" s="5">
        <f t="shared" si="61"/>
        <v>0</v>
      </c>
      <c r="BL64" s="5">
        <f t="shared" si="61"/>
        <v>0</v>
      </c>
      <c r="BM64" s="5">
        <f t="shared" si="61"/>
        <v>0</v>
      </c>
      <c r="BN64" s="5">
        <f t="shared" si="61"/>
        <v>0</v>
      </c>
      <c r="BO64" s="5">
        <f t="shared" si="60"/>
        <v>0</v>
      </c>
      <c r="BP64" s="5">
        <f t="shared" si="60"/>
        <v>0</v>
      </c>
      <c r="BQ64" s="5">
        <f t="shared" si="60"/>
        <v>0</v>
      </c>
      <c r="BR64" s="5">
        <f t="shared" si="60"/>
        <v>0</v>
      </c>
      <c r="BS64" s="5">
        <f t="shared" si="60"/>
        <v>0</v>
      </c>
      <c r="BT64" s="5">
        <f t="shared" si="60"/>
        <v>0</v>
      </c>
      <c r="BU64" s="5">
        <f t="shared" si="60"/>
        <v>0</v>
      </c>
      <c r="BV64" s="5">
        <f t="shared" si="60"/>
        <v>0</v>
      </c>
      <c r="BW64" s="5">
        <f t="shared" si="60"/>
        <v>0</v>
      </c>
      <c r="BX64" s="5">
        <f t="shared" si="60"/>
        <v>0</v>
      </c>
      <c r="BY64" s="5">
        <f t="shared" si="60"/>
        <v>0</v>
      </c>
      <c r="BZ64" s="5">
        <f t="shared" si="60"/>
        <v>0</v>
      </c>
      <c r="CA64" s="5">
        <f t="shared" si="60"/>
        <v>0</v>
      </c>
      <c r="CB64" s="5">
        <f t="shared" si="60"/>
        <v>0</v>
      </c>
      <c r="CC64" s="5">
        <f t="shared" si="59"/>
        <v>0</v>
      </c>
      <c r="CD64" s="5">
        <f t="shared" si="59"/>
        <v>0</v>
      </c>
      <c r="CE64" s="5">
        <f t="shared" si="17"/>
        <v>0</v>
      </c>
    </row>
    <row r="65" spans="3:83" x14ac:dyDescent="0.2">
      <c r="C65" s="1">
        <f>Growth!D70</f>
        <v>0</v>
      </c>
      <c r="D65" s="5" t="b">
        <f t="shared" si="18"/>
        <v>0</v>
      </c>
      <c r="E65" s="5">
        <v>1993</v>
      </c>
      <c r="F65" s="5">
        <f ca="1">LOOKUP($E65,frequence!$A$2:$A$35,frequence!L$2:L$35)</f>
        <v>191.34520119916542</v>
      </c>
      <c r="G65" s="5">
        <f ca="1">LOOKUP($E65,frequence!$A$2:$A$35,frequence!K$2:K$35)</f>
        <v>28.094581622231551</v>
      </c>
      <c r="H65" s="5">
        <f ca="1">LOOKUP($E65,frequence!$A$2:$A$35,frequence!M$2:M$35)</f>
        <v>780.68842089259488</v>
      </c>
      <c r="I65" s="5">
        <v>1991</v>
      </c>
      <c r="J65" s="7">
        <f>LOOKUP(I65,CPI!A$69:A$103,CPI!O$69:O$103)</f>
        <v>1.600998531571219</v>
      </c>
      <c r="K65" s="5">
        <v>1990</v>
      </c>
      <c r="L65" s="7">
        <f t="shared" ca="1" si="19"/>
        <v>1</v>
      </c>
      <c r="M65" s="7">
        <f t="shared" si="2"/>
        <v>2.946428571428571E-2</v>
      </c>
      <c r="N65" s="14">
        <f>1/112</f>
        <v>8.9285714285714281E-3</v>
      </c>
      <c r="O65" s="1">
        <f ca="1">P65*J65*(1+Growth!G$6)^(2010-K65)</f>
        <v>4.3749545146770972</v>
      </c>
      <c r="P65" s="1">
        <f>44/12*0.552</f>
        <v>2.024</v>
      </c>
      <c r="Q65" s="2">
        <f t="shared" si="46"/>
        <v>2.024</v>
      </c>
      <c r="R65" s="21">
        <f t="shared" ca="1" si="21"/>
        <v>19.140227005493514</v>
      </c>
      <c r="X65" s="2">
        <f t="shared" si="54"/>
        <v>2.024</v>
      </c>
      <c r="AC65" s="1">
        <f t="shared" si="47"/>
        <v>3.3</v>
      </c>
      <c r="AD65" s="5">
        <v>1</v>
      </c>
      <c r="AE65" s="5">
        <v>0</v>
      </c>
      <c r="AF65" s="5">
        <v>1</v>
      </c>
      <c r="AG65" s="5">
        <v>0</v>
      </c>
      <c r="AH65" s="5">
        <v>0</v>
      </c>
      <c r="AI65" s="3">
        <f t="shared" si="5"/>
        <v>1.3</v>
      </c>
      <c r="AJ65" s="5">
        <f t="shared" si="6"/>
        <v>0</v>
      </c>
      <c r="AK65" s="5">
        <f t="shared" si="22"/>
        <v>0</v>
      </c>
      <c r="AL65" s="5">
        <f t="shared" si="23"/>
        <v>0</v>
      </c>
      <c r="AM65" s="5">
        <f t="shared" si="7"/>
        <v>0</v>
      </c>
      <c r="AN65" s="5">
        <f t="shared" si="24"/>
        <v>0</v>
      </c>
      <c r="AO65" s="5">
        <f t="shared" si="8"/>
        <v>1</v>
      </c>
      <c r="AP65" s="11" t="s">
        <v>42</v>
      </c>
      <c r="AQ65" s="1">
        <v>0</v>
      </c>
      <c r="AR65" s="5">
        <v>0</v>
      </c>
      <c r="AS65" s="5">
        <v>0</v>
      </c>
      <c r="AT65" s="5">
        <v>0</v>
      </c>
      <c r="AU65" s="5">
        <v>0</v>
      </c>
      <c r="AV65" s="5">
        <f t="shared" si="9"/>
        <v>1</v>
      </c>
      <c r="AW65" s="5">
        <f t="shared" si="10"/>
        <v>0</v>
      </c>
      <c r="AX65" s="5">
        <f t="shared" si="11"/>
        <v>0</v>
      </c>
      <c r="AY65" s="1">
        <f t="shared" si="48"/>
        <v>0</v>
      </c>
      <c r="AZ65" s="1">
        <f t="shared" si="49"/>
        <v>0</v>
      </c>
      <c r="BA65" s="1">
        <f t="shared" si="50"/>
        <v>0</v>
      </c>
      <c r="BB65" s="5">
        <v>0</v>
      </c>
      <c r="BC65" s="5">
        <v>0</v>
      </c>
      <c r="BD65" s="5">
        <v>0</v>
      </c>
      <c r="BE65" s="5">
        <f t="shared" si="51"/>
        <v>1</v>
      </c>
      <c r="BF65" s="5">
        <v>0</v>
      </c>
      <c r="BG65" s="5">
        <f t="shared" si="61"/>
        <v>0</v>
      </c>
      <c r="BH65" s="5">
        <f t="shared" si="61"/>
        <v>0</v>
      </c>
      <c r="BI65" s="5">
        <f t="shared" si="61"/>
        <v>0</v>
      </c>
      <c r="BJ65" s="5">
        <f t="shared" si="61"/>
        <v>1</v>
      </c>
      <c r="BK65" s="5">
        <f t="shared" si="61"/>
        <v>0</v>
      </c>
      <c r="BL65" s="5">
        <f t="shared" si="61"/>
        <v>0</v>
      </c>
      <c r="BM65" s="5">
        <f t="shared" si="61"/>
        <v>0</v>
      </c>
      <c r="BN65" s="5">
        <f t="shared" si="61"/>
        <v>0</v>
      </c>
      <c r="BO65" s="5">
        <f t="shared" si="60"/>
        <v>0</v>
      </c>
      <c r="BP65" s="5">
        <f t="shared" si="60"/>
        <v>0</v>
      </c>
      <c r="BQ65" s="5">
        <f t="shared" si="60"/>
        <v>0</v>
      </c>
      <c r="BR65" s="5">
        <f t="shared" si="60"/>
        <v>0</v>
      </c>
      <c r="BS65" s="5">
        <f t="shared" si="60"/>
        <v>0</v>
      </c>
      <c r="BT65" s="5">
        <f t="shared" si="60"/>
        <v>0</v>
      </c>
      <c r="BU65" s="5">
        <f t="shared" si="60"/>
        <v>0</v>
      </c>
      <c r="BV65" s="5">
        <f t="shared" si="60"/>
        <v>0</v>
      </c>
      <c r="BW65" s="5">
        <f t="shared" si="60"/>
        <v>0</v>
      </c>
      <c r="BX65" s="5">
        <f t="shared" si="60"/>
        <v>0</v>
      </c>
      <c r="BY65" s="5">
        <f t="shared" si="60"/>
        <v>0</v>
      </c>
      <c r="BZ65" s="5">
        <f t="shared" si="60"/>
        <v>0</v>
      </c>
      <c r="CA65" s="5">
        <f t="shared" si="60"/>
        <v>0</v>
      </c>
      <c r="CB65" s="5">
        <f t="shared" si="60"/>
        <v>0</v>
      </c>
      <c r="CC65" s="5">
        <f t="shared" si="59"/>
        <v>0</v>
      </c>
      <c r="CD65" s="5">
        <f t="shared" si="59"/>
        <v>0</v>
      </c>
      <c r="CE65" s="5">
        <f t="shared" si="17"/>
        <v>0</v>
      </c>
    </row>
    <row r="66" spans="3:83" x14ac:dyDescent="0.2">
      <c r="C66" s="1">
        <f>Growth!D71</f>
        <v>0</v>
      </c>
      <c r="D66" s="5" t="b">
        <f t="shared" si="18"/>
        <v>0</v>
      </c>
      <c r="E66" s="5">
        <v>1993</v>
      </c>
      <c r="F66" s="5">
        <f ca="1">LOOKUP($E66,frequence!$A$2:$A$35,frequence!L$2:L$35)</f>
        <v>191.34520119916542</v>
      </c>
      <c r="G66" s="5">
        <f ca="1">LOOKUP($E66,frequence!$A$2:$A$35,frequence!K$2:K$35)</f>
        <v>28.094581622231551</v>
      </c>
      <c r="H66" s="5">
        <f ca="1">LOOKUP($E66,frequence!$A$2:$A$35,frequence!M$2:M$35)</f>
        <v>780.68842089259488</v>
      </c>
      <c r="I66" s="5">
        <v>1991</v>
      </c>
      <c r="J66" s="7">
        <f>LOOKUP(I66,CPI!A$69:A$103,CPI!O$69:O$103)</f>
        <v>1.600998531571219</v>
      </c>
      <c r="K66" s="5">
        <v>1990</v>
      </c>
      <c r="L66" s="7">
        <f t="shared" ca="1" si="19"/>
        <v>1</v>
      </c>
      <c r="M66" s="7">
        <f t="shared" si="2"/>
        <v>5.892857142857142E-2</v>
      </c>
      <c r="N66" s="14">
        <f>2/112</f>
        <v>1.7857142857142856E-2</v>
      </c>
      <c r="O66" s="1">
        <f ca="1">P66*J66*(1+Growth!G$6)^(2010-K66)</f>
        <v>1.109589913142742</v>
      </c>
      <c r="P66" s="1">
        <f>44/12*0.14</f>
        <v>0.51333333333333331</v>
      </c>
      <c r="Q66" s="2">
        <f t="shared" si="46"/>
        <v>0.51333333333333331</v>
      </c>
      <c r="R66" s="21">
        <f t="shared" ca="1" si="21"/>
        <v>1.2311897753481178</v>
      </c>
      <c r="X66" s="2">
        <f t="shared" si="54"/>
        <v>0.51333333333333331</v>
      </c>
      <c r="AC66" s="1">
        <f t="shared" si="47"/>
        <v>3.3</v>
      </c>
      <c r="AD66" s="5">
        <v>1</v>
      </c>
      <c r="AE66" s="5">
        <v>0</v>
      </c>
      <c r="AF66" s="5">
        <v>1</v>
      </c>
      <c r="AG66" s="5">
        <v>0</v>
      </c>
      <c r="AH66" s="5">
        <v>0</v>
      </c>
      <c r="AI66" s="3">
        <f t="shared" si="5"/>
        <v>1.3</v>
      </c>
      <c r="AJ66" s="5">
        <f t="shared" si="6"/>
        <v>0</v>
      </c>
      <c r="AK66" s="5">
        <f t="shared" si="22"/>
        <v>0</v>
      </c>
      <c r="AL66" s="5">
        <f t="shared" si="23"/>
        <v>0</v>
      </c>
      <c r="AM66" s="5">
        <f t="shared" si="7"/>
        <v>0</v>
      </c>
      <c r="AN66" s="5">
        <f t="shared" si="24"/>
        <v>0</v>
      </c>
      <c r="AO66" s="5">
        <f t="shared" si="8"/>
        <v>1</v>
      </c>
      <c r="AP66" s="11" t="s">
        <v>42</v>
      </c>
      <c r="AQ66" s="1">
        <v>0</v>
      </c>
      <c r="AR66" s="5">
        <v>0</v>
      </c>
      <c r="AS66" s="5">
        <v>0</v>
      </c>
      <c r="AT66" s="5">
        <v>0</v>
      </c>
      <c r="AU66" s="5">
        <v>0</v>
      </c>
      <c r="AV66" s="5">
        <f t="shared" si="9"/>
        <v>1</v>
      </c>
      <c r="AW66" s="5">
        <f t="shared" si="10"/>
        <v>0</v>
      </c>
      <c r="AX66" s="5">
        <f t="shared" si="11"/>
        <v>0</v>
      </c>
      <c r="AY66" s="1">
        <f t="shared" si="48"/>
        <v>0</v>
      </c>
      <c r="AZ66" s="1">
        <f t="shared" si="49"/>
        <v>0</v>
      </c>
      <c r="BA66" s="1">
        <f t="shared" si="50"/>
        <v>0</v>
      </c>
      <c r="BB66" s="5">
        <v>0</v>
      </c>
      <c r="BC66" s="5">
        <v>0</v>
      </c>
      <c r="BD66" s="5">
        <v>0</v>
      </c>
      <c r="BE66" s="5">
        <f t="shared" si="51"/>
        <v>1</v>
      </c>
      <c r="BF66" s="5">
        <v>0</v>
      </c>
      <c r="BG66" s="5">
        <f t="shared" si="61"/>
        <v>0</v>
      </c>
      <c r="BH66" s="5">
        <f t="shared" si="61"/>
        <v>0</v>
      </c>
      <c r="BI66" s="5">
        <f t="shared" si="61"/>
        <v>0</v>
      </c>
      <c r="BJ66" s="5">
        <f t="shared" si="61"/>
        <v>1</v>
      </c>
      <c r="BK66" s="5">
        <f t="shared" si="61"/>
        <v>0</v>
      </c>
      <c r="BL66" s="5">
        <f t="shared" si="61"/>
        <v>0</v>
      </c>
      <c r="BM66" s="5">
        <f t="shared" si="61"/>
        <v>0</v>
      </c>
      <c r="BN66" s="5">
        <f t="shared" si="61"/>
        <v>0</v>
      </c>
      <c r="BO66" s="5">
        <f t="shared" si="60"/>
        <v>0</v>
      </c>
      <c r="BP66" s="5">
        <f t="shared" si="60"/>
        <v>0</v>
      </c>
      <c r="BQ66" s="5">
        <f t="shared" si="60"/>
        <v>0</v>
      </c>
      <c r="BR66" s="5">
        <f t="shared" si="60"/>
        <v>0</v>
      </c>
      <c r="BS66" s="5">
        <f t="shared" si="60"/>
        <v>0</v>
      </c>
      <c r="BT66" s="5">
        <f t="shared" si="60"/>
        <v>0</v>
      </c>
      <c r="BU66" s="5">
        <f t="shared" si="60"/>
        <v>0</v>
      </c>
      <c r="BV66" s="5">
        <f t="shared" si="60"/>
        <v>0</v>
      </c>
      <c r="BW66" s="5">
        <f t="shared" si="60"/>
        <v>0</v>
      </c>
      <c r="BX66" s="5">
        <f t="shared" si="60"/>
        <v>0</v>
      </c>
      <c r="BY66" s="5">
        <f t="shared" si="60"/>
        <v>0</v>
      </c>
      <c r="BZ66" s="5">
        <f t="shared" si="60"/>
        <v>0</v>
      </c>
      <c r="CA66" s="5">
        <f t="shared" si="60"/>
        <v>0</v>
      </c>
      <c r="CB66" s="5">
        <f t="shared" si="60"/>
        <v>0</v>
      </c>
      <c r="CC66" s="5">
        <f t="shared" si="59"/>
        <v>0</v>
      </c>
      <c r="CD66" s="5">
        <f t="shared" si="59"/>
        <v>0</v>
      </c>
      <c r="CE66" s="5">
        <f t="shared" si="17"/>
        <v>0</v>
      </c>
    </row>
    <row r="67" spans="3:83" x14ac:dyDescent="0.2">
      <c r="C67" s="1">
        <f>Growth!D72</f>
        <v>0</v>
      </c>
      <c r="D67" s="5" t="b">
        <f t="shared" si="18"/>
        <v>0</v>
      </c>
      <c r="E67" s="5">
        <v>1993</v>
      </c>
      <c r="F67" s="5">
        <f ca="1">LOOKUP($E67,frequence!$A$2:$A$35,frequence!L$2:L$35)</f>
        <v>191.34520119916542</v>
      </c>
      <c r="G67" s="5">
        <f ca="1">LOOKUP($E67,frequence!$A$2:$A$35,frequence!K$2:K$35)</f>
        <v>28.094581622231551</v>
      </c>
      <c r="H67" s="5">
        <f ca="1">LOOKUP($E67,frequence!$A$2:$A$35,frequence!M$2:M$35)</f>
        <v>780.68842089259488</v>
      </c>
      <c r="I67" s="5">
        <v>1991</v>
      </c>
      <c r="J67" s="7">
        <f>LOOKUP(I67,CPI!A$69:A$103,CPI!O$69:O$103)</f>
        <v>1.600998531571219</v>
      </c>
      <c r="K67" s="5">
        <v>1990</v>
      </c>
      <c r="L67" s="7">
        <f t="shared" ca="1" si="19"/>
        <v>1</v>
      </c>
      <c r="M67" s="7">
        <f t="shared" si="2"/>
        <v>5.892857142857142E-2</v>
      </c>
      <c r="N67" s="14">
        <f>2/112</f>
        <v>1.7857142857142856E-2</v>
      </c>
      <c r="O67" s="1">
        <f ca="1">P67*J67*(1+Growth!G$6)^(2010-K67)</f>
        <v>6.6575394788564513</v>
      </c>
      <c r="P67" s="1">
        <f>44/12*0.84</f>
        <v>3.0799999999999996</v>
      </c>
      <c r="Q67" s="2">
        <f t="shared" si="46"/>
        <v>3.0799999999999996</v>
      </c>
      <c r="R67" s="21">
        <f t="shared" ca="1" si="21"/>
        <v>44.32283191253223</v>
      </c>
      <c r="X67" s="2">
        <f t="shared" si="54"/>
        <v>3.0799999999999996</v>
      </c>
      <c r="AC67" s="1">
        <f t="shared" si="47"/>
        <v>3.3</v>
      </c>
      <c r="AD67" s="5">
        <v>1</v>
      </c>
      <c r="AE67" s="5">
        <v>0</v>
      </c>
      <c r="AF67" s="5">
        <v>1</v>
      </c>
      <c r="AG67" s="5">
        <v>0</v>
      </c>
      <c r="AH67" s="5">
        <v>0</v>
      </c>
      <c r="AI67" s="3">
        <f t="shared" si="5"/>
        <v>1.3</v>
      </c>
      <c r="AJ67" s="5">
        <f t="shared" si="6"/>
        <v>0</v>
      </c>
      <c r="AK67" s="5">
        <f t="shared" si="22"/>
        <v>0</v>
      </c>
      <c r="AL67" s="5">
        <f t="shared" si="23"/>
        <v>0</v>
      </c>
      <c r="AM67" s="5">
        <f t="shared" si="7"/>
        <v>0</v>
      </c>
      <c r="AN67" s="5">
        <f t="shared" si="24"/>
        <v>0</v>
      </c>
      <c r="AO67" s="5">
        <f t="shared" si="8"/>
        <v>1</v>
      </c>
      <c r="AP67" s="11" t="s">
        <v>42</v>
      </c>
      <c r="AQ67" s="1">
        <v>0</v>
      </c>
      <c r="AR67" s="5">
        <v>0</v>
      </c>
      <c r="AS67" s="5">
        <v>0</v>
      </c>
      <c r="AT67" s="5">
        <v>0</v>
      </c>
      <c r="AU67" s="5">
        <v>0</v>
      </c>
      <c r="AV67" s="5">
        <f t="shared" si="9"/>
        <v>1</v>
      </c>
      <c r="AW67" s="5">
        <f t="shared" si="10"/>
        <v>0</v>
      </c>
      <c r="AX67" s="5">
        <f t="shared" si="11"/>
        <v>0</v>
      </c>
      <c r="AY67" s="1">
        <f t="shared" si="48"/>
        <v>0</v>
      </c>
      <c r="AZ67" s="1">
        <f t="shared" si="49"/>
        <v>0</v>
      </c>
      <c r="BA67" s="1">
        <f t="shared" si="50"/>
        <v>0</v>
      </c>
      <c r="BB67" s="5">
        <v>0</v>
      </c>
      <c r="BC67" s="5">
        <v>0</v>
      </c>
      <c r="BD67" s="5">
        <v>0</v>
      </c>
      <c r="BE67" s="5">
        <f t="shared" si="51"/>
        <v>1</v>
      </c>
      <c r="BF67" s="5">
        <v>0</v>
      </c>
      <c r="BG67" s="5">
        <f t="shared" si="61"/>
        <v>0</v>
      </c>
      <c r="BH67" s="5">
        <f t="shared" si="61"/>
        <v>0</v>
      </c>
      <c r="BI67" s="5">
        <f t="shared" si="61"/>
        <v>0</v>
      </c>
      <c r="BJ67" s="5">
        <f t="shared" si="61"/>
        <v>1</v>
      </c>
      <c r="BK67" s="5">
        <f t="shared" si="61"/>
        <v>0</v>
      </c>
      <c r="BL67" s="5">
        <f t="shared" si="61"/>
        <v>0</v>
      </c>
      <c r="BM67" s="5">
        <f t="shared" si="61"/>
        <v>0</v>
      </c>
      <c r="BN67" s="5">
        <f t="shared" si="61"/>
        <v>0</v>
      </c>
      <c r="BO67" s="5">
        <f t="shared" si="60"/>
        <v>0</v>
      </c>
      <c r="BP67" s="5">
        <f t="shared" si="60"/>
        <v>0</v>
      </c>
      <c r="BQ67" s="5">
        <f t="shared" si="60"/>
        <v>0</v>
      </c>
      <c r="BR67" s="5">
        <f t="shared" si="60"/>
        <v>0</v>
      </c>
      <c r="BS67" s="5">
        <f t="shared" si="60"/>
        <v>0</v>
      </c>
      <c r="BT67" s="5">
        <f t="shared" si="60"/>
        <v>0</v>
      </c>
      <c r="BU67" s="5">
        <f t="shared" si="60"/>
        <v>0</v>
      </c>
      <c r="BV67" s="5">
        <f t="shared" si="60"/>
        <v>0</v>
      </c>
      <c r="BW67" s="5">
        <f t="shared" si="60"/>
        <v>0</v>
      </c>
      <c r="BX67" s="5">
        <f t="shared" si="60"/>
        <v>0</v>
      </c>
      <c r="BY67" s="5">
        <f t="shared" si="60"/>
        <v>0</v>
      </c>
      <c r="BZ67" s="5">
        <f t="shared" si="60"/>
        <v>0</v>
      </c>
      <c r="CA67" s="5">
        <f t="shared" si="60"/>
        <v>0</v>
      </c>
      <c r="CB67" s="5">
        <f t="shared" si="60"/>
        <v>0</v>
      </c>
      <c r="CC67" s="5">
        <f t="shared" si="59"/>
        <v>0</v>
      </c>
      <c r="CD67" s="5">
        <f t="shared" si="59"/>
        <v>0</v>
      </c>
      <c r="CE67" s="5">
        <f t="shared" si="17"/>
        <v>0</v>
      </c>
    </row>
    <row r="68" spans="3:83" x14ac:dyDescent="0.2">
      <c r="C68" s="1">
        <f>Growth!D73</f>
        <v>0</v>
      </c>
      <c r="D68" s="5" t="b">
        <f t="shared" si="18"/>
        <v>0</v>
      </c>
      <c r="E68" s="5">
        <v>1993</v>
      </c>
      <c r="F68" s="5">
        <f ca="1">LOOKUP($E68,frequence!$A$2:$A$35,frequence!L$2:L$35)</f>
        <v>191.34520119916542</v>
      </c>
      <c r="G68" s="5">
        <f ca="1">LOOKUP($E68,frequence!$A$2:$A$35,frequence!K$2:K$35)</f>
        <v>28.094581622231551</v>
      </c>
      <c r="H68" s="5">
        <f ca="1">LOOKUP($E68,frequence!$A$2:$A$35,frequence!M$2:M$35)</f>
        <v>780.68842089259488</v>
      </c>
      <c r="I68" s="5">
        <v>1991</v>
      </c>
      <c r="J68" s="7">
        <f>LOOKUP(I68,CPI!A$69:A$103,CPI!O$69:O$103)</f>
        <v>1.600998531571219</v>
      </c>
      <c r="K68" s="5">
        <v>1990</v>
      </c>
      <c r="L68" s="7">
        <f t="shared" ca="1" si="19"/>
        <v>1</v>
      </c>
      <c r="M68" s="7">
        <f t="shared" ref="M68:M131" si="62">N68*AC68</f>
        <v>5.892857142857142E-2</v>
      </c>
      <c r="N68" s="14">
        <f>2/112</f>
        <v>1.7857142857142856E-2</v>
      </c>
      <c r="O68" s="1">
        <f ca="1">P68*J68*(1+Growth!G$6)^(2010-K68)</f>
        <v>2.1874772573385486</v>
      </c>
      <c r="P68" s="1">
        <f>44/12*0.276</f>
        <v>1.012</v>
      </c>
      <c r="Q68" s="2">
        <f t="shared" si="46"/>
        <v>1.012</v>
      </c>
      <c r="R68" s="21">
        <f t="shared" ca="1" si="21"/>
        <v>4.7850567513733786</v>
      </c>
      <c r="X68" s="2">
        <f t="shared" ref="X68:X99" si="63">P68</f>
        <v>1.012</v>
      </c>
      <c r="AC68" s="1">
        <f t="shared" si="47"/>
        <v>3.3</v>
      </c>
      <c r="AD68" s="5">
        <v>1</v>
      </c>
      <c r="AE68" s="5">
        <v>0</v>
      </c>
      <c r="AF68" s="5">
        <v>1</v>
      </c>
      <c r="AG68" s="5">
        <v>0</v>
      </c>
      <c r="AH68" s="5">
        <v>0</v>
      </c>
      <c r="AI68" s="3">
        <f t="shared" ref="AI68:AI131" si="64">(E68-1980)/10</f>
        <v>1.3</v>
      </c>
      <c r="AJ68" s="5">
        <f t="shared" si="6"/>
        <v>0</v>
      </c>
      <c r="AK68" s="5">
        <f t="shared" si="22"/>
        <v>0</v>
      </c>
      <c r="AL68" s="5">
        <f t="shared" si="23"/>
        <v>0</v>
      </c>
      <c r="AM68" s="5">
        <f t="shared" si="7"/>
        <v>0</v>
      </c>
      <c r="AN68" s="5">
        <f t="shared" si="24"/>
        <v>0</v>
      </c>
      <c r="AO68" s="5">
        <f t="shared" si="8"/>
        <v>1</v>
      </c>
      <c r="AP68" s="11" t="s">
        <v>42</v>
      </c>
      <c r="AQ68" s="1">
        <v>0</v>
      </c>
      <c r="AR68" s="5">
        <v>0</v>
      </c>
      <c r="AS68" s="5">
        <v>0</v>
      </c>
      <c r="AT68" s="5">
        <v>0</v>
      </c>
      <c r="AU68" s="5">
        <v>0</v>
      </c>
      <c r="AV68" s="5">
        <f t="shared" ref="AV68:AV131" si="65">IF(E68&lt;1996,1,0)</f>
        <v>1</v>
      </c>
      <c r="AW68" s="5">
        <f t="shared" ref="AW68:AW131" si="66">IF(E68&lt;2002,IF(E68&gt;1995,1,0),0)</f>
        <v>0</v>
      </c>
      <c r="AX68" s="5">
        <f t="shared" ref="AX68:AX131" si="67">IF(E68&gt;2001,1,0)</f>
        <v>0</v>
      </c>
      <c r="AY68" s="1">
        <f t="shared" si="48"/>
        <v>0</v>
      </c>
      <c r="AZ68" s="1">
        <f t="shared" si="49"/>
        <v>0</v>
      </c>
      <c r="BA68" s="1">
        <f t="shared" si="50"/>
        <v>0</v>
      </c>
      <c r="BB68" s="5">
        <v>0</v>
      </c>
      <c r="BC68" s="5">
        <v>0</v>
      </c>
      <c r="BD68" s="5">
        <v>0</v>
      </c>
      <c r="BE68" s="5">
        <f t="shared" si="51"/>
        <v>1</v>
      </c>
      <c r="BF68" s="5">
        <v>0</v>
      </c>
      <c r="BG68" s="5">
        <f t="shared" si="61"/>
        <v>0</v>
      </c>
      <c r="BH68" s="5">
        <f t="shared" si="61"/>
        <v>0</v>
      </c>
      <c r="BI68" s="5">
        <f t="shared" si="61"/>
        <v>0</v>
      </c>
      <c r="BJ68" s="5">
        <f t="shared" si="61"/>
        <v>1</v>
      </c>
      <c r="BK68" s="5">
        <f t="shared" si="61"/>
        <v>0</v>
      </c>
      <c r="BL68" s="5">
        <f t="shared" si="61"/>
        <v>0</v>
      </c>
      <c r="BM68" s="5">
        <f t="shared" si="61"/>
        <v>0</v>
      </c>
      <c r="BN68" s="5">
        <f t="shared" ref="BN68:CB83" si="68">IF($E68=BN$2,1,0)</f>
        <v>0</v>
      </c>
      <c r="BO68" s="5">
        <f t="shared" si="68"/>
        <v>0</v>
      </c>
      <c r="BP68" s="5">
        <f t="shared" si="68"/>
        <v>0</v>
      </c>
      <c r="BQ68" s="5">
        <f t="shared" si="68"/>
        <v>0</v>
      </c>
      <c r="BR68" s="5">
        <f t="shared" si="68"/>
        <v>0</v>
      </c>
      <c r="BS68" s="5">
        <f t="shared" si="68"/>
        <v>0</v>
      </c>
      <c r="BT68" s="5">
        <f t="shared" si="68"/>
        <v>0</v>
      </c>
      <c r="BU68" s="5">
        <f t="shared" si="68"/>
        <v>0</v>
      </c>
      <c r="BV68" s="5">
        <f t="shared" si="68"/>
        <v>0</v>
      </c>
      <c r="BW68" s="5">
        <f t="shared" si="68"/>
        <v>0</v>
      </c>
      <c r="BX68" s="5">
        <f t="shared" si="68"/>
        <v>0</v>
      </c>
      <c r="BY68" s="5">
        <f t="shared" si="68"/>
        <v>0</v>
      </c>
      <c r="BZ68" s="5">
        <f t="shared" si="68"/>
        <v>0</v>
      </c>
      <c r="CA68" s="5">
        <f t="shared" si="68"/>
        <v>0</v>
      </c>
      <c r="CB68" s="5">
        <f t="shared" si="68"/>
        <v>0</v>
      </c>
      <c r="CC68" s="5">
        <f t="shared" si="59"/>
        <v>0</v>
      </c>
      <c r="CD68" s="5">
        <f t="shared" si="59"/>
        <v>0</v>
      </c>
      <c r="CE68" s="5">
        <f t="shared" si="59"/>
        <v>0</v>
      </c>
    </row>
    <row r="69" spans="3:83" x14ac:dyDescent="0.2">
      <c r="C69" s="1">
        <f>Growth!D74</f>
        <v>0</v>
      </c>
      <c r="D69" s="5" t="b">
        <f t="shared" ref="D69:D132" si="69">IF(B69&gt;0,E69)</f>
        <v>0</v>
      </c>
      <c r="E69" s="5">
        <v>1993</v>
      </c>
      <c r="F69" s="5">
        <f ca="1">LOOKUP($E69,frequence!$A$2:$A$35,frequence!L$2:L$35)</f>
        <v>191.34520119916542</v>
      </c>
      <c r="G69" s="5">
        <f ca="1">LOOKUP($E69,frequence!$A$2:$A$35,frequence!K$2:K$35)</f>
        <v>28.094581622231551</v>
      </c>
      <c r="H69" s="5">
        <f ca="1">LOOKUP($E69,frequence!$A$2:$A$35,frequence!M$2:M$35)</f>
        <v>780.68842089259488</v>
      </c>
      <c r="I69" s="5">
        <v>1991</v>
      </c>
      <c r="J69" s="7">
        <f>LOOKUP(I69,CPI!A$69:A$103,CPI!O$69:O$103)</f>
        <v>1.600998531571219</v>
      </c>
      <c r="K69" s="5">
        <v>1990</v>
      </c>
      <c r="L69" s="7">
        <f t="shared" ref="L69:L132" ca="1" si="70">IF(O69&lt;L$1,1,IF(O69&gt;L$2,0,1-(O69-L$1)/(L$2-L$1)))</f>
        <v>1</v>
      </c>
      <c r="M69" s="7">
        <f t="shared" si="62"/>
        <v>5.892857142857142E-2</v>
      </c>
      <c r="N69" s="14">
        <f>2/112</f>
        <v>1.7857142857142856E-2</v>
      </c>
      <c r="O69" s="1">
        <f ca="1">P69*J69*(1+Growth!G$6)^(2010-K69)</f>
        <v>13.124863544031291</v>
      </c>
      <c r="P69" s="1">
        <f>44/12*1.656</f>
        <v>6.0719999999999992</v>
      </c>
      <c r="Q69" s="2">
        <f t="shared" si="46"/>
        <v>6.0719999999999992</v>
      </c>
      <c r="R69" s="21">
        <f t="shared" ref="R69:R132" ca="1" si="71">O69*O69</f>
        <v>172.26204304944162</v>
      </c>
      <c r="X69" s="2">
        <f t="shared" si="63"/>
        <v>6.0719999999999992</v>
      </c>
      <c r="AC69" s="1">
        <f t="shared" si="47"/>
        <v>3.3</v>
      </c>
      <c r="AD69" s="5">
        <v>1</v>
      </c>
      <c r="AE69" s="5">
        <v>0</v>
      </c>
      <c r="AF69" s="5">
        <v>1</v>
      </c>
      <c r="AG69" s="5">
        <v>0</v>
      </c>
      <c r="AH69" s="5">
        <v>0</v>
      </c>
      <c r="AI69" s="3">
        <f t="shared" si="64"/>
        <v>1.3</v>
      </c>
      <c r="AJ69" s="5">
        <f t="shared" si="6"/>
        <v>0</v>
      </c>
      <c r="AK69" s="5">
        <f t="shared" ref="AK69:AK132" si="72">IF($AQ69=2,1,0)</f>
        <v>0</v>
      </c>
      <c r="AL69" s="5">
        <f t="shared" ref="AL69:AL132" si="73">IF($AQ69=1.5,1,0)</f>
        <v>0</v>
      </c>
      <c r="AM69" s="5">
        <f t="shared" si="7"/>
        <v>0</v>
      </c>
      <c r="AN69" s="5">
        <f t="shared" ref="AN69:AN132" si="74">IF($AQ69=0.1,1,0)</f>
        <v>0</v>
      </c>
      <c r="AO69" s="5">
        <f t="shared" si="8"/>
        <v>1</v>
      </c>
      <c r="AP69" s="11" t="s">
        <v>42</v>
      </c>
      <c r="AQ69" s="1">
        <v>0</v>
      </c>
      <c r="AR69" s="5">
        <v>0</v>
      </c>
      <c r="AS69" s="5">
        <v>0</v>
      </c>
      <c r="AT69" s="5">
        <v>0</v>
      </c>
      <c r="AU69" s="5">
        <v>0</v>
      </c>
      <c r="AV69" s="5">
        <f t="shared" si="65"/>
        <v>1</v>
      </c>
      <c r="AW69" s="5">
        <f t="shared" si="66"/>
        <v>0</v>
      </c>
      <c r="AX69" s="5">
        <f t="shared" si="67"/>
        <v>0</v>
      </c>
      <c r="AY69" s="1">
        <f t="shared" si="48"/>
        <v>0</v>
      </c>
      <c r="AZ69" s="1">
        <f t="shared" si="49"/>
        <v>0</v>
      </c>
      <c r="BA69" s="1">
        <f t="shared" si="50"/>
        <v>0</v>
      </c>
      <c r="BB69" s="5">
        <v>0</v>
      </c>
      <c r="BC69" s="5">
        <v>0</v>
      </c>
      <c r="BD69" s="5">
        <v>0</v>
      </c>
      <c r="BE69" s="5">
        <f t="shared" si="51"/>
        <v>1</v>
      </c>
      <c r="BF69" s="5">
        <v>0</v>
      </c>
      <c r="BG69" s="5">
        <f t="shared" ref="BG69:BN84" si="75">IF($E69=BG$2,1,0)</f>
        <v>0</v>
      </c>
      <c r="BH69" s="5">
        <f t="shared" si="75"/>
        <v>0</v>
      </c>
      <c r="BI69" s="5">
        <f t="shared" si="75"/>
        <v>0</v>
      </c>
      <c r="BJ69" s="5">
        <f t="shared" si="75"/>
        <v>1</v>
      </c>
      <c r="BK69" s="5">
        <f t="shared" si="75"/>
        <v>0</v>
      </c>
      <c r="BL69" s="5">
        <f t="shared" si="75"/>
        <v>0</v>
      </c>
      <c r="BM69" s="5">
        <f t="shared" si="75"/>
        <v>0</v>
      </c>
      <c r="BN69" s="5">
        <f t="shared" si="68"/>
        <v>0</v>
      </c>
      <c r="BO69" s="5">
        <f t="shared" si="68"/>
        <v>0</v>
      </c>
      <c r="BP69" s="5">
        <f t="shared" si="68"/>
        <v>0</v>
      </c>
      <c r="BQ69" s="5">
        <f t="shared" si="68"/>
        <v>0</v>
      </c>
      <c r="BR69" s="5">
        <f t="shared" si="68"/>
        <v>0</v>
      </c>
      <c r="BS69" s="5">
        <f t="shared" si="68"/>
        <v>0</v>
      </c>
      <c r="BT69" s="5">
        <f t="shared" si="68"/>
        <v>0</v>
      </c>
      <c r="BU69" s="5">
        <f t="shared" si="68"/>
        <v>0</v>
      </c>
      <c r="BV69" s="5">
        <f t="shared" si="68"/>
        <v>0</v>
      </c>
      <c r="BW69" s="5">
        <f t="shared" si="68"/>
        <v>0</v>
      </c>
      <c r="BX69" s="5">
        <f t="shared" si="68"/>
        <v>0</v>
      </c>
      <c r="BY69" s="5">
        <f t="shared" si="68"/>
        <v>0</v>
      </c>
      <c r="BZ69" s="5">
        <f t="shared" si="68"/>
        <v>0</v>
      </c>
      <c r="CA69" s="5">
        <f t="shared" si="68"/>
        <v>0</v>
      </c>
      <c r="CB69" s="5">
        <f t="shared" si="68"/>
        <v>0</v>
      </c>
      <c r="CC69" s="5">
        <f t="shared" si="59"/>
        <v>0</v>
      </c>
      <c r="CD69" s="5">
        <f t="shared" si="59"/>
        <v>0</v>
      </c>
      <c r="CE69" s="5">
        <f t="shared" si="59"/>
        <v>0</v>
      </c>
    </row>
    <row r="70" spans="3:83" x14ac:dyDescent="0.2">
      <c r="C70" s="1">
        <f>Growth!D75</f>
        <v>0</v>
      </c>
      <c r="D70" s="5" t="b">
        <f t="shared" si="69"/>
        <v>0</v>
      </c>
      <c r="E70" s="5">
        <v>1993</v>
      </c>
      <c r="F70" s="5">
        <f ca="1">LOOKUP($E70,frequence!$A$2:$A$35,frequence!L$2:L$35)</f>
        <v>191.34520119916542</v>
      </c>
      <c r="G70" s="5">
        <f ca="1">LOOKUP($E70,frequence!$A$2:$A$35,frequence!K$2:K$35)</f>
        <v>28.094581622231551</v>
      </c>
      <c r="H70" s="5">
        <f ca="1">LOOKUP($E70,frequence!$A$2:$A$35,frequence!M$2:M$35)</f>
        <v>780.68842089259488</v>
      </c>
      <c r="I70" s="5">
        <v>1991</v>
      </c>
      <c r="J70" s="7">
        <f>LOOKUP(I70,CPI!A$69:A$103,CPI!O$69:O$103)</f>
        <v>1.600998531571219</v>
      </c>
      <c r="K70" s="5">
        <v>1990</v>
      </c>
      <c r="L70" s="7">
        <f t="shared" ca="1" si="70"/>
        <v>1</v>
      </c>
      <c r="M70" s="7">
        <f t="shared" si="62"/>
        <v>2.946428571428571E-2</v>
      </c>
      <c r="N70" s="14">
        <f t="shared" ref="N70:N75" si="76">1/112</f>
        <v>8.9285714285714281E-3</v>
      </c>
      <c r="O70" s="1">
        <f ca="1">P70*J70*(1+Growth!G$6)^(2010-K70)</f>
        <v>4.4542109370444356</v>
      </c>
      <c r="P70" s="1">
        <f>44/12*0.562</f>
        <v>2.0606666666666666</v>
      </c>
      <c r="Q70" s="2">
        <f t="shared" si="46"/>
        <v>2.0606666666666666</v>
      </c>
      <c r="R70" s="21">
        <f t="shared" ca="1" si="71"/>
        <v>19.839995071686268</v>
      </c>
      <c r="X70" s="2">
        <f t="shared" si="63"/>
        <v>2.0606666666666666</v>
      </c>
      <c r="AC70" s="1">
        <f t="shared" si="47"/>
        <v>3.3</v>
      </c>
      <c r="AD70" s="5">
        <v>1</v>
      </c>
      <c r="AE70" s="5">
        <v>0</v>
      </c>
      <c r="AF70" s="5">
        <v>1</v>
      </c>
      <c r="AG70" s="5">
        <v>0</v>
      </c>
      <c r="AH70" s="5">
        <v>0</v>
      </c>
      <c r="AI70" s="3">
        <f t="shared" si="64"/>
        <v>1.3</v>
      </c>
      <c r="AJ70" s="5">
        <f t="shared" si="6"/>
        <v>0</v>
      </c>
      <c r="AK70" s="5">
        <f t="shared" si="72"/>
        <v>0</v>
      </c>
      <c r="AL70" s="5">
        <f t="shared" si="73"/>
        <v>0</v>
      </c>
      <c r="AM70" s="5">
        <f t="shared" si="7"/>
        <v>0</v>
      </c>
      <c r="AN70" s="5">
        <f t="shared" si="74"/>
        <v>0</v>
      </c>
      <c r="AO70" s="5">
        <f t="shared" si="8"/>
        <v>1</v>
      </c>
      <c r="AP70" s="11" t="s">
        <v>42</v>
      </c>
      <c r="AQ70" s="1">
        <v>0</v>
      </c>
      <c r="AR70" s="5">
        <v>0</v>
      </c>
      <c r="AS70" s="5">
        <v>0</v>
      </c>
      <c r="AT70" s="5">
        <v>0</v>
      </c>
      <c r="AU70" s="5">
        <v>0</v>
      </c>
      <c r="AV70" s="5">
        <f t="shared" si="65"/>
        <v>1</v>
      </c>
      <c r="AW70" s="5">
        <f t="shared" si="66"/>
        <v>0</v>
      </c>
      <c r="AX70" s="5">
        <f t="shared" si="67"/>
        <v>0</v>
      </c>
      <c r="AY70" s="1">
        <f t="shared" si="48"/>
        <v>0</v>
      </c>
      <c r="AZ70" s="1">
        <f t="shared" si="49"/>
        <v>0</v>
      </c>
      <c r="BA70" s="1">
        <f t="shared" si="50"/>
        <v>0</v>
      </c>
      <c r="BB70" s="5">
        <v>0</v>
      </c>
      <c r="BC70" s="5">
        <v>0</v>
      </c>
      <c r="BD70" s="5">
        <v>0</v>
      </c>
      <c r="BE70" s="5">
        <f t="shared" si="51"/>
        <v>1</v>
      </c>
      <c r="BF70" s="5">
        <v>0</v>
      </c>
      <c r="BG70" s="5">
        <f t="shared" si="75"/>
        <v>0</v>
      </c>
      <c r="BH70" s="5">
        <f t="shared" si="75"/>
        <v>0</v>
      </c>
      <c r="BI70" s="5">
        <f t="shared" si="75"/>
        <v>0</v>
      </c>
      <c r="BJ70" s="5">
        <f t="shared" si="75"/>
        <v>1</v>
      </c>
      <c r="BK70" s="5">
        <f t="shared" si="75"/>
        <v>0</v>
      </c>
      <c r="BL70" s="5">
        <f t="shared" si="75"/>
        <v>0</v>
      </c>
      <c r="BM70" s="5">
        <f t="shared" si="75"/>
        <v>0</v>
      </c>
      <c r="BN70" s="5">
        <f t="shared" si="68"/>
        <v>0</v>
      </c>
      <c r="BO70" s="5">
        <f t="shared" si="68"/>
        <v>0</v>
      </c>
      <c r="BP70" s="5">
        <f t="shared" si="68"/>
        <v>0</v>
      </c>
      <c r="BQ70" s="5">
        <f t="shared" si="68"/>
        <v>0</v>
      </c>
      <c r="BR70" s="5">
        <f t="shared" si="68"/>
        <v>0</v>
      </c>
      <c r="BS70" s="5">
        <f t="shared" si="68"/>
        <v>0</v>
      </c>
      <c r="BT70" s="5">
        <f t="shared" si="68"/>
        <v>0</v>
      </c>
      <c r="BU70" s="5">
        <f t="shared" si="68"/>
        <v>0</v>
      </c>
      <c r="BV70" s="5">
        <f t="shared" si="68"/>
        <v>0</v>
      </c>
      <c r="BW70" s="5">
        <f t="shared" si="68"/>
        <v>0</v>
      </c>
      <c r="BX70" s="5">
        <f t="shared" si="68"/>
        <v>0</v>
      </c>
      <c r="BY70" s="5">
        <f t="shared" si="68"/>
        <v>0</v>
      </c>
      <c r="BZ70" s="5">
        <f t="shared" si="68"/>
        <v>0</v>
      </c>
      <c r="CA70" s="5">
        <f t="shared" si="68"/>
        <v>0</v>
      </c>
      <c r="CB70" s="5">
        <f t="shared" si="68"/>
        <v>0</v>
      </c>
      <c r="CC70" s="5">
        <f t="shared" ref="CC70:CE89" si="77">IF($E70=CC$2,1,0)</f>
        <v>0</v>
      </c>
      <c r="CD70" s="5">
        <f t="shared" si="77"/>
        <v>0</v>
      </c>
      <c r="CE70" s="5">
        <f t="shared" si="77"/>
        <v>0</v>
      </c>
    </row>
    <row r="71" spans="3:83" x14ac:dyDescent="0.2">
      <c r="C71" s="1">
        <f>Growth!D76</f>
        <v>0</v>
      </c>
      <c r="D71" s="5" t="b">
        <f t="shared" si="69"/>
        <v>0</v>
      </c>
      <c r="E71" s="5">
        <v>1993</v>
      </c>
      <c r="F71" s="5">
        <f ca="1">LOOKUP($E71,frequence!$A$2:$A$35,frequence!L$2:L$35)</f>
        <v>191.34520119916542</v>
      </c>
      <c r="G71" s="5">
        <f ca="1">LOOKUP($E71,frequence!$A$2:$A$35,frequence!K$2:K$35)</f>
        <v>28.094581622231551</v>
      </c>
      <c r="H71" s="5">
        <f ca="1">LOOKUP($E71,frequence!$A$2:$A$35,frequence!M$2:M$35)</f>
        <v>780.68842089259488</v>
      </c>
      <c r="I71" s="5">
        <v>1991</v>
      </c>
      <c r="J71" s="7">
        <f>LOOKUP(I71,CPI!A$69:A$103,CPI!O$69:O$103)</f>
        <v>1.600998531571219</v>
      </c>
      <c r="K71" s="5">
        <v>1990</v>
      </c>
      <c r="L71" s="7">
        <f t="shared" ca="1" si="70"/>
        <v>1</v>
      </c>
      <c r="M71" s="7">
        <f t="shared" si="62"/>
        <v>2.946428571428571E-2</v>
      </c>
      <c r="N71" s="14">
        <f t="shared" si="76"/>
        <v>8.9285714285714281E-3</v>
      </c>
      <c r="O71" s="1">
        <f ca="1">P71*J71*(1+Growth!G$6)^(2010-K71)</f>
        <v>25.0133268991321</v>
      </c>
      <c r="P71" s="1">
        <f>44/12*3.156</f>
        <v>11.571999999999999</v>
      </c>
      <c r="Q71" s="2">
        <f t="shared" si="46"/>
        <v>11.571999999999999</v>
      </c>
      <c r="R71" s="21">
        <f t="shared" ca="1" si="71"/>
        <v>625.66652256284544</v>
      </c>
      <c r="X71" s="2">
        <f t="shared" si="63"/>
        <v>11.571999999999999</v>
      </c>
      <c r="AC71" s="1">
        <f t="shared" si="47"/>
        <v>3.3</v>
      </c>
      <c r="AD71" s="5">
        <v>1</v>
      </c>
      <c r="AE71" s="5">
        <v>0</v>
      </c>
      <c r="AF71" s="5">
        <v>1</v>
      </c>
      <c r="AG71" s="5">
        <v>0</v>
      </c>
      <c r="AH71" s="5">
        <v>0</v>
      </c>
      <c r="AI71" s="3">
        <f t="shared" si="64"/>
        <v>1.3</v>
      </c>
      <c r="AJ71" s="5">
        <f t="shared" si="6"/>
        <v>0</v>
      </c>
      <c r="AK71" s="5">
        <f t="shared" si="72"/>
        <v>0</v>
      </c>
      <c r="AL71" s="5">
        <f t="shared" si="73"/>
        <v>0</v>
      </c>
      <c r="AM71" s="5">
        <f t="shared" si="7"/>
        <v>0</v>
      </c>
      <c r="AN71" s="5">
        <f t="shared" si="74"/>
        <v>0</v>
      </c>
      <c r="AO71" s="5">
        <f t="shared" si="8"/>
        <v>1</v>
      </c>
      <c r="AP71" s="11" t="s">
        <v>42</v>
      </c>
      <c r="AQ71" s="1">
        <v>0</v>
      </c>
      <c r="AR71" s="5">
        <v>0</v>
      </c>
      <c r="AS71" s="5">
        <v>0</v>
      </c>
      <c r="AT71" s="5">
        <v>0</v>
      </c>
      <c r="AU71" s="5">
        <v>0</v>
      </c>
      <c r="AV71" s="5">
        <f t="shared" si="65"/>
        <v>1</v>
      </c>
      <c r="AW71" s="5">
        <f t="shared" si="66"/>
        <v>0</v>
      </c>
      <c r="AX71" s="5">
        <f t="shared" si="67"/>
        <v>0</v>
      </c>
      <c r="AY71" s="1">
        <f t="shared" si="48"/>
        <v>0</v>
      </c>
      <c r="AZ71" s="1">
        <f t="shared" si="49"/>
        <v>0</v>
      </c>
      <c r="BA71" s="1">
        <f t="shared" si="50"/>
        <v>0</v>
      </c>
      <c r="BB71" s="5">
        <v>0</v>
      </c>
      <c r="BC71" s="5">
        <v>0</v>
      </c>
      <c r="BD71" s="5">
        <v>0</v>
      </c>
      <c r="BE71" s="5">
        <f t="shared" si="51"/>
        <v>1</v>
      </c>
      <c r="BF71" s="5">
        <v>0</v>
      </c>
      <c r="BG71" s="5">
        <f t="shared" si="75"/>
        <v>0</v>
      </c>
      <c r="BH71" s="5">
        <f t="shared" si="75"/>
        <v>0</v>
      </c>
      <c r="BI71" s="5">
        <f t="shared" si="75"/>
        <v>0</v>
      </c>
      <c r="BJ71" s="5">
        <f t="shared" si="75"/>
        <v>1</v>
      </c>
      <c r="BK71" s="5">
        <f t="shared" si="75"/>
        <v>0</v>
      </c>
      <c r="BL71" s="5">
        <f t="shared" si="75"/>
        <v>0</v>
      </c>
      <c r="BM71" s="5">
        <f t="shared" si="75"/>
        <v>0</v>
      </c>
      <c r="BN71" s="5">
        <f t="shared" si="68"/>
        <v>0</v>
      </c>
      <c r="BO71" s="5">
        <f t="shared" si="68"/>
        <v>0</v>
      </c>
      <c r="BP71" s="5">
        <f t="shared" si="68"/>
        <v>0</v>
      </c>
      <c r="BQ71" s="5">
        <f t="shared" si="68"/>
        <v>0</v>
      </c>
      <c r="BR71" s="5">
        <f t="shared" si="68"/>
        <v>0</v>
      </c>
      <c r="BS71" s="5">
        <f t="shared" si="68"/>
        <v>0</v>
      </c>
      <c r="BT71" s="5">
        <f t="shared" si="68"/>
        <v>0</v>
      </c>
      <c r="BU71" s="5">
        <f t="shared" si="68"/>
        <v>0</v>
      </c>
      <c r="BV71" s="5">
        <f t="shared" si="68"/>
        <v>0</v>
      </c>
      <c r="BW71" s="5">
        <f t="shared" si="68"/>
        <v>0</v>
      </c>
      <c r="BX71" s="5">
        <f t="shared" si="68"/>
        <v>0</v>
      </c>
      <c r="BY71" s="5">
        <f t="shared" si="68"/>
        <v>0</v>
      </c>
      <c r="BZ71" s="5">
        <f t="shared" si="68"/>
        <v>0</v>
      </c>
      <c r="CA71" s="5">
        <f t="shared" si="68"/>
        <v>0</v>
      </c>
      <c r="CB71" s="5">
        <f t="shared" si="68"/>
        <v>0</v>
      </c>
      <c r="CC71" s="5">
        <f t="shared" si="77"/>
        <v>0</v>
      </c>
      <c r="CD71" s="5">
        <f t="shared" si="77"/>
        <v>0</v>
      </c>
      <c r="CE71" s="5">
        <f t="shared" si="77"/>
        <v>0</v>
      </c>
    </row>
    <row r="72" spans="3:83" x14ac:dyDescent="0.2">
      <c r="C72" s="1">
        <f>Growth!D77</f>
        <v>0</v>
      </c>
      <c r="D72" s="5" t="b">
        <f t="shared" si="69"/>
        <v>0</v>
      </c>
      <c r="E72" s="5">
        <v>1993</v>
      </c>
      <c r="F72" s="5">
        <f ca="1">LOOKUP($E72,frequence!$A$2:$A$35,frequence!L$2:L$35)</f>
        <v>191.34520119916542</v>
      </c>
      <c r="G72" s="5">
        <f ca="1">LOOKUP($E72,frequence!$A$2:$A$35,frequence!K$2:K$35)</f>
        <v>28.094581622231551</v>
      </c>
      <c r="H72" s="5">
        <f ca="1">LOOKUP($E72,frequence!$A$2:$A$35,frequence!M$2:M$35)</f>
        <v>780.68842089259488</v>
      </c>
      <c r="I72" s="5">
        <v>1991</v>
      </c>
      <c r="J72" s="7">
        <f>LOOKUP(I72,CPI!A$69:A$103,CPI!O$69:O$103)</f>
        <v>1.600998531571219</v>
      </c>
      <c r="K72" s="5">
        <v>1990</v>
      </c>
      <c r="L72" s="7">
        <f t="shared" ca="1" si="70"/>
        <v>1</v>
      </c>
      <c r="M72" s="7">
        <f t="shared" si="62"/>
        <v>2.946428571428571E-2</v>
      </c>
      <c r="N72" s="14">
        <f t="shared" si="76"/>
        <v>8.9285714285714281E-3</v>
      </c>
      <c r="O72" s="1">
        <f ca="1">P72*J72*(1+Growth!G$6)^(2010-K72)</f>
        <v>10.873981148798872</v>
      </c>
      <c r="P72" s="1">
        <f>44/12*1.372</f>
        <v>5.0306666666666668</v>
      </c>
      <c r="Q72" s="2">
        <f t="shared" si="46"/>
        <v>5.0306666666666668</v>
      </c>
      <c r="R72" s="21">
        <f t="shared" ca="1" si="71"/>
        <v>118.24346602443325</v>
      </c>
      <c r="X72" s="2">
        <f t="shared" si="63"/>
        <v>5.0306666666666668</v>
      </c>
      <c r="AC72" s="1">
        <f t="shared" si="47"/>
        <v>3.3</v>
      </c>
      <c r="AD72" s="5">
        <v>1</v>
      </c>
      <c r="AE72" s="5">
        <v>0</v>
      </c>
      <c r="AF72" s="5">
        <v>1</v>
      </c>
      <c r="AG72" s="5">
        <v>0</v>
      </c>
      <c r="AH72" s="5">
        <v>0</v>
      </c>
      <c r="AI72" s="3">
        <f t="shared" si="64"/>
        <v>1.3</v>
      </c>
      <c r="AJ72" s="5">
        <f t="shared" si="6"/>
        <v>0</v>
      </c>
      <c r="AK72" s="5">
        <f t="shared" si="72"/>
        <v>0</v>
      </c>
      <c r="AL72" s="5">
        <f t="shared" si="73"/>
        <v>0</v>
      </c>
      <c r="AM72" s="5">
        <f t="shared" si="7"/>
        <v>0</v>
      </c>
      <c r="AN72" s="5">
        <f t="shared" si="74"/>
        <v>0</v>
      </c>
      <c r="AO72" s="5">
        <f t="shared" si="8"/>
        <v>1</v>
      </c>
      <c r="AP72" s="11" t="s">
        <v>42</v>
      </c>
      <c r="AQ72" s="1">
        <v>0</v>
      </c>
      <c r="AR72" s="5">
        <v>0</v>
      </c>
      <c r="AS72" s="5">
        <v>0</v>
      </c>
      <c r="AT72" s="5">
        <v>0</v>
      </c>
      <c r="AU72" s="5">
        <v>0</v>
      </c>
      <c r="AV72" s="5">
        <f t="shared" si="65"/>
        <v>1</v>
      </c>
      <c r="AW72" s="5">
        <f t="shared" si="66"/>
        <v>0</v>
      </c>
      <c r="AX72" s="5">
        <f t="shared" si="67"/>
        <v>0</v>
      </c>
      <c r="AY72" s="1">
        <f t="shared" si="48"/>
        <v>0</v>
      </c>
      <c r="AZ72" s="1">
        <f t="shared" si="49"/>
        <v>0</v>
      </c>
      <c r="BA72" s="1">
        <f t="shared" si="50"/>
        <v>0</v>
      </c>
      <c r="BB72" s="5">
        <v>0</v>
      </c>
      <c r="BC72" s="5">
        <v>0</v>
      </c>
      <c r="BD72" s="5">
        <v>0</v>
      </c>
      <c r="BE72" s="5">
        <f t="shared" si="51"/>
        <v>1</v>
      </c>
      <c r="BF72" s="5">
        <v>0</v>
      </c>
      <c r="BG72" s="5">
        <f t="shared" si="75"/>
        <v>0</v>
      </c>
      <c r="BH72" s="5">
        <f t="shared" si="75"/>
        <v>0</v>
      </c>
      <c r="BI72" s="5">
        <f t="shared" si="75"/>
        <v>0</v>
      </c>
      <c r="BJ72" s="5">
        <f t="shared" si="75"/>
        <v>1</v>
      </c>
      <c r="BK72" s="5">
        <f t="shared" si="75"/>
        <v>0</v>
      </c>
      <c r="BL72" s="5">
        <f t="shared" si="75"/>
        <v>0</v>
      </c>
      <c r="BM72" s="5">
        <f t="shared" si="75"/>
        <v>0</v>
      </c>
      <c r="BN72" s="5">
        <f t="shared" si="68"/>
        <v>0</v>
      </c>
      <c r="BO72" s="5">
        <f t="shared" si="68"/>
        <v>0</v>
      </c>
      <c r="BP72" s="5">
        <f t="shared" si="68"/>
        <v>0</v>
      </c>
      <c r="BQ72" s="5">
        <f t="shared" si="68"/>
        <v>0</v>
      </c>
      <c r="BR72" s="5">
        <f t="shared" si="68"/>
        <v>0</v>
      </c>
      <c r="BS72" s="5">
        <f t="shared" si="68"/>
        <v>0</v>
      </c>
      <c r="BT72" s="5">
        <f t="shared" si="68"/>
        <v>0</v>
      </c>
      <c r="BU72" s="5">
        <f t="shared" si="68"/>
        <v>0</v>
      </c>
      <c r="BV72" s="5">
        <f t="shared" si="68"/>
        <v>0</v>
      </c>
      <c r="BW72" s="5">
        <f t="shared" si="68"/>
        <v>0</v>
      </c>
      <c r="BX72" s="5">
        <f t="shared" si="68"/>
        <v>0</v>
      </c>
      <c r="BY72" s="5">
        <f t="shared" si="68"/>
        <v>0</v>
      </c>
      <c r="BZ72" s="5">
        <f t="shared" si="68"/>
        <v>0</v>
      </c>
      <c r="CA72" s="5">
        <f t="shared" si="68"/>
        <v>0</v>
      </c>
      <c r="CB72" s="5">
        <f t="shared" si="68"/>
        <v>0</v>
      </c>
      <c r="CC72" s="5">
        <f t="shared" si="77"/>
        <v>0</v>
      </c>
      <c r="CD72" s="5">
        <f t="shared" si="77"/>
        <v>0</v>
      </c>
      <c r="CE72" s="5">
        <f t="shared" si="77"/>
        <v>0</v>
      </c>
    </row>
    <row r="73" spans="3:83" x14ac:dyDescent="0.2">
      <c r="C73" s="1">
        <f>Growth!D78</f>
        <v>0</v>
      </c>
      <c r="D73" s="5" t="b">
        <f t="shared" si="69"/>
        <v>0</v>
      </c>
      <c r="E73" s="5">
        <v>1993</v>
      </c>
      <c r="F73" s="5">
        <f ca="1">LOOKUP($E73,frequence!$A$2:$A$35,frequence!L$2:L$35)</f>
        <v>191.34520119916542</v>
      </c>
      <c r="G73" s="5">
        <f ca="1">LOOKUP($E73,frequence!$A$2:$A$35,frequence!K$2:K$35)</f>
        <v>28.094581622231551</v>
      </c>
      <c r="H73" s="5">
        <f ca="1">LOOKUP($E73,frequence!$A$2:$A$35,frequence!M$2:M$35)</f>
        <v>780.68842089259488</v>
      </c>
      <c r="I73" s="5">
        <v>1991</v>
      </c>
      <c r="J73" s="7">
        <f>LOOKUP(I73,CPI!A$69:A$103,CPI!O$69:O$103)</f>
        <v>1.600998531571219</v>
      </c>
      <c r="K73" s="5">
        <v>1990</v>
      </c>
      <c r="L73" s="7">
        <f t="shared" ca="1" si="70"/>
        <v>1</v>
      </c>
      <c r="M73" s="7">
        <f t="shared" si="62"/>
        <v>2.946428571428571E-2</v>
      </c>
      <c r="N73" s="14">
        <f t="shared" si="76"/>
        <v>8.9285714285714281E-3</v>
      </c>
      <c r="O73" s="1">
        <f ca="1">P73*J73*(1+Growth!G$6)^(2010-K73)</f>
        <v>65.243886892793228</v>
      </c>
      <c r="P73" s="1">
        <f>44/12*8.232</f>
        <v>30.183999999999997</v>
      </c>
      <c r="Q73" s="2">
        <f t="shared" si="46"/>
        <v>30.183999999999997</v>
      </c>
      <c r="R73" s="21">
        <f t="shared" ca="1" si="71"/>
        <v>4256.764776879596</v>
      </c>
      <c r="X73" s="2">
        <f t="shared" si="63"/>
        <v>30.183999999999997</v>
      </c>
      <c r="AC73" s="1">
        <f t="shared" si="47"/>
        <v>3.3</v>
      </c>
      <c r="AD73" s="5">
        <v>1</v>
      </c>
      <c r="AE73" s="5">
        <v>0</v>
      </c>
      <c r="AF73" s="5">
        <v>1</v>
      </c>
      <c r="AG73" s="5">
        <v>0</v>
      </c>
      <c r="AH73" s="5">
        <v>0</v>
      </c>
      <c r="AI73" s="3">
        <f t="shared" si="64"/>
        <v>1.3</v>
      </c>
      <c r="AJ73" s="5">
        <f t="shared" si="6"/>
        <v>0</v>
      </c>
      <c r="AK73" s="5">
        <f t="shared" si="72"/>
        <v>0</v>
      </c>
      <c r="AL73" s="5">
        <f t="shared" si="73"/>
        <v>0</v>
      </c>
      <c r="AM73" s="5">
        <f t="shared" si="7"/>
        <v>0</v>
      </c>
      <c r="AN73" s="5">
        <f t="shared" si="74"/>
        <v>0</v>
      </c>
      <c r="AO73" s="5">
        <f t="shared" si="8"/>
        <v>1</v>
      </c>
      <c r="AP73" s="11" t="s">
        <v>42</v>
      </c>
      <c r="AQ73" s="1">
        <v>0</v>
      </c>
      <c r="AR73" s="5">
        <v>0</v>
      </c>
      <c r="AS73" s="5">
        <v>0</v>
      </c>
      <c r="AT73" s="5">
        <v>0</v>
      </c>
      <c r="AU73" s="5">
        <v>0</v>
      </c>
      <c r="AV73" s="5">
        <f t="shared" si="65"/>
        <v>1</v>
      </c>
      <c r="AW73" s="5">
        <f t="shared" si="66"/>
        <v>0</v>
      </c>
      <c r="AX73" s="5">
        <f t="shared" si="67"/>
        <v>0</v>
      </c>
      <c r="AY73" s="1">
        <f t="shared" si="48"/>
        <v>0</v>
      </c>
      <c r="AZ73" s="1">
        <f t="shared" si="49"/>
        <v>0</v>
      </c>
      <c r="BA73" s="1">
        <f t="shared" si="50"/>
        <v>0</v>
      </c>
      <c r="BB73" s="5">
        <v>0</v>
      </c>
      <c r="BC73" s="5">
        <v>0</v>
      </c>
      <c r="BD73" s="5">
        <v>0</v>
      </c>
      <c r="BE73" s="5">
        <f t="shared" si="51"/>
        <v>1</v>
      </c>
      <c r="BF73" s="5">
        <v>0</v>
      </c>
      <c r="BG73" s="5">
        <f t="shared" si="75"/>
        <v>0</v>
      </c>
      <c r="BH73" s="5">
        <f t="shared" si="75"/>
        <v>0</v>
      </c>
      <c r="BI73" s="5">
        <f t="shared" si="75"/>
        <v>0</v>
      </c>
      <c r="BJ73" s="5">
        <f t="shared" si="75"/>
        <v>1</v>
      </c>
      <c r="BK73" s="5">
        <f t="shared" si="75"/>
        <v>0</v>
      </c>
      <c r="BL73" s="5">
        <f t="shared" si="75"/>
        <v>0</v>
      </c>
      <c r="BM73" s="5">
        <f t="shared" si="75"/>
        <v>0</v>
      </c>
      <c r="BN73" s="5">
        <f t="shared" si="68"/>
        <v>0</v>
      </c>
      <c r="BO73" s="5">
        <f t="shared" si="68"/>
        <v>0</v>
      </c>
      <c r="BP73" s="5">
        <f t="shared" si="68"/>
        <v>0</v>
      </c>
      <c r="BQ73" s="5">
        <f t="shared" si="68"/>
        <v>0</v>
      </c>
      <c r="BR73" s="5">
        <f t="shared" si="68"/>
        <v>0</v>
      </c>
      <c r="BS73" s="5">
        <f t="shared" si="68"/>
        <v>0</v>
      </c>
      <c r="BT73" s="5">
        <f t="shared" si="68"/>
        <v>0</v>
      </c>
      <c r="BU73" s="5">
        <f t="shared" si="68"/>
        <v>0</v>
      </c>
      <c r="BV73" s="5">
        <f t="shared" si="68"/>
        <v>0</v>
      </c>
      <c r="BW73" s="5">
        <f t="shared" si="68"/>
        <v>0</v>
      </c>
      <c r="BX73" s="5">
        <f t="shared" si="68"/>
        <v>0</v>
      </c>
      <c r="BY73" s="5">
        <f t="shared" si="68"/>
        <v>0</v>
      </c>
      <c r="BZ73" s="5">
        <f t="shared" si="68"/>
        <v>0</v>
      </c>
      <c r="CA73" s="5">
        <f t="shared" si="68"/>
        <v>0</v>
      </c>
      <c r="CB73" s="5">
        <f t="shared" si="68"/>
        <v>0</v>
      </c>
      <c r="CC73" s="5">
        <f t="shared" si="77"/>
        <v>0</v>
      </c>
      <c r="CD73" s="5">
        <f t="shared" si="77"/>
        <v>0</v>
      </c>
      <c r="CE73" s="5">
        <f t="shared" si="77"/>
        <v>0</v>
      </c>
    </row>
    <row r="74" spans="3:83" x14ac:dyDescent="0.2">
      <c r="C74" s="1">
        <f>Growth!D79</f>
        <v>0</v>
      </c>
      <c r="D74" s="5" t="b">
        <f t="shared" si="69"/>
        <v>0</v>
      </c>
      <c r="E74" s="5">
        <v>1993</v>
      </c>
      <c r="F74" s="5">
        <f ca="1">LOOKUP($E74,frequence!$A$2:$A$35,frequence!L$2:L$35)</f>
        <v>191.34520119916542</v>
      </c>
      <c r="G74" s="5">
        <f ca="1">LOOKUP($E74,frequence!$A$2:$A$35,frequence!K$2:K$35)</f>
        <v>28.094581622231551</v>
      </c>
      <c r="H74" s="5">
        <f ca="1">LOOKUP($E74,frequence!$A$2:$A$35,frequence!M$2:M$35)</f>
        <v>780.68842089259488</v>
      </c>
      <c r="I74" s="5">
        <v>1991</v>
      </c>
      <c r="J74" s="7">
        <f>LOOKUP(I74,CPI!A$69:A$103,CPI!O$69:O$103)</f>
        <v>1.600998531571219</v>
      </c>
      <c r="K74" s="5">
        <v>1990</v>
      </c>
      <c r="L74" s="7">
        <f t="shared" ca="1" si="70"/>
        <v>1</v>
      </c>
      <c r="M74" s="7">
        <f t="shared" si="62"/>
        <v>2.946428571428571E-2</v>
      </c>
      <c r="N74" s="14">
        <f t="shared" si="76"/>
        <v>8.9285714285714281E-3</v>
      </c>
      <c r="O74" s="1">
        <f ca="1">P74*J74*(1+Growth!G$6)^(2010-K74)</f>
        <v>72.757395733216939</v>
      </c>
      <c r="P74" s="1">
        <f>44/12*9.18</f>
        <v>33.659999999999997</v>
      </c>
      <c r="Q74" s="2">
        <f t="shared" si="46"/>
        <v>33.659999999999997</v>
      </c>
      <c r="R74" s="21">
        <f t="shared" ca="1" si="71"/>
        <v>5293.6386338799348</v>
      </c>
      <c r="X74" s="2">
        <f t="shared" si="63"/>
        <v>33.659999999999997</v>
      </c>
      <c r="AC74" s="1">
        <f t="shared" si="47"/>
        <v>3.3</v>
      </c>
      <c r="AD74" s="5">
        <v>1</v>
      </c>
      <c r="AE74" s="5">
        <v>0</v>
      </c>
      <c r="AF74" s="5">
        <v>1</v>
      </c>
      <c r="AG74" s="5">
        <v>0</v>
      </c>
      <c r="AH74" s="5">
        <v>0</v>
      </c>
      <c r="AI74" s="3">
        <f t="shared" si="64"/>
        <v>1.3</v>
      </c>
      <c r="AJ74" s="5">
        <f t="shared" si="6"/>
        <v>0</v>
      </c>
      <c r="AK74" s="5">
        <f t="shared" si="72"/>
        <v>0</v>
      </c>
      <c r="AL74" s="5">
        <f t="shared" si="73"/>
        <v>0</v>
      </c>
      <c r="AM74" s="5">
        <f t="shared" si="7"/>
        <v>0</v>
      </c>
      <c r="AN74" s="5">
        <f t="shared" si="74"/>
        <v>0</v>
      </c>
      <c r="AO74" s="5">
        <f t="shared" si="8"/>
        <v>1</v>
      </c>
      <c r="AP74" s="11" t="s">
        <v>42</v>
      </c>
      <c r="AQ74" s="1">
        <v>0</v>
      </c>
      <c r="AR74" s="5">
        <v>0</v>
      </c>
      <c r="AS74" s="5">
        <v>0</v>
      </c>
      <c r="AT74" s="5">
        <v>0</v>
      </c>
      <c r="AU74" s="5">
        <v>0</v>
      </c>
      <c r="AV74" s="5">
        <f t="shared" si="65"/>
        <v>1</v>
      </c>
      <c r="AW74" s="5">
        <f t="shared" si="66"/>
        <v>0</v>
      </c>
      <c r="AX74" s="5">
        <f t="shared" si="67"/>
        <v>0</v>
      </c>
      <c r="AY74" s="1">
        <f t="shared" si="48"/>
        <v>0</v>
      </c>
      <c r="AZ74" s="1">
        <f t="shared" si="49"/>
        <v>0</v>
      </c>
      <c r="BA74" s="1">
        <f t="shared" si="50"/>
        <v>0</v>
      </c>
      <c r="BB74" s="5">
        <v>0</v>
      </c>
      <c r="BC74" s="5">
        <v>0</v>
      </c>
      <c r="BD74" s="5">
        <v>0</v>
      </c>
      <c r="BE74" s="5">
        <f t="shared" si="51"/>
        <v>1</v>
      </c>
      <c r="BF74" s="5">
        <v>0</v>
      </c>
      <c r="BG74" s="5">
        <f t="shared" si="75"/>
        <v>0</v>
      </c>
      <c r="BH74" s="5">
        <f t="shared" si="75"/>
        <v>0</v>
      </c>
      <c r="BI74" s="5">
        <f t="shared" si="75"/>
        <v>0</v>
      </c>
      <c r="BJ74" s="5">
        <f t="shared" si="75"/>
        <v>1</v>
      </c>
      <c r="BK74" s="5">
        <f t="shared" si="75"/>
        <v>0</v>
      </c>
      <c r="BL74" s="5">
        <f t="shared" si="75"/>
        <v>0</v>
      </c>
      <c r="BM74" s="5">
        <f t="shared" si="75"/>
        <v>0</v>
      </c>
      <c r="BN74" s="5">
        <f t="shared" si="68"/>
        <v>0</v>
      </c>
      <c r="BO74" s="5">
        <f t="shared" si="68"/>
        <v>0</v>
      </c>
      <c r="BP74" s="5">
        <f t="shared" si="68"/>
        <v>0</v>
      </c>
      <c r="BQ74" s="5">
        <f t="shared" si="68"/>
        <v>0</v>
      </c>
      <c r="BR74" s="5">
        <f t="shared" si="68"/>
        <v>0</v>
      </c>
      <c r="BS74" s="5">
        <f t="shared" si="68"/>
        <v>0</v>
      </c>
      <c r="BT74" s="5">
        <f t="shared" si="68"/>
        <v>0</v>
      </c>
      <c r="BU74" s="5">
        <f t="shared" si="68"/>
        <v>0</v>
      </c>
      <c r="BV74" s="5">
        <f t="shared" si="68"/>
        <v>0</v>
      </c>
      <c r="BW74" s="5">
        <f t="shared" si="68"/>
        <v>0</v>
      </c>
      <c r="BX74" s="5">
        <f t="shared" si="68"/>
        <v>0</v>
      </c>
      <c r="BY74" s="5">
        <f t="shared" si="68"/>
        <v>0</v>
      </c>
      <c r="BZ74" s="5">
        <f t="shared" si="68"/>
        <v>0</v>
      </c>
      <c r="CA74" s="5">
        <f t="shared" si="68"/>
        <v>0</v>
      </c>
      <c r="CB74" s="5">
        <f t="shared" si="68"/>
        <v>0</v>
      </c>
      <c r="CC74" s="5">
        <f t="shared" si="77"/>
        <v>0</v>
      </c>
      <c r="CD74" s="5">
        <f t="shared" si="77"/>
        <v>0</v>
      </c>
      <c r="CE74" s="5">
        <f t="shared" si="77"/>
        <v>0</v>
      </c>
    </row>
    <row r="75" spans="3:83" x14ac:dyDescent="0.2">
      <c r="C75" s="1">
        <f>Growth!D80</f>
        <v>0</v>
      </c>
      <c r="D75" s="5" t="b">
        <f t="shared" si="69"/>
        <v>0</v>
      </c>
      <c r="E75" s="5">
        <v>1993</v>
      </c>
      <c r="F75" s="5">
        <f ca="1">LOOKUP($E75,frequence!$A$2:$A$35,frequence!L$2:L$35)</f>
        <v>191.34520119916542</v>
      </c>
      <c r="G75" s="5">
        <f ca="1">LOOKUP($E75,frequence!$A$2:$A$35,frequence!K$2:K$35)</f>
        <v>28.094581622231551</v>
      </c>
      <c r="H75" s="5">
        <f ca="1">LOOKUP($E75,frequence!$A$2:$A$35,frequence!M$2:M$35)</f>
        <v>780.68842089259488</v>
      </c>
      <c r="I75" s="5">
        <v>1991</v>
      </c>
      <c r="J75" s="7">
        <f>LOOKUP(I75,CPI!A$69:A$103,CPI!O$69:O$103)</f>
        <v>1.600998531571219</v>
      </c>
      <c r="K75" s="5">
        <v>1990</v>
      </c>
      <c r="L75" s="7">
        <f t="shared" ca="1" si="70"/>
        <v>1</v>
      </c>
      <c r="M75" s="7">
        <f t="shared" si="62"/>
        <v>2.946428571428571E-2</v>
      </c>
      <c r="N75" s="14">
        <f t="shared" si="76"/>
        <v>8.9285714285714281E-3</v>
      </c>
      <c r="O75" s="1">
        <f ca="1">P75*J75*(1+Growth!G$6)^(2010-K75)</f>
        <v>436.70288724403633</v>
      </c>
      <c r="P75" s="1">
        <f>44/12*55.1</f>
        <v>202.03333333333333</v>
      </c>
      <c r="Q75" s="2">
        <f t="shared" si="46"/>
        <v>202.03333333333333</v>
      </c>
      <c r="R75" s="21">
        <f t="shared" ca="1" si="71"/>
        <v>190709.4117272775</v>
      </c>
      <c r="X75" s="2">
        <f t="shared" si="63"/>
        <v>202.03333333333333</v>
      </c>
      <c r="AC75" s="1">
        <f t="shared" si="47"/>
        <v>3.3</v>
      </c>
      <c r="AD75" s="5">
        <v>1</v>
      </c>
      <c r="AE75" s="5">
        <v>0</v>
      </c>
      <c r="AF75" s="5">
        <v>1</v>
      </c>
      <c r="AG75" s="5">
        <v>0</v>
      </c>
      <c r="AH75" s="5">
        <v>0</v>
      </c>
      <c r="AI75" s="3">
        <f t="shared" si="64"/>
        <v>1.3</v>
      </c>
      <c r="AJ75" s="5">
        <f t="shared" si="6"/>
        <v>0</v>
      </c>
      <c r="AK75" s="5">
        <f t="shared" si="72"/>
        <v>0</v>
      </c>
      <c r="AL75" s="5">
        <f t="shared" si="73"/>
        <v>0</v>
      </c>
      <c r="AM75" s="5">
        <f t="shared" si="7"/>
        <v>0</v>
      </c>
      <c r="AN75" s="5">
        <f t="shared" si="74"/>
        <v>0</v>
      </c>
      <c r="AO75" s="5">
        <f t="shared" si="8"/>
        <v>1</v>
      </c>
      <c r="AP75" s="11" t="s">
        <v>42</v>
      </c>
      <c r="AQ75" s="1">
        <v>0</v>
      </c>
      <c r="AR75" s="5">
        <v>0</v>
      </c>
      <c r="AS75" s="5">
        <v>0</v>
      </c>
      <c r="AT75" s="5">
        <v>0</v>
      </c>
      <c r="AU75" s="5">
        <v>0</v>
      </c>
      <c r="AV75" s="5">
        <f t="shared" si="65"/>
        <v>1</v>
      </c>
      <c r="AW75" s="5">
        <f t="shared" si="66"/>
        <v>0</v>
      </c>
      <c r="AX75" s="5">
        <f t="shared" si="67"/>
        <v>0</v>
      </c>
      <c r="AY75" s="1">
        <f t="shared" si="48"/>
        <v>0</v>
      </c>
      <c r="AZ75" s="1">
        <f t="shared" si="49"/>
        <v>0</v>
      </c>
      <c r="BA75" s="1">
        <f t="shared" si="50"/>
        <v>0</v>
      </c>
      <c r="BB75" s="5">
        <v>0</v>
      </c>
      <c r="BC75" s="5">
        <v>0</v>
      </c>
      <c r="BD75" s="5">
        <v>0</v>
      </c>
      <c r="BE75" s="5">
        <f t="shared" si="51"/>
        <v>1</v>
      </c>
      <c r="BF75" s="5">
        <v>0</v>
      </c>
      <c r="BG75" s="5">
        <f t="shared" si="75"/>
        <v>0</v>
      </c>
      <c r="BH75" s="5">
        <f t="shared" si="75"/>
        <v>0</v>
      </c>
      <c r="BI75" s="5">
        <f t="shared" si="75"/>
        <v>0</v>
      </c>
      <c r="BJ75" s="5">
        <f t="shared" si="75"/>
        <v>1</v>
      </c>
      <c r="BK75" s="5">
        <f t="shared" si="75"/>
        <v>0</v>
      </c>
      <c r="BL75" s="5">
        <f t="shared" si="75"/>
        <v>0</v>
      </c>
      <c r="BM75" s="5">
        <f t="shared" si="75"/>
        <v>0</v>
      </c>
      <c r="BN75" s="5">
        <f t="shared" si="68"/>
        <v>0</v>
      </c>
      <c r="BO75" s="5">
        <f t="shared" si="68"/>
        <v>0</v>
      </c>
      <c r="BP75" s="5">
        <f t="shared" si="68"/>
        <v>0</v>
      </c>
      <c r="BQ75" s="5">
        <f t="shared" si="68"/>
        <v>0</v>
      </c>
      <c r="BR75" s="5">
        <f t="shared" si="68"/>
        <v>0</v>
      </c>
      <c r="BS75" s="5">
        <f t="shared" si="68"/>
        <v>0</v>
      </c>
      <c r="BT75" s="5">
        <f t="shared" si="68"/>
        <v>0</v>
      </c>
      <c r="BU75" s="5">
        <f t="shared" si="68"/>
        <v>0</v>
      </c>
      <c r="BV75" s="5">
        <f t="shared" si="68"/>
        <v>0</v>
      </c>
      <c r="BW75" s="5">
        <f t="shared" si="68"/>
        <v>0</v>
      </c>
      <c r="BX75" s="5">
        <f t="shared" si="68"/>
        <v>0</v>
      </c>
      <c r="BY75" s="5">
        <f t="shared" si="68"/>
        <v>0</v>
      </c>
      <c r="BZ75" s="5">
        <f t="shared" si="68"/>
        <v>0</v>
      </c>
      <c r="CA75" s="5">
        <f t="shared" si="68"/>
        <v>0</v>
      </c>
      <c r="CB75" s="5">
        <f t="shared" si="68"/>
        <v>0</v>
      </c>
      <c r="CC75" s="5">
        <f t="shared" si="77"/>
        <v>0</v>
      </c>
      <c r="CD75" s="5">
        <f t="shared" si="77"/>
        <v>0</v>
      </c>
      <c r="CE75" s="5">
        <f t="shared" si="77"/>
        <v>0</v>
      </c>
    </row>
    <row r="76" spans="3:83" x14ac:dyDescent="0.2">
      <c r="C76" s="1">
        <f>Growth!D81</f>
        <v>0</v>
      </c>
      <c r="D76" s="5" t="b">
        <f t="shared" si="69"/>
        <v>0</v>
      </c>
      <c r="E76" s="5">
        <v>1993</v>
      </c>
      <c r="F76" s="5">
        <f ca="1">LOOKUP($E76,frequence!$A$2:$A$35,frequence!L$2:L$35)</f>
        <v>191.34520119916542</v>
      </c>
      <c r="G76" s="5">
        <f ca="1">LOOKUP($E76,frequence!$A$2:$A$35,frequence!K$2:K$35)</f>
        <v>28.094581622231551</v>
      </c>
      <c r="H76" s="5">
        <f ca="1">LOOKUP($E76,frequence!$A$2:$A$35,frequence!M$2:M$35)</f>
        <v>780.68842089259488</v>
      </c>
      <c r="I76" s="5">
        <v>1991</v>
      </c>
      <c r="J76" s="7">
        <f>LOOKUP(I76,CPI!A$69:A$103,CPI!O$69:O$103)</f>
        <v>1.600998531571219</v>
      </c>
      <c r="K76" s="5">
        <v>1990</v>
      </c>
      <c r="L76" s="7">
        <f t="shared" ca="1" si="70"/>
        <v>1</v>
      </c>
      <c r="M76" s="7">
        <f t="shared" si="62"/>
        <v>5.892857142857142E-2</v>
      </c>
      <c r="N76" s="14">
        <f>2/112</f>
        <v>1.7857142857142856E-2</v>
      </c>
      <c r="O76" s="1">
        <f ca="1">P76*J76*(1+Growth!G$6)^(2010-K76)</f>
        <v>109.37386286692744</v>
      </c>
      <c r="P76" s="1">
        <f>44/12*13.8</f>
        <v>50.6</v>
      </c>
      <c r="Q76" s="2">
        <f t="shared" si="46"/>
        <v>50.6</v>
      </c>
      <c r="R76" s="21">
        <f t="shared" ca="1" si="71"/>
        <v>11962.641878433449</v>
      </c>
      <c r="X76" s="2">
        <f t="shared" si="63"/>
        <v>50.6</v>
      </c>
      <c r="AC76" s="1">
        <f t="shared" si="47"/>
        <v>3.3</v>
      </c>
      <c r="AD76" s="5">
        <v>1</v>
      </c>
      <c r="AE76" s="5">
        <v>0</v>
      </c>
      <c r="AF76" s="5">
        <v>1</v>
      </c>
      <c r="AG76" s="5">
        <v>0</v>
      </c>
      <c r="AH76" s="5">
        <v>0</v>
      </c>
      <c r="AI76" s="3">
        <f t="shared" si="64"/>
        <v>1.3</v>
      </c>
      <c r="AJ76" s="5">
        <f t="shared" si="6"/>
        <v>0</v>
      </c>
      <c r="AK76" s="5">
        <f t="shared" si="72"/>
        <v>0</v>
      </c>
      <c r="AL76" s="5">
        <f t="shared" si="73"/>
        <v>0</v>
      </c>
      <c r="AM76" s="5">
        <f t="shared" si="7"/>
        <v>0</v>
      </c>
      <c r="AN76" s="5">
        <f t="shared" si="74"/>
        <v>0</v>
      </c>
      <c r="AO76" s="5">
        <f t="shared" si="8"/>
        <v>1</v>
      </c>
      <c r="AP76" s="11" t="s">
        <v>42</v>
      </c>
      <c r="AQ76" s="1">
        <v>0</v>
      </c>
      <c r="AR76" s="5">
        <v>0</v>
      </c>
      <c r="AS76" s="5">
        <v>0</v>
      </c>
      <c r="AT76" s="5">
        <v>0</v>
      </c>
      <c r="AU76" s="5">
        <v>0</v>
      </c>
      <c r="AV76" s="5">
        <f t="shared" si="65"/>
        <v>1</v>
      </c>
      <c r="AW76" s="5">
        <f t="shared" si="66"/>
        <v>0</v>
      </c>
      <c r="AX76" s="5">
        <f t="shared" si="67"/>
        <v>0</v>
      </c>
      <c r="AY76" s="1">
        <f t="shared" si="48"/>
        <v>0</v>
      </c>
      <c r="AZ76" s="1">
        <f t="shared" si="49"/>
        <v>0</v>
      </c>
      <c r="BA76" s="1">
        <f t="shared" si="50"/>
        <v>0</v>
      </c>
      <c r="BB76" s="5">
        <v>0</v>
      </c>
      <c r="BC76" s="5">
        <v>0</v>
      </c>
      <c r="BD76" s="5">
        <v>0</v>
      </c>
      <c r="BE76" s="5">
        <f t="shared" si="51"/>
        <v>1</v>
      </c>
      <c r="BF76" s="5">
        <v>0</v>
      </c>
      <c r="BG76" s="5">
        <f t="shared" si="75"/>
        <v>0</v>
      </c>
      <c r="BH76" s="5">
        <f t="shared" si="75"/>
        <v>0</v>
      </c>
      <c r="BI76" s="5">
        <f t="shared" si="75"/>
        <v>0</v>
      </c>
      <c r="BJ76" s="5">
        <f t="shared" si="75"/>
        <v>1</v>
      </c>
      <c r="BK76" s="5">
        <f t="shared" si="75"/>
        <v>0</v>
      </c>
      <c r="BL76" s="5">
        <f t="shared" si="75"/>
        <v>0</v>
      </c>
      <c r="BM76" s="5">
        <f t="shared" si="75"/>
        <v>0</v>
      </c>
      <c r="BN76" s="5">
        <f t="shared" si="68"/>
        <v>0</v>
      </c>
      <c r="BO76" s="5">
        <f t="shared" si="68"/>
        <v>0</v>
      </c>
      <c r="BP76" s="5">
        <f t="shared" si="68"/>
        <v>0</v>
      </c>
      <c r="BQ76" s="5">
        <f t="shared" si="68"/>
        <v>0</v>
      </c>
      <c r="BR76" s="5">
        <f t="shared" si="68"/>
        <v>0</v>
      </c>
      <c r="BS76" s="5">
        <f t="shared" si="68"/>
        <v>0</v>
      </c>
      <c r="BT76" s="5">
        <f t="shared" si="68"/>
        <v>0</v>
      </c>
      <c r="BU76" s="5">
        <f t="shared" si="68"/>
        <v>0</v>
      </c>
      <c r="BV76" s="5">
        <f t="shared" si="68"/>
        <v>0</v>
      </c>
      <c r="BW76" s="5">
        <f t="shared" si="68"/>
        <v>0</v>
      </c>
      <c r="BX76" s="5">
        <f t="shared" si="68"/>
        <v>0</v>
      </c>
      <c r="BY76" s="5">
        <f t="shared" si="68"/>
        <v>0</v>
      </c>
      <c r="BZ76" s="5">
        <f t="shared" si="68"/>
        <v>0</v>
      </c>
      <c r="CA76" s="5">
        <f t="shared" si="68"/>
        <v>0</v>
      </c>
      <c r="CB76" s="5">
        <f t="shared" si="68"/>
        <v>0</v>
      </c>
      <c r="CC76" s="5">
        <f t="shared" si="77"/>
        <v>0</v>
      </c>
      <c r="CD76" s="5">
        <f t="shared" si="77"/>
        <v>0</v>
      </c>
      <c r="CE76" s="5">
        <f t="shared" si="77"/>
        <v>0</v>
      </c>
    </row>
    <row r="77" spans="3:83" x14ac:dyDescent="0.2">
      <c r="C77" s="1">
        <f>Growth!D82</f>
        <v>0</v>
      </c>
      <c r="D77" s="5" t="b">
        <f t="shared" si="69"/>
        <v>0</v>
      </c>
      <c r="E77" s="5">
        <v>1993</v>
      </c>
      <c r="F77" s="5">
        <f ca="1">LOOKUP($E77,frequence!$A$2:$A$35,frequence!L$2:L$35)</f>
        <v>191.34520119916542</v>
      </c>
      <c r="G77" s="5">
        <f ca="1">LOOKUP($E77,frequence!$A$2:$A$35,frequence!K$2:K$35)</f>
        <v>28.094581622231551</v>
      </c>
      <c r="H77" s="5">
        <f ca="1">LOOKUP($E77,frequence!$A$2:$A$35,frequence!M$2:M$35)</f>
        <v>780.68842089259488</v>
      </c>
      <c r="I77" s="5">
        <v>1991</v>
      </c>
      <c r="J77" s="7">
        <f>LOOKUP(I77,CPI!A$69:A$103,CPI!O$69:O$103)</f>
        <v>1.600998531571219</v>
      </c>
      <c r="K77" s="5">
        <v>1990</v>
      </c>
      <c r="L77" s="7">
        <f t="shared" ca="1" si="70"/>
        <v>1</v>
      </c>
      <c r="M77" s="7">
        <f t="shared" si="62"/>
        <v>5.892857142857142E-2</v>
      </c>
      <c r="N77" s="14">
        <f>2/112</f>
        <v>1.7857142857142856E-2</v>
      </c>
      <c r="O77" s="1">
        <f ca="1">P77*J77*(1+Growth!G$6)^(2010-K77)</f>
        <v>656.08466435682988</v>
      </c>
      <c r="P77" s="1">
        <f>44/12*82.78</f>
        <v>303.52666666666664</v>
      </c>
      <c r="Q77" s="2">
        <f t="shared" si="46"/>
        <v>303.52666666666664</v>
      </c>
      <c r="R77" s="21">
        <f t="shared" ca="1" si="71"/>
        <v>430447.08680421411</v>
      </c>
      <c r="X77" s="2">
        <f t="shared" si="63"/>
        <v>303.52666666666664</v>
      </c>
      <c r="AC77" s="1">
        <f t="shared" si="47"/>
        <v>3.3</v>
      </c>
      <c r="AD77" s="5">
        <v>1</v>
      </c>
      <c r="AE77" s="5">
        <v>0</v>
      </c>
      <c r="AF77" s="5">
        <v>1</v>
      </c>
      <c r="AG77" s="5">
        <v>0</v>
      </c>
      <c r="AH77" s="5">
        <v>0</v>
      </c>
      <c r="AI77" s="3">
        <f t="shared" si="64"/>
        <v>1.3</v>
      </c>
      <c r="AJ77" s="5">
        <f t="shared" si="6"/>
        <v>0</v>
      </c>
      <c r="AK77" s="5">
        <f t="shared" si="72"/>
        <v>0</v>
      </c>
      <c r="AL77" s="5">
        <f t="shared" si="73"/>
        <v>0</v>
      </c>
      <c r="AM77" s="5">
        <f t="shared" si="7"/>
        <v>0</v>
      </c>
      <c r="AN77" s="5">
        <f t="shared" si="74"/>
        <v>0</v>
      </c>
      <c r="AO77" s="5">
        <f t="shared" si="8"/>
        <v>1</v>
      </c>
      <c r="AP77" s="11" t="s">
        <v>42</v>
      </c>
      <c r="AQ77" s="1">
        <v>0</v>
      </c>
      <c r="AR77" s="5">
        <v>0</v>
      </c>
      <c r="AS77" s="5">
        <v>0</v>
      </c>
      <c r="AT77" s="5">
        <v>0</v>
      </c>
      <c r="AU77" s="5">
        <v>0</v>
      </c>
      <c r="AV77" s="5">
        <f t="shared" si="65"/>
        <v>1</v>
      </c>
      <c r="AW77" s="5">
        <f t="shared" si="66"/>
        <v>0</v>
      </c>
      <c r="AX77" s="5">
        <f t="shared" si="67"/>
        <v>0</v>
      </c>
      <c r="AY77" s="1">
        <f t="shared" si="48"/>
        <v>0</v>
      </c>
      <c r="AZ77" s="1">
        <f t="shared" si="49"/>
        <v>0</v>
      </c>
      <c r="BA77" s="1">
        <f t="shared" si="50"/>
        <v>0</v>
      </c>
      <c r="BB77" s="5">
        <v>0</v>
      </c>
      <c r="BC77" s="5">
        <v>0</v>
      </c>
      <c r="BD77" s="5">
        <v>0</v>
      </c>
      <c r="BE77" s="5">
        <f t="shared" si="51"/>
        <v>1</v>
      </c>
      <c r="BF77" s="5">
        <v>0</v>
      </c>
      <c r="BG77" s="5">
        <f t="shared" si="75"/>
        <v>0</v>
      </c>
      <c r="BH77" s="5">
        <f t="shared" si="75"/>
        <v>0</v>
      </c>
      <c r="BI77" s="5">
        <f t="shared" si="75"/>
        <v>0</v>
      </c>
      <c r="BJ77" s="5">
        <f t="shared" si="75"/>
        <v>1</v>
      </c>
      <c r="BK77" s="5">
        <f t="shared" si="75"/>
        <v>0</v>
      </c>
      <c r="BL77" s="5">
        <f t="shared" si="75"/>
        <v>0</v>
      </c>
      <c r="BM77" s="5">
        <f t="shared" si="75"/>
        <v>0</v>
      </c>
      <c r="BN77" s="5">
        <f t="shared" si="68"/>
        <v>0</v>
      </c>
      <c r="BO77" s="5">
        <f t="shared" si="68"/>
        <v>0</v>
      </c>
      <c r="BP77" s="5">
        <f t="shared" si="68"/>
        <v>0</v>
      </c>
      <c r="BQ77" s="5">
        <f t="shared" si="68"/>
        <v>0</v>
      </c>
      <c r="BR77" s="5">
        <f t="shared" si="68"/>
        <v>0</v>
      </c>
      <c r="BS77" s="5">
        <f t="shared" si="68"/>
        <v>0</v>
      </c>
      <c r="BT77" s="5">
        <f t="shared" si="68"/>
        <v>0</v>
      </c>
      <c r="BU77" s="5">
        <f t="shared" si="68"/>
        <v>0</v>
      </c>
      <c r="BV77" s="5">
        <f t="shared" si="68"/>
        <v>0</v>
      </c>
      <c r="BW77" s="5">
        <f t="shared" si="68"/>
        <v>0</v>
      </c>
      <c r="BX77" s="5">
        <f t="shared" si="68"/>
        <v>0</v>
      </c>
      <c r="BY77" s="5">
        <f t="shared" si="68"/>
        <v>0</v>
      </c>
      <c r="BZ77" s="5">
        <f t="shared" si="68"/>
        <v>0</v>
      </c>
      <c r="CA77" s="5">
        <f t="shared" si="68"/>
        <v>0</v>
      </c>
      <c r="CB77" s="5">
        <f t="shared" si="68"/>
        <v>0</v>
      </c>
      <c r="CC77" s="5">
        <f t="shared" si="77"/>
        <v>0</v>
      </c>
      <c r="CD77" s="5">
        <f t="shared" si="77"/>
        <v>0</v>
      </c>
      <c r="CE77" s="5">
        <f t="shared" si="77"/>
        <v>0</v>
      </c>
    </row>
    <row r="78" spans="3:83" x14ac:dyDescent="0.2">
      <c r="C78" s="1">
        <f>Growth!D83</f>
        <v>0</v>
      </c>
      <c r="D78" s="5" t="b">
        <f t="shared" si="69"/>
        <v>0</v>
      </c>
      <c r="E78" s="5">
        <v>1993</v>
      </c>
      <c r="F78" s="5">
        <f ca="1">LOOKUP($E78,frequence!$A$2:$A$35,frequence!L$2:L$35)</f>
        <v>191.34520119916542</v>
      </c>
      <c r="G78" s="5">
        <f ca="1">LOOKUP($E78,frequence!$A$2:$A$35,frequence!K$2:K$35)</f>
        <v>28.094581622231551</v>
      </c>
      <c r="H78" s="5">
        <f ca="1">LOOKUP($E78,frequence!$A$2:$A$35,frequence!M$2:M$35)</f>
        <v>780.68842089259488</v>
      </c>
      <c r="I78" s="5">
        <v>1991</v>
      </c>
      <c r="J78" s="7">
        <f>LOOKUP(I78,CPI!A$69:A$103,CPI!O$69:O$103)</f>
        <v>1.600998531571219</v>
      </c>
      <c r="K78" s="5">
        <v>1990</v>
      </c>
      <c r="L78" s="7">
        <f t="shared" ca="1" si="70"/>
        <v>1</v>
      </c>
      <c r="M78" s="7">
        <f t="shared" si="62"/>
        <v>5.892857142857142E-2</v>
      </c>
      <c r="N78" s="14">
        <f>2/112</f>
        <v>1.7857142857142856E-2</v>
      </c>
      <c r="O78" s="1">
        <f ca="1">P78*J78*(1+Growth!G$6)^(2010-K78)</f>
        <v>218.58921288912015</v>
      </c>
      <c r="P78" s="1">
        <f>44/12*27.58</f>
        <v>101.12666666666665</v>
      </c>
      <c r="Q78" s="2">
        <f t="shared" si="46"/>
        <v>101.12666666666665</v>
      </c>
      <c r="R78" s="21">
        <f t="shared" ca="1" si="71"/>
        <v>47781.243991485091</v>
      </c>
      <c r="X78" s="2">
        <f t="shared" si="63"/>
        <v>101.12666666666665</v>
      </c>
      <c r="AC78" s="1">
        <f t="shared" si="47"/>
        <v>3.3</v>
      </c>
      <c r="AD78" s="5">
        <v>1</v>
      </c>
      <c r="AE78" s="5">
        <v>0</v>
      </c>
      <c r="AF78" s="5">
        <v>1</v>
      </c>
      <c r="AG78" s="5">
        <v>0</v>
      </c>
      <c r="AH78" s="5">
        <v>0</v>
      </c>
      <c r="AI78" s="3">
        <f t="shared" si="64"/>
        <v>1.3</v>
      </c>
      <c r="AJ78" s="5">
        <f t="shared" si="6"/>
        <v>0</v>
      </c>
      <c r="AK78" s="5">
        <f t="shared" si="72"/>
        <v>0</v>
      </c>
      <c r="AL78" s="5">
        <f t="shared" si="73"/>
        <v>0</v>
      </c>
      <c r="AM78" s="5">
        <f t="shared" si="7"/>
        <v>0</v>
      </c>
      <c r="AN78" s="5">
        <f t="shared" si="74"/>
        <v>0</v>
      </c>
      <c r="AO78" s="5">
        <f t="shared" si="8"/>
        <v>1</v>
      </c>
      <c r="AP78" s="11" t="s">
        <v>42</v>
      </c>
      <c r="AQ78" s="1">
        <v>0</v>
      </c>
      <c r="AR78" s="5">
        <v>0</v>
      </c>
      <c r="AS78" s="5">
        <v>0</v>
      </c>
      <c r="AT78" s="5">
        <v>0</v>
      </c>
      <c r="AU78" s="5">
        <v>0</v>
      </c>
      <c r="AV78" s="5">
        <f t="shared" si="65"/>
        <v>1</v>
      </c>
      <c r="AW78" s="5">
        <f t="shared" si="66"/>
        <v>0</v>
      </c>
      <c r="AX78" s="5">
        <f t="shared" si="67"/>
        <v>0</v>
      </c>
      <c r="AY78" s="1">
        <f t="shared" si="48"/>
        <v>0</v>
      </c>
      <c r="AZ78" s="1">
        <f t="shared" si="49"/>
        <v>0</v>
      </c>
      <c r="BA78" s="1">
        <f t="shared" si="50"/>
        <v>0</v>
      </c>
      <c r="BB78" s="5">
        <v>0</v>
      </c>
      <c r="BC78" s="5">
        <v>0</v>
      </c>
      <c r="BD78" s="5">
        <v>0</v>
      </c>
      <c r="BE78" s="5">
        <f t="shared" si="51"/>
        <v>1</v>
      </c>
      <c r="BF78" s="5">
        <v>0</v>
      </c>
      <c r="BG78" s="5">
        <f t="shared" si="75"/>
        <v>0</v>
      </c>
      <c r="BH78" s="5">
        <f t="shared" si="75"/>
        <v>0</v>
      </c>
      <c r="BI78" s="5">
        <f t="shared" si="75"/>
        <v>0</v>
      </c>
      <c r="BJ78" s="5">
        <f t="shared" si="75"/>
        <v>1</v>
      </c>
      <c r="BK78" s="5">
        <f t="shared" si="75"/>
        <v>0</v>
      </c>
      <c r="BL78" s="5">
        <f t="shared" si="75"/>
        <v>0</v>
      </c>
      <c r="BM78" s="5">
        <f t="shared" si="75"/>
        <v>0</v>
      </c>
      <c r="BN78" s="5">
        <f t="shared" si="68"/>
        <v>0</v>
      </c>
      <c r="BO78" s="5">
        <f t="shared" si="68"/>
        <v>0</v>
      </c>
      <c r="BP78" s="5">
        <f t="shared" si="68"/>
        <v>0</v>
      </c>
      <c r="BQ78" s="5">
        <f t="shared" si="68"/>
        <v>0</v>
      </c>
      <c r="BR78" s="5">
        <f t="shared" si="68"/>
        <v>0</v>
      </c>
      <c r="BS78" s="5">
        <f t="shared" si="68"/>
        <v>0</v>
      </c>
      <c r="BT78" s="5">
        <f t="shared" si="68"/>
        <v>0</v>
      </c>
      <c r="BU78" s="5">
        <f t="shared" si="68"/>
        <v>0</v>
      </c>
      <c r="BV78" s="5">
        <f t="shared" si="68"/>
        <v>0</v>
      </c>
      <c r="BW78" s="5">
        <f t="shared" si="68"/>
        <v>0</v>
      </c>
      <c r="BX78" s="5">
        <f t="shared" si="68"/>
        <v>0</v>
      </c>
      <c r="BY78" s="5">
        <f t="shared" si="68"/>
        <v>0</v>
      </c>
      <c r="BZ78" s="5">
        <f t="shared" si="68"/>
        <v>0</v>
      </c>
      <c r="CA78" s="5">
        <f t="shared" si="68"/>
        <v>0</v>
      </c>
      <c r="CB78" s="5">
        <f t="shared" si="68"/>
        <v>0</v>
      </c>
      <c r="CC78" s="5">
        <f t="shared" si="77"/>
        <v>0</v>
      </c>
      <c r="CD78" s="5">
        <f t="shared" si="77"/>
        <v>0</v>
      </c>
      <c r="CE78" s="5">
        <f t="shared" si="77"/>
        <v>0</v>
      </c>
    </row>
    <row r="79" spans="3:83" x14ac:dyDescent="0.2">
      <c r="C79" s="1">
        <f>Growth!D84</f>
        <v>0</v>
      </c>
      <c r="D79" s="5" t="b">
        <f t="shared" si="69"/>
        <v>0</v>
      </c>
      <c r="E79" s="5">
        <v>1993</v>
      </c>
      <c r="F79" s="5">
        <f ca="1">LOOKUP($E79,frequence!$A$2:$A$35,frequence!L$2:L$35)</f>
        <v>191.34520119916542</v>
      </c>
      <c r="G79" s="5">
        <f ca="1">LOOKUP($E79,frequence!$A$2:$A$35,frequence!K$2:K$35)</f>
        <v>28.094581622231551</v>
      </c>
      <c r="H79" s="5">
        <f ca="1">LOOKUP($E79,frequence!$A$2:$A$35,frequence!M$2:M$35)</f>
        <v>780.68842089259488</v>
      </c>
      <c r="I79" s="5">
        <v>1991</v>
      </c>
      <c r="J79" s="7">
        <f>LOOKUP(I79,CPI!A$69:A$103,CPI!O$69:O$103)</f>
        <v>1.600998531571219</v>
      </c>
      <c r="K79" s="5">
        <v>1990</v>
      </c>
      <c r="L79" s="7">
        <f t="shared" ca="1" si="70"/>
        <v>0.97372345317578735</v>
      </c>
      <c r="M79" s="7">
        <f t="shared" si="62"/>
        <v>5.892857142857142E-2</v>
      </c>
      <c r="N79" s="14">
        <f>2/112</f>
        <v>1.7857142857142856E-2</v>
      </c>
      <c r="O79" s="1">
        <f ca="1">P79*J79*(1+Growth!G$6)^(2010-K79)</f>
        <v>1311.297508067619</v>
      </c>
      <c r="P79" s="1">
        <f>44/12*165.45</f>
        <v>606.65</v>
      </c>
      <c r="Q79" s="2">
        <f t="shared" si="46"/>
        <v>606.65</v>
      </c>
      <c r="R79" s="21">
        <f t="shared" ca="1" si="71"/>
        <v>1719501.1546643472</v>
      </c>
      <c r="X79" s="2">
        <f t="shared" si="63"/>
        <v>606.65</v>
      </c>
      <c r="AC79" s="1">
        <f t="shared" si="47"/>
        <v>3.3</v>
      </c>
      <c r="AD79" s="5">
        <v>1</v>
      </c>
      <c r="AE79" s="5">
        <v>0</v>
      </c>
      <c r="AF79" s="5">
        <v>1</v>
      </c>
      <c r="AG79" s="5">
        <v>0</v>
      </c>
      <c r="AH79" s="5">
        <v>0</v>
      </c>
      <c r="AI79" s="3">
        <f t="shared" si="64"/>
        <v>1.3</v>
      </c>
      <c r="AJ79" s="5">
        <f t="shared" si="6"/>
        <v>0</v>
      </c>
      <c r="AK79" s="5">
        <f t="shared" si="72"/>
        <v>0</v>
      </c>
      <c r="AL79" s="5">
        <f t="shared" si="73"/>
        <v>0</v>
      </c>
      <c r="AM79" s="5">
        <f t="shared" si="7"/>
        <v>0</v>
      </c>
      <c r="AN79" s="5">
        <f t="shared" si="74"/>
        <v>0</v>
      </c>
      <c r="AO79" s="5">
        <f t="shared" si="8"/>
        <v>1</v>
      </c>
      <c r="AP79" s="11" t="s">
        <v>42</v>
      </c>
      <c r="AQ79" s="1">
        <v>0</v>
      </c>
      <c r="AR79" s="5">
        <v>0</v>
      </c>
      <c r="AS79" s="5">
        <v>0</v>
      </c>
      <c r="AT79" s="5">
        <v>0</v>
      </c>
      <c r="AU79" s="5">
        <v>0</v>
      </c>
      <c r="AV79" s="5">
        <f t="shared" si="65"/>
        <v>1</v>
      </c>
      <c r="AW79" s="5">
        <f t="shared" si="66"/>
        <v>0</v>
      </c>
      <c r="AX79" s="5">
        <f t="shared" si="67"/>
        <v>0</v>
      </c>
      <c r="AY79" s="1">
        <f t="shared" si="48"/>
        <v>0</v>
      </c>
      <c r="AZ79" s="1">
        <f t="shared" si="49"/>
        <v>0</v>
      </c>
      <c r="BA79" s="1">
        <f t="shared" si="50"/>
        <v>0</v>
      </c>
      <c r="BB79" s="5">
        <v>0</v>
      </c>
      <c r="BC79" s="5">
        <v>0</v>
      </c>
      <c r="BD79" s="5">
        <v>0</v>
      </c>
      <c r="BE79" s="5">
        <f t="shared" si="51"/>
        <v>1</v>
      </c>
      <c r="BF79" s="5">
        <v>0</v>
      </c>
      <c r="BG79" s="5">
        <f t="shared" si="75"/>
        <v>0</v>
      </c>
      <c r="BH79" s="5">
        <f t="shared" si="75"/>
        <v>0</v>
      </c>
      <c r="BI79" s="5">
        <f t="shared" si="75"/>
        <v>0</v>
      </c>
      <c r="BJ79" s="5">
        <f t="shared" si="75"/>
        <v>1</v>
      </c>
      <c r="BK79" s="5">
        <f t="shared" si="75"/>
        <v>0</v>
      </c>
      <c r="BL79" s="5">
        <f t="shared" si="75"/>
        <v>0</v>
      </c>
      <c r="BM79" s="5">
        <f t="shared" si="75"/>
        <v>0</v>
      </c>
      <c r="BN79" s="5">
        <f t="shared" si="68"/>
        <v>0</v>
      </c>
      <c r="BO79" s="5">
        <f t="shared" si="68"/>
        <v>0</v>
      </c>
      <c r="BP79" s="5">
        <f t="shared" si="68"/>
        <v>0</v>
      </c>
      <c r="BQ79" s="5">
        <f t="shared" si="68"/>
        <v>0</v>
      </c>
      <c r="BR79" s="5">
        <f t="shared" si="68"/>
        <v>0</v>
      </c>
      <c r="BS79" s="5">
        <f t="shared" si="68"/>
        <v>0</v>
      </c>
      <c r="BT79" s="5">
        <f t="shared" si="68"/>
        <v>0</v>
      </c>
      <c r="BU79" s="5">
        <f t="shared" si="68"/>
        <v>0</v>
      </c>
      <c r="BV79" s="5">
        <f t="shared" si="68"/>
        <v>0</v>
      </c>
      <c r="BW79" s="5">
        <f t="shared" si="68"/>
        <v>0</v>
      </c>
      <c r="BX79" s="5">
        <f t="shared" si="68"/>
        <v>0</v>
      </c>
      <c r="BY79" s="5">
        <f t="shared" si="68"/>
        <v>0</v>
      </c>
      <c r="BZ79" s="5">
        <f t="shared" si="68"/>
        <v>0</v>
      </c>
      <c r="CA79" s="5">
        <f t="shared" si="68"/>
        <v>0</v>
      </c>
      <c r="CB79" s="5">
        <f t="shared" si="68"/>
        <v>0</v>
      </c>
      <c r="CC79" s="5">
        <f t="shared" si="77"/>
        <v>0</v>
      </c>
      <c r="CD79" s="5">
        <f t="shared" si="77"/>
        <v>0</v>
      </c>
      <c r="CE79" s="5">
        <f t="shared" si="77"/>
        <v>0</v>
      </c>
    </row>
    <row r="80" spans="3:83" x14ac:dyDescent="0.2">
      <c r="C80" s="1">
        <f>Growth!D85</f>
        <v>0</v>
      </c>
      <c r="D80" s="5" t="b">
        <f t="shared" si="69"/>
        <v>0</v>
      </c>
      <c r="E80" s="5">
        <v>1993</v>
      </c>
      <c r="F80" s="5">
        <f ca="1">LOOKUP($E80,frequence!$A$2:$A$35,frequence!L$2:L$35)</f>
        <v>191.34520119916542</v>
      </c>
      <c r="G80" s="5">
        <f ca="1">LOOKUP($E80,frequence!$A$2:$A$35,frequence!K$2:K$35)</f>
        <v>28.094581622231551</v>
      </c>
      <c r="H80" s="5">
        <f ca="1">LOOKUP($E80,frequence!$A$2:$A$35,frequence!M$2:M$35)</f>
        <v>780.68842089259488</v>
      </c>
      <c r="I80" s="5">
        <v>1991</v>
      </c>
      <c r="J80" s="7">
        <f>LOOKUP(I80,CPI!A$69:A$103,CPI!O$69:O$103)</f>
        <v>1.600998531571219</v>
      </c>
      <c r="K80" s="5">
        <v>1990</v>
      </c>
      <c r="L80" s="7">
        <f t="shared" ca="1" si="70"/>
        <v>1</v>
      </c>
      <c r="M80" s="7">
        <f t="shared" si="62"/>
        <v>2.946428571428571E-2</v>
      </c>
      <c r="N80" s="14">
        <f>1/112</f>
        <v>8.9285714285714281E-3</v>
      </c>
      <c r="O80" s="1">
        <f ca="1">P80*J80*(1+Growth!G$6)^(2010-K80)</f>
        <v>416.80952522983432</v>
      </c>
      <c r="P80" s="1">
        <f>44/12*52.59</f>
        <v>192.83</v>
      </c>
      <c r="Q80" s="2">
        <f t="shared" si="46"/>
        <v>192.83</v>
      </c>
      <c r="R80" s="21">
        <f t="shared" ca="1" si="71"/>
        <v>173730.18032231988</v>
      </c>
      <c r="X80" s="2">
        <f t="shared" si="63"/>
        <v>192.83</v>
      </c>
      <c r="AC80" s="1">
        <f t="shared" si="47"/>
        <v>3.3</v>
      </c>
      <c r="AD80" s="5">
        <v>1</v>
      </c>
      <c r="AE80" s="5">
        <v>0</v>
      </c>
      <c r="AF80" s="5">
        <v>1</v>
      </c>
      <c r="AG80" s="5">
        <v>0</v>
      </c>
      <c r="AH80" s="5">
        <v>0</v>
      </c>
      <c r="AI80" s="3">
        <f t="shared" si="64"/>
        <v>1.3</v>
      </c>
      <c r="AJ80" s="5">
        <f t="shared" si="6"/>
        <v>0</v>
      </c>
      <c r="AK80" s="5">
        <f t="shared" si="72"/>
        <v>0</v>
      </c>
      <c r="AL80" s="5">
        <f t="shared" si="73"/>
        <v>0</v>
      </c>
      <c r="AM80" s="5">
        <f t="shared" si="7"/>
        <v>0</v>
      </c>
      <c r="AN80" s="5">
        <f t="shared" si="74"/>
        <v>0</v>
      </c>
      <c r="AO80" s="5">
        <f t="shared" si="8"/>
        <v>1</v>
      </c>
      <c r="AP80" s="11" t="s">
        <v>42</v>
      </c>
      <c r="AQ80" s="1">
        <v>0</v>
      </c>
      <c r="AR80" s="5">
        <v>0</v>
      </c>
      <c r="AS80" s="5">
        <v>0</v>
      </c>
      <c r="AT80" s="5">
        <v>0</v>
      </c>
      <c r="AU80" s="5">
        <v>0</v>
      </c>
      <c r="AV80" s="5">
        <f t="shared" si="65"/>
        <v>1</v>
      </c>
      <c r="AW80" s="5">
        <f t="shared" si="66"/>
        <v>0</v>
      </c>
      <c r="AX80" s="5">
        <f t="shared" si="67"/>
        <v>0</v>
      </c>
      <c r="AY80" s="1">
        <f t="shared" si="48"/>
        <v>0</v>
      </c>
      <c r="AZ80" s="1">
        <f t="shared" si="49"/>
        <v>0</v>
      </c>
      <c r="BA80" s="1">
        <f t="shared" si="50"/>
        <v>0</v>
      </c>
      <c r="BB80" s="5">
        <v>0</v>
      </c>
      <c r="BC80" s="5">
        <v>0</v>
      </c>
      <c r="BD80" s="5">
        <v>0</v>
      </c>
      <c r="BE80" s="5">
        <f t="shared" si="51"/>
        <v>1</v>
      </c>
      <c r="BF80" s="5">
        <v>0</v>
      </c>
      <c r="BG80" s="5">
        <f t="shared" si="75"/>
        <v>0</v>
      </c>
      <c r="BH80" s="5">
        <f t="shared" si="75"/>
        <v>0</v>
      </c>
      <c r="BI80" s="5">
        <f t="shared" si="75"/>
        <v>0</v>
      </c>
      <c r="BJ80" s="5">
        <f t="shared" si="75"/>
        <v>1</v>
      </c>
      <c r="BK80" s="5">
        <f t="shared" si="75"/>
        <v>0</v>
      </c>
      <c r="BL80" s="5">
        <f t="shared" si="75"/>
        <v>0</v>
      </c>
      <c r="BM80" s="5">
        <f t="shared" si="75"/>
        <v>0</v>
      </c>
      <c r="BN80" s="5">
        <f t="shared" si="68"/>
        <v>0</v>
      </c>
      <c r="BO80" s="5">
        <f t="shared" si="68"/>
        <v>0</v>
      </c>
      <c r="BP80" s="5">
        <f t="shared" si="68"/>
        <v>0</v>
      </c>
      <c r="BQ80" s="5">
        <f t="shared" si="68"/>
        <v>0</v>
      </c>
      <c r="BR80" s="5">
        <f t="shared" si="68"/>
        <v>0</v>
      </c>
      <c r="BS80" s="5">
        <f t="shared" si="68"/>
        <v>0</v>
      </c>
      <c r="BT80" s="5">
        <f t="shared" si="68"/>
        <v>0</v>
      </c>
      <c r="BU80" s="5">
        <f t="shared" si="68"/>
        <v>0</v>
      </c>
      <c r="BV80" s="5">
        <f t="shared" si="68"/>
        <v>0</v>
      </c>
      <c r="BW80" s="5">
        <f t="shared" si="68"/>
        <v>0</v>
      </c>
      <c r="BX80" s="5">
        <f t="shared" si="68"/>
        <v>0</v>
      </c>
      <c r="BY80" s="5">
        <f t="shared" si="68"/>
        <v>0</v>
      </c>
      <c r="BZ80" s="5">
        <f t="shared" si="68"/>
        <v>0</v>
      </c>
      <c r="CA80" s="5">
        <f t="shared" si="68"/>
        <v>0</v>
      </c>
      <c r="CB80" s="5">
        <f t="shared" si="68"/>
        <v>0</v>
      </c>
      <c r="CC80" s="5">
        <f t="shared" si="77"/>
        <v>0</v>
      </c>
      <c r="CD80" s="5">
        <f t="shared" si="77"/>
        <v>0</v>
      </c>
      <c r="CE80" s="5">
        <f t="shared" si="77"/>
        <v>0</v>
      </c>
    </row>
    <row r="81" spans="1:83" x14ac:dyDescent="0.2">
      <c r="C81" s="1">
        <f>Growth!D86</f>
        <v>0</v>
      </c>
      <c r="D81" s="5" t="b">
        <f t="shared" si="69"/>
        <v>0</v>
      </c>
      <c r="E81" s="5">
        <v>1993</v>
      </c>
      <c r="F81" s="5">
        <f ca="1">LOOKUP($E81,frequence!$A$2:$A$35,frequence!L$2:L$35)</f>
        <v>191.34520119916542</v>
      </c>
      <c r="G81" s="5">
        <f ca="1">LOOKUP($E81,frequence!$A$2:$A$35,frequence!K$2:K$35)</f>
        <v>28.094581622231551</v>
      </c>
      <c r="H81" s="5">
        <f ca="1">LOOKUP($E81,frequence!$A$2:$A$35,frequence!M$2:M$35)</f>
        <v>780.68842089259488</v>
      </c>
      <c r="I81" s="5">
        <v>1991</v>
      </c>
      <c r="J81" s="7">
        <f>LOOKUP(I81,CPI!A$69:A$103,CPI!O$69:O$103)</f>
        <v>1.600998531571219</v>
      </c>
      <c r="K81" s="5">
        <v>1990</v>
      </c>
      <c r="L81" s="7">
        <f t="shared" ca="1" si="70"/>
        <v>0.78983566177639419</v>
      </c>
      <c r="M81" s="7">
        <f t="shared" si="62"/>
        <v>2.946428571428571E-2</v>
      </c>
      <c r="N81" s="14">
        <f>1/112</f>
        <v>8.9285714285714281E-3</v>
      </c>
      <c r="O81" s="1">
        <f ca="1">P81*J81*(1+Growth!G$6)^(2010-K81)</f>
        <v>2500.6193821119036</v>
      </c>
      <c r="P81" s="1">
        <f>44/12*315.51</f>
        <v>1156.8699999999999</v>
      </c>
      <c r="Q81" s="2">
        <f t="shared" si="46"/>
        <v>1156.8699999999999</v>
      </c>
      <c r="R81" s="21">
        <f t="shared" ca="1" si="71"/>
        <v>6253097.2941937186</v>
      </c>
      <c r="X81" s="2">
        <f t="shared" si="63"/>
        <v>1156.8699999999999</v>
      </c>
      <c r="AC81" s="1">
        <f t="shared" si="47"/>
        <v>3.3</v>
      </c>
      <c r="AD81" s="5">
        <v>1</v>
      </c>
      <c r="AE81" s="5">
        <v>0</v>
      </c>
      <c r="AF81" s="5">
        <v>1</v>
      </c>
      <c r="AG81" s="5">
        <v>0</v>
      </c>
      <c r="AH81" s="5">
        <v>0</v>
      </c>
      <c r="AI81" s="3">
        <f t="shared" si="64"/>
        <v>1.3</v>
      </c>
      <c r="AJ81" s="5">
        <f t="shared" si="6"/>
        <v>0</v>
      </c>
      <c r="AK81" s="5">
        <f t="shared" si="72"/>
        <v>0</v>
      </c>
      <c r="AL81" s="5">
        <f t="shared" si="73"/>
        <v>0</v>
      </c>
      <c r="AM81" s="5">
        <f t="shared" si="7"/>
        <v>0</v>
      </c>
      <c r="AN81" s="5">
        <f t="shared" si="74"/>
        <v>0</v>
      </c>
      <c r="AO81" s="5">
        <f t="shared" si="8"/>
        <v>1</v>
      </c>
      <c r="AP81" s="11" t="s">
        <v>42</v>
      </c>
      <c r="AQ81" s="1">
        <v>0</v>
      </c>
      <c r="AR81" s="5">
        <v>0</v>
      </c>
      <c r="AS81" s="5">
        <v>0</v>
      </c>
      <c r="AT81" s="5">
        <v>0</v>
      </c>
      <c r="AU81" s="5">
        <v>0</v>
      </c>
      <c r="AV81" s="5">
        <f t="shared" si="65"/>
        <v>1</v>
      </c>
      <c r="AW81" s="5">
        <f t="shared" si="66"/>
        <v>0</v>
      </c>
      <c r="AX81" s="5">
        <f t="shared" si="67"/>
        <v>0</v>
      </c>
      <c r="AY81" s="1">
        <f t="shared" si="48"/>
        <v>0</v>
      </c>
      <c r="AZ81" s="1">
        <f t="shared" si="49"/>
        <v>0</v>
      </c>
      <c r="BA81" s="1">
        <f t="shared" si="50"/>
        <v>0</v>
      </c>
      <c r="BB81" s="5">
        <v>0</v>
      </c>
      <c r="BC81" s="5">
        <v>0</v>
      </c>
      <c r="BD81" s="5">
        <v>0</v>
      </c>
      <c r="BE81" s="5">
        <f t="shared" si="51"/>
        <v>1</v>
      </c>
      <c r="BF81" s="5">
        <v>0</v>
      </c>
      <c r="BG81" s="5">
        <f t="shared" si="75"/>
        <v>0</v>
      </c>
      <c r="BH81" s="5">
        <f t="shared" si="75"/>
        <v>0</v>
      </c>
      <c r="BI81" s="5">
        <f t="shared" si="75"/>
        <v>0</v>
      </c>
      <c r="BJ81" s="5">
        <f t="shared" si="75"/>
        <v>1</v>
      </c>
      <c r="BK81" s="5">
        <f t="shared" si="75"/>
        <v>0</v>
      </c>
      <c r="BL81" s="5">
        <f t="shared" si="75"/>
        <v>0</v>
      </c>
      <c r="BM81" s="5">
        <f t="shared" si="75"/>
        <v>0</v>
      </c>
      <c r="BN81" s="5">
        <f t="shared" si="68"/>
        <v>0</v>
      </c>
      <c r="BO81" s="5">
        <f t="shared" si="68"/>
        <v>0</v>
      </c>
      <c r="BP81" s="5">
        <f t="shared" si="68"/>
        <v>0</v>
      </c>
      <c r="BQ81" s="5">
        <f t="shared" si="68"/>
        <v>0</v>
      </c>
      <c r="BR81" s="5">
        <f t="shared" si="68"/>
        <v>0</v>
      </c>
      <c r="BS81" s="5">
        <f t="shared" si="68"/>
        <v>0</v>
      </c>
      <c r="BT81" s="5">
        <f t="shared" si="68"/>
        <v>0</v>
      </c>
      <c r="BU81" s="5">
        <f t="shared" si="68"/>
        <v>0</v>
      </c>
      <c r="BV81" s="5">
        <f t="shared" si="68"/>
        <v>0</v>
      </c>
      <c r="BW81" s="5">
        <f t="shared" si="68"/>
        <v>0</v>
      </c>
      <c r="BX81" s="5">
        <f t="shared" si="68"/>
        <v>0</v>
      </c>
      <c r="BY81" s="5">
        <f t="shared" si="68"/>
        <v>0</v>
      </c>
      <c r="BZ81" s="5">
        <f t="shared" si="68"/>
        <v>0</v>
      </c>
      <c r="CA81" s="5">
        <f t="shared" si="68"/>
        <v>0</v>
      </c>
      <c r="CB81" s="5">
        <f t="shared" si="68"/>
        <v>0</v>
      </c>
      <c r="CC81" s="5">
        <f t="shared" si="77"/>
        <v>0</v>
      </c>
      <c r="CD81" s="5">
        <f t="shared" si="77"/>
        <v>0</v>
      </c>
      <c r="CE81" s="5">
        <f t="shared" si="77"/>
        <v>0</v>
      </c>
    </row>
    <row r="82" spans="1:83" x14ac:dyDescent="0.2">
      <c r="C82" s="1">
        <f>Growth!D87</f>
        <v>0</v>
      </c>
      <c r="D82" s="5" t="b">
        <f t="shared" si="69"/>
        <v>0</v>
      </c>
      <c r="E82" s="5">
        <v>1993</v>
      </c>
      <c r="F82" s="5">
        <f ca="1">LOOKUP($E82,frequence!$A$2:$A$35,frequence!L$2:L$35)</f>
        <v>191.34520119916542</v>
      </c>
      <c r="G82" s="5">
        <f ca="1">LOOKUP($E82,frequence!$A$2:$A$35,frequence!K$2:K$35)</f>
        <v>28.094581622231551</v>
      </c>
      <c r="H82" s="5">
        <f ca="1">LOOKUP($E82,frequence!$A$2:$A$35,frequence!M$2:M$35)</f>
        <v>780.68842089259488</v>
      </c>
      <c r="I82" s="5">
        <v>1991</v>
      </c>
      <c r="J82" s="7">
        <f>LOOKUP(I82,CPI!A$69:A$103,CPI!O$69:O$103)</f>
        <v>1.600998531571219</v>
      </c>
      <c r="K82" s="5">
        <v>1990</v>
      </c>
      <c r="L82" s="7">
        <f t="shared" ca="1" si="70"/>
        <v>1</v>
      </c>
      <c r="M82" s="7">
        <f t="shared" si="62"/>
        <v>2.946428571428571E-2</v>
      </c>
      <c r="N82" s="14">
        <f>1/112</f>
        <v>8.9285714285714281E-3</v>
      </c>
      <c r="O82" s="1">
        <f ca="1">P82*J82*(1+Growth!G$6)^(2010-K82)</f>
        <v>1087.5566277246219</v>
      </c>
      <c r="P82" s="1">
        <f>44/12*137.22</f>
        <v>503.14</v>
      </c>
      <c r="Q82" s="2">
        <f t="shared" si="46"/>
        <v>503.14</v>
      </c>
      <c r="R82" s="21">
        <f t="shared" ca="1" si="71"/>
        <v>1182779.4185077518</v>
      </c>
      <c r="X82" s="2">
        <f t="shared" si="63"/>
        <v>503.14</v>
      </c>
      <c r="AC82" s="1">
        <f t="shared" si="47"/>
        <v>3.3</v>
      </c>
      <c r="AD82" s="5">
        <v>1</v>
      </c>
      <c r="AE82" s="5">
        <v>0</v>
      </c>
      <c r="AF82" s="5">
        <v>1</v>
      </c>
      <c r="AG82" s="5">
        <v>0</v>
      </c>
      <c r="AH82" s="5">
        <v>0</v>
      </c>
      <c r="AI82" s="3">
        <f t="shared" si="64"/>
        <v>1.3</v>
      </c>
      <c r="AJ82" s="5">
        <f t="shared" si="6"/>
        <v>0</v>
      </c>
      <c r="AK82" s="5">
        <f t="shared" si="72"/>
        <v>0</v>
      </c>
      <c r="AL82" s="5">
        <f t="shared" si="73"/>
        <v>0</v>
      </c>
      <c r="AM82" s="5">
        <f t="shared" si="7"/>
        <v>0</v>
      </c>
      <c r="AN82" s="5">
        <f t="shared" si="74"/>
        <v>0</v>
      </c>
      <c r="AO82" s="5">
        <f t="shared" si="8"/>
        <v>1</v>
      </c>
      <c r="AP82" s="11" t="s">
        <v>42</v>
      </c>
      <c r="AQ82" s="1">
        <v>0</v>
      </c>
      <c r="AR82" s="5">
        <v>0</v>
      </c>
      <c r="AS82" s="5">
        <v>0</v>
      </c>
      <c r="AT82" s="5">
        <v>0</v>
      </c>
      <c r="AU82" s="5">
        <v>0</v>
      </c>
      <c r="AV82" s="5">
        <f t="shared" si="65"/>
        <v>1</v>
      </c>
      <c r="AW82" s="5">
        <f t="shared" si="66"/>
        <v>0</v>
      </c>
      <c r="AX82" s="5">
        <f t="shared" si="67"/>
        <v>0</v>
      </c>
      <c r="AY82" s="1">
        <f t="shared" si="48"/>
        <v>0</v>
      </c>
      <c r="AZ82" s="1">
        <f t="shared" si="49"/>
        <v>0</v>
      </c>
      <c r="BA82" s="1">
        <f t="shared" si="50"/>
        <v>0</v>
      </c>
      <c r="BB82" s="5">
        <v>0</v>
      </c>
      <c r="BC82" s="5">
        <v>0</v>
      </c>
      <c r="BD82" s="5">
        <v>0</v>
      </c>
      <c r="BE82" s="5">
        <f t="shared" si="51"/>
        <v>1</v>
      </c>
      <c r="BF82" s="5">
        <v>0</v>
      </c>
      <c r="BG82" s="5">
        <f t="shared" si="75"/>
        <v>0</v>
      </c>
      <c r="BH82" s="5">
        <f t="shared" si="75"/>
        <v>0</v>
      </c>
      <c r="BI82" s="5">
        <f t="shared" si="75"/>
        <v>0</v>
      </c>
      <c r="BJ82" s="5">
        <f t="shared" si="75"/>
        <v>1</v>
      </c>
      <c r="BK82" s="5">
        <f t="shared" si="75"/>
        <v>0</v>
      </c>
      <c r="BL82" s="5">
        <f t="shared" si="75"/>
        <v>0</v>
      </c>
      <c r="BM82" s="5">
        <f t="shared" si="75"/>
        <v>0</v>
      </c>
      <c r="BN82" s="5">
        <f t="shared" si="68"/>
        <v>0</v>
      </c>
      <c r="BO82" s="5">
        <f t="shared" si="68"/>
        <v>0</v>
      </c>
      <c r="BP82" s="5">
        <f t="shared" si="68"/>
        <v>0</v>
      </c>
      <c r="BQ82" s="5">
        <f t="shared" si="68"/>
        <v>0</v>
      </c>
      <c r="BR82" s="5">
        <f t="shared" si="68"/>
        <v>0</v>
      </c>
      <c r="BS82" s="5">
        <f t="shared" si="68"/>
        <v>0</v>
      </c>
      <c r="BT82" s="5">
        <f t="shared" si="68"/>
        <v>0</v>
      </c>
      <c r="BU82" s="5">
        <f t="shared" si="68"/>
        <v>0</v>
      </c>
      <c r="BV82" s="5">
        <f t="shared" si="68"/>
        <v>0</v>
      </c>
      <c r="BW82" s="5">
        <f t="shared" si="68"/>
        <v>0</v>
      </c>
      <c r="BX82" s="5">
        <f t="shared" si="68"/>
        <v>0</v>
      </c>
      <c r="BY82" s="5">
        <f t="shared" si="68"/>
        <v>0</v>
      </c>
      <c r="BZ82" s="5">
        <f t="shared" si="68"/>
        <v>0</v>
      </c>
      <c r="CA82" s="5">
        <f t="shared" si="68"/>
        <v>0</v>
      </c>
      <c r="CB82" s="5">
        <f t="shared" si="68"/>
        <v>0</v>
      </c>
      <c r="CC82" s="5">
        <f t="shared" si="77"/>
        <v>0</v>
      </c>
      <c r="CD82" s="5">
        <f t="shared" si="77"/>
        <v>0</v>
      </c>
      <c r="CE82" s="5">
        <f t="shared" si="77"/>
        <v>0</v>
      </c>
    </row>
    <row r="83" spans="1:83" x14ac:dyDescent="0.2">
      <c r="C83" s="1">
        <f>Growth!D88</f>
        <v>0</v>
      </c>
      <c r="D83" s="5" t="b">
        <f t="shared" si="69"/>
        <v>0</v>
      </c>
      <c r="E83" s="5">
        <v>1993</v>
      </c>
      <c r="F83" s="5">
        <f ca="1">LOOKUP($E83,frequence!$A$2:$A$35,frequence!L$2:L$35)</f>
        <v>191.34520119916542</v>
      </c>
      <c r="G83" s="5">
        <f ca="1">LOOKUP($E83,frequence!$A$2:$A$35,frequence!K$2:K$35)</f>
        <v>28.094581622231551</v>
      </c>
      <c r="H83" s="5">
        <f ca="1">LOOKUP($E83,frequence!$A$2:$A$35,frequence!M$2:M$35)</f>
        <v>780.68842089259488</v>
      </c>
      <c r="I83" s="5">
        <v>1991</v>
      </c>
      <c r="J83" s="7">
        <f>LOOKUP(I83,CPI!A$69:A$103,CPI!O$69:O$103)</f>
        <v>1.600998531571219</v>
      </c>
      <c r="K83" s="5">
        <v>1990</v>
      </c>
      <c r="L83" s="7">
        <f t="shared" ca="1" si="70"/>
        <v>0.16758760955205831</v>
      </c>
      <c r="M83" s="7">
        <f t="shared" si="62"/>
        <v>2.946428571428571E-2</v>
      </c>
      <c r="N83" s="14">
        <f>1/112</f>
        <v>8.9285714285714281E-3</v>
      </c>
      <c r="O83" s="1">
        <f ca="1">P83*J83*(1+Growth!G$6)^(2010-K83)</f>
        <v>6525.1019970806292</v>
      </c>
      <c r="P83" s="1">
        <f>44/12*823.29</f>
        <v>3018.7299999999996</v>
      </c>
      <c r="Q83" s="2">
        <f t="shared" si="46"/>
        <v>3018.7299999999996</v>
      </c>
      <c r="R83" s="21">
        <f t="shared" ca="1" si="71"/>
        <v>42576956.072305612</v>
      </c>
      <c r="X83" s="2">
        <f t="shared" si="63"/>
        <v>3018.7299999999996</v>
      </c>
      <c r="AC83" s="1">
        <f t="shared" si="47"/>
        <v>3.3</v>
      </c>
      <c r="AD83" s="5">
        <v>1</v>
      </c>
      <c r="AE83" s="5">
        <v>0</v>
      </c>
      <c r="AF83" s="5">
        <v>1</v>
      </c>
      <c r="AG83" s="5">
        <v>0</v>
      </c>
      <c r="AH83" s="5">
        <v>0</v>
      </c>
      <c r="AI83" s="3">
        <f t="shared" si="64"/>
        <v>1.3</v>
      </c>
      <c r="AJ83" s="5">
        <f t="shared" si="6"/>
        <v>0</v>
      </c>
      <c r="AK83" s="5">
        <f t="shared" si="72"/>
        <v>0</v>
      </c>
      <c r="AL83" s="5">
        <f t="shared" si="73"/>
        <v>0</v>
      </c>
      <c r="AM83" s="5">
        <f t="shared" si="7"/>
        <v>0</v>
      </c>
      <c r="AN83" s="5">
        <f t="shared" si="74"/>
        <v>0</v>
      </c>
      <c r="AO83" s="5">
        <f t="shared" si="8"/>
        <v>1</v>
      </c>
      <c r="AP83" s="11" t="s">
        <v>42</v>
      </c>
      <c r="AQ83" s="1">
        <v>0</v>
      </c>
      <c r="AR83" s="5">
        <v>0</v>
      </c>
      <c r="AS83" s="5">
        <v>0</v>
      </c>
      <c r="AT83" s="5">
        <v>0</v>
      </c>
      <c r="AU83" s="5">
        <v>0</v>
      </c>
      <c r="AV83" s="5">
        <f t="shared" si="65"/>
        <v>1</v>
      </c>
      <c r="AW83" s="5">
        <f t="shared" si="66"/>
        <v>0</v>
      </c>
      <c r="AX83" s="5">
        <f t="shared" si="67"/>
        <v>0</v>
      </c>
      <c r="AY83" s="1">
        <f t="shared" si="48"/>
        <v>0</v>
      </c>
      <c r="AZ83" s="1">
        <f t="shared" si="49"/>
        <v>0</v>
      </c>
      <c r="BA83" s="1">
        <f t="shared" si="50"/>
        <v>0</v>
      </c>
      <c r="BB83" s="5">
        <v>0</v>
      </c>
      <c r="BC83" s="5">
        <v>0</v>
      </c>
      <c r="BD83" s="5">
        <v>0</v>
      </c>
      <c r="BE83" s="5">
        <f t="shared" si="51"/>
        <v>1</v>
      </c>
      <c r="BF83" s="5">
        <v>0</v>
      </c>
      <c r="BG83" s="5">
        <f t="shared" si="75"/>
        <v>0</v>
      </c>
      <c r="BH83" s="5">
        <f t="shared" si="75"/>
        <v>0</v>
      </c>
      <c r="BI83" s="5">
        <f t="shared" si="75"/>
        <v>0</v>
      </c>
      <c r="BJ83" s="5">
        <f t="shared" si="75"/>
        <v>1</v>
      </c>
      <c r="BK83" s="5">
        <f t="shared" si="75"/>
        <v>0</v>
      </c>
      <c r="BL83" s="5">
        <f t="shared" si="75"/>
        <v>0</v>
      </c>
      <c r="BM83" s="5">
        <f t="shared" si="75"/>
        <v>0</v>
      </c>
      <c r="BN83" s="5">
        <f t="shared" si="68"/>
        <v>0</v>
      </c>
      <c r="BO83" s="5">
        <f t="shared" si="68"/>
        <v>0</v>
      </c>
      <c r="BP83" s="5">
        <f t="shared" si="68"/>
        <v>0</v>
      </c>
      <c r="BQ83" s="5">
        <f t="shared" si="68"/>
        <v>0</v>
      </c>
      <c r="BR83" s="5">
        <f t="shared" si="68"/>
        <v>0</v>
      </c>
      <c r="BS83" s="5">
        <f t="shared" si="68"/>
        <v>0</v>
      </c>
      <c r="BT83" s="5">
        <f t="shared" si="68"/>
        <v>0</v>
      </c>
      <c r="BU83" s="5">
        <f t="shared" si="68"/>
        <v>0</v>
      </c>
      <c r="BV83" s="5">
        <f t="shared" si="68"/>
        <v>0</v>
      </c>
      <c r="BW83" s="5">
        <f t="shared" si="68"/>
        <v>0</v>
      </c>
      <c r="BX83" s="5">
        <f t="shared" si="68"/>
        <v>0</v>
      </c>
      <c r="BY83" s="5">
        <f t="shared" si="68"/>
        <v>0</v>
      </c>
      <c r="BZ83" s="5">
        <f t="shared" si="68"/>
        <v>0</v>
      </c>
      <c r="CA83" s="5">
        <f t="shared" si="68"/>
        <v>0</v>
      </c>
      <c r="CB83" s="5">
        <f t="shared" ref="CB83:CE102" si="78">IF($E83=CB$2,1,0)</f>
        <v>0</v>
      </c>
      <c r="CC83" s="5">
        <f t="shared" si="77"/>
        <v>0</v>
      </c>
      <c r="CD83" s="5">
        <f t="shared" si="77"/>
        <v>0</v>
      </c>
      <c r="CE83" s="5">
        <f t="shared" si="77"/>
        <v>0</v>
      </c>
    </row>
    <row r="84" spans="1:83" x14ac:dyDescent="0.2">
      <c r="A84" s="1" t="s">
        <v>20</v>
      </c>
      <c r="B84" s="1" t="s">
        <v>73</v>
      </c>
      <c r="C84" s="1">
        <f>Growth!D89</f>
        <v>1</v>
      </c>
      <c r="D84" s="5">
        <f t="shared" si="69"/>
        <v>1993</v>
      </c>
      <c r="E84" s="5">
        <v>1993</v>
      </c>
      <c r="F84" s="5">
        <f ca="1">LOOKUP($E84,frequence!$A$2:$A$35,frequence!L$2:L$35)</f>
        <v>191.34520119916542</v>
      </c>
      <c r="G84" s="5">
        <f ca="1">LOOKUP($E84,frequence!$A$2:$A$35,frequence!K$2:K$35)</f>
        <v>28.094581622231551</v>
      </c>
      <c r="H84" s="5">
        <f ca="1">LOOKUP($E84,frequence!$A$2:$A$35,frequence!M$2:M$35)</f>
        <v>780.68842089259488</v>
      </c>
      <c r="I84" s="5">
        <v>1989</v>
      </c>
      <c r="J84" s="7">
        <f>LOOKUP(I84,CPI!A$69:A$103,CPI!O$69:O$103)</f>
        <v>1.7585161290322582</v>
      </c>
      <c r="K84" s="5">
        <v>1990</v>
      </c>
      <c r="L84" s="7">
        <f t="shared" ca="1" si="70"/>
        <v>1</v>
      </c>
      <c r="M84" s="7">
        <f t="shared" si="62"/>
        <v>4.3</v>
      </c>
      <c r="N84" s="14">
        <v>1</v>
      </c>
      <c r="O84" s="1">
        <f ca="1">P84*J84*(1+Growth!G$6)^(2010-K84)</f>
        <v>11.871031590650512</v>
      </c>
      <c r="P84" s="1">
        <v>5</v>
      </c>
      <c r="Q84" s="2">
        <f t="shared" si="3"/>
        <v>5</v>
      </c>
      <c r="R84" s="21">
        <f t="shared" ca="1" si="71"/>
        <v>140.92139102622244</v>
      </c>
      <c r="X84" s="2">
        <f t="shared" si="63"/>
        <v>5</v>
      </c>
      <c r="AC84" s="1">
        <f t="shared" si="29"/>
        <v>4.3</v>
      </c>
      <c r="AD84" s="5">
        <v>1</v>
      </c>
      <c r="AE84" s="5">
        <v>0</v>
      </c>
      <c r="AF84" s="5">
        <v>1</v>
      </c>
      <c r="AG84" s="5">
        <v>0</v>
      </c>
      <c r="AH84" s="5">
        <v>1</v>
      </c>
      <c r="AI84" s="3">
        <f t="shared" si="64"/>
        <v>1.3</v>
      </c>
      <c r="AJ84" s="5">
        <f t="shared" si="6"/>
        <v>1</v>
      </c>
      <c r="AK84" s="5">
        <f t="shared" si="72"/>
        <v>0</v>
      </c>
      <c r="AL84" s="5">
        <f t="shared" si="73"/>
        <v>0</v>
      </c>
      <c r="AM84" s="5">
        <f t="shared" si="7"/>
        <v>0</v>
      </c>
      <c r="AN84" s="5">
        <f t="shared" si="74"/>
        <v>0</v>
      </c>
      <c r="AO84" s="5">
        <f t="shared" si="8"/>
        <v>0</v>
      </c>
      <c r="AP84" s="1">
        <v>5</v>
      </c>
      <c r="AQ84" s="1">
        <v>3</v>
      </c>
      <c r="AR84" s="5">
        <v>0</v>
      </c>
      <c r="AS84" s="5">
        <v>0</v>
      </c>
      <c r="AT84" s="5">
        <v>0</v>
      </c>
      <c r="AU84" s="5">
        <v>0</v>
      </c>
      <c r="AV84" s="5">
        <f t="shared" si="65"/>
        <v>1</v>
      </c>
      <c r="AW84" s="5">
        <f t="shared" si="66"/>
        <v>0</v>
      </c>
      <c r="AX84" s="5">
        <f t="shared" si="67"/>
        <v>0</v>
      </c>
      <c r="AY84" s="1">
        <f t="shared" si="12"/>
        <v>0</v>
      </c>
      <c r="AZ84" s="1">
        <f t="shared" si="13"/>
        <v>0</v>
      </c>
      <c r="BA84" s="1">
        <f t="shared" si="14"/>
        <v>0</v>
      </c>
      <c r="BB84" s="5">
        <v>0</v>
      </c>
      <c r="BC84" s="5">
        <v>1</v>
      </c>
      <c r="BD84" s="5">
        <v>0</v>
      </c>
      <c r="BE84" s="5">
        <f t="shared" si="30"/>
        <v>0</v>
      </c>
      <c r="BF84" s="5">
        <v>1</v>
      </c>
      <c r="BG84" s="5">
        <f t="shared" si="75"/>
        <v>0</v>
      </c>
      <c r="BH84" s="5">
        <f t="shared" si="75"/>
        <v>0</v>
      </c>
      <c r="BI84" s="5">
        <f t="shared" si="75"/>
        <v>0</v>
      </c>
      <c r="BJ84" s="5">
        <f t="shared" si="75"/>
        <v>1</v>
      </c>
      <c r="BK84" s="5">
        <f t="shared" si="75"/>
        <v>0</v>
      </c>
      <c r="BL84" s="5">
        <f t="shared" si="75"/>
        <v>0</v>
      </c>
      <c r="BM84" s="5">
        <f t="shared" si="75"/>
        <v>0</v>
      </c>
      <c r="BN84" s="5">
        <f t="shared" si="75"/>
        <v>0</v>
      </c>
      <c r="BO84" s="5">
        <f t="shared" ref="BO84:CA99" si="79">IF($E84=BO$2,1,0)</f>
        <v>0</v>
      </c>
      <c r="BP84" s="5">
        <f t="shared" si="79"/>
        <v>0</v>
      </c>
      <c r="BQ84" s="5">
        <f t="shared" si="79"/>
        <v>0</v>
      </c>
      <c r="BR84" s="5">
        <f t="shared" si="79"/>
        <v>0</v>
      </c>
      <c r="BS84" s="5">
        <f t="shared" si="79"/>
        <v>0</v>
      </c>
      <c r="BT84" s="5">
        <f t="shared" si="79"/>
        <v>0</v>
      </c>
      <c r="BU84" s="5">
        <f t="shared" si="79"/>
        <v>0</v>
      </c>
      <c r="BV84" s="5">
        <f t="shared" si="79"/>
        <v>0</v>
      </c>
      <c r="BW84" s="5">
        <f t="shared" si="79"/>
        <v>0</v>
      </c>
      <c r="BX84" s="5">
        <f t="shared" si="79"/>
        <v>0</v>
      </c>
      <c r="BY84" s="5">
        <f t="shared" si="79"/>
        <v>0</v>
      </c>
      <c r="BZ84" s="5">
        <f t="shared" si="79"/>
        <v>0</v>
      </c>
      <c r="CA84" s="5">
        <f t="shared" si="79"/>
        <v>0</v>
      </c>
      <c r="CB84" s="5">
        <f t="shared" si="78"/>
        <v>0</v>
      </c>
      <c r="CC84" s="5">
        <f t="shared" si="77"/>
        <v>0</v>
      </c>
      <c r="CD84" s="5">
        <f t="shared" si="77"/>
        <v>0</v>
      </c>
      <c r="CE84" s="5">
        <f t="shared" si="77"/>
        <v>0</v>
      </c>
    </row>
    <row r="85" spans="1:83" x14ac:dyDescent="0.2">
      <c r="A85" s="1" t="s">
        <v>21</v>
      </c>
      <c r="B85" s="1" t="s">
        <v>96</v>
      </c>
      <c r="C85" s="1">
        <f>Growth!D90</f>
        <v>0.5</v>
      </c>
      <c r="D85" s="5">
        <f t="shared" si="69"/>
        <v>1993</v>
      </c>
      <c r="E85" s="5">
        <v>1993</v>
      </c>
      <c r="F85" s="5">
        <f ca="1">LOOKUP($E85,frequence!$A$2:$A$35,frequence!L$2:L$35)</f>
        <v>191.34520119916542</v>
      </c>
      <c r="G85" s="5">
        <f ca="1">LOOKUP($E85,frequence!$A$2:$A$35,frequence!K$2:K$35)</f>
        <v>28.094581622231551</v>
      </c>
      <c r="H85" s="5">
        <f ca="1">LOOKUP($E85,frequence!$A$2:$A$35,frequence!M$2:M$35)</f>
        <v>780.68842089259488</v>
      </c>
      <c r="I85" s="18">
        <v>1989</v>
      </c>
      <c r="J85" s="7">
        <f>LOOKUP(I85,CPI!A$69:A$103,CPI!O$69:O$103)</f>
        <v>1.7585161290322582</v>
      </c>
      <c r="K85" s="5">
        <v>1990</v>
      </c>
      <c r="L85" s="7">
        <f t="shared" ca="1" si="70"/>
        <v>1</v>
      </c>
      <c r="M85" s="7">
        <f t="shared" si="62"/>
        <v>2.15</v>
      </c>
      <c r="N85" s="14">
        <v>0.5</v>
      </c>
      <c r="O85" s="1">
        <f ca="1">P85*J85*(1+Growth!G$6)^(2010-K85)</f>
        <v>23.742063181301024</v>
      </c>
      <c r="P85" s="1">
        <v>10</v>
      </c>
      <c r="Q85" s="2">
        <f t="shared" si="3"/>
        <v>10</v>
      </c>
      <c r="R85" s="21">
        <f t="shared" ca="1" si="71"/>
        <v>563.68556410488975</v>
      </c>
      <c r="X85" s="2">
        <f t="shared" si="63"/>
        <v>10</v>
      </c>
      <c r="AC85" s="1">
        <f t="shared" si="29"/>
        <v>4.3</v>
      </c>
      <c r="AD85" s="5">
        <v>1</v>
      </c>
      <c r="AE85" s="5">
        <v>0</v>
      </c>
      <c r="AF85" s="5">
        <v>1</v>
      </c>
      <c r="AG85" s="5">
        <v>0</v>
      </c>
      <c r="AH85" s="5">
        <v>1</v>
      </c>
      <c r="AI85" s="3">
        <f t="shared" si="64"/>
        <v>1.3</v>
      </c>
      <c r="AJ85" s="5">
        <f t="shared" si="6"/>
        <v>1</v>
      </c>
      <c r="AK85" s="5">
        <f t="shared" si="72"/>
        <v>0</v>
      </c>
      <c r="AL85" s="5">
        <f t="shared" si="73"/>
        <v>0</v>
      </c>
      <c r="AM85" s="5">
        <f t="shared" si="7"/>
        <v>0</v>
      </c>
      <c r="AN85" s="5">
        <f t="shared" si="74"/>
        <v>0</v>
      </c>
      <c r="AO85" s="5">
        <f t="shared" si="8"/>
        <v>0</v>
      </c>
      <c r="AP85" s="1">
        <v>5</v>
      </c>
      <c r="AQ85" s="1">
        <v>3</v>
      </c>
      <c r="AR85" s="5">
        <v>0</v>
      </c>
      <c r="AS85" s="5">
        <v>0</v>
      </c>
      <c r="AT85" s="5">
        <v>0</v>
      </c>
      <c r="AU85" s="5">
        <v>0</v>
      </c>
      <c r="AV85" s="5">
        <f t="shared" si="65"/>
        <v>1</v>
      </c>
      <c r="AW85" s="5">
        <f t="shared" si="66"/>
        <v>0</v>
      </c>
      <c r="AX85" s="5">
        <f t="shared" si="67"/>
        <v>0</v>
      </c>
      <c r="AY85" s="1">
        <f t="shared" si="12"/>
        <v>0</v>
      </c>
      <c r="AZ85" s="1">
        <f t="shared" si="13"/>
        <v>0</v>
      </c>
      <c r="BA85" s="1">
        <f t="shared" si="14"/>
        <v>0</v>
      </c>
      <c r="BB85" s="5">
        <v>0</v>
      </c>
      <c r="BC85" s="5">
        <v>0</v>
      </c>
      <c r="BD85" s="5">
        <v>0</v>
      </c>
      <c r="BE85" s="5">
        <f t="shared" si="30"/>
        <v>1</v>
      </c>
      <c r="BF85" s="5">
        <v>1</v>
      </c>
      <c r="BG85" s="5">
        <f t="shared" ref="BG85:BN100" si="80">IF($E85=BG$2,1,0)</f>
        <v>0</v>
      </c>
      <c r="BH85" s="5">
        <f t="shared" si="80"/>
        <v>0</v>
      </c>
      <c r="BI85" s="5">
        <f t="shared" si="80"/>
        <v>0</v>
      </c>
      <c r="BJ85" s="5">
        <f t="shared" si="80"/>
        <v>1</v>
      </c>
      <c r="BK85" s="5">
        <f t="shared" si="80"/>
        <v>0</v>
      </c>
      <c r="BL85" s="5">
        <f t="shared" si="80"/>
        <v>0</v>
      </c>
      <c r="BM85" s="5">
        <f t="shared" si="80"/>
        <v>0</v>
      </c>
      <c r="BN85" s="5">
        <f t="shared" si="80"/>
        <v>0</v>
      </c>
      <c r="BO85" s="5">
        <f t="shared" si="79"/>
        <v>0</v>
      </c>
      <c r="BP85" s="5">
        <f t="shared" si="79"/>
        <v>0</v>
      </c>
      <c r="BQ85" s="5">
        <f t="shared" si="79"/>
        <v>0</v>
      </c>
      <c r="BR85" s="5">
        <f t="shared" si="79"/>
        <v>0</v>
      </c>
      <c r="BS85" s="5">
        <f t="shared" si="79"/>
        <v>0</v>
      </c>
      <c r="BT85" s="5">
        <f t="shared" si="79"/>
        <v>0</v>
      </c>
      <c r="BU85" s="5">
        <f t="shared" si="79"/>
        <v>0</v>
      </c>
      <c r="BV85" s="5">
        <f t="shared" si="79"/>
        <v>0</v>
      </c>
      <c r="BW85" s="5">
        <f t="shared" si="79"/>
        <v>0</v>
      </c>
      <c r="BX85" s="5">
        <f t="shared" si="79"/>
        <v>0</v>
      </c>
      <c r="BY85" s="5">
        <f t="shared" si="79"/>
        <v>0</v>
      </c>
      <c r="BZ85" s="5">
        <f t="shared" si="79"/>
        <v>0</v>
      </c>
      <c r="CA85" s="5">
        <f t="shared" si="79"/>
        <v>0</v>
      </c>
      <c r="CB85" s="5">
        <f t="shared" si="78"/>
        <v>0</v>
      </c>
      <c r="CC85" s="5">
        <f t="shared" si="77"/>
        <v>0</v>
      </c>
      <c r="CD85" s="5">
        <f t="shared" si="77"/>
        <v>0</v>
      </c>
      <c r="CE85" s="5">
        <f t="shared" si="77"/>
        <v>0</v>
      </c>
    </row>
    <row r="86" spans="1:83" x14ac:dyDescent="0.2">
      <c r="C86" s="1">
        <f>Growth!D91</f>
        <v>1.9230769230769232E-2</v>
      </c>
      <c r="D86" s="5" t="b">
        <f t="shared" si="69"/>
        <v>0</v>
      </c>
      <c r="E86" s="5">
        <v>1993</v>
      </c>
      <c r="F86" s="5">
        <f ca="1">LOOKUP($E86,frequence!$A$2:$A$35,frequence!L$2:L$35)</f>
        <v>191.34520119916542</v>
      </c>
      <c r="G86" s="5">
        <f ca="1">LOOKUP($E86,frequence!$A$2:$A$35,frequence!K$2:K$35)</f>
        <v>28.094581622231551</v>
      </c>
      <c r="H86" s="5">
        <f ca="1">LOOKUP($E86,frequence!$A$2:$A$35,frequence!M$2:M$35)</f>
        <v>780.68842089259488</v>
      </c>
      <c r="I86" s="18">
        <v>1989</v>
      </c>
      <c r="J86" s="7">
        <f>LOOKUP(I86,CPI!A$69:A$103,CPI!O$69:O$103)</f>
        <v>1.7585161290322582</v>
      </c>
      <c r="K86" s="5">
        <v>2030</v>
      </c>
      <c r="L86" s="7">
        <f t="shared" ca="1" si="70"/>
        <v>1</v>
      </c>
      <c r="M86" s="7">
        <f t="shared" si="62"/>
        <v>8.269230769230769E-2</v>
      </c>
      <c r="N86" s="14">
        <f>0.5/26</f>
        <v>1.9230769230769232E-2</v>
      </c>
      <c r="O86" s="1">
        <f ca="1">P86*J86*(1+Growth!G$6)^(2010-K86)</f>
        <v>28.394272714827164</v>
      </c>
      <c r="P86" s="1">
        <v>21.8</v>
      </c>
      <c r="Q86" s="2">
        <f t="shared" ref="Q86:Q111" si="81">P86</f>
        <v>21.8</v>
      </c>
      <c r="R86" s="21">
        <f t="shared" ca="1" si="71"/>
        <v>806.23472300397839</v>
      </c>
      <c r="X86" s="2">
        <f t="shared" si="63"/>
        <v>21.8</v>
      </c>
      <c r="AC86" s="1">
        <f t="shared" ref="AC86:AC111" si="82">SUM(AD86:AI86)</f>
        <v>4.3</v>
      </c>
      <c r="AD86" s="5">
        <v>1</v>
      </c>
      <c r="AE86" s="5">
        <v>0</v>
      </c>
      <c r="AF86" s="5">
        <v>1</v>
      </c>
      <c r="AG86" s="5">
        <v>0</v>
      </c>
      <c r="AH86" s="5">
        <v>1</v>
      </c>
      <c r="AI86" s="3">
        <f t="shared" si="64"/>
        <v>1.3</v>
      </c>
      <c r="AJ86" s="5">
        <f t="shared" si="6"/>
        <v>1</v>
      </c>
      <c r="AK86" s="5">
        <f t="shared" si="72"/>
        <v>0</v>
      </c>
      <c r="AL86" s="5">
        <f t="shared" si="73"/>
        <v>0</v>
      </c>
      <c r="AM86" s="5">
        <f t="shared" si="7"/>
        <v>0</v>
      </c>
      <c r="AN86" s="5">
        <f t="shared" si="74"/>
        <v>0</v>
      </c>
      <c r="AO86" s="5">
        <f t="shared" si="8"/>
        <v>0</v>
      </c>
      <c r="AP86" s="1">
        <v>5</v>
      </c>
      <c r="AQ86" s="1">
        <v>3</v>
      </c>
      <c r="AR86" s="5">
        <v>0</v>
      </c>
      <c r="AS86" s="5">
        <v>0</v>
      </c>
      <c r="AT86" s="5">
        <v>0</v>
      </c>
      <c r="AU86" s="5">
        <v>0</v>
      </c>
      <c r="AV86" s="5">
        <f t="shared" si="65"/>
        <v>1</v>
      </c>
      <c r="AW86" s="5">
        <f t="shared" si="66"/>
        <v>0</v>
      </c>
      <c r="AX86" s="5">
        <f t="shared" si="67"/>
        <v>0</v>
      </c>
      <c r="AY86" s="1">
        <f t="shared" ref="AY86:AY111" si="83">AJ86*$AD86*(1-$AV86)*(1-$AR86)</f>
        <v>0</v>
      </c>
      <c r="AZ86" s="1">
        <f t="shared" ref="AZ86:AZ111" si="84">AM86*$AD86*(1-$AV86)*(1-$AR86)</f>
        <v>0</v>
      </c>
      <c r="BA86" s="1">
        <f t="shared" ref="BA86:BA111" si="85">AO86*$AD86*(1-$AV86)*(1-$AR86)</f>
        <v>0</v>
      </c>
      <c r="BB86" s="5">
        <v>0</v>
      </c>
      <c r="BC86" s="5">
        <v>0</v>
      </c>
      <c r="BD86" s="5">
        <v>0</v>
      </c>
      <c r="BE86" s="5">
        <f t="shared" ref="BE86:BE111" si="86">1-SUM(BB86:BD86)</f>
        <v>1</v>
      </c>
      <c r="BF86" s="5">
        <v>1</v>
      </c>
      <c r="BG86" s="5">
        <f t="shared" si="80"/>
        <v>0</v>
      </c>
      <c r="BH86" s="5">
        <f t="shared" si="80"/>
        <v>0</v>
      </c>
      <c r="BI86" s="5">
        <f t="shared" si="80"/>
        <v>0</v>
      </c>
      <c r="BJ86" s="5">
        <f t="shared" si="80"/>
        <v>1</v>
      </c>
      <c r="BK86" s="5">
        <f t="shared" si="80"/>
        <v>0</v>
      </c>
      <c r="BL86" s="5">
        <f t="shared" si="80"/>
        <v>0</v>
      </c>
      <c r="BM86" s="5">
        <f t="shared" si="80"/>
        <v>0</v>
      </c>
      <c r="BN86" s="5">
        <f t="shared" si="80"/>
        <v>0</v>
      </c>
      <c r="BO86" s="5">
        <f t="shared" si="79"/>
        <v>0</v>
      </c>
      <c r="BP86" s="5">
        <f t="shared" si="79"/>
        <v>0</v>
      </c>
      <c r="BQ86" s="5">
        <f t="shared" si="79"/>
        <v>0</v>
      </c>
      <c r="BR86" s="5">
        <f t="shared" si="79"/>
        <v>0</v>
      </c>
      <c r="BS86" s="5">
        <f t="shared" si="79"/>
        <v>0</v>
      </c>
      <c r="BT86" s="5">
        <f t="shared" si="79"/>
        <v>0</v>
      </c>
      <c r="BU86" s="5">
        <f t="shared" si="79"/>
        <v>0</v>
      </c>
      <c r="BV86" s="5">
        <f t="shared" si="79"/>
        <v>0</v>
      </c>
      <c r="BW86" s="5">
        <f t="shared" si="79"/>
        <v>0</v>
      </c>
      <c r="BX86" s="5">
        <f t="shared" si="79"/>
        <v>0</v>
      </c>
      <c r="BY86" s="5">
        <f t="shared" si="79"/>
        <v>0</v>
      </c>
      <c r="BZ86" s="5">
        <f t="shared" si="79"/>
        <v>0</v>
      </c>
      <c r="CA86" s="5">
        <f t="shared" si="79"/>
        <v>0</v>
      </c>
      <c r="CB86" s="5">
        <f t="shared" si="78"/>
        <v>0</v>
      </c>
      <c r="CC86" s="5">
        <f t="shared" si="77"/>
        <v>0</v>
      </c>
      <c r="CD86" s="5">
        <f t="shared" si="77"/>
        <v>0</v>
      </c>
      <c r="CE86" s="5">
        <f t="shared" si="77"/>
        <v>0</v>
      </c>
    </row>
    <row r="87" spans="1:83" x14ac:dyDescent="0.2">
      <c r="C87" s="1">
        <f>Growth!D92</f>
        <v>1.9230769230769232E-2</v>
      </c>
      <c r="D87" s="5" t="b">
        <f t="shared" si="69"/>
        <v>0</v>
      </c>
      <c r="E87" s="5">
        <v>1993</v>
      </c>
      <c r="F87" s="5">
        <f ca="1">LOOKUP($E87,frequence!$A$2:$A$35,frequence!L$2:L$35)</f>
        <v>191.34520119916542</v>
      </c>
      <c r="G87" s="5">
        <f ca="1">LOOKUP($E87,frequence!$A$2:$A$35,frequence!K$2:K$35)</f>
        <v>28.094581622231551</v>
      </c>
      <c r="H87" s="5">
        <f ca="1">LOOKUP($E87,frequence!$A$2:$A$35,frequence!M$2:M$35)</f>
        <v>780.68842089259488</v>
      </c>
      <c r="I87" s="18">
        <v>1989</v>
      </c>
      <c r="J87" s="7">
        <f>LOOKUP(I87,CPI!A$69:A$103,CPI!O$69:O$103)</f>
        <v>1.7585161290322582</v>
      </c>
      <c r="K87" s="5">
        <v>2030</v>
      </c>
      <c r="L87" s="7">
        <f t="shared" ca="1" si="70"/>
        <v>1</v>
      </c>
      <c r="M87" s="7">
        <f t="shared" si="62"/>
        <v>8.269230769230769E-2</v>
      </c>
      <c r="N87" s="14">
        <f t="shared" ref="N87:N111" si="87">0.5/26</f>
        <v>1.9230769230769232E-2</v>
      </c>
      <c r="O87" s="1">
        <f ca="1">P87*J87*(1+Growth!G$6)^(2010-K87)</f>
        <v>28.785019587049558</v>
      </c>
      <c r="P87" s="1">
        <v>22.1</v>
      </c>
      <c r="Q87" s="2">
        <f t="shared" si="81"/>
        <v>22.1</v>
      </c>
      <c r="R87" s="21">
        <f t="shared" ca="1" si="71"/>
        <v>828.57735262682672</v>
      </c>
      <c r="X87" s="2">
        <f t="shared" si="63"/>
        <v>22.1</v>
      </c>
      <c r="AC87" s="1">
        <f t="shared" si="82"/>
        <v>4.3</v>
      </c>
      <c r="AD87" s="5">
        <v>1</v>
      </c>
      <c r="AE87" s="5">
        <v>0</v>
      </c>
      <c r="AF87" s="5">
        <v>1</v>
      </c>
      <c r="AG87" s="5">
        <v>0</v>
      </c>
      <c r="AH87" s="5">
        <v>1</v>
      </c>
      <c r="AI87" s="3">
        <f t="shared" si="64"/>
        <v>1.3</v>
      </c>
      <c r="AJ87" s="5">
        <f t="shared" ref="AJ87:AJ150" si="88">IF($AQ87=3,1,0)</f>
        <v>1</v>
      </c>
      <c r="AK87" s="5">
        <f t="shared" si="72"/>
        <v>0</v>
      </c>
      <c r="AL87" s="5">
        <f t="shared" si="73"/>
        <v>0</v>
      </c>
      <c r="AM87" s="5">
        <f t="shared" si="7"/>
        <v>0</v>
      </c>
      <c r="AN87" s="5">
        <f t="shared" si="74"/>
        <v>0</v>
      </c>
      <c r="AO87" s="5">
        <f t="shared" si="8"/>
        <v>0</v>
      </c>
      <c r="AP87" s="1">
        <v>5</v>
      </c>
      <c r="AQ87" s="1">
        <v>3</v>
      </c>
      <c r="AR87" s="5">
        <v>0</v>
      </c>
      <c r="AS87" s="5">
        <v>0</v>
      </c>
      <c r="AT87" s="5">
        <v>0</v>
      </c>
      <c r="AU87" s="5">
        <v>0</v>
      </c>
      <c r="AV87" s="5">
        <f t="shared" si="65"/>
        <v>1</v>
      </c>
      <c r="AW87" s="5">
        <f t="shared" si="66"/>
        <v>0</v>
      </c>
      <c r="AX87" s="5">
        <f t="shared" si="67"/>
        <v>0</v>
      </c>
      <c r="AY87" s="1">
        <f t="shared" si="83"/>
        <v>0</v>
      </c>
      <c r="AZ87" s="1">
        <f t="shared" si="84"/>
        <v>0</v>
      </c>
      <c r="BA87" s="1">
        <f t="shared" si="85"/>
        <v>0</v>
      </c>
      <c r="BB87" s="5">
        <v>0</v>
      </c>
      <c r="BC87" s="5">
        <v>0</v>
      </c>
      <c r="BD87" s="5">
        <v>0</v>
      </c>
      <c r="BE87" s="5">
        <f t="shared" si="86"/>
        <v>1</v>
      </c>
      <c r="BF87" s="5">
        <v>1</v>
      </c>
      <c r="BG87" s="5">
        <f t="shared" si="80"/>
        <v>0</v>
      </c>
      <c r="BH87" s="5">
        <f t="shared" si="80"/>
        <v>0</v>
      </c>
      <c r="BI87" s="5">
        <f t="shared" si="80"/>
        <v>0</v>
      </c>
      <c r="BJ87" s="5">
        <f t="shared" si="80"/>
        <v>1</v>
      </c>
      <c r="BK87" s="5">
        <f t="shared" si="80"/>
        <v>0</v>
      </c>
      <c r="BL87" s="5">
        <f t="shared" si="80"/>
        <v>0</v>
      </c>
      <c r="BM87" s="5">
        <f t="shared" si="80"/>
        <v>0</v>
      </c>
      <c r="BN87" s="5">
        <f t="shared" si="80"/>
        <v>0</v>
      </c>
      <c r="BO87" s="5">
        <f t="shared" si="79"/>
        <v>0</v>
      </c>
      <c r="BP87" s="5">
        <f t="shared" si="79"/>
        <v>0</v>
      </c>
      <c r="BQ87" s="5">
        <f t="shared" si="79"/>
        <v>0</v>
      </c>
      <c r="BR87" s="5">
        <f t="shared" si="79"/>
        <v>0</v>
      </c>
      <c r="BS87" s="5">
        <f t="shared" si="79"/>
        <v>0</v>
      </c>
      <c r="BT87" s="5">
        <f t="shared" si="79"/>
        <v>0</v>
      </c>
      <c r="BU87" s="5">
        <f t="shared" si="79"/>
        <v>0</v>
      </c>
      <c r="BV87" s="5">
        <f t="shared" si="79"/>
        <v>0</v>
      </c>
      <c r="BW87" s="5">
        <f t="shared" si="79"/>
        <v>0</v>
      </c>
      <c r="BX87" s="5">
        <f t="shared" si="79"/>
        <v>0</v>
      </c>
      <c r="BY87" s="5">
        <f t="shared" si="79"/>
        <v>0</v>
      </c>
      <c r="BZ87" s="5">
        <f t="shared" si="79"/>
        <v>0</v>
      </c>
      <c r="CA87" s="5">
        <f t="shared" si="79"/>
        <v>0</v>
      </c>
      <c r="CB87" s="5">
        <f t="shared" si="78"/>
        <v>0</v>
      </c>
      <c r="CC87" s="5">
        <f t="shared" si="77"/>
        <v>0</v>
      </c>
      <c r="CD87" s="5">
        <f t="shared" si="77"/>
        <v>0</v>
      </c>
      <c r="CE87" s="5">
        <f t="shared" si="77"/>
        <v>0</v>
      </c>
    </row>
    <row r="88" spans="1:83" x14ac:dyDescent="0.2">
      <c r="C88" s="1">
        <f>Growth!D93</f>
        <v>1.9230769230769232E-2</v>
      </c>
      <c r="D88" s="5" t="b">
        <f t="shared" si="69"/>
        <v>0</v>
      </c>
      <c r="E88" s="5">
        <v>1993</v>
      </c>
      <c r="F88" s="5">
        <f ca="1">LOOKUP($E88,frequence!$A$2:$A$35,frequence!L$2:L$35)</f>
        <v>191.34520119916542</v>
      </c>
      <c r="G88" s="5">
        <f ca="1">LOOKUP($E88,frequence!$A$2:$A$35,frequence!K$2:K$35)</f>
        <v>28.094581622231551</v>
      </c>
      <c r="H88" s="5">
        <f ca="1">LOOKUP($E88,frequence!$A$2:$A$35,frequence!M$2:M$35)</f>
        <v>780.68842089259488</v>
      </c>
      <c r="I88" s="18">
        <v>1989</v>
      </c>
      <c r="J88" s="7">
        <f>LOOKUP(I88,CPI!A$69:A$103,CPI!O$69:O$103)</f>
        <v>1.7585161290322582</v>
      </c>
      <c r="K88" s="5">
        <v>2030</v>
      </c>
      <c r="L88" s="7">
        <f t="shared" ca="1" si="70"/>
        <v>1</v>
      </c>
      <c r="M88" s="7">
        <f t="shared" si="62"/>
        <v>8.269230769230769E-2</v>
      </c>
      <c r="N88" s="14">
        <f t="shared" si="87"/>
        <v>1.9230769230769232E-2</v>
      </c>
      <c r="O88" s="1">
        <f ca="1">P88*J88*(1+Growth!G$6)^(2010-K88)</f>
        <v>29.827011246309265</v>
      </c>
      <c r="P88" s="1">
        <v>22.9</v>
      </c>
      <c r="Q88" s="2">
        <f t="shared" si="81"/>
        <v>22.9</v>
      </c>
      <c r="R88" s="21">
        <f t="shared" ca="1" si="71"/>
        <v>889.65059988745941</v>
      </c>
      <c r="X88" s="2">
        <f t="shared" si="63"/>
        <v>22.9</v>
      </c>
      <c r="AC88" s="1">
        <f t="shared" si="82"/>
        <v>4.3</v>
      </c>
      <c r="AD88" s="5">
        <v>1</v>
      </c>
      <c r="AE88" s="5">
        <v>0</v>
      </c>
      <c r="AF88" s="5">
        <v>1</v>
      </c>
      <c r="AG88" s="5">
        <v>0</v>
      </c>
      <c r="AH88" s="5">
        <v>1</v>
      </c>
      <c r="AI88" s="3">
        <f t="shared" si="64"/>
        <v>1.3</v>
      </c>
      <c r="AJ88" s="5">
        <f t="shared" si="88"/>
        <v>1</v>
      </c>
      <c r="AK88" s="5">
        <f t="shared" si="72"/>
        <v>0</v>
      </c>
      <c r="AL88" s="5">
        <f t="shared" si="73"/>
        <v>0</v>
      </c>
      <c r="AM88" s="5">
        <f t="shared" si="7"/>
        <v>0</v>
      </c>
      <c r="AN88" s="5">
        <f t="shared" si="74"/>
        <v>0</v>
      </c>
      <c r="AO88" s="5">
        <f t="shared" si="8"/>
        <v>0</v>
      </c>
      <c r="AP88" s="1">
        <v>5</v>
      </c>
      <c r="AQ88" s="1">
        <v>3</v>
      </c>
      <c r="AR88" s="5">
        <v>0</v>
      </c>
      <c r="AS88" s="5">
        <v>0</v>
      </c>
      <c r="AT88" s="5">
        <v>0</v>
      </c>
      <c r="AU88" s="5">
        <v>0</v>
      </c>
      <c r="AV88" s="5">
        <f t="shared" si="65"/>
        <v>1</v>
      </c>
      <c r="AW88" s="5">
        <f t="shared" si="66"/>
        <v>0</v>
      </c>
      <c r="AX88" s="5">
        <f t="shared" si="67"/>
        <v>0</v>
      </c>
      <c r="AY88" s="1">
        <f t="shared" si="83"/>
        <v>0</v>
      </c>
      <c r="AZ88" s="1">
        <f t="shared" si="84"/>
        <v>0</v>
      </c>
      <c r="BA88" s="1">
        <f t="shared" si="85"/>
        <v>0</v>
      </c>
      <c r="BB88" s="5">
        <v>0</v>
      </c>
      <c r="BC88" s="5">
        <v>0</v>
      </c>
      <c r="BD88" s="5">
        <v>0</v>
      </c>
      <c r="BE88" s="5">
        <f t="shared" si="86"/>
        <v>1</v>
      </c>
      <c r="BF88" s="5">
        <v>1</v>
      </c>
      <c r="BG88" s="5">
        <f t="shared" si="80"/>
        <v>0</v>
      </c>
      <c r="BH88" s="5">
        <f t="shared" si="80"/>
        <v>0</v>
      </c>
      <c r="BI88" s="5">
        <f t="shared" si="80"/>
        <v>0</v>
      </c>
      <c r="BJ88" s="5">
        <f t="shared" si="80"/>
        <v>1</v>
      </c>
      <c r="BK88" s="5">
        <f t="shared" si="80"/>
        <v>0</v>
      </c>
      <c r="BL88" s="5">
        <f t="shared" si="80"/>
        <v>0</v>
      </c>
      <c r="BM88" s="5">
        <f t="shared" si="80"/>
        <v>0</v>
      </c>
      <c r="BN88" s="5">
        <f t="shared" si="80"/>
        <v>0</v>
      </c>
      <c r="BO88" s="5">
        <f t="shared" si="79"/>
        <v>0</v>
      </c>
      <c r="BP88" s="5">
        <f t="shared" si="79"/>
        <v>0</v>
      </c>
      <c r="BQ88" s="5">
        <f t="shared" si="79"/>
        <v>0</v>
      </c>
      <c r="BR88" s="5">
        <f t="shared" si="79"/>
        <v>0</v>
      </c>
      <c r="BS88" s="5">
        <f t="shared" si="79"/>
        <v>0</v>
      </c>
      <c r="BT88" s="5">
        <f t="shared" si="79"/>
        <v>0</v>
      </c>
      <c r="BU88" s="5">
        <f t="shared" si="79"/>
        <v>0</v>
      </c>
      <c r="BV88" s="5">
        <f t="shared" si="79"/>
        <v>0</v>
      </c>
      <c r="BW88" s="5">
        <f t="shared" si="79"/>
        <v>0</v>
      </c>
      <c r="BX88" s="5">
        <f t="shared" si="79"/>
        <v>0</v>
      </c>
      <c r="BY88" s="5">
        <f t="shared" si="79"/>
        <v>0</v>
      </c>
      <c r="BZ88" s="5">
        <f t="shared" si="79"/>
        <v>0</v>
      </c>
      <c r="CA88" s="5">
        <f t="shared" si="79"/>
        <v>0</v>
      </c>
      <c r="CB88" s="5">
        <f t="shared" si="78"/>
        <v>0</v>
      </c>
      <c r="CC88" s="5">
        <f t="shared" si="77"/>
        <v>0</v>
      </c>
      <c r="CD88" s="5">
        <f t="shared" si="77"/>
        <v>0</v>
      </c>
      <c r="CE88" s="5">
        <f t="shared" si="77"/>
        <v>0</v>
      </c>
    </row>
    <row r="89" spans="1:83" x14ac:dyDescent="0.2">
      <c r="C89" s="1">
        <f>Growth!D94</f>
        <v>1.9230769230769232E-2</v>
      </c>
      <c r="D89" s="5" t="b">
        <f t="shared" si="69"/>
        <v>0</v>
      </c>
      <c r="E89" s="5">
        <v>1993</v>
      </c>
      <c r="F89" s="5">
        <f ca="1">LOOKUP($E89,frequence!$A$2:$A$35,frequence!L$2:L$35)</f>
        <v>191.34520119916542</v>
      </c>
      <c r="G89" s="5">
        <f ca="1">LOOKUP($E89,frequence!$A$2:$A$35,frequence!K$2:K$35)</f>
        <v>28.094581622231551</v>
      </c>
      <c r="H89" s="5">
        <f ca="1">LOOKUP($E89,frequence!$A$2:$A$35,frequence!M$2:M$35)</f>
        <v>780.68842089259488</v>
      </c>
      <c r="I89" s="18">
        <v>1989</v>
      </c>
      <c r="J89" s="7">
        <f>LOOKUP(I89,CPI!A$69:A$103,CPI!O$69:O$103)</f>
        <v>1.7585161290322582</v>
      </c>
      <c r="K89" s="5">
        <v>2030</v>
      </c>
      <c r="L89" s="7">
        <f t="shared" ca="1" si="70"/>
        <v>1</v>
      </c>
      <c r="M89" s="7">
        <f t="shared" si="62"/>
        <v>8.269230769230769E-2</v>
      </c>
      <c r="N89" s="14">
        <f t="shared" si="87"/>
        <v>1.9230769230769232E-2</v>
      </c>
      <c r="O89" s="1">
        <f ca="1">P89*J89*(1+Growth!G$6)^(2010-K89)</f>
        <v>28.394272714827164</v>
      </c>
      <c r="P89" s="1">
        <v>21.8</v>
      </c>
      <c r="Q89" s="2">
        <f t="shared" si="81"/>
        <v>21.8</v>
      </c>
      <c r="R89" s="21">
        <f t="shared" ca="1" si="71"/>
        <v>806.23472300397839</v>
      </c>
      <c r="X89" s="2">
        <f t="shared" si="63"/>
        <v>21.8</v>
      </c>
      <c r="AC89" s="1">
        <f t="shared" si="82"/>
        <v>4.3</v>
      </c>
      <c r="AD89" s="5">
        <v>1</v>
      </c>
      <c r="AE89" s="5">
        <v>0</v>
      </c>
      <c r="AF89" s="5">
        <v>1</v>
      </c>
      <c r="AG89" s="5">
        <v>0</v>
      </c>
      <c r="AH89" s="5">
        <v>1</v>
      </c>
      <c r="AI89" s="3">
        <f t="shared" si="64"/>
        <v>1.3</v>
      </c>
      <c r="AJ89" s="5">
        <f t="shared" si="88"/>
        <v>1</v>
      </c>
      <c r="AK89" s="5">
        <f t="shared" si="72"/>
        <v>0</v>
      </c>
      <c r="AL89" s="5">
        <f t="shared" si="73"/>
        <v>0</v>
      </c>
      <c r="AM89" s="5">
        <f t="shared" si="7"/>
        <v>0</v>
      </c>
      <c r="AN89" s="5">
        <f t="shared" si="74"/>
        <v>0</v>
      </c>
      <c r="AO89" s="5">
        <f t="shared" si="8"/>
        <v>0</v>
      </c>
      <c r="AP89" s="1">
        <v>5</v>
      </c>
      <c r="AQ89" s="1">
        <v>3</v>
      </c>
      <c r="AR89" s="5">
        <v>0</v>
      </c>
      <c r="AS89" s="5">
        <v>0</v>
      </c>
      <c r="AT89" s="5">
        <v>0</v>
      </c>
      <c r="AU89" s="5">
        <v>0</v>
      </c>
      <c r="AV89" s="5">
        <f t="shared" si="65"/>
        <v>1</v>
      </c>
      <c r="AW89" s="5">
        <f t="shared" si="66"/>
        <v>0</v>
      </c>
      <c r="AX89" s="5">
        <f t="shared" si="67"/>
        <v>0</v>
      </c>
      <c r="AY89" s="1">
        <f t="shared" si="83"/>
        <v>0</v>
      </c>
      <c r="AZ89" s="1">
        <f t="shared" si="84"/>
        <v>0</v>
      </c>
      <c r="BA89" s="1">
        <f t="shared" si="85"/>
        <v>0</v>
      </c>
      <c r="BB89" s="5">
        <v>0</v>
      </c>
      <c r="BC89" s="5">
        <v>0</v>
      </c>
      <c r="BD89" s="5">
        <v>0</v>
      </c>
      <c r="BE89" s="5">
        <f t="shared" si="86"/>
        <v>1</v>
      </c>
      <c r="BF89" s="5">
        <v>1</v>
      </c>
      <c r="BG89" s="5">
        <f t="shared" si="80"/>
        <v>0</v>
      </c>
      <c r="BH89" s="5">
        <f t="shared" si="80"/>
        <v>0</v>
      </c>
      <c r="BI89" s="5">
        <f t="shared" si="80"/>
        <v>0</v>
      </c>
      <c r="BJ89" s="5">
        <f t="shared" si="80"/>
        <v>1</v>
      </c>
      <c r="BK89" s="5">
        <f t="shared" si="80"/>
        <v>0</v>
      </c>
      <c r="BL89" s="5">
        <f t="shared" si="80"/>
        <v>0</v>
      </c>
      <c r="BM89" s="5">
        <f t="shared" si="80"/>
        <v>0</v>
      </c>
      <c r="BN89" s="5">
        <f t="shared" si="80"/>
        <v>0</v>
      </c>
      <c r="BO89" s="5">
        <f t="shared" si="79"/>
        <v>0</v>
      </c>
      <c r="BP89" s="5">
        <f t="shared" si="79"/>
        <v>0</v>
      </c>
      <c r="BQ89" s="5">
        <f t="shared" si="79"/>
        <v>0</v>
      </c>
      <c r="BR89" s="5">
        <f t="shared" si="79"/>
        <v>0</v>
      </c>
      <c r="BS89" s="5">
        <f t="shared" si="79"/>
        <v>0</v>
      </c>
      <c r="BT89" s="5">
        <f t="shared" si="79"/>
        <v>0</v>
      </c>
      <c r="BU89" s="5">
        <f t="shared" si="79"/>
        <v>0</v>
      </c>
      <c r="BV89" s="5">
        <f t="shared" si="79"/>
        <v>0</v>
      </c>
      <c r="BW89" s="5">
        <f t="shared" si="79"/>
        <v>0</v>
      </c>
      <c r="BX89" s="5">
        <f t="shared" si="79"/>
        <v>0</v>
      </c>
      <c r="BY89" s="5">
        <f t="shared" si="79"/>
        <v>0</v>
      </c>
      <c r="BZ89" s="5">
        <f t="shared" si="79"/>
        <v>0</v>
      </c>
      <c r="CA89" s="5">
        <f t="shared" si="79"/>
        <v>0</v>
      </c>
      <c r="CB89" s="5">
        <f t="shared" si="78"/>
        <v>0</v>
      </c>
      <c r="CC89" s="5">
        <f t="shared" si="77"/>
        <v>0</v>
      </c>
      <c r="CD89" s="5">
        <f t="shared" si="77"/>
        <v>0</v>
      </c>
      <c r="CE89" s="5">
        <f t="shared" si="77"/>
        <v>0</v>
      </c>
    </row>
    <row r="90" spans="1:83" x14ac:dyDescent="0.2">
      <c r="C90" s="1">
        <f>Growth!D95</f>
        <v>1.9230769230769232E-2</v>
      </c>
      <c r="D90" s="5" t="b">
        <f t="shared" si="69"/>
        <v>0</v>
      </c>
      <c r="E90" s="5">
        <v>1993</v>
      </c>
      <c r="F90" s="5">
        <f ca="1">LOOKUP($E90,frequence!$A$2:$A$35,frequence!L$2:L$35)</f>
        <v>191.34520119916542</v>
      </c>
      <c r="G90" s="5">
        <f ca="1">LOOKUP($E90,frequence!$A$2:$A$35,frequence!K$2:K$35)</f>
        <v>28.094581622231551</v>
      </c>
      <c r="H90" s="5">
        <f ca="1">LOOKUP($E90,frequence!$A$2:$A$35,frequence!M$2:M$35)</f>
        <v>780.68842089259488</v>
      </c>
      <c r="I90" s="18">
        <v>1989</v>
      </c>
      <c r="J90" s="7">
        <f>LOOKUP(I90,CPI!A$69:A$103,CPI!O$69:O$103)</f>
        <v>1.7585161290322582</v>
      </c>
      <c r="K90" s="5">
        <v>2030</v>
      </c>
      <c r="L90" s="7">
        <f t="shared" ca="1" si="70"/>
        <v>1</v>
      </c>
      <c r="M90" s="7">
        <f t="shared" si="62"/>
        <v>8.269230769230769E-2</v>
      </c>
      <c r="N90" s="14">
        <f t="shared" si="87"/>
        <v>1.9230769230769232E-2</v>
      </c>
      <c r="O90" s="1">
        <f ca="1">P90*J90*(1+Growth!G$6)^(2010-K90)</f>
        <v>28.785019587049558</v>
      </c>
      <c r="P90" s="1">
        <v>22.1</v>
      </c>
      <c r="Q90" s="2">
        <f t="shared" si="81"/>
        <v>22.1</v>
      </c>
      <c r="R90" s="21">
        <f t="shared" ca="1" si="71"/>
        <v>828.57735262682672</v>
      </c>
      <c r="X90" s="2">
        <f t="shared" si="63"/>
        <v>22.1</v>
      </c>
      <c r="AC90" s="1">
        <f t="shared" si="82"/>
        <v>4.3</v>
      </c>
      <c r="AD90" s="5">
        <v>1</v>
      </c>
      <c r="AE90" s="5">
        <v>0</v>
      </c>
      <c r="AF90" s="5">
        <v>1</v>
      </c>
      <c r="AG90" s="5">
        <v>0</v>
      </c>
      <c r="AH90" s="5">
        <v>1</v>
      </c>
      <c r="AI90" s="3">
        <f t="shared" si="64"/>
        <v>1.3</v>
      </c>
      <c r="AJ90" s="5">
        <f t="shared" si="88"/>
        <v>1</v>
      </c>
      <c r="AK90" s="5">
        <f t="shared" si="72"/>
        <v>0</v>
      </c>
      <c r="AL90" s="5">
        <f t="shared" si="73"/>
        <v>0</v>
      </c>
      <c r="AM90" s="5">
        <f t="shared" ref="AM90:AM153" si="89">IF($AQ90=1,1,0)</f>
        <v>0</v>
      </c>
      <c r="AN90" s="5">
        <f t="shared" si="74"/>
        <v>0</v>
      </c>
      <c r="AO90" s="5">
        <f t="shared" ref="AO90:AO153" si="90">IF($AQ90=0,1,0)</f>
        <v>0</v>
      </c>
      <c r="AP90" s="1">
        <v>5</v>
      </c>
      <c r="AQ90" s="1">
        <v>3</v>
      </c>
      <c r="AR90" s="5">
        <v>0</v>
      </c>
      <c r="AS90" s="5">
        <v>0</v>
      </c>
      <c r="AT90" s="5">
        <v>0</v>
      </c>
      <c r="AU90" s="5">
        <v>0</v>
      </c>
      <c r="AV90" s="5">
        <f t="shared" si="65"/>
        <v>1</v>
      </c>
      <c r="AW90" s="5">
        <f t="shared" si="66"/>
        <v>0</v>
      </c>
      <c r="AX90" s="5">
        <f t="shared" si="67"/>
        <v>0</v>
      </c>
      <c r="AY90" s="1">
        <f t="shared" si="83"/>
        <v>0</v>
      </c>
      <c r="AZ90" s="1">
        <f t="shared" si="84"/>
        <v>0</v>
      </c>
      <c r="BA90" s="1">
        <f t="shared" si="85"/>
        <v>0</v>
      </c>
      <c r="BB90" s="5">
        <v>0</v>
      </c>
      <c r="BC90" s="5">
        <v>0</v>
      </c>
      <c r="BD90" s="5">
        <v>0</v>
      </c>
      <c r="BE90" s="5">
        <f t="shared" si="86"/>
        <v>1</v>
      </c>
      <c r="BF90" s="5">
        <v>1</v>
      </c>
      <c r="BG90" s="5">
        <f t="shared" si="80"/>
        <v>0</v>
      </c>
      <c r="BH90" s="5">
        <f t="shared" si="80"/>
        <v>0</v>
      </c>
      <c r="BI90" s="5">
        <f t="shared" si="80"/>
        <v>0</v>
      </c>
      <c r="BJ90" s="5">
        <f t="shared" si="80"/>
        <v>1</v>
      </c>
      <c r="BK90" s="5">
        <f t="shared" si="80"/>
        <v>0</v>
      </c>
      <c r="BL90" s="5">
        <f t="shared" si="80"/>
        <v>0</v>
      </c>
      <c r="BM90" s="5">
        <f t="shared" si="80"/>
        <v>0</v>
      </c>
      <c r="BN90" s="5">
        <f t="shared" si="80"/>
        <v>0</v>
      </c>
      <c r="BO90" s="5">
        <f t="shared" si="79"/>
        <v>0</v>
      </c>
      <c r="BP90" s="5">
        <f t="shared" si="79"/>
        <v>0</v>
      </c>
      <c r="BQ90" s="5">
        <f t="shared" si="79"/>
        <v>0</v>
      </c>
      <c r="BR90" s="5">
        <f t="shared" si="79"/>
        <v>0</v>
      </c>
      <c r="BS90" s="5">
        <f t="shared" si="79"/>
        <v>0</v>
      </c>
      <c r="BT90" s="5">
        <f t="shared" si="79"/>
        <v>0</v>
      </c>
      <c r="BU90" s="5">
        <f t="shared" si="79"/>
        <v>0</v>
      </c>
      <c r="BV90" s="5">
        <f t="shared" si="79"/>
        <v>0</v>
      </c>
      <c r="BW90" s="5">
        <f t="shared" si="79"/>
        <v>0</v>
      </c>
      <c r="BX90" s="5">
        <f t="shared" si="79"/>
        <v>0</v>
      </c>
      <c r="BY90" s="5">
        <f t="shared" si="79"/>
        <v>0</v>
      </c>
      <c r="BZ90" s="5">
        <f t="shared" si="79"/>
        <v>0</v>
      </c>
      <c r="CA90" s="5">
        <f t="shared" si="79"/>
        <v>0</v>
      </c>
      <c r="CB90" s="5">
        <f t="shared" si="78"/>
        <v>0</v>
      </c>
      <c r="CC90" s="5">
        <f t="shared" si="78"/>
        <v>0</v>
      </c>
      <c r="CD90" s="5">
        <f t="shared" si="78"/>
        <v>0</v>
      </c>
      <c r="CE90" s="5">
        <f t="shared" si="78"/>
        <v>0</v>
      </c>
    </row>
    <row r="91" spans="1:83" x14ac:dyDescent="0.2">
      <c r="C91" s="1">
        <f>Growth!D96</f>
        <v>1.9230769230769232E-2</v>
      </c>
      <c r="D91" s="5" t="b">
        <f t="shared" si="69"/>
        <v>0</v>
      </c>
      <c r="E91" s="5">
        <v>1993</v>
      </c>
      <c r="F91" s="5">
        <f ca="1">LOOKUP($E91,frequence!$A$2:$A$35,frequence!L$2:L$35)</f>
        <v>191.34520119916542</v>
      </c>
      <c r="G91" s="5">
        <f ca="1">LOOKUP($E91,frequence!$A$2:$A$35,frequence!K$2:K$35)</f>
        <v>28.094581622231551</v>
      </c>
      <c r="H91" s="5">
        <f ca="1">LOOKUP($E91,frequence!$A$2:$A$35,frequence!M$2:M$35)</f>
        <v>780.68842089259488</v>
      </c>
      <c r="I91" s="18">
        <v>1989</v>
      </c>
      <c r="J91" s="7">
        <f>LOOKUP(I91,CPI!A$69:A$103,CPI!O$69:O$103)</f>
        <v>1.7585161290322582</v>
      </c>
      <c r="K91" s="5">
        <v>2030</v>
      </c>
      <c r="L91" s="7">
        <f t="shared" ca="1" si="70"/>
        <v>1</v>
      </c>
      <c r="M91" s="7">
        <f t="shared" si="62"/>
        <v>8.269230769230769E-2</v>
      </c>
      <c r="N91" s="14">
        <f t="shared" si="87"/>
        <v>1.9230769230769232E-2</v>
      </c>
      <c r="O91" s="1">
        <f ca="1">P91*J91*(1+Growth!G$6)^(2010-K91)</f>
        <v>4.4284645518537777</v>
      </c>
      <c r="P91" s="1">
        <v>3.4</v>
      </c>
      <c r="Q91" s="2">
        <f t="shared" si="81"/>
        <v>3.4</v>
      </c>
      <c r="R91" s="21">
        <f t="shared" ca="1" si="71"/>
        <v>19.61129828702548</v>
      </c>
      <c r="X91" s="2">
        <f t="shared" si="63"/>
        <v>3.4</v>
      </c>
      <c r="AC91" s="1">
        <f t="shared" si="82"/>
        <v>4.3</v>
      </c>
      <c r="AD91" s="5">
        <v>1</v>
      </c>
      <c r="AE91" s="5">
        <v>0</v>
      </c>
      <c r="AF91" s="5">
        <v>1</v>
      </c>
      <c r="AG91" s="5">
        <v>0</v>
      </c>
      <c r="AH91" s="5">
        <v>1</v>
      </c>
      <c r="AI91" s="3">
        <f t="shared" si="64"/>
        <v>1.3</v>
      </c>
      <c r="AJ91" s="5">
        <f t="shared" si="88"/>
        <v>1</v>
      </c>
      <c r="AK91" s="5">
        <f t="shared" si="72"/>
        <v>0</v>
      </c>
      <c r="AL91" s="5">
        <f t="shared" si="73"/>
        <v>0</v>
      </c>
      <c r="AM91" s="5">
        <f t="shared" si="89"/>
        <v>0</v>
      </c>
      <c r="AN91" s="5">
        <f t="shared" si="74"/>
        <v>0</v>
      </c>
      <c r="AO91" s="5">
        <f t="shared" si="90"/>
        <v>0</v>
      </c>
      <c r="AP91" s="1">
        <v>5</v>
      </c>
      <c r="AQ91" s="1">
        <v>3</v>
      </c>
      <c r="AR91" s="5">
        <v>0</v>
      </c>
      <c r="AS91" s="5">
        <v>0</v>
      </c>
      <c r="AT91" s="5">
        <v>0</v>
      </c>
      <c r="AU91" s="5">
        <v>0</v>
      </c>
      <c r="AV91" s="5">
        <f t="shared" si="65"/>
        <v>1</v>
      </c>
      <c r="AW91" s="5">
        <f t="shared" si="66"/>
        <v>0</v>
      </c>
      <c r="AX91" s="5">
        <f t="shared" si="67"/>
        <v>0</v>
      </c>
      <c r="AY91" s="1">
        <f t="shared" si="83"/>
        <v>0</v>
      </c>
      <c r="AZ91" s="1">
        <f t="shared" si="84"/>
        <v>0</v>
      </c>
      <c r="BA91" s="1">
        <f t="shared" si="85"/>
        <v>0</v>
      </c>
      <c r="BB91" s="5">
        <v>0</v>
      </c>
      <c r="BC91" s="5">
        <v>0</v>
      </c>
      <c r="BD91" s="5">
        <v>0</v>
      </c>
      <c r="BE91" s="5">
        <f t="shared" si="86"/>
        <v>1</v>
      </c>
      <c r="BF91" s="5">
        <v>1</v>
      </c>
      <c r="BG91" s="5">
        <f t="shared" si="80"/>
        <v>0</v>
      </c>
      <c r="BH91" s="5">
        <f t="shared" si="80"/>
        <v>0</v>
      </c>
      <c r="BI91" s="5">
        <f t="shared" si="80"/>
        <v>0</v>
      </c>
      <c r="BJ91" s="5">
        <f t="shared" si="80"/>
        <v>1</v>
      </c>
      <c r="BK91" s="5">
        <f t="shared" si="80"/>
        <v>0</v>
      </c>
      <c r="BL91" s="5">
        <f t="shared" si="80"/>
        <v>0</v>
      </c>
      <c r="BM91" s="5">
        <f t="shared" si="80"/>
        <v>0</v>
      </c>
      <c r="BN91" s="5">
        <f t="shared" si="80"/>
        <v>0</v>
      </c>
      <c r="BO91" s="5">
        <f t="shared" si="79"/>
        <v>0</v>
      </c>
      <c r="BP91" s="5">
        <f t="shared" si="79"/>
        <v>0</v>
      </c>
      <c r="BQ91" s="5">
        <f t="shared" si="79"/>
        <v>0</v>
      </c>
      <c r="BR91" s="5">
        <f t="shared" si="79"/>
        <v>0</v>
      </c>
      <c r="BS91" s="5">
        <f t="shared" si="79"/>
        <v>0</v>
      </c>
      <c r="BT91" s="5">
        <f t="shared" si="79"/>
        <v>0</v>
      </c>
      <c r="BU91" s="5">
        <f t="shared" si="79"/>
        <v>0</v>
      </c>
      <c r="BV91" s="5">
        <f t="shared" si="79"/>
        <v>0</v>
      </c>
      <c r="BW91" s="5">
        <f t="shared" si="79"/>
        <v>0</v>
      </c>
      <c r="BX91" s="5">
        <f t="shared" si="79"/>
        <v>0</v>
      </c>
      <c r="BY91" s="5">
        <f t="shared" si="79"/>
        <v>0</v>
      </c>
      <c r="BZ91" s="5">
        <f t="shared" si="79"/>
        <v>0</v>
      </c>
      <c r="CA91" s="5">
        <f t="shared" si="79"/>
        <v>0</v>
      </c>
      <c r="CB91" s="5">
        <f t="shared" si="78"/>
        <v>0</v>
      </c>
      <c r="CC91" s="5">
        <f t="shared" si="78"/>
        <v>0</v>
      </c>
      <c r="CD91" s="5">
        <f t="shared" si="78"/>
        <v>0</v>
      </c>
      <c r="CE91" s="5">
        <f t="shared" si="78"/>
        <v>0</v>
      </c>
    </row>
    <row r="92" spans="1:83" x14ac:dyDescent="0.2">
      <c r="C92" s="1">
        <f>Growth!D97</f>
        <v>1.9230769230769232E-2</v>
      </c>
      <c r="D92" s="5" t="b">
        <f t="shared" si="69"/>
        <v>0</v>
      </c>
      <c r="E92" s="5">
        <v>1993</v>
      </c>
      <c r="F92" s="5">
        <f ca="1">LOOKUP($E92,frequence!$A$2:$A$35,frequence!L$2:L$35)</f>
        <v>191.34520119916542</v>
      </c>
      <c r="G92" s="5">
        <f ca="1">LOOKUP($E92,frequence!$A$2:$A$35,frequence!K$2:K$35)</f>
        <v>28.094581622231551</v>
      </c>
      <c r="H92" s="5">
        <f ca="1">LOOKUP($E92,frequence!$A$2:$A$35,frequence!M$2:M$35)</f>
        <v>780.68842089259488</v>
      </c>
      <c r="I92" s="18">
        <v>1989</v>
      </c>
      <c r="J92" s="7">
        <f>LOOKUP(I92,CPI!A$69:A$103,CPI!O$69:O$103)</f>
        <v>1.7585161290322582</v>
      </c>
      <c r="K92" s="5">
        <v>2030</v>
      </c>
      <c r="L92" s="7">
        <f t="shared" ca="1" si="70"/>
        <v>1</v>
      </c>
      <c r="M92" s="7">
        <f t="shared" si="62"/>
        <v>8.269230769230769E-2</v>
      </c>
      <c r="N92" s="14">
        <f t="shared" si="87"/>
        <v>1.9230769230769232E-2</v>
      </c>
      <c r="O92" s="1">
        <f ca="1">P92*J92*(1+Growth!G$6)^(2010-K92)</f>
        <v>7.1636926574105226</v>
      </c>
      <c r="P92" s="1">
        <v>5.5</v>
      </c>
      <c r="Q92" s="2">
        <f t="shared" si="81"/>
        <v>5.5</v>
      </c>
      <c r="R92" s="21">
        <f t="shared" ca="1" si="71"/>
        <v>51.318492489837439</v>
      </c>
      <c r="X92" s="2">
        <f t="shared" si="63"/>
        <v>5.5</v>
      </c>
      <c r="AC92" s="1">
        <f t="shared" si="82"/>
        <v>4.3</v>
      </c>
      <c r="AD92" s="5">
        <v>1</v>
      </c>
      <c r="AE92" s="5">
        <v>0</v>
      </c>
      <c r="AF92" s="5">
        <v>1</v>
      </c>
      <c r="AG92" s="5">
        <v>0</v>
      </c>
      <c r="AH92" s="5">
        <v>1</v>
      </c>
      <c r="AI92" s="3">
        <f t="shared" si="64"/>
        <v>1.3</v>
      </c>
      <c r="AJ92" s="5">
        <f t="shared" si="88"/>
        <v>1</v>
      </c>
      <c r="AK92" s="5">
        <f t="shared" si="72"/>
        <v>0</v>
      </c>
      <c r="AL92" s="5">
        <f t="shared" si="73"/>
        <v>0</v>
      </c>
      <c r="AM92" s="5">
        <f t="shared" si="89"/>
        <v>0</v>
      </c>
      <c r="AN92" s="5">
        <f t="shared" si="74"/>
        <v>0</v>
      </c>
      <c r="AO92" s="5">
        <f t="shared" si="90"/>
        <v>0</v>
      </c>
      <c r="AP92" s="1">
        <v>5</v>
      </c>
      <c r="AQ92" s="1">
        <v>3</v>
      </c>
      <c r="AR92" s="5">
        <v>0</v>
      </c>
      <c r="AS92" s="5">
        <v>0</v>
      </c>
      <c r="AT92" s="5">
        <v>0</v>
      </c>
      <c r="AU92" s="5">
        <v>0</v>
      </c>
      <c r="AV92" s="5">
        <f t="shared" si="65"/>
        <v>1</v>
      </c>
      <c r="AW92" s="5">
        <f t="shared" si="66"/>
        <v>0</v>
      </c>
      <c r="AX92" s="5">
        <f t="shared" si="67"/>
        <v>0</v>
      </c>
      <c r="AY92" s="1">
        <f t="shared" si="83"/>
        <v>0</v>
      </c>
      <c r="AZ92" s="1">
        <f t="shared" si="84"/>
        <v>0</v>
      </c>
      <c r="BA92" s="1">
        <f t="shared" si="85"/>
        <v>0</v>
      </c>
      <c r="BB92" s="5">
        <v>0</v>
      </c>
      <c r="BC92" s="5">
        <v>0</v>
      </c>
      <c r="BD92" s="5">
        <v>0</v>
      </c>
      <c r="BE92" s="5">
        <f t="shared" si="86"/>
        <v>1</v>
      </c>
      <c r="BF92" s="5">
        <v>1</v>
      </c>
      <c r="BG92" s="5">
        <f t="shared" si="80"/>
        <v>0</v>
      </c>
      <c r="BH92" s="5">
        <f t="shared" si="80"/>
        <v>0</v>
      </c>
      <c r="BI92" s="5">
        <f t="shared" si="80"/>
        <v>0</v>
      </c>
      <c r="BJ92" s="5">
        <f t="shared" si="80"/>
        <v>1</v>
      </c>
      <c r="BK92" s="5">
        <f t="shared" si="80"/>
        <v>0</v>
      </c>
      <c r="BL92" s="5">
        <f t="shared" si="80"/>
        <v>0</v>
      </c>
      <c r="BM92" s="5">
        <f t="shared" si="80"/>
        <v>0</v>
      </c>
      <c r="BN92" s="5">
        <f t="shared" si="80"/>
        <v>0</v>
      </c>
      <c r="BO92" s="5">
        <f t="shared" si="79"/>
        <v>0</v>
      </c>
      <c r="BP92" s="5">
        <f t="shared" si="79"/>
        <v>0</v>
      </c>
      <c r="BQ92" s="5">
        <f t="shared" si="79"/>
        <v>0</v>
      </c>
      <c r="BR92" s="5">
        <f t="shared" si="79"/>
        <v>0</v>
      </c>
      <c r="BS92" s="5">
        <f t="shared" si="79"/>
        <v>0</v>
      </c>
      <c r="BT92" s="5">
        <f t="shared" si="79"/>
        <v>0</v>
      </c>
      <c r="BU92" s="5">
        <f t="shared" si="79"/>
        <v>0</v>
      </c>
      <c r="BV92" s="5">
        <f t="shared" si="79"/>
        <v>0</v>
      </c>
      <c r="BW92" s="5">
        <f t="shared" si="79"/>
        <v>0</v>
      </c>
      <c r="BX92" s="5">
        <f t="shared" si="79"/>
        <v>0</v>
      </c>
      <c r="BY92" s="5">
        <f t="shared" si="79"/>
        <v>0</v>
      </c>
      <c r="BZ92" s="5">
        <f t="shared" si="79"/>
        <v>0</v>
      </c>
      <c r="CA92" s="5">
        <f t="shared" si="79"/>
        <v>0</v>
      </c>
      <c r="CB92" s="5">
        <f t="shared" si="78"/>
        <v>0</v>
      </c>
      <c r="CC92" s="5">
        <f t="shared" si="78"/>
        <v>0</v>
      </c>
      <c r="CD92" s="5">
        <f t="shared" si="78"/>
        <v>0</v>
      </c>
      <c r="CE92" s="5">
        <f t="shared" si="78"/>
        <v>0</v>
      </c>
    </row>
    <row r="93" spans="1:83" x14ac:dyDescent="0.2">
      <c r="C93" s="1">
        <f>Growth!D98</f>
        <v>1.9230769230769232E-2</v>
      </c>
      <c r="D93" s="5" t="b">
        <f t="shared" si="69"/>
        <v>0</v>
      </c>
      <c r="E93" s="5">
        <v>1993</v>
      </c>
      <c r="F93" s="5">
        <f ca="1">LOOKUP($E93,frequence!$A$2:$A$35,frequence!L$2:L$35)</f>
        <v>191.34520119916542</v>
      </c>
      <c r="G93" s="5">
        <f ca="1">LOOKUP($E93,frequence!$A$2:$A$35,frequence!K$2:K$35)</f>
        <v>28.094581622231551</v>
      </c>
      <c r="H93" s="5">
        <f ca="1">LOOKUP($E93,frequence!$A$2:$A$35,frequence!M$2:M$35)</f>
        <v>780.68842089259488</v>
      </c>
      <c r="I93" s="18">
        <v>1989</v>
      </c>
      <c r="J93" s="7">
        <f>LOOKUP(I93,CPI!A$69:A$103,CPI!O$69:O$103)</f>
        <v>1.7585161290322582</v>
      </c>
      <c r="K93" s="5">
        <v>2030</v>
      </c>
      <c r="L93" s="7">
        <f t="shared" ca="1" si="70"/>
        <v>1</v>
      </c>
      <c r="M93" s="7">
        <f t="shared" si="62"/>
        <v>8.269230769230769E-2</v>
      </c>
      <c r="N93" s="14">
        <f t="shared" si="87"/>
        <v>1.9230769230769232E-2</v>
      </c>
      <c r="O93" s="1">
        <f ca="1">P93*J93*(1+Growth!G$6)^(2010-K93)</f>
        <v>15.629874888895687</v>
      </c>
      <c r="P93" s="1">
        <v>12</v>
      </c>
      <c r="Q93" s="2">
        <f t="shared" si="81"/>
        <v>12</v>
      </c>
      <c r="R93" s="21">
        <f t="shared" ca="1" si="71"/>
        <v>244.29298904253196</v>
      </c>
      <c r="X93" s="2">
        <f t="shared" si="63"/>
        <v>12</v>
      </c>
      <c r="AC93" s="1">
        <f t="shared" si="82"/>
        <v>4.3</v>
      </c>
      <c r="AD93" s="5">
        <v>1</v>
      </c>
      <c r="AE93" s="5">
        <v>0</v>
      </c>
      <c r="AF93" s="5">
        <v>1</v>
      </c>
      <c r="AG93" s="5">
        <v>0</v>
      </c>
      <c r="AH93" s="5">
        <v>1</v>
      </c>
      <c r="AI93" s="3">
        <f t="shared" si="64"/>
        <v>1.3</v>
      </c>
      <c r="AJ93" s="5">
        <f t="shared" si="88"/>
        <v>1</v>
      </c>
      <c r="AK93" s="5">
        <f t="shared" si="72"/>
        <v>0</v>
      </c>
      <c r="AL93" s="5">
        <f t="shared" si="73"/>
        <v>0</v>
      </c>
      <c r="AM93" s="5">
        <f t="shared" si="89"/>
        <v>0</v>
      </c>
      <c r="AN93" s="5">
        <f t="shared" si="74"/>
        <v>0</v>
      </c>
      <c r="AO93" s="5">
        <f t="shared" si="90"/>
        <v>0</v>
      </c>
      <c r="AP93" s="1">
        <v>5</v>
      </c>
      <c r="AQ93" s="1">
        <v>3</v>
      </c>
      <c r="AR93" s="5">
        <v>0</v>
      </c>
      <c r="AS93" s="5">
        <v>0</v>
      </c>
      <c r="AT93" s="5">
        <v>0</v>
      </c>
      <c r="AU93" s="5">
        <v>0</v>
      </c>
      <c r="AV93" s="5">
        <f t="shared" si="65"/>
        <v>1</v>
      </c>
      <c r="AW93" s="5">
        <f t="shared" si="66"/>
        <v>0</v>
      </c>
      <c r="AX93" s="5">
        <f t="shared" si="67"/>
        <v>0</v>
      </c>
      <c r="AY93" s="1">
        <f t="shared" si="83"/>
        <v>0</v>
      </c>
      <c r="AZ93" s="1">
        <f t="shared" si="84"/>
        <v>0</v>
      </c>
      <c r="BA93" s="1">
        <f t="shared" si="85"/>
        <v>0</v>
      </c>
      <c r="BB93" s="5">
        <v>0</v>
      </c>
      <c r="BC93" s="5">
        <v>0</v>
      </c>
      <c r="BD93" s="5">
        <v>0</v>
      </c>
      <c r="BE93" s="5">
        <f t="shared" si="86"/>
        <v>1</v>
      </c>
      <c r="BF93" s="5">
        <v>1</v>
      </c>
      <c r="BG93" s="5">
        <f t="shared" si="80"/>
        <v>0</v>
      </c>
      <c r="BH93" s="5">
        <f t="shared" si="80"/>
        <v>0</v>
      </c>
      <c r="BI93" s="5">
        <f t="shared" si="80"/>
        <v>0</v>
      </c>
      <c r="BJ93" s="5">
        <f t="shared" si="80"/>
        <v>1</v>
      </c>
      <c r="BK93" s="5">
        <f t="shared" si="80"/>
        <v>0</v>
      </c>
      <c r="BL93" s="5">
        <f t="shared" si="80"/>
        <v>0</v>
      </c>
      <c r="BM93" s="5">
        <f t="shared" si="80"/>
        <v>0</v>
      </c>
      <c r="BN93" s="5">
        <f t="shared" si="80"/>
        <v>0</v>
      </c>
      <c r="BO93" s="5">
        <f t="shared" si="79"/>
        <v>0</v>
      </c>
      <c r="BP93" s="5">
        <f t="shared" si="79"/>
        <v>0</v>
      </c>
      <c r="BQ93" s="5">
        <f t="shared" si="79"/>
        <v>0</v>
      </c>
      <c r="BR93" s="5">
        <f t="shared" si="79"/>
        <v>0</v>
      </c>
      <c r="BS93" s="5">
        <f t="shared" si="79"/>
        <v>0</v>
      </c>
      <c r="BT93" s="5">
        <f t="shared" si="79"/>
        <v>0</v>
      </c>
      <c r="BU93" s="5">
        <f t="shared" si="79"/>
        <v>0</v>
      </c>
      <c r="BV93" s="5">
        <f t="shared" si="79"/>
        <v>0</v>
      </c>
      <c r="BW93" s="5">
        <f t="shared" si="79"/>
        <v>0</v>
      </c>
      <c r="BX93" s="5">
        <f t="shared" si="79"/>
        <v>0</v>
      </c>
      <c r="BY93" s="5">
        <f t="shared" si="79"/>
        <v>0</v>
      </c>
      <c r="BZ93" s="5">
        <f t="shared" si="79"/>
        <v>0</v>
      </c>
      <c r="CA93" s="5">
        <f t="shared" si="79"/>
        <v>0</v>
      </c>
      <c r="CB93" s="5">
        <f t="shared" si="78"/>
        <v>0</v>
      </c>
      <c r="CC93" s="5">
        <f t="shared" si="78"/>
        <v>0</v>
      </c>
      <c r="CD93" s="5">
        <f t="shared" si="78"/>
        <v>0</v>
      </c>
      <c r="CE93" s="5">
        <f t="shared" si="78"/>
        <v>0</v>
      </c>
    </row>
    <row r="94" spans="1:83" x14ac:dyDescent="0.2">
      <c r="C94" s="1">
        <f>Growth!D99</f>
        <v>1.9230769230769232E-2</v>
      </c>
      <c r="D94" s="5" t="b">
        <f t="shared" si="69"/>
        <v>0</v>
      </c>
      <c r="E94" s="5">
        <v>1993</v>
      </c>
      <c r="F94" s="5">
        <f ca="1">LOOKUP($E94,frequence!$A$2:$A$35,frequence!L$2:L$35)</f>
        <v>191.34520119916542</v>
      </c>
      <c r="G94" s="5">
        <f ca="1">LOOKUP($E94,frequence!$A$2:$A$35,frequence!K$2:K$35)</f>
        <v>28.094581622231551</v>
      </c>
      <c r="H94" s="5">
        <f ca="1">LOOKUP($E94,frequence!$A$2:$A$35,frequence!M$2:M$35)</f>
        <v>780.68842089259488</v>
      </c>
      <c r="I94" s="18">
        <v>1989</v>
      </c>
      <c r="J94" s="7">
        <f>LOOKUP(I94,CPI!A$69:A$103,CPI!O$69:O$103)</f>
        <v>1.7585161290322582</v>
      </c>
      <c r="K94" s="5">
        <v>2030</v>
      </c>
      <c r="L94" s="7">
        <f t="shared" ca="1" si="70"/>
        <v>1</v>
      </c>
      <c r="M94" s="7">
        <f t="shared" si="62"/>
        <v>8.269230769230769E-2</v>
      </c>
      <c r="N94" s="14">
        <f t="shared" si="87"/>
        <v>1.9230769230769232E-2</v>
      </c>
      <c r="O94" s="1">
        <f ca="1">P94*J94*(1+Growth!G$6)^(2010-K94)</f>
        <v>13.936638442598651</v>
      </c>
      <c r="P94" s="1">
        <v>10.7</v>
      </c>
      <c r="Q94" s="2">
        <f t="shared" si="81"/>
        <v>10.7</v>
      </c>
      <c r="R94" s="21">
        <f t="shared" ca="1" si="71"/>
        <v>194.22989107971856</v>
      </c>
      <c r="X94" s="2">
        <f t="shared" si="63"/>
        <v>10.7</v>
      </c>
      <c r="AC94" s="1">
        <f t="shared" si="82"/>
        <v>4.3</v>
      </c>
      <c r="AD94" s="5">
        <v>1</v>
      </c>
      <c r="AE94" s="5">
        <v>0</v>
      </c>
      <c r="AF94" s="5">
        <v>1</v>
      </c>
      <c r="AG94" s="5">
        <v>0</v>
      </c>
      <c r="AH94" s="5">
        <v>1</v>
      </c>
      <c r="AI94" s="3">
        <f t="shared" si="64"/>
        <v>1.3</v>
      </c>
      <c r="AJ94" s="5">
        <f t="shared" si="88"/>
        <v>1</v>
      </c>
      <c r="AK94" s="5">
        <f t="shared" si="72"/>
        <v>0</v>
      </c>
      <c r="AL94" s="5">
        <f t="shared" si="73"/>
        <v>0</v>
      </c>
      <c r="AM94" s="5">
        <f t="shared" si="89"/>
        <v>0</v>
      </c>
      <c r="AN94" s="5">
        <f t="shared" si="74"/>
        <v>0</v>
      </c>
      <c r="AO94" s="5">
        <f t="shared" si="90"/>
        <v>0</v>
      </c>
      <c r="AP94" s="1">
        <v>5</v>
      </c>
      <c r="AQ94" s="1">
        <v>3</v>
      </c>
      <c r="AR94" s="5">
        <v>0</v>
      </c>
      <c r="AS94" s="5">
        <v>0</v>
      </c>
      <c r="AT94" s="5">
        <v>0</v>
      </c>
      <c r="AU94" s="5">
        <v>0</v>
      </c>
      <c r="AV94" s="5">
        <f t="shared" si="65"/>
        <v>1</v>
      </c>
      <c r="AW94" s="5">
        <f t="shared" si="66"/>
        <v>0</v>
      </c>
      <c r="AX94" s="5">
        <f t="shared" si="67"/>
        <v>0</v>
      </c>
      <c r="AY94" s="1">
        <f t="shared" si="83"/>
        <v>0</v>
      </c>
      <c r="AZ94" s="1">
        <f t="shared" si="84"/>
        <v>0</v>
      </c>
      <c r="BA94" s="1">
        <f t="shared" si="85"/>
        <v>0</v>
      </c>
      <c r="BB94" s="5">
        <v>0</v>
      </c>
      <c r="BC94" s="5">
        <v>0</v>
      </c>
      <c r="BD94" s="5">
        <v>0</v>
      </c>
      <c r="BE94" s="5">
        <f t="shared" si="86"/>
        <v>1</v>
      </c>
      <c r="BF94" s="5">
        <v>1</v>
      </c>
      <c r="BG94" s="5">
        <f t="shared" si="80"/>
        <v>0</v>
      </c>
      <c r="BH94" s="5">
        <f t="shared" si="80"/>
        <v>0</v>
      </c>
      <c r="BI94" s="5">
        <f t="shared" si="80"/>
        <v>0</v>
      </c>
      <c r="BJ94" s="5">
        <f t="shared" si="80"/>
        <v>1</v>
      </c>
      <c r="BK94" s="5">
        <f t="shared" si="80"/>
        <v>0</v>
      </c>
      <c r="BL94" s="5">
        <f t="shared" si="80"/>
        <v>0</v>
      </c>
      <c r="BM94" s="5">
        <f t="shared" si="80"/>
        <v>0</v>
      </c>
      <c r="BN94" s="5">
        <f t="shared" si="80"/>
        <v>0</v>
      </c>
      <c r="BO94" s="5">
        <f t="shared" si="79"/>
        <v>0</v>
      </c>
      <c r="BP94" s="5">
        <f t="shared" si="79"/>
        <v>0</v>
      </c>
      <c r="BQ94" s="5">
        <f t="shared" si="79"/>
        <v>0</v>
      </c>
      <c r="BR94" s="5">
        <f t="shared" si="79"/>
        <v>0</v>
      </c>
      <c r="BS94" s="5">
        <f t="shared" si="79"/>
        <v>0</v>
      </c>
      <c r="BT94" s="5">
        <f t="shared" si="79"/>
        <v>0</v>
      </c>
      <c r="BU94" s="5">
        <f t="shared" si="79"/>
        <v>0</v>
      </c>
      <c r="BV94" s="5">
        <f t="shared" si="79"/>
        <v>0</v>
      </c>
      <c r="BW94" s="5">
        <f t="shared" si="79"/>
        <v>0</v>
      </c>
      <c r="BX94" s="5">
        <f t="shared" si="79"/>
        <v>0</v>
      </c>
      <c r="BY94" s="5">
        <f t="shared" si="79"/>
        <v>0</v>
      </c>
      <c r="BZ94" s="5">
        <f t="shared" si="79"/>
        <v>0</v>
      </c>
      <c r="CA94" s="5">
        <f t="shared" si="79"/>
        <v>0</v>
      </c>
      <c r="CB94" s="5">
        <f t="shared" si="78"/>
        <v>0</v>
      </c>
      <c r="CC94" s="5">
        <f t="shared" si="78"/>
        <v>0</v>
      </c>
      <c r="CD94" s="5">
        <f t="shared" si="78"/>
        <v>0</v>
      </c>
      <c r="CE94" s="5">
        <f t="shared" si="78"/>
        <v>0</v>
      </c>
    </row>
    <row r="95" spans="1:83" x14ac:dyDescent="0.2">
      <c r="C95" s="1">
        <f>Growth!D100</f>
        <v>1.9230769230769232E-2</v>
      </c>
      <c r="D95" s="5" t="b">
        <f t="shared" si="69"/>
        <v>0</v>
      </c>
      <c r="E95" s="5">
        <v>1993</v>
      </c>
      <c r="F95" s="5">
        <f ca="1">LOOKUP($E95,frequence!$A$2:$A$35,frequence!L$2:L$35)</f>
        <v>191.34520119916542</v>
      </c>
      <c r="G95" s="5">
        <f ca="1">LOOKUP($E95,frequence!$A$2:$A$35,frequence!K$2:K$35)</f>
        <v>28.094581622231551</v>
      </c>
      <c r="H95" s="5">
        <f ca="1">LOOKUP($E95,frequence!$A$2:$A$35,frequence!M$2:M$35)</f>
        <v>780.68842089259488</v>
      </c>
      <c r="I95" s="18">
        <v>1989</v>
      </c>
      <c r="J95" s="7">
        <f>LOOKUP(I95,CPI!A$69:A$103,CPI!O$69:O$103)</f>
        <v>1.7585161290322582</v>
      </c>
      <c r="K95" s="5">
        <v>2030</v>
      </c>
      <c r="L95" s="7">
        <f t="shared" ca="1" si="70"/>
        <v>1</v>
      </c>
      <c r="M95" s="7">
        <f t="shared" si="62"/>
        <v>8.269230769230769E-2</v>
      </c>
      <c r="N95" s="14">
        <f t="shared" si="87"/>
        <v>1.9230769230769232E-2</v>
      </c>
      <c r="O95" s="1">
        <f ca="1">P95*J95*(1+Growth!G$6)^(2010-K95)</f>
        <v>24.877550864825636</v>
      </c>
      <c r="P95" s="1">
        <v>19.100000000000001</v>
      </c>
      <c r="Q95" s="2">
        <f t="shared" si="81"/>
        <v>19.100000000000001</v>
      </c>
      <c r="R95" s="21">
        <f t="shared" ca="1" si="71"/>
        <v>618.89253703198676</v>
      </c>
      <c r="X95" s="2">
        <f t="shared" si="63"/>
        <v>19.100000000000001</v>
      </c>
      <c r="AC95" s="1">
        <f t="shared" si="82"/>
        <v>4.3</v>
      </c>
      <c r="AD95" s="5">
        <v>1</v>
      </c>
      <c r="AE95" s="5">
        <v>0</v>
      </c>
      <c r="AF95" s="5">
        <v>1</v>
      </c>
      <c r="AG95" s="5">
        <v>0</v>
      </c>
      <c r="AH95" s="5">
        <v>1</v>
      </c>
      <c r="AI95" s="3">
        <f t="shared" si="64"/>
        <v>1.3</v>
      </c>
      <c r="AJ95" s="5">
        <f t="shared" si="88"/>
        <v>1</v>
      </c>
      <c r="AK95" s="5">
        <f t="shared" si="72"/>
        <v>0</v>
      </c>
      <c r="AL95" s="5">
        <f t="shared" si="73"/>
        <v>0</v>
      </c>
      <c r="AM95" s="5">
        <f t="shared" si="89"/>
        <v>0</v>
      </c>
      <c r="AN95" s="5">
        <f t="shared" si="74"/>
        <v>0</v>
      </c>
      <c r="AO95" s="5">
        <f t="shared" si="90"/>
        <v>0</v>
      </c>
      <c r="AP95" s="1">
        <v>5</v>
      </c>
      <c r="AQ95" s="1">
        <v>3</v>
      </c>
      <c r="AR95" s="5">
        <v>0</v>
      </c>
      <c r="AS95" s="5">
        <v>0</v>
      </c>
      <c r="AT95" s="5">
        <v>0</v>
      </c>
      <c r="AU95" s="5">
        <v>0</v>
      </c>
      <c r="AV95" s="5">
        <f t="shared" si="65"/>
        <v>1</v>
      </c>
      <c r="AW95" s="5">
        <f t="shared" si="66"/>
        <v>0</v>
      </c>
      <c r="AX95" s="5">
        <f t="shared" si="67"/>
        <v>0</v>
      </c>
      <c r="AY95" s="1">
        <f t="shared" si="83"/>
        <v>0</v>
      </c>
      <c r="AZ95" s="1">
        <f t="shared" si="84"/>
        <v>0</v>
      </c>
      <c r="BA95" s="1">
        <f t="shared" si="85"/>
        <v>0</v>
      </c>
      <c r="BB95" s="5">
        <v>0</v>
      </c>
      <c r="BC95" s="5">
        <v>0</v>
      </c>
      <c r="BD95" s="5">
        <v>0</v>
      </c>
      <c r="BE95" s="5">
        <f t="shared" si="86"/>
        <v>1</v>
      </c>
      <c r="BF95" s="5">
        <v>1</v>
      </c>
      <c r="BG95" s="5">
        <f t="shared" si="80"/>
        <v>0</v>
      </c>
      <c r="BH95" s="5">
        <f t="shared" si="80"/>
        <v>0</v>
      </c>
      <c r="BI95" s="5">
        <f t="shared" si="80"/>
        <v>0</v>
      </c>
      <c r="BJ95" s="5">
        <f t="shared" si="80"/>
        <v>1</v>
      </c>
      <c r="BK95" s="5">
        <f t="shared" si="80"/>
        <v>0</v>
      </c>
      <c r="BL95" s="5">
        <f t="shared" si="80"/>
        <v>0</v>
      </c>
      <c r="BM95" s="5">
        <f t="shared" si="80"/>
        <v>0</v>
      </c>
      <c r="BN95" s="5">
        <f t="shared" si="80"/>
        <v>0</v>
      </c>
      <c r="BO95" s="5">
        <f t="shared" si="79"/>
        <v>0</v>
      </c>
      <c r="BP95" s="5">
        <f t="shared" si="79"/>
        <v>0</v>
      </c>
      <c r="BQ95" s="5">
        <f t="shared" si="79"/>
        <v>0</v>
      </c>
      <c r="BR95" s="5">
        <f t="shared" si="79"/>
        <v>0</v>
      </c>
      <c r="BS95" s="5">
        <f t="shared" si="79"/>
        <v>0</v>
      </c>
      <c r="BT95" s="5">
        <f t="shared" si="79"/>
        <v>0</v>
      </c>
      <c r="BU95" s="5">
        <f t="shared" si="79"/>
        <v>0</v>
      </c>
      <c r="BV95" s="5">
        <f t="shared" si="79"/>
        <v>0</v>
      </c>
      <c r="BW95" s="5">
        <f t="shared" si="79"/>
        <v>0</v>
      </c>
      <c r="BX95" s="5">
        <f t="shared" si="79"/>
        <v>0</v>
      </c>
      <c r="BY95" s="5">
        <f t="shared" si="79"/>
        <v>0</v>
      </c>
      <c r="BZ95" s="5">
        <f t="shared" si="79"/>
        <v>0</v>
      </c>
      <c r="CA95" s="5">
        <f t="shared" si="79"/>
        <v>0</v>
      </c>
      <c r="CB95" s="5">
        <f t="shared" si="78"/>
        <v>0</v>
      </c>
      <c r="CC95" s="5">
        <f t="shared" si="78"/>
        <v>0</v>
      </c>
      <c r="CD95" s="5">
        <f t="shared" si="78"/>
        <v>0</v>
      </c>
      <c r="CE95" s="5">
        <f t="shared" si="78"/>
        <v>0</v>
      </c>
    </row>
    <row r="96" spans="1:83" x14ac:dyDescent="0.2">
      <c r="C96" s="1">
        <f>Growth!D101</f>
        <v>1.9230769230769232E-2</v>
      </c>
      <c r="D96" s="5" t="b">
        <f t="shared" si="69"/>
        <v>0</v>
      </c>
      <c r="E96" s="5">
        <v>1993</v>
      </c>
      <c r="F96" s="5">
        <f ca="1">LOOKUP($E96,frequence!$A$2:$A$35,frequence!L$2:L$35)</f>
        <v>191.34520119916542</v>
      </c>
      <c r="G96" s="5">
        <f ca="1">LOOKUP($E96,frequence!$A$2:$A$35,frequence!K$2:K$35)</f>
        <v>28.094581622231551</v>
      </c>
      <c r="H96" s="5">
        <f ca="1">LOOKUP($E96,frequence!$A$2:$A$35,frequence!M$2:M$35)</f>
        <v>780.68842089259488</v>
      </c>
      <c r="I96" s="18">
        <v>1989</v>
      </c>
      <c r="J96" s="7">
        <f>LOOKUP(I96,CPI!A$69:A$103,CPI!O$69:O$103)</f>
        <v>1.7585161290322582</v>
      </c>
      <c r="K96" s="5">
        <v>2030</v>
      </c>
      <c r="L96" s="7">
        <f t="shared" ca="1" si="70"/>
        <v>1</v>
      </c>
      <c r="M96" s="7">
        <f t="shared" si="62"/>
        <v>8.269230769230769E-2</v>
      </c>
      <c r="N96" s="14">
        <f t="shared" si="87"/>
        <v>1.9230769230769232E-2</v>
      </c>
      <c r="O96" s="1">
        <f ca="1">P96*J96*(1+Growth!G$6)^(2010-K96)</f>
        <v>25.007799822233096</v>
      </c>
      <c r="P96" s="1">
        <v>19.2</v>
      </c>
      <c r="Q96" s="2">
        <f t="shared" si="81"/>
        <v>19.2</v>
      </c>
      <c r="R96" s="21">
        <f t="shared" ca="1" si="71"/>
        <v>625.39005194888171</v>
      </c>
      <c r="X96" s="2">
        <f t="shared" si="63"/>
        <v>19.2</v>
      </c>
      <c r="AC96" s="1">
        <f t="shared" si="82"/>
        <v>4.3</v>
      </c>
      <c r="AD96" s="5">
        <v>1</v>
      </c>
      <c r="AE96" s="5">
        <v>0</v>
      </c>
      <c r="AF96" s="5">
        <v>1</v>
      </c>
      <c r="AG96" s="5">
        <v>0</v>
      </c>
      <c r="AH96" s="5">
        <v>1</v>
      </c>
      <c r="AI96" s="3">
        <f t="shared" si="64"/>
        <v>1.3</v>
      </c>
      <c r="AJ96" s="5">
        <f t="shared" si="88"/>
        <v>1</v>
      </c>
      <c r="AK96" s="5">
        <f t="shared" si="72"/>
        <v>0</v>
      </c>
      <c r="AL96" s="5">
        <f t="shared" si="73"/>
        <v>0</v>
      </c>
      <c r="AM96" s="5">
        <f t="shared" si="89"/>
        <v>0</v>
      </c>
      <c r="AN96" s="5">
        <f t="shared" si="74"/>
        <v>0</v>
      </c>
      <c r="AO96" s="5">
        <f t="shared" si="90"/>
        <v>0</v>
      </c>
      <c r="AP96" s="1">
        <v>5</v>
      </c>
      <c r="AQ96" s="1">
        <v>3</v>
      </c>
      <c r="AR96" s="5">
        <v>0</v>
      </c>
      <c r="AS96" s="5">
        <v>0</v>
      </c>
      <c r="AT96" s="5">
        <v>0</v>
      </c>
      <c r="AU96" s="5">
        <v>0</v>
      </c>
      <c r="AV96" s="5">
        <f t="shared" si="65"/>
        <v>1</v>
      </c>
      <c r="AW96" s="5">
        <f t="shared" si="66"/>
        <v>0</v>
      </c>
      <c r="AX96" s="5">
        <f t="shared" si="67"/>
        <v>0</v>
      </c>
      <c r="AY96" s="1">
        <f t="shared" si="83"/>
        <v>0</v>
      </c>
      <c r="AZ96" s="1">
        <f t="shared" si="84"/>
        <v>0</v>
      </c>
      <c r="BA96" s="1">
        <f t="shared" si="85"/>
        <v>0</v>
      </c>
      <c r="BB96" s="5">
        <v>0</v>
      </c>
      <c r="BC96" s="5">
        <v>0</v>
      </c>
      <c r="BD96" s="5">
        <v>0</v>
      </c>
      <c r="BE96" s="5">
        <f t="shared" si="86"/>
        <v>1</v>
      </c>
      <c r="BF96" s="5">
        <v>1</v>
      </c>
      <c r="BG96" s="5">
        <f t="shared" si="80"/>
        <v>0</v>
      </c>
      <c r="BH96" s="5">
        <f t="shared" si="80"/>
        <v>0</v>
      </c>
      <c r="BI96" s="5">
        <f t="shared" si="80"/>
        <v>0</v>
      </c>
      <c r="BJ96" s="5">
        <f t="shared" si="80"/>
        <v>1</v>
      </c>
      <c r="BK96" s="5">
        <f t="shared" si="80"/>
        <v>0</v>
      </c>
      <c r="BL96" s="5">
        <f t="shared" si="80"/>
        <v>0</v>
      </c>
      <c r="BM96" s="5">
        <f t="shared" si="80"/>
        <v>0</v>
      </c>
      <c r="BN96" s="5">
        <f t="shared" si="80"/>
        <v>0</v>
      </c>
      <c r="BO96" s="5">
        <f t="shared" si="79"/>
        <v>0</v>
      </c>
      <c r="BP96" s="5">
        <f t="shared" si="79"/>
        <v>0</v>
      </c>
      <c r="BQ96" s="5">
        <f t="shared" si="79"/>
        <v>0</v>
      </c>
      <c r="BR96" s="5">
        <f t="shared" si="79"/>
        <v>0</v>
      </c>
      <c r="BS96" s="5">
        <f t="shared" si="79"/>
        <v>0</v>
      </c>
      <c r="BT96" s="5">
        <f t="shared" si="79"/>
        <v>0</v>
      </c>
      <c r="BU96" s="5">
        <f t="shared" si="79"/>
        <v>0</v>
      </c>
      <c r="BV96" s="5">
        <f t="shared" si="79"/>
        <v>0</v>
      </c>
      <c r="BW96" s="5">
        <f t="shared" si="79"/>
        <v>0</v>
      </c>
      <c r="BX96" s="5">
        <f t="shared" si="79"/>
        <v>0</v>
      </c>
      <c r="BY96" s="5">
        <f t="shared" si="79"/>
        <v>0</v>
      </c>
      <c r="BZ96" s="5">
        <f t="shared" si="79"/>
        <v>0</v>
      </c>
      <c r="CA96" s="5">
        <f t="shared" si="79"/>
        <v>0</v>
      </c>
      <c r="CB96" s="5">
        <f t="shared" si="78"/>
        <v>0</v>
      </c>
      <c r="CC96" s="5">
        <f t="shared" si="78"/>
        <v>0</v>
      </c>
      <c r="CD96" s="5">
        <f t="shared" si="78"/>
        <v>0</v>
      </c>
      <c r="CE96" s="5">
        <f t="shared" si="78"/>
        <v>0</v>
      </c>
    </row>
    <row r="97" spans="1:83" x14ac:dyDescent="0.2">
      <c r="C97" s="1">
        <f>Growth!D102</f>
        <v>1.9230769230769232E-2</v>
      </c>
      <c r="D97" s="5" t="b">
        <f t="shared" si="69"/>
        <v>0</v>
      </c>
      <c r="E97" s="5">
        <v>1993</v>
      </c>
      <c r="F97" s="5">
        <f ca="1">LOOKUP($E97,frequence!$A$2:$A$35,frequence!L$2:L$35)</f>
        <v>191.34520119916542</v>
      </c>
      <c r="G97" s="5">
        <f ca="1">LOOKUP($E97,frequence!$A$2:$A$35,frequence!K$2:K$35)</f>
        <v>28.094581622231551</v>
      </c>
      <c r="H97" s="5">
        <f ca="1">LOOKUP($E97,frequence!$A$2:$A$35,frequence!M$2:M$35)</f>
        <v>780.68842089259488</v>
      </c>
      <c r="I97" s="18">
        <v>1989</v>
      </c>
      <c r="J97" s="7">
        <f>LOOKUP(I97,CPI!A$69:A$103,CPI!O$69:O$103)</f>
        <v>1.7585161290322582</v>
      </c>
      <c r="K97" s="5">
        <v>2030</v>
      </c>
      <c r="L97" s="7">
        <f t="shared" ca="1" si="70"/>
        <v>1</v>
      </c>
      <c r="M97" s="7">
        <f t="shared" si="62"/>
        <v>8.269230769230769E-2</v>
      </c>
      <c r="N97" s="14">
        <f t="shared" si="87"/>
        <v>1.9230769230769232E-2</v>
      </c>
      <c r="O97" s="1">
        <f ca="1">P97*J97*(1+Growth!G$6)^(2010-K97)</f>
        <v>22.663318588898743</v>
      </c>
      <c r="P97" s="1">
        <v>17.399999999999999</v>
      </c>
      <c r="Q97" s="2">
        <f t="shared" si="81"/>
        <v>17.399999999999999</v>
      </c>
      <c r="R97" s="21">
        <f t="shared" ca="1" si="71"/>
        <v>513.62600946192333</v>
      </c>
      <c r="X97" s="2">
        <f t="shared" si="63"/>
        <v>17.399999999999999</v>
      </c>
      <c r="AC97" s="1">
        <f t="shared" si="82"/>
        <v>4.3</v>
      </c>
      <c r="AD97" s="5">
        <v>1</v>
      </c>
      <c r="AE97" s="5">
        <v>0</v>
      </c>
      <c r="AF97" s="5">
        <v>1</v>
      </c>
      <c r="AG97" s="5">
        <v>0</v>
      </c>
      <c r="AH97" s="5">
        <v>1</v>
      </c>
      <c r="AI97" s="3">
        <f t="shared" si="64"/>
        <v>1.3</v>
      </c>
      <c r="AJ97" s="5">
        <f t="shared" si="88"/>
        <v>1</v>
      </c>
      <c r="AK97" s="5">
        <f t="shared" si="72"/>
        <v>0</v>
      </c>
      <c r="AL97" s="5">
        <f t="shared" si="73"/>
        <v>0</v>
      </c>
      <c r="AM97" s="5">
        <f t="shared" si="89"/>
        <v>0</v>
      </c>
      <c r="AN97" s="5">
        <f t="shared" si="74"/>
        <v>0</v>
      </c>
      <c r="AO97" s="5">
        <f t="shared" si="90"/>
        <v>0</v>
      </c>
      <c r="AP97" s="1">
        <v>5</v>
      </c>
      <c r="AQ97" s="1">
        <v>3</v>
      </c>
      <c r="AR97" s="5">
        <v>0</v>
      </c>
      <c r="AS97" s="5">
        <v>0</v>
      </c>
      <c r="AT97" s="5">
        <v>0</v>
      </c>
      <c r="AU97" s="5">
        <v>0</v>
      </c>
      <c r="AV97" s="5">
        <f t="shared" si="65"/>
        <v>1</v>
      </c>
      <c r="AW97" s="5">
        <f t="shared" si="66"/>
        <v>0</v>
      </c>
      <c r="AX97" s="5">
        <f t="shared" si="67"/>
        <v>0</v>
      </c>
      <c r="AY97" s="1">
        <f t="shared" si="83"/>
        <v>0</v>
      </c>
      <c r="AZ97" s="1">
        <f t="shared" si="84"/>
        <v>0</v>
      </c>
      <c r="BA97" s="1">
        <f t="shared" si="85"/>
        <v>0</v>
      </c>
      <c r="BB97" s="5">
        <v>0</v>
      </c>
      <c r="BC97" s="5">
        <v>0</v>
      </c>
      <c r="BD97" s="5">
        <v>0</v>
      </c>
      <c r="BE97" s="5">
        <f t="shared" si="86"/>
        <v>1</v>
      </c>
      <c r="BF97" s="5">
        <v>1</v>
      </c>
      <c r="BG97" s="5">
        <f t="shared" si="80"/>
        <v>0</v>
      </c>
      <c r="BH97" s="5">
        <f t="shared" si="80"/>
        <v>0</v>
      </c>
      <c r="BI97" s="5">
        <f t="shared" si="80"/>
        <v>0</v>
      </c>
      <c r="BJ97" s="5">
        <f t="shared" si="80"/>
        <v>1</v>
      </c>
      <c r="BK97" s="5">
        <f t="shared" si="80"/>
        <v>0</v>
      </c>
      <c r="BL97" s="5">
        <f t="shared" si="80"/>
        <v>0</v>
      </c>
      <c r="BM97" s="5">
        <f t="shared" si="80"/>
        <v>0</v>
      </c>
      <c r="BN97" s="5">
        <f t="shared" si="80"/>
        <v>0</v>
      </c>
      <c r="BO97" s="5">
        <f t="shared" si="79"/>
        <v>0</v>
      </c>
      <c r="BP97" s="5">
        <f t="shared" si="79"/>
        <v>0</v>
      </c>
      <c r="BQ97" s="5">
        <f t="shared" si="79"/>
        <v>0</v>
      </c>
      <c r="BR97" s="5">
        <f t="shared" si="79"/>
        <v>0</v>
      </c>
      <c r="BS97" s="5">
        <f t="shared" si="79"/>
        <v>0</v>
      </c>
      <c r="BT97" s="5">
        <f t="shared" si="79"/>
        <v>0</v>
      </c>
      <c r="BU97" s="5">
        <f t="shared" si="79"/>
        <v>0</v>
      </c>
      <c r="BV97" s="5">
        <f t="shared" si="79"/>
        <v>0</v>
      </c>
      <c r="BW97" s="5">
        <f t="shared" si="79"/>
        <v>0</v>
      </c>
      <c r="BX97" s="5">
        <f t="shared" si="79"/>
        <v>0</v>
      </c>
      <c r="BY97" s="5">
        <f t="shared" si="79"/>
        <v>0</v>
      </c>
      <c r="BZ97" s="5">
        <f t="shared" si="79"/>
        <v>0</v>
      </c>
      <c r="CA97" s="5">
        <f t="shared" si="79"/>
        <v>0</v>
      </c>
      <c r="CB97" s="5">
        <f t="shared" si="78"/>
        <v>0</v>
      </c>
      <c r="CC97" s="5">
        <f t="shared" si="78"/>
        <v>0</v>
      </c>
      <c r="CD97" s="5">
        <f t="shared" si="78"/>
        <v>0</v>
      </c>
      <c r="CE97" s="5">
        <f t="shared" si="78"/>
        <v>0</v>
      </c>
    </row>
    <row r="98" spans="1:83" x14ac:dyDescent="0.2">
      <c r="C98" s="1">
        <f>Growth!D103</f>
        <v>1.9230769230769232E-2</v>
      </c>
      <c r="D98" s="5" t="b">
        <f t="shared" si="69"/>
        <v>0</v>
      </c>
      <c r="E98" s="5">
        <v>1993</v>
      </c>
      <c r="F98" s="5">
        <f ca="1">LOOKUP($E98,frequence!$A$2:$A$35,frequence!L$2:L$35)</f>
        <v>191.34520119916542</v>
      </c>
      <c r="G98" s="5">
        <f ca="1">LOOKUP($E98,frequence!$A$2:$A$35,frequence!K$2:K$35)</f>
        <v>28.094581622231551</v>
      </c>
      <c r="H98" s="5">
        <f ca="1">LOOKUP($E98,frequence!$A$2:$A$35,frequence!M$2:M$35)</f>
        <v>780.68842089259488</v>
      </c>
      <c r="I98" s="18">
        <v>1989</v>
      </c>
      <c r="J98" s="7">
        <f>LOOKUP(I98,CPI!A$69:A$103,CPI!O$69:O$103)</f>
        <v>1.7585161290322582</v>
      </c>
      <c r="K98" s="5">
        <v>2030</v>
      </c>
      <c r="L98" s="7">
        <f t="shared" ca="1" si="70"/>
        <v>1</v>
      </c>
      <c r="M98" s="7">
        <f t="shared" si="62"/>
        <v>8.269230769230769E-2</v>
      </c>
      <c r="N98" s="14">
        <f t="shared" si="87"/>
        <v>1.9230769230769232E-2</v>
      </c>
      <c r="O98" s="1">
        <f ca="1">P98*J98*(1+Growth!G$6)^(2010-K98)</f>
        <v>29.696762288901802</v>
      </c>
      <c r="P98" s="1">
        <v>22.8</v>
      </c>
      <c r="Q98" s="2">
        <f t="shared" si="81"/>
        <v>22.8</v>
      </c>
      <c r="R98" s="21">
        <f t="shared" ca="1" si="71"/>
        <v>881.89769044354023</v>
      </c>
      <c r="X98" s="2">
        <f t="shared" si="63"/>
        <v>22.8</v>
      </c>
      <c r="AC98" s="1">
        <f t="shared" si="82"/>
        <v>4.3</v>
      </c>
      <c r="AD98" s="5">
        <v>1</v>
      </c>
      <c r="AE98" s="5">
        <v>0</v>
      </c>
      <c r="AF98" s="5">
        <v>1</v>
      </c>
      <c r="AG98" s="5">
        <v>0</v>
      </c>
      <c r="AH98" s="5">
        <v>1</v>
      </c>
      <c r="AI98" s="3">
        <f t="shared" si="64"/>
        <v>1.3</v>
      </c>
      <c r="AJ98" s="5">
        <f t="shared" si="88"/>
        <v>1</v>
      </c>
      <c r="AK98" s="5">
        <f t="shared" si="72"/>
        <v>0</v>
      </c>
      <c r="AL98" s="5">
        <f t="shared" si="73"/>
        <v>0</v>
      </c>
      <c r="AM98" s="5">
        <f t="shared" si="89"/>
        <v>0</v>
      </c>
      <c r="AN98" s="5">
        <f t="shared" si="74"/>
        <v>0</v>
      </c>
      <c r="AO98" s="5">
        <f t="shared" si="90"/>
        <v>0</v>
      </c>
      <c r="AP98" s="1">
        <v>5</v>
      </c>
      <c r="AQ98" s="1">
        <v>3</v>
      </c>
      <c r="AR98" s="5">
        <v>0</v>
      </c>
      <c r="AS98" s="5">
        <v>0</v>
      </c>
      <c r="AT98" s="5">
        <v>0</v>
      </c>
      <c r="AU98" s="5">
        <v>0</v>
      </c>
      <c r="AV98" s="5">
        <f t="shared" si="65"/>
        <v>1</v>
      </c>
      <c r="AW98" s="5">
        <f t="shared" si="66"/>
        <v>0</v>
      </c>
      <c r="AX98" s="5">
        <f t="shared" si="67"/>
        <v>0</v>
      </c>
      <c r="AY98" s="1">
        <f t="shared" si="83"/>
        <v>0</v>
      </c>
      <c r="AZ98" s="1">
        <f t="shared" si="84"/>
        <v>0</v>
      </c>
      <c r="BA98" s="1">
        <f t="shared" si="85"/>
        <v>0</v>
      </c>
      <c r="BB98" s="5">
        <v>0</v>
      </c>
      <c r="BC98" s="5">
        <v>0</v>
      </c>
      <c r="BD98" s="5">
        <v>0</v>
      </c>
      <c r="BE98" s="5">
        <f t="shared" si="86"/>
        <v>1</v>
      </c>
      <c r="BF98" s="5">
        <v>1</v>
      </c>
      <c r="BG98" s="5">
        <f t="shared" si="80"/>
        <v>0</v>
      </c>
      <c r="BH98" s="5">
        <f t="shared" si="80"/>
        <v>0</v>
      </c>
      <c r="BI98" s="5">
        <f t="shared" si="80"/>
        <v>0</v>
      </c>
      <c r="BJ98" s="5">
        <f t="shared" si="80"/>
        <v>1</v>
      </c>
      <c r="BK98" s="5">
        <f t="shared" si="80"/>
        <v>0</v>
      </c>
      <c r="BL98" s="5">
        <f t="shared" si="80"/>
        <v>0</v>
      </c>
      <c r="BM98" s="5">
        <f t="shared" si="80"/>
        <v>0</v>
      </c>
      <c r="BN98" s="5">
        <f t="shared" si="80"/>
        <v>0</v>
      </c>
      <c r="BO98" s="5">
        <f t="shared" si="79"/>
        <v>0</v>
      </c>
      <c r="BP98" s="5">
        <f t="shared" si="79"/>
        <v>0</v>
      </c>
      <c r="BQ98" s="5">
        <f t="shared" si="79"/>
        <v>0</v>
      </c>
      <c r="BR98" s="5">
        <f t="shared" si="79"/>
        <v>0</v>
      </c>
      <c r="BS98" s="5">
        <f t="shared" si="79"/>
        <v>0</v>
      </c>
      <c r="BT98" s="5">
        <f t="shared" si="79"/>
        <v>0</v>
      </c>
      <c r="BU98" s="5">
        <f t="shared" si="79"/>
        <v>0</v>
      </c>
      <c r="BV98" s="5">
        <f t="shared" si="79"/>
        <v>0</v>
      </c>
      <c r="BW98" s="5">
        <f t="shared" si="79"/>
        <v>0</v>
      </c>
      <c r="BX98" s="5">
        <f t="shared" si="79"/>
        <v>0</v>
      </c>
      <c r="BY98" s="5">
        <f t="shared" si="79"/>
        <v>0</v>
      </c>
      <c r="BZ98" s="5">
        <f t="shared" si="79"/>
        <v>0</v>
      </c>
      <c r="CA98" s="5">
        <f t="shared" si="79"/>
        <v>0</v>
      </c>
      <c r="CB98" s="5">
        <f t="shared" si="78"/>
        <v>0</v>
      </c>
      <c r="CC98" s="5">
        <f t="shared" si="78"/>
        <v>0</v>
      </c>
      <c r="CD98" s="5">
        <f t="shared" si="78"/>
        <v>0</v>
      </c>
      <c r="CE98" s="5">
        <f t="shared" si="78"/>
        <v>0</v>
      </c>
    </row>
    <row r="99" spans="1:83" x14ac:dyDescent="0.2">
      <c r="C99" s="1">
        <f>Growth!D104</f>
        <v>1.9230769230769232E-2</v>
      </c>
      <c r="D99" s="5" t="b">
        <f t="shared" si="69"/>
        <v>0</v>
      </c>
      <c r="E99" s="5">
        <v>1993</v>
      </c>
      <c r="F99" s="5">
        <f ca="1">LOOKUP($E99,frequence!$A$2:$A$35,frequence!L$2:L$35)</f>
        <v>191.34520119916542</v>
      </c>
      <c r="G99" s="5">
        <f ca="1">LOOKUP($E99,frequence!$A$2:$A$35,frequence!K$2:K$35)</f>
        <v>28.094581622231551</v>
      </c>
      <c r="H99" s="5">
        <f ca="1">LOOKUP($E99,frequence!$A$2:$A$35,frequence!M$2:M$35)</f>
        <v>780.68842089259488</v>
      </c>
      <c r="I99" s="18">
        <v>1989</v>
      </c>
      <c r="J99" s="7">
        <f>LOOKUP(I99,CPI!A$69:A$103,CPI!O$69:O$103)</f>
        <v>1.7585161290322582</v>
      </c>
      <c r="K99" s="5">
        <v>2030</v>
      </c>
      <c r="L99" s="7">
        <f t="shared" ca="1" si="70"/>
        <v>1</v>
      </c>
      <c r="M99" s="7">
        <f t="shared" si="62"/>
        <v>8.269230769230769E-2</v>
      </c>
      <c r="N99" s="14">
        <f t="shared" si="87"/>
        <v>1.9230769230769232E-2</v>
      </c>
      <c r="O99" s="1">
        <f ca="1">P99*J99*(1+Growth!G$6)^(2010-K99)</f>
        <v>28.394272714827164</v>
      </c>
      <c r="P99" s="1">
        <v>21.8</v>
      </c>
      <c r="Q99" s="2">
        <f t="shared" si="81"/>
        <v>21.8</v>
      </c>
      <c r="R99" s="21">
        <f t="shared" ca="1" si="71"/>
        <v>806.23472300397839</v>
      </c>
      <c r="X99" s="2">
        <f t="shared" si="63"/>
        <v>21.8</v>
      </c>
      <c r="AC99" s="1">
        <f t="shared" si="82"/>
        <v>4.3</v>
      </c>
      <c r="AD99" s="5">
        <v>1</v>
      </c>
      <c r="AE99" s="5">
        <v>0</v>
      </c>
      <c r="AF99" s="5">
        <v>1</v>
      </c>
      <c r="AG99" s="5">
        <v>0</v>
      </c>
      <c r="AH99" s="5">
        <v>1</v>
      </c>
      <c r="AI99" s="3">
        <f t="shared" si="64"/>
        <v>1.3</v>
      </c>
      <c r="AJ99" s="5">
        <f t="shared" si="88"/>
        <v>1</v>
      </c>
      <c r="AK99" s="5">
        <f t="shared" si="72"/>
        <v>0</v>
      </c>
      <c r="AL99" s="5">
        <f t="shared" si="73"/>
        <v>0</v>
      </c>
      <c r="AM99" s="5">
        <f t="shared" si="89"/>
        <v>0</v>
      </c>
      <c r="AN99" s="5">
        <f t="shared" si="74"/>
        <v>0</v>
      </c>
      <c r="AO99" s="5">
        <f t="shared" si="90"/>
        <v>0</v>
      </c>
      <c r="AP99" s="1">
        <v>5</v>
      </c>
      <c r="AQ99" s="1">
        <v>3</v>
      </c>
      <c r="AR99" s="5">
        <v>0</v>
      </c>
      <c r="AS99" s="5">
        <v>0</v>
      </c>
      <c r="AT99" s="5">
        <v>0</v>
      </c>
      <c r="AU99" s="5">
        <v>0</v>
      </c>
      <c r="AV99" s="5">
        <f t="shared" si="65"/>
        <v>1</v>
      </c>
      <c r="AW99" s="5">
        <f t="shared" si="66"/>
        <v>0</v>
      </c>
      <c r="AX99" s="5">
        <f t="shared" si="67"/>
        <v>0</v>
      </c>
      <c r="AY99" s="1">
        <f t="shared" si="83"/>
        <v>0</v>
      </c>
      <c r="AZ99" s="1">
        <f t="shared" si="84"/>
        <v>0</v>
      </c>
      <c r="BA99" s="1">
        <f t="shared" si="85"/>
        <v>0</v>
      </c>
      <c r="BB99" s="5">
        <v>0</v>
      </c>
      <c r="BC99" s="5">
        <v>0</v>
      </c>
      <c r="BD99" s="5">
        <v>0</v>
      </c>
      <c r="BE99" s="5">
        <f t="shared" si="86"/>
        <v>1</v>
      </c>
      <c r="BF99" s="5">
        <v>1</v>
      </c>
      <c r="BG99" s="5">
        <f t="shared" si="80"/>
        <v>0</v>
      </c>
      <c r="BH99" s="5">
        <f t="shared" si="80"/>
        <v>0</v>
      </c>
      <c r="BI99" s="5">
        <f t="shared" si="80"/>
        <v>0</v>
      </c>
      <c r="BJ99" s="5">
        <f t="shared" si="80"/>
        <v>1</v>
      </c>
      <c r="BK99" s="5">
        <f t="shared" si="80"/>
        <v>0</v>
      </c>
      <c r="BL99" s="5">
        <f t="shared" si="80"/>
        <v>0</v>
      </c>
      <c r="BM99" s="5">
        <f t="shared" si="80"/>
        <v>0</v>
      </c>
      <c r="BN99" s="5">
        <f t="shared" si="80"/>
        <v>0</v>
      </c>
      <c r="BO99" s="5">
        <f t="shared" si="79"/>
        <v>0</v>
      </c>
      <c r="BP99" s="5">
        <f t="shared" si="79"/>
        <v>0</v>
      </c>
      <c r="BQ99" s="5">
        <f t="shared" si="79"/>
        <v>0</v>
      </c>
      <c r="BR99" s="5">
        <f t="shared" si="79"/>
        <v>0</v>
      </c>
      <c r="BS99" s="5">
        <f t="shared" si="79"/>
        <v>0</v>
      </c>
      <c r="BT99" s="5">
        <f t="shared" si="79"/>
        <v>0</v>
      </c>
      <c r="BU99" s="5">
        <f t="shared" si="79"/>
        <v>0</v>
      </c>
      <c r="BV99" s="5">
        <f t="shared" si="79"/>
        <v>0</v>
      </c>
      <c r="BW99" s="5">
        <f t="shared" si="79"/>
        <v>0</v>
      </c>
      <c r="BX99" s="5">
        <f t="shared" si="79"/>
        <v>0</v>
      </c>
      <c r="BY99" s="5">
        <f t="shared" si="79"/>
        <v>0</v>
      </c>
      <c r="BZ99" s="5">
        <f t="shared" si="79"/>
        <v>0</v>
      </c>
      <c r="CA99" s="5">
        <f t="shared" si="79"/>
        <v>0</v>
      </c>
      <c r="CB99" s="5">
        <f t="shared" si="78"/>
        <v>0</v>
      </c>
      <c r="CC99" s="5">
        <f t="shared" si="78"/>
        <v>0</v>
      </c>
      <c r="CD99" s="5">
        <f t="shared" si="78"/>
        <v>0</v>
      </c>
      <c r="CE99" s="5">
        <f t="shared" si="78"/>
        <v>0</v>
      </c>
    </row>
    <row r="100" spans="1:83" x14ac:dyDescent="0.2">
      <c r="C100" s="1">
        <f>Growth!D105</f>
        <v>1.9230769230769232E-2</v>
      </c>
      <c r="D100" s="5" t="b">
        <f t="shared" si="69"/>
        <v>0</v>
      </c>
      <c r="E100" s="5">
        <v>1993</v>
      </c>
      <c r="F100" s="5">
        <f ca="1">LOOKUP($E100,frequence!$A$2:$A$35,frequence!L$2:L$35)</f>
        <v>191.34520119916542</v>
      </c>
      <c r="G100" s="5">
        <f ca="1">LOOKUP($E100,frequence!$A$2:$A$35,frequence!K$2:K$35)</f>
        <v>28.094581622231551</v>
      </c>
      <c r="H100" s="5">
        <f ca="1">LOOKUP($E100,frequence!$A$2:$A$35,frequence!M$2:M$35)</f>
        <v>780.68842089259488</v>
      </c>
      <c r="I100" s="18">
        <v>1989</v>
      </c>
      <c r="J100" s="7">
        <f>LOOKUP(I100,CPI!A$69:A$103,CPI!O$69:O$103)</f>
        <v>1.7585161290322582</v>
      </c>
      <c r="K100" s="5">
        <v>2030</v>
      </c>
      <c r="L100" s="7">
        <f t="shared" ca="1" si="70"/>
        <v>1</v>
      </c>
      <c r="M100" s="7">
        <f t="shared" si="62"/>
        <v>8.269230769230769E-2</v>
      </c>
      <c r="N100" s="14">
        <f t="shared" si="87"/>
        <v>1.9230769230769232E-2</v>
      </c>
      <c r="O100" s="1">
        <f ca="1">P100*J100*(1+Growth!G$6)^(2010-K100)</f>
        <v>29.045517501864481</v>
      </c>
      <c r="P100" s="1">
        <v>22.3</v>
      </c>
      <c r="Q100" s="2">
        <f t="shared" si="81"/>
        <v>22.3</v>
      </c>
      <c r="R100" s="21">
        <f t="shared" ca="1" si="71"/>
        <v>843.64208695111586</v>
      </c>
      <c r="X100" s="2">
        <f t="shared" ref="X100:X133" si="91">P100</f>
        <v>22.3</v>
      </c>
      <c r="AC100" s="1">
        <f t="shared" si="82"/>
        <v>4.3</v>
      </c>
      <c r="AD100" s="5">
        <v>1</v>
      </c>
      <c r="AE100" s="5">
        <v>0</v>
      </c>
      <c r="AF100" s="5">
        <v>1</v>
      </c>
      <c r="AG100" s="5">
        <v>0</v>
      </c>
      <c r="AH100" s="5">
        <v>1</v>
      </c>
      <c r="AI100" s="3">
        <f t="shared" si="64"/>
        <v>1.3</v>
      </c>
      <c r="AJ100" s="5">
        <f t="shared" si="88"/>
        <v>1</v>
      </c>
      <c r="AK100" s="5">
        <f t="shared" si="72"/>
        <v>0</v>
      </c>
      <c r="AL100" s="5">
        <f t="shared" si="73"/>
        <v>0</v>
      </c>
      <c r="AM100" s="5">
        <f t="shared" si="89"/>
        <v>0</v>
      </c>
      <c r="AN100" s="5">
        <f t="shared" si="74"/>
        <v>0</v>
      </c>
      <c r="AO100" s="5">
        <f t="shared" si="90"/>
        <v>0</v>
      </c>
      <c r="AP100" s="1">
        <v>5</v>
      </c>
      <c r="AQ100" s="1">
        <v>3</v>
      </c>
      <c r="AR100" s="5">
        <v>0</v>
      </c>
      <c r="AS100" s="5">
        <v>0</v>
      </c>
      <c r="AT100" s="5">
        <v>0</v>
      </c>
      <c r="AU100" s="5">
        <v>0</v>
      </c>
      <c r="AV100" s="5">
        <f t="shared" si="65"/>
        <v>1</v>
      </c>
      <c r="AW100" s="5">
        <f t="shared" si="66"/>
        <v>0</v>
      </c>
      <c r="AX100" s="5">
        <f t="shared" si="67"/>
        <v>0</v>
      </c>
      <c r="AY100" s="1">
        <f t="shared" si="83"/>
        <v>0</v>
      </c>
      <c r="AZ100" s="1">
        <f t="shared" si="84"/>
        <v>0</v>
      </c>
      <c r="BA100" s="1">
        <f t="shared" si="85"/>
        <v>0</v>
      </c>
      <c r="BB100" s="5">
        <v>0</v>
      </c>
      <c r="BC100" s="5">
        <v>0</v>
      </c>
      <c r="BD100" s="5">
        <v>0</v>
      </c>
      <c r="BE100" s="5">
        <f t="shared" si="86"/>
        <v>1</v>
      </c>
      <c r="BF100" s="5">
        <v>1</v>
      </c>
      <c r="BG100" s="5">
        <f t="shared" si="80"/>
        <v>0</v>
      </c>
      <c r="BH100" s="5">
        <f t="shared" si="80"/>
        <v>0</v>
      </c>
      <c r="BI100" s="5">
        <f t="shared" si="80"/>
        <v>0</v>
      </c>
      <c r="BJ100" s="5">
        <f t="shared" si="80"/>
        <v>1</v>
      </c>
      <c r="BK100" s="5">
        <f t="shared" si="80"/>
        <v>0</v>
      </c>
      <c r="BL100" s="5">
        <f t="shared" si="80"/>
        <v>0</v>
      </c>
      <c r="BM100" s="5">
        <f t="shared" si="80"/>
        <v>0</v>
      </c>
      <c r="BN100" s="5">
        <f t="shared" ref="BN100:CB115" si="92">IF($E100=BN$2,1,0)</f>
        <v>0</v>
      </c>
      <c r="BO100" s="5">
        <f t="shared" si="92"/>
        <v>0</v>
      </c>
      <c r="BP100" s="5">
        <f t="shared" si="92"/>
        <v>0</v>
      </c>
      <c r="BQ100" s="5">
        <f t="shared" si="92"/>
        <v>0</v>
      </c>
      <c r="BR100" s="5">
        <f t="shared" si="92"/>
        <v>0</v>
      </c>
      <c r="BS100" s="5">
        <f t="shared" si="92"/>
        <v>0</v>
      </c>
      <c r="BT100" s="5">
        <f t="shared" si="92"/>
        <v>0</v>
      </c>
      <c r="BU100" s="5">
        <f t="shared" si="92"/>
        <v>0</v>
      </c>
      <c r="BV100" s="5">
        <f t="shared" si="92"/>
        <v>0</v>
      </c>
      <c r="BW100" s="5">
        <f t="shared" si="92"/>
        <v>0</v>
      </c>
      <c r="BX100" s="5">
        <f t="shared" si="92"/>
        <v>0</v>
      </c>
      <c r="BY100" s="5">
        <f t="shared" si="92"/>
        <v>0</v>
      </c>
      <c r="BZ100" s="5">
        <f t="shared" si="92"/>
        <v>0</v>
      </c>
      <c r="CA100" s="5">
        <f t="shared" si="92"/>
        <v>0</v>
      </c>
      <c r="CB100" s="5">
        <f t="shared" si="78"/>
        <v>0</v>
      </c>
      <c r="CC100" s="5">
        <f t="shared" si="78"/>
        <v>0</v>
      </c>
      <c r="CD100" s="5">
        <f t="shared" si="78"/>
        <v>0</v>
      </c>
      <c r="CE100" s="5">
        <f t="shared" si="78"/>
        <v>0</v>
      </c>
    </row>
    <row r="101" spans="1:83" x14ac:dyDescent="0.2">
      <c r="C101" s="1">
        <f>Growth!D106</f>
        <v>1.9230769230769232E-2</v>
      </c>
      <c r="D101" s="5" t="b">
        <f t="shared" si="69"/>
        <v>0</v>
      </c>
      <c r="E101" s="5">
        <v>1993</v>
      </c>
      <c r="F101" s="5">
        <f ca="1">LOOKUP($E101,frequence!$A$2:$A$35,frequence!L$2:L$35)</f>
        <v>191.34520119916542</v>
      </c>
      <c r="G101" s="5">
        <f ca="1">LOOKUP($E101,frequence!$A$2:$A$35,frequence!K$2:K$35)</f>
        <v>28.094581622231551</v>
      </c>
      <c r="H101" s="5">
        <f ca="1">LOOKUP($E101,frequence!$A$2:$A$35,frequence!M$2:M$35)</f>
        <v>780.68842089259488</v>
      </c>
      <c r="I101" s="18">
        <v>1989</v>
      </c>
      <c r="J101" s="7">
        <f>LOOKUP(I101,CPI!A$69:A$103,CPI!O$69:O$103)</f>
        <v>1.7585161290322582</v>
      </c>
      <c r="K101" s="5">
        <v>2030</v>
      </c>
      <c r="L101" s="7">
        <f t="shared" ca="1" si="70"/>
        <v>1</v>
      </c>
      <c r="M101" s="7">
        <f t="shared" si="62"/>
        <v>8.269230769230769E-2</v>
      </c>
      <c r="N101" s="14">
        <f t="shared" si="87"/>
        <v>1.9230769230769232E-2</v>
      </c>
      <c r="O101" s="1">
        <f ca="1">P101*J101*(1+Growth!G$6)^(2010-K101)</f>
        <v>29.045517501864481</v>
      </c>
      <c r="P101" s="1">
        <v>22.3</v>
      </c>
      <c r="Q101" s="2">
        <f t="shared" si="81"/>
        <v>22.3</v>
      </c>
      <c r="R101" s="21">
        <f t="shared" ca="1" si="71"/>
        <v>843.64208695111586</v>
      </c>
      <c r="X101" s="2">
        <f t="shared" si="91"/>
        <v>22.3</v>
      </c>
      <c r="AC101" s="1">
        <f t="shared" si="82"/>
        <v>4.3</v>
      </c>
      <c r="AD101" s="5">
        <v>1</v>
      </c>
      <c r="AE101" s="5">
        <v>0</v>
      </c>
      <c r="AF101" s="5">
        <v>1</v>
      </c>
      <c r="AG101" s="5">
        <v>0</v>
      </c>
      <c r="AH101" s="5">
        <v>1</v>
      </c>
      <c r="AI101" s="3">
        <f t="shared" si="64"/>
        <v>1.3</v>
      </c>
      <c r="AJ101" s="5">
        <f t="shared" si="88"/>
        <v>1</v>
      </c>
      <c r="AK101" s="5">
        <f t="shared" si="72"/>
        <v>0</v>
      </c>
      <c r="AL101" s="5">
        <f t="shared" si="73"/>
        <v>0</v>
      </c>
      <c r="AM101" s="5">
        <f t="shared" si="89"/>
        <v>0</v>
      </c>
      <c r="AN101" s="5">
        <f t="shared" si="74"/>
        <v>0</v>
      </c>
      <c r="AO101" s="5">
        <f t="shared" si="90"/>
        <v>0</v>
      </c>
      <c r="AP101" s="1">
        <v>5</v>
      </c>
      <c r="AQ101" s="1">
        <v>3</v>
      </c>
      <c r="AR101" s="5">
        <v>0</v>
      </c>
      <c r="AS101" s="5">
        <v>0</v>
      </c>
      <c r="AT101" s="5">
        <v>0</v>
      </c>
      <c r="AU101" s="5">
        <v>0</v>
      </c>
      <c r="AV101" s="5">
        <f t="shared" si="65"/>
        <v>1</v>
      </c>
      <c r="AW101" s="5">
        <f t="shared" si="66"/>
        <v>0</v>
      </c>
      <c r="AX101" s="5">
        <f t="shared" si="67"/>
        <v>0</v>
      </c>
      <c r="AY101" s="1">
        <f t="shared" si="83"/>
        <v>0</v>
      </c>
      <c r="AZ101" s="1">
        <f t="shared" si="84"/>
        <v>0</v>
      </c>
      <c r="BA101" s="1">
        <f t="shared" si="85"/>
        <v>0</v>
      </c>
      <c r="BB101" s="5">
        <v>0</v>
      </c>
      <c r="BC101" s="5">
        <v>0</v>
      </c>
      <c r="BD101" s="5">
        <v>0</v>
      </c>
      <c r="BE101" s="5">
        <f t="shared" si="86"/>
        <v>1</v>
      </c>
      <c r="BF101" s="5">
        <v>1</v>
      </c>
      <c r="BG101" s="5">
        <f t="shared" ref="BG101:BN116" si="93">IF($E101=BG$2,1,0)</f>
        <v>0</v>
      </c>
      <c r="BH101" s="5">
        <f t="shared" si="93"/>
        <v>0</v>
      </c>
      <c r="BI101" s="5">
        <f t="shared" si="93"/>
        <v>0</v>
      </c>
      <c r="BJ101" s="5">
        <f t="shared" si="93"/>
        <v>1</v>
      </c>
      <c r="BK101" s="5">
        <f t="shared" si="93"/>
        <v>0</v>
      </c>
      <c r="BL101" s="5">
        <f t="shared" si="93"/>
        <v>0</v>
      </c>
      <c r="BM101" s="5">
        <f t="shared" si="93"/>
        <v>0</v>
      </c>
      <c r="BN101" s="5">
        <f t="shared" si="92"/>
        <v>0</v>
      </c>
      <c r="BO101" s="5">
        <f t="shared" si="92"/>
        <v>0</v>
      </c>
      <c r="BP101" s="5">
        <f t="shared" si="92"/>
        <v>0</v>
      </c>
      <c r="BQ101" s="5">
        <f t="shared" si="92"/>
        <v>0</v>
      </c>
      <c r="BR101" s="5">
        <f t="shared" si="92"/>
        <v>0</v>
      </c>
      <c r="BS101" s="5">
        <f t="shared" si="92"/>
        <v>0</v>
      </c>
      <c r="BT101" s="5">
        <f t="shared" si="92"/>
        <v>0</v>
      </c>
      <c r="BU101" s="5">
        <f t="shared" si="92"/>
        <v>0</v>
      </c>
      <c r="BV101" s="5">
        <f t="shared" si="92"/>
        <v>0</v>
      </c>
      <c r="BW101" s="5">
        <f t="shared" si="92"/>
        <v>0</v>
      </c>
      <c r="BX101" s="5">
        <f t="shared" si="92"/>
        <v>0</v>
      </c>
      <c r="BY101" s="5">
        <f t="shared" si="92"/>
        <v>0</v>
      </c>
      <c r="BZ101" s="5">
        <f t="shared" si="92"/>
        <v>0</v>
      </c>
      <c r="CA101" s="5">
        <f t="shared" si="92"/>
        <v>0</v>
      </c>
      <c r="CB101" s="5">
        <f t="shared" si="78"/>
        <v>0</v>
      </c>
      <c r="CC101" s="5">
        <f t="shared" si="78"/>
        <v>0</v>
      </c>
      <c r="CD101" s="5">
        <f t="shared" si="78"/>
        <v>0</v>
      </c>
      <c r="CE101" s="5">
        <f t="shared" si="78"/>
        <v>0</v>
      </c>
    </row>
    <row r="102" spans="1:83" x14ac:dyDescent="0.2">
      <c r="C102" s="1">
        <f>Growth!D107</f>
        <v>1.9230769230769232E-2</v>
      </c>
      <c r="D102" s="5" t="b">
        <f t="shared" si="69"/>
        <v>0</v>
      </c>
      <c r="E102" s="5">
        <v>1993</v>
      </c>
      <c r="F102" s="5">
        <f ca="1">LOOKUP($E102,frequence!$A$2:$A$35,frequence!L$2:L$35)</f>
        <v>191.34520119916542</v>
      </c>
      <c r="G102" s="5">
        <f ca="1">LOOKUP($E102,frequence!$A$2:$A$35,frequence!K$2:K$35)</f>
        <v>28.094581622231551</v>
      </c>
      <c r="H102" s="5">
        <f ca="1">LOOKUP($E102,frequence!$A$2:$A$35,frequence!M$2:M$35)</f>
        <v>780.68842089259488</v>
      </c>
      <c r="I102" s="18">
        <v>1989</v>
      </c>
      <c r="J102" s="7">
        <f>LOOKUP(I102,CPI!A$69:A$103,CPI!O$69:O$103)</f>
        <v>1.7585161290322582</v>
      </c>
      <c r="K102" s="5">
        <v>2030</v>
      </c>
      <c r="L102" s="7">
        <f t="shared" ca="1" si="70"/>
        <v>1</v>
      </c>
      <c r="M102" s="7">
        <f t="shared" si="62"/>
        <v>8.269230769230769E-2</v>
      </c>
      <c r="N102" s="14">
        <f t="shared" si="87"/>
        <v>1.9230769230769232E-2</v>
      </c>
      <c r="O102" s="1">
        <f ca="1">P102*J102*(1+Growth!G$6)^(2010-K102)</f>
        <v>29.175766459271944</v>
      </c>
      <c r="P102" s="1">
        <v>22.4</v>
      </c>
      <c r="Q102" s="2">
        <f t="shared" si="81"/>
        <v>22.4</v>
      </c>
      <c r="R102" s="21">
        <f t="shared" ca="1" si="71"/>
        <v>851.22534848597775</v>
      </c>
      <c r="X102" s="2">
        <f t="shared" si="91"/>
        <v>22.4</v>
      </c>
      <c r="AC102" s="1">
        <f t="shared" si="82"/>
        <v>4.3</v>
      </c>
      <c r="AD102" s="5">
        <v>1</v>
      </c>
      <c r="AE102" s="5">
        <v>0</v>
      </c>
      <c r="AF102" s="5">
        <v>1</v>
      </c>
      <c r="AG102" s="5">
        <v>0</v>
      </c>
      <c r="AH102" s="5">
        <v>1</v>
      </c>
      <c r="AI102" s="3">
        <f t="shared" si="64"/>
        <v>1.3</v>
      </c>
      <c r="AJ102" s="5">
        <f t="shared" si="88"/>
        <v>1</v>
      </c>
      <c r="AK102" s="5">
        <f t="shared" si="72"/>
        <v>0</v>
      </c>
      <c r="AL102" s="5">
        <f t="shared" si="73"/>
        <v>0</v>
      </c>
      <c r="AM102" s="5">
        <f t="shared" si="89"/>
        <v>0</v>
      </c>
      <c r="AN102" s="5">
        <f t="shared" si="74"/>
        <v>0</v>
      </c>
      <c r="AO102" s="5">
        <f t="shared" si="90"/>
        <v>0</v>
      </c>
      <c r="AP102" s="1">
        <v>5</v>
      </c>
      <c r="AQ102" s="1">
        <v>3</v>
      </c>
      <c r="AR102" s="5">
        <v>0</v>
      </c>
      <c r="AS102" s="5">
        <v>0</v>
      </c>
      <c r="AT102" s="5">
        <v>0</v>
      </c>
      <c r="AU102" s="5">
        <v>0</v>
      </c>
      <c r="AV102" s="5">
        <f t="shared" si="65"/>
        <v>1</v>
      </c>
      <c r="AW102" s="5">
        <f t="shared" si="66"/>
        <v>0</v>
      </c>
      <c r="AX102" s="5">
        <f t="shared" si="67"/>
        <v>0</v>
      </c>
      <c r="AY102" s="1">
        <f t="shared" si="83"/>
        <v>0</v>
      </c>
      <c r="AZ102" s="1">
        <f t="shared" si="84"/>
        <v>0</v>
      </c>
      <c r="BA102" s="1">
        <f t="shared" si="85"/>
        <v>0</v>
      </c>
      <c r="BB102" s="5">
        <v>0</v>
      </c>
      <c r="BC102" s="5">
        <v>0</v>
      </c>
      <c r="BD102" s="5">
        <v>0</v>
      </c>
      <c r="BE102" s="5">
        <f t="shared" si="86"/>
        <v>1</v>
      </c>
      <c r="BF102" s="5">
        <v>1</v>
      </c>
      <c r="BG102" s="5">
        <f t="shared" si="93"/>
        <v>0</v>
      </c>
      <c r="BH102" s="5">
        <f t="shared" si="93"/>
        <v>0</v>
      </c>
      <c r="BI102" s="5">
        <f t="shared" si="93"/>
        <v>0</v>
      </c>
      <c r="BJ102" s="5">
        <f t="shared" si="93"/>
        <v>1</v>
      </c>
      <c r="BK102" s="5">
        <f t="shared" si="93"/>
        <v>0</v>
      </c>
      <c r="BL102" s="5">
        <f t="shared" si="93"/>
        <v>0</v>
      </c>
      <c r="BM102" s="5">
        <f t="shared" si="93"/>
        <v>0</v>
      </c>
      <c r="BN102" s="5">
        <f t="shared" si="92"/>
        <v>0</v>
      </c>
      <c r="BO102" s="5">
        <f t="shared" si="92"/>
        <v>0</v>
      </c>
      <c r="BP102" s="5">
        <f t="shared" si="92"/>
        <v>0</v>
      </c>
      <c r="BQ102" s="5">
        <f t="shared" si="92"/>
        <v>0</v>
      </c>
      <c r="BR102" s="5">
        <f t="shared" si="92"/>
        <v>0</v>
      </c>
      <c r="BS102" s="5">
        <f t="shared" si="92"/>
        <v>0</v>
      </c>
      <c r="BT102" s="5">
        <f t="shared" si="92"/>
        <v>0</v>
      </c>
      <c r="BU102" s="5">
        <f t="shared" si="92"/>
        <v>0</v>
      </c>
      <c r="BV102" s="5">
        <f t="shared" si="92"/>
        <v>0</v>
      </c>
      <c r="BW102" s="5">
        <f t="shared" si="92"/>
        <v>0</v>
      </c>
      <c r="BX102" s="5">
        <f t="shared" si="92"/>
        <v>0</v>
      </c>
      <c r="BY102" s="5">
        <f t="shared" si="92"/>
        <v>0</v>
      </c>
      <c r="BZ102" s="5">
        <f t="shared" si="92"/>
        <v>0</v>
      </c>
      <c r="CA102" s="5">
        <f t="shared" si="92"/>
        <v>0</v>
      </c>
      <c r="CB102" s="5">
        <f t="shared" si="78"/>
        <v>0</v>
      </c>
      <c r="CC102" s="5">
        <f t="shared" si="78"/>
        <v>0</v>
      </c>
      <c r="CD102" s="5">
        <f t="shared" si="78"/>
        <v>0</v>
      </c>
      <c r="CE102" s="5">
        <f t="shared" si="78"/>
        <v>0</v>
      </c>
    </row>
    <row r="103" spans="1:83" x14ac:dyDescent="0.2">
      <c r="C103" s="1">
        <f>Growth!D108</f>
        <v>1.9230769230769232E-2</v>
      </c>
      <c r="D103" s="5" t="b">
        <f t="shared" si="69"/>
        <v>0</v>
      </c>
      <c r="E103" s="5">
        <v>1993</v>
      </c>
      <c r="F103" s="5">
        <f ca="1">LOOKUP($E103,frequence!$A$2:$A$35,frequence!L$2:L$35)</f>
        <v>191.34520119916542</v>
      </c>
      <c r="G103" s="5">
        <f ca="1">LOOKUP($E103,frequence!$A$2:$A$35,frequence!K$2:K$35)</f>
        <v>28.094581622231551</v>
      </c>
      <c r="H103" s="5">
        <f ca="1">LOOKUP($E103,frequence!$A$2:$A$35,frequence!M$2:M$35)</f>
        <v>780.68842089259488</v>
      </c>
      <c r="I103" s="18">
        <v>1989</v>
      </c>
      <c r="J103" s="7">
        <f>LOOKUP(I103,CPI!A$69:A$103,CPI!O$69:O$103)</f>
        <v>1.7585161290322582</v>
      </c>
      <c r="K103" s="5">
        <v>2030</v>
      </c>
      <c r="L103" s="7">
        <f t="shared" ca="1" si="70"/>
        <v>1</v>
      </c>
      <c r="M103" s="7">
        <f t="shared" si="62"/>
        <v>8.269230769230769E-2</v>
      </c>
      <c r="N103" s="14">
        <f t="shared" si="87"/>
        <v>1.9230769230769232E-2</v>
      </c>
      <c r="O103" s="1">
        <f ca="1">P103*J103*(1+Growth!G$6)^(2010-K103)</f>
        <v>75.023399466699303</v>
      </c>
      <c r="P103" s="1">
        <v>57.6</v>
      </c>
      <c r="Q103" s="2">
        <f t="shared" si="81"/>
        <v>57.6</v>
      </c>
      <c r="R103" s="21">
        <f t="shared" ca="1" si="71"/>
        <v>5628.5104675399371</v>
      </c>
      <c r="X103" s="2">
        <f t="shared" si="91"/>
        <v>57.6</v>
      </c>
      <c r="AC103" s="1">
        <f t="shared" si="82"/>
        <v>4.3</v>
      </c>
      <c r="AD103" s="5">
        <v>1</v>
      </c>
      <c r="AE103" s="5">
        <v>0</v>
      </c>
      <c r="AF103" s="5">
        <v>1</v>
      </c>
      <c r="AG103" s="5">
        <v>0</v>
      </c>
      <c r="AH103" s="5">
        <v>1</v>
      </c>
      <c r="AI103" s="3">
        <f t="shared" si="64"/>
        <v>1.3</v>
      </c>
      <c r="AJ103" s="5">
        <f t="shared" si="88"/>
        <v>1</v>
      </c>
      <c r="AK103" s="5">
        <f t="shared" si="72"/>
        <v>0</v>
      </c>
      <c r="AL103" s="5">
        <f t="shared" si="73"/>
        <v>0</v>
      </c>
      <c r="AM103" s="5">
        <f t="shared" si="89"/>
        <v>0</v>
      </c>
      <c r="AN103" s="5">
        <f t="shared" si="74"/>
        <v>0</v>
      </c>
      <c r="AO103" s="5">
        <f t="shared" si="90"/>
        <v>0</v>
      </c>
      <c r="AP103" s="1">
        <v>5</v>
      </c>
      <c r="AQ103" s="1">
        <v>3</v>
      </c>
      <c r="AR103" s="5">
        <v>0</v>
      </c>
      <c r="AS103" s="5">
        <v>0</v>
      </c>
      <c r="AT103" s="5">
        <v>0</v>
      </c>
      <c r="AU103" s="5">
        <v>0</v>
      </c>
      <c r="AV103" s="5">
        <f t="shared" si="65"/>
        <v>1</v>
      </c>
      <c r="AW103" s="5">
        <f t="shared" si="66"/>
        <v>0</v>
      </c>
      <c r="AX103" s="5">
        <f t="shared" si="67"/>
        <v>0</v>
      </c>
      <c r="AY103" s="1">
        <f t="shared" si="83"/>
        <v>0</v>
      </c>
      <c r="AZ103" s="1">
        <f t="shared" si="84"/>
        <v>0</v>
      </c>
      <c r="BA103" s="1">
        <f t="shared" si="85"/>
        <v>0</v>
      </c>
      <c r="BB103" s="5">
        <v>0</v>
      </c>
      <c r="BC103" s="5">
        <v>0</v>
      </c>
      <c r="BD103" s="5">
        <v>0</v>
      </c>
      <c r="BE103" s="5">
        <f t="shared" si="86"/>
        <v>1</v>
      </c>
      <c r="BF103" s="5">
        <v>1</v>
      </c>
      <c r="BG103" s="5">
        <f t="shared" si="93"/>
        <v>0</v>
      </c>
      <c r="BH103" s="5">
        <f t="shared" si="93"/>
        <v>0</v>
      </c>
      <c r="BI103" s="5">
        <f t="shared" si="93"/>
        <v>0</v>
      </c>
      <c r="BJ103" s="5">
        <f t="shared" si="93"/>
        <v>1</v>
      </c>
      <c r="BK103" s="5">
        <f t="shared" si="93"/>
        <v>0</v>
      </c>
      <c r="BL103" s="5">
        <f t="shared" si="93"/>
        <v>0</v>
      </c>
      <c r="BM103" s="5">
        <f t="shared" si="93"/>
        <v>0</v>
      </c>
      <c r="BN103" s="5">
        <f t="shared" si="92"/>
        <v>0</v>
      </c>
      <c r="BO103" s="5">
        <f t="shared" si="92"/>
        <v>0</v>
      </c>
      <c r="BP103" s="5">
        <f t="shared" si="92"/>
        <v>0</v>
      </c>
      <c r="BQ103" s="5">
        <f t="shared" si="92"/>
        <v>0</v>
      </c>
      <c r="BR103" s="5">
        <f t="shared" si="92"/>
        <v>0</v>
      </c>
      <c r="BS103" s="5">
        <f t="shared" si="92"/>
        <v>0</v>
      </c>
      <c r="BT103" s="5">
        <f t="shared" si="92"/>
        <v>0</v>
      </c>
      <c r="BU103" s="5">
        <f t="shared" si="92"/>
        <v>0</v>
      </c>
      <c r="BV103" s="5">
        <f t="shared" si="92"/>
        <v>0</v>
      </c>
      <c r="BW103" s="5">
        <f t="shared" si="92"/>
        <v>0</v>
      </c>
      <c r="BX103" s="5">
        <f t="shared" si="92"/>
        <v>0</v>
      </c>
      <c r="BY103" s="5">
        <f t="shared" si="92"/>
        <v>0</v>
      </c>
      <c r="BZ103" s="5">
        <f t="shared" si="92"/>
        <v>0</v>
      </c>
      <c r="CA103" s="5">
        <f t="shared" si="92"/>
        <v>0</v>
      </c>
      <c r="CB103" s="5">
        <f t="shared" si="92"/>
        <v>0</v>
      </c>
      <c r="CC103" s="5">
        <f t="shared" ref="CC103:CE122" si="94">IF($E103=CC$2,1,0)</f>
        <v>0</v>
      </c>
      <c r="CD103" s="5">
        <f t="shared" si="94"/>
        <v>0</v>
      </c>
      <c r="CE103" s="5">
        <f t="shared" si="94"/>
        <v>0</v>
      </c>
    </row>
    <row r="104" spans="1:83" x14ac:dyDescent="0.2">
      <c r="C104" s="1">
        <f>Growth!D109</f>
        <v>1.9230769230769232E-2</v>
      </c>
      <c r="D104" s="5" t="b">
        <f t="shared" si="69"/>
        <v>0</v>
      </c>
      <c r="E104" s="5">
        <v>1993</v>
      </c>
      <c r="F104" s="5">
        <f ca="1">LOOKUP($E104,frequence!$A$2:$A$35,frequence!L$2:L$35)</f>
        <v>191.34520119916542</v>
      </c>
      <c r="G104" s="5">
        <f ca="1">LOOKUP($E104,frequence!$A$2:$A$35,frequence!K$2:K$35)</f>
        <v>28.094581622231551</v>
      </c>
      <c r="H104" s="5">
        <f ca="1">LOOKUP($E104,frequence!$A$2:$A$35,frequence!M$2:M$35)</f>
        <v>780.68842089259488</v>
      </c>
      <c r="I104" s="18">
        <v>1989</v>
      </c>
      <c r="J104" s="7">
        <f>LOOKUP(I104,CPI!A$69:A$103,CPI!O$69:O$103)</f>
        <v>1.7585161290322582</v>
      </c>
      <c r="K104" s="5">
        <v>2030</v>
      </c>
      <c r="L104" s="7">
        <f t="shared" ca="1" si="70"/>
        <v>1</v>
      </c>
      <c r="M104" s="7">
        <f t="shared" si="62"/>
        <v>8.269230769230769E-2</v>
      </c>
      <c r="N104" s="14">
        <f t="shared" si="87"/>
        <v>1.9230769230769232E-2</v>
      </c>
      <c r="O104" s="1">
        <f ca="1">P104*J104*(1+Growth!G$6)^(2010-K104)</f>
        <v>51.578587133355768</v>
      </c>
      <c r="P104" s="1">
        <v>39.6</v>
      </c>
      <c r="Q104" s="2">
        <f t="shared" si="81"/>
        <v>39.6</v>
      </c>
      <c r="R104" s="21">
        <f t="shared" ca="1" si="71"/>
        <v>2660.3506506731733</v>
      </c>
      <c r="X104" s="2">
        <f t="shared" si="91"/>
        <v>39.6</v>
      </c>
      <c r="AC104" s="1">
        <f t="shared" si="82"/>
        <v>4.3</v>
      </c>
      <c r="AD104" s="5">
        <v>1</v>
      </c>
      <c r="AE104" s="5">
        <v>0</v>
      </c>
      <c r="AF104" s="5">
        <v>1</v>
      </c>
      <c r="AG104" s="5">
        <v>0</v>
      </c>
      <c r="AH104" s="5">
        <v>1</v>
      </c>
      <c r="AI104" s="3">
        <f t="shared" si="64"/>
        <v>1.3</v>
      </c>
      <c r="AJ104" s="5">
        <f t="shared" si="88"/>
        <v>1</v>
      </c>
      <c r="AK104" s="5">
        <f t="shared" si="72"/>
        <v>0</v>
      </c>
      <c r="AL104" s="5">
        <f t="shared" si="73"/>
        <v>0</v>
      </c>
      <c r="AM104" s="5">
        <f t="shared" si="89"/>
        <v>0</v>
      </c>
      <c r="AN104" s="5">
        <f t="shared" si="74"/>
        <v>0</v>
      </c>
      <c r="AO104" s="5">
        <f t="shared" si="90"/>
        <v>0</v>
      </c>
      <c r="AP104" s="1">
        <v>5</v>
      </c>
      <c r="AQ104" s="1">
        <v>3</v>
      </c>
      <c r="AR104" s="5">
        <v>0</v>
      </c>
      <c r="AS104" s="5">
        <v>0</v>
      </c>
      <c r="AT104" s="5">
        <v>0</v>
      </c>
      <c r="AU104" s="5">
        <v>0</v>
      </c>
      <c r="AV104" s="5">
        <f t="shared" si="65"/>
        <v>1</v>
      </c>
      <c r="AW104" s="5">
        <f t="shared" si="66"/>
        <v>0</v>
      </c>
      <c r="AX104" s="5">
        <f t="shared" si="67"/>
        <v>0</v>
      </c>
      <c r="AY104" s="1">
        <f t="shared" si="83"/>
        <v>0</v>
      </c>
      <c r="AZ104" s="1">
        <f t="shared" si="84"/>
        <v>0</v>
      </c>
      <c r="BA104" s="1">
        <f t="shared" si="85"/>
        <v>0</v>
      </c>
      <c r="BB104" s="5">
        <v>0</v>
      </c>
      <c r="BC104" s="5">
        <v>0</v>
      </c>
      <c r="BD104" s="5">
        <v>0</v>
      </c>
      <c r="BE104" s="5">
        <f t="shared" si="86"/>
        <v>1</v>
      </c>
      <c r="BF104" s="5">
        <v>1</v>
      </c>
      <c r="BG104" s="5">
        <f t="shared" si="93"/>
        <v>0</v>
      </c>
      <c r="BH104" s="5">
        <f t="shared" si="93"/>
        <v>0</v>
      </c>
      <c r="BI104" s="5">
        <f t="shared" si="93"/>
        <v>0</v>
      </c>
      <c r="BJ104" s="5">
        <f t="shared" si="93"/>
        <v>1</v>
      </c>
      <c r="BK104" s="5">
        <f t="shared" si="93"/>
        <v>0</v>
      </c>
      <c r="BL104" s="5">
        <f t="shared" si="93"/>
        <v>0</v>
      </c>
      <c r="BM104" s="5">
        <f t="shared" si="93"/>
        <v>0</v>
      </c>
      <c r="BN104" s="5">
        <f t="shared" si="92"/>
        <v>0</v>
      </c>
      <c r="BO104" s="5">
        <f t="shared" si="92"/>
        <v>0</v>
      </c>
      <c r="BP104" s="5">
        <f t="shared" si="92"/>
        <v>0</v>
      </c>
      <c r="BQ104" s="5">
        <f t="shared" si="92"/>
        <v>0</v>
      </c>
      <c r="BR104" s="5">
        <f t="shared" si="92"/>
        <v>0</v>
      </c>
      <c r="BS104" s="5">
        <f t="shared" si="92"/>
        <v>0</v>
      </c>
      <c r="BT104" s="5">
        <f t="shared" si="92"/>
        <v>0</v>
      </c>
      <c r="BU104" s="5">
        <f t="shared" si="92"/>
        <v>0</v>
      </c>
      <c r="BV104" s="5">
        <f t="shared" si="92"/>
        <v>0</v>
      </c>
      <c r="BW104" s="5">
        <f t="shared" si="92"/>
        <v>0</v>
      </c>
      <c r="BX104" s="5">
        <f t="shared" si="92"/>
        <v>0</v>
      </c>
      <c r="BY104" s="5">
        <f t="shared" si="92"/>
        <v>0</v>
      </c>
      <c r="BZ104" s="5">
        <f t="shared" si="92"/>
        <v>0</v>
      </c>
      <c r="CA104" s="5">
        <f t="shared" si="92"/>
        <v>0</v>
      </c>
      <c r="CB104" s="5">
        <f t="shared" si="92"/>
        <v>0</v>
      </c>
      <c r="CC104" s="5">
        <f t="shared" si="94"/>
        <v>0</v>
      </c>
      <c r="CD104" s="5">
        <f t="shared" si="94"/>
        <v>0</v>
      </c>
      <c r="CE104" s="5">
        <f t="shared" si="94"/>
        <v>0</v>
      </c>
    </row>
    <row r="105" spans="1:83" x14ac:dyDescent="0.2">
      <c r="C105" s="1">
        <f>Growth!D110</f>
        <v>1.9230769230769232E-2</v>
      </c>
      <c r="D105" s="5" t="b">
        <f t="shared" si="69"/>
        <v>0</v>
      </c>
      <c r="E105" s="5">
        <v>1993</v>
      </c>
      <c r="F105" s="5">
        <f ca="1">LOOKUP($E105,frequence!$A$2:$A$35,frequence!L$2:L$35)</f>
        <v>191.34520119916542</v>
      </c>
      <c r="G105" s="5">
        <f ca="1">LOOKUP($E105,frequence!$A$2:$A$35,frequence!K$2:K$35)</f>
        <v>28.094581622231551</v>
      </c>
      <c r="H105" s="5">
        <f ca="1">LOOKUP($E105,frequence!$A$2:$A$35,frequence!M$2:M$35)</f>
        <v>780.68842089259488</v>
      </c>
      <c r="I105" s="18">
        <v>1989</v>
      </c>
      <c r="J105" s="7">
        <f>LOOKUP(I105,CPI!A$69:A$103,CPI!O$69:O$103)</f>
        <v>1.7585161290322582</v>
      </c>
      <c r="K105" s="5">
        <v>2030</v>
      </c>
      <c r="L105" s="7">
        <f t="shared" ca="1" si="70"/>
        <v>1</v>
      </c>
      <c r="M105" s="7">
        <f t="shared" si="62"/>
        <v>8.269230769230769E-2</v>
      </c>
      <c r="N105" s="14">
        <f t="shared" si="87"/>
        <v>1.9230769230769232E-2</v>
      </c>
      <c r="O105" s="1">
        <f ca="1">P105*J105*(1+Growth!G$6)^(2010-K105)</f>
        <v>42.330911157425817</v>
      </c>
      <c r="P105" s="1">
        <v>32.5</v>
      </c>
      <c r="Q105" s="2">
        <f t="shared" si="81"/>
        <v>32.5</v>
      </c>
      <c r="R105" s="21">
        <f t="shared" ca="1" si="71"/>
        <v>1791.9060394178775</v>
      </c>
      <c r="X105" s="2">
        <f t="shared" si="91"/>
        <v>32.5</v>
      </c>
      <c r="AC105" s="1">
        <f t="shared" si="82"/>
        <v>4.3</v>
      </c>
      <c r="AD105" s="5">
        <v>1</v>
      </c>
      <c r="AE105" s="5">
        <v>0</v>
      </c>
      <c r="AF105" s="5">
        <v>1</v>
      </c>
      <c r="AG105" s="5">
        <v>0</v>
      </c>
      <c r="AH105" s="5">
        <v>1</v>
      </c>
      <c r="AI105" s="3">
        <f t="shared" si="64"/>
        <v>1.3</v>
      </c>
      <c r="AJ105" s="5">
        <f t="shared" si="88"/>
        <v>1</v>
      </c>
      <c r="AK105" s="5">
        <f t="shared" si="72"/>
        <v>0</v>
      </c>
      <c r="AL105" s="5">
        <f t="shared" si="73"/>
        <v>0</v>
      </c>
      <c r="AM105" s="5">
        <f t="shared" si="89"/>
        <v>0</v>
      </c>
      <c r="AN105" s="5">
        <f t="shared" si="74"/>
        <v>0</v>
      </c>
      <c r="AO105" s="5">
        <f t="shared" si="90"/>
        <v>0</v>
      </c>
      <c r="AP105" s="1">
        <v>5</v>
      </c>
      <c r="AQ105" s="1">
        <v>3</v>
      </c>
      <c r="AR105" s="5">
        <v>0</v>
      </c>
      <c r="AS105" s="5">
        <v>0</v>
      </c>
      <c r="AT105" s="5">
        <v>0</v>
      </c>
      <c r="AU105" s="5">
        <v>0</v>
      </c>
      <c r="AV105" s="5">
        <f t="shared" si="65"/>
        <v>1</v>
      </c>
      <c r="AW105" s="5">
        <f t="shared" si="66"/>
        <v>0</v>
      </c>
      <c r="AX105" s="5">
        <f t="shared" si="67"/>
        <v>0</v>
      </c>
      <c r="AY105" s="1">
        <f t="shared" si="83"/>
        <v>0</v>
      </c>
      <c r="AZ105" s="1">
        <f t="shared" si="84"/>
        <v>0</v>
      </c>
      <c r="BA105" s="1">
        <f t="shared" si="85"/>
        <v>0</v>
      </c>
      <c r="BB105" s="5">
        <v>0</v>
      </c>
      <c r="BC105" s="5">
        <v>0</v>
      </c>
      <c r="BD105" s="5">
        <v>0</v>
      </c>
      <c r="BE105" s="5">
        <f t="shared" si="86"/>
        <v>1</v>
      </c>
      <c r="BF105" s="5">
        <v>1</v>
      </c>
      <c r="BG105" s="5">
        <f t="shared" si="93"/>
        <v>0</v>
      </c>
      <c r="BH105" s="5">
        <f t="shared" si="93"/>
        <v>0</v>
      </c>
      <c r="BI105" s="5">
        <f t="shared" si="93"/>
        <v>0</v>
      </c>
      <c r="BJ105" s="5">
        <f t="shared" si="93"/>
        <v>1</v>
      </c>
      <c r="BK105" s="5">
        <f t="shared" si="93"/>
        <v>0</v>
      </c>
      <c r="BL105" s="5">
        <f t="shared" si="93"/>
        <v>0</v>
      </c>
      <c r="BM105" s="5">
        <f t="shared" si="93"/>
        <v>0</v>
      </c>
      <c r="BN105" s="5">
        <f t="shared" si="92"/>
        <v>0</v>
      </c>
      <c r="BO105" s="5">
        <f t="shared" si="92"/>
        <v>0</v>
      </c>
      <c r="BP105" s="5">
        <f t="shared" si="92"/>
        <v>0</v>
      </c>
      <c r="BQ105" s="5">
        <f t="shared" si="92"/>
        <v>0</v>
      </c>
      <c r="BR105" s="5">
        <f t="shared" si="92"/>
        <v>0</v>
      </c>
      <c r="BS105" s="5">
        <f t="shared" si="92"/>
        <v>0</v>
      </c>
      <c r="BT105" s="5">
        <f t="shared" si="92"/>
        <v>0</v>
      </c>
      <c r="BU105" s="5">
        <f t="shared" si="92"/>
        <v>0</v>
      </c>
      <c r="BV105" s="5">
        <f t="shared" si="92"/>
        <v>0</v>
      </c>
      <c r="BW105" s="5">
        <f t="shared" si="92"/>
        <v>0</v>
      </c>
      <c r="BX105" s="5">
        <f t="shared" si="92"/>
        <v>0</v>
      </c>
      <c r="BY105" s="5">
        <f t="shared" si="92"/>
        <v>0</v>
      </c>
      <c r="BZ105" s="5">
        <f t="shared" si="92"/>
        <v>0</v>
      </c>
      <c r="CA105" s="5">
        <f t="shared" si="92"/>
        <v>0</v>
      </c>
      <c r="CB105" s="5">
        <f t="shared" si="92"/>
        <v>0</v>
      </c>
      <c r="CC105" s="5">
        <f t="shared" si="94"/>
        <v>0</v>
      </c>
      <c r="CD105" s="5">
        <f t="shared" si="94"/>
        <v>0</v>
      </c>
      <c r="CE105" s="5">
        <f t="shared" si="94"/>
        <v>0</v>
      </c>
    </row>
    <row r="106" spans="1:83" x14ac:dyDescent="0.2">
      <c r="C106" s="1">
        <f>Growth!D111</f>
        <v>1.9230769230769232E-2</v>
      </c>
      <c r="D106" s="5" t="b">
        <f t="shared" si="69"/>
        <v>0</v>
      </c>
      <c r="E106" s="5">
        <v>1993</v>
      </c>
      <c r="F106" s="5">
        <f ca="1">LOOKUP($E106,frequence!$A$2:$A$35,frequence!L$2:L$35)</f>
        <v>191.34520119916542</v>
      </c>
      <c r="G106" s="5">
        <f ca="1">LOOKUP($E106,frequence!$A$2:$A$35,frequence!K$2:K$35)</f>
        <v>28.094581622231551</v>
      </c>
      <c r="H106" s="5">
        <f ca="1">LOOKUP($E106,frequence!$A$2:$A$35,frequence!M$2:M$35)</f>
        <v>780.68842089259488</v>
      </c>
      <c r="I106" s="18">
        <v>1989</v>
      </c>
      <c r="J106" s="7">
        <f>LOOKUP(I106,CPI!A$69:A$103,CPI!O$69:O$103)</f>
        <v>1.7585161290322582</v>
      </c>
      <c r="K106" s="5">
        <v>2030</v>
      </c>
      <c r="L106" s="7">
        <f t="shared" ca="1" si="70"/>
        <v>1</v>
      </c>
      <c r="M106" s="7">
        <f t="shared" si="62"/>
        <v>8.269230769230769E-2</v>
      </c>
      <c r="N106" s="14">
        <f t="shared" si="87"/>
        <v>1.9230769230769232E-2</v>
      </c>
      <c r="O106" s="1">
        <f ca="1">P106*J106*(1+Growth!G$6)^(2010-K106)</f>
        <v>67.599208894473847</v>
      </c>
      <c r="P106" s="1">
        <v>51.9</v>
      </c>
      <c r="Q106" s="2">
        <f t="shared" si="81"/>
        <v>51.9</v>
      </c>
      <c r="R106" s="21">
        <f t="shared" ca="1" si="71"/>
        <v>4569.6530431587116</v>
      </c>
      <c r="X106" s="2">
        <f t="shared" si="91"/>
        <v>51.9</v>
      </c>
      <c r="AC106" s="1">
        <f t="shared" si="82"/>
        <v>4.3</v>
      </c>
      <c r="AD106" s="5">
        <v>1</v>
      </c>
      <c r="AE106" s="5">
        <v>0</v>
      </c>
      <c r="AF106" s="5">
        <v>1</v>
      </c>
      <c r="AG106" s="5">
        <v>0</v>
      </c>
      <c r="AH106" s="5">
        <v>1</v>
      </c>
      <c r="AI106" s="3">
        <f t="shared" si="64"/>
        <v>1.3</v>
      </c>
      <c r="AJ106" s="5">
        <f t="shared" si="88"/>
        <v>1</v>
      </c>
      <c r="AK106" s="5">
        <f t="shared" si="72"/>
        <v>0</v>
      </c>
      <c r="AL106" s="5">
        <f t="shared" si="73"/>
        <v>0</v>
      </c>
      <c r="AM106" s="5">
        <f t="shared" si="89"/>
        <v>0</v>
      </c>
      <c r="AN106" s="5">
        <f t="shared" si="74"/>
        <v>0</v>
      </c>
      <c r="AO106" s="5">
        <f t="shared" si="90"/>
        <v>0</v>
      </c>
      <c r="AP106" s="1">
        <v>5</v>
      </c>
      <c r="AQ106" s="1">
        <v>3</v>
      </c>
      <c r="AR106" s="5">
        <v>0</v>
      </c>
      <c r="AS106" s="5">
        <v>0</v>
      </c>
      <c r="AT106" s="5">
        <v>0</v>
      </c>
      <c r="AU106" s="5">
        <v>0</v>
      </c>
      <c r="AV106" s="5">
        <f t="shared" si="65"/>
        <v>1</v>
      </c>
      <c r="AW106" s="5">
        <f t="shared" si="66"/>
        <v>0</v>
      </c>
      <c r="AX106" s="5">
        <f t="shared" si="67"/>
        <v>0</v>
      </c>
      <c r="AY106" s="1">
        <f t="shared" si="83"/>
        <v>0</v>
      </c>
      <c r="AZ106" s="1">
        <f t="shared" si="84"/>
        <v>0</v>
      </c>
      <c r="BA106" s="1">
        <f t="shared" si="85"/>
        <v>0</v>
      </c>
      <c r="BB106" s="5">
        <v>0</v>
      </c>
      <c r="BC106" s="5">
        <v>0</v>
      </c>
      <c r="BD106" s="5">
        <v>0</v>
      </c>
      <c r="BE106" s="5">
        <f t="shared" si="86"/>
        <v>1</v>
      </c>
      <c r="BF106" s="5">
        <v>1</v>
      </c>
      <c r="BG106" s="5">
        <f t="shared" si="93"/>
        <v>0</v>
      </c>
      <c r="BH106" s="5">
        <f t="shared" si="93"/>
        <v>0</v>
      </c>
      <c r="BI106" s="5">
        <f t="shared" si="93"/>
        <v>0</v>
      </c>
      <c r="BJ106" s="5">
        <f t="shared" si="93"/>
        <v>1</v>
      </c>
      <c r="BK106" s="5">
        <f t="shared" si="93"/>
        <v>0</v>
      </c>
      <c r="BL106" s="5">
        <f t="shared" si="93"/>
        <v>0</v>
      </c>
      <c r="BM106" s="5">
        <f t="shared" si="93"/>
        <v>0</v>
      </c>
      <c r="BN106" s="5">
        <f t="shared" si="92"/>
        <v>0</v>
      </c>
      <c r="BO106" s="5">
        <f t="shared" si="92"/>
        <v>0</v>
      </c>
      <c r="BP106" s="5">
        <f t="shared" si="92"/>
        <v>0</v>
      </c>
      <c r="BQ106" s="5">
        <f t="shared" si="92"/>
        <v>0</v>
      </c>
      <c r="BR106" s="5">
        <f t="shared" si="92"/>
        <v>0</v>
      </c>
      <c r="BS106" s="5">
        <f t="shared" si="92"/>
        <v>0</v>
      </c>
      <c r="BT106" s="5">
        <f t="shared" si="92"/>
        <v>0</v>
      </c>
      <c r="BU106" s="5">
        <f t="shared" si="92"/>
        <v>0</v>
      </c>
      <c r="BV106" s="5">
        <f t="shared" si="92"/>
        <v>0</v>
      </c>
      <c r="BW106" s="5">
        <f t="shared" si="92"/>
        <v>0</v>
      </c>
      <c r="BX106" s="5">
        <f t="shared" si="92"/>
        <v>0</v>
      </c>
      <c r="BY106" s="5">
        <f t="shared" si="92"/>
        <v>0</v>
      </c>
      <c r="BZ106" s="5">
        <f t="shared" si="92"/>
        <v>0</v>
      </c>
      <c r="CA106" s="5">
        <f t="shared" si="92"/>
        <v>0</v>
      </c>
      <c r="CB106" s="5">
        <f t="shared" si="92"/>
        <v>0</v>
      </c>
      <c r="CC106" s="5">
        <f t="shared" si="94"/>
        <v>0</v>
      </c>
      <c r="CD106" s="5">
        <f t="shared" si="94"/>
        <v>0</v>
      </c>
      <c r="CE106" s="5">
        <f t="shared" si="94"/>
        <v>0</v>
      </c>
    </row>
    <row r="107" spans="1:83" x14ac:dyDescent="0.2">
      <c r="C107" s="1">
        <f>Growth!D112</f>
        <v>1.9230769230769232E-2</v>
      </c>
      <c r="D107" s="5" t="b">
        <f t="shared" si="69"/>
        <v>0</v>
      </c>
      <c r="E107" s="5">
        <v>1993</v>
      </c>
      <c r="F107" s="5">
        <f ca="1">LOOKUP($E107,frequence!$A$2:$A$35,frequence!L$2:L$35)</f>
        <v>191.34520119916542</v>
      </c>
      <c r="G107" s="5">
        <f ca="1">LOOKUP($E107,frequence!$A$2:$A$35,frequence!K$2:K$35)</f>
        <v>28.094581622231551</v>
      </c>
      <c r="H107" s="5">
        <f ca="1">LOOKUP($E107,frequence!$A$2:$A$35,frequence!M$2:M$35)</f>
        <v>780.68842089259488</v>
      </c>
      <c r="I107" s="18">
        <v>1989</v>
      </c>
      <c r="J107" s="7">
        <f>LOOKUP(I107,CPI!A$69:A$103,CPI!O$69:O$103)</f>
        <v>1.7585161290322582</v>
      </c>
      <c r="K107" s="5">
        <v>2030</v>
      </c>
      <c r="L107" s="7">
        <f t="shared" ca="1" si="70"/>
        <v>1</v>
      </c>
      <c r="M107" s="7">
        <f t="shared" si="62"/>
        <v>8.269230769230769E-2</v>
      </c>
      <c r="N107" s="14">
        <f t="shared" si="87"/>
        <v>1.9230769230769232E-2</v>
      </c>
      <c r="O107" s="1">
        <f ca="1">P107*J107*(1+Growth!G$6)^(2010-K107)</f>
        <v>32.301741437051085</v>
      </c>
      <c r="P107" s="1">
        <v>24.8</v>
      </c>
      <c r="Q107" s="2">
        <f t="shared" si="81"/>
        <v>24.8</v>
      </c>
      <c r="R107" s="21">
        <f t="shared" ca="1" si="71"/>
        <v>1043.4024998661032</v>
      </c>
      <c r="X107" s="2">
        <f t="shared" si="91"/>
        <v>24.8</v>
      </c>
      <c r="AC107" s="1">
        <f t="shared" si="82"/>
        <v>4.3</v>
      </c>
      <c r="AD107" s="5">
        <v>1</v>
      </c>
      <c r="AE107" s="5">
        <v>0</v>
      </c>
      <c r="AF107" s="5">
        <v>1</v>
      </c>
      <c r="AG107" s="5">
        <v>0</v>
      </c>
      <c r="AH107" s="5">
        <v>1</v>
      </c>
      <c r="AI107" s="3">
        <f t="shared" si="64"/>
        <v>1.3</v>
      </c>
      <c r="AJ107" s="5">
        <f t="shared" si="88"/>
        <v>1</v>
      </c>
      <c r="AK107" s="5">
        <f t="shared" si="72"/>
        <v>0</v>
      </c>
      <c r="AL107" s="5">
        <f t="shared" si="73"/>
        <v>0</v>
      </c>
      <c r="AM107" s="5">
        <f t="shared" si="89"/>
        <v>0</v>
      </c>
      <c r="AN107" s="5">
        <f t="shared" si="74"/>
        <v>0</v>
      </c>
      <c r="AO107" s="5">
        <f t="shared" si="90"/>
        <v>0</v>
      </c>
      <c r="AP107" s="1">
        <v>5</v>
      </c>
      <c r="AQ107" s="1">
        <v>3</v>
      </c>
      <c r="AR107" s="5">
        <v>0</v>
      </c>
      <c r="AS107" s="5">
        <v>0</v>
      </c>
      <c r="AT107" s="5">
        <v>0</v>
      </c>
      <c r="AU107" s="5">
        <v>0</v>
      </c>
      <c r="AV107" s="5">
        <f t="shared" si="65"/>
        <v>1</v>
      </c>
      <c r="AW107" s="5">
        <f t="shared" si="66"/>
        <v>0</v>
      </c>
      <c r="AX107" s="5">
        <f t="shared" si="67"/>
        <v>0</v>
      </c>
      <c r="AY107" s="1">
        <f t="shared" si="83"/>
        <v>0</v>
      </c>
      <c r="AZ107" s="1">
        <f t="shared" si="84"/>
        <v>0</v>
      </c>
      <c r="BA107" s="1">
        <f t="shared" si="85"/>
        <v>0</v>
      </c>
      <c r="BB107" s="5">
        <v>0</v>
      </c>
      <c r="BC107" s="5">
        <v>0</v>
      </c>
      <c r="BD107" s="5">
        <v>0</v>
      </c>
      <c r="BE107" s="5">
        <f t="shared" si="86"/>
        <v>1</v>
      </c>
      <c r="BF107" s="5">
        <v>1</v>
      </c>
      <c r="BG107" s="5">
        <f t="shared" si="93"/>
        <v>0</v>
      </c>
      <c r="BH107" s="5">
        <f t="shared" si="93"/>
        <v>0</v>
      </c>
      <c r="BI107" s="5">
        <f t="shared" si="93"/>
        <v>0</v>
      </c>
      <c r="BJ107" s="5">
        <f t="shared" si="93"/>
        <v>1</v>
      </c>
      <c r="BK107" s="5">
        <f t="shared" si="93"/>
        <v>0</v>
      </c>
      <c r="BL107" s="5">
        <f t="shared" si="93"/>
        <v>0</v>
      </c>
      <c r="BM107" s="5">
        <f t="shared" si="93"/>
        <v>0</v>
      </c>
      <c r="BN107" s="5">
        <f t="shared" si="92"/>
        <v>0</v>
      </c>
      <c r="BO107" s="5">
        <f t="shared" si="92"/>
        <v>0</v>
      </c>
      <c r="BP107" s="5">
        <f t="shared" si="92"/>
        <v>0</v>
      </c>
      <c r="BQ107" s="5">
        <f t="shared" si="92"/>
        <v>0</v>
      </c>
      <c r="BR107" s="5">
        <f t="shared" si="92"/>
        <v>0</v>
      </c>
      <c r="BS107" s="5">
        <f t="shared" si="92"/>
        <v>0</v>
      </c>
      <c r="BT107" s="5">
        <f t="shared" si="92"/>
        <v>0</v>
      </c>
      <c r="BU107" s="5">
        <f t="shared" si="92"/>
        <v>0</v>
      </c>
      <c r="BV107" s="5">
        <f t="shared" si="92"/>
        <v>0</v>
      </c>
      <c r="BW107" s="5">
        <f t="shared" si="92"/>
        <v>0</v>
      </c>
      <c r="BX107" s="5">
        <f t="shared" si="92"/>
        <v>0</v>
      </c>
      <c r="BY107" s="5">
        <f t="shared" si="92"/>
        <v>0</v>
      </c>
      <c r="BZ107" s="5">
        <f t="shared" si="92"/>
        <v>0</v>
      </c>
      <c r="CA107" s="5">
        <f t="shared" si="92"/>
        <v>0</v>
      </c>
      <c r="CB107" s="5">
        <f t="shared" si="92"/>
        <v>0</v>
      </c>
      <c r="CC107" s="5">
        <f t="shared" si="94"/>
        <v>0</v>
      </c>
      <c r="CD107" s="5">
        <f t="shared" si="94"/>
        <v>0</v>
      </c>
      <c r="CE107" s="5">
        <f t="shared" si="94"/>
        <v>0</v>
      </c>
    </row>
    <row r="108" spans="1:83" x14ac:dyDescent="0.2">
      <c r="C108" s="1">
        <f>Growth!D113</f>
        <v>1.9230769230769232E-2</v>
      </c>
      <c r="D108" s="5" t="b">
        <f t="shared" si="69"/>
        <v>0</v>
      </c>
      <c r="E108" s="5">
        <v>1993</v>
      </c>
      <c r="F108" s="5">
        <f ca="1">LOOKUP($E108,frequence!$A$2:$A$35,frequence!L$2:L$35)</f>
        <v>191.34520119916542</v>
      </c>
      <c r="G108" s="5">
        <f ca="1">LOOKUP($E108,frequence!$A$2:$A$35,frequence!K$2:K$35)</f>
        <v>28.094581622231551</v>
      </c>
      <c r="H108" s="5">
        <f ca="1">LOOKUP($E108,frequence!$A$2:$A$35,frequence!M$2:M$35)</f>
        <v>780.68842089259488</v>
      </c>
      <c r="I108" s="18">
        <v>1989</v>
      </c>
      <c r="J108" s="7">
        <f>LOOKUP(I108,CPI!A$69:A$103,CPI!O$69:O$103)</f>
        <v>1.7585161290322582</v>
      </c>
      <c r="K108" s="5">
        <v>2030</v>
      </c>
      <c r="L108" s="7">
        <f t="shared" ca="1" si="70"/>
        <v>1</v>
      </c>
      <c r="M108" s="7">
        <f t="shared" si="62"/>
        <v>8.269230769230769E-2</v>
      </c>
      <c r="N108" s="14">
        <f t="shared" si="87"/>
        <v>1.9230769230769232E-2</v>
      </c>
      <c r="O108" s="1">
        <f ca="1">P108*J108*(1+Growth!G$6)^(2010-K108)</f>
        <v>32.692488309273479</v>
      </c>
      <c r="P108" s="1">
        <v>25.1</v>
      </c>
      <c r="Q108" s="2">
        <f t="shared" si="81"/>
        <v>25.1</v>
      </c>
      <c r="R108" s="21">
        <f t="shared" ca="1" si="71"/>
        <v>1068.7987918519832</v>
      </c>
      <c r="X108" s="2">
        <f t="shared" si="91"/>
        <v>25.1</v>
      </c>
      <c r="AC108" s="1">
        <f t="shared" si="82"/>
        <v>4.3</v>
      </c>
      <c r="AD108" s="5">
        <v>1</v>
      </c>
      <c r="AE108" s="5">
        <v>0</v>
      </c>
      <c r="AF108" s="5">
        <v>1</v>
      </c>
      <c r="AG108" s="5">
        <v>0</v>
      </c>
      <c r="AH108" s="5">
        <v>1</v>
      </c>
      <c r="AI108" s="3">
        <f t="shared" si="64"/>
        <v>1.3</v>
      </c>
      <c r="AJ108" s="5">
        <f t="shared" si="88"/>
        <v>1</v>
      </c>
      <c r="AK108" s="5">
        <f t="shared" si="72"/>
        <v>0</v>
      </c>
      <c r="AL108" s="5">
        <f t="shared" si="73"/>
        <v>0</v>
      </c>
      <c r="AM108" s="5">
        <f t="shared" si="89"/>
        <v>0</v>
      </c>
      <c r="AN108" s="5">
        <f t="shared" si="74"/>
        <v>0</v>
      </c>
      <c r="AO108" s="5">
        <f t="shared" si="90"/>
        <v>0</v>
      </c>
      <c r="AP108" s="1">
        <v>5</v>
      </c>
      <c r="AQ108" s="1">
        <v>3</v>
      </c>
      <c r="AR108" s="5">
        <v>0</v>
      </c>
      <c r="AS108" s="5">
        <v>0</v>
      </c>
      <c r="AT108" s="5">
        <v>0</v>
      </c>
      <c r="AU108" s="5">
        <v>0</v>
      </c>
      <c r="AV108" s="5">
        <f t="shared" si="65"/>
        <v>1</v>
      </c>
      <c r="AW108" s="5">
        <f t="shared" si="66"/>
        <v>0</v>
      </c>
      <c r="AX108" s="5">
        <f t="shared" si="67"/>
        <v>0</v>
      </c>
      <c r="AY108" s="1">
        <f t="shared" si="83"/>
        <v>0</v>
      </c>
      <c r="AZ108" s="1">
        <f t="shared" si="84"/>
        <v>0</v>
      </c>
      <c r="BA108" s="1">
        <f t="shared" si="85"/>
        <v>0</v>
      </c>
      <c r="BB108" s="5">
        <v>0</v>
      </c>
      <c r="BC108" s="5">
        <v>0</v>
      </c>
      <c r="BD108" s="5">
        <v>0</v>
      </c>
      <c r="BE108" s="5">
        <f t="shared" si="86"/>
        <v>1</v>
      </c>
      <c r="BF108" s="5">
        <v>1</v>
      </c>
      <c r="BG108" s="5">
        <f t="shared" si="93"/>
        <v>0</v>
      </c>
      <c r="BH108" s="5">
        <f t="shared" si="93"/>
        <v>0</v>
      </c>
      <c r="BI108" s="5">
        <f t="shared" si="93"/>
        <v>0</v>
      </c>
      <c r="BJ108" s="5">
        <f t="shared" si="93"/>
        <v>1</v>
      </c>
      <c r="BK108" s="5">
        <f t="shared" si="93"/>
        <v>0</v>
      </c>
      <c r="BL108" s="5">
        <f t="shared" si="93"/>
        <v>0</v>
      </c>
      <c r="BM108" s="5">
        <f t="shared" si="93"/>
        <v>0</v>
      </c>
      <c r="BN108" s="5">
        <f t="shared" si="92"/>
        <v>0</v>
      </c>
      <c r="BO108" s="5">
        <f t="shared" si="92"/>
        <v>0</v>
      </c>
      <c r="BP108" s="5">
        <f t="shared" si="92"/>
        <v>0</v>
      </c>
      <c r="BQ108" s="5">
        <f t="shared" si="92"/>
        <v>0</v>
      </c>
      <c r="BR108" s="5">
        <f t="shared" si="92"/>
        <v>0</v>
      </c>
      <c r="BS108" s="5">
        <f t="shared" si="92"/>
        <v>0</v>
      </c>
      <c r="BT108" s="5">
        <f t="shared" si="92"/>
        <v>0</v>
      </c>
      <c r="BU108" s="5">
        <f t="shared" si="92"/>
        <v>0</v>
      </c>
      <c r="BV108" s="5">
        <f t="shared" si="92"/>
        <v>0</v>
      </c>
      <c r="BW108" s="5">
        <f t="shared" si="92"/>
        <v>0</v>
      </c>
      <c r="BX108" s="5">
        <f t="shared" si="92"/>
        <v>0</v>
      </c>
      <c r="BY108" s="5">
        <f t="shared" si="92"/>
        <v>0</v>
      </c>
      <c r="BZ108" s="5">
        <f t="shared" si="92"/>
        <v>0</v>
      </c>
      <c r="CA108" s="5">
        <f t="shared" si="92"/>
        <v>0</v>
      </c>
      <c r="CB108" s="5">
        <f t="shared" si="92"/>
        <v>0</v>
      </c>
      <c r="CC108" s="5">
        <f t="shared" si="94"/>
        <v>0</v>
      </c>
      <c r="CD108" s="5">
        <f t="shared" si="94"/>
        <v>0</v>
      </c>
      <c r="CE108" s="5">
        <f t="shared" si="94"/>
        <v>0</v>
      </c>
    </row>
    <row r="109" spans="1:83" x14ac:dyDescent="0.2">
      <c r="C109" s="1">
        <f>Growth!D114</f>
        <v>1.9230769230769232E-2</v>
      </c>
      <c r="D109" s="5" t="b">
        <f t="shared" si="69"/>
        <v>0</v>
      </c>
      <c r="E109" s="5">
        <v>1993</v>
      </c>
      <c r="F109" s="5">
        <f ca="1">LOOKUP($E109,frequence!$A$2:$A$35,frequence!L$2:L$35)</f>
        <v>191.34520119916542</v>
      </c>
      <c r="G109" s="5">
        <f ca="1">LOOKUP($E109,frequence!$A$2:$A$35,frequence!K$2:K$35)</f>
        <v>28.094581622231551</v>
      </c>
      <c r="H109" s="5">
        <f ca="1">LOOKUP($E109,frequence!$A$2:$A$35,frequence!M$2:M$35)</f>
        <v>780.68842089259488</v>
      </c>
      <c r="I109" s="18">
        <v>1989</v>
      </c>
      <c r="J109" s="7">
        <f>LOOKUP(I109,CPI!A$69:A$103,CPI!O$69:O$103)</f>
        <v>1.7585161290322582</v>
      </c>
      <c r="K109" s="5">
        <v>2030</v>
      </c>
      <c r="L109" s="7">
        <f t="shared" ca="1" si="70"/>
        <v>1</v>
      </c>
      <c r="M109" s="7">
        <f t="shared" si="62"/>
        <v>8.269230769230769E-2</v>
      </c>
      <c r="N109" s="14">
        <f t="shared" si="87"/>
        <v>1.9230769230769232E-2</v>
      </c>
      <c r="O109" s="1">
        <f ca="1">P109*J109*(1+Growth!G$6)^(2010-K109)</f>
        <v>36.860454946312331</v>
      </c>
      <c r="P109" s="1">
        <v>28.3</v>
      </c>
      <c r="Q109" s="2">
        <f t="shared" si="81"/>
        <v>28.3</v>
      </c>
      <c r="R109" s="21">
        <f t="shared" ca="1" si="71"/>
        <v>1358.6931388491212</v>
      </c>
      <c r="X109" s="2">
        <f t="shared" si="91"/>
        <v>28.3</v>
      </c>
      <c r="AC109" s="1">
        <f t="shared" si="82"/>
        <v>4.3</v>
      </c>
      <c r="AD109" s="5">
        <v>1</v>
      </c>
      <c r="AE109" s="5">
        <v>0</v>
      </c>
      <c r="AF109" s="5">
        <v>1</v>
      </c>
      <c r="AG109" s="5">
        <v>0</v>
      </c>
      <c r="AH109" s="5">
        <v>1</v>
      </c>
      <c r="AI109" s="3">
        <f t="shared" si="64"/>
        <v>1.3</v>
      </c>
      <c r="AJ109" s="5">
        <f t="shared" si="88"/>
        <v>1</v>
      </c>
      <c r="AK109" s="5">
        <f t="shared" si="72"/>
        <v>0</v>
      </c>
      <c r="AL109" s="5">
        <f t="shared" si="73"/>
        <v>0</v>
      </c>
      <c r="AM109" s="5">
        <f t="shared" si="89"/>
        <v>0</v>
      </c>
      <c r="AN109" s="5">
        <f t="shared" si="74"/>
        <v>0</v>
      </c>
      <c r="AO109" s="5">
        <f t="shared" si="90"/>
        <v>0</v>
      </c>
      <c r="AP109" s="1">
        <v>5</v>
      </c>
      <c r="AQ109" s="1">
        <v>3</v>
      </c>
      <c r="AR109" s="5">
        <v>0</v>
      </c>
      <c r="AS109" s="5">
        <v>0</v>
      </c>
      <c r="AT109" s="5">
        <v>0</v>
      </c>
      <c r="AU109" s="5">
        <v>0</v>
      </c>
      <c r="AV109" s="5">
        <f t="shared" si="65"/>
        <v>1</v>
      </c>
      <c r="AW109" s="5">
        <f t="shared" si="66"/>
        <v>0</v>
      </c>
      <c r="AX109" s="5">
        <f t="shared" si="67"/>
        <v>0</v>
      </c>
      <c r="AY109" s="1">
        <f t="shared" si="83"/>
        <v>0</v>
      </c>
      <c r="AZ109" s="1">
        <f t="shared" si="84"/>
        <v>0</v>
      </c>
      <c r="BA109" s="1">
        <f t="shared" si="85"/>
        <v>0</v>
      </c>
      <c r="BB109" s="5">
        <v>0</v>
      </c>
      <c r="BC109" s="5">
        <v>0</v>
      </c>
      <c r="BD109" s="5">
        <v>0</v>
      </c>
      <c r="BE109" s="5">
        <f t="shared" si="86"/>
        <v>1</v>
      </c>
      <c r="BF109" s="5">
        <v>1</v>
      </c>
      <c r="BG109" s="5">
        <f t="shared" si="93"/>
        <v>0</v>
      </c>
      <c r="BH109" s="5">
        <f t="shared" si="93"/>
        <v>0</v>
      </c>
      <c r="BI109" s="5">
        <f t="shared" si="93"/>
        <v>0</v>
      </c>
      <c r="BJ109" s="5">
        <f t="shared" si="93"/>
        <v>1</v>
      </c>
      <c r="BK109" s="5">
        <f t="shared" si="93"/>
        <v>0</v>
      </c>
      <c r="BL109" s="5">
        <f t="shared" si="93"/>
        <v>0</v>
      </c>
      <c r="BM109" s="5">
        <f t="shared" si="93"/>
        <v>0</v>
      </c>
      <c r="BN109" s="5">
        <f t="shared" si="92"/>
        <v>0</v>
      </c>
      <c r="BO109" s="5">
        <f t="shared" si="92"/>
        <v>0</v>
      </c>
      <c r="BP109" s="5">
        <f t="shared" si="92"/>
        <v>0</v>
      </c>
      <c r="BQ109" s="5">
        <f t="shared" si="92"/>
        <v>0</v>
      </c>
      <c r="BR109" s="5">
        <f t="shared" si="92"/>
        <v>0</v>
      </c>
      <c r="BS109" s="5">
        <f t="shared" si="92"/>
        <v>0</v>
      </c>
      <c r="BT109" s="5">
        <f t="shared" si="92"/>
        <v>0</v>
      </c>
      <c r="BU109" s="5">
        <f t="shared" si="92"/>
        <v>0</v>
      </c>
      <c r="BV109" s="5">
        <f t="shared" si="92"/>
        <v>0</v>
      </c>
      <c r="BW109" s="5">
        <f t="shared" si="92"/>
        <v>0</v>
      </c>
      <c r="BX109" s="5">
        <f t="shared" si="92"/>
        <v>0</v>
      </c>
      <c r="BY109" s="5">
        <f t="shared" si="92"/>
        <v>0</v>
      </c>
      <c r="BZ109" s="5">
        <f t="shared" si="92"/>
        <v>0</v>
      </c>
      <c r="CA109" s="5">
        <f t="shared" si="92"/>
        <v>0</v>
      </c>
      <c r="CB109" s="5">
        <f t="shared" si="92"/>
        <v>0</v>
      </c>
      <c r="CC109" s="5">
        <f t="shared" si="94"/>
        <v>0</v>
      </c>
      <c r="CD109" s="5">
        <f t="shared" si="94"/>
        <v>0</v>
      </c>
      <c r="CE109" s="5">
        <f t="shared" si="94"/>
        <v>0</v>
      </c>
    </row>
    <row r="110" spans="1:83" x14ac:dyDescent="0.2">
      <c r="C110" s="1">
        <f>Growth!D115</f>
        <v>1.9230769230769232E-2</v>
      </c>
      <c r="D110" s="5" t="b">
        <f t="shared" si="69"/>
        <v>0</v>
      </c>
      <c r="E110" s="5">
        <v>1993</v>
      </c>
      <c r="F110" s="5">
        <f ca="1">LOOKUP($E110,frequence!$A$2:$A$35,frequence!L$2:L$35)</f>
        <v>191.34520119916542</v>
      </c>
      <c r="G110" s="5">
        <f ca="1">LOOKUP($E110,frequence!$A$2:$A$35,frequence!K$2:K$35)</f>
        <v>28.094581622231551</v>
      </c>
      <c r="H110" s="5">
        <f ca="1">LOOKUP($E110,frequence!$A$2:$A$35,frequence!M$2:M$35)</f>
        <v>780.68842089259488</v>
      </c>
      <c r="I110" s="18">
        <v>1989</v>
      </c>
      <c r="J110" s="7">
        <f>LOOKUP(I110,CPI!A$69:A$103,CPI!O$69:O$103)</f>
        <v>1.7585161290322582</v>
      </c>
      <c r="K110" s="5">
        <v>2030</v>
      </c>
      <c r="L110" s="7">
        <f t="shared" ca="1" si="70"/>
        <v>1</v>
      </c>
      <c r="M110" s="7">
        <f t="shared" si="62"/>
        <v>8.269230769230769E-2</v>
      </c>
      <c r="N110" s="14">
        <f t="shared" si="87"/>
        <v>1.9230769230769232E-2</v>
      </c>
      <c r="O110" s="1">
        <f ca="1">P110*J110*(1+Growth!G$6)^(2010-K110)</f>
        <v>16.411368633340469</v>
      </c>
      <c r="P110" s="1">
        <v>12.6</v>
      </c>
      <c r="Q110" s="2">
        <f t="shared" si="81"/>
        <v>12.6</v>
      </c>
      <c r="R110" s="21">
        <f t="shared" ca="1" si="71"/>
        <v>269.3330204193914</v>
      </c>
      <c r="X110" s="2">
        <f t="shared" si="91"/>
        <v>12.6</v>
      </c>
      <c r="AC110" s="1">
        <f t="shared" si="82"/>
        <v>4.3</v>
      </c>
      <c r="AD110" s="5">
        <v>1</v>
      </c>
      <c r="AE110" s="5">
        <v>0</v>
      </c>
      <c r="AF110" s="5">
        <v>1</v>
      </c>
      <c r="AG110" s="5">
        <v>0</v>
      </c>
      <c r="AH110" s="5">
        <v>1</v>
      </c>
      <c r="AI110" s="3">
        <f t="shared" si="64"/>
        <v>1.3</v>
      </c>
      <c r="AJ110" s="5">
        <f t="shared" si="88"/>
        <v>0</v>
      </c>
      <c r="AK110" s="5">
        <f t="shared" si="72"/>
        <v>0</v>
      </c>
      <c r="AL110" s="5">
        <f t="shared" si="73"/>
        <v>0</v>
      </c>
      <c r="AM110" s="5">
        <f t="shared" si="89"/>
        <v>0</v>
      </c>
      <c r="AN110" s="5">
        <f t="shared" si="74"/>
        <v>0</v>
      </c>
      <c r="AO110" s="5">
        <f t="shared" si="90"/>
        <v>0</v>
      </c>
      <c r="AP110" s="11" t="s">
        <v>42</v>
      </c>
      <c r="AQ110" s="11" t="s">
        <v>42</v>
      </c>
      <c r="AR110" s="5">
        <v>0</v>
      </c>
      <c r="AS110" s="5">
        <v>0</v>
      </c>
      <c r="AT110" s="5">
        <v>0</v>
      </c>
      <c r="AU110" s="5">
        <v>0</v>
      </c>
      <c r="AV110" s="5">
        <f t="shared" si="65"/>
        <v>1</v>
      </c>
      <c r="AW110" s="5">
        <f t="shared" si="66"/>
        <v>0</v>
      </c>
      <c r="AX110" s="5">
        <f t="shared" si="67"/>
        <v>0</v>
      </c>
      <c r="AY110" s="1">
        <f t="shared" si="83"/>
        <v>0</v>
      </c>
      <c r="AZ110" s="1">
        <f t="shared" si="84"/>
        <v>0</v>
      </c>
      <c r="BA110" s="1">
        <f t="shared" si="85"/>
        <v>0</v>
      </c>
      <c r="BB110" s="5">
        <v>0</v>
      </c>
      <c r="BC110" s="5">
        <v>0</v>
      </c>
      <c r="BD110" s="5">
        <v>0</v>
      </c>
      <c r="BE110" s="5">
        <f t="shared" si="86"/>
        <v>1</v>
      </c>
      <c r="BF110" s="5">
        <v>1</v>
      </c>
      <c r="BG110" s="5">
        <f t="shared" si="93"/>
        <v>0</v>
      </c>
      <c r="BH110" s="5">
        <f t="shared" si="93"/>
        <v>0</v>
      </c>
      <c r="BI110" s="5">
        <f t="shared" si="93"/>
        <v>0</v>
      </c>
      <c r="BJ110" s="5">
        <f t="shared" si="93"/>
        <v>1</v>
      </c>
      <c r="BK110" s="5">
        <f t="shared" si="93"/>
        <v>0</v>
      </c>
      <c r="BL110" s="5">
        <f t="shared" si="93"/>
        <v>0</v>
      </c>
      <c r="BM110" s="5">
        <f t="shared" si="93"/>
        <v>0</v>
      </c>
      <c r="BN110" s="5">
        <f t="shared" si="92"/>
        <v>0</v>
      </c>
      <c r="BO110" s="5">
        <f t="shared" si="92"/>
        <v>0</v>
      </c>
      <c r="BP110" s="5">
        <f t="shared" si="92"/>
        <v>0</v>
      </c>
      <c r="BQ110" s="5">
        <f t="shared" si="92"/>
        <v>0</v>
      </c>
      <c r="BR110" s="5">
        <f t="shared" si="92"/>
        <v>0</v>
      </c>
      <c r="BS110" s="5">
        <f t="shared" si="92"/>
        <v>0</v>
      </c>
      <c r="BT110" s="5">
        <f t="shared" si="92"/>
        <v>0</v>
      </c>
      <c r="BU110" s="5">
        <f t="shared" si="92"/>
        <v>0</v>
      </c>
      <c r="BV110" s="5">
        <f t="shared" si="92"/>
        <v>0</v>
      </c>
      <c r="BW110" s="5">
        <f t="shared" si="92"/>
        <v>0</v>
      </c>
      <c r="BX110" s="5">
        <f t="shared" si="92"/>
        <v>0</v>
      </c>
      <c r="BY110" s="5">
        <f t="shared" si="92"/>
        <v>0</v>
      </c>
      <c r="BZ110" s="5">
        <f t="shared" si="92"/>
        <v>0</v>
      </c>
      <c r="CA110" s="5">
        <f t="shared" si="92"/>
        <v>0</v>
      </c>
      <c r="CB110" s="5">
        <f t="shared" si="92"/>
        <v>0</v>
      </c>
      <c r="CC110" s="5">
        <f t="shared" si="94"/>
        <v>0</v>
      </c>
      <c r="CD110" s="5">
        <f t="shared" si="94"/>
        <v>0</v>
      </c>
      <c r="CE110" s="5">
        <f t="shared" si="94"/>
        <v>0</v>
      </c>
    </row>
    <row r="111" spans="1:83" x14ac:dyDescent="0.2">
      <c r="C111" s="1">
        <f>Growth!D116</f>
        <v>1.9230769230769232E-2</v>
      </c>
      <c r="D111" s="5" t="b">
        <f t="shared" si="69"/>
        <v>0</v>
      </c>
      <c r="E111" s="5">
        <v>1993</v>
      </c>
      <c r="F111" s="5">
        <f ca="1">LOOKUP($E111,frequence!$A$2:$A$35,frequence!L$2:L$35)</f>
        <v>191.34520119916542</v>
      </c>
      <c r="G111" s="5">
        <f ca="1">LOOKUP($E111,frequence!$A$2:$A$35,frequence!K$2:K$35)</f>
        <v>28.094581622231551</v>
      </c>
      <c r="H111" s="5">
        <f ca="1">LOOKUP($E111,frequence!$A$2:$A$35,frequence!M$2:M$35)</f>
        <v>780.68842089259488</v>
      </c>
      <c r="I111" s="18">
        <v>1989</v>
      </c>
      <c r="J111" s="7">
        <f>LOOKUP(I111,CPI!A$69:A$103,CPI!O$69:O$103)</f>
        <v>1.7585161290322582</v>
      </c>
      <c r="K111" s="5">
        <v>2030</v>
      </c>
      <c r="L111" s="7">
        <f t="shared" ca="1" si="70"/>
        <v>1</v>
      </c>
      <c r="M111" s="7">
        <f t="shared" si="62"/>
        <v>8.269230769230769E-2</v>
      </c>
      <c r="N111" s="14">
        <f t="shared" si="87"/>
        <v>1.9230769230769232E-2</v>
      </c>
      <c r="O111" s="1">
        <f ca="1">P111*J111*(1+Growth!G$6)^(2010-K111)</f>
        <v>58.481781875951356</v>
      </c>
      <c r="P111" s="1">
        <v>44.9</v>
      </c>
      <c r="Q111" s="2">
        <f t="shared" si="81"/>
        <v>44.9</v>
      </c>
      <c r="R111" s="21">
        <f t="shared" ca="1" si="71"/>
        <v>3420.1188113863523</v>
      </c>
      <c r="X111" s="2">
        <f t="shared" si="91"/>
        <v>44.9</v>
      </c>
      <c r="AC111" s="1">
        <f t="shared" si="82"/>
        <v>4.3</v>
      </c>
      <c r="AD111" s="5">
        <v>1</v>
      </c>
      <c r="AE111" s="5">
        <v>0</v>
      </c>
      <c r="AF111" s="5">
        <v>1</v>
      </c>
      <c r="AG111" s="5">
        <v>0</v>
      </c>
      <c r="AH111" s="5">
        <v>1</v>
      </c>
      <c r="AI111" s="3">
        <f t="shared" si="64"/>
        <v>1.3</v>
      </c>
      <c r="AJ111" s="5">
        <f t="shared" si="88"/>
        <v>0</v>
      </c>
      <c r="AK111" s="5">
        <f t="shared" si="72"/>
        <v>0</v>
      </c>
      <c r="AL111" s="5">
        <f t="shared" si="73"/>
        <v>0</v>
      </c>
      <c r="AM111" s="5">
        <f t="shared" si="89"/>
        <v>0</v>
      </c>
      <c r="AN111" s="5">
        <f t="shared" si="74"/>
        <v>0</v>
      </c>
      <c r="AO111" s="5">
        <f t="shared" si="90"/>
        <v>0</v>
      </c>
      <c r="AP111" s="11" t="s">
        <v>42</v>
      </c>
      <c r="AQ111" s="11" t="s">
        <v>42</v>
      </c>
      <c r="AR111" s="5">
        <v>0</v>
      </c>
      <c r="AS111" s="5">
        <v>0</v>
      </c>
      <c r="AT111" s="5">
        <v>0</v>
      </c>
      <c r="AU111" s="5">
        <v>0</v>
      </c>
      <c r="AV111" s="5">
        <f t="shared" si="65"/>
        <v>1</v>
      </c>
      <c r="AW111" s="5">
        <f t="shared" si="66"/>
        <v>0</v>
      </c>
      <c r="AX111" s="5">
        <f t="shared" si="67"/>
        <v>0</v>
      </c>
      <c r="AY111" s="1">
        <f t="shared" si="83"/>
        <v>0</v>
      </c>
      <c r="AZ111" s="1">
        <f t="shared" si="84"/>
        <v>0</v>
      </c>
      <c r="BA111" s="1">
        <f t="shared" si="85"/>
        <v>0</v>
      </c>
      <c r="BB111" s="5">
        <v>0</v>
      </c>
      <c r="BC111" s="5">
        <v>0</v>
      </c>
      <c r="BD111" s="5">
        <v>0</v>
      </c>
      <c r="BE111" s="5">
        <f t="shared" si="86"/>
        <v>1</v>
      </c>
      <c r="BF111" s="5">
        <v>1</v>
      </c>
      <c r="BG111" s="5">
        <f t="shared" si="93"/>
        <v>0</v>
      </c>
      <c r="BH111" s="5">
        <f t="shared" si="93"/>
        <v>0</v>
      </c>
      <c r="BI111" s="5">
        <f t="shared" si="93"/>
        <v>0</v>
      </c>
      <c r="BJ111" s="5">
        <f t="shared" si="93"/>
        <v>1</v>
      </c>
      <c r="BK111" s="5">
        <f t="shared" si="93"/>
        <v>0</v>
      </c>
      <c r="BL111" s="5">
        <f t="shared" si="93"/>
        <v>0</v>
      </c>
      <c r="BM111" s="5">
        <f t="shared" si="93"/>
        <v>0</v>
      </c>
      <c r="BN111" s="5">
        <f t="shared" si="92"/>
        <v>0</v>
      </c>
      <c r="BO111" s="5">
        <f t="shared" si="92"/>
        <v>0</v>
      </c>
      <c r="BP111" s="5">
        <f t="shared" si="92"/>
        <v>0</v>
      </c>
      <c r="BQ111" s="5">
        <f t="shared" si="92"/>
        <v>0</v>
      </c>
      <c r="BR111" s="5">
        <f t="shared" si="92"/>
        <v>0</v>
      </c>
      <c r="BS111" s="5">
        <f t="shared" si="92"/>
        <v>0</v>
      </c>
      <c r="BT111" s="5">
        <f t="shared" si="92"/>
        <v>0</v>
      </c>
      <c r="BU111" s="5">
        <f t="shared" si="92"/>
        <v>0</v>
      </c>
      <c r="BV111" s="5">
        <f t="shared" si="92"/>
        <v>0</v>
      </c>
      <c r="BW111" s="5">
        <f t="shared" si="92"/>
        <v>0</v>
      </c>
      <c r="BX111" s="5">
        <f t="shared" si="92"/>
        <v>0</v>
      </c>
      <c r="BY111" s="5">
        <f t="shared" si="92"/>
        <v>0</v>
      </c>
      <c r="BZ111" s="5">
        <f t="shared" si="92"/>
        <v>0</v>
      </c>
      <c r="CA111" s="5">
        <f t="shared" si="92"/>
        <v>0</v>
      </c>
      <c r="CB111" s="5">
        <f t="shared" si="92"/>
        <v>0</v>
      </c>
      <c r="CC111" s="5">
        <f t="shared" si="94"/>
        <v>0</v>
      </c>
      <c r="CD111" s="5">
        <f t="shared" si="94"/>
        <v>0</v>
      </c>
      <c r="CE111" s="5">
        <f t="shared" si="94"/>
        <v>0</v>
      </c>
    </row>
    <row r="112" spans="1:83" x14ac:dyDescent="0.2">
      <c r="A112" s="1" t="s">
        <v>22</v>
      </c>
      <c r="B112" s="11" t="s">
        <v>97</v>
      </c>
      <c r="C112" s="1">
        <f>Growth!D117</f>
        <v>0</v>
      </c>
      <c r="D112" s="5">
        <f t="shared" si="69"/>
        <v>1993</v>
      </c>
      <c r="E112" s="5">
        <v>1993</v>
      </c>
      <c r="F112" s="5">
        <f ca="1">LOOKUP($E112,frequence!$A$2:$A$35,frequence!L$2:L$35)</f>
        <v>191.34520119916542</v>
      </c>
      <c r="G112" s="5">
        <f ca="1">LOOKUP($E112,frequence!$A$2:$A$35,frequence!K$2:K$35)</f>
        <v>28.094581622231551</v>
      </c>
      <c r="H112" s="5">
        <f ca="1">LOOKUP($E112,frequence!$A$2:$A$35,frequence!M$2:M$35)</f>
        <v>780.68842089259488</v>
      </c>
      <c r="I112" s="18">
        <v>1990</v>
      </c>
      <c r="J112" s="7">
        <f>LOOKUP(I112,CPI!A$69:A$103,CPI!O$69:O$103)</f>
        <v>1.6683703136954862</v>
      </c>
      <c r="K112" s="5">
        <v>1990</v>
      </c>
      <c r="L112" s="7">
        <f t="shared" ca="1" si="70"/>
        <v>1</v>
      </c>
      <c r="M112" s="7">
        <f t="shared" si="62"/>
        <v>0.66</v>
      </c>
      <c r="N112" s="14">
        <v>0.2</v>
      </c>
      <c r="O112" s="1">
        <f ca="1">P112*J112*(1+Growth!G$6)^(2010-K112)</f>
        <v>32.210731777416207</v>
      </c>
      <c r="P112" s="1">
        <f>3.9*44/12</f>
        <v>14.299999999999999</v>
      </c>
      <c r="Q112" s="2">
        <f t="shared" si="3"/>
        <v>14.299999999999999</v>
      </c>
      <c r="R112" s="21">
        <f t="shared" ca="1" si="71"/>
        <v>1037.5312416366503</v>
      </c>
      <c r="X112" s="2">
        <f t="shared" si="91"/>
        <v>14.299999999999999</v>
      </c>
      <c r="AC112" s="1">
        <f t="shared" si="29"/>
        <v>3.3</v>
      </c>
      <c r="AD112" s="5">
        <v>1</v>
      </c>
      <c r="AE112" s="5">
        <v>0</v>
      </c>
      <c r="AF112" s="5">
        <v>1</v>
      </c>
      <c r="AG112" s="5">
        <v>0</v>
      </c>
      <c r="AH112" s="5">
        <v>0</v>
      </c>
      <c r="AI112" s="3">
        <f t="shared" si="64"/>
        <v>1.3</v>
      </c>
      <c r="AJ112" s="5">
        <f t="shared" si="88"/>
        <v>1</v>
      </c>
      <c r="AK112" s="5">
        <f t="shared" si="72"/>
        <v>0</v>
      </c>
      <c r="AL112" s="5">
        <f t="shared" si="73"/>
        <v>0</v>
      </c>
      <c r="AM112" s="5">
        <f t="shared" si="89"/>
        <v>0</v>
      </c>
      <c r="AN112" s="5">
        <f t="shared" si="74"/>
        <v>0</v>
      </c>
      <c r="AO112" s="5">
        <f t="shared" si="90"/>
        <v>0</v>
      </c>
      <c r="AP112" s="1">
        <v>5</v>
      </c>
      <c r="AQ112" s="1">
        <v>3</v>
      </c>
      <c r="AR112" s="5">
        <v>0</v>
      </c>
      <c r="AS112" s="5">
        <v>0</v>
      </c>
      <c r="AT112" s="5">
        <v>0</v>
      </c>
      <c r="AU112" s="5">
        <v>0</v>
      </c>
      <c r="AV112" s="5">
        <f t="shared" si="65"/>
        <v>1</v>
      </c>
      <c r="AW112" s="5">
        <f t="shared" si="66"/>
        <v>0</v>
      </c>
      <c r="AX112" s="5">
        <f t="shared" si="67"/>
        <v>0</v>
      </c>
      <c r="AY112" s="1">
        <f t="shared" si="12"/>
        <v>0</v>
      </c>
      <c r="AZ112" s="1">
        <f t="shared" si="13"/>
        <v>0</v>
      </c>
      <c r="BA112" s="1">
        <f t="shared" si="14"/>
        <v>0</v>
      </c>
      <c r="BB112" s="5">
        <v>0</v>
      </c>
      <c r="BC112" s="5">
        <v>0</v>
      </c>
      <c r="BD112" s="5">
        <v>0</v>
      </c>
      <c r="BE112" s="5">
        <f t="shared" si="30"/>
        <v>1</v>
      </c>
      <c r="BF112" s="5">
        <v>0</v>
      </c>
      <c r="BG112" s="5">
        <f t="shared" si="93"/>
        <v>0</v>
      </c>
      <c r="BH112" s="5">
        <f t="shared" si="93"/>
        <v>0</v>
      </c>
      <c r="BI112" s="5">
        <f t="shared" si="93"/>
        <v>0</v>
      </c>
      <c r="BJ112" s="5">
        <f t="shared" si="93"/>
        <v>1</v>
      </c>
      <c r="BK112" s="5">
        <f t="shared" si="93"/>
        <v>0</v>
      </c>
      <c r="BL112" s="5">
        <f t="shared" si="93"/>
        <v>0</v>
      </c>
      <c r="BM112" s="5">
        <f t="shared" si="93"/>
        <v>0</v>
      </c>
      <c r="BN112" s="5">
        <f t="shared" si="92"/>
        <v>0</v>
      </c>
      <c r="BO112" s="5">
        <f t="shared" si="92"/>
        <v>0</v>
      </c>
      <c r="BP112" s="5">
        <f t="shared" si="92"/>
        <v>0</v>
      </c>
      <c r="BQ112" s="5">
        <f t="shared" si="92"/>
        <v>0</v>
      </c>
      <c r="BR112" s="5">
        <f t="shared" si="92"/>
        <v>0</v>
      </c>
      <c r="BS112" s="5">
        <f t="shared" si="92"/>
        <v>0</v>
      </c>
      <c r="BT112" s="5">
        <f t="shared" si="92"/>
        <v>0</v>
      </c>
      <c r="BU112" s="5">
        <f t="shared" si="92"/>
        <v>0</v>
      </c>
      <c r="BV112" s="5">
        <f t="shared" si="92"/>
        <v>0</v>
      </c>
      <c r="BW112" s="5">
        <f t="shared" si="92"/>
        <v>0</v>
      </c>
      <c r="BX112" s="5">
        <f t="shared" si="92"/>
        <v>0</v>
      </c>
      <c r="BY112" s="5">
        <f t="shared" si="92"/>
        <v>0</v>
      </c>
      <c r="BZ112" s="5">
        <f t="shared" si="92"/>
        <v>0</v>
      </c>
      <c r="CA112" s="5">
        <f t="shared" si="92"/>
        <v>0</v>
      </c>
      <c r="CB112" s="5">
        <f t="shared" si="92"/>
        <v>0</v>
      </c>
      <c r="CC112" s="5">
        <f t="shared" si="94"/>
        <v>0</v>
      </c>
      <c r="CD112" s="5">
        <f t="shared" si="94"/>
        <v>0</v>
      </c>
      <c r="CE112" s="5">
        <f t="shared" si="94"/>
        <v>0</v>
      </c>
    </row>
    <row r="113" spans="1:83" x14ac:dyDescent="0.2">
      <c r="C113" s="1">
        <f>Growth!D118</f>
        <v>0</v>
      </c>
      <c r="D113" s="5" t="b">
        <f t="shared" si="69"/>
        <v>0</v>
      </c>
      <c r="E113" s="5">
        <v>1993</v>
      </c>
      <c r="F113" s="5">
        <f ca="1">LOOKUP($E113,frequence!$A$2:$A$35,frequence!L$2:L$35)</f>
        <v>191.34520119916542</v>
      </c>
      <c r="G113" s="5">
        <f ca="1">LOOKUP($E113,frequence!$A$2:$A$35,frequence!K$2:K$35)</f>
        <v>28.094581622231551</v>
      </c>
      <c r="H113" s="5">
        <f ca="1">LOOKUP($E113,frequence!$A$2:$A$35,frequence!M$2:M$35)</f>
        <v>780.68842089259488</v>
      </c>
      <c r="I113" s="18">
        <v>1990</v>
      </c>
      <c r="J113" s="7">
        <f>LOOKUP(I113,CPI!A$69:A$103,CPI!O$69:O$103)</f>
        <v>1.6683703136954862</v>
      </c>
      <c r="K113" s="5">
        <v>1990</v>
      </c>
      <c r="L113" s="7">
        <f t="shared" ca="1" si="70"/>
        <v>1</v>
      </c>
      <c r="M113" s="7">
        <f t="shared" si="62"/>
        <v>0.66</v>
      </c>
      <c r="N113" s="14">
        <v>0.2</v>
      </c>
      <c r="O113" s="1">
        <f ca="1">P113*J113*(1+Growth!G$6)^(2010-K113)</f>
        <v>47.903139566413849</v>
      </c>
      <c r="P113" s="1">
        <f>5.8*44/12</f>
        <v>21.266666666666666</v>
      </c>
      <c r="Q113" s="2">
        <f t="shared" si="3"/>
        <v>21.266666666666666</v>
      </c>
      <c r="R113" s="21">
        <f t="shared" ca="1" si="71"/>
        <v>2294.7107803193239</v>
      </c>
      <c r="X113" s="2">
        <f t="shared" si="91"/>
        <v>21.266666666666666</v>
      </c>
      <c r="AC113" s="1">
        <f t="shared" si="29"/>
        <v>3.3</v>
      </c>
      <c r="AD113" s="5">
        <v>1</v>
      </c>
      <c r="AE113" s="5">
        <v>0</v>
      </c>
      <c r="AF113" s="5">
        <v>1</v>
      </c>
      <c r="AG113" s="5">
        <v>0</v>
      </c>
      <c r="AH113" s="5">
        <v>0</v>
      </c>
      <c r="AI113" s="3">
        <f t="shared" si="64"/>
        <v>1.3</v>
      </c>
      <c r="AJ113" s="5">
        <f t="shared" si="88"/>
        <v>1</v>
      </c>
      <c r="AK113" s="5">
        <f t="shared" si="72"/>
        <v>0</v>
      </c>
      <c r="AL113" s="5">
        <f t="shared" si="73"/>
        <v>0</v>
      </c>
      <c r="AM113" s="5">
        <f t="shared" si="89"/>
        <v>0</v>
      </c>
      <c r="AN113" s="5">
        <f t="shared" si="74"/>
        <v>0</v>
      </c>
      <c r="AO113" s="5">
        <f t="shared" si="90"/>
        <v>0</v>
      </c>
      <c r="AP113" s="1">
        <v>5</v>
      </c>
      <c r="AQ113" s="1">
        <v>3</v>
      </c>
      <c r="AR113" s="5">
        <v>0</v>
      </c>
      <c r="AS113" s="5">
        <v>0</v>
      </c>
      <c r="AT113" s="5">
        <v>0</v>
      </c>
      <c r="AU113" s="5">
        <v>0</v>
      </c>
      <c r="AV113" s="5">
        <f t="shared" si="65"/>
        <v>1</v>
      </c>
      <c r="AW113" s="5">
        <f t="shared" si="66"/>
        <v>0</v>
      </c>
      <c r="AX113" s="5">
        <f t="shared" si="67"/>
        <v>0</v>
      </c>
      <c r="AY113" s="1">
        <f t="shared" si="12"/>
        <v>0</v>
      </c>
      <c r="AZ113" s="1">
        <f t="shared" si="13"/>
        <v>0</v>
      </c>
      <c r="BA113" s="1">
        <f t="shared" si="14"/>
        <v>0</v>
      </c>
      <c r="BB113" s="5">
        <v>0</v>
      </c>
      <c r="BC113" s="5">
        <v>0</v>
      </c>
      <c r="BD113" s="5">
        <v>0</v>
      </c>
      <c r="BE113" s="5">
        <f t="shared" si="30"/>
        <v>1</v>
      </c>
      <c r="BF113" s="5">
        <v>0</v>
      </c>
      <c r="BG113" s="5">
        <f t="shared" si="93"/>
        <v>0</v>
      </c>
      <c r="BH113" s="5">
        <f t="shared" si="93"/>
        <v>0</v>
      </c>
      <c r="BI113" s="5">
        <f t="shared" si="93"/>
        <v>0</v>
      </c>
      <c r="BJ113" s="5">
        <f t="shared" si="93"/>
        <v>1</v>
      </c>
      <c r="BK113" s="5">
        <f t="shared" si="93"/>
        <v>0</v>
      </c>
      <c r="BL113" s="5">
        <f t="shared" si="93"/>
        <v>0</v>
      </c>
      <c r="BM113" s="5">
        <f t="shared" si="93"/>
        <v>0</v>
      </c>
      <c r="BN113" s="5">
        <f t="shared" si="92"/>
        <v>0</v>
      </c>
      <c r="BO113" s="5">
        <f t="shared" si="92"/>
        <v>0</v>
      </c>
      <c r="BP113" s="5">
        <f t="shared" si="92"/>
        <v>0</v>
      </c>
      <c r="BQ113" s="5">
        <f t="shared" si="92"/>
        <v>0</v>
      </c>
      <c r="BR113" s="5">
        <f t="shared" si="92"/>
        <v>0</v>
      </c>
      <c r="BS113" s="5">
        <f t="shared" si="92"/>
        <v>0</v>
      </c>
      <c r="BT113" s="5">
        <f t="shared" si="92"/>
        <v>0</v>
      </c>
      <c r="BU113" s="5">
        <f t="shared" si="92"/>
        <v>0</v>
      </c>
      <c r="BV113" s="5">
        <f t="shared" si="92"/>
        <v>0</v>
      </c>
      <c r="BW113" s="5">
        <f t="shared" si="92"/>
        <v>0</v>
      </c>
      <c r="BX113" s="5">
        <f t="shared" si="92"/>
        <v>0</v>
      </c>
      <c r="BY113" s="5">
        <f t="shared" si="92"/>
        <v>0</v>
      </c>
      <c r="BZ113" s="5">
        <f t="shared" si="92"/>
        <v>0</v>
      </c>
      <c r="CA113" s="5">
        <f t="shared" si="92"/>
        <v>0</v>
      </c>
      <c r="CB113" s="5">
        <f t="shared" si="92"/>
        <v>0</v>
      </c>
      <c r="CC113" s="5">
        <f t="shared" si="94"/>
        <v>0</v>
      </c>
      <c r="CD113" s="5">
        <f t="shared" si="94"/>
        <v>0</v>
      </c>
      <c r="CE113" s="5">
        <f t="shared" si="94"/>
        <v>0</v>
      </c>
    </row>
    <row r="114" spans="1:83" x14ac:dyDescent="0.2">
      <c r="C114" s="1">
        <f>Growth!D119</f>
        <v>0</v>
      </c>
      <c r="D114" s="5" t="b">
        <f t="shared" si="69"/>
        <v>0</v>
      </c>
      <c r="E114" s="5">
        <v>1993</v>
      </c>
      <c r="F114" s="5">
        <f ca="1">LOOKUP($E114,frequence!$A$2:$A$35,frequence!L$2:L$35)</f>
        <v>191.34520119916542</v>
      </c>
      <c r="G114" s="5">
        <f ca="1">LOOKUP($E114,frequence!$A$2:$A$35,frequence!K$2:K$35)</f>
        <v>28.094581622231551</v>
      </c>
      <c r="H114" s="5">
        <f ca="1">LOOKUP($E114,frequence!$A$2:$A$35,frequence!M$2:M$35)</f>
        <v>780.68842089259488</v>
      </c>
      <c r="I114" s="18">
        <v>1990</v>
      </c>
      <c r="J114" s="7">
        <f>LOOKUP(I114,CPI!A$69:A$103,CPI!O$69:O$103)</f>
        <v>1.6683703136954862</v>
      </c>
      <c r="K114" s="5">
        <v>1990</v>
      </c>
      <c r="L114" s="7">
        <f t="shared" ca="1" si="70"/>
        <v>1</v>
      </c>
      <c r="M114" s="7">
        <f t="shared" si="62"/>
        <v>0.33</v>
      </c>
      <c r="N114" s="14">
        <v>0.1</v>
      </c>
      <c r="O114" s="1">
        <f ca="1">P114*J114*(1+Growth!G$6)^(2010-K114)</f>
        <v>115.62826791892998</v>
      </c>
      <c r="P114" s="1">
        <f>14*44/12</f>
        <v>51.333333333333336</v>
      </c>
      <c r="Q114" s="2">
        <f t="shared" ref="Q114:Q119" si="95">P114</f>
        <v>51.333333333333336</v>
      </c>
      <c r="R114" s="21">
        <f t="shared" ca="1" si="71"/>
        <v>13369.896341931852</v>
      </c>
      <c r="X114" s="2">
        <f t="shared" si="91"/>
        <v>51.333333333333336</v>
      </c>
      <c r="AC114" s="1">
        <f t="shared" ref="AC114:AC119" si="96">SUM(AD114:AI114)</f>
        <v>3.3</v>
      </c>
      <c r="AD114" s="5">
        <v>1</v>
      </c>
      <c r="AE114" s="5">
        <v>0</v>
      </c>
      <c r="AF114" s="5">
        <v>1</v>
      </c>
      <c r="AG114" s="5">
        <v>0</v>
      </c>
      <c r="AH114" s="5">
        <v>0</v>
      </c>
      <c r="AI114" s="3">
        <f t="shared" si="64"/>
        <v>1.3</v>
      </c>
      <c r="AJ114" s="5">
        <f t="shared" si="88"/>
        <v>0</v>
      </c>
      <c r="AK114" s="5">
        <f t="shared" si="72"/>
        <v>0</v>
      </c>
      <c r="AL114" s="5">
        <f t="shared" si="73"/>
        <v>0</v>
      </c>
      <c r="AM114" s="5">
        <f t="shared" si="89"/>
        <v>0</v>
      </c>
      <c r="AN114" s="5">
        <f t="shared" si="74"/>
        <v>0</v>
      </c>
      <c r="AO114" s="5">
        <f t="shared" si="90"/>
        <v>1</v>
      </c>
      <c r="AP114" s="1">
        <v>2</v>
      </c>
      <c r="AQ114" s="1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f t="shared" si="65"/>
        <v>1</v>
      </c>
      <c r="AW114" s="5">
        <f t="shared" si="66"/>
        <v>0</v>
      </c>
      <c r="AX114" s="5">
        <f t="shared" si="67"/>
        <v>0</v>
      </c>
      <c r="AY114" s="1">
        <f t="shared" ref="AY114:AY119" si="97">AJ114*$AD114*(1-$AV114)*(1-$AR114)</f>
        <v>0</v>
      </c>
      <c r="AZ114" s="1">
        <f t="shared" ref="AZ114:AZ119" si="98">AM114*$AD114*(1-$AV114)*(1-$AR114)</f>
        <v>0</v>
      </c>
      <c r="BA114" s="1">
        <f t="shared" ref="BA114:BA119" si="99">AO114*$AD114*(1-$AV114)*(1-$AR114)</f>
        <v>0</v>
      </c>
      <c r="BB114" s="5">
        <v>0</v>
      </c>
      <c r="BC114" s="5">
        <v>0</v>
      </c>
      <c r="BD114" s="5">
        <v>0</v>
      </c>
      <c r="BE114" s="5">
        <f t="shared" ref="BE114:BE119" si="100">1-SUM(BB114:BD114)</f>
        <v>1</v>
      </c>
      <c r="BF114" s="5">
        <v>0</v>
      </c>
      <c r="BG114" s="5">
        <f t="shared" si="93"/>
        <v>0</v>
      </c>
      <c r="BH114" s="5">
        <f t="shared" si="93"/>
        <v>0</v>
      </c>
      <c r="BI114" s="5">
        <f t="shared" si="93"/>
        <v>0</v>
      </c>
      <c r="BJ114" s="5">
        <f t="shared" si="93"/>
        <v>1</v>
      </c>
      <c r="BK114" s="5">
        <f t="shared" si="93"/>
        <v>0</v>
      </c>
      <c r="BL114" s="5">
        <f t="shared" si="93"/>
        <v>0</v>
      </c>
      <c r="BM114" s="5">
        <f t="shared" si="93"/>
        <v>0</v>
      </c>
      <c r="BN114" s="5">
        <f t="shared" si="92"/>
        <v>0</v>
      </c>
      <c r="BO114" s="5">
        <f t="shared" si="92"/>
        <v>0</v>
      </c>
      <c r="BP114" s="5">
        <f t="shared" si="92"/>
        <v>0</v>
      </c>
      <c r="BQ114" s="5">
        <f t="shared" si="92"/>
        <v>0</v>
      </c>
      <c r="BR114" s="5">
        <f t="shared" si="92"/>
        <v>0</v>
      </c>
      <c r="BS114" s="5">
        <f t="shared" si="92"/>
        <v>0</v>
      </c>
      <c r="BT114" s="5">
        <f t="shared" si="92"/>
        <v>0</v>
      </c>
      <c r="BU114" s="5">
        <f t="shared" si="92"/>
        <v>0</v>
      </c>
      <c r="BV114" s="5">
        <f t="shared" si="92"/>
        <v>0</v>
      </c>
      <c r="BW114" s="5">
        <f t="shared" si="92"/>
        <v>0</v>
      </c>
      <c r="BX114" s="5">
        <f t="shared" si="92"/>
        <v>0</v>
      </c>
      <c r="BY114" s="5">
        <f t="shared" si="92"/>
        <v>0</v>
      </c>
      <c r="BZ114" s="5">
        <f t="shared" si="92"/>
        <v>0</v>
      </c>
      <c r="CA114" s="5">
        <f t="shared" si="92"/>
        <v>0</v>
      </c>
      <c r="CB114" s="5">
        <f t="shared" si="92"/>
        <v>0</v>
      </c>
      <c r="CC114" s="5">
        <f t="shared" si="94"/>
        <v>0</v>
      </c>
      <c r="CD114" s="5">
        <f t="shared" si="94"/>
        <v>0</v>
      </c>
      <c r="CE114" s="5">
        <f t="shared" si="94"/>
        <v>0</v>
      </c>
    </row>
    <row r="115" spans="1:83" x14ac:dyDescent="0.2">
      <c r="C115" s="1">
        <f>Growth!D120</f>
        <v>0</v>
      </c>
      <c r="D115" s="5" t="b">
        <f t="shared" si="69"/>
        <v>0</v>
      </c>
      <c r="E115" s="5">
        <v>1993</v>
      </c>
      <c r="F115" s="5">
        <f ca="1">LOOKUP($E115,frequence!$A$2:$A$35,frequence!L$2:L$35)</f>
        <v>191.34520119916542</v>
      </c>
      <c r="G115" s="5">
        <f ca="1">LOOKUP($E115,frequence!$A$2:$A$35,frequence!K$2:K$35)</f>
        <v>28.094581622231551</v>
      </c>
      <c r="H115" s="5">
        <f ca="1">LOOKUP($E115,frequence!$A$2:$A$35,frequence!M$2:M$35)</f>
        <v>780.68842089259488</v>
      </c>
      <c r="I115" s="18">
        <v>1990</v>
      </c>
      <c r="J115" s="7">
        <f>LOOKUP(I115,CPI!A$69:A$103,CPI!O$69:O$103)</f>
        <v>1.6683703136954862</v>
      </c>
      <c r="K115" s="5">
        <v>1990</v>
      </c>
      <c r="L115" s="7">
        <f t="shared" ca="1" si="70"/>
        <v>1</v>
      </c>
      <c r="M115" s="7">
        <f t="shared" si="62"/>
        <v>0.33</v>
      </c>
      <c r="N115" s="14">
        <v>0.1</v>
      </c>
      <c r="O115" s="1">
        <f ca="1">P115*J115*(1+Growth!G$6)^(2010-K115)</f>
        <v>99.109943930511406</v>
      </c>
      <c r="P115" s="1">
        <f>12*44/12</f>
        <v>44</v>
      </c>
      <c r="Q115" s="2">
        <f t="shared" si="95"/>
        <v>44</v>
      </c>
      <c r="R115" s="21">
        <f t="shared" ca="1" si="71"/>
        <v>9822.780985909114</v>
      </c>
      <c r="X115" s="2">
        <f t="shared" si="91"/>
        <v>44</v>
      </c>
      <c r="AC115" s="1">
        <f t="shared" si="96"/>
        <v>3.3</v>
      </c>
      <c r="AD115" s="5">
        <v>1</v>
      </c>
      <c r="AE115" s="5">
        <v>0</v>
      </c>
      <c r="AF115" s="5">
        <v>1</v>
      </c>
      <c r="AG115" s="5">
        <v>0</v>
      </c>
      <c r="AH115" s="5">
        <v>0</v>
      </c>
      <c r="AI115" s="3">
        <f t="shared" si="64"/>
        <v>1.3</v>
      </c>
      <c r="AJ115" s="5">
        <f t="shared" si="88"/>
        <v>0</v>
      </c>
      <c r="AK115" s="5">
        <f t="shared" si="72"/>
        <v>0</v>
      </c>
      <c r="AL115" s="5">
        <f t="shared" si="73"/>
        <v>0</v>
      </c>
      <c r="AM115" s="5">
        <f t="shared" si="89"/>
        <v>0</v>
      </c>
      <c r="AN115" s="5">
        <f t="shared" si="74"/>
        <v>0</v>
      </c>
      <c r="AO115" s="5">
        <f t="shared" si="90"/>
        <v>1</v>
      </c>
      <c r="AP115" s="1">
        <v>2</v>
      </c>
      <c r="AQ115" s="1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f t="shared" si="65"/>
        <v>1</v>
      </c>
      <c r="AW115" s="5">
        <f t="shared" si="66"/>
        <v>0</v>
      </c>
      <c r="AX115" s="5">
        <f t="shared" si="67"/>
        <v>0</v>
      </c>
      <c r="AY115" s="1">
        <f t="shared" si="97"/>
        <v>0</v>
      </c>
      <c r="AZ115" s="1">
        <f t="shared" si="98"/>
        <v>0</v>
      </c>
      <c r="BA115" s="1">
        <f t="shared" si="99"/>
        <v>0</v>
      </c>
      <c r="BB115" s="5">
        <v>0</v>
      </c>
      <c r="BC115" s="5">
        <v>0</v>
      </c>
      <c r="BD115" s="5">
        <v>0</v>
      </c>
      <c r="BE115" s="5">
        <f t="shared" si="100"/>
        <v>1</v>
      </c>
      <c r="BF115" s="5">
        <v>0</v>
      </c>
      <c r="BG115" s="5">
        <f t="shared" si="93"/>
        <v>0</v>
      </c>
      <c r="BH115" s="5">
        <f t="shared" si="93"/>
        <v>0</v>
      </c>
      <c r="BI115" s="5">
        <f t="shared" si="93"/>
        <v>0</v>
      </c>
      <c r="BJ115" s="5">
        <f t="shared" si="93"/>
        <v>1</v>
      </c>
      <c r="BK115" s="5">
        <f t="shared" si="93"/>
        <v>0</v>
      </c>
      <c r="BL115" s="5">
        <f t="shared" si="93"/>
        <v>0</v>
      </c>
      <c r="BM115" s="5">
        <f t="shared" si="93"/>
        <v>0</v>
      </c>
      <c r="BN115" s="5">
        <f t="shared" si="92"/>
        <v>0</v>
      </c>
      <c r="BO115" s="5">
        <f t="shared" si="92"/>
        <v>0</v>
      </c>
      <c r="BP115" s="5">
        <f t="shared" si="92"/>
        <v>0</v>
      </c>
      <c r="BQ115" s="5">
        <f t="shared" si="92"/>
        <v>0</v>
      </c>
      <c r="BR115" s="5">
        <f t="shared" si="92"/>
        <v>0</v>
      </c>
      <c r="BS115" s="5">
        <f t="shared" si="92"/>
        <v>0</v>
      </c>
      <c r="BT115" s="5">
        <f t="shared" si="92"/>
        <v>0</v>
      </c>
      <c r="BU115" s="5">
        <f t="shared" si="92"/>
        <v>0</v>
      </c>
      <c r="BV115" s="5">
        <f t="shared" si="92"/>
        <v>0</v>
      </c>
      <c r="BW115" s="5">
        <f t="shared" si="92"/>
        <v>0</v>
      </c>
      <c r="BX115" s="5">
        <f t="shared" si="92"/>
        <v>0</v>
      </c>
      <c r="BY115" s="5">
        <f t="shared" si="92"/>
        <v>0</v>
      </c>
      <c r="BZ115" s="5">
        <f t="shared" si="92"/>
        <v>0</v>
      </c>
      <c r="CA115" s="5">
        <f t="shared" si="92"/>
        <v>0</v>
      </c>
      <c r="CB115" s="5">
        <f t="shared" si="92"/>
        <v>0</v>
      </c>
      <c r="CC115" s="5">
        <f t="shared" si="94"/>
        <v>0</v>
      </c>
      <c r="CD115" s="5">
        <f t="shared" si="94"/>
        <v>0</v>
      </c>
      <c r="CE115" s="5">
        <f t="shared" si="94"/>
        <v>0</v>
      </c>
    </row>
    <row r="116" spans="1:83" x14ac:dyDescent="0.2">
      <c r="C116" s="1">
        <f>Growth!D121</f>
        <v>0</v>
      </c>
      <c r="D116" s="5" t="b">
        <f t="shared" si="69"/>
        <v>0</v>
      </c>
      <c r="E116" s="5">
        <v>1993</v>
      </c>
      <c r="F116" s="5">
        <f ca="1">LOOKUP($E116,frequence!$A$2:$A$35,frequence!L$2:L$35)</f>
        <v>191.34520119916542</v>
      </c>
      <c r="G116" s="5">
        <f ca="1">LOOKUP($E116,frequence!$A$2:$A$35,frequence!K$2:K$35)</f>
        <v>28.094581622231551</v>
      </c>
      <c r="H116" s="5">
        <f ca="1">LOOKUP($E116,frequence!$A$2:$A$35,frequence!M$2:M$35)</f>
        <v>780.68842089259488</v>
      </c>
      <c r="I116" s="18">
        <v>1990</v>
      </c>
      <c r="J116" s="7">
        <f>LOOKUP(I116,CPI!A$69:A$103,CPI!O$69:O$103)</f>
        <v>1.6683703136954862</v>
      </c>
      <c r="K116" s="5">
        <v>1990</v>
      </c>
      <c r="L116" s="7">
        <f t="shared" ca="1" si="70"/>
        <v>1</v>
      </c>
      <c r="M116" s="7">
        <f t="shared" si="62"/>
        <v>0.33</v>
      </c>
      <c r="N116" s="14">
        <v>0.1</v>
      </c>
      <c r="O116" s="1">
        <f ca="1">P116*J116*(1+Growth!G$6)^(2010-K116)</f>
        <v>18.170156387260427</v>
      </c>
      <c r="P116" s="1">
        <f>2.2*44/12</f>
        <v>8.0666666666666682</v>
      </c>
      <c r="Q116" s="2">
        <f t="shared" si="95"/>
        <v>8.0666666666666682</v>
      </c>
      <c r="R116" s="21">
        <f t="shared" ca="1" si="71"/>
        <v>330.15458313750088</v>
      </c>
      <c r="X116" s="2">
        <f t="shared" si="91"/>
        <v>8.0666666666666682</v>
      </c>
      <c r="AC116" s="1">
        <f t="shared" si="96"/>
        <v>3.3</v>
      </c>
      <c r="AD116" s="5">
        <v>1</v>
      </c>
      <c r="AE116" s="5">
        <v>0</v>
      </c>
      <c r="AF116" s="5">
        <v>1</v>
      </c>
      <c r="AG116" s="5">
        <v>0</v>
      </c>
      <c r="AH116" s="5">
        <v>0</v>
      </c>
      <c r="AI116" s="3">
        <f t="shared" si="64"/>
        <v>1.3</v>
      </c>
      <c r="AJ116" s="5">
        <f t="shared" si="88"/>
        <v>0</v>
      </c>
      <c r="AK116" s="5">
        <f t="shared" si="72"/>
        <v>0</v>
      </c>
      <c r="AL116" s="5">
        <f t="shared" si="73"/>
        <v>0</v>
      </c>
      <c r="AM116" s="5">
        <f t="shared" si="89"/>
        <v>0</v>
      </c>
      <c r="AN116" s="5">
        <f t="shared" si="74"/>
        <v>0</v>
      </c>
      <c r="AO116" s="5">
        <f t="shared" si="90"/>
        <v>0</v>
      </c>
      <c r="AP116" s="1">
        <v>8</v>
      </c>
      <c r="AQ116" s="1">
        <v>6</v>
      </c>
      <c r="AR116" s="5">
        <v>0</v>
      </c>
      <c r="AS116" s="5">
        <v>0</v>
      </c>
      <c r="AT116" s="5">
        <v>0</v>
      </c>
      <c r="AU116" s="5">
        <v>0</v>
      </c>
      <c r="AV116" s="5">
        <f t="shared" si="65"/>
        <v>1</v>
      </c>
      <c r="AW116" s="5">
        <f t="shared" si="66"/>
        <v>0</v>
      </c>
      <c r="AX116" s="5">
        <f t="shared" si="67"/>
        <v>0</v>
      </c>
      <c r="AY116" s="1">
        <f t="shared" si="97"/>
        <v>0</v>
      </c>
      <c r="AZ116" s="1">
        <f t="shared" si="98"/>
        <v>0</v>
      </c>
      <c r="BA116" s="1">
        <f t="shared" si="99"/>
        <v>0</v>
      </c>
      <c r="BB116" s="5">
        <v>0</v>
      </c>
      <c r="BC116" s="5">
        <v>0</v>
      </c>
      <c r="BD116" s="5">
        <v>0</v>
      </c>
      <c r="BE116" s="5">
        <f t="shared" si="100"/>
        <v>1</v>
      </c>
      <c r="BF116" s="5">
        <v>0</v>
      </c>
      <c r="BG116" s="5">
        <f t="shared" si="93"/>
        <v>0</v>
      </c>
      <c r="BH116" s="5">
        <f t="shared" si="93"/>
        <v>0</v>
      </c>
      <c r="BI116" s="5">
        <f t="shared" si="93"/>
        <v>0</v>
      </c>
      <c r="BJ116" s="5">
        <f t="shared" si="93"/>
        <v>1</v>
      </c>
      <c r="BK116" s="5">
        <f t="shared" si="93"/>
        <v>0</v>
      </c>
      <c r="BL116" s="5">
        <f t="shared" si="93"/>
        <v>0</v>
      </c>
      <c r="BM116" s="5">
        <f t="shared" si="93"/>
        <v>0</v>
      </c>
      <c r="BN116" s="5">
        <f t="shared" si="93"/>
        <v>0</v>
      </c>
      <c r="BO116" s="5">
        <f t="shared" ref="BO116:CC131" si="101">IF($E116=BO$2,1,0)</f>
        <v>0</v>
      </c>
      <c r="BP116" s="5">
        <f t="shared" si="101"/>
        <v>0</v>
      </c>
      <c r="BQ116" s="5">
        <f t="shared" si="101"/>
        <v>0</v>
      </c>
      <c r="BR116" s="5">
        <f t="shared" si="101"/>
        <v>0</v>
      </c>
      <c r="BS116" s="5">
        <f t="shared" si="101"/>
        <v>0</v>
      </c>
      <c r="BT116" s="5">
        <f t="shared" si="101"/>
        <v>0</v>
      </c>
      <c r="BU116" s="5">
        <f t="shared" si="101"/>
        <v>0</v>
      </c>
      <c r="BV116" s="5">
        <f t="shared" si="101"/>
        <v>0</v>
      </c>
      <c r="BW116" s="5">
        <f t="shared" si="101"/>
        <v>0</v>
      </c>
      <c r="BX116" s="5">
        <f t="shared" si="101"/>
        <v>0</v>
      </c>
      <c r="BY116" s="5">
        <f t="shared" si="101"/>
        <v>0</v>
      </c>
      <c r="BZ116" s="5">
        <f t="shared" si="101"/>
        <v>0</v>
      </c>
      <c r="CA116" s="5">
        <f t="shared" si="101"/>
        <v>0</v>
      </c>
      <c r="CB116" s="5">
        <f t="shared" si="101"/>
        <v>0</v>
      </c>
      <c r="CC116" s="5">
        <f t="shared" si="94"/>
        <v>0</v>
      </c>
      <c r="CD116" s="5">
        <f t="shared" si="94"/>
        <v>0</v>
      </c>
      <c r="CE116" s="5">
        <f t="shared" si="94"/>
        <v>0</v>
      </c>
    </row>
    <row r="117" spans="1:83" x14ac:dyDescent="0.2">
      <c r="C117" s="1">
        <f>Growth!D122</f>
        <v>0</v>
      </c>
      <c r="D117" s="5" t="b">
        <f t="shared" si="69"/>
        <v>0</v>
      </c>
      <c r="E117" s="5">
        <v>1993</v>
      </c>
      <c r="F117" s="5">
        <f ca="1">LOOKUP($E117,frequence!$A$2:$A$35,frequence!L$2:L$35)</f>
        <v>191.34520119916542</v>
      </c>
      <c r="G117" s="5">
        <f ca="1">LOOKUP($E117,frequence!$A$2:$A$35,frequence!K$2:K$35)</f>
        <v>28.094581622231551</v>
      </c>
      <c r="H117" s="5">
        <f ca="1">LOOKUP($E117,frequence!$A$2:$A$35,frequence!M$2:M$35)</f>
        <v>780.68842089259488</v>
      </c>
      <c r="I117" s="18">
        <v>1990</v>
      </c>
      <c r="J117" s="7">
        <f>LOOKUP(I117,CPI!A$69:A$103,CPI!O$69:O$103)</f>
        <v>1.6683703136954862</v>
      </c>
      <c r="K117" s="5">
        <v>1990</v>
      </c>
      <c r="L117" s="7">
        <f t="shared" ca="1" si="70"/>
        <v>1</v>
      </c>
      <c r="M117" s="7">
        <f t="shared" si="62"/>
        <v>0.33</v>
      </c>
      <c r="N117" s="14">
        <v>0.1</v>
      </c>
      <c r="O117" s="1">
        <f ca="1">P117*J117*(1+Growth!G$6)^(2010-K117)</f>
        <v>31.384815577995276</v>
      </c>
      <c r="P117" s="1">
        <f>3.8*44/12</f>
        <v>13.933333333333332</v>
      </c>
      <c r="Q117" s="2">
        <f t="shared" si="95"/>
        <v>13.933333333333332</v>
      </c>
      <c r="R117" s="21">
        <f t="shared" ca="1" si="71"/>
        <v>985.006648864775</v>
      </c>
      <c r="X117" s="2">
        <f t="shared" si="91"/>
        <v>13.933333333333332</v>
      </c>
      <c r="AC117" s="1">
        <f t="shared" si="96"/>
        <v>3.3</v>
      </c>
      <c r="AD117" s="5">
        <v>1</v>
      </c>
      <c r="AE117" s="5">
        <v>0</v>
      </c>
      <c r="AF117" s="5">
        <v>1</v>
      </c>
      <c r="AG117" s="5">
        <v>0</v>
      </c>
      <c r="AH117" s="5">
        <v>0</v>
      </c>
      <c r="AI117" s="3">
        <f t="shared" si="64"/>
        <v>1.3</v>
      </c>
      <c r="AJ117" s="5">
        <f t="shared" si="88"/>
        <v>0</v>
      </c>
      <c r="AK117" s="5">
        <f t="shared" si="72"/>
        <v>0</v>
      </c>
      <c r="AL117" s="5">
        <f t="shared" si="73"/>
        <v>0</v>
      </c>
      <c r="AM117" s="5">
        <f t="shared" si="89"/>
        <v>0</v>
      </c>
      <c r="AN117" s="5">
        <f t="shared" si="74"/>
        <v>0</v>
      </c>
      <c r="AO117" s="5">
        <f t="shared" si="90"/>
        <v>0</v>
      </c>
      <c r="AP117" s="1">
        <v>8</v>
      </c>
      <c r="AQ117" s="1">
        <v>6</v>
      </c>
      <c r="AR117" s="5">
        <v>0</v>
      </c>
      <c r="AS117" s="5">
        <v>0</v>
      </c>
      <c r="AT117" s="5">
        <v>0</v>
      </c>
      <c r="AU117" s="5">
        <v>0</v>
      </c>
      <c r="AV117" s="5">
        <f t="shared" si="65"/>
        <v>1</v>
      </c>
      <c r="AW117" s="5">
        <f t="shared" si="66"/>
        <v>0</v>
      </c>
      <c r="AX117" s="5">
        <f t="shared" si="67"/>
        <v>0</v>
      </c>
      <c r="AY117" s="1">
        <f t="shared" si="97"/>
        <v>0</v>
      </c>
      <c r="AZ117" s="1">
        <f t="shared" si="98"/>
        <v>0</v>
      </c>
      <c r="BA117" s="1">
        <f t="shared" si="99"/>
        <v>0</v>
      </c>
      <c r="BB117" s="5">
        <v>0</v>
      </c>
      <c r="BC117" s="5">
        <v>0</v>
      </c>
      <c r="BD117" s="5">
        <v>0</v>
      </c>
      <c r="BE117" s="5">
        <f t="shared" si="100"/>
        <v>1</v>
      </c>
      <c r="BF117" s="5">
        <v>0</v>
      </c>
      <c r="BG117" s="5">
        <f t="shared" ref="BG117:BN132" si="102">IF($E117=BG$2,1,0)</f>
        <v>0</v>
      </c>
      <c r="BH117" s="5">
        <f t="shared" si="102"/>
        <v>0</v>
      </c>
      <c r="BI117" s="5">
        <f t="shared" si="102"/>
        <v>0</v>
      </c>
      <c r="BJ117" s="5">
        <f t="shared" si="102"/>
        <v>1</v>
      </c>
      <c r="BK117" s="5">
        <f t="shared" si="102"/>
        <v>0</v>
      </c>
      <c r="BL117" s="5">
        <f t="shared" si="102"/>
        <v>0</v>
      </c>
      <c r="BM117" s="5">
        <f t="shared" si="102"/>
        <v>0</v>
      </c>
      <c r="BN117" s="5">
        <f t="shared" si="102"/>
        <v>0</v>
      </c>
      <c r="BO117" s="5">
        <f t="shared" si="101"/>
        <v>0</v>
      </c>
      <c r="BP117" s="5">
        <f t="shared" si="101"/>
        <v>0</v>
      </c>
      <c r="BQ117" s="5">
        <f t="shared" si="101"/>
        <v>0</v>
      </c>
      <c r="BR117" s="5">
        <f t="shared" si="101"/>
        <v>0</v>
      </c>
      <c r="BS117" s="5">
        <f t="shared" si="101"/>
        <v>0</v>
      </c>
      <c r="BT117" s="5">
        <f t="shared" si="101"/>
        <v>0</v>
      </c>
      <c r="BU117" s="5">
        <f t="shared" si="101"/>
        <v>0</v>
      </c>
      <c r="BV117" s="5">
        <f t="shared" si="101"/>
        <v>0</v>
      </c>
      <c r="BW117" s="5">
        <f t="shared" si="101"/>
        <v>0</v>
      </c>
      <c r="BX117" s="5">
        <f t="shared" si="101"/>
        <v>0</v>
      </c>
      <c r="BY117" s="5">
        <f t="shared" si="101"/>
        <v>0</v>
      </c>
      <c r="BZ117" s="5">
        <f t="shared" si="101"/>
        <v>0</v>
      </c>
      <c r="CA117" s="5">
        <f t="shared" si="101"/>
        <v>0</v>
      </c>
      <c r="CB117" s="5">
        <f t="shared" si="101"/>
        <v>0</v>
      </c>
      <c r="CC117" s="5">
        <f t="shared" si="94"/>
        <v>0</v>
      </c>
      <c r="CD117" s="5">
        <f t="shared" si="94"/>
        <v>0</v>
      </c>
      <c r="CE117" s="5">
        <f t="shared" si="94"/>
        <v>0</v>
      </c>
    </row>
    <row r="118" spans="1:83" x14ac:dyDescent="0.2">
      <c r="C118" s="1">
        <f>Growth!D123</f>
        <v>0</v>
      </c>
      <c r="D118" s="5" t="b">
        <f t="shared" si="69"/>
        <v>0</v>
      </c>
      <c r="E118" s="5">
        <v>1993</v>
      </c>
      <c r="F118" s="5">
        <f ca="1">LOOKUP($E118,frequence!$A$2:$A$35,frequence!L$2:L$35)</f>
        <v>191.34520119916542</v>
      </c>
      <c r="G118" s="5">
        <f ca="1">LOOKUP($E118,frequence!$A$2:$A$35,frequence!K$2:K$35)</f>
        <v>28.094581622231551</v>
      </c>
      <c r="H118" s="5">
        <f ca="1">LOOKUP($E118,frequence!$A$2:$A$35,frequence!M$2:M$35)</f>
        <v>780.68842089259488</v>
      </c>
      <c r="I118" s="18">
        <v>1990</v>
      </c>
      <c r="J118" s="7">
        <f>LOOKUP(I118,CPI!A$69:A$103,CPI!O$69:O$103)</f>
        <v>1.6683703136954862</v>
      </c>
      <c r="K118" s="5">
        <v>1990</v>
      </c>
      <c r="L118" s="7">
        <f t="shared" ca="1" si="70"/>
        <v>1</v>
      </c>
      <c r="M118" s="7">
        <f t="shared" si="62"/>
        <v>0.33</v>
      </c>
      <c r="N118" s="14">
        <v>0.1</v>
      </c>
      <c r="O118" s="1">
        <f ca="1">P118*J118*(1+Growth!G$6)^(2010-K118)</f>
        <v>42.121726170467348</v>
      </c>
      <c r="P118" s="1">
        <f>5.1*44/12</f>
        <v>18.7</v>
      </c>
      <c r="Q118" s="2">
        <f t="shared" si="95"/>
        <v>18.7</v>
      </c>
      <c r="R118" s="21">
        <f t="shared" ca="1" si="71"/>
        <v>1774.2398155798339</v>
      </c>
      <c r="X118" s="2">
        <f t="shared" si="91"/>
        <v>18.7</v>
      </c>
      <c r="AC118" s="1">
        <f t="shared" si="96"/>
        <v>3.3</v>
      </c>
      <c r="AD118" s="5">
        <v>1</v>
      </c>
      <c r="AE118" s="5">
        <v>0</v>
      </c>
      <c r="AF118" s="5">
        <v>1</v>
      </c>
      <c r="AG118" s="5">
        <v>0</v>
      </c>
      <c r="AH118" s="5">
        <v>0</v>
      </c>
      <c r="AI118" s="3">
        <f t="shared" si="64"/>
        <v>1.3</v>
      </c>
      <c r="AJ118" s="5">
        <f t="shared" si="88"/>
        <v>1</v>
      </c>
      <c r="AK118" s="5">
        <f t="shared" si="72"/>
        <v>0</v>
      </c>
      <c r="AL118" s="5">
        <f t="shared" si="73"/>
        <v>0</v>
      </c>
      <c r="AM118" s="5">
        <f t="shared" si="89"/>
        <v>0</v>
      </c>
      <c r="AN118" s="5">
        <f t="shared" si="74"/>
        <v>0</v>
      </c>
      <c r="AO118" s="5">
        <f t="shared" si="90"/>
        <v>0</v>
      </c>
      <c r="AP118" s="1">
        <v>5</v>
      </c>
      <c r="AQ118" s="1">
        <v>3</v>
      </c>
      <c r="AR118" s="5">
        <v>0</v>
      </c>
      <c r="AS118" s="5">
        <v>0</v>
      </c>
      <c r="AT118" s="5">
        <v>0</v>
      </c>
      <c r="AU118" s="5">
        <v>0</v>
      </c>
      <c r="AV118" s="5">
        <f t="shared" si="65"/>
        <v>1</v>
      </c>
      <c r="AW118" s="5">
        <f t="shared" si="66"/>
        <v>0</v>
      </c>
      <c r="AX118" s="5">
        <f t="shared" si="67"/>
        <v>0</v>
      </c>
      <c r="AY118" s="1">
        <f t="shared" si="97"/>
        <v>0</v>
      </c>
      <c r="AZ118" s="1">
        <f t="shared" si="98"/>
        <v>0</v>
      </c>
      <c r="BA118" s="1">
        <f t="shared" si="99"/>
        <v>0</v>
      </c>
      <c r="BB118" s="5">
        <v>0</v>
      </c>
      <c r="BC118" s="5">
        <v>0</v>
      </c>
      <c r="BD118" s="5">
        <v>0</v>
      </c>
      <c r="BE118" s="5">
        <f t="shared" si="100"/>
        <v>1</v>
      </c>
      <c r="BF118" s="5">
        <v>0</v>
      </c>
      <c r="BG118" s="5">
        <f t="shared" si="102"/>
        <v>0</v>
      </c>
      <c r="BH118" s="5">
        <f t="shared" si="102"/>
        <v>0</v>
      </c>
      <c r="BI118" s="5">
        <f t="shared" si="102"/>
        <v>0</v>
      </c>
      <c r="BJ118" s="5">
        <f t="shared" si="102"/>
        <v>1</v>
      </c>
      <c r="BK118" s="5">
        <f t="shared" si="102"/>
        <v>0</v>
      </c>
      <c r="BL118" s="5">
        <f t="shared" si="102"/>
        <v>0</v>
      </c>
      <c r="BM118" s="5">
        <f t="shared" si="102"/>
        <v>0</v>
      </c>
      <c r="BN118" s="5">
        <f t="shared" si="102"/>
        <v>0</v>
      </c>
      <c r="BO118" s="5">
        <f t="shared" si="101"/>
        <v>0</v>
      </c>
      <c r="BP118" s="5">
        <f t="shared" si="101"/>
        <v>0</v>
      </c>
      <c r="BQ118" s="5">
        <f t="shared" si="101"/>
        <v>0</v>
      </c>
      <c r="BR118" s="5">
        <f t="shared" si="101"/>
        <v>0</v>
      </c>
      <c r="BS118" s="5">
        <f t="shared" si="101"/>
        <v>0</v>
      </c>
      <c r="BT118" s="5">
        <f t="shared" si="101"/>
        <v>0</v>
      </c>
      <c r="BU118" s="5">
        <f t="shared" si="101"/>
        <v>0</v>
      </c>
      <c r="BV118" s="5">
        <f t="shared" si="101"/>
        <v>0</v>
      </c>
      <c r="BW118" s="5">
        <f t="shared" si="101"/>
        <v>0</v>
      </c>
      <c r="BX118" s="5">
        <f t="shared" si="101"/>
        <v>0</v>
      </c>
      <c r="BY118" s="5">
        <f t="shared" si="101"/>
        <v>0</v>
      </c>
      <c r="BZ118" s="5">
        <f t="shared" si="101"/>
        <v>0</v>
      </c>
      <c r="CA118" s="5">
        <f t="shared" si="101"/>
        <v>0</v>
      </c>
      <c r="CB118" s="5">
        <f t="shared" si="101"/>
        <v>0</v>
      </c>
      <c r="CC118" s="5">
        <f t="shared" si="94"/>
        <v>0</v>
      </c>
      <c r="CD118" s="5">
        <f t="shared" si="94"/>
        <v>0</v>
      </c>
      <c r="CE118" s="5">
        <f t="shared" si="94"/>
        <v>0</v>
      </c>
    </row>
    <row r="119" spans="1:83" x14ac:dyDescent="0.2">
      <c r="C119" s="1">
        <f>Growth!D124</f>
        <v>0</v>
      </c>
      <c r="D119" s="5" t="b">
        <f t="shared" si="69"/>
        <v>0</v>
      </c>
      <c r="E119" s="5">
        <v>1993</v>
      </c>
      <c r="F119" s="5">
        <f ca="1">LOOKUP($E119,frequence!$A$2:$A$35,frequence!L$2:L$35)</f>
        <v>191.34520119916542</v>
      </c>
      <c r="G119" s="5">
        <f ca="1">LOOKUP($E119,frequence!$A$2:$A$35,frequence!K$2:K$35)</f>
        <v>28.094581622231551</v>
      </c>
      <c r="H119" s="5">
        <f ca="1">LOOKUP($E119,frequence!$A$2:$A$35,frequence!M$2:M$35)</f>
        <v>780.68842089259488</v>
      </c>
      <c r="I119" s="18">
        <v>1990</v>
      </c>
      <c r="J119" s="7">
        <f>LOOKUP(I119,CPI!A$69:A$103,CPI!O$69:O$103)</f>
        <v>1.6683703136954862</v>
      </c>
      <c r="K119" s="5">
        <v>1990</v>
      </c>
      <c r="L119" s="7">
        <f t="shared" ca="1" si="70"/>
        <v>1</v>
      </c>
      <c r="M119" s="7">
        <f t="shared" si="62"/>
        <v>0.33</v>
      </c>
      <c r="N119" s="14">
        <v>0.1</v>
      </c>
      <c r="O119" s="1">
        <f ca="1">P119*J119*(1+Growth!G$6)^(2010-K119)</f>
        <v>50.380888164676627</v>
      </c>
      <c r="P119" s="1">
        <f>6.1*44/12</f>
        <v>22.366666666666664</v>
      </c>
      <c r="Q119" s="2">
        <f t="shared" si="95"/>
        <v>22.366666666666664</v>
      </c>
      <c r="R119" s="21">
        <f t="shared" ca="1" si="71"/>
        <v>2538.2338922616532</v>
      </c>
      <c r="X119" s="2">
        <f t="shared" si="91"/>
        <v>22.366666666666664</v>
      </c>
      <c r="AC119" s="1">
        <f t="shared" si="96"/>
        <v>3.3</v>
      </c>
      <c r="AD119" s="5">
        <v>1</v>
      </c>
      <c r="AE119" s="5">
        <v>0</v>
      </c>
      <c r="AF119" s="5">
        <v>1</v>
      </c>
      <c r="AG119" s="5">
        <v>0</v>
      </c>
      <c r="AH119" s="5">
        <v>0</v>
      </c>
      <c r="AI119" s="3">
        <f t="shared" si="64"/>
        <v>1.3</v>
      </c>
      <c r="AJ119" s="5">
        <f t="shared" si="88"/>
        <v>1</v>
      </c>
      <c r="AK119" s="5">
        <f t="shared" si="72"/>
        <v>0</v>
      </c>
      <c r="AL119" s="5">
        <f t="shared" si="73"/>
        <v>0</v>
      </c>
      <c r="AM119" s="5">
        <f t="shared" si="89"/>
        <v>0</v>
      </c>
      <c r="AN119" s="5">
        <f t="shared" si="74"/>
        <v>0</v>
      </c>
      <c r="AO119" s="5">
        <f t="shared" si="90"/>
        <v>0</v>
      </c>
      <c r="AP119" s="1">
        <v>5</v>
      </c>
      <c r="AQ119" s="1">
        <v>3</v>
      </c>
      <c r="AR119" s="5">
        <v>0</v>
      </c>
      <c r="AS119" s="5">
        <v>0</v>
      </c>
      <c r="AT119" s="5">
        <v>0</v>
      </c>
      <c r="AU119" s="5">
        <v>0</v>
      </c>
      <c r="AV119" s="5">
        <f t="shared" si="65"/>
        <v>1</v>
      </c>
      <c r="AW119" s="5">
        <f t="shared" si="66"/>
        <v>0</v>
      </c>
      <c r="AX119" s="5">
        <f t="shared" si="67"/>
        <v>0</v>
      </c>
      <c r="AY119" s="1">
        <f t="shared" si="97"/>
        <v>0</v>
      </c>
      <c r="AZ119" s="1">
        <f t="shared" si="98"/>
        <v>0</v>
      </c>
      <c r="BA119" s="1">
        <f t="shared" si="99"/>
        <v>0</v>
      </c>
      <c r="BB119" s="5">
        <v>0</v>
      </c>
      <c r="BC119" s="5">
        <v>0</v>
      </c>
      <c r="BD119" s="5">
        <v>0</v>
      </c>
      <c r="BE119" s="5">
        <f t="shared" si="100"/>
        <v>1</v>
      </c>
      <c r="BF119" s="5">
        <v>0</v>
      </c>
      <c r="BG119" s="5">
        <f t="shared" si="102"/>
        <v>0</v>
      </c>
      <c r="BH119" s="5">
        <f t="shared" si="102"/>
        <v>0</v>
      </c>
      <c r="BI119" s="5">
        <f t="shared" si="102"/>
        <v>0</v>
      </c>
      <c r="BJ119" s="5">
        <f t="shared" si="102"/>
        <v>1</v>
      </c>
      <c r="BK119" s="5">
        <f t="shared" si="102"/>
        <v>0</v>
      </c>
      <c r="BL119" s="5">
        <f t="shared" si="102"/>
        <v>0</v>
      </c>
      <c r="BM119" s="5">
        <f t="shared" si="102"/>
        <v>0</v>
      </c>
      <c r="BN119" s="5">
        <f t="shared" si="102"/>
        <v>0</v>
      </c>
      <c r="BO119" s="5">
        <f t="shared" si="101"/>
        <v>0</v>
      </c>
      <c r="BP119" s="5">
        <f t="shared" si="101"/>
        <v>0</v>
      </c>
      <c r="BQ119" s="5">
        <f t="shared" si="101"/>
        <v>0</v>
      </c>
      <c r="BR119" s="5">
        <f t="shared" si="101"/>
        <v>0</v>
      </c>
      <c r="BS119" s="5">
        <f t="shared" si="101"/>
        <v>0</v>
      </c>
      <c r="BT119" s="5">
        <f t="shared" si="101"/>
        <v>0</v>
      </c>
      <c r="BU119" s="5">
        <f t="shared" si="101"/>
        <v>0</v>
      </c>
      <c r="BV119" s="5">
        <f t="shared" si="101"/>
        <v>0</v>
      </c>
      <c r="BW119" s="5">
        <f t="shared" si="101"/>
        <v>0</v>
      </c>
      <c r="BX119" s="5">
        <f t="shared" si="101"/>
        <v>0</v>
      </c>
      <c r="BY119" s="5">
        <f t="shared" si="101"/>
        <v>0</v>
      </c>
      <c r="BZ119" s="5">
        <f t="shared" si="101"/>
        <v>0</v>
      </c>
      <c r="CA119" s="5">
        <f t="shared" si="101"/>
        <v>0</v>
      </c>
      <c r="CB119" s="5">
        <f t="shared" si="101"/>
        <v>0</v>
      </c>
      <c r="CC119" s="5">
        <f t="shared" si="94"/>
        <v>0</v>
      </c>
      <c r="CD119" s="5">
        <f t="shared" si="94"/>
        <v>0</v>
      </c>
      <c r="CE119" s="5">
        <f t="shared" si="94"/>
        <v>0</v>
      </c>
    </row>
    <row r="120" spans="1:83" x14ac:dyDescent="0.2">
      <c r="A120" s="1" t="s">
        <v>6</v>
      </c>
      <c r="B120" s="11" t="s">
        <v>98</v>
      </c>
      <c r="C120" s="1">
        <f>Growth!D125</f>
        <v>1</v>
      </c>
      <c r="D120" s="5">
        <f t="shared" si="69"/>
        <v>1994</v>
      </c>
      <c r="E120" s="5">
        <v>1994</v>
      </c>
      <c r="F120" s="5">
        <f ca="1">LOOKUP($E120,frequence!$A$2:$A$35,frequence!L$2:L$35)</f>
        <v>15.93092439465299</v>
      </c>
      <c r="G120" s="5">
        <f ca="1">LOOKUP($E120,frequence!$A$2:$A$35,frequence!K$2:K$35)</f>
        <v>0.27779376039752229</v>
      </c>
      <c r="H120" s="5">
        <f ca="1">LOOKUP($E120,frequence!$A$2:$A$35,frequence!M$2:M$35)</f>
        <v>79.59984291482354</v>
      </c>
      <c r="I120" s="5">
        <v>1988</v>
      </c>
      <c r="J120" s="7">
        <f>LOOKUP(I120,CPI!A$69:A$103,CPI!O$69:O$103)</f>
        <v>1.8432459847844465</v>
      </c>
      <c r="K120" s="5">
        <v>1995</v>
      </c>
      <c r="L120" s="7">
        <f t="shared" ca="1" si="70"/>
        <v>1</v>
      </c>
      <c r="M120" s="7">
        <f t="shared" si="62"/>
        <v>5.4</v>
      </c>
      <c r="N120" s="14">
        <v>1</v>
      </c>
      <c r="O120" s="1">
        <f ca="1">P120*J120*(1+Growth!G$6)^(2010-K120)</f>
        <v>46.86605628100358</v>
      </c>
      <c r="P120" s="2">
        <f>Q120</f>
        <v>20.3</v>
      </c>
      <c r="Q120" s="1">
        <v>20.3</v>
      </c>
      <c r="R120" s="21">
        <f t="shared" ca="1" si="71"/>
        <v>2196.4272313341953</v>
      </c>
      <c r="S120" s="1">
        <v>14.3</v>
      </c>
      <c r="U120" s="1">
        <v>6.2</v>
      </c>
      <c r="X120" s="2">
        <f t="shared" si="91"/>
        <v>20.3</v>
      </c>
      <c r="AA120" s="1">
        <v>45.2</v>
      </c>
      <c r="AC120" s="1">
        <f t="shared" si="29"/>
        <v>5.4</v>
      </c>
      <c r="AD120" s="5">
        <v>1</v>
      </c>
      <c r="AE120" s="5">
        <v>1</v>
      </c>
      <c r="AF120" s="5">
        <v>1</v>
      </c>
      <c r="AG120" s="5">
        <v>0</v>
      </c>
      <c r="AH120" s="5">
        <v>1</v>
      </c>
      <c r="AI120" s="3">
        <f t="shared" si="64"/>
        <v>1.4</v>
      </c>
      <c r="AJ120" s="5">
        <f t="shared" si="88"/>
        <v>0</v>
      </c>
      <c r="AK120" s="5">
        <f t="shared" si="72"/>
        <v>0</v>
      </c>
      <c r="AL120" s="5">
        <f t="shared" si="73"/>
        <v>0</v>
      </c>
      <c r="AM120" s="5">
        <f t="shared" si="89"/>
        <v>0</v>
      </c>
      <c r="AN120" s="5">
        <f t="shared" si="74"/>
        <v>0</v>
      </c>
      <c r="AO120" s="5">
        <f t="shared" si="90"/>
        <v>0</v>
      </c>
      <c r="AP120" s="1" t="s">
        <v>42</v>
      </c>
      <c r="AQ120" s="1" t="s">
        <v>42</v>
      </c>
      <c r="AR120" s="5">
        <v>0</v>
      </c>
      <c r="AS120" s="5">
        <v>0</v>
      </c>
      <c r="AT120" s="5">
        <v>1</v>
      </c>
      <c r="AU120" s="5">
        <v>1</v>
      </c>
      <c r="AV120" s="5">
        <f t="shared" si="65"/>
        <v>1</v>
      </c>
      <c r="AW120" s="5">
        <f t="shared" si="66"/>
        <v>0</v>
      </c>
      <c r="AX120" s="5">
        <f t="shared" si="67"/>
        <v>0</v>
      </c>
      <c r="AY120" s="1">
        <f t="shared" si="12"/>
        <v>0</v>
      </c>
      <c r="AZ120" s="1">
        <f t="shared" si="13"/>
        <v>0</v>
      </c>
      <c r="BA120" s="1">
        <f t="shared" si="14"/>
        <v>0</v>
      </c>
      <c r="BB120" s="5">
        <v>0</v>
      </c>
      <c r="BC120" s="5">
        <v>0</v>
      </c>
      <c r="BD120" s="5">
        <v>0</v>
      </c>
      <c r="BE120" s="5">
        <f t="shared" si="30"/>
        <v>1</v>
      </c>
      <c r="BF120" s="5">
        <v>0</v>
      </c>
      <c r="BG120" s="5">
        <f t="shared" si="102"/>
        <v>0</v>
      </c>
      <c r="BH120" s="5">
        <f t="shared" si="102"/>
        <v>0</v>
      </c>
      <c r="BI120" s="5">
        <f t="shared" si="102"/>
        <v>0</v>
      </c>
      <c r="BJ120" s="5">
        <f t="shared" si="102"/>
        <v>0</v>
      </c>
      <c r="BK120" s="5">
        <f t="shared" si="102"/>
        <v>1</v>
      </c>
      <c r="BL120" s="5">
        <f t="shared" si="102"/>
        <v>0</v>
      </c>
      <c r="BM120" s="5">
        <f t="shared" si="102"/>
        <v>0</v>
      </c>
      <c r="BN120" s="5">
        <f t="shared" si="102"/>
        <v>0</v>
      </c>
      <c r="BO120" s="5">
        <f t="shared" si="101"/>
        <v>0</v>
      </c>
      <c r="BP120" s="5">
        <f t="shared" si="101"/>
        <v>0</v>
      </c>
      <c r="BQ120" s="5">
        <f t="shared" si="101"/>
        <v>0</v>
      </c>
      <c r="BR120" s="5">
        <f t="shared" si="101"/>
        <v>0</v>
      </c>
      <c r="BS120" s="5">
        <f t="shared" si="101"/>
        <v>0</v>
      </c>
      <c r="BT120" s="5">
        <f t="shared" si="101"/>
        <v>0</v>
      </c>
      <c r="BU120" s="5">
        <f t="shared" si="101"/>
        <v>0</v>
      </c>
      <c r="BV120" s="5">
        <f t="shared" si="101"/>
        <v>0</v>
      </c>
      <c r="BW120" s="5">
        <f t="shared" si="101"/>
        <v>0</v>
      </c>
      <c r="BX120" s="5">
        <f t="shared" si="101"/>
        <v>0</v>
      </c>
      <c r="BY120" s="5">
        <f t="shared" si="101"/>
        <v>0</v>
      </c>
      <c r="BZ120" s="5">
        <f t="shared" si="101"/>
        <v>0</v>
      </c>
      <c r="CA120" s="5">
        <f t="shared" si="101"/>
        <v>0</v>
      </c>
      <c r="CB120" s="5">
        <f t="shared" si="101"/>
        <v>0</v>
      </c>
      <c r="CC120" s="5">
        <f t="shared" si="94"/>
        <v>0</v>
      </c>
      <c r="CD120" s="5">
        <f t="shared" si="94"/>
        <v>0</v>
      </c>
      <c r="CE120" s="5">
        <f t="shared" si="94"/>
        <v>0</v>
      </c>
    </row>
    <row r="121" spans="1:83" x14ac:dyDescent="0.2">
      <c r="A121" s="1" t="s">
        <v>20</v>
      </c>
      <c r="B121" s="1" t="s">
        <v>74</v>
      </c>
      <c r="C121" s="1">
        <f>Growth!D126</f>
        <v>1</v>
      </c>
      <c r="D121" s="5">
        <f t="shared" si="69"/>
        <v>1994</v>
      </c>
      <c r="E121" s="5">
        <v>1994</v>
      </c>
      <c r="F121" s="5">
        <f ca="1">LOOKUP($E121,frequence!$A$2:$A$35,frequence!L$2:L$35)</f>
        <v>15.93092439465299</v>
      </c>
      <c r="G121" s="5">
        <f ca="1">LOOKUP($E121,frequence!$A$2:$A$35,frequence!K$2:K$35)</f>
        <v>0.27779376039752229</v>
      </c>
      <c r="H121" s="5">
        <f ca="1">LOOKUP($E121,frequence!$A$2:$A$35,frequence!M$2:M$35)</f>
        <v>79.59984291482354</v>
      </c>
      <c r="I121" s="18">
        <v>1989</v>
      </c>
      <c r="J121" s="7">
        <f>LOOKUP(I121,CPI!A$69:A$103,CPI!O$69:O$103)</f>
        <v>1.7585161290322582</v>
      </c>
      <c r="K121" s="18">
        <v>1995</v>
      </c>
      <c r="L121" s="7">
        <f t="shared" ca="1" si="70"/>
        <v>1</v>
      </c>
      <c r="M121" s="7">
        <f t="shared" si="62"/>
        <v>4.4000000000000004</v>
      </c>
      <c r="N121" s="14">
        <v>1</v>
      </c>
      <c r="O121" s="1">
        <f ca="1">P121*J121*(1+Growth!G$6)^(2010-K121)</f>
        <v>11.65148024910456</v>
      </c>
      <c r="P121" s="1">
        <v>5.29</v>
      </c>
      <c r="Q121" s="2">
        <f>P121</f>
        <v>5.29</v>
      </c>
      <c r="R121" s="21">
        <f t="shared" ca="1" si="71"/>
        <v>135.75699199527367</v>
      </c>
      <c r="X121" s="2">
        <f t="shared" si="91"/>
        <v>5.29</v>
      </c>
      <c r="AC121" s="1">
        <f t="shared" si="29"/>
        <v>4.4000000000000004</v>
      </c>
      <c r="AD121" s="5">
        <v>0</v>
      </c>
      <c r="AE121" s="5">
        <v>1</v>
      </c>
      <c r="AF121" s="5">
        <v>1</v>
      </c>
      <c r="AG121" s="5">
        <v>0</v>
      </c>
      <c r="AH121" s="5">
        <v>1</v>
      </c>
      <c r="AI121" s="3">
        <f t="shared" si="64"/>
        <v>1.4</v>
      </c>
      <c r="AJ121" s="5">
        <f t="shared" si="88"/>
        <v>1</v>
      </c>
      <c r="AK121" s="5">
        <f t="shared" si="72"/>
        <v>0</v>
      </c>
      <c r="AL121" s="5">
        <f t="shared" si="73"/>
        <v>0</v>
      </c>
      <c r="AM121" s="5">
        <f t="shared" si="89"/>
        <v>0</v>
      </c>
      <c r="AN121" s="5">
        <f t="shared" si="74"/>
        <v>0</v>
      </c>
      <c r="AO121" s="5">
        <f t="shared" si="90"/>
        <v>0</v>
      </c>
      <c r="AP121" s="1">
        <v>5</v>
      </c>
      <c r="AQ121" s="1">
        <v>3</v>
      </c>
      <c r="AR121" s="5">
        <v>0</v>
      </c>
      <c r="AS121" s="5">
        <v>0</v>
      </c>
      <c r="AT121" s="5">
        <v>0</v>
      </c>
      <c r="AU121" s="5">
        <v>0</v>
      </c>
      <c r="AV121" s="5">
        <f t="shared" si="65"/>
        <v>1</v>
      </c>
      <c r="AW121" s="5">
        <f t="shared" si="66"/>
        <v>0</v>
      </c>
      <c r="AX121" s="5">
        <f t="shared" si="67"/>
        <v>0</v>
      </c>
      <c r="AY121" s="1">
        <f t="shared" si="12"/>
        <v>0</v>
      </c>
      <c r="AZ121" s="1">
        <f t="shared" si="13"/>
        <v>0</v>
      </c>
      <c r="BA121" s="1">
        <f t="shared" si="14"/>
        <v>0</v>
      </c>
      <c r="BB121" s="5">
        <v>0</v>
      </c>
      <c r="BC121" s="5">
        <v>1</v>
      </c>
      <c r="BD121" s="5">
        <v>0</v>
      </c>
      <c r="BE121" s="5">
        <f t="shared" si="30"/>
        <v>0</v>
      </c>
      <c r="BF121" s="5">
        <v>1</v>
      </c>
      <c r="BG121" s="5">
        <f t="shared" si="102"/>
        <v>0</v>
      </c>
      <c r="BH121" s="5">
        <f t="shared" si="102"/>
        <v>0</v>
      </c>
      <c r="BI121" s="5">
        <f t="shared" si="102"/>
        <v>0</v>
      </c>
      <c r="BJ121" s="5">
        <f t="shared" si="102"/>
        <v>0</v>
      </c>
      <c r="BK121" s="5">
        <f t="shared" si="102"/>
        <v>1</v>
      </c>
      <c r="BL121" s="5">
        <f t="shared" si="102"/>
        <v>0</v>
      </c>
      <c r="BM121" s="5">
        <f t="shared" si="102"/>
        <v>0</v>
      </c>
      <c r="BN121" s="5">
        <f t="shared" si="102"/>
        <v>0</v>
      </c>
      <c r="BO121" s="5">
        <f t="shared" si="101"/>
        <v>0</v>
      </c>
      <c r="BP121" s="5">
        <f t="shared" si="101"/>
        <v>0</v>
      </c>
      <c r="BQ121" s="5">
        <f t="shared" si="101"/>
        <v>0</v>
      </c>
      <c r="BR121" s="5">
        <f t="shared" si="101"/>
        <v>0</v>
      </c>
      <c r="BS121" s="5">
        <f t="shared" si="101"/>
        <v>0</v>
      </c>
      <c r="BT121" s="5">
        <f t="shared" si="101"/>
        <v>0</v>
      </c>
      <c r="BU121" s="5">
        <f t="shared" si="101"/>
        <v>0</v>
      </c>
      <c r="BV121" s="5">
        <f t="shared" si="101"/>
        <v>0</v>
      </c>
      <c r="BW121" s="5">
        <f t="shared" si="101"/>
        <v>0</v>
      </c>
      <c r="BX121" s="5">
        <f t="shared" si="101"/>
        <v>0</v>
      </c>
      <c r="BY121" s="5">
        <f t="shared" si="101"/>
        <v>0</v>
      </c>
      <c r="BZ121" s="5">
        <f t="shared" si="101"/>
        <v>0</v>
      </c>
      <c r="CA121" s="5">
        <f t="shared" si="101"/>
        <v>0</v>
      </c>
      <c r="CB121" s="5">
        <f t="shared" si="101"/>
        <v>0</v>
      </c>
      <c r="CC121" s="5">
        <f t="shared" si="94"/>
        <v>0</v>
      </c>
      <c r="CD121" s="5">
        <f t="shared" si="94"/>
        <v>0</v>
      </c>
      <c r="CE121" s="5">
        <f t="shared" si="94"/>
        <v>0</v>
      </c>
    </row>
    <row r="122" spans="1:83" x14ac:dyDescent="0.2">
      <c r="A122" s="1" t="s">
        <v>40</v>
      </c>
      <c r="B122" s="1" t="s">
        <v>94</v>
      </c>
      <c r="C122" s="1">
        <f>Growth!D127</f>
        <v>0</v>
      </c>
      <c r="D122" s="5">
        <f t="shared" si="69"/>
        <v>1994</v>
      </c>
      <c r="E122" s="5">
        <v>1994</v>
      </c>
      <c r="F122" s="5">
        <f ca="1">LOOKUP($E122,frequence!$A$2:$A$35,frequence!L$2:L$35)</f>
        <v>15.93092439465299</v>
      </c>
      <c r="G122" s="5">
        <f ca="1">LOOKUP($E122,frequence!$A$2:$A$35,frequence!K$2:K$35)</f>
        <v>0.27779376039752229</v>
      </c>
      <c r="H122" s="5">
        <f ca="1">LOOKUP($E122,frequence!$A$2:$A$35,frequence!M$2:M$35)</f>
        <v>79.59984291482354</v>
      </c>
      <c r="I122" s="18">
        <v>1990</v>
      </c>
      <c r="J122" s="7">
        <f>LOOKUP(I122,CPI!A$69:A$103,CPI!O$69:O$103)</f>
        <v>1.6683703136954862</v>
      </c>
      <c r="K122" s="18">
        <v>1990</v>
      </c>
      <c r="L122" s="7">
        <f t="shared" ca="1" si="70"/>
        <v>1</v>
      </c>
      <c r="M122" s="7">
        <f t="shared" si="62"/>
        <v>0.6</v>
      </c>
      <c r="N122" s="14">
        <v>0.25</v>
      </c>
      <c r="O122" s="1">
        <f ca="1">P122*J122*(1+Growth!G$6)^(2010-K122)</f>
        <v>112.62493628467206</v>
      </c>
      <c r="P122" s="1">
        <v>50</v>
      </c>
      <c r="Q122" s="2">
        <f>P122</f>
        <v>50</v>
      </c>
      <c r="R122" s="21">
        <f t="shared" ca="1" si="71"/>
        <v>12684.376273126441</v>
      </c>
      <c r="X122" s="2">
        <f t="shared" si="91"/>
        <v>50</v>
      </c>
      <c r="AC122" s="1">
        <f t="shared" si="29"/>
        <v>2.4</v>
      </c>
      <c r="AD122" s="5">
        <v>1</v>
      </c>
      <c r="AE122" s="5">
        <v>0</v>
      </c>
      <c r="AF122" s="5">
        <v>0</v>
      </c>
      <c r="AG122" s="5">
        <v>0</v>
      </c>
      <c r="AH122" s="5">
        <v>0</v>
      </c>
      <c r="AI122" s="3">
        <f t="shared" si="64"/>
        <v>1.4</v>
      </c>
      <c r="AJ122" s="5">
        <f t="shared" si="88"/>
        <v>0</v>
      </c>
      <c r="AK122" s="5">
        <f t="shared" si="72"/>
        <v>0</v>
      </c>
      <c r="AL122" s="5">
        <f t="shared" si="73"/>
        <v>0</v>
      </c>
      <c r="AM122" s="5">
        <f t="shared" si="89"/>
        <v>0</v>
      </c>
      <c r="AN122" s="5">
        <f t="shared" si="74"/>
        <v>0</v>
      </c>
      <c r="AO122" s="5">
        <f t="shared" si="90"/>
        <v>1</v>
      </c>
      <c r="AP122" s="1" t="s">
        <v>42</v>
      </c>
      <c r="AQ122" s="1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f t="shared" si="65"/>
        <v>1</v>
      </c>
      <c r="AW122" s="5">
        <f t="shared" si="66"/>
        <v>0</v>
      </c>
      <c r="AX122" s="5">
        <f t="shared" si="67"/>
        <v>0</v>
      </c>
      <c r="AY122" s="1">
        <f t="shared" si="12"/>
        <v>0</v>
      </c>
      <c r="AZ122" s="1">
        <f t="shared" si="13"/>
        <v>0</v>
      </c>
      <c r="BA122" s="1">
        <f t="shared" si="14"/>
        <v>0</v>
      </c>
      <c r="BB122" s="5">
        <v>0</v>
      </c>
      <c r="BC122" s="5">
        <v>0</v>
      </c>
      <c r="BD122" s="5">
        <v>0</v>
      </c>
      <c r="BE122" s="5">
        <f t="shared" si="30"/>
        <v>1</v>
      </c>
      <c r="BF122" s="5">
        <v>0</v>
      </c>
      <c r="BG122" s="5">
        <f t="shared" si="102"/>
        <v>0</v>
      </c>
      <c r="BH122" s="5">
        <f t="shared" si="102"/>
        <v>0</v>
      </c>
      <c r="BI122" s="5">
        <f t="shared" si="102"/>
        <v>0</v>
      </c>
      <c r="BJ122" s="5">
        <f t="shared" si="102"/>
        <v>0</v>
      </c>
      <c r="BK122" s="5">
        <f t="shared" si="102"/>
        <v>1</v>
      </c>
      <c r="BL122" s="5">
        <f t="shared" si="102"/>
        <v>0</v>
      </c>
      <c r="BM122" s="5">
        <f t="shared" si="102"/>
        <v>0</v>
      </c>
      <c r="BN122" s="5">
        <f t="shared" si="102"/>
        <v>0</v>
      </c>
      <c r="BO122" s="5">
        <f t="shared" si="101"/>
        <v>0</v>
      </c>
      <c r="BP122" s="5">
        <f t="shared" si="101"/>
        <v>0</v>
      </c>
      <c r="BQ122" s="5">
        <f t="shared" si="101"/>
        <v>0</v>
      </c>
      <c r="BR122" s="5">
        <f t="shared" si="101"/>
        <v>0</v>
      </c>
      <c r="BS122" s="5">
        <f t="shared" si="101"/>
        <v>0</v>
      </c>
      <c r="BT122" s="5">
        <f t="shared" si="101"/>
        <v>0</v>
      </c>
      <c r="BU122" s="5">
        <f t="shared" si="101"/>
        <v>0</v>
      </c>
      <c r="BV122" s="5">
        <f t="shared" si="101"/>
        <v>0</v>
      </c>
      <c r="BW122" s="5">
        <f t="shared" si="101"/>
        <v>0</v>
      </c>
      <c r="BX122" s="5">
        <f t="shared" si="101"/>
        <v>0</v>
      </c>
      <c r="BY122" s="5">
        <f t="shared" si="101"/>
        <v>0</v>
      </c>
      <c r="BZ122" s="5">
        <f t="shared" si="101"/>
        <v>0</v>
      </c>
      <c r="CA122" s="5">
        <f t="shared" si="101"/>
        <v>0</v>
      </c>
      <c r="CB122" s="5">
        <f t="shared" si="101"/>
        <v>0</v>
      </c>
      <c r="CC122" s="5">
        <f t="shared" si="94"/>
        <v>0</v>
      </c>
      <c r="CD122" s="5">
        <f t="shared" si="94"/>
        <v>0</v>
      </c>
      <c r="CE122" s="5">
        <f t="shared" si="94"/>
        <v>0</v>
      </c>
    </row>
    <row r="123" spans="1:83" x14ac:dyDescent="0.2">
      <c r="C123" s="1">
        <f>Growth!D128</f>
        <v>0</v>
      </c>
      <c r="D123" s="5" t="b">
        <f t="shared" si="69"/>
        <v>0</v>
      </c>
      <c r="E123" s="5">
        <v>1994</v>
      </c>
      <c r="F123" s="5">
        <f ca="1">LOOKUP($E123,frequence!$A$2:$A$35,frequence!L$2:L$35)</f>
        <v>15.93092439465299</v>
      </c>
      <c r="G123" s="5">
        <f ca="1">LOOKUP($E123,frequence!$A$2:$A$35,frequence!K$2:K$35)</f>
        <v>0.27779376039752229</v>
      </c>
      <c r="H123" s="5">
        <f ca="1">LOOKUP($E123,frequence!$A$2:$A$35,frequence!M$2:M$35)</f>
        <v>79.59984291482354</v>
      </c>
      <c r="I123" s="18">
        <v>1990</v>
      </c>
      <c r="J123" s="7">
        <f>LOOKUP(I123,CPI!A$69:A$103,CPI!O$69:O$103)</f>
        <v>1.6683703136954862</v>
      </c>
      <c r="K123" s="18">
        <v>1990</v>
      </c>
      <c r="L123" s="7">
        <f t="shared" ca="1" si="70"/>
        <v>1</v>
      </c>
      <c r="M123" s="7">
        <f t="shared" si="62"/>
        <v>1.2</v>
      </c>
      <c r="N123" s="14">
        <v>0.5</v>
      </c>
      <c r="O123" s="1">
        <f ca="1">P123*J123*(1+Growth!G$6)^(2010-K123)</f>
        <v>450.49974513868824</v>
      </c>
      <c r="P123" s="1">
        <v>200</v>
      </c>
      <c r="Q123" s="2">
        <f>P123</f>
        <v>200</v>
      </c>
      <c r="R123" s="21">
        <f t="shared" ca="1" si="71"/>
        <v>202950.02037002306</v>
      </c>
      <c r="X123" s="2">
        <f t="shared" si="91"/>
        <v>200</v>
      </c>
      <c r="AC123" s="1">
        <f t="shared" si="29"/>
        <v>2.4</v>
      </c>
      <c r="AD123" s="5">
        <v>1</v>
      </c>
      <c r="AE123" s="5">
        <v>0</v>
      </c>
      <c r="AF123" s="5">
        <v>0</v>
      </c>
      <c r="AG123" s="5">
        <v>0</v>
      </c>
      <c r="AH123" s="5">
        <v>0</v>
      </c>
      <c r="AI123" s="3">
        <f t="shared" si="64"/>
        <v>1.4</v>
      </c>
      <c r="AJ123" s="5">
        <f t="shared" si="88"/>
        <v>0</v>
      </c>
      <c r="AK123" s="5">
        <f t="shared" si="72"/>
        <v>0</v>
      </c>
      <c r="AL123" s="5">
        <f t="shared" si="73"/>
        <v>0</v>
      </c>
      <c r="AM123" s="5">
        <f t="shared" si="89"/>
        <v>0</v>
      </c>
      <c r="AN123" s="5">
        <f t="shared" si="74"/>
        <v>0</v>
      </c>
      <c r="AO123" s="5">
        <f t="shared" si="90"/>
        <v>1</v>
      </c>
      <c r="AP123" s="1" t="s">
        <v>42</v>
      </c>
      <c r="AQ123" s="1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f t="shared" si="65"/>
        <v>1</v>
      </c>
      <c r="AW123" s="5">
        <f t="shared" si="66"/>
        <v>0</v>
      </c>
      <c r="AX123" s="5">
        <f t="shared" si="67"/>
        <v>0</v>
      </c>
      <c r="AY123" s="1">
        <f t="shared" si="12"/>
        <v>0</v>
      </c>
      <c r="AZ123" s="1">
        <f t="shared" si="13"/>
        <v>0</v>
      </c>
      <c r="BA123" s="1">
        <f t="shared" si="14"/>
        <v>0</v>
      </c>
      <c r="BB123" s="5">
        <v>0</v>
      </c>
      <c r="BC123" s="5">
        <v>0</v>
      </c>
      <c r="BD123" s="5">
        <v>0</v>
      </c>
      <c r="BE123" s="5">
        <f t="shared" si="30"/>
        <v>1</v>
      </c>
      <c r="BF123" s="5">
        <v>0</v>
      </c>
      <c r="BG123" s="5">
        <f t="shared" si="102"/>
        <v>0</v>
      </c>
      <c r="BH123" s="5">
        <f t="shared" si="102"/>
        <v>0</v>
      </c>
      <c r="BI123" s="5">
        <f t="shared" si="102"/>
        <v>0</v>
      </c>
      <c r="BJ123" s="5">
        <f t="shared" si="102"/>
        <v>0</v>
      </c>
      <c r="BK123" s="5">
        <f t="shared" si="102"/>
        <v>1</v>
      </c>
      <c r="BL123" s="5">
        <f t="shared" si="102"/>
        <v>0</v>
      </c>
      <c r="BM123" s="5">
        <f t="shared" si="102"/>
        <v>0</v>
      </c>
      <c r="BN123" s="5">
        <f t="shared" si="102"/>
        <v>0</v>
      </c>
      <c r="BO123" s="5">
        <f t="shared" si="101"/>
        <v>0</v>
      </c>
      <c r="BP123" s="5">
        <f t="shared" si="101"/>
        <v>0</v>
      </c>
      <c r="BQ123" s="5">
        <f t="shared" si="101"/>
        <v>0</v>
      </c>
      <c r="BR123" s="5">
        <f t="shared" si="101"/>
        <v>0</v>
      </c>
      <c r="BS123" s="5">
        <f t="shared" si="101"/>
        <v>0</v>
      </c>
      <c r="BT123" s="5">
        <f t="shared" si="101"/>
        <v>0</v>
      </c>
      <c r="BU123" s="5">
        <f t="shared" si="101"/>
        <v>0</v>
      </c>
      <c r="BV123" s="5">
        <f t="shared" si="101"/>
        <v>0</v>
      </c>
      <c r="BW123" s="5">
        <f t="shared" si="101"/>
        <v>0</v>
      </c>
      <c r="BX123" s="5">
        <f t="shared" si="101"/>
        <v>0</v>
      </c>
      <c r="BY123" s="5">
        <f t="shared" si="101"/>
        <v>0</v>
      </c>
      <c r="BZ123" s="5">
        <f t="shared" si="101"/>
        <v>0</v>
      </c>
      <c r="CA123" s="5">
        <f t="shared" si="101"/>
        <v>0</v>
      </c>
      <c r="CB123" s="5">
        <f t="shared" si="101"/>
        <v>0</v>
      </c>
      <c r="CC123" s="5">
        <f t="shared" si="101"/>
        <v>0</v>
      </c>
      <c r="CD123" s="5">
        <f t="shared" ref="CD123:CE142" si="103">IF($E123=CD$2,1,0)</f>
        <v>0</v>
      </c>
      <c r="CE123" s="5">
        <f t="shared" si="103"/>
        <v>0</v>
      </c>
    </row>
    <row r="124" spans="1:83" x14ac:dyDescent="0.2">
      <c r="C124" s="1">
        <f>Growth!D129</f>
        <v>0</v>
      </c>
      <c r="D124" s="5" t="b">
        <f t="shared" si="69"/>
        <v>0</v>
      </c>
      <c r="E124" s="5">
        <v>1994</v>
      </c>
      <c r="F124" s="5">
        <f ca="1">LOOKUP($E124,frequence!$A$2:$A$35,frequence!L$2:L$35)</f>
        <v>15.93092439465299</v>
      </c>
      <c r="G124" s="5">
        <f ca="1">LOOKUP($E124,frequence!$A$2:$A$35,frequence!K$2:K$35)</f>
        <v>0.27779376039752229</v>
      </c>
      <c r="H124" s="5">
        <f ca="1">LOOKUP($E124,frequence!$A$2:$A$35,frequence!M$2:M$35)</f>
        <v>79.59984291482354</v>
      </c>
      <c r="I124" s="18">
        <v>1990</v>
      </c>
      <c r="J124" s="7">
        <f>LOOKUP(I124,CPI!A$69:A$103,CPI!O$69:O$103)</f>
        <v>1.6683703136954862</v>
      </c>
      <c r="K124" s="18">
        <v>1990</v>
      </c>
      <c r="L124" s="7">
        <f t="shared" ca="1" si="70"/>
        <v>1</v>
      </c>
      <c r="M124" s="7">
        <f t="shared" si="62"/>
        <v>0.6</v>
      </c>
      <c r="N124" s="14">
        <v>0.25</v>
      </c>
      <c r="O124" s="1">
        <f ca="1">P124*J124*(1+Growth!G$6)^(2010-K124)</f>
        <v>1126.2493628467205</v>
      </c>
      <c r="P124" s="1">
        <v>500</v>
      </c>
      <c r="Q124" s="2">
        <f>P124</f>
        <v>500</v>
      </c>
      <c r="R124" s="21">
        <f t="shared" ca="1" si="71"/>
        <v>1268437.6273126439</v>
      </c>
      <c r="X124" s="2">
        <f t="shared" si="91"/>
        <v>500</v>
      </c>
      <c r="AC124" s="1">
        <f t="shared" si="29"/>
        <v>2.4</v>
      </c>
      <c r="AD124" s="5">
        <v>1</v>
      </c>
      <c r="AE124" s="5">
        <v>0</v>
      </c>
      <c r="AF124" s="5">
        <v>0</v>
      </c>
      <c r="AG124" s="5">
        <v>0</v>
      </c>
      <c r="AH124" s="5">
        <v>0</v>
      </c>
      <c r="AI124" s="3">
        <f t="shared" si="64"/>
        <v>1.4</v>
      </c>
      <c r="AJ124" s="5">
        <f t="shared" si="88"/>
        <v>0</v>
      </c>
      <c r="AK124" s="5">
        <f t="shared" si="72"/>
        <v>0</v>
      </c>
      <c r="AL124" s="5">
        <f t="shared" si="73"/>
        <v>0</v>
      </c>
      <c r="AM124" s="5">
        <f t="shared" si="89"/>
        <v>0</v>
      </c>
      <c r="AN124" s="5">
        <f t="shared" si="74"/>
        <v>0</v>
      </c>
      <c r="AO124" s="5">
        <f t="shared" si="90"/>
        <v>1</v>
      </c>
      <c r="AP124" s="1" t="s">
        <v>42</v>
      </c>
      <c r="AQ124" s="1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f t="shared" si="65"/>
        <v>1</v>
      </c>
      <c r="AW124" s="5">
        <f t="shared" si="66"/>
        <v>0</v>
      </c>
      <c r="AX124" s="5">
        <f t="shared" si="67"/>
        <v>0</v>
      </c>
      <c r="AY124" s="1">
        <f t="shared" si="12"/>
        <v>0</v>
      </c>
      <c r="AZ124" s="1">
        <f t="shared" si="13"/>
        <v>0</v>
      </c>
      <c r="BA124" s="1">
        <f t="shared" si="14"/>
        <v>0</v>
      </c>
      <c r="BB124" s="5">
        <v>0</v>
      </c>
      <c r="BC124" s="5">
        <v>0</v>
      </c>
      <c r="BD124" s="5">
        <v>0</v>
      </c>
      <c r="BE124" s="5">
        <f t="shared" si="30"/>
        <v>1</v>
      </c>
      <c r="BF124" s="5">
        <v>0</v>
      </c>
      <c r="BG124" s="5">
        <f t="shared" si="102"/>
        <v>0</v>
      </c>
      <c r="BH124" s="5">
        <f t="shared" si="102"/>
        <v>0</v>
      </c>
      <c r="BI124" s="5">
        <f t="shared" si="102"/>
        <v>0</v>
      </c>
      <c r="BJ124" s="5">
        <f t="shared" si="102"/>
        <v>0</v>
      </c>
      <c r="BK124" s="5">
        <f t="shared" si="102"/>
        <v>1</v>
      </c>
      <c r="BL124" s="5">
        <f t="shared" si="102"/>
        <v>0</v>
      </c>
      <c r="BM124" s="5">
        <f t="shared" si="102"/>
        <v>0</v>
      </c>
      <c r="BN124" s="5">
        <f t="shared" si="102"/>
        <v>0</v>
      </c>
      <c r="BO124" s="5">
        <f t="shared" si="101"/>
        <v>0</v>
      </c>
      <c r="BP124" s="5">
        <f t="shared" si="101"/>
        <v>0</v>
      </c>
      <c r="BQ124" s="5">
        <f t="shared" si="101"/>
        <v>0</v>
      </c>
      <c r="BR124" s="5">
        <f t="shared" si="101"/>
        <v>0</v>
      </c>
      <c r="BS124" s="5">
        <f t="shared" si="101"/>
        <v>0</v>
      </c>
      <c r="BT124" s="5">
        <f t="shared" si="101"/>
        <v>0</v>
      </c>
      <c r="BU124" s="5">
        <f t="shared" si="101"/>
        <v>0</v>
      </c>
      <c r="BV124" s="5">
        <f t="shared" si="101"/>
        <v>0</v>
      </c>
      <c r="BW124" s="5">
        <f t="shared" si="101"/>
        <v>0</v>
      </c>
      <c r="BX124" s="5">
        <f t="shared" si="101"/>
        <v>0</v>
      </c>
      <c r="BY124" s="5">
        <f t="shared" si="101"/>
        <v>0</v>
      </c>
      <c r="BZ124" s="5">
        <f t="shared" si="101"/>
        <v>0</v>
      </c>
      <c r="CA124" s="5">
        <f t="shared" si="101"/>
        <v>0</v>
      </c>
      <c r="CB124" s="5">
        <f t="shared" si="101"/>
        <v>0</v>
      </c>
      <c r="CC124" s="5">
        <f t="shared" si="101"/>
        <v>0</v>
      </c>
      <c r="CD124" s="5">
        <f t="shared" si="103"/>
        <v>0</v>
      </c>
      <c r="CE124" s="5">
        <f t="shared" si="103"/>
        <v>0</v>
      </c>
    </row>
    <row r="125" spans="1:83" x14ac:dyDescent="0.2">
      <c r="A125" s="1" t="s">
        <v>23</v>
      </c>
      <c r="B125" s="11" t="s">
        <v>99</v>
      </c>
      <c r="C125" s="1">
        <f>Growth!D130</f>
        <v>1</v>
      </c>
      <c r="D125" s="5">
        <f t="shared" si="69"/>
        <v>1995</v>
      </c>
      <c r="E125" s="5">
        <v>1995</v>
      </c>
      <c r="F125" s="5">
        <f ca="1">LOOKUP($E125,frequence!$A$2:$A$35,frequence!L$2:L$35)</f>
        <v>17.290762510300446</v>
      </c>
      <c r="G125" s="5">
        <f ca="1">LOOKUP($E125,frequence!$A$2:$A$35,frequence!K$2:K$35)</f>
        <v>0.28532312052241937</v>
      </c>
      <c r="H125" s="5">
        <f ca="1">LOOKUP($E125,frequence!$A$2:$A$35,frequence!M$2:M$35)</f>
        <v>110.56050466440421</v>
      </c>
      <c r="I125" s="5">
        <v>1990</v>
      </c>
      <c r="J125" s="7">
        <f>LOOKUP(I125,CPI!A$69:A$103,CPI!O$69:O$103)</f>
        <v>1.6683703136954862</v>
      </c>
      <c r="K125" s="5">
        <v>2000</v>
      </c>
      <c r="L125" s="7">
        <f t="shared" ca="1" si="70"/>
        <v>1</v>
      </c>
      <c r="M125" s="7">
        <f t="shared" si="62"/>
        <v>4.5</v>
      </c>
      <c r="N125" s="14">
        <v>1</v>
      </c>
      <c r="O125" s="1">
        <f ca="1">P125*J125*(1+Growth!G$6)^(2010-K125)</f>
        <v>31.947414103450058</v>
      </c>
      <c r="P125" s="1">
        <v>16.48</v>
      </c>
      <c r="Q125" s="2">
        <f>P125</f>
        <v>16.48</v>
      </c>
      <c r="R125" s="21">
        <f t="shared" ca="1" si="71"/>
        <v>1020.6372678973197</v>
      </c>
      <c r="X125" s="2">
        <f t="shared" si="91"/>
        <v>16.48</v>
      </c>
      <c r="AC125" s="1">
        <f t="shared" si="29"/>
        <v>4.5</v>
      </c>
      <c r="AD125" s="5">
        <v>1</v>
      </c>
      <c r="AE125" s="5">
        <v>0</v>
      </c>
      <c r="AF125" s="5">
        <v>1</v>
      </c>
      <c r="AG125" s="5">
        <v>0</v>
      </c>
      <c r="AH125" s="5">
        <v>1</v>
      </c>
      <c r="AI125" s="3">
        <f t="shared" si="64"/>
        <v>1.5</v>
      </c>
      <c r="AJ125" s="5">
        <f t="shared" si="88"/>
        <v>1</v>
      </c>
      <c r="AK125" s="5">
        <f t="shared" si="72"/>
        <v>0</v>
      </c>
      <c r="AL125" s="5">
        <f t="shared" si="73"/>
        <v>0</v>
      </c>
      <c r="AM125" s="5">
        <f t="shared" si="89"/>
        <v>0</v>
      </c>
      <c r="AN125" s="5">
        <f t="shared" si="74"/>
        <v>0</v>
      </c>
      <c r="AO125" s="5">
        <f t="shared" si="90"/>
        <v>0</v>
      </c>
      <c r="AP125" s="1">
        <v>5</v>
      </c>
      <c r="AQ125" s="1">
        <v>3</v>
      </c>
      <c r="AR125" s="5">
        <v>0</v>
      </c>
      <c r="AS125" s="5">
        <v>0</v>
      </c>
      <c r="AT125" s="5">
        <v>0</v>
      </c>
      <c r="AU125" s="5">
        <v>0</v>
      </c>
      <c r="AV125" s="5">
        <f t="shared" si="65"/>
        <v>1</v>
      </c>
      <c r="AW125" s="5">
        <f t="shared" si="66"/>
        <v>0</v>
      </c>
      <c r="AX125" s="5">
        <f t="shared" si="67"/>
        <v>0</v>
      </c>
      <c r="AY125" s="1">
        <f t="shared" si="12"/>
        <v>0</v>
      </c>
      <c r="AZ125" s="1">
        <f t="shared" si="13"/>
        <v>0</v>
      </c>
      <c r="BA125" s="1">
        <f t="shared" si="14"/>
        <v>0</v>
      </c>
      <c r="BB125" s="5">
        <v>0</v>
      </c>
      <c r="BC125" s="5">
        <v>0</v>
      </c>
      <c r="BD125" s="5">
        <v>0</v>
      </c>
      <c r="BE125" s="5">
        <f t="shared" si="30"/>
        <v>1</v>
      </c>
      <c r="BF125" s="5">
        <v>1</v>
      </c>
      <c r="BG125" s="5">
        <f t="shared" si="102"/>
        <v>0</v>
      </c>
      <c r="BH125" s="5">
        <f t="shared" si="102"/>
        <v>0</v>
      </c>
      <c r="BI125" s="5">
        <f t="shared" si="102"/>
        <v>0</v>
      </c>
      <c r="BJ125" s="5">
        <f t="shared" si="102"/>
        <v>0</v>
      </c>
      <c r="BK125" s="5">
        <f t="shared" si="102"/>
        <v>0</v>
      </c>
      <c r="BL125" s="5">
        <f t="shared" si="102"/>
        <v>1</v>
      </c>
      <c r="BM125" s="5">
        <f t="shared" si="102"/>
        <v>0</v>
      </c>
      <c r="BN125" s="5">
        <f t="shared" si="102"/>
        <v>0</v>
      </c>
      <c r="BO125" s="5">
        <f t="shared" si="101"/>
        <v>0</v>
      </c>
      <c r="BP125" s="5">
        <f t="shared" si="101"/>
        <v>0</v>
      </c>
      <c r="BQ125" s="5">
        <f t="shared" si="101"/>
        <v>0</v>
      </c>
      <c r="BR125" s="5">
        <f t="shared" si="101"/>
        <v>0</v>
      </c>
      <c r="BS125" s="5">
        <f t="shared" si="101"/>
        <v>0</v>
      </c>
      <c r="BT125" s="5">
        <f t="shared" si="101"/>
        <v>0</v>
      </c>
      <c r="BU125" s="5">
        <f t="shared" si="101"/>
        <v>0</v>
      </c>
      <c r="BV125" s="5">
        <f t="shared" si="101"/>
        <v>0</v>
      </c>
      <c r="BW125" s="5">
        <f t="shared" si="101"/>
        <v>0</v>
      </c>
      <c r="BX125" s="5">
        <f t="shared" si="101"/>
        <v>0</v>
      </c>
      <c r="BY125" s="5">
        <f t="shared" si="101"/>
        <v>0</v>
      </c>
      <c r="BZ125" s="5">
        <f t="shared" si="101"/>
        <v>0</v>
      </c>
      <c r="CA125" s="5">
        <f t="shared" si="101"/>
        <v>0</v>
      </c>
      <c r="CB125" s="5">
        <f t="shared" si="101"/>
        <v>0</v>
      </c>
      <c r="CC125" s="5">
        <f t="shared" si="101"/>
        <v>0</v>
      </c>
      <c r="CD125" s="5">
        <f t="shared" si="103"/>
        <v>0</v>
      </c>
      <c r="CE125" s="5">
        <f t="shared" si="103"/>
        <v>0</v>
      </c>
    </row>
    <row r="126" spans="1:83" x14ac:dyDescent="0.2">
      <c r="A126" s="1" t="s">
        <v>16</v>
      </c>
      <c r="B126" s="1" t="s">
        <v>101</v>
      </c>
      <c r="C126" s="1">
        <f>Growth!D131</f>
        <v>0</v>
      </c>
      <c r="D126" s="5">
        <f t="shared" si="69"/>
        <v>1996</v>
      </c>
      <c r="E126" s="5">
        <v>1996</v>
      </c>
      <c r="F126" s="5">
        <f ca="1">LOOKUP($E126,frequence!$A$2:$A$35,frequence!L$2:L$35)</f>
        <v>18.632669458936146</v>
      </c>
      <c r="G126" s="5">
        <f ca="1">LOOKUP($E126,frequence!$A$2:$A$35,frequence!K$2:K$35)</f>
        <v>0.29150512146707191</v>
      </c>
      <c r="H126" s="5">
        <f ca="1">LOOKUP($E126,frequence!$A$2:$A$35,frequence!M$2:M$35)</f>
        <v>112.20229674036523</v>
      </c>
      <c r="I126" s="18">
        <v>1990</v>
      </c>
      <c r="J126" s="7">
        <f>LOOKUP(I126,CPI!A$69:A$103,CPI!O$69:O$103)</f>
        <v>1.6683703136954862</v>
      </c>
      <c r="K126" s="5">
        <v>1990</v>
      </c>
      <c r="L126" s="7">
        <f t="shared" ca="1" si="70"/>
        <v>1</v>
      </c>
      <c r="M126" s="7">
        <f t="shared" si="62"/>
        <v>0.7</v>
      </c>
      <c r="N126" s="14">
        <f>2/16</f>
        <v>0.125</v>
      </c>
      <c r="O126" s="1">
        <f ca="1">P126*J126*(1+Growth!G$6)^(2010-K126)</f>
        <v>6.7574961770803235</v>
      </c>
      <c r="P126" s="2">
        <f t="shared" ref="P126:P135" si="104">Q126</f>
        <v>3</v>
      </c>
      <c r="Q126" s="1">
        <v>3</v>
      </c>
      <c r="R126" s="21">
        <f t="shared" ca="1" si="71"/>
        <v>45.663754583255184</v>
      </c>
      <c r="U126" s="1">
        <v>1</v>
      </c>
      <c r="X126" s="2">
        <f t="shared" si="91"/>
        <v>3</v>
      </c>
      <c r="AA126" s="1">
        <v>6</v>
      </c>
      <c r="AC126" s="1">
        <f t="shared" si="29"/>
        <v>5.6</v>
      </c>
      <c r="AD126" s="5">
        <v>1</v>
      </c>
      <c r="AE126" s="5">
        <v>1</v>
      </c>
      <c r="AF126" s="5">
        <v>1</v>
      </c>
      <c r="AG126" s="5">
        <v>0</v>
      </c>
      <c r="AH126" s="5">
        <v>1</v>
      </c>
      <c r="AI126" s="3">
        <f t="shared" si="64"/>
        <v>1.6</v>
      </c>
      <c r="AJ126" s="5">
        <f t="shared" si="88"/>
        <v>1</v>
      </c>
      <c r="AK126" s="5">
        <f t="shared" si="72"/>
        <v>0</v>
      </c>
      <c r="AL126" s="5">
        <f t="shared" si="73"/>
        <v>0</v>
      </c>
      <c r="AM126" s="5">
        <f t="shared" si="89"/>
        <v>0</v>
      </c>
      <c r="AN126" s="5">
        <f t="shared" si="74"/>
        <v>0</v>
      </c>
      <c r="AO126" s="5">
        <f t="shared" si="90"/>
        <v>0</v>
      </c>
      <c r="AP126" s="1">
        <v>5</v>
      </c>
      <c r="AQ126" s="1">
        <v>3</v>
      </c>
      <c r="AR126" s="5">
        <v>0</v>
      </c>
      <c r="AS126" s="5">
        <v>0</v>
      </c>
      <c r="AT126" s="5">
        <v>1</v>
      </c>
      <c r="AU126" s="5">
        <v>0</v>
      </c>
      <c r="AV126" s="5">
        <f t="shared" si="65"/>
        <v>0</v>
      </c>
      <c r="AW126" s="5">
        <f t="shared" si="66"/>
        <v>1</v>
      </c>
      <c r="AX126" s="5">
        <f t="shared" si="67"/>
        <v>0</v>
      </c>
      <c r="AY126" s="1">
        <f t="shared" si="12"/>
        <v>1</v>
      </c>
      <c r="AZ126" s="1">
        <f t="shared" si="13"/>
        <v>0</v>
      </c>
      <c r="BA126" s="1">
        <f t="shared" si="14"/>
        <v>0</v>
      </c>
      <c r="BB126" s="5">
        <v>1</v>
      </c>
      <c r="BC126" s="5">
        <v>0</v>
      </c>
      <c r="BD126" s="5">
        <v>0</v>
      </c>
      <c r="BE126" s="5">
        <f t="shared" si="30"/>
        <v>0</v>
      </c>
      <c r="BF126" s="5">
        <v>0</v>
      </c>
      <c r="BG126" s="5">
        <f t="shared" si="102"/>
        <v>0</v>
      </c>
      <c r="BH126" s="5">
        <f t="shared" si="102"/>
        <v>0</v>
      </c>
      <c r="BI126" s="5">
        <f t="shared" si="102"/>
        <v>0</v>
      </c>
      <c r="BJ126" s="5">
        <f t="shared" si="102"/>
        <v>0</v>
      </c>
      <c r="BK126" s="5">
        <f t="shared" si="102"/>
        <v>0</v>
      </c>
      <c r="BL126" s="5">
        <f t="shared" si="102"/>
        <v>0</v>
      </c>
      <c r="BM126" s="5">
        <f t="shared" si="102"/>
        <v>1</v>
      </c>
      <c r="BN126" s="5">
        <f t="shared" si="102"/>
        <v>0</v>
      </c>
      <c r="BO126" s="5">
        <f t="shared" si="101"/>
        <v>0</v>
      </c>
      <c r="BP126" s="5">
        <f t="shared" si="101"/>
        <v>0</v>
      </c>
      <c r="BQ126" s="5">
        <f t="shared" si="101"/>
        <v>0</v>
      </c>
      <c r="BR126" s="5">
        <f t="shared" si="101"/>
        <v>0</v>
      </c>
      <c r="BS126" s="5">
        <f t="shared" si="101"/>
        <v>0</v>
      </c>
      <c r="BT126" s="5">
        <f t="shared" si="101"/>
        <v>0</v>
      </c>
      <c r="BU126" s="5">
        <f t="shared" si="101"/>
        <v>0</v>
      </c>
      <c r="BV126" s="5">
        <f t="shared" si="101"/>
        <v>0</v>
      </c>
      <c r="BW126" s="5">
        <f t="shared" si="101"/>
        <v>0</v>
      </c>
      <c r="BX126" s="5">
        <f t="shared" si="101"/>
        <v>0</v>
      </c>
      <c r="BY126" s="5">
        <f t="shared" si="101"/>
        <v>0</v>
      </c>
      <c r="BZ126" s="5">
        <f t="shared" si="101"/>
        <v>0</v>
      </c>
      <c r="CA126" s="5">
        <f t="shared" si="101"/>
        <v>0</v>
      </c>
      <c r="CB126" s="5">
        <f t="shared" si="101"/>
        <v>0</v>
      </c>
      <c r="CC126" s="5">
        <f t="shared" si="101"/>
        <v>0</v>
      </c>
      <c r="CD126" s="5">
        <f t="shared" si="103"/>
        <v>0</v>
      </c>
      <c r="CE126" s="5">
        <f t="shared" si="103"/>
        <v>0</v>
      </c>
    </row>
    <row r="127" spans="1:83" x14ac:dyDescent="0.2">
      <c r="C127" s="1">
        <f>Growth!D132</f>
        <v>0</v>
      </c>
      <c r="D127" s="5" t="b">
        <f t="shared" si="69"/>
        <v>0</v>
      </c>
      <c r="E127" s="5">
        <v>1996</v>
      </c>
      <c r="F127" s="5">
        <f ca="1">LOOKUP($E127,frequence!$A$2:$A$35,frequence!L$2:L$35)</f>
        <v>18.632669458936146</v>
      </c>
      <c r="G127" s="5">
        <f ca="1">LOOKUP($E127,frequence!$A$2:$A$35,frequence!K$2:K$35)</f>
        <v>0.29150512146707191</v>
      </c>
      <c r="H127" s="5">
        <f ca="1">LOOKUP($E127,frequence!$A$2:$A$35,frequence!M$2:M$35)</f>
        <v>112.20229674036523</v>
      </c>
      <c r="I127" s="18">
        <v>1990</v>
      </c>
      <c r="J127" s="7">
        <f>LOOKUP(I127,CPI!A$69:A$103,CPI!O$69:O$103)</f>
        <v>1.6683703136954862</v>
      </c>
      <c r="K127" s="5">
        <v>1990</v>
      </c>
      <c r="L127" s="7">
        <f t="shared" ca="1" si="70"/>
        <v>1</v>
      </c>
      <c r="M127" s="7">
        <f t="shared" si="62"/>
        <v>0.35</v>
      </c>
      <c r="N127" s="14">
        <f>1/16</f>
        <v>6.25E-2</v>
      </c>
      <c r="O127" s="1">
        <f ca="1">P127*J127*(1+Growth!G$6)^(2010-K127)</f>
        <v>11.262493628467205</v>
      </c>
      <c r="P127" s="2">
        <f t="shared" ref="P127" si="105">Q127</f>
        <v>5</v>
      </c>
      <c r="Q127" s="1">
        <v>5</v>
      </c>
      <c r="R127" s="21">
        <f t="shared" ca="1" si="71"/>
        <v>126.84376273126438</v>
      </c>
      <c r="U127" s="1">
        <v>2</v>
      </c>
      <c r="X127" s="2">
        <f t="shared" si="91"/>
        <v>5</v>
      </c>
      <c r="AA127" s="1">
        <v>12</v>
      </c>
      <c r="AC127" s="1">
        <f t="shared" ref="AC127" si="106">SUM(AD127:AI127)</f>
        <v>5.6</v>
      </c>
      <c r="AD127" s="5">
        <v>1</v>
      </c>
      <c r="AE127" s="5">
        <v>1</v>
      </c>
      <c r="AF127" s="5">
        <v>1</v>
      </c>
      <c r="AG127" s="5">
        <v>0</v>
      </c>
      <c r="AH127" s="5">
        <v>1</v>
      </c>
      <c r="AI127" s="3">
        <f t="shared" si="64"/>
        <v>1.6</v>
      </c>
      <c r="AJ127" s="5">
        <f t="shared" si="88"/>
        <v>1</v>
      </c>
      <c r="AK127" s="5">
        <f t="shared" si="72"/>
        <v>0</v>
      </c>
      <c r="AL127" s="5">
        <f t="shared" si="73"/>
        <v>0</v>
      </c>
      <c r="AM127" s="5">
        <f t="shared" si="89"/>
        <v>0</v>
      </c>
      <c r="AN127" s="5">
        <f t="shared" si="74"/>
        <v>0</v>
      </c>
      <c r="AO127" s="5">
        <f t="shared" si="90"/>
        <v>0</v>
      </c>
      <c r="AP127" s="1">
        <v>5</v>
      </c>
      <c r="AQ127" s="1">
        <v>3</v>
      </c>
      <c r="AR127" s="5">
        <v>0</v>
      </c>
      <c r="AS127" s="5">
        <v>0</v>
      </c>
      <c r="AT127" s="5">
        <v>1</v>
      </c>
      <c r="AU127" s="5">
        <v>0</v>
      </c>
      <c r="AV127" s="5">
        <f t="shared" si="65"/>
        <v>0</v>
      </c>
      <c r="AW127" s="5">
        <f t="shared" si="66"/>
        <v>1</v>
      </c>
      <c r="AX127" s="5">
        <f t="shared" si="67"/>
        <v>0</v>
      </c>
      <c r="AY127" s="1">
        <f t="shared" ref="AY127" si="107">AJ127*$AD127*(1-$AV127)*(1-$AR127)</f>
        <v>1</v>
      </c>
      <c r="AZ127" s="1">
        <f t="shared" ref="AZ127" si="108">AM127*$AD127*(1-$AV127)*(1-$AR127)</f>
        <v>0</v>
      </c>
      <c r="BA127" s="1">
        <f t="shared" ref="BA127" si="109">AO127*$AD127*(1-$AV127)*(1-$AR127)</f>
        <v>0</v>
      </c>
      <c r="BB127" s="5">
        <v>1</v>
      </c>
      <c r="BC127" s="5">
        <v>0</v>
      </c>
      <c r="BD127" s="5">
        <v>0</v>
      </c>
      <c r="BE127" s="5">
        <f t="shared" ref="BE127" si="110">1-SUM(BB127:BD127)</f>
        <v>0</v>
      </c>
      <c r="BF127" s="5">
        <v>0</v>
      </c>
      <c r="BG127" s="5">
        <f t="shared" si="102"/>
        <v>0</v>
      </c>
      <c r="BH127" s="5">
        <f t="shared" si="102"/>
        <v>0</v>
      </c>
      <c r="BI127" s="5">
        <f t="shared" si="102"/>
        <v>0</v>
      </c>
      <c r="BJ127" s="5">
        <f t="shared" si="102"/>
        <v>0</v>
      </c>
      <c r="BK127" s="5">
        <f t="shared" si="102"/>
        <v>0</v>
      </c>
      <c r="BL127" s="5">
        <f t="shared" si="102"/>
        <v>0</v>
      </c>
      <c r="BM127" s="5">
        <f t="shared" si="102"/>
        <v>1</v>
      </c>
      <c r="BN127" s="5">
        <f t="shared" si="102"/>
        <v>0</v>
      </c>
      <c r="BO127" s="5">
        <f t="shared" si="101"/>
        <v>0</v>
      </c>
      <c r="BP127" s="5">
        <f t="shared" si="101"/>
        <v>0</v>
      </c>
      <c r="BQ127" s="5">
        <f t="shared" si="101"/>
        <v>0</v>
      </c>
      <c r="BR127" s="5">
        <f t="shared" si="101"/>
        <v>0</v>
      </c>
      <c r="BS127" s="5">
        <f t="shared" si="101"/>
        <v>0</v>
      </c>
      <c r="BT127" s="5">
        <f t="shared" si="101"/>
        <v>0</v>
      </c>
      <c r="BU127" s="5">
        <f t="shared" si="101"/>
        <v>0</v>
      </c>
      <c r="BV127" s="5">
        <f t="shared" si="101"/>
        <v>0</v>
      </c>
      <c r="BW127" s="5">
        <f t="shared" si="101"/>
        <v>0</v>
      </c>
      <c r="BX127" s="5">
        <f t="shared" si="101"/>
        <v>0</v>
      </c>
      <c r="BY127" s="5">
        <f t="shared" si="101"/>
        <v>0</v>
      </c>
      <c r="BZ127" s="5">
        <f t="shared" si="101"/>
        <v>0</v>
      </c>
      <c r="CA127" s="5">
        <f t="shared" si="101"/>
        <v>0</v>
      </c>
      <c r="CB127" s="5">
        <f t="shared" si="101"/>
        <v>0</v>
      </c>
      <c r="CC127" s="5">
        <f t="shared" si="101"/>
        <v>0</v>
      </c>
      <c r="CD127" s="5">
        <f t="shared" si="103"/>
        <v>0</v>
      </c>
      <c r="CE127" s="5">
        <f t="shared" si="103"/>
        <v>0</v>
      </c>
    </row>
    <row r="128" spans="1:83" x14ac:dyDescent="0.2">
      <c r="C128" s="1">
        <f>Growth!D133</f>
        <v>0</v>
      </c>
      <c r="D128" s="5" t="b">
        <f t="shared" si="69"/>
        <v>0</v>
      </c>
      <c r="E128" s="5">
        <v>1996</v>
      </c>
      <c r="F128" s="5">
        <f ca="1">LOOKUP($E128,frequence!$A$2:$A$35,frequence!L$2:L$35)</f>
        <v>18.632669458936146</v>
      </c>
      <c r="G128" s="5">
        <f ca="1">LOOKUP($E128,frequence!$A$2:$A$35,frequence!K$2:K$35)</f>
        <v>0.29150512146707191</v>
      </c>
      <c r="H128" s="5">
        <f ca="1">LOOKUP($E128,frequence!$A$2:$A$35,frequence!M$2:M$35)</f>
        <v>112.20229674036523</v>
      </c>
      <c r="I128" s="18">
        <v>1990</v>
      </c>
      <c r="J128" s="7">
        <f>LOOKUP(I128,CPI!A$69:A$103,CPI!O$69:O$103)</f>
        <v>1.6683703136954862</v>
      </c>
      <c r="K128" s="5">
        <v>1990</v>
      </c>
      <c r="L128" s="7">
        <f t="shared" ca="1" si="70"/>
        <v>1</v>
      </c>
      <c r="M128" s="7">
        <f t="shared" si="62"/>
        <v>0.7</v>
      </c>
      <c r="N128" s="14">
        <f>2/16</f>
        <v>0.125</v>
      </c>
      <c r="O128" s="1">
        <f ca="1">P128*J128*(1+Growth!G$6)^(2010-K128)</f>
        <v>18.019989805547528</v>
      </c>
      <c r="P128" s="2">
        <f t="shared" si="104"/>
        <v>8</v>
      </c>
      <c r="Q128" s="1">
        <v>8</v>
      </c>
      <c r="R128" s="21">
        <f t="shared" ca="1" si="71"/>
        <v>324.72003259203683</v>
      </c>
      <c r="U128" s="1">
        <v>3</v>
      </c>
      <c r="X128" s="2">
        <f t="shared" si="91"/>
        <v>8</v>
      </c>
      <c r="AA128" s="1">
        <v>12</v>
      </c>
      <c r="AC128" s="1">
        <f t="shared" si="29"/>
        <v>5.6</v>
      </c>
      <c r="AD128" s="5">
        <v>1</v>
      </c>
      <c r="AE128" s="5">
        <v>1</v>
      </c>
      <c r="AF128" s="5">
        <v>1</v>
      </c>
      <c r="AG128" s="5">
        <v>0</v>
      </c>
      <c r="AH128" s="5">
        <v>1</v>
      </c>
      <c r="AI128" s="3">
        <f t="shared" si="64"/>
        <v>1.6</v>
      </c>
      <c r="AJ128" s="5">
        <f t="shared" si="88"/>
        <v>1</v>
      </c>
      <c r="AK128" s="5">
        <f t="shared" si="72"/>
        <v>0</v>
      </c>
      <c r="AL128" s="5">
        <f t="shared" si="73"/>
        <v>0</v>
      </c>
      <c r="AM128" s="5">
        <f t="shared" si="89"/>
        <v>0</v>
      </c>
      <c r="AN128" s="5">
        <f t="shared" si="74"/>
        <v>0</v>
      </c>
      <c r="AO128" s="5">
        <f t="shared" si="90"/>
        <v>0</v>
      </c>
      <c r="AP128" s="1">
        <v>5</v>
      </c>
      <c r="AQ128" s="1">
        <v>3</v>
      </c>
      <c r="AR128" s="5">
        <v>0</v>
      </c>
      <c r="AS128" s="5">
        <v>0</v>
      </c>
      <c r="AT128" s="5">
        <v>1</v>
      </c>
      <c r="AU128" s="5">
        <v>0</v>
      </c>
      <c r="AV128" s="5">
        <f t="shared" si="65"/>
        <v>0</v>
      </c>
      <c r="AW128" s="5">
        <f t="shared" si="66"/>
        <v>1</v>
      </c>
      <c r="AX128" s="5">
        <f t="shared" si="67"/>
        <v>0</v>
      </c>
      <c r="AY128" s="1">
        <f t="shared" si="12"/>
        <v>1</v>
      </c>
      <c r="AZ128" s="1">
        <f t="shared" si="13"/>
        <v>0</v>
      </c>
      <c r="BA128" s="1">
        <f t="shared" si="14"/>
        <v>0</v>
      </c>
      <c r="BB128" s="5">
        <v>1</v>
      </c>
      <c r="BC128" s="5">
        <v>0</v>
      </c>
      <c r="BD128" s="5">
        <v>0</v>
      </c>
      <c r="BE128" s="5">
        <f t="shared" si="30"/>
        <v>0</v>
      </c>
      <c r="BF128" s="5">
        <v>0</v>
      </c>
      <c r="BG128" s="5">
        <f t="shared" si="102"/>
        <v>0</v>
      </c>
      <c r="BH128" s="5">
        <f t="shared" si="102"/>
        <v>0</v>
      </c>
      <c r="BI128" s="5">
        <f t="shared" si="102"/>
        <v>0</v>
      </c>
      <c r="BJ128" s="5">
        <f t="shared" si="102"/>
        <v>0</v>
      </c>
      <c r="BK128" s="5">
        <f t="shared" si="102"/>
        <v>0</v>
      </c>
      <c r="BL128" s="5">
        <f t="shared" si="102"/>
        <v>0</v>
      </c>
      <c r="BM128" s="5">
        <f t="shared" si="102"/>
        <v>1</v>
      </c>
      <c r="BN128" s="5">
        <f t="shared" si="102"/>
        <v>0</v>
      </c>
      <c r="BO128" s="5">
        <f t="shared" si="101"/>
        <v>0</v>
      </c>
      <c r="BP128" s="5">
        <f t="shared" si="101"/>
        <v>0</v>
      </c>
      <c r="BQ128" s="5">
        <f t="shared" si="101"/>
        <v>0</v>
      </c>
      <c r="BR128" s="5">
        <f t="shared" si="101"/>
        <v>0</v>
      </c>
      <c r="BS128" s="5">
        <f t="shared" si="101"/>
        <v>0</v>
      </c>
      <c r="BT128" s="5">
        <f t="shared" si="101"/>
        <v>0</v>
      </c>
      <c r="BU128" s="5">
        <f t="shared" si="101"/>
        <v>0</v>
      </c>
      <c r="BV128" s="5">
        <f t="shared" si="101"/>
        <v>0</v>
      </c>
      <c r="BW128" s="5">
        <f t="shared" si="101"/>
        <v>0</v>
      </c>
      <c r="BX128" s="5">
        <f t="shared" si="101"/>
        <v>0</v>
      </c>
      <c r="BY128" s="5">
        <f t="shared" si="101"/>
        <v>0</v>
      </c>
      <c r="BZ128" s="5">
        <f t="shared" si="101"/>
        <v>0</v>
      </c>
      <c r="CA128" s="5">
        <f t="shared" si="101"/>
        <v>0</v>
      </c>
      <c r="CB128" s="5">
        <f t="shared" si="101"/>
        <v>0</v>
      </c>
      <c r="CC128" s="5">
        <f t="shared" si="101"/>
        <v>0</v>
      </c>
      <c r="CD128" s="5">
        <f t="shared" si="103"/>
        <v>0</v>
      </c>
      <c r="CE128" s="5">
        <f t="shared" si="103"/>
        <v>0</v>
      </c>
    </row>
    <row r="129" spans="1:83" x14ac:dyDescent="0.2">
      <c r="C129" s="1">
        <f>Growth!D134</f>
        <v>0</v>
      </c>
      <c r="D129" s="5" t="b">
        <f t="shared" si="69"/>
        <v>0</v>
      </c>
      <c r="E129" s="5">
        <v>1996</v>
      </c>
      <c r="F129" s="5">
        <f ca="1">LOOKUP($E129,frequence!$A$2:$A$35,frequence!L$2:L$35)</f>
        <v>18.632669458936146</v>
      </c>
      <c r="G129" s="5">
        <f ca="1">LOOKUP($E129,frequence!$A$2:$A$35,frequence!K$2:K$35)</f>
        <v>0.29150512146707191</v>
      </c>
      <c r="H129" s="5">
        <f ca="1">LOOKUP($E129,frequence!$A$2:$A$35,frequence!M$2:M$35)</f>
        <v>112.20229674036523</v>
      </c>
      <c r="I129" s="18">
        <v>1990</v>
      </c>
      <c r="J129" s="7">
        <f>LOOKUP(I129,CPI!A$69:A$103,CPI!O$69:O$103)</f>
        <v>1.6683703136954862</v>
      </c>
      <c r="K129" s="5">
        <v>1990</v>
      </c>
      <c r="L129" s="7">
        <f t="shared" ca="1" si="70"/>
        <v>1</v>
      </c>
      <c r="M129" s="7">
        <f t="shared" si="62"/>
        <v>0.7</v>
      </c>
      <c r="N129" s="14">
        <f>2/16</f>
        <v>0.125</v>
      </c>
      <c r="O129" s="1">
        <f ca="1">P129*J129*(1+Growth!G$6)^(2010-K129)</f>
        <v>18.019989805547528</v>
      </c>
      <c r="P129" s="2">
        <f t="shared" si="104"/>
        <v>8</v>
      </c>
      <c r="Q129" s="1">
        <v>8</v>
      </c>
      <c r="R129" s="21">
        <f t="shared" ca="1" si="71"/>
        <v>324.72003259203683</v>
      </c>
      <c r="U129" s="1">
        <v>6</v>
      </c>
      <c r="X129" s="2">
        <f t="shared" si="91"/>
        <v>8</v>
      </c>
      <c r="AA129" s="1">
        <v>18</v>
      </c>
      <c r="AC129" s="1">
        <f t="shared" si="29"/>
        <v>5.6</v>
      </c>
      <c r="AD129" s="5">
        <v>1</v>
      </c>
      <c r="AE129" s="5">
        <v>1</v>
      </c>
      <c r="AF129" s="5">
        <v>1</v>
      </c>
      <c r="AG129" s="5">
        <v>0</v>
      </c>
      <c r="AH129" s="5">
        <v>1</v>
      </c>
      <c r="AI129" s="3">
        <f t="shared" si="64"/>
        <v>1.6</v>
      </c>
      <c r="AJ129" s="5">
        <f t="shared" si="88"/>
        <v>1</v>
      </c>
      <c r="AK129" s="5">
        <f t="shared" si="72"/>
        <v>0</v>
      </c>
      <c r="AL129" s="5">
        <f t="shared" si="73"/>
        <v>0</v>
      </c>
      <c r="AM129" s="5">
        <f t="shared" si="89"/>
        <v>0</v>
      </c>
      <c r="AN129" s="5">
        <f t="shared" si="74"/>
        <v>0</v>
      </c>
      <c r="AO129" s="5">
        <f t="shared" si="90"/>
        <v>0</v>
      </c>
      <c r="AP129" s="1">
        <v>5</v>
      </c>
      <c r="AQ129" s="1">
        <v>3</v>
      </c>
      <c r="AR129" s="5">
        <v>0</v>
      </c>
      <c r="AS129" s="5">
        <v>0</v>
      </c>
      <c r="AT129" s="5">
        <v>1</v>
      </c>
      <c r="AU129" s="5">
        <v>0</v>
      </c>
      <c r="AV129" s="5">
        <f t="shared" si="65"/>
        <v>0</v>
      </c>
      <c r="AW129" s="5">
        <f t="shared" si="66"/>
        <v>1</v>
      </c>
      <c r="AX129" s="5">
        <f t="shared" si="67"/>
        <v>0</v>
      </c>
      <c r="AY129" s="1">
        <f t="shared" si="12"/>
        <v>1</v>
      </c>
      <c r="AZ129" s="1">
        <f t="shared" si="13"/>
        <v>0</v>
      </c>
      <c r="BA129" s="1">
        <f t="shared" si="14"/>
        <v>0</v>
      </c>
      <c r="BB129" s="5">
        <v>1</v>
      </c>
      <c r="BC129" s="5">
        <v>0</v>
      </c>
      <c r="BD129" s="5">
        <v>0</v>
      </c>
      <c r="BE129" s="5">
        <f t="shared" si="30"/>
        <v>0</v>
      </c>
      <c r="BF129" s="5">
        <v>0</v>
      </c>
      <c r="BG129" s="5">
        <f t="shared" si="102"/>
        <v>0</v>
      </c>
      <c r="BH129" s="5">
        <f t="shared" si="102"/>
        <v>0</v>
      </c>
      <c r="BI129" s="5">
        <f t="shared" si="102"/>
        <v>0</v>
      </c>
      <c r="BJ129" s="5">
        <f t="shared" si="102"/>
        <v>0</v>
      </c>
      <c r="BK129" s="5">
        <f t="shared" si="102"/>
        <v>0</v>
      </c>
      <c r="BL129" s="5">
        <f t="shared" si="102"/>
        <v>0</v>
      </c>
      <c r="BM129" s="5">
        <f t="shared" si="102"/>
        <v>1</v>
      </c>
      <c r="BN129" s="5">
        <f t="shared" si="102"/>
        <v>0</v>
      </c>
      <c r="BO129" s="5">
        <f t="shared" si="101"/>
        <v>0</v>
      </c>
      <c r="BP129" s="5">
        <f t="shared" si="101"/>
        <v>0</v>
      </c>
      <c r="BQ129" s="5">
        <f t="shared" si="101"/>
        <v>0</v>
      </c>
      <c r="BR129" s="5">
        <f t="shared" si="101"/>
        <v>0</v>
      </c>
      <c r="BS129" s="5">
        <f t="shared" si="101"/>
        <v>0</v>
      </c>
      <c r="BT129" s="5">
        <f t="shared" si="101"/>
        <v>0</v>
      </c>
      <c r="BU129" s="5">
        <f t="shared" si="101"/>
        <v>0</v>
      </c>
      <c r="BV129" s="5">
        <f t="shared" si="101"/>
        <v>0</v>
      </c>
      <c r="BW129" s="5">
        <f t="shared" si="101"/>
        <v>0</v>
      </c>
      <c r="BX129" s="5">
        <f t="shared" si="101"/>
        <v>0</v>
      </c>
      <c r="BY129" s="5">
        <f t="shared" si="101"/>
        <v>0</v>
      </c>
      <c r="BZ129" s="5">
        <f t="shared" si="101"/>
        <v>0</v>
      </c>
      <c r="CA129" s="5">
        <f t="shared" si="101"/>
        <v>0</v>
      </c>
      <c r="CB129" s="5">
        <f t="shared" si="101"/>
        <v>0</v>
      </c>
      <c r="CC129" s="5">
        <f t="shared" si="101"/>
        <v>0</v>
      </c>
      <c r="CD129" s="5">
        <f t="shared" si="103"/>
        <v>0</v>
      </c>
      <c r="CE129" s="5">
        <f t="shared" si="103"/>
        <v>0</v>
      </c>
    </row>
    <row r="130" spans="1:83" x14ac:dyDescent="0.2">
      <c r="C130" s="1">
        <f>Growth!D135</f>
        <v>0</v>
      </c>
      <c r="D130" s="5" t="b">
        <f t="shared" si="69"/>
        <v>0</v>
      </c>
      <c r="E130" s="5">
        <v>1996</v>
      </c>
      <c r="F130" s="5">
        <f ca="1">LOOKUP($E130,frequence!$A$2:$A$35,frequence!L$2:L$35)</f>
        <v>18.632669458936146</v>
      </c>
      <c r="G130" s="5">
        <f ca="1">LOOKUP($E130,frequence!$A$2:$A$35,frequence!K$2:K$35)</f>
        <v>0.29150512146707191</v>
      </c>
      <c r="H130" s="5">
        <f ca="1">LOOKUP($E130,frequence!$A$2:$A$35,frequence!M$2:M$35)</f>
        <v>112.20229674036523</v>
      </c>
      <c r="I130" s="18">
        <v>1990</v>
      </c>
      <c r="J130" s="7">
        <f>LOOKUP(I130,CPI!A$69:A$103,CPI!O$69:O$103)</f>
        <v>1.6683703136954862</v>
      </c>
      <c r="K130" s="5">
        <v>1990</v>
      </c>
      <c r="L130" s="7">
        <f t="shared" ca="1" si="70"/>
        <v>1</v>
      </c>
      <c r="M130" s="7">
        <f t="shared" si="62"/>
        <v>1.4</v>
      </c>
      <c r="N130" s="14">
        <f>4/16</f>
        <v>0.25</v>
      </c>
      <c r="O130" s="1">
        <f ca="1">P130*J130*(1+Growth!G$6)^(2010-K130)</f>
        <v>47.302473239562268</v>
      </c>
      <c r="P130" s="2">
        <f t="shared" si="104"/>
        <v>21</v>
      </c>
      <c r="Q130" s="1">
        <v>21</v>
      </c>
      <c r="R130" s="21">
        <f t="shared" ca="1" si="71"/>
        <v>2237.5239745795043</v>
      </c>
      <c r="U130" s="1">
        <v>10</v>
      </c>
      <c r="X130" s="2">
        <f t="shared" si="91"/>
        <v>21</v>
      </c>
      <c r="AA130" s="1">
        <v>48</v>
      </c>
      <c r="AC130" s="1">
        <f t="shared" si="29"/>
        <v>5.6</v>
      </c>
      <c r="AD130" s="5">
        <v>1</v>
      </c>
      <c r="AE130" s="5">
        <v>1</v>
      </c>
      <c r="AF130" s="5">
        <v>1</v>
      </c>
      <c r="AG130" s="5">
        <v>0</v>
      </c>
      <c r="AH130" s="5">
        <v>1</v>
      </c>
      <c r="AI130" s="3">
        <f t="shared" si="64"/>
        <v>1.6</v>
      </c>
      <c r="AJ130" s="5">
        <f t="shared" si="88"/>
        <v>1</v>
      </c>
      <c r="AK130" s="5">
        <f t="shared" si="72"/>
        <v>0</v>
      </c>
      <c r="AL130" s="5">
        <f t="shared" si="73"/>
        <v>0</v>
      </c>
      <c r="AM130" s="5">
        <f t="shared" si="89"/>
        <v>0</v>
      </c>
      <c r="AN130" s="5">
        <f t="shared" si="74"/>
        <v>0</v>
      </c>
      <c r="AO130" s="5">
        <f t="shared" si="90"/>
        <v>0</v>
      </c>
      <c r="AP130" s="1">
        <v>5</v>
      </c>
      <c r="AQ130" s="1">
        <v>3</v>
      </c>
      <c r="AR130" s="5">
        <v>0</v>
      </c>
      <c r="AS130" s="5">
        <v>0</v>
      </c>
      <c r="AT130" s="5">
        <v>1</v>
      </c>
      <c r="AU130" s="5">
        <v>0</v>
      </c>
      <c r="AV130" s="5">
        <f t="shared" si="65"/>
        <v>0</v>
      </c>
      <c r="AW130" s="5">
        <f t="shared" si="66"/>
        <v>1</v>
      </c>
      <c r="AX130" s="5">
        <f t="shared" si="67"/>
        <v>0</v>
      </c>
      <c r="AY130" s="1">
        <f t="shared" si="12"/>
        <v>1</v>
      </c>
      <c r="AZ130" s="1">
        <f t="shared" si="13"/>
        <v>0</v>
      </c>
      <c r="BA130" s="1">
        <f t="shared" si="14"/>
        <v>0</v>
      </c>
      <c r="BB130" s="5">
        <v>1</v>
      </c>
      <c r="BC130" s="5">
        <v>0</v>
      </c>
      <c r="BD130" s="5">
        <v>0</v>
      </c>
      <c r="BE130" s="5">
        <f t="shared" si="30"/>
        <v>0</v>
      </c>
      <c r="BF130" s="5">
        <v>0</v>
      </c>
      <c r="BG130" s="5">
        <f t="shared" si="102"/>
        <v>0</v>
      </c>
      <c r="BH130" s="5">
        <f t="shared" si="102"/>
        <v>0</v>
      </c>
      <c r="BI130" s="5">
        <f t="shared" si="102"/>
        <v>0</v>
      </c>
      <c r="BJ130" s="5">
        <f t="shared" si="102"/>
        <v>0</v>
      </c>
      <c r="BK130" s="5">
        <f t="shared" si="102"/>
        <v>0</v>
      </c>
      <c r="BL130" s="5">
        <f t="shared" si="102"/>
        <v>0</v>
      </c>
      <c r="BM130" s="5">
        <f t="shared" si="102"/>
        <v>1</v>
      </c>
      <c r="BN130" s="5">
        <f t="shared" si="102"/>
        <v>0</v>
      </c>
      <c r="BO130" s="5">
        <f t="shared" si="101"/>
        <v>0</v>
      </c>
      <c r="BP130" s="5">
        <f t="shared" si="101"/>
        <v>0</v>
      </c>
      <c r="BQ130" s="5">
        <f t="shared" si="101"/>
        <v>0</v>
      </c>
      <c r="BR130" s="5">
        <f t="shared" si="101"/>
        <v>0</v>
      </c>
      <c r="BS130" s="5">
        <f t="shared" si="101"/>
        <v>0</v>
      </c>
      <c r="BT130" s="5">
        <f t="shared" si="101"/>
        <v>0</v>
      </c>
      <c r="BU130" s="5">
        <f t="shared" si="101"/>
        <v>0</v>
      </c>
      <c r="BV130" s="5">
        <f t="shared" si="101"/>
        <v>0</v>
      </c>
      <c r="BW130" s="5">
        <f t="shared" si="101"/>
        <v>0</v>
      </c>
      <c r="BX130" s="5">
        <f t="shared" si="101"/>
        <v>0</v>
      </c>
      <c r="BY130" s="5">
        <f t="shared" si="101"/>
        <v>0</v>
      </c>
      <c r="BZ130" s="5">
        <f t="shared" si="101"/>
        <v>0</v>
      </c>
      <c r="CA130" s="5">
        <f t="shared" si="101"/>
        <v>0</v>
      </c>
      <c r="CB130" s="5">
        <f t="shared" si="101"/>
        <v>0</v>
      </c>
      <c r="CC130" s="5">
        <f t="shared" si="101"/>
        <v>0</v>
      </c>
      <c r="CD130" s="5">
        <f t="shared" si="103"/>
        <v>0</v>
      </c>
      <c r="CE130" s="5">
        <f t="shared" si="103"/>
        <v>0</v>
      </c>
    </row>
    <row r="131" spans="1:83" x14ac:dyDescent="0.2">
      <c r="C131" s="1">
        <f>Growth!D136</f>
        <v>0</v>
      </c>
      <c r="D131" s="5" t="b">
        <f t="shared" si="69"/>
        <v>0</v>
      </c>
      <c r="E131" s="5">
        <v>1996</v>
      </c>
      <c r="F131" s="5">
        <f ca="1">LOOKUP($E131,frequence!$A$2:$A$35,frequence!L$2:L$35)</f>
        <v>18.632669458936146</v>
      </c>
      <c r="G131" s="5">
        <f ca="1">LOOKUP($E131,frequence!$A$2:$A$35,frequence!K$2:K$35)</f>
        <v>0.29150512146707191</v>
      </c>
      <c r="H131" s="5">
        <f ca="1">LOOKUP($E131,frequence!$A$2:$A$35,frequence!M$2:M$35)</f>
        <v>112.20229674036523</v>
      </c>
      <c r="I131" s="18">
        <v>1990</v>
      </c>
      <c r="J131" s="7">
        <f>LOOKUP(I131,CPI!A$69:A$103,CPI!O$69:O$103)</f>
        <v>1.6683703136954862</v>
      </c>
      <c r="K131" s="5">
        <v>1990</v>
      </c>
      <c r="L131" s="7">
        <f t="shared" ca="1" si="70"/>
        <v>1</v>
      </c>
      <c r="M131" s="7">
        <f t="shared" si="62"/>
        <v>0.7</v>
      </c>
      <c r="N131" s="14">
        <f>2/16</f>
        <v>0.125</v>
      </c>
      <c r="O131" s="1">
        <f ca="1">P131*J131*(1+Growth!G$6)^(2010-K131)</f>
        <v>103.61494138189829</v>
      </c>
      <c r="P131" s="2">
        <f t="shared" si="104"/>
        <v>46</v>
      </c>
      <c r="Q131" s="1">
        <v>46</v>
      </c>
      <c r="R131" s="21">
        <f t="shared" ca="1" si="71"/>
        <v>10736.05607757422</v>
      </c>
      <c r="U131" s="1">
        <v>20</v>
      </c>
      <c r="X131" s="2">
        <f t="shared" si="91"/>
        <v>46</v>
      </c>
      <c r="AA131" s="1">
        <v>94</v>
      </c>
      <c r="AC131" s="1">
        <f t="shared" si="29"/>
        <v>5.6</v>
      </c>
      <c r="AD131" s="5">
        <v>1</v>
      </c>
      <c r="AE131" s="5">
        <v>1</v>
      </c>
      <c r="AF131" s="5">
        <v>1</v>
      </c>
      <c r="AG131" s="5">
        <v>0</v>
      </c>
      <c r="AH131" s="5">
        <v>1</v>
      </c>
      <c r="AI131" s="3">
        <f t="shared" si="64"/>
        <v>1.6</v>
      </c>
      <c r="AJ131" s="5">
        <f t="shared" si="88"/>
        <v>0</v>
      </c>
      <c r="AK131" s="5">
        <f t="shared" si="72"/>
        <v>1</v>
      </c>
      <c r="AL131" s="5">
        <f t="shared" si="73"/>
        <v>0</v>
      </c>
      <c r="AM131" s="5">
        <f t="shared" si="89"/>
        <v>0</v>
      </c>
      <c r="AN131" s="5">
        <f t="shared" si="74"/>
        <v>0</v>
      </c>
      <c r="AO131" s="5">
        <f t="shared" si="90"/>
        <v>0</v>
      </c>
      <c r="AP131" s="1">
        <v>4</v>
      </c>
      <c r="AQ131" s="1">
        <v>2</v>
      </c>
      <c r="AR131" s="5">
        <v>0</v>
      </c>
      <c r="AS131" s="5">
        <v>0</v>
      </c>
      <c r="AT131" s="5">
        <v>1</v>
      </c>
      <c r="AU131" s="5">
        <v>0</v>
      </c>
      <c r="AV131" s="5">
        <f t="shared" si="65"/>
        <v>0</v>
      </c>
      <c r="AW131" s="5">
        <f t="shared" si="66"/>
        <v>1</v>
      </c>
      <c r="AX131" s="5">
        <f t="shared" si="67"/>
        <v>0</v>
      </c>
      <c r="AY131" s="1">
        <f t="shared" si="12"/>
        <v>0</v>
      </c>
      <c r="AZ131" s="1">
        <f t="shared" si="13"/>
        <v>0</v>
      </c>
      <c r="BA131" s="1">
        <f t="shared" si="14"/>
        <v>0</v>
      </c>
      <c r="BB131" s="5">
        <v>1</v>
      </c>
      <c r="BC131" s="5">
        <v>0</v>
      </c>
      <c r="BD131" s="5">
        <v>0</v>
      </c>
      <c r="BE131" s="5">
        <f t="shared" si="30"/>
        <v>0</v>
      </c>
      <c r="BF131" s="5">
        <v>0</v>
      </c>
      <c r="BG131" s="5">
        <f t="shared" si="102"/>
        <v>0</v>
      </c>
      <c r="BH131" s="5">
        <f t="shared" si="102"/>
        <v>0</v>
      </c>
      <c r="BI131" s="5">
        <f t="shared" si="102"/>
        <v>0</v>
      </c>
      <c r="BJ131" s="5">
        <f t="shared" si="102"/>
        <v>0</v>
      </c>
      <c r="BK131" s="5">
        <f t="shared" si="102"/>
        <v>0</v>
      </c>
      <c r="BL131" s="5">
        <f t="shared" si="102"/>
        <v>0</v>
      </c>
      <c r="BM131" s="5">
        <f t="shared" si="102"/>
        <v>1</v>
      </c>
      <c r="BN131" s="5">
        <f t="shared" si="102"/>
        <v>0</v>
      </c>
      <c r="BO131" s="5">
        <f t="shared" si="101"/>
        <v>0</v>
      </c>
      <c r="BP131" s="5">
        <f t="shared" si="101"/>
        <v>0</v>
      </c>
      <c r="BQ131" s="5">
        <f t="shared" si="101"/>
        <v>0</v>
      </c>
      <c r="BR131" s="5">
        <f t="shared" si="101"/>
        <v>0</v>
      </c>
      <c r="BS131" s="5">
        <f t="shared" si="101"/>
        <v>0</v>
      </c>
      <c r="BT131" s="5">
        <f t="shared" si="101"/>
        <v>0</v>
      </c>
      <c r="BU131" s="5">
        <f t="shared" si="101"/>
        <v>0</v>
      </c>
      <c r="BV131" s="5">
        <f t="shared" si="101"/>
        <v>0</v>
      </c>
      <c r="BW131" s="5">
        <f t="shared" si="101"/>
        <v>0</v>
      </c>
      <c r="BX131" s="5">
        <f t="shared" si="101"/>
        <v>0</v>
      </c>
      <c r="BY131" s="5">
        <f t="shared" si="101"/>
        <v>0</v>
      </c>
      <c r="BZ131" s="5">
        <f t="shared" si="101"/>
        <v>0</v>
      </c>
      <c r="CA131" s="5">
        <f t="shared" si="101"/>
        <v>0</v>
      </c>
      <c r="CB131" s="5">
        <f t="shared" si="101"/>
        <v>0</v>
      </c>
      <c r="CC131" s="5">
        <f t="shared" si="101"/>
        <v>0</v>
      </c>
      <c r="CD131" s="5">
        <f t="shared" si="103"/>
        <v>0</v>
      </c>
      <c r="CE131" s="5">
        <f t="shared" si="103"/>
        <v>0</v>
      </c>
    </row>
    <row r="132" spans="1:83" x14ac:dyDescent="0.2">
      <c r="C132" s="1">
        <f>Growth!D137</f>
        <v>0</v>
      </c>
      <c r="D132" s="5" t="b">
        <f t="shared" si="69"/>
        <v>0</v>
      </c>
      <c r="E132" s="5">
        <v>1996</v>
      </c>
      <c r="F132" s="5">
        <f ca="1">LOOKUP($E132,frequence!$A$2:$A$35,frequence!L$2:L$35)</f>
        <v>18.632669458936146</v>
      </c>
      <c r="G132" s="5">
        <f ca="1">LOOKUP($E132,frequence!$A$2:$A$35,frequence!K$2:K$35)</f>
        <v>0.29150512146707191</v>
      </c>
      <c r="H132" s="5">
        <f ca="1">LOOKUP($E132,frequence!$A$2:$A$35,frequence!M$2:M$35)</f>
        <v>112.20229674036523</v>
      </c>
      <c r="I132" s="18">
        <v>1990</v>
      </c>
      <c r="J132" s="7">
        <f>LOOKUP(I132,CPI!A$69:A$103,CPI!O$69:O$103)</f>
        <v>1.6683703136954862</v>
      </c>
      <c r="K132" s="5">
        <v>1990</v>
      </c>
      <c r="L132" s="7">
        <f t="shared" ca="1" si="70"/>
        <v>1</v>
      </c>
      <c r="M132" s="7">
        <f t="shared" ref="M132:M195" si="111">N132*AC132</f>
        <v>0.7</v>
      </c>
      <c r="N132" s="14">
        <f>2/16</f>
        <v>0.125</v>
      </c>
      <c r="O132" s="1">
        <f ca="1">P132*J132*(1+Growth!G$6)^(2010-K132)</f>
        <v>991.09943930511417</v>
      </c>
      <c r="P132" s="2">
        <f t="shared" si="104"/>
        <v>440</v>
      </c>
      <c r="Q132" s="1">
        <v>440</v>
      </c>
      <c r="R132" s="21">
        <f t="shared" ca="1" si="71"/>
        <v>982278.09859091172</v>
      </c>
      <c r="U132" s="1">
        <v>390</v>
      </c>
      <c r="X132" s="2">
        <f t="shared" si="91"/>
        <v>440</v>
      </c>
      <c r="AA132" s="1">
        <v>480</v>
      </c>
      <c r="AC132" s="1">
        <f t="shared" si="29"/>
        <v>5.6</v>
      </c>
      <c r="AD132" s="5">
        <v>1</v>
      </c>
      <c r="AE132" s="5">
        <v>1</v>
      </c>
      <c r="AF132" s="5">
        <v>1</v>
      </c>
      <c r="AG132" s="5">
        <v>0</v>
      </c>
      <c r="AH132" s="5">
        <v>1</v>
      </c>
      <c r="AI132" s="3">
        <f t="shared" ref="AI132:AI195" si="112">(E132-1980)/10</f>
        <v>1.6</v>
      </c>
      <c r="AJ132" s="5">
        <f t="shared" si="88"/>
        <v>0</v>
      </c>
      <c r="AK132" s="5">
        <f t="shared" si="72"/>
        <v>0</v>
      </c>
      <c r="AL132" s="5">
        <f t="shared" si="73"/>
        <v>0</v>
      </c>
      <c r="AM132" s="5">
        <f t="shared" si="89"/>
        <v>0</v>
      </c>
      <c r="AN132" s="5">
        <f t="shared" si="74"/>
        <v>0</v>
      </c>
      <c r="AO132" s="5">
        <f t="shared" si="90"/>
        <v>1</v>
      </c>
      <c r="AP132" s="1">
        <v>2</v>
      </c>
      <c r="AQ132" s="1">
        <v>0</v>
      </c>
      <c r="AR132" s="5">
        <v>0</v>
      </c>
      <c r="AS132" s="5">
        <v>0</v>
      </c>
      <c r="AT132" s="5">
        <v>1</v>
      </c>
      <c r="AU132" s="5">
        <v>0</v>
      </c>
      <c r="AV132" s="5">
        <f t="shared" ref="AV132:AV195" si="113">IF(E132&lt;1996,1,0)</f>
        <v>0</v>
      </c>
      <c r="AW132" s="5">
        <f t="shared" ref="AW132:AW195" si="114">IF(E132&lt;2002,IF(E132&gt;1995,1,0),0)</f>
        <v>1</v>
      </c>
      <c r="AX132" s="5">
        <f t="shared" ref="AX132:AX195" si="115">IF(E132&gt;2001,1,0)</f>
        <v>0</v>
      </c>
      <c r="AY132" s="1">
        <f t="shared" si="12"/>
        <v>0</v>
      </c>
      <c r="AZ132" s="1">
        <f t="shared" si="13"/>
        <v>0</v>
      </c>
      <c r="BA132" s="1">
        <f t="shared" si="14"/>
        <v>1</v>
      </c>
      <c r="BB132" s="5">
        <v>1</v>
      </c>
      <c r="BC132" s="5">
        <v>0</v>
      </c>
      <c r="BD132" s="5">
        <v>0</v>
      </c>
      <c r="BE132" s="5">
        <f t="shared" si="30"/>
        <v>0</v>
      </c>
      <c r="BF132" s="5">
        <v>0</v>
      </c>
      <c r="BG132" s="5">
        <f t="shared" si="102"/>
        <v>0</v>
      </c>
      <c r="BH132" s="5">
        <f t="shared" si="102"/>
        <v>0</v>
      </c>
      <c r="BI132" s="5">
        <f t="shared" si="102"/>
        <v>0</v>
      </c>
      <c r="BJ132" s="5">
        <f t="shared" si="102"/>
        <v>0</v>
      </c>
      <c r="BK132" s="5">
        <f t="shared" si="102"/>
        <v>0</v>
      </c>
      <c r="BL132" s="5">
        <f t="shared" si="102"/>
        <v>0</v>
      </c>
      <c r="BM132" s="5">
        <f t="shared" si="102"/>
        <v>1</v>
      </c>
      <c r="BN132" s="5">
        <f t="shared" ref="BN132:CB147" si="116">IF($E132=BN$2,1,0)</f>
        <v>0</v>
      </c>
      <c r="BO132" s="5">
        <f t="shared" si="116"/>
        <v>0</v>
      </c>
      <c r="BP132" s="5">
        <f t="shared" si="116"/>
        <v>0</v>
      </c>
      <c r="BQ132" s="5">
        <f t="shared" si="116"/>
        <v>0</v>
      </c>
      <c r="BR132" s="5">
        <f t="shared" si="116"/>
        <v>0</v>
      </c>
      <c r="BS132" s="5">
        <f t="shared" si="116"/>
        <v>0</v>
      </c>
      <c r="BT132" s="5">
        <f t="shared" si="116"/>
        <v>0</v>
      </c>
      <c r="BU132" s="5">
        <f t="shared" si="116"/>
        <v>0</v>
      </c>
      <c r="BV132" s="5">
        <f t="shared" si="116"/>
        <v>0</v>
      </c>
      <c r="BW132" s="5">
        <f t="shared" si="116"/>
        <v>0</v>
      </c>
      <c r="BX132" s="5">
        <f t="shared" si="116"/>
        <v>0</v>
      </c>
      <c r="BY132" s="5">
        <f t="shared" si="116"/>
        <v>0</v>
      </c>
      <c r="BZ132" s="5">
        <f t="shared" si="116"/>
        <v>0</v>
      </c>
      <c r="CA132" s="5">
        <f t="shared" si="116"/>
        <v>0</v>
      </c>
      <c r="CB132" s="5">
        <f t="shared" si="116"/>
        <v>0</v>
      </c>
      <c r="CC132" s="5">
        <f t="shared" ref="CC132:CE151" si="117">IF($E132=CC$2,1,0)</f>
        <v>0</v>
      </c>
      <c r="CD132" s="5">
        <f t="shared" si="103"/>
        <v>0</v>
      </c>
      <c r="CE132" s="5">
        <f t="shared" si="103"/>
        <v>0</v>
      </c>
    </row>
    <row r="133" spans="1:83" x14ac:dyDescent="0.2">
      <c r="C133" s="1">
        <f>Growth!D138</f>
        <v>0</v>
      </c>
      <c r="D133" s="5" t="b">
        <f t="shared" ref="D133:D196" si="118">IF(B133&gt;0,E133)</f>
        <v>0</v>
      </c>
      <c r="E133" s="5">
        <v>1996</v>
      </c>
      <c r="F133" s="5">
        <f ca="1">LOOKUP($E133,frequence!$A$2:$A$35,frequence!L$2:L$35)</f>
        <v>18.632669458936146</v>
      </c>
      <c r="G133" s="5">
        <f ca="1">LOOKUP($E133,frequence!$A$2:$A$35,frequence!K$2:K$35)</f>
        <v>0.29150512146707191</v>
      </c>
      <c r="H133" s="5">
        <f ca="1">LOOKUP($E133,frequence!$A$2:$A$35,frequence!M$2:M$35)</f>
        <v>112.20229674036523</v>
      </c>
      <c r="I133" s="18">
        <v>1990</v>
      </c>
      <c r="J133" s="7">
        <f>LOOKUP(I133,CPI!A$69:A$103,CPI!O$69:O$103)</f>
        <v>1.6683703136954862</v>
      </c>
      <c r="K133" s="5">
        <v>1990</v>
      </c>
      <c r="L133" s="7">
        <f t="shared" ref="L133:L196" ca="1" si="119">IF(O133&lt;L$1,1,IF(O133&gt;L$2,0,1-(O133-L$1)/(L$2-L$1)))</f>
        <v>1</v>
      </c>
      <c r="M133" s="7">
        <f t="shared" si="111"/>
        <v>0.35</v>
      </c>
      <c r="N133" s="14">
        <f>1/16</f>
        <v>6.25E-2</v>
      </c>
      <c r="O133" s="1">
        <f ca="1">P133*J133*(1+Growth!G$6)^(2010-K133)</f>
        <v>72.079959222190112</v>
      </c>
      <c r="P133" s="2">
        <f t="shared" ref="P133" si="120">Q133</f>
        <v>32</v>
      </c>
      <c r="Q133" s="1">
        <v>32</v>
      </c>
      <c r="R133" s="21">
        <f t="shared" ref="R133:R196" ca="1" si="121">O133*O133</f>
        <v>5195.5205214725893</v>
      </c>
      <c r="U133" s="1">
        <v>22</v>
      </c>
      <c r="X133" s="2">
        <f t="shared" si="91"/>
        <v>32</v>
      </c>
      <c r="AA133" s="1">
        <v>56</v>
      </c>
      <c r="AC133" s="1">
        <f t="shared" ref="AC133" si="122">SUM(AD133:AI133)</f>
        <v>5.6</v>
      </c>
      <c r="AD133" s="5">
        <v>1</v>
      </c>
      <c r="AE133" s="5">
        <v>1</v>
      </c>
      <c r="AF133" s="5">
        <v>1</v>
      </c>
      <c r="AG133" s="5">
        <v>0</v>
      </c>
      <c r="AH133" s="5">
        <v>1</v>
      </c>
      <c r="AI133" s="3">
        <f t="shared" si="112"/>
        <v>1.6</v>
      </c>
      <c r="AJ133" s="5">
        <f t="shared" si="88"/>
        <v>1</v>
      </c>
      <c r="AK133" s="5">
        <f t="shared" ref="AK133:AK196" si="123">IF($AQ133=2,1,0)</f>
        <v>0</v>
      </c>
      <c r="AL133" s="5">
        <f t="shared" ref="AL133:AL196" si="124">IF($AQ133=1.5,1,0)</f>
        <v>0</v>
      </c>
      <c r="AM133" s="5">
        <f t="shared" si="89"/>
        <v>0</v>
      </c>
      <c r="AN133" s="5">
        <f t="shared" ref="AN133:AN196" si="125">IF($AQ133=0.1,1,0)</f>
        <v>0</v>
      </c>
      <c r="AO133" s="5">
        <f t="shared" si="90"/>
        <v>0</v>
      </c>
      <c r="AP133" s="1">
        <v>5</v>
      </c>
      <c r="AQ133" s="1">
        <v>3</v>
      </c>
      <c r="AR133" s="5">
        <v>0</v>
      </c>
      <c r="AS133" s="5">
        <v>0</v>
      </c>
      <c r="AT133" s="5">
        <v>1</v>
      </c>
      <c r="AU133" s="5">
        <v>0</v>
      </c>
      <c r="AV133" s="5">
        <f t="shared" si="113"/>
        <v>0</v>
      </c>
      <c r="AW133" s="5">
        <f t="shared" si="114"/>
        <v>1</v>
      </c>
      <c r="AX133" s="5">
        <f t="shared" si="115"/>
        <v>0</v>
      </c>
      <c r="AY133" s="1">
        <f t="shared" ref="AY133" si="126">AJ133*$AD133*(1-$AV133)*(1-$AR133)</f>
        <v>1</v>
      </c>
      <c r="AZ133" s="1">
        <f t="shared" ref="AZ133" si="127">AM133*$AD133*(1-$AV133)*(1-$AR133)</f>
        <v>0</v>
      </c>
      <c r="BA133" s="1">
        <f t="shared" ref="BA133" si="128">AO133*$AD133*(1-$AV133)*(1-$AR133)</f>
        <v>0</v>
      </c>
      <c r="BB133" s="5">
        <v>1</v>
      </c>
      <c r="BC133" s="5">
        <v>0</v>
      </c>
      <c r="BD133" s="5">
        <v>0</v>
      </c>
      <c r="BE133" s="5">
        <f t="shared" ref="BE133" si="129">1-SUM(BB133:BD133)</f>
        <v>0</v>
      </c>
      <c r="BF133" s="5">
        <v>0</v>
      </c>
      <c r="BG133" s="5">
        <f t="shared" ref="BG133:BN148" si="130">IF($E133=BG$2,1,0)</f>
        <v>0</v>
      </c>
      <c r="BH133" s="5">
        <f t="shared" si="130"/>
        <v>0</v>
      </c>
      <c r="BI133" s="5">
        <f t="shared" si="130"/>
        <v>0</v>
      </c>
      <c r="BJ133" s="5">
        <f t="shared" si="130"/>
        <v>0</v>
      </c>
      <c r="BK133" s="5">
        <f t="shared" si="130"/>
        <v>0</v>
      </c>
      <c r="BL133" s="5">
        <f t="shared" si="130"/>
        <v>0</v>
      </c>
      <c r="BM133" s="5">
        <f t="shared" si="130"/>
        <v>1</v>
      </c>
      <c r="BN133" s="5">
        <f t="shared" si="116"/>
        <v>0</v>
      </c>
      <c r="BO133" s="5">
        <f t="shared" si="116"/>
        <v>0</v>
      </c>
      <c r="BP133" s="5">
        <f t="shared" si="116"/>
        <v>0</v>
      </c>
      <c r="BQ133" s="5">
        <f t="shared" si="116"/>
        <v>0</v>
      </c>
      <c r="BR133" s="5">
        <f t="shared" si="116"/>
        <v>0</v>
      </c>
      <c r="BS133" s="5">
        <f t="shared" si="116"/>
        <v>0</v>
      </c>
      <c r="BT133" s="5">
        <f t="shared" si="116"/>
        <v>0</v>
      </c>
      <c r="BU133" s="5">
        <f t="shared" si="116"/>
        <v>0</v>
      </c>
      <c r="BV133" s="5">
        <f t="shared" si="116"/>
        <v>0</v>
      </c>
      <c r="BW133" s="5">
        <f t="shared" si="116"/>
        <v>0</v>
      </c>
      <c r="BX133" s="5">
        <f t="shared" si="116"/>
        <v>0</v>
      </c>
      <c r="BY133" s="5">
        <f t="shared" si="116"/>
        <v>0</v>
      </c>
      <c r="BZ133" s="5">
        <f t="shared" si="116"/>
        <v>0</v>
      </c>
      <c r="CA133" s="5">
        <f t="shared" si="116"/>
        <v>0</v>
      </c>
      <c r="CB133" s="5">
        <f t="shared" si="116"/>
        <v>0</v>
      </c>
      <c r="CC133" s="5">
        <f t="shared" si="117"/>
        <v>0</v>
      </c>
      <c r="CD133" s="5">
        <f t="shared" si="103"/>
        <v>0</v>
      </c>
      <c r="CE133" s="5">
        <f t="shared" si="103"/>
        <v>0</v>
      </c>
    </row>
    <row r="134" spans="1:83" x14ac:dyDescent="0.2">
      <c r="A134" s="1" t="s">
        <v>34</v>
      </c>
      <c r="B134" s="11" t="s">
        <v>100</v>
      </c>
      <c r="C134" s="1">
        <f>Growth!D139</f>
        <v>0</v>
      </c>
      <c r="D134" s="5">
        <f t="shared" si="118"/>
        <v>1995</v>
      </c>
      <c r="E134" s="5">
        <v>1995</v>
      </c>
      <c r="F134" s="5">
        <f ca="1">LOOKUP($E134,frequence!$A$2:$A$35,frequence!L$2:L$35)</f>
        <v>17.290762510300446</v>
      </c>
      <c r="G134" s="5">
        <f ca="1">LOOKUP($E134,frequence!$A$2:$A$35,frequence!K$2:K$35)</f>
        <v>0.28532312052241937</v>
      </c>
      <c r="H134" s="5">
        <f ca="1">LOOKUP($E134,frequence!$A$2:$A$35,frequence!M$2:M$35)</f>
        <v>110.56050466440421</v>
      </c>
      <c r="I134" s="18">
        <v>1990</v>
      </c>
      <c r="J134" s="7">
        <f>LOOKUP(I134,CPI!A$69:A$103,CPI!O$69:O$103)</f>
        <v>1.6683703136954862</v>
      </c>
      <c r="K134" s="18">
        <v>1990</v>
      </c>
      <c r="L134" s="7">
        <f t="shared" ca="1" si="119"/>
        <v>1</v>
      </c>
      <c r="M134" s="7">
        <f t="shared" si="111"/>
        <v>2.75</v>
      </c>
      <c r="N134" s="14">
        <v>0.5</v>
      </c>
      <c r="O134" s="1">
        <f ca="1">P134*J134*(1+Growth!G$6)^(2010-K134)</f>
        <v>18.632669458936146</v>
      </c>
      <c r="P134" s="2">
        <f t="shared" si="104"/>
        <v>8.2720000000000002</v>
      </c>
      <c r="Q134" s="3">
        <f>8.272</f>
        <v>8.2720000000000002</v>
      </c>
      <c r="R134" s="21">
        <f t="shared" ca="1" si="121"/>
        <v>347.17637116597183</v>
      </c>
      <c r="S134" s="1">
        <v>21.16</v>
      </c>
      <c r="X134" s="3">
        <v>1.7629999999999999</v>
      </c>
      <c r="AC134" s="1">
        <f t="shared" si="29"/>
        <v>5.5</v>
      </c>
      <c r="AD134" s="5">
        <v>1</v>
      </c>
      <c r="AE134" s="5">
        <v>1</v>
      </c>
      <c r="AF134" s="5">
        <v>1</v>
      </c>
      <c r="AG134" s="5">
        <v>0</v>
      </c>
      <c r="AH134" s="5">
        <v>1</v>
      </c>
      <c r="AI134" s="3">
        <f t="shared" si="112"/>
        <v>1.5</v>
      </c>
      <c r="AJ134" s="5">
        <f t="shared" si="88"/>
        <v>0</v>
      </c>
      <c r="AK134" s="5">
        <f t="shared" si="123"/>
        <v>0</v>
      </c>
      <c r="AL134" s="5">
        <f t="shared" si="124"/>
        <v>0</v>
      </c>
      <c r="AM134" s="5">
        <f t="shared" si="89"/>
        <v>0</v>
      </c>
      <c r="AN134" s="5">
        <f t="shared" si="125"/>
        <v>0</v>
      </c>
      <c r="AO134" s="5">
        <f t="shared" si="90"/>
        <v>0</v>
      </c>
      <c r="AP134" s="1">
        <v>4.91</v>
      </c>
      <c r="AQ134" s="1">
        <f>4.91-2.61</f>
        <v>2.3000000000000003</v>
      </c>
      <c r="AR134" s="5">
        <v>0</v>
      </c>
      <c r="AS134" s="5">
        <v>0</v>
      </c>
      <c r="AT134" s="5">
        <v>1</v>
      </c>
      <c r="AU134" s="5">
        <v>0</v>
      </c>
      <c r="AV134" s="5">
        <f t="shared" si="113"/>
        <v>1</v>
      </c>
      <c r="AW134" s="5">
        <f t="shared" si="114"/>
        <v>0</v>
      </c>
      <c r="AX134" s="5">
        <f t="shared" si="115"/>
        <v>0</v>
      </c>
      <c r="AY134" s="1">
        <f t="shared" si="12"/>
        <v>0</v>
      </c>
      <c r="AZ134" s="1">
        <f t="shared" si="13"/>
        <v>0</v>
      </c>
      <c r="BA134" s="1">
        <f t="shared" si="14"/>
        <v>0</v>
      </c>
      <c r="BB134" s="5">
        <v>0</v>
      </c>
      <c r="BC134" s="5">
        <v>0</v>
      </c>
      <c r="BD134" s="5">
        <v>0</v>
      </c>
      <c r="BE134" s="5">
        <f t="shared" si="30"/>
        <v>1</v>
      </c>
      <c r="BF134" s="5">
        <v>0</v>
      </c>
      <c r="BG134" s="5">
        <f t="shared" si="130"/>
        <v>0</v>
      </c>
      <c r="BH134" s="5">
        <f t="shared" si="130"/>
        <v>0</v>
      </c>
      <c r="BI134" s="5">
        <f t="shared" si="130"/>
        <v>0</v>
      </c>
      <c r="BJ134" s="5">
        <f t="shared" si="130"/>
        <v>0</v>
      </c>
      <c r="BK134" s="5">
        <f t="shared" si="130"/>
        <v>0</v>
      </c>
      <c r="BL134" s="5">
        <f t="shared" si="130"/>
        <v>1</v>
      </c>
      <c r="BM134" s="5">
        <f t="shared" si="130"/>
        <v>0</v>
      </c>
      <c r="BN134" s="5">
        <f t="shared" si="116"/>
        <v>0</v>
      </c>
      <c r="BO134" s="5">
        <f t="shared" si="116"/>
        <v>0</v>
      </c>
      <c r="BP134" s="5">
        <f t="shared" si="116"/>
        <v>0</v>
      </c>
      <c r="BQ134" s="5">
        <f t="shared" si="116"/>
        <v>0</v>
      </c>
      <c r="BR134" s="5">
        <f t="shared" si="116"/>
        <v>0</v>
      </c>
      <c r="BS134" s="5">
        <f t="shared" si="116"/>
        <v>0</v>
      </c>
      <c r="BT134" s="5">
        <f t="shared" si="116"/>
        <v>0</v>
      </c>
      <c r="BU134" s="5">
        <f t="shared" si="116"/>
        <v>0</v>
      </c>
      <c r="BV134" s="5">
        <f t="shared" si="116"/>
        <v>0</v>
      </c>
      <c r="BW134" s="5">
        <f t="shared" si="116"/>
        <v>0</v>
      </c>
      <c r="BX134" s="5">
        <f t="shared" si="116"/>
        <v>0</v>
      </c>
      <c r="BY134" s="5">
        <f t="shared" si="116"/>
        <v>0</v>
      </c>
      <c r="BZ134" s="5">
        <f t="shared" si="116"/>
        <v>0</v>
      </c>
      <c r="CA134" s="5">
        <f t="shared" si="116"/>
        <v>0</v>
      </c>
      <c r="CB134" s="5">
        <f t="shared" si="116"/>
        <v>0</v>
      </c>
      <c r="CC134" s="5">
        <f t="shared" si="117"/>
        <v>0</v>
      </c>
      <c r="CD134" s="5">
        <f t="shared" si="103"/>
        <v>0</v>
      </c>
      <c r="CE134" s="5">
        <f t="shared" si="103"/>
        <v>0</v>
      </c>
    </row>
    <row r="135" spans="1:83" x14ac:dyDescent="0.2">
      <c r="C135" s="1">
        <f>Growth!D140</f>
        <v>0</v>
      </c>
      <c r="D135" s="5" t="b">
        <f t="shared" si="118"/>
        <v>0</v>
      </c>
      <c r="E135" s="5">
        <v>1995</v>
      </c>
      <c r="F135" s="5">
        <f ca="1">LOOKUP($E135,frequence!$A$2:$A$35,frequence!L$2:L$35)</f>
        <v>17.290762510300446</v>
      </c>
      <c r="G135" s="5">
        <f ca="1">LOOKUP($E135,frequence!$A$2:$A$35,frequence!K$2:K$35)</f>
        <v>0.28532312052241937</v>
      </c>
      <c r="H135" s="5">
        <f ca="1">LOOKUP($E135,frequence!$A$2:$A$35,frequence!M$2:M$35)</f>
        <v>110.56050466440421</v>
      </c>
      <c r="I135" s="18">
        <v>1990</v>
      </c>
      <c r="J135" s="7">
        <f>LOOKUP(I135,CPI!A$69:A$103,CPI!O$69:O$103)</f>
        <v>1.6683703136954862</v>
      </c>
      <c r="K135" s="18">
        <v>1990</v>
      </c>
      <c r="L135" s="7">
        <f t="shared" ca="1" si="119"/>
        <v>1</v>
      </c>
      <c r="M135" s="7">
        <f t="shared" si="111"/>
        <v>2.75</v>
      </c>
      <c r="N135" s="14">
        <v>0.5</v>
      </c>
      <c r="O135" s="1">
        <f ca="1">P135*J135*(1+Growth!G$6)^(2010-K135)</f>
        <v>253.40610664051212</v>
      </c>
      <c r="P135" s="2">
        <f t="shared" si="104"/>
        <v>112.5</v>
      </c>
      <c r="Q135" s="3">
        <f>112.5</f>
        <v>112.5</v>
      </c>
      <c r="R135" s="21">
        <f t="shared" ca="1" si="121"/>
        <v>64214.654882702598</v>
      </c>
      <c r="S135" s="1">
        <v>149.80000000000001</v>
      </c>
      <c r="X135" s="3">
        <v>53.52</v>
      </c>
      <c r="AC135" s="1">
        <f t="shared" si="29"/>
        <v>5.5</v>
      </c>
      <c r="AD135" s="5">
        <v>1</v>
      </c>
      <c r="AE135" s="5">
        <v>1</v>
      </c>
      <c r="AF135" s="5">
        <v>1</v>
      </c>
      <c r="AG135" s="5">
        <v>0</v>
      </c>
      <c r="AH135" s="5">
        <v>1</v>
      </c>
      <c r="AI135" s="3">
        <f t="shared" si="112"/>
        <v>1.5</v>
      </c>
      <c r="AJ135" s="5">
        <f t="shared" si="88"/>
        <v>0</v>
      </c>
      <c r="AK135" s="5">
        <f t="shared" si="123"/>
        <v>0</v>
      </c>
      <c r="AL135" s="5">
        <f t="shared" si="124"/>
        <v>0</v>
      </c>
      <c r="AM135" s="5">
        <f t="shared" si="89"/>
        <v>0</v>
      </c>
      <c r="AN135" s="5">
        <f t="shared" si="125"/>
        <v>0</v>
      </c>
      <c r="AO135" s="5">
        <f t="shared" si="90"/>
        <v>0</v>
      </c>
      <c r="AP135" s="1">
        <v>4.91</v>
      </c>
      <c r="AQ135" s="1">
        <f>4.91-2.61</f>
        <v>2.3000000000000003</v>
      </c>
      <c r="AR135" s="5">
        <v>0</v>
      </c>
      <c r="AS135" s="5">
        <v>0</v>
      </c>
      <c r="AT135" s="5">
        <v>1</v>
      </c>
      <c r="AU135" s="5">
        <v>0</v>
      </c>
      <c r="AV135" s="5">
        <f t="shared" si="113"/>
        <v>1</v>
      </c>
      <c r="AW135" s="5">
        <f t="shared" si="114"/>
        <v>0</v>
      </c>
      <c r="AX135" s="5">
        <f t="shared" si="115"/>
        <v>0</v>
      </c>
      <c r="AY135" s="1">
        <f t="shared" si="12"/>
        <v>0</v>
      </c>
      <c r="AZ135" s="1">
        <f t="shared" si="13"/>
        <v>0</v>
      </c>
      <c r="BA135" s="1">
        <f t="shared" si="14"/>
        <v>0</v>
      </c>
      <c r="BB135" s="5">
        <v>0</v>
      </c>
      <c r="BC135" s="5">
        <v>0</v>
      </c>
      <c r="BD135" s="5">
        <v>0</v>
      </c>
      <c r="BE135" s="5">
        <f t="shared" si="30"/>
        <v>1</v>
      </c>
      <c r="BF135" s="5">
        <v>0</v>
      </c>
      <c r="BG135" s="5">
        <f t="shared" si="130"/>
        <v>0</v>
      </c>
      <c r="BH135" s="5">
        <f t="shared" si="130"/>
        <v>0</v>
      </c>
      <c r="BI135" s="5">
        <f t="shared" si="130"/>
        <v>0</v>
      </c>
      <c r="BJ135" s="5">
        <f t="shared" si="130"/>
        <v>0</v>
      </c>
      <c r="BK135" s="5">
        <f t="shared" si="130"/>
        <v>0</v>
      </c>
      <c r="BL135" s="5">
        <f t="shared" si="130"/>
        <v>1</v>
      </c>
      <c r="BM135" s="5">
        <f t="shared" si="130"/>
        <v>0</v>
      </c>
      <c r="BN135" s="5">
        <f t="shared" si="116"/>
        <v>0</v>
      </c>
      <c r="BO135" s="5">
        <f t="shared" si="116"/>
        <v>0</v>
      </c>
      <c r="BP135" s="5">
        <f t="shared" si="116"/>
        <v>0</v>
      </c>
      <c r="BQ135" s="5">
        <f t="shared" si="116"/>
        <v>0</v>
      </c>
      <c r="BR135" s="5">
        <f t="shared" si="116"/>
        <v>0</v>
      </c>
      <c r="BS135" s="5">
        <f t="shared" si="116"/>
        <v>0</v>
      </c>
      <c r="BT135" s="5">
        <f t="shared" si="116"/>
        <v>0</v>
      </c>
      <c r="BU135" s="5">
        <f t="shared" si="116"/>
        <v>0</v>
      </c>
      <c r="BV135" s="5">
        <f t="shared" si="116"/>
        <v>0</v>
      </c>
      <c r="BW135" s="5">
        <f t="shared" si="116"/>
        <v>0</v>
      </c>
      <c r="BX135" s="5">
        <f t="shared" si="116"/>
        <v>0</v>
      </c>
      <c r="BY135" s="5">
        <f t="shared" si="116"/>
        <v>0</v>
      </c>
      <c r="BZ135" s="5">
        <f t="shared" si="116"/>
        <v>0</v>
      </c>
      <c r="CA135" s="5">
        <f t="shared" si="116"/>
        <v>0</v>
      </c>
      <c r="CB135" s="5">
        <f t="shared" si="116"/>
        <v>0</v>
      </c>
      <c r="CC135" s="5">
        <f t="shared" si="117"/>
        <v>0</v>
      </c>
      <c r="CD135" s="5">
        <f t="shared" si="103"/>
        <v>0</v>
      </c>
      <c r="CE135" s="5">
        <f t="shared" si="103"/>
        <v>0</v>
      </c>
    </row>
    <row r="136" spans="1:83" x14ac:dyDescent="0.2">
      <c r="A136" s="1" t="s">
        <v>30</v>
      </c>
      <c r="B136" s="1" t="s">
        <v>95</v>
      </c>
      <c r="C136" s="1">
        <f>Growth!D141</f>
        <v>0</v>
      </c>
      <c r="D136" s="5">
        <f t="shared" si="118"/>
        <v>1996</v>
      </c>
      <c r="E136" s="5">
        <v>1996</v>
      </c>
      <c r="F136" s="5">
        <f ca="1">LOOKUP($E136,frequence!$A$2:$A$35,frequence!L$2:L$35)</f>
        <v>18.632669458936146</v>
      </c>
      <c r="G136" s="5">
        <f ca="1">LOOKUP($E136,frequence!$A$2:$A$35,frequence!K$2:K$35)</f>
        <v>0.29150512146707191</v>
      </c>
      <c r="H136" s="5">
        <f ca="1">LOOKUP($E136,frequence!$A$2:$A$35,frequence!M$2:M$35)</f>
        <v>112.20229674036523</v>
      </c>
      <c r="I136" s="18">
        <v>1990</v>
      </c>
      <c r="J136" s="7">
        <f>LOOKUP(I136,CPI!A$69:A$103,CPI!O$69:O$103)</f>
        <v>1.6683703136954862</v>
      </c>
      <c r="K136" s="18">
        <v>1990</v>
      </c>
      <c r="L136" s="7">
        <f t="shared" ca="1" si="119"/>
        <v>1</v>
      </c>
      <c r="M136" s="7">
        <f t="shared" si="111"/>
        <v>0.20444444444444443</v>
      </c>
      <c r="N136" s="14">
        <f>4/90</f>
        <v>4.4444444444444446E-2</v>
      </c>
      <c r="O136" s="1">
        <f ca="1">P136*J136*(1+Growth!G$6)^(2010-K136)</f>
        <v>191.46239168394251</v>
      </c>
      <c r="P136" s="3">
        <v>85</v>
      </c>
      <c r="Q136" s="2">
        <f t="shared" ref="Q136:Q151" si="131">P136</f>
        <v>85</v>
      </c>
      <c r="R136" s="21">
        <f t="shared" ca="1" si="121"/>
        <v>36657.847429335423</v>
      </c>
      <c r="X136" s="2">
        <f t="shared" ref="X136:X167" si="132">P136</f>
        <v>85</v>
      </c>
      <c r="AC136" s="1">
        <f t="shared" si="29"/>
        <v>4.5999999999999996</v>
      </c>
      <c r="AD136" s="5">
        <v>1</v>
      </c>
      <c r="AE136" s="5">
        <v>0</v>
      </c>
      <c r="AF136" s="5">
        <v>1</v>
      </c>
      <c r="AG136" s="5">
        <v>0</v>
      </c>
      <c r="AH136" s="5">
        <v>1</v>
      </c>
      <c r="AI136" s="3">
        <f t="shared" si="112"/>
        <v>1.6</v>
      </c>
      <c r="AJ136" s="5">
        <f t="shared" si="88"/>
        <v>0</v>
      </c>
      <c r="AK136" s="5">
        <f t="shared" si="123"/>
        <v>0</v>
      </c>
      <c r="AL136" s="5">
        <f t="shared" si="124"/>
        <v>0</v>
      </c>
      <c r="AM136" s="5">
        <f t="shared" si="89"/>
        <v>0</v>
      </c>
      <c r="AN136" s="5">
        <f t="shared" si="125"/>
        <v>0</v>
      </c>
      <c r="AO136" s="5">
        <f t="shared" si="90"/>
        <v>1</v>
      </c>
      <c r="AP136" s="1">
        <v>2</v>
      </c>
      <c r="AQ136" s="1">
        <v>0</v>
      </c>
      <c r="AR136" s="5">
        <v>0</v>
      </c>
      <c r="AS136" s="5">
        <v>1</v>
      </c>
      <c r="AT136" s="5">
        <v>0</v>
      </c>
      <c r="AU136" s="5">
        <v>0</v>
      </c>
      <c r="AV136" s="5">
        <f t="shared" si="113"/>
        <v>0</v>
      </c>
      <c r="AW136" s="5">
        <f t="shared" si="114"/>
        <v>1</v>
      </c>
      <c r="AX136" s="5">
        <f t="shared" si="115"/>
        <v>0</v>
      </c>
      <c r="AY136" s="1">
        <f t="shared" si="12"/>
        <v>0</v>
      </c>
      <c r="AZ136" s="1">
        <f t="shared" si="13"/>
        <v>0</v>
      </c>
      <c r="BA136" s="1">
        <f t="shared" si="14"/>
        <v>1</v>
      </c>
      <c r="BB136" s="5">
        <v>0</v>
      </c>
      <c r="BC136" s="5">
        <v>0</v>
      </c>
      <c r="BD136" s="5">
        <v>0</v>
      </c>
      <c r="BE136" s="5">
        <f t="shared" si="30"/>
        <v>1</v>
      </c>
      <c r="BF136" s="5">
        <v>0</v>
      </c>
      <c r="BG136" s="5">
        <f t="shared" si="130"/>
        <v>0</v>
      </c>
      <c r="BH136" s="5">
        <f t="shared" si="130"/>
        <v>0</v>
      </c>
      <c r="BI136" s="5">
        <f t="shared" si="130"/>
        <v>0</v>
      </c>
      <c r="BJ136" s="5">
        <f t="shared" si="130"/>
        <v>0</v>
      </c>
      <c r="BK136" s="5">
        <f t="shared" si="130"/>
        <v>0</v>
      </c>
      <c r="BL136" s="5">
        <f t="shared" si="130"/>
        <v>0</v>
      </c>
      <c r="BM136" s="5">
        <f t="shared" si="130"/>
        <v>1</v>
      </c>
      <c r="BN136" s="5">
        <f t="shared" si="116"/>
        <v>0</v>
      </c>
      <c r="BO136" s="5">
        <f t="shared" si="116"/>
        <v>0</v>
      </c>
      <c r="BP136" s="5">
        <f t="shared" si="116"/>
        <v>0</v>
      </c>
      <c r="BQ136" s="5">
        <f t="shared" si="116"/>
        <v>0</v>
      </c>
      <c r="BR136" s="5">
        <f t="shared" si="116"/>
        <v>0</v>
      </c>
      <c r="BS136" s="5">
        <f t="shared" si="116"/>
        <v>0</v>
      </c>
      <c r="BT136" s="5">
        <f t="shared" si="116"/>
        <v>0</v>
      </c>
      <c r="BU136" s="5">
        <f t="shared" si="116"/>
        <v>0</v>
      </c>
      <c r="BV136" s="5">
        <f t="shared" si="116"/>
        <v>0</v>
      </c>
      <c r="BW136" s="5">
        <f t="shared" si="116"/>
        <v>0</v>
      </c>
      <c r="BX136" s="5">
        <f t="shared" si="116"/>
        <v>0</v>
      </c>
      <c r="BY136" s="5">
        <f t="shared" si="116"/>
        <v>0</v>
      </c>
      <c r="BZ136" s="5">
        <f t="shared" si="116"/>
        <v>0</v>
      </c>
      <c r="CA136" s="5">
        <f t="shared" si="116"/>
        <v>0</v>
      </c>
      <c r="CB136" s="5">
        <f t="shared" si="116"/>
        <v>0</v>
      </c>
      <c r="CC136" s="5">
        <f t="shared" si="117"/>
        <v>0</v>
      </c>
      <c r="CD136" s="5">
        <f t="shared" si="103"/>
        <v>0</v>
      </c>
      <c r="CE136" s="5">
        <f t="shared" si="103"/>
        <v>0</v>
      </c>
    </row>
    <row r="137" spans="1:83" x14ac:dyDescent="0.2">
      <c r="C137" s="1">
        <f>Growth!D142</f>
        <v>0</v>
      </c>
      <c r="D137" s="5" t="b">
        <f t="shared" si="118"/>
        <v>0</v>
      </c>
      <c r="E137" s="5">
        <v>1996</v>
      </c>
      <c r="F137" s="5">
        <f ca="1">LOOKUP($E137,frequence!$A$2:$A$35,frequence!L$2:L$35)</f>
        <v>18.632669458936146</v>
      </c>
      <c r="G137" s="5">
        <f ca="1">LOOKUP($E137,frequence!$A$2:$A$35,frequence!K$2:K$35)</f>
        <v>0.29150512146707191</v>
      </c>
      <c r="H137" s="5">
        <f ca="1">LOOKUP($E137,frequence!$A$2:$A$35,frequence!M$2:M$35)</f>
        <v>112.20229674036523</v>
      </c>
      <c r="I137" s="18">
        <v>1990</v>
      </c>
      <c r="J137" s="7">
        <f>LOOKUP(I137,CPI!A$69:A$103,CPI!O$69:O$103)</f>
        <v>1.6683703136954862</v>
      </c>
      <c r="K137" s="18">
        <v>1990</v>
      </c>
      <c r="L137" s="7">
        <f t="shared" ca="1" si="119"/>
        <v>1</v>
      </c>
      <c r="M137" s="7">
        <f t="shared" si="111"/>
        <v>0.40888888888888886</v>
      </c>
      <c r="N137" s="14">
        <f>8/90</f>
        <v>8.8888888888888892E-2</v>
      </c>
      <c r="O137" s="1">
        <f ca="1">P137*J137*(1+Growth!G$6)^(2010-K137)</f>
        <v>450.49974513868824</v>
      </c>
      <c r="P137" s="3">
        <v>200</v>
      </c>
      <c r="Q137" s="2">
        <f t="shared" si="131"/>
        <v>200</v>
      </c>
      <c r="R137" s="21">
        <f t="shared" ca="1" si="121"/>
        <v>202950.02037002306</v>
      </c>
      <c r="X137" s="2">
        <f t="shared" si="132"/>
        <v>200</v>
      </c>
      <c r="AC137" s="1">
        <f t="shared" si="29"/>
        <v>4.5999999999999996</v>
      </c>
      <c r="AD137" s="5">
        <v>1</v>
      </c>
      <c r="AE137" s="5">
        <v>0</v>
      </c>
      <c r="AF137" s="5">
        <v>1</v>
      </c>
      <c r="AG137" s="5">
        <v>0</v>
      </c>
      <c r="AH137" s="5">
        <v>1</v>
      </c>
      <c r="AI137" s="3">
        <f t="shared" si="112"/>
        <v>1.6</v>
      </c>
      <c r="AJ137" s="5">
        <f t="shared" si="88"/>
        <v>0</v>
      </c>
      <c r="AK137" s="5">
        <f t="shared" si="123"/>
        <v>0</v>
      </c>
      <c r="AL137" s="5">
        <f t="shared" si="124"/>
        <v>0</v>
      </c>
      <c r="AM137" s="5">
        <f t="shared" si="89"/>
        <v>0</v>
      </c>
      <c r="AN137" s="5">
        <f t="shared" si="125"/>
        <v>0</v>
      </c>
      <c r="AO137" s="5">
        <f t="shared" si="90"/>
        <v>1</v>
      </c>
      <c r="AP137" s="1">
        <v>2</v>
      </c>
      <c r="AQ137" s="1">
        <v>0</v>
      </c>
      <c r="AR137" s="5">
        <v>0</v>
      </c>
      <c r="AS137" s="5">
        <v>1</v>
      </c>
      <c r="AT137" s="5">
        <v>0</v>
      </c>
      <c r="AU137" s="5">
        <v>0</v>
      </c>
      <c r="AV137" s="5">
        <f t="shared" si="113"/>
        <v>0</v>
      </c>
      <c r="AW137" s="5">
        <f t="shared" si="114"/>
        <v>1</v>
      </c>
      <c r="AX137" s="5">
        <f t="shared" si="115"/>
        <v>0</v>
      </c>
      <c r="AY137" s="1">
        <f t="shared" si="12"/>
        <v>0</v>
      </c>
      <c r="AZ137" s="1">
        <f t="shared" si="13"/>
        <v>0</v>
      </c>
      <c r="BA137" s="1">
        <f t="shared" si="14"/>
        <v>1</v>
      </c>
      <c r="BB137" s="5">
        <v>0</v>
      </c>
      <c r="BC137" s="5">
        <v>0</v>
      </c>
      <c r="BD137" s="5">
        <v>0</v>
      </c>
      <c r="BE137" s="5">
        <f t="shared" si="30"/>
        <v>1</v>
      </c>
      <c r="BF137" s="5">
        <v>0</v>
      </c>
      <c r="BG137" s="5">
        <f t="shared" si="130"/>
        <v>0</v>
      </c>
      <c r="BH137" s="5">
        <f t="shared" si="130"/>
        <v>0</v>
      </c>
      <c r="BI137" s="5">
        <f t="shared" si="130"/>
        <v>0</v>
      </c>
      <c r="BJ137" s="5">
        <f t="shared" si="130"/>
        <v>0</v>
      </c>
      <c r="BK137" s="5">
        <f t="shared" si="130"/>
        <v>0</v>
      </c>
      <c r="BL137" s="5">
        <f t="shared" si="130"/>
        <v>0</v>
      </c>
      <c r="BM137" s="5">
        <f t="shared" si="130"/>
        <v>1</v>
      </c>
      <c r="BN137" s="5">
        <f t="shared" si="116"/>
        <v>0</v>
      </c>
      <c r="BO137" s="5">
        <f t="shared" si="116"/>
        <v>0</v>
      </c>
      <c r="BP137" s="5">
        <f t="shared" si="116"/>
        <v>0</v>
      </c>
      <c r="BQ137" s="5">
        <f t="shared" si="116"/>
        <v>0</v>
      </c>
      <c r="BR137" s="5">
        <f t="shared" si="116"/>
        <v>0</v>
      </c>
      <c r="BS137" s="5">
        <f t="shared" si="116"/>
        <v>0</v>
      </c>
      <c r="BT137" s="5">
        <f t="shared" si="116"/>
        <v>0</v>
      </c>
      <c r="BU137" s="5">
        <f t="shared" si="116"/>
        <v>0</v>
      </c>
      <c r="BV137" s="5">
        <f t="shared" si="116"/>
        <v>0</v>
      </c>
      <c r="BW137" s="5">
        <f t="shared" si="116"/>
        <v>0</v>
      </c>
      <c r="BX137" s="5">
        <f t="shared" si="116"/>
        <v>0</v>
      </c>
      <c r="BY137" s="5">
        <f t="shared" si="116"/>
        <v>0</v>
      </c>
      <c r="BZ137" s="5">
        <f t="shared" si="116"/>
        <v>0</v>
      </c>
      <c r="CA137" s="5">
        <f t="shared" si="116"/>
        <v>0</v>
      </c>
      <c r="CB137" s="5">
        <f t="shared" si="116"/>
        <v>0</v>
      </c>
      <c r="CC137" s="5">
        <f t="shared" si="117"/>
        <v>0</v>
      </c>
      <c r="CD137" s="5">
        <f t="shared" si="103"/>
        <v>0</v>
      </c>
      <c r="CE137" s="5">
        <f t="shared" si="103"/>
        <v>0</v>
      </c>
    </row>
    <row r="138" spans="1:83" x14ac:dyDescent="0.2">
      <c r="C138" s="1">
        <f>Growth!D143</f>
        <v>0</v>
      </c>
      <c r="D138" s="5" t="b">
        <f t="shared" si="118"/>
        <v>0</v>
      </c>
      <c r="E138" s="5">
        <v>1996</v>
      </c>
      <c r="F138" s="5">
        <f ca="1">LOOKUP($E138,frequence!$A$2:$A$35,frequence!L$2:L$35)</f>
        <v>18.632669458936146</v>
      </c>
      <c r="G138" s="5">
        <f ca="1">LOOKUP($E138,frequence!$A$2:$A$35,frequence!K$2:K$35)</f>
        <v>0.29150512146707191</v>
      </c>
      <c r="H138" s="5">
        <f ca="1">LOOKUP($E138,frequence!$A$2:$A$35,frequence!M$2:M$35)</f>
        <v>112.20229674036523</v>
      </c>
      <c r="I138" s="18">
        <v>1990</v>
      </c>
      <c r="J138" s="7">
        <f>LOOKUP(I138,CPI!A$69:A$103,CPI!O$69:O$103)</f>
        <v>1.6683703136954862</v>
      </c>
      <c r="K138" s="18">
        <v>1990</v>
      </c>
      <c r="L138" s="7">
        <f t="shared" ca="1" si="119"/>
        <v>1</v>
      </c>
      <c r="M138" s="7">
        <f t="shared" si="111"/>
        <v>0.15333333333333332</v>
      </c>
      <c r="N138" s="14">
        <f>3/90</f>
        <v>3.3333333333333333E-2</v>
      </c>
      <c r="O138" s="1">
        <f ca="1">P138*J138*(1+Growth!G$6)^(2010-K138)</f>
        <v>168.93740442700809</v>
      </c>
      <c r="P138" s="3">
        <v>75</v>
      </c>
      <c r="Q138" s="2">
        <f t="shared" si="131"/>
        <v>75</v>
      </c>
      <c r="R138" s="21">
        <f t="shared" ca="1" si="121"/>
        <v>28539.846614534494</v>
      </c>
      <c r="X138" s="2">
        <f t="shared" si="132"/>
        <v>75</v>
      </c>
      <c r="AC138" s="1">
        <f t="shared" si="29"/>
        <v>4.5999999999999996</v>
      </c>
      <c r="AD138" s="5">
        <v>1</v>
      </c>
      <c r="AE138" s="5">
        <v>0</v>
      </c>
      <c r="AF138" s="5">
        <v>1</v>
      </c>
      <c r="AG138" s="5">
        <v>0</v>
      </c>
      <c r="AH138" s="5">
        <v>1</v>
      </c>
      <c r="AI138" s="3">
        <f t="shared" si="112"/>
        <v>1.6</v>
      </c>
      <c r="AJ138" s="5">
        <f t="shared" si="88"/>
        <v>0</v>
      </c>
      <c r="AK138" s="5">
        <f t="shared" si="123"/>
        <v>0</v>
      </c>
      <c r="AL138" s="5">
        <f t="shared" si="124"/>
        <v>0</v>
      </c>
      <c r="AM138" s="5">
        <f t="shared" si="89"/>
        <v>0</v>
      </c>
      <c r="AN138" s="5">
        <f t="shared" si="125"/>
        <v>1</v>
      </c>
      <c r="AO138" s="5">
        <f t="shared" si="90"/>
        <v>0</v>
      </c>
      <c r="AP138" s="1">
        <v>2.1</v>
      </c>
      <c r="AQ138" s="1">
        <v>0.1</v>
      </c>
      <c r="AR138" s="5">
        <v>0</v>
      </c>
      <c r="AS138" s="5">
        <v>1</v>
      </c>
      <c r="AT138" s="5">
        <v>0</v>
      </c>
      <c r="AU138" s="5">
        <v>0</v>
      </c>
      <c r="AV138" s="5">
        <f t="shared" si="113"/>
        <v>0</v>
      </c>
      <c r="AW138" s="5">
        <f t="shared" si="114"/>
        <v>1</v>
      </c>
      <c r="AX138" s="5">
        <f t="shared" si="115"/>
        <v>0</v>
      </c>
      <c r="AY138" s="1">
        <f t="shared" si="12"/>
        <v>0</v>
      </c>
      <c r="AZ138" s="1">
        <f t="shared" si="13"/>
        <v>0</v>
      </c>
      <c r="BA138" s="1">
        <f t="shared" si="14"/>
        <v>0</v>
      </c>
      <c r="BB138" s="5">
        <v>0</v>
      </c>
      <c r="BC138" s="5">
        <v>0</v>
      </c>
      <c r="BD138" s="5">
        <v>0</v>
      </c>
      <c r="BE138" s="5">
        <f t="shared" si="30"/>
        <v>1</v>
      </c>
      <c r="BF138" s="5">
        <v>0</v>
      </c>
      <c r="BG138" s="5">
        <f t="shared" si="130"/>
        <v>0</v>
      </c>
      <c r="BH138" s="5">
        <f t="shared" si="130"/>
        <v>0</v>
      </c>
      <c r="BI138" s="5">
        <f t="shared" si="130"/>
        <v>0</v>
      </c>
      <c r="BJ138" s="5">
        <f t="shared" si="130"/>
        <v>0</v>
      </c>
      <c r="BK138" s="5">
        <f t="shared" si="130"/>
        <v>0</v>
      </c>
      <c r="BL138" s="5">
        <f t="shared" si="130"/>
        <v>0</v>
      </c>
      <c r="BM138" s="5">
        <f t="shared" si="130"/>
        <v>1</v>
      </c>
      <c r="BN138" s="5">
        <f t="shared" si="116"/>
        <v>0</v>
      </c>
      <c r="BO138" s="5">
        <f t="shared" si="116"/>
        <v>0</v>
      </c>
      <c r="BP138" s="5">
        <f t="shared" si="116"/>
        <v>0</v>
      </c>
      <c r="BQ138" s="5">
        <f t="shared" si="116"/>
        <v>0</v>
      </c>
      <c r="BR138" s="5">
        <f t="shared" si="116"/>
        <v>0</v>
      </c>
      <c r="BS138" s="5">
        <f t="shared" si="116"/>
        <v>0</v>
      </c>
      <c r="BT138" s="5">
        <f t="shared" si="116"/>
        <v>0</v>
      </c>
      <c r="BU138" s="5">
        <f t="shared" si="116"/>
        <v>0</v>
      </c>
      <c r="BV138" s="5">
        <f t="shared" si="116"/>
        <v>0</v>
      </c>
      <c r="BW138" s="5">
        <f t="shared" si="116"/>
        <v>0</v>
      </c>
      <c r="BX138" s="5">
        <f t="shared" si="116"/>
        <v>0</v>
      </c>
      <c r="BY138" s="5">
        <f t="shared" si="116"/>
        <v>0</v>
      </c>
      <c r="BZ138" s="5">
        <f t="shared" si="116"/>
        <v>0</v>
      </c>
      <c r="CA138" s="5">
        <f t="shared" si="116"/>
        <v>0</v>
      </c>
      <c r="CB138" s="5">
        <f t="shared" si="116"/>
        <v>0</v>
      </c>
      <c r="CC138" s="5">
        <f t="shared" si="117"/>
        <v>0</v>
      </c>
      <c r="CD138" s="5">
        <f t="shared" si="103"/>
        <v>0</v>
      </c>
      <c r="CE138" s="5">
        <f t="shared" si="103"/>
        <v>0</v>
      </c>
    </row>
    <row r="139" spans="1:83" x14ac:dyDescent="0.2">
      <c r="C139" s="1">
        <f>Growth!D144</f>
        <v>0</v>
      </c>
      <c r="D139" s="5" t="b">
        <f t="shared" si="118"/>
        <v>0</v>
      </c>
      <c r="E139" s="5">
        <v>1996</v>
      </c>
      <c r="F139" s="5">
        <f ca="1">LOOKUP($E139,frequence!$A$2:$A$35,frequence!L$2:L$35)</f>
        <v>18.632669458936146</v>
      </c>
      <c r="G139" s="5">
        <f ca="1">LOOKUP($E139,frequence!$A$2:$A$35,frequence!K$2:K$35)</f>
        <v>0.29150512146707191</v>
      </c>
      <c r="H139" s="5">
        <f ca="1">LOOKUP($E139,frequence!$A$2:$A$35,frequence!M$2:M$35)</f>
        <v>112.20229674036523</v>
      </c>
      <c r="I139" s="18">
        <v>1990</v>
      </c>
      <c r="J139" s="7">
        <f>LOOKUP(I139,CPI!A$69:A$103,CPI!O$69:O$103)</f>
        <v>1.6683703136954862</v>
      </c>
      <c r="K139" s="18">
        <v>1990</v>
      </c>
      <c r="L139" s="7">
        <f t="shared" ca="1" si="119"/>
        <v>1</v>
      </c>
      <c r="M139" s="7">
        <f t="shared" si="111"/>
        <v>0.30666666666666664</v>
      </c>
      <c r="N139" s="14">
        <f>6/90</f>
        <v>6.6666666666666666E-2</v>
      </c>
      <c r="O139" s="1">
        <f ca="1">P139*J139*(1+Growth!G$6)^(2010-K139)</f>
        <v>315.34982159708176</v>
      </c>
      <c r="P139" s="3">
        <v>140</v>
      </c>
      <c r="Q139" s="2">
        <f t="shared" si="131"/>
        <v>140</v>
      </c>
      <c r="R139" s="21">
        <f t="shared" ca="1" si="121"/>
        <v>99445.50998131129</v>
      </c>
      <c r="X139" s="2">
        <f t="shared" si="132"/>
        <v>140</v>
      </c>
      <c r="AC139" s="1">
        <f t="shared" si="29"/>
        <v>4.5999999999999996</v>
      </c>
      <c r="AD139" s="5">
        <v>1</v>
      </c>
      <c r="AE139" s="5">
        <v>0</v>
      </c>
      <c r="AF139" s="5">
        <v>1</v>
      </c>
      <c r="AG139" s="5">
        <v>0</v>
      </c>
      <c r="AH139" s="5">
        <v>1</v>
      </c>
      <c r="AI139" s="3">
        <f t="shared" si="112"/>
        <v>1.6</v>
      </c>
      <c r="AJ139" s="5">
        <f t="shared" si="88"/>
        <v>0</v>
      </c>
      <c r="AK139" s="5">
        <f t="shared" si="123"/>
        <v>0</v>
      </c>
      <c r="AL139" s="5">
        <f t="shared" si="124"/>
        <v>0</v>
      </c>
      <c r="AM139" s="5">
        <f t="shared" si="89"/>
        <v>0</v>
      </c>
      <c r="AN139" s="5">
        <f t="shared" si="125"/>
        <v>1</v>
      </c>
      <c r="AO139" s="5">
        <f t="shared" si="90"/>
        <v>0</v>
      </c>
      <c r="AP139" s="1">
        <v>2.1</v>
      </c>
      <c r="AQ139" s="1">
        <v>0.1</v>
      </c>
      <c r="AR139" s="5">
        <v>0</v>
      </c>
      <c r="AS139" s="5">
        <v>1</v>
      </c>
      <c r="AT139" s="5">
        <v>0</v>
      </c>
      <c r="AU139" s="5">
        <v>0</v>
      </c>
      <c r="AV139" s="5">
        <f t="shared" si="113"/>
        <v>0</v>
      </c>
      <c r="AW139" s="5">
        <f t="shared" si="114"/>
        <v>1</v>
      </c>
      <c r="AX139" s="5">
        <f t="shared" si="115"/>
        <v>0</v>
      </c>
      <c r="AY139" s="1">
        <f t="shared" si="12"/>
        <v>0</v>
      </c>
      <c r="AZ139" s="1">
        <f t="shared" si="13"/>
        <v>0</v>
      </c>
      <c r="BA139" s="1">
        <f t="shared" si="14"/>
        <v>0</v>
      </c>
      <c r="BB139" s="5">
        <v>0</v>
      </c>
      <c r="BC139" s="5">
        <v>0</v>
      </c>
      <c r="BD139" s="5">
        <v>0</v>
      </c>
      <c r="BE139" s="5">
        <f t="shared" si="30"/>
        <v>1</v>
      </c>
      <c r="BF139" s="5">
        <v>0</v>
      </c>
      <c r="BG139" s="5">
        <f t="shared" si="130"/>
        <v>0</v>
      </c>
      <c r="BH139" s="5">
        <f t="shared" si="130"/>
        <v>0</v>
      </c>
      <c r="BI139" s="5">
        <f t="shared" si="130"/>
        <v>0</v>
      </c>
      <c r="BJ139" s="5">
        <f t="shared" si="130"/>
        <v>0</v>
      </c>
      <c r="BK139" s="5">
        <f t="shared" si="130"/>
        <v>0</v>
      </c>
      <c r="BL139" s="5">
        <f t="shared" si="130"/>
        <v>0</v>
      </c>
      <c r="BM139" s="5">
        <f t="shared" si="130"/>
        <v>1</v>
      </c>
      <c r="BN139" s="5">
        <f t="shared" si="116"/>
        <v>0</v>
      </c>
      <c r="BO139" s="5">
        <f t="shared" si="116"/>
        <v>0</v>
      </c>
      <c r="BP139" s="5">
        <f t="shared" si="116"/>
        <v>0</v>
      </c>
      <c r="BQ139" s="5">
        <f t="shared" si="116"/>
        <v>0</v>
      </c>
      <c r="BR139" s="5">
        <f t="shared" si="116"/>
        <v>0</v>
      </c>
      <c r="BS139" s="5">
        <f t="shared" si="116"/>
        <v>0</v>
      </c>
      <c r="BT139" s="5">
        <f t="shared" si="116"/>
        <v>0</v>
      </c>
      <c r="BU139" s="5">
        <f t="shared" si="116"/>
        <v>0</v>
      </c>
      <c r="BV139" s="5">
        <f t="shared" si="116"/>
        <v>0</v>
      </c>
      <c r="BW139" s="5">
        <f t="shared" si="116"/>
        <v>0</v>
      </c>
      <c r="BX139" s="5">
        <f t="shared" si="116"/>
        <v>0</v>
      </c>
      <c r="BY139" s="5">
        <f t="shared" si="116"/>
        <v>0</v>
      </c>
      <c r="BZ139" s="5">
        <f t="shared" si="116"/>
        <v>0</v>
      </c>
      <c r="CA139" s="5">
        <f t="shared" si="116"/>
        <v>0</v>
      </c>
      <c r="CB139" s="5">
        <f t="shared" si="116"/>
        <v>0</v>
      </c>
      <c r="CC139" s="5">
        <f t="shared" si="117"/>
        <v>0</v>
      </c>
      <c r="CD139" s="5">
        <f t="shared" si="103"/>
        <v>0</v>
      </c>
      <c r="CE139" s="5">
        <f t="shared" si="103"/>
        <v>0</v>
      </c>
    </row>
    <row r="140" spans="1:83" x14ac:dyDescent="0.2">
      <c r="C140" s="1">
        <f>Growth!D145</f>
        <v>0</v>
      </c>
      <c r="D140" s="5" t="b">
        <f t="shared" si="118"/>
        <v>0</v>
      </c>
      <c r="E140" s="5">
        <v>1996</v>
      </c>
      <c r="F140" s="5">
        <f ca="1">LOOKUP($E140,frequence!$A$2:$A$35,frequence!L$2:L$35)</f>
        <v>18.632669458936146</v>
      </c>
      <c r="G140" s="5">
        <f ca="1">LOOKUP($E140,frequence!$A$2:$A$35,frequence!K$2:K$35)</f>
        <v>0.29150512146707191</v>
      </c>
      <c r="H140" s="5">
        <f ca="1">LOOKUP($E140,frequence!$A$2:$A$35,frequence!M$2:M$35)</f>
        <v>112.20229674036523</v>
      </c>
      <c r="I140" s="18">
        <v>1990</v>
      </c>
      <c r="J140" s="7">
        <f>LOOKUP(I140,CPI!A$69:A$103,CPI!O$69:O$103)</f>
        <v>1.6683703136954862</v>
      </c>
      <c r="K140" s="18">
        <v>1990</v>
      </c>
      <c r="L140" s="7">
        <f t="shared" ca="1" si="119"/>
        <v>1</v>
      </c>
      <c r="M140" s="7">
        <f t="shared" si="111"/>
        <v>0.10222222222222221</v>
      </c>
      <c r="N140" s="14">
        <f>2/90</f>
        <v>2.2222222222222223E-2</v>
      </c>
      <c r="O140" s="1">
        <f ca="1">P140*J140*(1+Growth!G$6)^(2010-K140)</f>
        <v>72.079959222190112</v>
      </c>
      <c r="P140" s="3">
        <v>32</v>
      </c>
      <c r="Q140" s="2">
        <f t="shared" si="131"/>
        <v>32</v>
      </c>
      <c r="R140" s="21">
        <f t="shared" ca="1" si="121"/>
        <v>5195.5205214725893</v>
      </c>
      <c r="X140" s="2">
        <f t="shared" si="132"/>
        <v>32</v>
      </c>
      <c r="AC140" s="1">
        <f t="shared" si="29"/>
        <v>4.5999999999999996</v>
      </c>
      <c r="AD140" s="5">
        <v>1</v>
      </c>
      <c r="AE140" s="5">
        <v>0</v>
      </c>
      <c r="AF140" s="5">
        <v>1</v>
      </c>
      <c r="AG140" s="5">
        <v>0</v>
      </c>
      <c r="AH140" s="5">
        <v>1</v>
      </c>
      <c r="AI140" s="3">
        <f t="shared" si="112"/>
        <v>1.6</v>
      </c>
      <c r="AJ140" s="5">
        <f t="shared" si="88"/>
        <v>0</v>
      </c>
      <c r="AK140" s="5">
        <f t="shared" si="123"/>
        <v>0</v>
      </c>
      <c r="AL140" s="5">
        <f t="shared" si="124"/>
        <v>0</v>
      </c>
      <c r="AM140" s="5">
        <f t="shared" si="89"/>
        <v>1</v>
      </c>
      <c r="AN140" s="5">
        <f t="shared" si="125"/>
        <v>0</v>
      </c>
      <c r="AO140" s="5">
        <f t="shared" si="90"/>
        <v>0</v>
      </c>
      <c r="AP140" s="1">
        <v>3</v>
      </c>
      <c r="AQ140" s="1">
        <v>1</v>
      </c>
      <c r="AR140" s="5">
        <v>0</v>
      </c>
      <c r="AS140" s="5">
        <v>1</v>
      </c>
      <c r="AT140" s="5">
        <v>0</v>
      </c>
      <c r="AU140" s="5">
        <v>0</v>
      </c>
      <c r="AV140" s="5">
        <f t="shared" si="113"/>
        <v>0</v>
      </c>
      <c r="AW140" s="5">
        <f t="shared" si="114"/>
        <v>1</v>
      </c>
      <c r="AX140" s="5">
        <f t="shared" si="115"/>
        <v>0</v>
      </c>
      <c r="AY140" s="1">
        <f t="shared" si="12"/>
        <v>0</v>
      </c>
      <c r="AZ140" s="1">
        <f t="shared" si="13"/>
        <v>1</v>
      </c>
      <c r="BA140" s="1">
        <f t="shared" si="14"/>
        <v>0</v>
      </c>
      <c r="BB140" s="5">
        <v>0</v>
      </c>
      <c r="BC140" s="5">
        <v>0</v>
      </c>
      <c r="BD140" s="5">
        <v>0</v>
      </c>
      <c r="BE140" s="5">
        <f t="shared" si="30"/>
        <v>1</v>
      </c>
      <c r="BF140" s="5">
        <v>0</v>
      </c>
      <c r="BG140" s="5">
        <f t="shared" si="130"/>
        <v>0</v>
      </c>
      <c r="BH140" s="5">
        <f t="shared" si="130"/>
        <v>0</v>
      </c>
      <c r="BI140" s="5">
        <f t="shared" si="130"/>
        <v>0</v>
      </c>
      <c r="BJ140" s="5">
        <f t="shared" si="130"/>
        <v>0</v>
      </c>
      <c r="BK140" s="5">
        <f t="shared" si="130"/>
        <v>0</v>
      </c>
      <c r="BL140" s="5">
        <f t="shared" si="130"/>
        <v>0</v>
      </c>
      <c r="BM140" s="5">
        <f t="shared" si="130"/>
        <v>1</v>
      </c>
      <c r="BN140" s="5">
        <f t="shared" si="116"/>
        <v>0</v>
      </c>
      <c r="BO140" s="5">
        <f t="shared" si="116"/>
        <v>0</v>
      </c>
      <c r="BP140" s="5">
        <f t="shared" si="116"/>
        <v>0</v>
      </c>
      <c r="BQ140" s="5">
        <f t="shared" si="116"/>
        <v>0</v>
      </c>
      <c r="BR140" s="5">
        <f t="shared" si="116"/>
        <v>0</v>
      </c>
      <c r="BS140" s="5">
        <f t="shared" si="116"/>
        <v>0</v>
      </c>
      <c r="BT140" s="5">
        <f t="shared" si="116"/>
        <v>0</v>
      </c>
      <c r="BU140" s="5">
        <f t="shared" si="116"/>
        <v>0</v>
      </c>
      <c r="BV140" s="5">
        <f t="shared" si="116"/>
        <v>0</v>
      </c>
      <c r="BW140" s="5">
        <f t="shared" si="116"/>
        <v>0</v>
      </c>
      <c r="BX140" s="5">
        <f t="shared" si="116"/>
        <v>0</v>
      </c>
      <c r="BY140" s="5">
        <f t="shared" si="116"/>
        <v>0</v>
      </c>
      <c r="BZ140" s="5">
        <f t="shared" si="116"/>
        <v>0</v>
      </c>
      <c r="CA140" s="5">
        <f t="shared" si="116"/>
        <v>0</v>
      </c>
      <c r="CB140" s="5">
        <f t="shared" si="116"/>
        <v>0</v>
      </c>
      <c r="CC140" s="5">
        <f t="shared" si="117"/>
        <v>0</v>
      </c>
      <c r="CD140" s="5">
        <f t="shared" si="103"/>
        <v>0</v>
      </c>
      <c r="CE140" s="5">
        <f t="shared" si="103"/>
        <v>0</v>
      </c>
    </row>
    <row r="141" spans="1:83" x14ac:dyDescent="0.2">
      <c r="C141" s="1">
        <f>Growth!D146</f>
        <v>0</v>
      </c>
      <c r="D141" s="5" t="b">
        <f t="shared" si="118"/>
        <v>0</v>
      </c>
      <c r="E141" s="5">
        <v>1996</v>
      </c>
      <c r="F141" s="5">
        <f ca="1">LOOKUP($E141,frequence!$A$2:$A$35,frequence!L$2:L$35)</f>
        <v>18.632669458936146</v>
      </c>
      <c r="G141" s="5">
        <f ca="1">LOOKUP($E141,frequence!$A$2:$A$35,frequence!K$2:K$35)</f>
        <v>0.29150512146707191</v>
      </c>
      <c r="H141" s="5">
        <f ca="1">LOOKUP($E141,frequence!$A$2:$A$35,frequence!M$2:M$35)</f>
        <v>112.20229674036523</v>
      </c>
      <c r="I141" s="18">
        <v>1990</v>
      </c>
      <c r="J141" s="7">
        <f>LOOKUP(I141,CPI!A$69:A$103,CPI!O$69:O$103)</f>
        <v>1.6683703136954862</v>
      </c>
      <c r="K141" s="18">
        <v>1990</v>
      </c>
      <c r="L141" s="7">
        <f t="shared" ca="1" si="119"/>
        <v>1</v>
      </c>
      <c r="M141" s="7">
        <f t="shared" si="111"/>
        <v>0.20444444444444443</v>
      </c>
      <c r="N141" s="14">
        <f>4/90</f>
        <v>4.4444444444444446E-2</v>
      </c>
      <c r="O141" s="1">
        <f ca="1">P141*J141*(1+Growth!G$6)^(2010-K141)</f>
        <v>74.332457947883555</v>
      </c>
      <c r="P141" s="3">
        <v>33</v>
      </c>
      <c r="Q141" s="2">
        <f t="shared" si="131"/>
        <v>33</v>
      </c>
      <c r="R141" s="21">
        <f t="shared" ca="1" si="121"/>
        <v>5525.3143045738771</v>
      </c>
      <c r="X141" s="2">
        <f t="shared" si="132"/>
        <v>33</v>
      </c>
      <c r="AC141" s="1">
        <f t="shared" si="29"/>
        <v>4.5999999999999996</v>
      </c>
      <c r="AD141" s="5">
        <v>1</v>
      </c>
      <c r="AE141" s="5">
        <v>0</v>
      </c>
      <c r="AF141" s="5">
        <v>1</v>
      </c>
      <c r="AG141" s="5">
        <v>0</v>
      </c>
      <c r="AH141" s="5">
        <v>1</v>
      </c>
      <c r="AI141" s="3">
        <f t="shared" si="112"/>
        <v>1.6</v>
      </c>
      <c r="AJ141" s="5">
        <f t="shared" si="88"/>
        <v>0</v>
      </c>
      <c r="AK141" s="5">
        <f t="shared" si="123"/>
        <v>0</v>
      </c>
      <c r="AL141" s="5">
        <f t="shared" si="124"/>
        <v>0</v>
      </c>
      <c r="AM141" s="5">
        <f t="shared" si="89"/>
        <v>1</v>
      </c>
      <c r="AN141" s="5">
        <f t="shared" si="125"/>
        <v>0</v>
      </c>
      <c r="AO141" s="5">
        <f t="shared" si="90"/>
        <v>0</v>
      </c>
      <c r="AP141" s="1">
        <v>3</v>
      </c>
      <c r="AQ141" s="1">
        <v>1</v>
      </c>
      <c r="AR141" s="5">
        <v>0</v>
      </c>
      <c r="AS141" s="5">
        <v>1</v>
      </c>
      <c r="AT141" s="5">
        <v>0</v>
      </c>
      <c r="AU141" s="5">
        <v>0</v>
      </c>
      <c r="AV141" s="5">
        <f t="shared" si="113"/>
        <v>0</v>
      </c>
      <c r="AW141" s="5">
        <f t="shared" si="114"/>
        <v>1</v>
      </c>
      <c r="AX141" s="5">
        <f t="shared" si="115"/>
        <v>0</v>
      </c>
      <c r="AY141" s="1">
        <f t="shared" si="12"/>
        <v>0</v>
      </c>
      <c r="AZ141" s="1">
        <f t="shared" si="13"/>
        <v>1</v>
      </c>
      <c r="BA141" s="1">
        <f t="shared" si="14"/>
        <v>0</v>
      </c>
      <c r="BB141" s="5">
        <v>0</v>
      </c>
      <c r="BC141" s="5">
        <v>0</v>
      </c>
      <c r="BD141" s="5">
        <v>0</v>
      </c>
      <c r="BE141" s="5">
        <f t="shared" si="30"/>
        <v>1</v>
      </c>
      <c r="BF141" s="5">
        <v>0</v>
      </c>
      <c r="BG141" s="5">
        <f t="shared" si="130"/>
        <v>0</v>
      </c>
      <c r="BH141" s="5">
        <f t="shared" si="130"/>
        <v>0</v>
      </c>
      <c r="BI141" s="5">
        <f t="shared" si="130"/>
        <v>0</v>
      </c>
      <c r="BJ141" s="5">
        <f t="shared" si="130"/>
        <v>0</v>
      </c>
      <c r="BK141" s="5">
        <f t="shared" si="130"/>
        <v>0</v>
      </c>
      <c r="BL141" s="5">
        <f t="shared" si="130"/>
        <v>0</v>
      </c>
      <c r="BM141" s="5">
        <f t="shared" si="130"/>
        <v>1</v>
      </c>
      <c r="BN141" s="5">
        <f t="shared" si="116"/>
        <v>0</v>
      </c>
      <c r="BO141" s="5">
        <f t="shared" si="116"/>
        <v>0</v>
      </c>
      <c r="BP141" s="5">
        <f t="shared" si="116"/>
        <v>0</v>
      </c>
      <c r="BQ141" s="5">
        <f t="shared" si="116"/>
        <v>0</v>
      </c>
      <c r="BR141" s="5">
        <f t="shared" si="116"/>
        <v>0</v>
      </c>
      <c r="BS141" s="5">
        <f t="shared" si="116"/>
        <v>0</v>
      </c>
      <c r="BT141" s="5">
        <f t="shared" si="116"/>
        <v>0</v>
      </c>
      <c r="BU141" s="5">
        <f t="shared" si="116"/>
        <v>0</v>
      </c>
      <c r="BV141" s="5">
        <f t="shared" si="116"/>
        <v>0</v>
      </c>
      <c r="BW141" s="5">
        <f t="shared" si="116"/>
        <v>0</v>
      </c>
      <c r="BX141" s="5">
        <f t="shared" si="116"/>
        <v>0</v>
      </c>
      <c r="BY141" s="5">
        <f t="shared" si="116"/>
        <v>0</v>
      </c>
      <c r="BZ141" s="5">
        <f t="shared" si="116"/>
        <v>0</v>
      </c>
      <c r="CA141" s="5">
        <f t="shared" si="116"/>
        <v>0</v>
      </c>
      <c r="CB141" s="5">
        <f t="shared" si="116"/>
        <v>0</v>
      </c>
      <c r="CC141" s="5">
        <f t="shared" si="117"/>
        <v>0</v>
      </c>
      <c r="CD141" s="5">
        <f t="shared" si="103"/>
        <v>0</v>
      </c>
      <c r="CE141" s="5">
        <f t="shared" si="103"/>
        <v>0</v>
      </c>
    </row>
    <row r="142" spans="1:83" x14ac:dyDescent="0.2">
      <c r="C142" s="1">
        <f>Growth!D147</f>
        <v>0</v>
      </c>
      <c r="D142" s="5" t="b">
        <f t="shared" si="118"/>
        <v>0</v>
      </c>
      <c r="E142" s="5">
        <v>1996</v>
      </c>
      <c r="F142" s="5">
        <f ca="1">LOOKUP($E142,frequence!$A$2:$A$35,frequence!L$2:L$35)</f>
        <v>18.632669458936146</v>
      </c>
      <c r="G142" s="5">
        <f ca="1">LOOKUP($E142,frequence!$A$2:$A$35,frequence!K$2:K$35)</f>
        <v>0.29150512146707191</v>
      </c>
      <c r="H142" s="5">
        <f ca="1">LOOKUP($E142,frequence!$A$2:$A$35,frequence!M$2:M$35)</f>
        <v>112.20229674036523</v>
      </c>
      <c r="I142" s="18">
        <v>1990</v>
      </c>
      <c r="J142" s="7">
        <f>LOOKUP(I142,CPI!A$69:A$103,CPI!O$69:O$103)</f>
        <v>1.6683703136954862</v>
      </c>
      <c r="K142" s="18">
        <v>1990</v>
      </c>
      <c r="L142" s="7">
        <f t="shared" ca="1" si="119"/>
        <v>1</v>
      </c>
      <c r="M142" s="7">
        <f t="shared" si="111"/>
        <v>5.1111111111111107E-2</v>
      </c>
      <c r="N142" s="14">
        <f>1/90</f>
        <v>1.1111111111111112E-2</v>
      </c>
      <c r="O142" s="1">
        <f ca="1">P142*J142*(1+Growth!G$6)^(2010-K142)</f>
        <v>29.282483434014736</v>
      </c>
      <c r="P142" s="3">
        <v>13</v>
      </c>
      <c r="Q142" s="2">
        <f t="shared" si="131"/>
        <v>13</v>
      </c>
      <c r="R142" s="21">
        <f t="shared" ca="1" si="121"/>
        <v>857.46383606334746</v>
      </c>
      <c r="X142" s="2">
        <f t="shared" si="132"/>
        <v>13</v>
      </c>
      <c r="AC142" s="1">
        <f t="shared" si="29"/>
        <v>4.5999999999999996</v>
      </c>
      <c r="AD142" s="5">
        <v>1</v>
      </c>
      <c r="AE142" s="5">
        <v>0</v>
      </c>
      <c r="AF142" s="5">
        <v>1</v>
      </c>
      <c r="AG142" s="5">
        <v>0</v>
      </c>
      <c r="AH142" s="5">
        <v>1</v>
      </c>
      <c r="AI142" s="3">
        <f t="shared" si="112"/>
        <v>1.6</v>
      </c>
      <c r="AJ142" s="5">
        <f t="shared" si="88"/>
        <v>1</v>
      </c>
      <c r="AK142" s="5">
        <f t="shared" si="123"/>
        <v>0</v>
      </c>
      <c r="AL142" s="5">
        <f t="shared" si="124"/>
        <v>0</v>
      </c>
      <c r="AM142" s="5">
        <f t="shared" si="89"/>
        <v>0</v>
      </c>
      <c r="AN142" s="5">
        <f t="shared" si="125"/>
        <v>0</v>
      </c>
      <c r="AO142" s="5">
        <f t="shared" si="90"/>
        <v>0</v>
      </c>
      <c r="AP142" s="1">
        <v>5</v>
      </c>
      <c r="AQ142" s="1">
        <v>3</v>
      </c>
      <c r="AR142" s="5">
        <v>0</v>
      </c>
      <c r="AS142" s="5">
        <v>1</v>
      </c>
      <c r="AT142" s="5">
        <v>0</v>
      </c>
      <c r="AU142" s="5">
        <v>0</v>
      </c>
      <c r="AV142" s="5">
        <f t="shared" si="113"/>
        <v>0</v>
      </c>
      <c r="AW142" s="5">
        <f t="shared" si="114"/>
        <v>1</v>
      </c>
      <c r="AX142" s="5">
        <f t="shared" si="115"/>
        <v>0</v>
      </c>
      <c r="AY142" s="1">
        <f t="shared" si="12"/>
        <v>1</v>
      </c>
      <c r="AZ142" s="1">
        <f t="shared" si="13"/>
        <v>0</v>
      </c>
      <c r="BA142" s="1">
        <f t="shared" si="14"/>
        <v>0</v>
      </c>
      <c r="BB142" s="5">
        <v>0</v>
      </c>
      <c r="BC142" s="5">
        <v>0</v>
      </c>
      <c r="BD142" s="5">
        <v>0</v>
      </c>
      <c r="BE142" s="5">
        <f t="shared" si="30"/>
        <v>1</v>
      </c>
      <c r="BF142" s="5">
        <v>0</v>
      </c>
      <c r="BG142" s="5">
        <f t="shared" si="130"/>
        <v>0</v>
      </c>
      <c r="BH142" s="5">
        <f t="shared" si="130"/>
        <v>0</v>
      </c>
      <c r="BI142" s="5">
        <f t="shared" si="130"/>
        <v>0</v>
      </c>
      <c r="BJ142" s="5">
        <f t="shared" si="130"/>
        <v>0</v>
      </c>
      <c r="BK142" s="5">
        <f t="shared" si="130"/>
        <v>0</v>
      </c>
      <c r="BL142" s="5">
        <f t="shared" si="130"/>
        <v>0</v>
      </c>
      <c r="BM142" s="5">
        <f t="shared" si="130"/>
        <v>1</v>
      </c>
      <c r="BN142" s="5">
        <f t="shared" si="116"/>
        <v>0</v>
      </c>
      <c r="BO142" s="5">
        <f t="shared" si="116"/>
        <v>0</v>
      </c>
      <c r="BP142" s="5">
        <f t="shared" si="116"/>
        <v>0</v>
      </c>
      <c r="BQ142" s="5">
        <f t="shared" si="116"/>
        <v>0</v>
      </c>
      <c r="BR142" s="5">
        <f t="shared" si="116"/>
        <v>0</v>
      </c>
      <c r="BS142" s="5">
        <f t="shared" si="116"/>
        <v>0</v>
      </c>
      <c r="BT142" s="5">
        <f t="shared" si="116"/>
        <v>0</v>
      </c>
      <c r="BU142" s="5">
        <f t="shared" si="116"/>
        <v>0</v>
      </c>
      <c r="BV142" s="5">
        <f t="shared" si="116"/>
        <v>0</v>
      </c>
      <c r="BW142" s="5">
        <f t="shared" si="116"/>
        <v>0</v>
      </c>
      <c r="BX142" s="5">
        <f t="shared" si="116"/>
        <v>0</v>
      </c>
      <c r="BY142" s="5">
        <f t="shared" si="116"/>
        <v>0</v>
      </c>
      <c r="BZ142" s="5">
        <f t="shared" si="116"/>
        <v>0</v>
      </c>
      <c r="CA142" s="5">
        <f t="shared" si="116"/>
        <v>0</v>
      </c>
      <c r="CB142" s="5">
        <f t="shared" si="116"/>
        <v>0</v>
      </c>
      <c r="CC142" s="5">
        <f t="shared" si="117"/>
        <v>0</v>
      </c>
      <c r="CD142" s="5">
        <f t="shared" si="103"/>
        <v>0</v>
      </c>
      <c r="CE142" s="5">
        <f t="shared" si="103"/>
        <v>0</v>
      </c>
    </row>
    <row r="143" spans="1:83" x14ac:dyDescent="0.2">
      <c r="C143" s="1">
        <f>Growth!D148</f>
        <v>0</v>
      </c>
      <c r="D143" s="5" t="b">
        <f t="shared" si="118"/>
        <v>0</v>
      </c>
      <c r="E143" s="5">
        <v>1996</v>
      </c>
      <c r="F143" s="5">
        <f ca="1">LOOKUP($E143,frequence!$A$2:$A$35,frequence!L$2:L$35)</f>
        <v>18.632669458936146</v>
      </c>
      <c r="G143" s="5">
        <f ca="1">LOOKUP($E143,frequence!$A$2:$A$35,frequence!K$2:K$35)</f>
        <v>0.29150512146707191</v>
      </c>
      <c r="H143" s="5">
        <f ca="1">LOOKUP($E143,frequence!$A$2:$A$35,frequence!M$2:M$35)</f>
        <v>112.20229674036523</v>
      </c>
      <c r="I143" s="18">
        <v>1990</v>
      </c>
      <c r="J143" s="7">
        <f>LOOKUP(I143,CPI!A$69:A$103,CPI!O$69:O$103)</f>
        <v>1.6683703136954862</v>
      </c>
      <c r="K143" s="18">
        <v>1990</v>
      </c>
      <c r="L143" s="7">
        <f t="shared" ca="1" si="119"/>
        <v>1</v>
      </c>
      <c r="M143" s="7">
        <f t="shared" si="111"/>
        <v>0.10222222222222221</v>
      </c>
      <c r="N143" s="14">
        <f>2/90</f>
        <v>2.2222222222222223E-2</v>
      </c>
      <c r="O143" s="1">
        <f ca="1">P143*J143*(1+Growth!G$6)^(2010-K143)</f>
        <v>29.282483434014736</v>
      </c>
      <c r="P143" s="3">
        <v>13</v>
      </c>
      <c r="Q143" s="2">
        <f t="shared" si="131"/>
        <v>13</v>
      </c>
      <c r="R143" s="21">
        <f t="shared" ca="1" si="121"/>
        <v>857.46383606334746</v>
      </c>
      <c r="X143" s="2">
        <f t="shared" si="132"/>
        <v>13</v>
      </c>
      <c r="AC143" s="1">
        <f t="shared" si="29"/>
        <v>4.5999999999999996</v>
      </c>
      <c r="AD143" s="5">
        <v>1</v>
      </c>
      <c r="AE143" s="5">
        <v>0</v>
      </c>
      <c r="AF143" s="5">
        <v>1</v>
      </c>
      <c r="AG143" s="5">
        <v>0</v>
      </c>
      <c r="AH143" s="5">
        <v>1</v>
      </c>
      <c r="AI143" s="3">
        <f t="shared" si="112"/>
        <v>1.6</v>
      </c>
      <c r="AJ143" s="5">
        <f t="shared" si="88"/>
        <v>1</v>
      </c>
      <c r="AK143" s="5">
        <f t="shared" si="123"/>
        <v>0</v>
      </c>
      <c r="AL143" s="5">
        <f t="shared" si="124"/>
        <v>0</v>
      </c>
      <c r="AM143" s="5">
        <f t="shared" si="89"/>
        <v>0</v>
      </c>
      <c r="AN143" s="5">
        <f t="shared" si="125"/>
        <v>0</v>
      </c>
      <c r="AO143" s="5">
        <f t="shared" si="90"/>
        <v>0</v>
      </c>
      <c r="AP143" s="1">
        <v>5</v>
      </c>
      <c r="AQ143" s="1">
        <v>3</v>
      </c>
      <c r="AR143" s="5">
        <v>0</v>
      </c>
      <c r="AS143" s="5">
        <v>1</v>
      </c>
      <c r="AT143" s="5">
        <v>0</v>
      </c>
      <c r="AU143" s="5">
        <v>0</v>
      </c>
      <c r="AV143" s="5">
        <f t="shared" si="113"/>
        <v>0</v>
      </c>
      <c r="AW143" s="5">
        <f t="shared" si="114"/>
        <v>1</v>
      </c>
      <c r="AX143" s="5">
        <f t="shared" si="115"/>
        <v>0</v>
      </c>
      <c r="AY143" s="1">
        <f t="shared" si="12"/>
        <v>1</v>
      </c>
      <c r="AZ143" s="1">
        <f t="shared" si="13"/>
        <v>0</v>
      </c>
      <c r="BA143" s="1">
        <f t="shared" si="14"/>
        <v>0</v>
      </c>
      <c r="BB143" s="5">
        <v>0</v>
      </c>
      <c r="BC143" s="5">
        <v>0</v>
      </c>
      <c r="BD143" s="5">
        <v>0</v>
      </c>
      <c r="BE143" s="5">
        <f t="shared" si="30"/>
        <v>1</v>
      </c>
      <c r="BF143" s="5">
        <v>0</v>
      </c>
      <c r="BG143" s="5">
        <f t="shared" si="130"/>
        <v>0</v>
      </c>
      <c r="BH143" s="5">
        <f t="shared" si="130"/>
        <v>0</v>
      </c>
      <c r="BI143" s="5">
        <f t="shared" si="130"/>
        <v>0</v>
      </c>
      <c r="BJ143" s="5">
        <f t="shared" si="130"/>
        <v>0</v>
      </c>
      <c r="BK143" s="5">
        <f t="shared" si="130"/>
        <v>0</v>
      </c>
      <c r="BL143" s="5">
        <f t="shared" si="130"/>
        <v>0</v>
      </c>
      <c r="BM143" s="5">
        <f t="shared" si="130"/>
        <v>1</v>
      </c>
      <c r="BN143" s="5">
        <f t="shared" si="116"/>
        <v>0</v>
      </c>
      <c r="BO143" s="5">
        <f t="shared" si="116"/>
        <v>0</v>
      </c>
      <c r="BP143" s="5">
        <f t="shared" si="116"/>
        <v>0</v>
      </c>
      <c r="BQ143" s="5">
        <f t="shared" si="116"/>
        <v>0</v>
      </c>
      <c r="BR143" s="5">
        <f t="shared" si="116"/>
        <v>0</v>
      </c>
      <c r="BS143" s="5">
        <f t="shared" si="116"/>
        <v>0</v>
      </c>
      <c r="BT143" s="5">
        <f t="shared" si="116"/>
        <v>0</v>
      </c>
      <c r="BU143" s="5">
        <f t="shared" si="116"/>
        <v>0</v>
      </c>
      <c r="BV143" s="5">
        <f t="shared" si="116"/>
        <v>0</v>
      </c>
      <c r="BW143" s="5">
        <f t="shared" si="116"/>
        <v>0</v>
      </c>
      <c r="BX143" s="5">
        <f t="shared" si="116"/>
        <v>0</v>
      </c>
      <c r="BY143" s="5">
        <f t="shared" si="116"/>
        <v>0</v>
      </c>
      <c r="BZ143" s="5">
        <f t="shared" si="116"/>
        <v>0</v>
      </c>
      <c r="CA143" s="5">
        <f t="shared" si="116"/>
        <v>0</v>
      </c>
      <c r="CB143" s="5">
        <f t="shared" si="116"/>
        <v>0</v>
      </c>
      <c r="CC143" s="5">
        <f t="shared" si="117"/>
        <v>0</v>
      </c>
      <c r="CD143" s="5">
        <f t="shared" si="117"/>
        <v>0</v>
      </c>
      <c r="CE143" s="5">
        <f t="shared" si="117"/>
        <v>0</v>
      </c>
    </row>
    <row r="144" spans="1:83" x14ac:dyDescent="0.2">
      <c r="C144" s="1">
        <f>Growth!D149</f>
        <v>0</v>
      </c>
      <c r="D144" s="5" t="b">
        <f t="shared" si="118"/>
        <v>0</v>
      </c>
      <c r="E144" s="5">
        <v>1996</v>
      </c>
      <c r="F144" s="5">
        <f ca="1">LOOKUP($E144,frequence!$A$2:$A$35,frequence!L$2:L$35)</f>
        <v>18.632669458936146</v>
      </c>
      <c r="G144" s="5">
        <f ca="1">LOOKUP($E144,frequence!$A$2:$A$35,frequence!K$2:K$35)</f>
        <v>0.29150512146707191</v>
      </c>
      <c r="H144" s="5">
        <f ca="1">LOOKUP($E144,frequence!$A$2:$A$35,frequence!M$2:M$35)</f>
        <v>112.20229674036523</v>
      </c>
      <c r="I144" s="18">
        <v>1990</v>
      </c>
      <c r="J144" s="7">
        <f>LOOKUP(I144,CPI!A$69:A$103,CPI!O$69:O$103)</f>
        <v>1.6683703136954862</v>
      </c>
      <c r="K144" s="18">
        <v>1990</v>
      </c>
      <c r="L144" s="7">
        <f t="shared" ca="1" si="119"/>
        <v>1</v>
      </c>
      <c r="M144" s="7">
        <f t="shared" si="111"/>
        <v>0.40888888888888886</v>
      </c>
      <c r="N144" s="14">
        <f>8/90</f>
        <v>8.8888888888888892E-2</v>
      </c>
      <c r="O144" s="1">
        <f ca="1">P144*J144*(1+Growth!G$6)^(2010-K144)</f>
        <v>585.64966868029467</v>
      </c>
      <c r="P144" s="3">
        <v>260</v>
      </c>
      <c r="Q144" s="2">
        <f t="shared" si="131"/>
        <v>260</v>
      </c>
      <c r="R144" s="21">
        <f t="shared" ca="1" si="121"/>
        <v>342985.5344253389</v>
      </c>
      <c r="X144" s="2">
        <f t="shared" si="132"/>
        <v>260</v>
      </c>
      <c r="AC144" s="1">
        <f t="shared" si="29"/>
        <v>4.5999999999999996</v>
      </c>
      <c r="AD144" s="5">
        <v>1</v>
      </c>
      <c r="AE144" s="5">
        <v>0</v>
      </c>
      <c r="AF144" s="5">
        <v>1</v>
      </c>
      <c r="AG144" s="5">
        <v>0</v>
      </c>
      <c r="AH144" s="5">
        <v>1</v>
      </c>
      <c r="AI144" s="3">
        <f t="shared" si="112"/>
        <v>1.6</v>
      </c>
      <c r="AJ144" s="5">
        <f t="shared" si="88"/>
        <v>0</v>
      </c>
      <c r="AK144" s="5">
        <f t="shared" si="123"/>
        <v>0</v>
      </c>
      <c r="AL144" s="5">
        <f t="shared" si="124"/>
        <v>0</v>
      </c>
      <c r="AM144" s="5">
        <f t="shared" si="89"/>
        <v>0</v>
      </c>
      <c r="AN144" s="5">
        <f t="shared" si="125"/>
        <v>0</v>
      </c>
      <c r="AO144" s="5">
        <f t="shared" si="90"/>
        <v>1</v>
      </c>
      <c r="AP144" s="1">
        <v>2</v>
      </c>
      <c r="AQ144" s="1">
        <v>0</v>
      </c>
      <c r="AR144" s="5">
        <v>1</v>
      </c>
      <c r="AS144" s="5">
        <v>1</v>
      </c>
      <c r="AT144" s="5">
        <v>0</v>
      </c>
      <c r="AU144" s="5">
        <v>0</v>
      </c>
      <c r="AV144" s="5">
        <f t="shared" si="113"/>
        <v>0</v>
      </c>
      <c r="AW144" s="5">
        <f t="shared" si="114"/>
        <v>1</v>
      </c>
      <c r="AX144" s="5">
        <f t="shared" si="115"/>
        <v>0</v>
      </c>
      <c r="AY144" s="1">
        <f t="shared" si="12"/>
        <v>0</v>
      </c>
      <c r="AZ144" s="1">
        <f t="shared" si="13"/>
        <v>0</v>
      </c>
      <c r="BA144" s="1">
        <f t="shared" si="14"/>
        <v>0</v>
      </c>
      <c r="BB144" s="5">
        <v>0</v>
      </c>
      <c r="BC144" s="5">
        <v>0</v>
      </c>
      <c r="BD144" s="5">
        <v>0</v>
      </c>
      <c r="BE144" s="5">
        <f t="shared" si="30"/>
        <v>1</v>
      </c>
      <c r="BF144" s="5">
        <v>0</v>
      </c>
      <c r="BG144" s="5">
        <f t="shared" si="130"/>
        <v>0</v>
      </c>
      <c r="BH144" s="5">
        <f t="shared" si="130"/>
        <v>0</v>
      </c>
      <c r="BI144" s="5">
        <f t="shared" si="130"/>
        <v>0</v>
      </c>
      <c r="BJ144" s="5">
        <f t="shared" si="130"/>
        <v>0</v>
      </c>
      <c r="BK144" s="5">
        <f t="shared" si="130"/>
        <v>0</v>
      </c>
      <c r="BL144" s="5">
        <f t="shared" si="130"/>
        <v>0</v>
      </c>
      <c r="BM144" s="5">
        <f t="shared" si="130"/>
        <v>1</v>
      </c>
      <c r="BN144" s="5">
        <f t="shared" si="116"/>
        <v>0</v>
      </c>
      <c r="BO144" s="5">
        <f t="shared" si="116"/>
        <v>0</v>
      </c>
      <c r="BP144" s="5">
        <f t="shared" si="116"/>
        <v>0</v>
      </c>
      <c r="BQ144" s="5">
        <f t="shared" si="116"/>
        <v>0</v>
      </c>
      <c r="BR144" s="5">
        <f t="shared" si="116"/>
        <v>0</v>
      </c>
      <c r="BS144" s="5">
        <f t="shared" si="116"/>
        <v>0</v>
      </c>
      <c r="BT144" s="5">
        <f t="shared" si="116"/>
        <v>0</v>
      </c>
      <c r="BU144" s="5">
        <f t="shared" si="116"/>
        <v>0</v>
      </c>
      <c r="BV144" s="5">
        <f t="shared" si="116"/>
        <v>0</v>
      </c>
      <c r="BW144" s="5">
        <f t="shared" si="116"/>
        <v>0</v>
      </c>
      <c r="BX144" s="5">
        <f t="shared" si="116"/>
        <v>0</v>
      </c>
      <c r="BY144" s="5">
        <f t="shared" si="116"/>
        <v>0</v>
      </c>
      <c r="BZ144" s="5">
        <f t="shared" si="116"/>
        <v>0</v>
      </c>
      <c r="CA144" s="5">
        <f t="shared" si="116"/>
        <v>0</v>
      </c>
      <c r="CB144" s="5">
        <f t="shared" si="116"/>
        <v>0</v>
      </c>
      <c r="CC144" s="5">
        <f t="shared" si="117"/>
        <v>0</v>
      </c>
      <c r="CD144" s="5">
        <f t="shared" si="117"/>
        <v>0</v>
      </c>
      <c r="CE144" s="5">
        <f t="shared" si="117"/>
        <v>0</v>
      </c>
    </row>
    <row r="145" spans="1:83" x14ac:dyDescent="0.2">
      <c r="C145" s="1">
        <f>Growth!D150</f>
        <v>0</v>
      </c>
      <c r="D145" s="5" t="b">
        <f t="shared" si="118"/>
        <v>0</v>
      </c>
      <c r="E145" s="5">
        <v>1996</v>
      </c>
      <c r="F145" s="5">
        <f ca="1">LOOKUP($E145,frequence!$A$2:$A$35,frequence!L$2:L$35)</f>
        <v>18.632669458936146</v>
      </c>
      <c r="G145" s="5">
        <f ca="1">LOOKUP($E145,frequence!$A$2:$A$35,frequence!K$2:K$35)</f>
        <v>0.29150512146707191</v>
      </c>
      <c r="H145" s="5">
        <f ca="1">LOOKUP($E145,frequence!$A$2:$A$35,frequence!M$2:M$35)</f>
        <v>112.20229674036523</v>
      </c>
      <c r="I145" s="18">
        <v>1990</v>
      </c>
      <c r="J145" s="7">
        <f>LOOKUP(I145,CPI!A$69:A$103,CPI!O$69:O$103)</f>
        <v>1.6683703136954862</v>
      </c>
      <c r="K145" s="18">
        <v>1990</v>
      </c>
      <c r="L145" s="7">
        <f t="shared" ca="1" si="119"/>
        <v>0.97099035226718666</v>
      </c>
      <c r="M145" s="7">
        <f t="shared" si="111"/>
        <v>0.81777777777777771</v>
      </c>
      <c r="N145" s="14">
        <f>16/90</f>
        <v>0.17777777777777778</v>
      </c>
      <c r="O145" s="1">
        <f ca="1">P145*J145*(1+Growth!G$6)^(2010-K145)</f>
        <v>1328.9742481591302</v>
      </c>
      <c r="P145" s="3">
        <v>590</v>
      </c>
      <c r="Q145" s="2">
        <f t="shared" si="131"/>
        <v>590</v>
      </c>
      <c r="R145" s="21">
        <f t="shared" ca="1" si="121"/>
        <v>1766172.5522701254</v>
      </c>
      <c r="X145" s="2">
        <f t="shared" si="132"/>
        <v>590</v>
      </c>
      <c r="AC145" s="1">
        <f t="shared" si="29"/>
        <v>4.5999999999999996</v>
      </c>
      <c r="AD145" s="5">
        <v>1</v>
      </c>
      <c r="AE145" s="5">
        <v>0</v>
      </c>
      <c r="AF145" s="5">
        <v>1</v>
      </c>
      <c r="AG145" s="5">
        <v>0</v>
      </c>
      <c r="AH145" s="5">
        <v>1</v>
      </c>
      <c r="AI145" s="3">
        <f t="shared" si="112"/>
        <v>1.6</v>
      </c>
      <c r="AJ145" s="5">
        <f t="shared" si="88"/>
        <v>0</v>
      </c>
      <c r="AK145" s="5">
        <f t="shared" si="123"/>
        <v>0</v>
      </c>
      <c r="AL145" s="5">
        <f t="shared" si="124"/>
        <v>0</v>
      </c>
      <c r="AM145" s="5">
        <f t="shared" si="89"/>
        <v>0</v>
      </c>
      <c r="AN145" s="5">
        <f t="shared" si="125"/>
        <v>0</v>
      </c>
      <c r="AO145" s="5">
        <f t="shared" si="90"/>
        <v>1</v>
      </c>
      <c r="AP145" s="1">
        <v>2</v>
      </c>
      <c r="AQ145" s="1">
        <v>0</v>
      </c>
      <c r="AR145" s="5">
        <v>1</v>
      </c>
      <c r="AS145" s="5">
        <v>1</v>
      </c>
      <c r="AT145" s="5">
        <v>0</v>
      </c>
      <c r="AU145" s="5">
        <v>0</v>
      </c>
      <c r="AV145" s="5">
        <f t="shared" si="113"/>
        <v>0</v>
      </c>
      <c r="AW145" s="5">
        <f t="shared" si="114"/>
        <v>1</v>
      </c>
      <c r="AX145" s="5">
        <f t="shared" si="115"/>
        <v>0</v>
      </c>
      <c r="AY145" s="1">
        <f t="shared" si="12"/>
        <v>0</v>
      </c>
      <c r="AZ145" s="1">
        <f t="shared" si="13"/>
        <v>0</v>
      </c>
      <c r="BA145" s="1">
        <f t="shared" si="14"/>
        <v>0</v>
      </c>
      <c r="BB145" s="5">
        <v>0</v>
      </c>
      <c r="BC145" s="5">
        <v>0</v>
      </c>
      <c r="BD145" s="5">
        <v>0</v>
      </c>
      <c r="BE145" s="5">
        <f t="shared" si="30"/>
        <v>1</v>
      </c>
      <c r="BF145" s="5">
        <v>0</v>
      </c>
      <c r="BG145" s="5">
        <f t="shared" si="130"/>
        <v>0</v>
      </c>
      <c r="BH145" s="5">
        <f t="shared" si="130"/>
        <v>0</v>
      </c>
      <c r="BI145" s="5">
        <f t="shared" si="130"/>
        <v>0</v>
      </c>
      <c r="BJ145" s="5">
        <f t="shared" si="130"/>
        <v>0</v>
      </c>
      <c r="BK145" s="5">
        <f t="shared" si="130"/>
        <v>0</v>
      </c>
      <c r="BL145" s="5">
        <f t="shared" si="130"/>
        <v>0</v>
      </c>
      <c r="BM145" s="5">
        <f t="shared" si="130"/>
        <v>1</v>
      </c>
      <c r="BN145" s="5">
        <f t="shared" si="116"/>
        <v>0</v>
      </c>
      <c r="BO145" s="5">
        <f t="shared" si="116"/>
        <v>0</v>
      </c>
      <c r="BP145" s="5">
        <f t="shared" si="116"/>
        <v>0</v>
      </c>
      <c r="BQ145" s="5">
        <f t="shared" si="116"/>
        <v>0</v>
      </c>
      <c r="BR145" s="5">
        <f t="shared" si="116"/>
        <v>0</v>
      </c>
      <c r="BS145" s="5">
        <f t="shared" si="116"/>
        <v>0</v>
      </c>
      <c r="BT145" s="5">
        <f t="shared" si="116"/>
        <v>0</v>
      </c>
      <c r="BU145" s="5">
        <f t="shared" si="116"/>
        <v>0</v>
      </c>
      <c r="BV145" s="5">
        <f t="shared" si="116"/>
        <v>0</v>
      </c>
      <c r="BW145" s="5">
        <f t="shared" si="116"/>
        <v>0</v>
      </c>
      <c r="BX145" s="5">
        <f t="shared" si="116"/>
        <v>0</v>
      </c>
      <c r="BY145" s="5">
        <f t="shared" si="116"/>
        <v>0</v>
      </c>
      <c r="BZ145" s="5">
        <f t="shared" si="116"/>
        <v>0</v>
      </c>
      <c r="CA145" s="5">
        <f t="shared" si="116"/>
        <v>0</v>
      </c>
      <c r="CB145" s="5">
        <f t="shared" si="116"/>
        <v>0</v>
      </c>
      <c r="CC145" s="5">
        <f t="shared" si="117"/>
        <v>0</v>
      </c>
      <c r="CD145" s="5">
        <f t="shared" si="117"/>
        <v>0</v>
      </c>
      <c r="CE145" s="5">
        <f t="shared" si="117"/>
        <v>0</v>
      </c>
    </row>
    <row r="146" spans="1:83" x14ac:dyDescent="0.2">
      <c r="C146" s="1">
        <f>Growth!D151</f>
        <v>0</v>
      </c>
      <c r="D146" s="5" t="b">
        <f t="shared" si="118"/>
        <v>0</v>
      </c>
      <c r="E146" s="5">
        <v>1996</v>
      </c>
      <c r="F146" s="5">
        <f ca="1">LOOKUP($E146,frequence!$A$2:$A$35,frequence!L$2:L$35)</f>
        <v>18.632669458936146</v>
      </c>
      <c r="G146" s="5">
        <f ca="1">LOOKUP($E146,frequence!$A$2:$A$35,frequence!K$2:K$35)</f>
        <v>0.29150512146707191</v>
      </c>
      <c r="H146" s="5">
        <f ca="1">LOOKUP($E146,frequence!$A$2:$A$35,frequence!M$2:M$35)</f>
        <v>112.20229674036523</v>
      </c>
      <c r="I146" s="18">
        <v>1990</v>
      </c>
      <c r="J146" s="7">
        <f>LOOKUP(I146,CPI!A$69:A$103,CPI!O$69:O$103)</f>
        <v>1.6683703136954862</v>
      </c>
      <c r="K146" s="18">
        <v>1990</v>
      </c>
      <c r="L146" s="7">
        <f t="shared" ca="1" si="119"/>
        <v>1</v>
      </c>
      <c r="M146" s="7">
        <f t="shared" si="111"/>
        <v>0.30666666666666664</v>
      </c>
      <c r="N146" s="14">
        <f>6/90</f>
        <v>6.6666666666666666E-2</v>
      </c>
      <c r="O146" s="1">
        <f ca="1">P146*J146*(1+Growth!G$6)^(2010-K146)</f>
        <v>518.0747069094914</v>
      </c>
      <c r="P146" s="3">
        <v>230</v>
      </c>
      <c r="Q146" s="2">
        <f t="shared" si="131"/>
        <v>230</v>
      </c>
      <c r="R146" s="21">
        <f t="shared" ca="1" si="121"/>
        <v>268401.40193935542</v>
      </c>
      <c r="X146" s="2">
        <f t="shared" si="132"/>
        <v>230</v>
      </c>
      <c r="AC146" s="1">
        <f t="shared" si="29"/>
        <v>4.5999999999999996</v>
      </c>
      <c r="AD146" s="5">
        <v>1</v>
      </c>
      <c r="AE146" s="5">
        <v>0</v>
      </c>
      <c r="AF146" s="5">
        <v>1</v>
      </c>
      <c r="AG146" s="5">
        <v>0</v>
      </c>
      <c r="AH146" s="5">
        <v>1</v>
      </c>
      <c r="AI146" s="3">
        <f t="shared" si="112"/>
        <v>1.6</v>
      </c>
      <c r="AJ146" s="5">
        <f t="shared" si="88"/>
        <v>0</v>
      </c>
      <c r="AK146" s="5">
        <f t="shared" si="123"/>
        <v>0</v>
      </c>
      <c r="AL146" s="5">
        <f t="shared" si="124"/>
        <v>0</v>
      </c>
      <c r="AM146" s="5">
        <f t="shared" si="89"/>
        <v>0</v>
      </c>
      <c r="AN146" s="5">
        <f t="shared" si="125"/>
        <v>1</v>
      </c>
      <c r="AO146" s="5">
        <f t="shared" si="90"/>
        <v>0</v>
      </c>
      <c r="AP146" s="1">
        <v>2.1</v>
      </c>
      <c r="AQ146" s="1">
        <v>0.1</v>
      </c>
      <c r="AR146" s="5">
        <v>1</v>
      </c>
      <c r="AS146" s="5">
        <v>1</v>
      </c>
      <c r="AT146" s="5">
        <v>0</v>
      </c>
      <c r="AU146" s="5">
        <v>0</v>
      </c>
      <c r="AV146" s="5">
        <f t="shared" si="113"/>
        <v>0</v>
      </c>
      <c r="AW146" s="5">
        <f t="shared" si="114"/>
        <v>1</v>
      </c>
      <c r="AX146" s="5">
        <f t="shared" si="115"/>
        <v>0</v>
      </c>
      <c r="AY146" s="1">
        <f t="shared" si="12"/>
        <v>0</v>
      </c>
      <c r="AZ146" s="1">
        <f t="shared" si="13"/>
        <v>0</v>
      </c>
      <c r="BA146" s="1">
        <f t="shared" si="14"/>
        <v>0</v>
      </c>
      <c r="BB146" s="5">
        <v>0</v>
      </c>
      <c r="BC146" s="5">
        <v>0</v>
      </c>
      <c r="BD146" s="5">
        <v>0</v>
      </c>
      <c r="BE146" s="5">
        <f t="shared" si="30"/>
        <v>1</v>
      </c>
      <c r="BF146" s="5">
        <v>0</v>
      </c>
      <c r="BG146" s="5">
        <f t="shared" si="130"/>
        <v>0</v>
      </c>
      <c r="BH146" s="5">
        <f t="shared" si="130"/>
        <v>0</v>
      </c>
      <c r="BI146" s="5">
        <f t="shared" si="130"/>
        <v>0</v>
      </c>
      <c r="BJ146" s="5">
        <f t="shared" si="130"/>
        <v>0</v>
      </c>
      <c r="BK146" s="5">
        <f t="shared" si="130"/>
        <v>0</v>
      </c>
      <c r="BL146" s="5">
        <f t="shared" si="130"/>
        <v>0</v>
      </c>
      <c r="BM146" s="5">
        <f t="shared" si="130"/>
        <v>1</v>
      </c>
      <c r="BN146" s="5">
        <f t="shared" si="116"/>
        <v>0</v>
      </c>
      <c r="BO146" s="5">
        <f t="shared" si="116"/>
        <v>0</v>
      </c>
      <c r="BP146" s="5">
        <f t="shared" si="116"/>
        <v>0</v>
      </c>
      <c r="BQ146" s="5">
        <f t="shared" si="116"/>
        <v>0</v>
      </c>
      <c r="BR146" s="5">
        <f t="shared" si="116"/>
        <v>0</v>
      </c>
      <c r="BS146" s="5">
        <f t="shared" si="116"/>
        <v>0</v>
      </c>
      <c r="BT146" s="5">
        <f t="shared" si="116"/>
        <v>0</v>
      </c>
      <c r="BU146" s="5">
        <f t="shared" si="116"/>
        <v>0</v>
      </c>
      <c r="BV146" s="5">
        <f t="shared" si="116"/>
        <v>0</v>
      </c>
      <c r="BW146" s="5">
        <f t="shared" si="116"/>
        <v>0</v>
      </c>
      <c r="BX146" s="5">
        <f t="shared" si="116"/>
        <v>0</v>
      </c>
      <c r="BY146" s="5">
        <f t="shared" si="116"/>
        <v>0</v>
      </c>
      <c r="BZ146" s="5">
        <f t="shared" si="116"/>
        <v>0</v>
      </c>
      <c r="CA146" s="5">
        <f t="shared" si="116"/>
        <v>0</v>
      </c>
      <c r="CB146" s="5">
        <f t="shared" si="116"/>
        <v>0</v>
      </c>
      <c r="CC146" s="5">
        <f t="shared" si="117"/>
        <v>0</v>
      </c>
      <c r="CD146" s="5">
        <f t="shared" si="117"/>
        <v>0</v>
      </c>
      <c r="CE146" s="5">
        <f t="shared" si="117"/>
        <v>0</v>
      </c>
    </row>
    <row r="147" spans="1:83" x14ac:dyDescent="0.2">
      <c r="C147" s="1">
        <f>Growth!D152</f>
        <v>0</v>
      </c>
      <c r="D147" s="5" t="b">
        <f t="shared" si="118"/>
        <v>0</v>
      </c>
      <c r="E147" s="5">
        <v>1996</v>
      </c>
      <c r="F147" s="5">
        <f ca="1">LOOKUP($E147,frequence!$A$2:$A$35,frequence!L$2:L$35)</f>
        <v>18.632669458936146</v>
      </c>
      <c r="G147" s="5">
        <f ca="1">LOOKUP($E147,frequence!$A$2:$A$35,frequence!K$2:K$35)</f>
        <v>0.29150512146707191</v>
      </c>
      <c r="H147" s="5">
        <f ca="1">LOOKUP($E147,frequence!$A$2:$A$35,frequence!M$2:M$35)</f>
        <v>112.20229674036523</v>
      </c>
      <c r="I147" s="18">
        <v>1990</v>
      </c>
      <c r="J147" s="7">
        <f>LOOKUP(I147,CPI!A$69:A$103,CPI!O$69:O$103)</f>
        <v>1.6683703136954862</v>
      </c>
      <c r="K147" s="18">
        <v>1990</v>
      </c>
      <c r="L147" s="7">
        <f t="shared" ca="1" si="119"/>
        <v>1</v>
      </c>
      <c r="M147" s="7">
        <f t="shared" si="111"/>
        <v>0.61333333333333329</v>
      </c>
      <c r="N147" s="14">
        <f>12/90</f>
        <v>0.13333333333333333</v>
      </c>
      <c r="O147" s="1">
        <f ca="1">P147*J147*(1+Growth!G$6)^(2010-K147)</f>
        <v>923.5244775343109</v>
      </c>
      <c r="P147" s="3">
        <v>410</v>
      </c>
      <c r="Q147" s="2">
        <f t="shared" si="131"/>
        <v>410</v>
      </c>
      <c r="R147" s="21">
        <f t="shared" ca="1" si="121"/>
        <v>852897.46060502192</v>
      </c>
      <c r="X147" s="2">
        <f t="shared" si="132"/>
        <v>410</v>
      </c>
      <c r="AC147" s="1">
        <f t="shared" si="29"/>
        <v>4.5999999999999996</v>
      </c>
      <c r="AD147" s="5">
        <v>1</v>
      </c>
      <c r="AE147" s="5">
        <v>0</v>
      </c>
      <c r="AF147" s="5">
        <v>1</v>
      </c>
      <c r="AG147" s="5">
        <v>0</v>
      </c>
      <c r="AH147" s="5">
        <v>1</v>
      </c>
      <c r="AI147" s="3">
        <f t="shared" si="112"/>
        <v>1.6</v>
      </c>
      <c r="AJ147" s="5">
        <f t="shared" si="88"/>
        <v>0</v>
      </c>
      <c r="AK147" s="5">
        <f t="shared" si="123"/>
        <v>0</v>
      </c>
      <c r="AL147" s="5">
        <f t="shared" si="124"/>
        <v>0</v>
      </c>
      <c r="AM147" s="5">
        <f t="shared" si="89"/>
        <v>0</v>
      </c>
      <c r="AN147" s="5">
        <f t="shared" si="125"/>
        <v>1</v>
      </c>
      <c r="AO147" s="5">
        <f t="shared" si="90"/>
        <v>0</v>
      </c>
      <c r="AP147" s="1">
        <v>2.1</v>
      </c>
      <c r="AQ147" s="1">
        <v>0.1</v>
      </c>
      <c r="AR147" s="5">
        <v>1</v>
      </c>
      <c r="AS147" s="5">
        <v>1</v>
      </c>
      <c r="AT147" s="5">
        <v>0</v>
      </c>
      <c r="AU147" s="5">
        <v>0</v>
      </c>
      <c r="AV147" s="5">
        <f t="shared" si="113"/>
        <v>0</v>
      </c>
      <c r="AW147" s="5">
        <f t="shared" si="114"/>
        <v>1</v>
      </c>
      <c r="AX147" s="5">
        <f t="shared" si="115"/>
        <v>0</v>
      </c>
      <c r="AY147" s="1">
        <f t="shared" si="12"/>
        <v>0</v>
      </c>
      <c r="AZ147" s="1">
        <f t="shared" si="13"/>
        <v>0</v>
      </c>
      <c r="BA147" s="1">
        <f t="shared" si="14"/>
        <v>0</v>
      </c>
      <c r="BB147" s="5">
        <v>0</v>
      </c>
      <c r="BC147" s="5">
        <v>0</v>
      </c>
      <c r="BD147" s="5">
        <v>0</v>
      </c>
      <c r="BE147" s="5">
        <f t="shared" si="30"/>
        <v>1</v>
      </c>
      <c r="BF147" s="5">
        <v>0</v>
      </c>
      <c r="BG147" s="5">
        <f t="shared" si="130"/>
        <v>0</v>
      </c>
      <c r="BH147" s="5">
        <f t="shared" si="130"/>
        <v>0</v>
      </c>
      <c r="BI147" s="5">
        <f t="shared" si="130"/>
        <v>0</v>
      </c>
      <c r="BJ147" s="5">
        <f t="shared" si="130"/>
        <v>0</v>
      </c>
      <c r="BK147" s="5">
        <f t="shared" si="130"/>
        <v>0</v>
      </c>
      <c r="BL147" s="5">
        <f t="shared" si="130"/>
        <v>0</v>
      </c>
      <c r="BM147" s="5">
        <f t="shared" si="130"/>
        <v>1</v>
      </c>
      <c r="BN147" s="5">
        <f t="shared" si="116"/>
        <v>0</v>
      </c>
      <c r="BO147" s="5">
        <f t="shared" si="116"/>
        <v>0</v>
      </c>
      <c r="BP147" s="5">
        <f t="shared" si="116"/>
        <v>0</v>
      </c>
      <c r="BQ147" s="5">
        <f t="shared" si="116"/>
        <v>0</v>
      </c>
      <c r="BR147" s="5">
        <f t="shared" si="116"/>
        <v>0</v>
      </c>
      <c r="BS147" s="5">
        <f t="shared" si="116"/>
        <v>0</v>
      </c>
      <c r="BT147" s="5">
        <f t="shared" si="116"/>
        <v>0</v>
      </c>
      <c r="BU147" s="5">
        <f t="shared" si="116"/>
        <v>0</v>
      </c>
      <c r="BV147" s="5">
        <f t="shared" si="116"/>
        <v>0</v>
      </c>
      <c r="BW147" s="5">
        <f t="shared" si="116"/>
        <v>0</v>
      </c>
      <c r="BX147" s="5">
        <f t="shared" si="116"/>
        <v>0</v>
      </c>
      <c r="BY147" s="5">
        <f t="shared" si="116"/>
        <v>0</v>
      </c>
      <c r="BZ147" s="5">
        <f t="shared" si="116"/>
        <v>0</v>
      </c>
      <c r="CA147" s="5">
        <f t="shared" si="116"/>
        <v>0</v>
      </c>
      <c r="CB147" s="5">
        <f t="shared" ref="CB147:CE166" si="133">IF($E147=CB$2,1,0)</f>
        <v>0</v>
      </c>
      <c r="CC147" s="5">
        <f t="shared" si="117"/>
        <v>0</v>
      </c>
      <c r="CD147" s="5">
        <f t="shared" si="117"/>
        <v>0</v>
      </c>
      <c r="CE147" s="5">
        <f t="shared" si="117"/>
        <v>0</v>
      </c>
    </row>
    <row r="148" spans="1:83" x14ac:dyDescent="0.2">
      <c r="C148" s="1">
        <f>Growth!D153</f>
        <v>0</v>
      </c>
      <c r="D148" s="5" t="b">
        <f t="shared" si="118"/>
        <v>0</v>
      </c>
      <c r="E148" s="5">
        <v>1996</v>
      </c>
      <c r="F148" s="5">
        <f ca="1">LOOKUP($E148,frequence!$A$2:$A$35,frequence!L$2:L$35)</f>
        <v>18.632669458936146</v>
      </c>
      <c r="G148" s="5">
        <f ca="1">LOOKUP($E148,frequence!$A$2:$A$35,frequence!K$2:K$35)</f>
        <v>0.29150512146707191</v>
      </c>
      <c r="H148" s="5">
        <f ca="1">LOOKUP($E148,frequence!$A$2:$A$35,frequence!M$2:M$35)</f>
        <v>112.20229674036523</v>
      </c>
      <c r="I148" s="18">
        <v>1990</v>
      </c>
      <c r="J148" s="7">
        <f>LOOKUP(I148,CPI!A$69:A$103,CPI!O$69:O$103)</f>
        <v>1.6683703136954862</v>
      </c>
      <c r="K148" s="18">
        <v>1990</v>
      </c>
      <c r="L148" s="7">
        <f t="shared" ca="1" si="119"/>
        <v>1</v>
      </c>
      <c r="M148" s="7">
        <f t="shared" si="111"/>
        <v>0.20444444444444443</v>
      </c>
      <c r="N148" s="14">
        <f>4/90</f>
        <v>4.4444444444444446E-2</v>
      </c>
      <c r="O148" s="1">
        <f ca="1">P148*J148*(1+Growth!G$6)^(2010-K148)</f>
        <v>213.98737894087688</v>
      </c>
      <c r="P148" s="3">
        <v>95</v>
      </c>
      <c r="Q148" s="2">
        <f t="shared" si="131"/>
        <v>95</v>
      </c>
      <c r="R148" s="21">
        <f t="shared" ca="1" si="121"/>
        <v>45790.598345986436</v>
      </c>
      <c r="X148" s="2">
        <f t="shared" si="132"/>
        <v>95</v>
      </c>
      <c r="AC148" s="1">
        <f t="shared" si="29"/>
        <v>4.5999999999999996</v>
      </c>
      <c r="AD148" s="5">
        <v>1</v>
      </c>
      <c r="AE148" s="5">
        <v>0</v>
      </c>
      <c r="AF148" s="5">
        <v>1</v>
      </c>
      <c r="AG148" s="5">
        <v>0</v>
      </c>
      <c r="AH148" s="5">
        <v>1</v>
      </c>
      <c r="AI148" s="3">
        <f t="shared" si="112"/>
        <v>1.6</v>
      </c>
      <c r="AJ148" s="5">
        <f t="shared" si="88"/>
        <v>0</v>
      </c>
      <c r="AK148" s="5">
        <f t="shared" si="123"/>
        <v>0</v>
      </c>
      <c r="AL148" s="5">
        <f t="shared" si="124"/>
        <v>0</v>
      </c>
      <c r="AM148" s="5">
        <f t="shared" si="89"/>
        <v>1</v>
      </c>
      <c r="AN148" s="5">
        <f t="shared" si="125"/>
        <v>0</v>
      </c>
      <c r="AO148" s="5">
        <f t="shared" si="90"/>
        <v>0</v>
      </c>
      <c r="AP148" s="1">
        <v>3</v>
      </c>
      <c r="AQ148" s="1">
        <v>1</v>
      </c>
      <c r="AR148" s="5">
        <v>1</v>
      </c>
      <c r="AS148" s="5">
        <v>1</v>
      </c>
      <c r="AT148" s="5">
        <v>0</v>
      </c>
      <c r="AU148" s="5">
        <v>0</v>
      </c>
      <c r="AV148" s="5">
        <f t="shared" si="113"/>
        <v>0</v>
      </c>
      <c r="AW148" s="5">
        <f t="shared" si="114"/>
        <v>1</v>
      </c>
      <c r="AX148" s="5">
        <f t="shared" si="115"/>
        <v>0</v>
      </c>
      <c r="AY148" s="1">
        <f t="shared" si="12"/>
        <v>0</v>
      </c>
      <c r="AZ148" s="1">
        <f t="shared" si="13"/>
        <v>0</v>
      </c>
      <c r="BA148" s="1">
        <f t="shared" si="14"/>
        <v>0</v>
      </c>
      <c r="BB148" s="5">
        <v>0</v>
      </c>
      <c r="BC148" s="5">
        <v>0</v>
      </c>
      <c r="BD148" s="5">
        <v>0</v>
      </c>
      <c r="BE148" s="5">
        <f t="shared" si="30"/>
        <v>1</v>
      </c>
      <c r="BF148" s="5">
        <v>0</v>
      </c>
      <c r="BG148" s="5">
        <f t="shared" si="130"/>
        <v>0</v>
      </c>
      <c r="BH148" s="5">
        <f t="shared" si="130"/>
        <v>0</v>
      </c>
      <c r="BI148" s="5">
        <f t="shared" si="130"/>
        <v>0</v>
      </c>
      <c r="BJ148" s="5">
        <f t="shared" si="130"/>
        <v>0</v>
      </c>
      <c r="BK148" s="5">
        <f t="shared" si="130"/>
        <v>0</v>
      </c>
      <c r="BL148" s="5">
        <f t="shared" si="130"/>
        <v>0</v>
      </c>
      <c r="BM148" s="5">
        <f t="shared" si="130"/>
        <v>1</v>
      </c>
      <c r="BN148" s="5">
        <f t="shared" si="130"/>
        <v>0</v>
      </c>
      <c r="BO148" s="5">
        <f t="shared" ref="BO148:CA163" si="134">IF($E148=BO$2,1,0)</f>
        <v>0</v>
      </c>
      <c r="BP148" s="5">
        <f t="shared" si="134"/>
        <v>0</v>
      </c>
      <c r="BQ148" s="5">
        <f t="shared" si="134"/>
        <v>0</v>
      </c>
      <c r="BR148" s="5">
        <f t="shared" si="134"/>
        <v>0</v>
      </c>
      <c r="BS148" s="5">
        <f t="shared" si="134"/>
        <v>0</v>
      </c>
      <c r="BT148" s="5">
        <f t="shared" si="134"/>
        <v>0</v>
      </c>
      <c r="BU148" s="5">
        <f t="shared" si="134"/>
        <v>0</v>
      </c>
      <c r="BV148" s="5">
        <f t="shared" si="134"/>
        <v>0</v>
      </c>
      <c r="BW148" s="5">
        <f t="shared" si="134"/>
        <v>0</v>
      </c>
      <c r="BX148" s="5">
        <f t="shared" si="134"/>
        <v>0</v>
      </c>
      <c r="BY148" s="5">
        <f t="shared" si="134"/>
        <v>0</v>
      </c>
      <c r="BZ148" s="5">
        <f t="shared" si="134"/>
        <v>0</v>
      </c>
      <c r="CA148" s="5">
        <f t="shared" si="134"/>
        <v>0</v>
      </c>
      <c r="CB148" s="5">
        <f t="shared" si="133"/>
        <v>0</v>
      </c>
      <c r="CC148" s="5">
        <f t="shared" si="117"/>
        <v>0</v>
      </c>
      <c r="CD148" s="5">
        <f t="shared" si="117"/>
        <v>0</v>
      </c>
      <c r="CE148" s="5">
        <f t="shared" si="117"/>
        <v>0</v>
      </c>
    </row>
    <row r="149" spans="1:83" x14ac:dyDescent="0.2">
      <c r="C149" s="1">
        <f>Growth!D154</f>
        <v>0</v>
      </c>
      <c r="D149" s="5" t="b">
        <f t="shared" si="118"/>
        <v>0</v>
      </c>
      <c r="E149" s="5">
        <v>1996</v>
      </c>
      <c r="F149" s="5">
        <f ca="1">LOOKUP($E149,frequence!$A$2:$A$35,frequence!L$2:L$35)</f>
        <v>18.632669458936146</v>
      </c>
      <c r="G149" s="5">
        <f ca="1">LOOKUP($E149,frequence!$A$2:$A$35,frequence!K$2:K$35)</f>
        <v>0.29150512146707191</v>
      </c>
      <c r="H149" s="5">
        <f ca="1">LOOKUP($E149,frequence!$A$2:$A$35,frequence!M$2:M$35)</f>
        <v>112.20229674036523</v>
      </c>
      <c r="I149" s="18">
        <v>1990</v>
      </c>
      <c r="J149" s="7">
        <f>LOOKUP(I149,CPI!A$69:A$103,CPI!O$69:O$103)</f>
        <v>1.6683703136954862</v>
      </c>
      <c r="K149" s="18">
        <v>1990</v>
      </c>
      <c r="L149" s="7">
        <f t="shared" ca="1" si="119"/>
        <v>1</v>
      </c>
      <c r="M149" s="7">
        <f t="shared" si="111"/>
        <v>0.40888888888888886</v>
      </c>
      <c r="N149" s="14">
        <f>8/90</f>
        <v>8.8888888888888892E-2</v>
      </c>
      <c r="O149" s="1">
        <f ca="1">P149*J149*(1+Growth!G$6)^(2010-K149)</f>
        <v>220.74487511795721</v>
      </c>
      <c r="P149" s="3">
        <v>98</v>
      </c>
      <c r="Q149" s="2">
        <f t="shared" si="131"/>
        <v>98</v>
      </c>
      <c r="R149" s="21">
        <f t="shared" ca="1" si="121"/>
        <v>48728.299890842522</v>
      </c>
      <c r="X149" s="2">
        <f t="shared" si="132"/>
        <v>98</v>
      </c>
      <c r="AC149" s="1">
        <f t="shared" si="29"/>
        <v>4.5999999999999996</v>
      </c>
      <c r="AD149" s="5">
        <v>1</v>
      </c>
      <c r="AE149" s="5">
        <v>0</v>
      </c>
      <c r="AF149" s="5">
        <v>1</v>
      </c>
      <c r="AG149" s="5">
        <v>0</v>
      </c>
      <c r="AH149" s="5">
        <v>1</v>
      </c>
      <c r="AI149" s="3">
        <f t="shared" si="112"/>
        <v>1.6</v>
      </c>
      <c r="AJ149" s="5">
        <f t="shared" si="88"/>
        <v>0</v>
      </c>
      <c r="AK149" s="5">
        <f t="shared" si="123"/>
        <v>0</v>
      </c>
      <c r="AL149" s="5">
        <f t="shared" si="124"/>
        <v>0</v>
      </c>
      <c r="AM149" s="5">
        <f t="shared" si="89"/>
        <v>1</v>
      </c>
      <c r="AN149" s="5">
        <f t="shared" si="125"/>
        <v>0</v>
      </c>
      <c r="AO149" s="5">
        <f t="shared" si="90"/>
        <v>0</v>
      </c>
      <c r="AP149" s="1">
        <v>3</v>
      </c>
      <c r="AQ149" s="1">
        <v>1</v>
      </c>
      <c r="AR149" s="5">
        <v>1</v>
      </c>
      <c r="AS149" s="5">
        <v>1</v>
      </c>
      <c r="AT149" s="5">
        <v>0</v>
      </c>
      <c r="AU149" s="5">
        <v>0</v>
      </c>
      <c r="AV149" s="5">
        <f t="shared" si="113"/>
        <v>0</v>
      </c>
      <c r="AW149" s="5">
        <f t="shared" si="114"/>
        <v>1</v>
      </c>
      <c r="AX149" s="5">
        <f t="shared" si="115"/>
        <v>0</v>
      </c>
      <c r="AY149" s="1">
        <f t="shared" si="12"/>
        <v>0</v>
      </c>
      <c r="AZ149" s="1">
        <f t="shared" si="13"/>
        <v>0</v>
      </c>
      <c r="BA149" s="1">
        <f t="shared" si="14"/>
        <v>0</v>
      </c>
      <c r="BB149" s="5">
        <v>0</v>
      </c>
      <c r="BC149" s="5">
        <v>0</v>
      </c>
      <c r="BD149" s="5">
        <v>0</v>
      </c>
      <c r="BE149" s="5">
        <f t="shared" si="30"/>
        <v>1</v>
      </c>
      <c r="BF149" s="5">
        <v>0</v>
      </c>
      <c r="BG149" s="5">
        <f t="shared" ref="BG149:BN164" si="135">IF($E149=BG$2,1,0)</f>
        <v>0</v>
      </c>
      <c r="BH149" s="5">
        <f t="shared" si="135"/>
        <v>0</v>
      </c>
      <c r="BI149" s="5">
        <f t="shared" si="135"/>
        <v>0</v>
      </c>
      <c r="BJ149" s="5">
        <f t="shared" si="135"/>
        <v>0</v>
      </c>
      <c r="BK149" s="5">
        <f t="shared" si="135"/>
        <v>0</v>
      </c>
      <c r="BL149" s="5">
        <f t="shared" si="135"/>
        <v>0</v>
      </c>
      <c r="BM149" s="5">
        <f t="shared" si="135"/>
        <v>1</v>
      </c>
      <c r="BN149" s="5">
        <f t="shared" si="135"/>
        <v>0</v>
      </c>
      <c r="BO149" s="5">
        <f t="shared" si="134"/>
        <v>0</v>
      </c>
      <c r="BP149" s="5">
        <f t="shared" si="134"/>
        <v>0</v>
      </c>
      <c r="BQ149" s="5">
        <f t="shared" si="134"/>
        <v>0</v>
      </c>
      <c r="BR149" s="5">
        <f t="shared" si="134"/>
        <v>0</v>
      </c>
      <c r="BS149" s="5">
        <f t="shared" si="134"/>
        <v>0</v>
      </c>
      <c r="BT149" s="5">
        <f t="shared" si="134"/>
        <v>0</v>
      </c>
      <c r="BU149" s="5">
        <f t="shared" si="134"/>
        <v>0</v>
      </c>
      <c r="BV149" s="5">
        <f t="shared" si="134"/>
        <v>0</v>
      </c>
      <c r="BW149" s="5">
        <f t="shared" si="134"/>
        <v>0</v>
      </c>
      <c r="BX149" s="5">
        <f t="shared" si="134"/>
        <v>0</v>
      </c>
      <c r="BY149" s="5">
        <f t="shared" si="134"/>
        <v>0</v>
      </c>
      <c r="BZ149" s="5">
        <f t="shared" si="134"/>
        <v>0</v>
      </c>
      <c r="CA149" s="5">
        <f t="shared" si="134"/>
        <v>0</v>
      </c>
      <c r="CB149" s="5">
        <f t="shared" si="133"/>
        <v>0</v>
      </c>
      <c r="CC149" s="5">
        <f t="shared" si="117"/>
        <v>0</v>
      </c>
      <c r="CD149" s="5">
        <f t="shared" si="117"/>
        <v>0</v>
      </c>
      <c r="CE149" s="5">
        <f t="shared" si="117"/>
        <v>0</v>
      </c>
    </row>
    <row r="150" spans="1:83" x14ac:dyDescent="0.2">
      <c r="C150" s="1">
        <f>Growth!D155</f>
        <v>0</v>
      </c>
      <c r="D150" s="5" t="b">
        <f t="shared" si="118"/>
        <v>0</v>
      </c>
      <c r="E150" s="5">
        <v>1996</v>
      </c>
      <c r="F150" s="5">
        <f ca="1">LOOKUP($E150,frequence!$A$2:$A$35,frequence!L$2:L$35)</f>
        <v>18.632669458936146</v>
      </c>
      <c r="G150" s="5">
        <f ca="1">LOOKUP($E150,frequence!$A$2:$A$35,frequence!K$2:K$35)</f>
        <v>0.29150512146707191</v>
      </c>
      <c r="H150" s="5">
        <f ca="1">LOOKUP($E150,frequence!$A$2:$A$35,frequence!M$2:M$35)</f>
        <v>112.20229674036523</v>
      </c>
      <c r="I150" s="18">
        <v>1990</v>
      </c>
      <c r="J150" s="7">
        <f>LOOKUP(I150,CPI!A$69:A$103,CPI!O$69:O$103)</f>
        <v>1.6683703136954862</v>
      </c>
      <c r="K150" s="18">
        <v>1990</v>
      </c>
      <c r="L150" s="7">
        <f t="shared" ca="1" si="119"/>
        <v>1</v>
      </c>
      <c r="M150" s="7">
        <f t="shared" si="111"/>
        <v>0.10222222222222221</v>
      </c>
      <c r="N150" s="14">
        <f>2/90</f>
        <v>2.2222222222222223E-2</v>
      </c>
      <c r="O150" s="1">
        <f ca="1">P150*J150*(1+Growth!G$6)^(2010-K150)</f>
        <v>87.847450302044194</v>
      </c>
      <c r="P150" s="3">
        <v>39</v>
      </c>
      <c r="Q150" s="2">
        <f t="shared" si="131"/>
        <v>39</v>
      </c>
      <c r="R150" s="21">
        <f t="shared" ca="1" si="121"/>
        <v>7717.174524570125</v>
      </c>
      <c r="X150" s="2">
        <f t="shared" si="132"/>
        <v>39</v>
      </c>
      <c r="AC150" s="1">
        <f t="shared" si="29"/>
        <v>4.5999999999999996</v>
      </c>
      <c r="AD150" s="5">
        <v>1</v>
      </c>
      <c r="AE150" s="5">
        <v>0</v>
      </c>
      <c r="AF150" s="5">
        <v>1</v>
      </c>
      <c r="AG150" s="5">
        <v>0</v>
      </c>
      <c r="AH150" s="5">
        <v>1</v>
      </c>
      <c r="AI150" s="3">
        <f t="shared" si="112"/>
        <v>1.6</v>
      </c>
      <c r="AJ150" s="5">
        <f t="shared" si="88"/>
        <v>1</v>
      </c>
      <c r="AK150" s="5">
        <f t="shared" si="123"/>
        <v>0</v>
      </c>
      <c r="AL150" s="5">
        <f t="shared" si="124"/>
        <v>0</v>
      </c>
      <c r="AM150" s="5">
        <f t="shared" si="89"/>
        <v>0</v>
      </c>
      <c r="AN150" s="5">
        <f t="shared" si="125"/>
        <v>0</v>
      </c>
      <c r="AO150" s="5">
        <f t="shared" si="90"/>
        <v>0</v>
      </c>
      <c r="AP150" s="1">
        <v>5</v>
      </c>
      <c r="AQ150" s="1">
        <v>3</v>
      </c>
      <c r="AR150" s="5">
        <v>1</v>
      </c>
      <c r="AS150" s="5">
        <v>1</v>
      </c>
      <c r="AT150" s="5">
        <v>0</v>
      </c>
      <c r="AU150" s="5">
        <v>0</v>
      </c>
      <c r="AV150" s="5">
        <f t="shared" si="113"/>
        <v>0</v>
      </c>
      <c r="AW150" s="5">
        <f t="shared" si="114"/>
        <v>1</v>
      </c>
      <c r="AX150" s="5">
        <f t="shared" si="115"/>
        <v>0</v>
      </c>
      <c r="AY150" s="1">
        <f t="shared" si="12"/>
        <v>0</v>
      </c>
      <c r="AZ150" s="1">
        <f t="shared" si="13"/>
        <v>0</v>
      </c>
      <c r="BA150" s="1">
        <f t="shared" si="14"/>
        <v>0</v>
      </c>
      <c r="BB150" s="5">
        <v>0</v>
      </c>
      <c r="BC150" s="5">
        <v>0</v>
      </c>
      <c r="BD150" s="5">
        <v>0</v>
      </c>
      <c r="BE150" s="5">
        <f t="shared" si="30"/>
        <v>1</v>
      </c>
      <c r="BF150" s="5">
        <v>0</v>
      </c>
      <c r="BG150" s="5">
        <f t="shared" si="135"/>
        <v>0</v>
      </c>
      <c r="BH150" s="5">
        <f t="shared" si="135"/>
        <v>0</v>
      </c>
      <c r="BI150" s="5">
        <f t="shared" si="135"/>
        <v>0</v>
      </c>
      <c r="BJ150" s="5">
        <f t="shared" si="135"/>
        <v>0</v>
      </c>
      <c r="BK150" s="5">
        <f t="shared" si="135"/>
        <v>0</v>
      </c>
      <c r="BL150" s="5">
        <f t="shared" si="135"/>
        <v>0</v>
      </c>
      <c r="BM150" s="5">
        <f t="shared" si="135"/>
        <v>1</v>
      </c>
      <c r="BN150" s="5">
        <f t="shared" si="135"/>
        <v>0</v>
      </c>
      <c r="BO150" s="5">
        <f t="shared" si="134"/>
        <v>0</v>
      </c>
      <c r="BP150" s="5">
        <f t="shared" si="134"/>
        <v>0</v>
      </c>
      <c r="BQ150" s="5">
        <f t="shared" si="134"/>
        <v>0</v>
      </c>
      <c r="BR150" s="5">
        <f t="shared" si="134"/>
        <v>0</v>
      </c>
      <c r="BS150" s="5">
        <f t="shared" si="134"/>
        <v>0</v>
      </c>
      <c r="BT150" s="5">
        <f t="shared" si="134"/>
        <v>0</v>
      </c>
      <c r="BU150" s="5">
        <f t="shared" si="134"/>
        <v>0</v>
      </c>
      <c r="BV150" s="5">
        <f t="shared" si="134"/>
        <v>0</v>
      </c>
      <c r="BW150" s="5">
        <f t="shared" si="134"/>
        <v>0</v>
      </c>
      <c r="BX150" s="5">
        <f t="shared" si="134"/>
        <v>0</v>
      </c>
      <c r="BY150" s="5">
        <f t="shared" si="134"/>
        <v>0</v>
      </c>
      <c r="BZ150" s="5">
        <f t="shared" si="134"/>
        <v>0</v>
      </c>
      <c r="CA150" s="5">
        <f t="shared" si="134"/>
        <v>0</v>
      </c>
      <c r="CB150" s="5">
        <f t="shared" si="133"/>
        <v>0</v>
      </c>
      <c r="CC150" s="5">
        <f t="shared" si="117"/>
        <v>0</v>
      </c>
      <c r="CD150" s="5">
        <f t="shared" si="117"/>
        <v>0</v>
      </c>
      <c r="CE150" s="5">
        <f t="shared" si="117"/>
        <v>0</v>
      </c>
    </row>
    <row r="151" spans="1:83" x14ac:dyDescent="0.2">
      <c r="C151" s="1">
        <f>Growth!D156</f>
        <v>0</v>
      </c>
      <c r="D151" s="5" t="b">
        <f t="shared" si="118"/>
        <v>0</v>
      </c>
      <c r="E151" s="5">
        <v>1996</v>
      </c>
      <c r="F151" s="5">
        <f ca="1">LOOKUP($E151,frequence!$A$2:$A$35,frequence!L$2:L$35)</f>
        <v>18.632669458936146</v>
      </c>
      <c r="G151" s="5">
        <f ca="1">LOOKUP($E151,frequence!$A$2:$A$35,frequence!K$2:K$35)</f>
        <v>0.29150512146707191</v>
      </c>
      <c r="H151" s="5">
        <f ca="1">LOOKUP($E151,frequence!$A$2:$A$35,frequence!M$2:M$35)</f>
        <v>112.20229674036523</v>
      </c>
      <c r="I151" s="18">
        <v>1990</v>
      </c>
      <c r="J151" s="7">
        <f>LOOKUP(I151,CPI!A$69:A$103,CPI!O$69:O$103)</f>
        <v>1.6683703136954862</v>
      </c>
      <c r="K151" s="18">
        <v>1990</v>
      </c>
      <c r="L151" s="7">
        <f t="shared" ca="1" si="119"/>
        <v>1</v>
      </c>
      <c r="M151" s="7">
        <f t="shared" si="111"/>
        <v>0.20444444444444443</v>
      </c>
      <c r="N151" s="14">
        <f>4/90</f>
        <v>4.4444444444444446E-2</v>
      </c>
      <c r="O151" s="1">
        <f ca="1">P151*J151*(1+Growth!G$6)^(2010-K151)</f>
        <v>87.847450302044194</v>
      </c>
      <c r="P151" s="3">
        <v>39</v>
      </c>
      <c r="Q151" s="2">
        <f t="shared" si="131"/>
        <v>39</v>
      </c>
      <c r="R151" s="21">
        <f t="shared" ca="1" si="121"/>
        <v>7717.174524570125</v>
      </c>
      <c r="X151" s="2">
        <f t="shared" si="132"/>
        <v>39</v>
      </c>
      <c r="AC151" s="1">
        <f t="shared" si="29"/>
        <v>4.5999999999999996</v>
      </c>
      <c r="AD151" s="5">
        <v>1</v>
      </c>
      <c r="AE151" s="5">
        <v>0</v>
      </c>
      <c r="AF151" s="5">
        <v>1</v>
      </c>
      <c r="AG151" s="5">
        <v>0</v>
      </c>
      <c r="AH151" s="5">
        <v>1</v>
      </c>
      <c r="AI151" s="3">
        <f t="shared" si="112"/>
        <v>1.6</v>
      </c>
      <c r="AJ151" s="5">
        <f t="shared" ref="AJ151:AJ214" si="136">IF($AQ151=3,1,0)</f>
        <v>1</v>
      </c>
      <c r="AK151" s="5">
        <f t="shared" si="123"/>
        <v>0</v>
      </c>
      <c r="AL151" s="5">
        <f t="shared" si="124"/>
        <v>0</v>
      </c>
      <c r="AM151" s="5">
        <f t="shared" si="89"/>
        <v>0</v>
      </c>
      <c r="AN151" s="5">
        <f t="shared" si="125"/>
        <v>0</v>
      </c>
      <c r="AO151" s="5">
        <f t="shared" si="90"/>
        <v>0</v>
      </c>
      <c r="AP151" s="1">
        <v>5</v>
      </c>
      <c r="AQ151" s="1">
        <v>3</v>
      </c>
      <c r="AR151" s="5">
        <v>1</v>
      </c>
      <c r="AS151" s="5">
        <v>1</v>
      </c>
      <c r="AT151" s="5">
        <v>0</v>
      </c>
      <c r="AU151" s="5">
        <v>0</v>
      </c>
      <c r="AV151" s="5">
        <f t="shared" si="113"/>
        <v>0</v>
      </c>
      <c r="AW151" s="5">
        <f t="shared" si="114"/>
        <v>1</v>
      </c>
      <c r="AX151" s="5">
        <f t="shared" si="115"/>
        <v>0</v>
      </c>
      <c r="AY151" s="1">
        <f t="shared" si="12"/>
        <v>0</v>
      </c>
      <c r="AZ151" s="1">
        <f t="shared" si="13"/>
        <v>0</v>
      </c>
      <c r="BA151" s="1">
        <f t="shared" si="14"/>
        <v>0</v>
      </c>
      <c r="BB151" s="5">
        <v>0</v>
      </c>
      <c r="BC151" s="5">
        <v>0</v>
      </c>
      <c r="BD151" s="5">
        <v>0</v>
      </c>
      <c r="BE151" s="5">
        <f t="shared" si="30"/>
        <v>1</v>
      </c>
      <c r="BF151" s="5">
        <v>0</v>
      </c>
      <c r="BG151" s="5">
        <f t="shared" si="135"/>
        <v>0</v>
      </c>
      <c r="BH151" s="5">
        <f t="shared" si="135"/>
        <v>0</v>
      </c>
      <c r="BI151" s="5">
        <f t="shared" si="135"/>
        <v>0</v>
      </c>
      <c r="BJ151" s="5">
        <f t="shared" si="135"/>
        <v>0</v>
      </c>
      <c r="BK151" s="5">
        <f t="shared" si="135"/>
        <v>0</v>
      </c>
      <c r="BL151" s="5">
        <f t="shared" si="135"/>
        <v>0</v>
      </c>
      <c r="BM151" s="5">
        <f t="shared" si="135"/>
        <v>1</v>
      </c>
      <c r="BN151" s="5">
        <f t="shared" si="135"/>
        <v>0</v>
      </c>
      <c r="BO151" s="5">
        <f t="shared" si="134"/>
        <v>0</v>
      </c>
      <c r="BP151" s="5">
        <f t="shared" si="134"/>
        <v>0</v>
      </c>
      <c r="BQ151" s="5">
        <f t="shared" si="134"/>
        <v>0</v>
      </c>
      <c r="BR151" s="5">
        <f t="shared" si="134"/>
        <v>0</v>
      </c>
      <c r="BS151" s="5">
        <f t="shared" si="134"/>
        <v>0</v>
      </c>
      <c r="BT151" s="5">
        <f t="shared" si="134"/>
        <v>0</v>
      </c>
      <c r="BU151" s="5">
        <f t="shared" si="134"/>
        <v>0</v>
      </c>
      <c r="BV151" s="5">
        <f t="shared" si="134"/>
        <v>0</v>
      </c>
      <c r="BW151" s="5">
        <f t="shared" si="134"/>
        <v>0</v>
      </c>
      <c r="BX151" s="5">
        <f t="shared" si="134"/>
        <v>0</v>
      </c>
      <c r="BY151" s="5">
        <f t="shared" si="134"/>
        <v>0</v>
      </c>
      <c r="BZ151" s="5">
        <f t="shared" si="134"/>
        <v>0</v>
      </c>
      <c r="CA151" s="5">
        <f t="shared" si="134"/>
        <v>0</v>
      </c>
      <c r="CB151" s="5">
        <f t="shared" si="133"/>
        <v>0</v>
      </c>
      <c r="CC151" s="5">
        <f t="shared" si="117"/>
        <v>0</v>
      </c>
      <c r="CD151" s="5">
        <f t="shared" si="117"/>
        <v>0</v>
      </c>
      <c r="CE151" s="5">
        <f t="shared" si="117"/>
        <v>0</v>
      </c>
    </row>
    <row r="152" spans="1:83" x14ac:dyDescent="0.2">
      <c r="A152" s="1" t="s">
        <v>26</v>
      </c>
      <c r="B152" s="1" t="s">
        <v>173</v>
      </c>
      <c r="C152" s="1">
        <f>Growth!D157</f>
        <v>0</v>
      </c>
      <c r="D152" s="5">
        <f t="shared" si="118"/>
        <v>1996</v>
      </c>
      <c r="E152" s="5">
        <v>1996</v>
      </c>
      <c r="F152" s="5">
        <f ca="1">LOOKUP($E152,frequence!$A$2:$A$35,frequence!L$2:L$35)</f>
        <v>18.632669458936146</v>
      </c>
      <c r="G152" s="5">
        <f ca="1">LOOKUP($E152,frequence!$A$2:$A$35,frequence!K$2:K$35)</f>
        <v>0.29150512146707191</v>
      </c>
      <c r="H152" s="5">
        <f ca="1">LOOKUP($E152,frequence!$A$2:$A$35,frequence!M$2:M$35)</f>
        <v>112.20229674036523</v>
      </c>
      <c r="I152" s="18">
        <v>1990</v>
      </c>
      <c r="J152" s="7">
        <f>LOOKUP(I152,CPI!A$69:A$103,CPI!O$69:O$103)</f>
        <v>1.6683703136954862</v>
      </c>
      <c r="K152" s="18">
        <v>1995</v>
      </c>
      <c r="L152" s="7">
        <f t="shared" ca="1" si="119"/>
        <v>1</v>
      </c>
      <c r="M152" s="7">
        <f t="shared" si="111"/>
        <v>2.2999999999999998</v>
      </c>
      <c r="N152" s="14">
        <v>0.5</v>
      </c>
      <c r="O152" s="1">
        <f ca="1">P152*J152*(1+Growth!G$6)^(2010-K152)</f>
        <v>111.69963093770028</v>
      </c>
      <c r="P152" s="3">
        <v>53.454000000000001</v>
      </c>
      <c r="Q152" s="2">
        <f>P152</f>
        <v>53.454000000000001</v>
      </c>
      <c r="R152" s="21">
        <f t="shared" ca="1" si="121"/>
        <v>12476.807551618449</v>
      </c>
      <c r="X152" s="2">
        <f t="shared" si="132"/>
        <v>53.454000000000001</v>
      </c>
      <c r="AC152" s="1">
        <f t="shared" si="29"/>
        <v>4.5999999999999996</v>
      </c>
      <c r="AD152" s="5">
        <v>0</v>
      </c>
      <c r="AE152" s="5">
        <v>1</v>
      </c>
      <c r="AF152" s="5">
        <v>0</v>
      </c>
      <c r="AG152" s="5">
        <v>1</v>
      </c>
      <c r="AH152" s="5">
        <v>1</v>
      </c>
      <c r="AI152" s="3">
        <f t="shared" si="112"/>
        <v>1.6</v>
      </c>
      <c r="AJ152" s="5">
        <f t="shared" si="136"/>
        <v>0</v>
      </c>
      <c r="AK152" s="5">
        <f t="shared" si="123"/>
        <v>0</v>
      </c>
      <c r="AL152" s="5">
        <f t="shared" si="124"/>
        <v>0</v>
      </c>
      <c r="AM152" s="5">
        <f t="shared" si="89"/>
        <v>0</v>
      </c>
      <c r="AN152" s="5">
        <f t="shared" si="125"/>
        <v>0</v>
      </c>
      <c r="AO152" s="5">
        <f t="shared" si="90"/>
        <v>0</v>
      </c>
      <c r="AP152" s="1">
        <v>0</v>
      </c>
      <c r="AQ152" s="1">
        <v>-2</v>
      </c>
      <c r="AR152" s="5">
        <v>0</v>
      </c>
      <c r="AS152" s="5">
        <v>0</v>
      </c>
      <c r="AT152" s="5">
        <v>0</v>
      </c>
      <c r="AU152" s="5">
        <v>0</v>
      </c>
      <c r="AV152" s="5">
        <f t="shared" si="113"/>
        <v>0</v>
      </c>
      <c r="AW152" s="5">
        <f t="shared" si="114"/>
        <v>1</v>
      </c>
      <c r="AX152" s="5">
        <f t="shared" si="115"/>
        <v>0</v>
      </c>
      <c r="AY152" s="1">
        <f t="shared" si="12"/>
        <v>0</v>
      </c>
      <c r="AZ152" s="1">
        <f t="shared" si="13"/>
        <v>0</v>
      </c>
      <c r="BA152" s="1">
        <f t="shared" si="14"/>
        <v>0</v>
      </c>
      <c r="BB152" s="5">
        <v>0</v>
      </c>
      <c r="BC152" s="5">
        <v>0</v>
      </c>
      <c r="BD152" s="5">
        <v>0</v>
      </c>
      <c r="BE152" s="5">
        <f t="shared" si="30"/>
        <v>1</v>
      </c>
      <c r="BF152" s="5">
        <v>0</v>
      </c>
      <c r="BG152" s="5">
        <f t="shared" si="135"/>
        <v>0</v>
      </c>
      <c r="BH152" s="5">
        <f t="shared" si="135"/>
        <v>0</v>
      </c>
      <c r="BI152" s="5">
        <f t="shared" si="135"/>
        <v>0</v>
      </c>
      <c r="BJ152" s="5">
        <f t="shared" si="135"/>
        <v>0</v>
      </c>
      <c r="BK152" s="5">
        <f t="shared" si="135"/>
        <v>0</v>
      </c>
      <c r="BL152" s="5">
        <f t="shared" si="135"/>
        <v>0</v>
      </c>
      <c r="BM152" s="5">
        <f t="shared" si="135"/>
        <v>1</v>
      </c>
      <c r="BN152" s="5">
        <f t="shared" si="135"/>
        <v>0</v>
      </c>
      <c r="BO152" s="5">
        <f t="shared" si="134"/>
        <v>0</v>
      </c>
      <c r="BP152" s="5">
        <f t="shared" si="134"/>
        <v>0</v>
      </c>
      <c r="BQ152" s="5">
        <f t="shared" si="134"/>
        <v>0</v>
      </c>
      <c r="BR152" s="5">
        <f t="shared" si="134"/>
        <v>0</v>
      </c>
      <c r="BS152" s="5">
        <f t="shared" si="134"/>
        <v>0</v>
      </c>
      <c r="BT152" s="5">
        <f t="shared" si="134"/>
        <v>0</v>
      </c>
      <c r="BU152" s="5">
        <f t="shared" si="134"/>
        <v>0</v>
      </c>
      <c r="BV152" s="5">
        <f t="shared" si="134"/>
        <v>0</v>
      </c>
      <c r="BW152" s="5">
        <f t="shared" si="134"/>
        <v>0</v>
      </c>
      <c r="BX152" s="5">
        <f t="shared" si="134"/>
        <v>0</v>
      </c>
      <c r="BY152" s="5">
        <f t="shared" si="134"/>
        <v>0</v>
      </c>
      <c r="BZ152" s="5">
        <f t="shared" si="134"/>
        <v>0</v>
      </c>
      <c r="CA152" s="5">
        <f t="shared" si="134"/>
        <v>0</v>
      </c>
      <c r="CB152" s="5">
        <f t="shared" si="133"/>
        <v>0</v>
      </c>
      <c r="CC152" s="5">
        <f t="shared" si="133"/>
        <v>0</v>
      </c>
      <c r="CD152" s="5">
        <f t="shared" si="133"/>
        <v>0</v>
      </c>
      <c r="CE152" s="5">
        <f t="shared" si="133"/>
        <v>0</v>
      </c>
    </row>
    <row r="153" spans="1:83" x14ac:dyDescent="0.2">
      <c r="C153" s="1">
        <f>Growth!D158</f>
        <v>0</v>
      </c>
      <c r="D153" s="5" t="b">
        <f t="shared" si="118"/>
        <v>0</v>
      </c>
      <c r="E153" s="5">
        <v>1996</v>
      </c>
      <c r="F153" s="5">
        <f ca="1">LOOKUP($E153,frequence!$A$2:$A$35,frequence!L$2:L$35)</f>
        <v>18.632669458936146</v>
      </c>
      <c r="G153" s="5">
        <f ca="1">LOOKUP($E153,frequence!$A$2:$A$35,frequence!K$2:K$35)</f>
        <v>0.29150512146707191</v>
      </c>
      <c r="H153" s="5">
        <f ca="1">LOOKUP($E153,frequence!$A$2:$A$35,frequence!M$2:M$35)</f>
        <v>112.20229674036523</v>
      </c>
      <c r="I153" s="18">
        <v>1990</v>
      </c>
      <c r="J153" s="7">
        <f>LOOKUP(I153,CPI!A$69:A$103,CPI!O$69:O$103)</f>
        <v>1.6683703136954862</v>
      </c>
      <c r="K153" s="18">
        <v>1995</v>
      </c>
      <c r="L153" s="7">
        <f t="shared" ca="1" si="119"/>
        <v>1</v>
      </c>
      <c r="M153" s="7">
        <f t="shared" si="111"/>
        <v>2.2999999999999998</v>
      </c>
      <c r="N153" s="14">
        <v>0.5</v>
      </c>
      <c r="O153" s="1">
        <f ca="1">P153*J153*(1+Growth!G$6)^(2010-K153)</f>
        <v>38.240416922211907</v>
      </c>
      <c r="P153" s="3">
        <v>18.3</v>
      </c>
      <c r="Q153" s="2">
        <f>P153</f>
        <v>18.3</v>
      </c>
      <c r="R153" s="21">
        <f t="shared" ca="1" si="121"/>
        <v>1462.3294863845908</v>
      </c>
      <c r="X153" s="2">
        <f t="shared" si="132"/>
        <v>18.3</v>
      </c>
      <c r="AC153" s="1">
        <f t="shared" si="29"/>
        <v>4.5999999999999996</v>
      </c>
      <c r="AD153" s="5">
        <v>0</v>
      </c>
      <c r="AE153" s="5">
        <v>1</v>
      </c>
      <c r="AF153" s="5">
        <v>0</v>
      </c>
      <c r="AG153" s="5">
        <v>1</v>
      </c>
      <c r="AH153" s="5">
        <v>1</v>
      </c>
      <c r="AI153" s="3">
        <f t="shared" si="112"/>
        <v>1.6</v>
      </c>
      <c r="AJ153" s="5">
        <f t="shared" si="136"/>
        <v>0</v>
      </c>
      <c r="AK153" s="5">
        <f t="shared" si="123"/>
        <v>0</v>
      </c>
      <c r="AL153" s="5">
        <f t="shared" si="124"/>
        <v>0</v>
      </c>
      <c r="AM153" s="5">
        <f t="shared" si="89"/>
        <v>0</v>
      </c>
      <c r="AN153" s="5">
        <f t="shared" si="125"/>
        <v>0</v>
      </c>
      <c r="AO153" s="5">
        <f t="shared" si="90"/>
        <v>0</v>
      </c>
      <c r="AP153" s="1">
        <v>0</v>
      </c>
      <c r="AQ153" s="1">
        <v>-2</v>
      </c>
      <c r="AR153" s="5">
        <v>0</v>
      </c>
      <c r="AS153" s="5">
        <v>0</v>
      </c>
      <c r="AT153" s="5">
        <v>0</v>
      </c>
      <c r="AU153" s="5">
        <v>0</v>
      </c>
      <c r="AV153" s="5">
        <f t="shared" si="113"/>
        <v>0</v>
      </c>
      <c r="AW153" s="5">
        <f t="shared" si="114"/>
        <v>1</v>
      </c>
      <c r="AX153" s="5">
        <f t="shared" si="115"/>
        <v>0</v>
      </c>
      <c r="AY153" s="1">
        <f t="shared" si="12"/>
        <v>0</v>
      </c>
      <c r="AZ153" s="1">
        <f t="shared" si="13"/>
        <v>0</v>
      </c>
      <c r="BA153" s="1">
        <f t="shared" si="14"/>
        <v>0</v>
      </c>
      <c r="BB153" s="5">
        <v>0</v>
      </c>
      <c r="BC153" s="5">
        <v>0</v>
      </c>
      <c r="BD153" s="5">
        <v>0</v>
      </c>
      <c r="BE153" s="5">
        <f t="shared" si="30"/>
        <v>1</v>
      </c>
      <c r="BF153" s="5">
        <v>0</v>
      </c>
      <c r="BG153" s="5">
        <f t="shared" si="135"/>
        <v>0</v>
      </c>
      <c r="BH153" s="5">
        <f t="shared" si="135"/>
        <v>0</v>
      </c>
      <c r="BI153" s="5">
        <f t="shared" si="135"/>
        <v>0</v>
      </c>
      <c r="BJ153" s="5">
        <f t="shared" si="135"/>
        <v>0</v>
      </c>
      <c r="BK153" s="5">
        <f t="shared" si="135"/>
        <v>0</v>
      </c>
      <c r="BL153" s="5">
        <f t="shared" si="135"/>
        <v>0</v>
      </c>
      <c r="BM153" s="5">
        <f t="shared" si="135"/>
        <v>1</v>
      </c>
      <c r="BN153" s="5">
        <f t="shared" si="135"/>
        <v>0</v>
      </c>
      <c r="BO153" s="5">
        <f t="shared" si="134"/>
        <v>0</v>
      </c>
      <c r="BP153" s="5">
        <f t="shared" si="134"/>
        <v>0</v>
      </c>
      <c r="BQ153" s="5">
        <f t="shared" si="134"/>
        <v>0</v>
      </c>
      <c r="BR153" s="5">
        <f t="shared" si="134"/>
        <v>0</v>
      </c>
      <c r="BS153" s="5">
        <f t="shared" si="134"/>
        <v>0</v>
      </c>
      <c r="BT153" s="5">
        <f t="shared" si="134"/>
        <v>0</v>
      </c>
      <c r="BU153" s="5">
        <f t="shared" si="134"/>
        <v>0</v>
      </c>
      <c r="BV153" s="5">
        <f t="shared" si="134"/>
        <v>0</v>
      </c>
      <c r="BW153" s="5">
        <f t="shared" si="134"/>
        <v>0</v>
      </c>
      <c r="BX153" s="5">
        <f t="shared" si="134"/>
        <v>0</v>
      </c>
      <c r="BY153" s="5">
        <f t="shared" si="134"/>
        <v>0</v>
      </c>
      <c r="BZ153" s="5">
        <f t="shared" si="134"/>
        <v>0</v>
      </c>
      <c r="CA153" s="5">
        <f t="shared" si="134"/>
        <v>0</v>
      </c>
      <c r="CB153" s="5">
        <f t="shared" si="133"/>
        <v>0</v>
      </c>
      <c r="CC153" s="5">
        <f t="shared" si="133"/>
        <v>0</v>
      </c>
      <c r="CD153" s="5">
        <f t="shared" si="133"/>
        <v>0</v>
      </c>
      <c r="CE153" s="5">
        <f t="shared" si="133"/>
        <v>0</v>
      </c>
    </row>
    <row r="154" spans="1:83" x14ac:dyDescent="0.2">
      <c r="A154" s="1" t="s">
        <v>28</v>
      </c>
      <c r="B154" s="1" t="s">
        <v>92</v>
      </c>
      <c r="C154" s="1">
        <f>Growth!D159</f>
        <v>0</v>
      </c>
      <c r="D154" s="5">
        <f t="shared" si="118"/>
        <v>1996</v>
      </c>
      <c r="E154" s="5">
        <v>1996</v>
      </c>
      <c r="F154" s="5">
        <f ca="1">LOOKUP($E154,frequence!$A$2:$A$35,frequence!L$2:L$35)</f>
        <v>18.632669458936146</v>
      </c>
      <c r="G154" s="5">
        <f ca="1">LOOKUP($E154,frequence!$A$2:$A$35,frequence!K$2:K$35)</f>
        <v>0.29150512146707191</v>
      </c>
      <c r="H154" s="5">
        <f ca="1">LOOKUP($E154,frequence!$A$2:$A$35,frequence!M$2:M$35)</f>
        <v>112.20229674036523</v>
      </c>
      <c r="I154" s="18">
        <v>1990</v>
      </c>
      <c r="J154" s="7">
        <f>LOOKUP(I154,CPI!A$69:A$103,CPI!O$69:O$103)</f>
        <v>1.6683703136954862</v>
      </c>
      <c r="K154" s="18">
        <v>1995</v>
      </c>
      <c r="L154" s="7">
        <f t="shared" ca="1" si="119"/>
        <v>0.91799769387974572</v>
      </c>
      <c r="M154" s="7">
        <f t="shared" si="111"/>
        <v>2.6</v>
      </c>
      <c r="N154" s="14">
        <v>1</v>
      </c>
      <c r="O154" s="1">
        <f ca="1">P154*J154*(1+Growth!G$6)^(2010-K154)</f>
        <v>1671.7122151786623</v>
      </c>
      <c r="P154" s="3">
        <v>800</v>
      </c>
      <c r="Q154" s="2">
        <f>P154</f>
        <v>800</v>
      </c>
      <c r="R154" s="21">
        <f t="shared" ca="1" si="121"/>
        <v>2794621.7303775502</v>
      </c>
      <c r="X154" s="2">
        <f t="shared" si="132"/>
        <v>800</v>
      </c>
      <c r="AC154" s="1">
        <f t="shared" si="29"/>
        <v>2.6</v>
      </c>
      <c r="AD154" s="5">
        <v>0</v>
      </c>
      <c r="AE154" s="5">
        <v>0</v>
      </c>
      <c r="AF154" s="5">
        <v>0</v>
      </c>
      <c r="AG154" s="5">
        <v>0</v>
      </c>
      <c r="AH154" s="5">
        <v>1</v>
      </c>
      <c r="AI154" s="3">
        <f t="shared" si="112"/>
        <v>1.6</v>
      </c>
      <c r="AJ154" s="5">
        <f t="shared" si="136"/>
        <v>0</v>
      </c>
      <c r="AK154" s="5">
        <f t="shared" si="123"/>
        <v>0</v>
      </c>
      <c r="AL154" s="5">
        <f t="shared" si="124"/>
        <v>0</v>
      </c>
      <c r="AM154" s="5">
        <f t="shared" ref="AM154:AM217" si="137">IF($AQ154=1,1,0)</f>
        <v>0</v>
      </c>
      <c r="AN154" s="5">
        <f t="shared" si="125"/>
        <v>0</v>
      </c>
      <c r="AO154" s="5">
        <f t="shared" ref="AO154:AO217" si="138">IF($AQ154=0,1,0)</f>
        <v>0</v>
      </c>
      <c r="AP154" s="1">
        <v>0</v>
      </c>
      <c r="AQ154" s="1">
        <v>-2</v>
      </c>
      <c r="AR154" s="5">
        <v>0</v>
      </c>
      <c r="AS154" s="5">
        <v>0</v>
      </c>
      <c r="AT154" s="5">
        <v>0</v>
      </c>
      <c r="AU154" s="5">
        <v>0</v>
      </c>
      <c r="AV154" s="5">
        <f t="shared" si="113"/>
        <v>0</v>
      </c>
      <c r="AW154" s="5">
        <f t="shared" si="114"/>
        <v>1</v>
      </c>
      <c r="AX154" s="5">
        <f t="shared" si="115"/>
        <v>0</v>
      </c>
      <c r="AY154" s="1">
        <f t="shared" si="12"/>
        <v>0</v>
      </c>
      <c r="AZ154" s="1">
        <f t="shared" si="13"/>
        <v>0</v>
      </c>
      <c r="BA154" s="1">
        <f t="shared" si="14"/>
        <v>0</v>
      </c>
      <c r="BB154" s="5">
        <v>0</v>
      </c>
      <c r="BC154" s="5">
        <v>0</v>
      </c>
      <c r="BD154" s="5">
        <v>0</v>
      </c>
      <c r="BE154" s="5">
        <f t="shared" si="30"/>
        <v>1</v>
      </c>
      <c r="BF154" s="5">
        <v>0</v>
      </c>
      <c r="BG154" s="5">
        <f t="shared" si="135"/>
        <v>0</v>
      </c>
      <c r="BH154" s="5">
        <f t="shared" si="135"/>
        <v>0</v>
      </c>
      <c r="BI154" s="5">
        <f t="shared" si="135"/>
        <v>0</v>
      </c>
      <c r="BJ154" s="5">
        <f t="shared" si="135"/>
        <v>0</v>
      </c>
      <c r="BK154" s="5">
        <f t="shared" si="135"/>
        <v>0</v>
      </c>
      <c r="BL154" s="5">
        <f t="shared" si="135"/>
        <v>0</v>
      </c>
      <c r="BM154" s="5">
        <f t="shared" si="135"/>
        <v>1</v>
      </c>
      <c r="BN154" s="5">
        <f t="shared" si="135"/>
        <v>0</v>
      </c>
      <c r="BO154" s="5">
        <f t="shared" si="134"/>
        <v>0</v>
      </c>
      <c r="BP154" s="5">
        <f t="shared" si="134"/>
        <v>0</v>
      </c>
      <c r="BQ154" s="5">
        <f t="shared" si="134"/>
        <v>0</v>
      </c>
      <c r="BR154" s="5">
        <f t="shared" si="134"/>
        <v>0</v>
      </c>
      <c r="BS154" s="5">
        <f t="shared" si="134"/>
        <v>0</v>
      </c>
      <c r="BT154" s="5">
        <f t="shared" si="134"/>
        <v>0</v>
      </c>
      <c r="BU154" s="5">
        <f t="shared" si="134"/>
        <v>0</v>
      </c>
      <c r="BV154" s="5">
        <f t="shared" si="134"/>
        <v>0</v>
      </c>
      <c r="BW154" s="5">
        <f t="shared" si="134"/>
        <v>0</v>
      </c>
      <c r="BX154" s="5">
        <f t="shared" si="134"/>
        <v>0</v>
      </c>
      <c r="BY154" s="5">
        <f t="shared" si="134"/>
        <v>0</v>
      </c>
      <c r="BZ154" s="5">
        <f t="shared" si="134"/>
        <v>0</v>
      </c>
      <c r="CA154" s="5">
        <f t="shared" si="134"/>
        <v>0</v>
      </c>
      <c r="CB154" s="5">
        <f t="shared" si="133"/>
        <v>0</v>
      </c>
      <c r="CC154" s="5">
        <f t="shared" si="133"/>
        <v>0</v>
      </c>
      <c r="CD154" s="5">
        <f t="shared" si="133"/>
        <v>0</v>
      </c>
      <c r="CE154" s="5">
        <f t="shared" si="133"/>
        <v>0</v>
      </c>
    </row>
    <row r="155" spans="1:83" x14ac:dyDescent="0.2">
      <c r="A155" s="1" t="s">
        <v>7</v>
      </c>
      <c r="B155" s="11" t="s">
        <v>102</v>
      </c>
      <c r="C155" s="1">
        <f>Growth!D160</f>
        <v>0</v>
      </c>
      <c r="D155" s="5">
        <f t="shared" si="118"/>
        <v>1996</v>
      </c>
      <c r="E155" s="5">
        <v>1996</v>
      </c>
      <c r="F155" s="5">
        <f ca="1">LOOKUP($E155,frequence!$A$2:$A$35,frequence!L$2:L$35)</f>
        <v>18.632669458936146</v>
      </c>
      <c r="G155" s="5">
        <f ca="1">LOOKUP($E155,frequence!$A$2:$A$35,frequence!K$2:K$35)</f>
        <v>0.29150512146707191</v>
      </c>
      <c r="H155" s="5">
        <f ca="1">LOOKUP($E155,frequence!$A$2:$A$35,frequence!M$2:M$35)</f>
        <v>112.20229674036523</v>
      </c>
      <c r="I155" s="18">
        <v>1990</v>
      </c>
      <c r="J155" s="7">
        <f>LOOKUP(I155,CPI!A$69:A$103,CPI!O$69:O$103)</f>
        <v>1.6683703136954862</v>
      </c>
      <c r="K155" s="5">
        <v>1990</v>
      </c>
      <c r="L155" s="7">
        <f t="shared" ca="1" si="119"/>
        <v>1</v>
      </c>
      <c r="M155" s="7">
        <f t="shared" si="111"/>
        <v>0.45999999999999996</v>
      </c>
      <c r="N155" s="14">
        <v>0.1</v>
      </c>
      <c r="O155" s="1">
        <f ca="1">P155*J155*(1+Growth!G$6)^(2010-K155)</f>
        <v>15.767491079854087</v>
      </c>
      <c r="P155" s="2">
        <f t="shared" ref="P155:P160" si="139">Q155</f>
        <v>7</v>
      </c>
      <c r="Q155" s="1">
        <v>7</v>
      </c>
      <c r="R155" s="21">
        <f t="shared" ca="1" si="121"/>
        <v>248.61377495327821</v>
      </c>
      <c r="U155" s="1">
        <v>3</v>
      </c>
      <c r="X155" s="2">
        <f t="shared" si="132"/>
        <v>7</v>
      </c>
      <c r="AA155" s="1">
        <v>11</v>
      </c>
      <c r="AC155" s="1">
        <f t="shared" si="29"/>
        <v>4.5999999999999996</v>
      </c>
      <c r="AD155" s="5">
        <v>1</v>
      </c>
      <c r="AE155" s="5">
        <v>1</v>
      </c>
      <c r="AF155" s="5">
        <v>1</v>
      </c>
      <c r="AG155" s="5">
        <v>0</v>
      </c>
      <c r="AH155" s="5">
        <v>0</v>
      </c>
      <c r="AI155" s="3">
        <f t="shared" si="112"/>
        <v>1.6</v>
      </c>
      <c r="AJ155" s="5">
        <f t="shared" si="136"/>
        <v>0</v>
      </c>
      <c r="AK155" s="5">
        <f t="shared" si="123"/>
        <v>1</v>
      </c>
      <c r="AL155" s="5">
        <f t="shared" si="124"/>
        <v>0</v>
      </c>
      <c r="AM155" s="5">
        <f t="shared" si="137"/>
        <v>0</v>
      </c>
      <c r="AN155" s="5">
        <f t="shared" si="125"/>
        <v>0</v>
      </c>
      <c r="AO155" s="5">
        <f t="shared" si="138"/>
        <v>0</v>
      </c>
      <c r="AP155" s="1">
        <v>4</v>
      </c>
      <c r="AQ155" s="1">
        <v>2</v>
      </c>
      <c r="AR155" s="5">
        <v>0</v>
      </c>
      <c r="AS155" s="5">
        <v>0</v>
      </c>
      <c r="AT155" s="5">
        <v>1</v>
      </c>
      <c r="AU155" s="5">
        <v>0</v>
      </c>
      <c r="AV155" s="5">
        <f t="shared" si="113"/>
        <v>0</v>
      </c>
      <c r="AW155" s="5">
        <f t="shared" si="114"/>
        <v>1</v>
      </c>
      <c r="AX155" s="5">
        <f t="shared" si="115"/>
        <v>0</v>
      </c>
      <c r="AY155" s="1">
        <f t="shared" si="12"/>
        <v>0</v>
      </c>
      <c r="AZ155" s="1">
        <f t="shared" si="13"/>
        <v>0</v>
      </c>
      <c r="BA155" s="1">
        <f t="shared" si="14"/>
        <v>0</v>
      </c>
      <c r="BB155" s="5">
        <v>1</v>
      </c>
      <c r="BC155" s="5">
        <v>0</v>
      </c>
      <c r="BD155" s="5">
        <v>0</v>
      </c>
      <c r="BE155" s="5">
        <f t="shared" si="30"/>
        <v>0</v>
      </c>
      <c r="BF155" s="5">
        <v>0</v>
      </c>
      <c r="BG155" s="5">
        <f t="shared" si="135"/>
        <v>0</v>
      </c>
      <c r="BH155" s="5">
        <f t="shared" si="135"/>
        <v>0</v>
      </c>
      <c r="BI155" s="5">
        <f t="shared" si="135"/>
        <v>0</v>
      </c>
      <c r="BJ155" s="5">
        <f t="shared" si="135"/>
        <v>0</v>
      </c>
      <c r="BK155" s="5">
        <f t="shared" si="135"/>
        <v>0</v>
      </c>
      <c r="BL155" s="5">
        <f t="shared" si="135"/>
        <v>0</v>
      </c>
      <c r="BM155" s="5">
        <f t="shared" si="135"/>
        <v>1</v>
      </c>
      <c r="BN155" s="5">
        <f t="shared" si="135"/>
        <v>0</v>
      </c>
      <c r="BO155" s="5">
        <f t="shared" si="134"/>
        <v>0</v>
      </c>
      <c r="BP155" s="5">
        <f t="shared" si="134"/>
        <v>0</v>
      </c>
      <c r="BQ155" s="5">
        <f t="shared" si="134"/>
        <v>0</v>
      </c>
      <c r="BR155" s="5">
        <f t="shared" si="134"/>
        <v>0</v>
      </c>
      <c r="BS155" s="5">
        <f t="shared" si="134"/>
        <v>0</v>
      </c>
      <c r="BT155" s="5">
        <f t="shared" si="134"/>
        <v>0</v>
      </c>
      <c r="BU155" s="5">
        <f t="shared" si="134"/>
        <v>0</v>
      </c>
      <c r="BV155" s="5">
        <f t="shared" si="134"/>
        <v>0</v>
      </c>
      <c r="BW155" s="5">
        <f t="shared" si="134"/>
        <v>0</v>
      </c>
      <c r="BX155" s="5">
        <f t="shared" si="134"/>
        <v>0</v>
      </c>
      <c r="BY155" s="5">
        <f t="shared" si="134"/>
        <v>0</v>
      </c>
      <c r="BZ155" s="5">
        <f t="shared" si="134"/>
        <v>0</v>
      </c>
      <c r="CA155" s="5">
        <f t="shared" si="134"/>
        <v>0</v>
      </c>
      <c r="CB155" s="5">
        <f t="shared" si="133"/>
        <v>0</v>
      </c>
      <c r="CC155" s="5">
        <f t="shared" si="133"/>
        <v>0</v>
      </c>
      <c r="CD155" s="5">
        <f t="shared" si="133"/>
        <v>0</v>
      </c>
      <c r="CE155" s="5">
        <f t="shared" si="133"/>
        <v>0</v>
      </c>
    </row>
    <row r="156" spans="1:83" x14ac:dyDescent="0.2">
      <c r="C156" s="1">
        <f>Growth!D161</f>
        <v>0</v>
      </c>
      <c r="D156" s="5" t="b">
        <f t="shared" si="118"/>
        <v>0</v>
      </c>
      <c r="E156" s="5">
        <v>1996</v>
      </c>
      <c r="F156" s="5">
        <f ca="1">LOOKUP($E156,frequence!$A$2:$A$35,frequence!L$2:L$35)</f>
        <v>18.632669458936146</v>
      </c>
      <c r="G156" s="5">
        <f ca="1">LOOKUP($E156,frequence!$A$2:$A$35,frequence!K$2:K$35)</f>
        <v>0.29150512146707191</v>
      </c>
      <c r="H156" s="5">
        <f ca="1">LOOKUP($E156,frequence!$A$2:$A$35,frequence!M$2:M$35)</f>
        <v>112.20229674036523</v>
      </c>
      <c r="I156" s="18">
        <v>1990</v>
      </c>
      <c r="J156" s="7">
        <f>LOOKUP(I156,CPI!A$69:A$103,CPI!O$69:O$103)</f>
        <v>1.6683703136954862</v>
      </c>
      <c r="K156" s="5">
        <v>1990</v>
      </c>
      <c r="L156" s="7">
        <f t="shared" ca="1" si="119"/>
        <v>1</v>
      </c>
      <c r="M156" s="7">
        <f t="shared" si="111"/>
        <v>4.5999999999999996</v>
      </c>
      <c r="N156" s="14">
        <v>1</v>
      </c>
      <c r="O156" s="1">
        <f ca="1">P156*J156*(1+Growth!G$6)^(2010-K156)</f>
        <v>54.059969416642588</v>
      </c>
      <c r="P156" s="2">
        <f t="shared" si="139"/>
        <v>24</v>
      </c>
      <c r="Q156" s="1">
        <v>24</v>
      </c>
      <c r="R156" s="21">
        <f t="shared" ca="1" si="121"/>
        <v>2922.4802933283318</v>
      </c>
      <c r="U156" s="1">
        <v>0</v>
      </c>
      <c r="W156" s="1">
        <v>3</v>
      </c>
      <c r="X156" s="2">
        <f t="shared" si="132"/>
        <v>24</v>
      </c>
      <c r="Y156" s="1">
        <v>50</v>
      </c>
      <c r="AA156" s="1">
        <v>270</v>
      </c>
      <c r="AC156" s="1">
        <f t="shared" si="29"/>
        <v>4.5999999999999996</v>
      </c>
      <c r="AD156" s="5">
        <v>1</v>
      </c>
      <c r="AE156" s="5">
        <v>1</v>
      </c>
      <c r="AF156" s="5">
        <v>1</v>
      </c>
      <c r="AG156" s="5">
        <v>0</v>
      </c>
      <c r="AH156" s="5">
        <v>0</v>
      </c>
      <c r="AI156" s="3">
        <f t="shared" si="112"/>
        <v>1.6</v>
      </c>
      <c r="AJ156" s="5">
        <f t="shared" si="136"/>
        <v>0</v>
      </c>
      <c r="AK156" s="5">
        <f t="shared" si="123"/>
        <v>1</v>
      </c>
      <c r="AL156" s="5">
        <f t="shared" si="124"/>
        <v>0</v>
      </c>
      <c r="AM156" s="5">
        <f t="shared" si="137"/>
        <v>0</v>
      </c>
      <c r="AN156" s="5">
        <f t="shared" si="125"/>
        <v>0</v>
      </c>
      <c r="AO156" s="5">
        <f t="shared" si="138"/>
        <v>0</v>
      </c>
      <c r="AP156" s="1">
        <v>4</v>
      </c>
      <c r="AQ156" s="1">
        <v>2</v>
      </c>
      <c r="AR156" s="5">
        <v>0</v>
      </c>
      <c r="AS156" s="5">
        <v>0</v>
      </c>
      <c r="AT156" s="5">
        <v>1</v>
      </c>
      <c r="AU156" s="5">
        <v>0</v>
      </c>
      <c r="AV156" s="5">
        <f t="shared" si="113"/>
        <v>0</v>
      </c>
      <c r="AW156" s="5">
        <f t="shared" si="114"/>
        <v>1</v>
      </c>
      <c r="AX156" s="5">
        <f t="shared" si="115"/>
        <v>0</v>
      </c>
      <c r="AY156" s="1">
        <f t="shared" si="12"/>
        <v>0</v>
      </c>
      <c r="AZ156" s="1">
        <f t="shared" si="13"/>
        <v>0</v>
      </c>
      <c r="BA156" s="1">
        <f t="shared" si="14"/>
        <v>0</v>
      </c>
      <c r="BB156" s="5">
        <v>1</v>
      </c>
      <c r="BC156" s="5">
        <v>0</v>
      </c>
      <c r="BD156" s="5">
        <v>0</v>
      </c>
      <c r="BE156" s="5">
        <f t="shared" si="30"/>
        <v>0</v>
      </c>
      <c r="BF156" s="5">
        <v>0</v>
      </c>
      <c r="BG156" s="5">
        <f t="shared" si="135"/>
        <v>0</v>
      </c>
      <c r="BH156" s="5">
        <f t="shared" si="135"/>
        <v>0</v>
      </c>
      <c r="BI156" s="5">
        <f t="shared" si="135"/>
        <v>0</v>
      </c>
      <c r="BJ156" s="5">
        <f t="shared" si="135"/>
        <v>0</v>
      </c>
      <c r="BK156" s="5">
        <f t="shared" si="135"/>
        <v>0</v>
      </c>
      <c r="BL156" s="5">
        <f t="shared" si="135"/>
        <v>0</v>
      </c>
      <c r="BM156" s="5">
        <f t="shared" si="135"/>
        <v>1</v>
      </c>
      <c r="BN156" s="5">
        <f t="shared" si="135"/>
        <v>0</v>
      </c>
      <c r="BO156" s="5">
        <f t="shared" si="134"/>
        <v>0</v>
      </c>
      <c r="BP156" s="5">
        <f t="shared" si="134"/>
        <v>0</v>
      </c>
      <c r="BQ156" s="5">
        <f t="shared" si="134"/>
        <v>0</v>
      </c>
      <c r="BR156" s="5">
        <f t="shared" si="134"/>
        <v>0</v>
      </c>
      <c r="BS156" s="5">
        <f t="shared" si="134"/>
        <v>0</v>
      </c>
      <c r="BT156" s="5">
        <f t="shared" si="134"/>
        <v>0</v>
      </c>
      <c r="BU156" s="5">
        <f t="shared" si="134"/>
        <v>0</v>
      </c>
      <c r="BV156" s="5">
        <f t="shared" si="134"/>
        <v>0</v>
      </c>
      <c r="BW156" s="5">
        <f t="shared" si="134"/>
        <v>0</v>
      </c>
      <c r="BX156" s="5">
        <f t="shared" si="134"/>
        <v>0</v>
      </c>
      <c r="BY156" s="5">
        <f t="shared" si="134"/>
        <v>0</v>
      </c>
      <c r="BZ156" s="5">
        <f t="shared" si="134"/>
        <v>0</v>
      </c>
      <c r="CA156" s="5">
        <f t="shared" si="134"/>
        <v>0</v>
      </c>
      <c r="CB156" s="5">
        <f t="shared" si="133"/>
        <v>0</v>
      </c>
      <c r="CC156" s="5">
        <f t="shared" si="133"/>
        <v>0</v>
      </c>
      <c r="CD156" s="5">
        <f t="shared" si="133"/>
        <v>0</v>
      </c>
      <c r="CE156" s="5">
        <f t="shared" si="133"/>
        <v>0</v>
      </c>
    </row>
    <row r="157" spans="1:83" x14ac:dyDescent="0.2">
      <c r="C157" s="1">
        <f>Growth!D162</f>
        <v>0</v>
      </c>
      <c r="D157" s="5" t="b">
        <f t="shared" si="118"/>
        <v>0</v>
      </c>
      <c r="E157" s="5">
        <v>1996</v>
      </c>
      <c r="F157" s="5">
        <f ca="1">LOOKUP($E157,frequence!$A$2:$A$35,frequence!L$2:L$35)</f>
        <v>18.632669458936146</v>
      </c>
      <c r="G157" s="5">
        <f ca="1">LOOKUP($E157,frequence!$A$2:$A$35,frequence!K$2:K$35)</f>
        <v>0.29150512146707191</v>
      </c>
      <c r="H157" s="5">
        <f ca="1">LOOKUP($E157,frequence!$A$2:$A$35,frequence!M$2:M$35)</f>
        <v>112.20229674036523</v>
      </c>
      <c r="I157" s="18">
        <v>1990</v>
      </c>
      <c r="J157" s="7">
        <f>LOOKUP(I157,CPI!A$69:A$103,CPI!O$69:O$103)</f>
        <v>1.6683703136954862</v>
      </c>
      <c r="K157" s="5">
        <v>1990</v>
      </c>
      <c r="L157" s="7">
        <f t="shared" ca="1" si="119"/>
        <v>1</v>
      </c>
      <c r="M157" s="7">
        <f t="shared" si="111"/>
        <v>0.45999999999999996</v>
      </c>
      <c r="N157" s="14">
        <v>0.1</v>
      </c>
      <c r="O157" s="1">
        <f ca="1">P157*J157*(1+Growth!G$6)^(2010-K157)</f>
        <v>20.27248853124097</v>
      </c>
      <c r="P157" s="2">
        <f t="shared" si="139"/>
        <v>9</v>
      </c>
      <c r="Q157" s="1">
        <v>9</v>
      </c>
      <c r="R157" s="21">
        <f t="shared" ca="1" si="121"/>
        <v>410.97379124929665</v>
      </c>
      <c r="U157" s="1">
        <v>4</v>
      </c>
      <c r="X157" s="2">
        <f t="shared" si="132"/>
        <v>9</v>
      </c>
      <c r="AA157" s="1">
        <v>14</v>
      </c>
      <c r="AC157" s="1">
        <f t="shared" ref="AC157:AC158" si="140">SUM(AD157:AI157)</f>
        <v>4.5999999999999996</v>
      </c>
      <c r="AD157" s="5">
        <v>1</v>
      </c>
      <c r="AE157" s="5">
        <v>1</v>
      </c>
      <c r="AF157" s="5">
        <v>1</v>
      </c>
      <c r="AG157" s="5">
        <v>0</v>
      </c>
      <c r="AH157" s="5">
        <v>0</v>
      </c>
      <c r="AI157" s="3">
        <f t="shared" si="112"/>
        <v>1.6</v>
      </c>
      <c r="AJ157" s="5">
        <f t="shared" si="136"/>
        <v>0</v>
      </c>
      <c r="AK157" s="5">
        <f t="shared" si="123"/>
        <v>1</v>
      </c>
      <c r="AL157" s="5">
        <f t="shared" si="124"/>
        <v>0</v>
      </c>
      <c r="AM157" s="5">
        <f t="shared" si="137"/>
        <v>0</v>
      </c>
      <c r="AN157" s="5">
        <f t="shared" si="125"/>
        <v>0</v>
      </c>
      <c r="AO157" s="5">
        <f t="shared" si="138"/>
        <v>0</v>
      </c>
      <c r="AP157" s="1">
        <v>4</v>
      </c>
      <c r="AQ157" s="1">
        <v>2</v>
      </c>
      <c r="AR157" s="5">
        <v>0</v>
      </c>
      <c r="AS157" s="5">
        <v>0</v>
      </c>
      <c r="AT157" s="5">
        <v>1</v>
      </c>
      <c r="AU157" s="5">
        <v>0</v>
      </c>
      <c r="AV157" s="5">
        <f t="shared" si="113"/>
        <v>0</v>
      </c>
      <c r="AW157" s="5">
        <f t="shared" si="114"/>
        <v>1</v>
      </c>
      <c r="AX157" s="5">
        <f t="shared" si="115"/>
        <v>0</v>
      </c>
      <c r="AY157" s="1">
        <f t="shared" ref="AY157:AY158" si="141">AJ157*$AD157*(1-$AV157)*(1-$AR157)</f>
        <v>0</v>
      </c>
      <c r="AZ157" s="1">
        <f t="shared" ref="AZ157:AZ158" si="142">AM157*$AD157*(1-$AV157)*(1-$AR157)</f>
        <v>0</v>
      </c>
      <c r="BA157" s="1">
        <f t="shared" ref="BA157:BA158" si="143">AO157*$AD157*(1-$AV157)*(1-$AR157)</f>
        <v>0</v>
      </c>
      <c r="BB157" s="5">
        <v>1</v>
      </c>
      <c r="BC157" s="5">
        <v>0</v>
      </c>
      <c r="BD157" s="5">
        <v>0</v>
      </c>
      <c r="BE157" s="5">
        <f t="shared" ref="BE157:BE158" si="144">1-SUM(BB157:BD157)</f>
        <v>0</v>
      </c>
      <c r="BF157" s="5">
        <v>0</v>
      </c>
      <c r="BG157" s="5">
        <f t="shared" si="135"/>
        <v>0</v>
      </c>
      <c r="BH157" s="5">
        <f t="shared" si="135"/>
        <v>0</v>
      </c>
      <c r="BI157" s="5">
        <f t="shared" si="135"/>
        <v>0</v>
      </c>
      <c r="BJ157" s="5">
        <f t="shared" si="135"/>
        <v>0</v>
      </c>
      <c r="BK157" s="5">
        <f t="shared" si="135"/>
        <v>0</v>
      </c>
      <c r="BL157" s="5">
        <f t="shared" si="135"/>
        <v>0</v>
      </c>
      <c r="BM157" s="5">
        <f t="shared" si="135"/>
        <v>1</v>
      </c>
      <c r="BN157" s="5">
        <f t="shared" si="135"/>
        <v>0</v>
      </c>
      <c r="BO157" s="5">
        <f t="shared" si="134"/>
        <v>0</v>
      </c>
      <c r="BP157" s="5">
        <f t="shared" si="134"/>
        <v>0</v>
      </c>
      <c r="BQ157" s="5">
        <f t="shared" si="134"/>
        <v>0</v>
      </c>
      <c r="BR157" s="5">
        <f t="shared" si="134"/>
        <v>0</v>
      </c>
      <c r="BS157" s="5">
        <f t="shared" si="134"/>
        <v>0</v>
      </c>
      <c r="BT157" s="5">
        <f t="shared" si="134"/>
        <v>0</v>
      </c>
      <c r="BU157" s="5">
        <f t="shared" si="134"/>
        <v>0</v>
      </c>
      <c r="BV157" s="5">
        <f t="shared" si="134"/>
        <v>0</v>
      </c>
      <c r="BW157" s="5">
        <f t="shared" si="134"/>
        <v>0</v>
      </c>
      <c r="BX157" s="5">
        <f t="shared" si="134"/>
        <v>0</v>
      </c>
      <c r="BY157" s="5">
        <f t="shared" si="134"/>
        <v>0</v>
      </c>
      <c r="BZ157" s="5">
        <f t="shared" si="134"/>
        <v>0</v>
      </c>
      <c r="CA157" s="5">
        <f t="shared" si="134"/>
        <v>0</v>
      </c>
      <c r="CB157" s="5">
        <f t="shared" si="133"/>
        <v>0</v>
      </c>
      <c r="CC157" s="5">
        <f t="shared" si="133"/>
        <v>0</v>
      </c>
      <c r="CD157" s="5">
        <f t="shared" si="133"/>
        <v>0</v>
      </c>
      <c r="CE157" s="5">
        <f t="shared" si="133"/>
        <v>0</v>
      </c>
    </row>
    <row r="158" spans="1:83" x14ac:dyDescent="0.2">
      <c r="C158" s="1">
        <f>Growth!D163</f>
        <v>0</v>
      </c>
      <c r="D158" s="5" t="b">
        <f t="shared" si="118"/>
        <v>0</v>
      </c>
      <c r="E158" s="5">
        <v>1996</v>
      </c>
      <c r="F158" s="5">
        <f ca="1">LOOKUP($E158,frequence!$A$2:$A$35,frequence!L$2:L$35)</f>
        <v>18.632669458936146</v>
      </c>
      <c r="G158" s="5">
        <f ca="1">LOOKUP($E158,frequence!$A$2:$A$35,frequence!K$2:K$35)</f>
        <v>0.29150512146707191</v>
      </c>
      <c r="H158" s="5">
        <f ca="1">LOOKUP($E158,frequence!$A$2:$A$35,frequence!M$2:M$35)</f>
        <v>112.20229674036523</v>
      </c>
      <c r="I158" s="18">
        <v>1990</v>
      </c>
      <c r="J158" s="7">
        <f>LOOKUP(I158,CPI!A$69:A$103,CPI!O$69:O$103)</f>
        <v>1.6683703136954862</v>
      </c>
      <c r="K158" s="5">
        <v>1990</v>
      </c>
      <c r="L158" s="7">
        <f t="shared" ca="1" si="119"/>
        <v>1</v>
      </c>
      <c r="M158" s="7">
        <f t="shared" si="111"/>
        <v>0.45999999999999996</v>
      </c>
      <c r="N158" s="14">
        <v>0.1</v>
      </c>
      <c r="O158" s="1">
        <f ca="1">P158*J158*(1+Growth!G$6)^(2010-K158)</f>
        <v>42.797475788175376</v>
      </c>
      <c r="P158" s="2">
        <f t="shared" si="139"/>
        <v>19</v>
      </c>
      <c r="Q158" s="1">
        <v>19</v>
      </c>
      <c r="R158" s="21">
        <f t="shared" ca="1" si="121"/>
        <v>1831.6239338394575</v>
      </c>
      <c r="U158" s="1">
        <v>8</v>
      </c>
      <c r="X158" s="2">
        <f t="shared" si="132"/>
        <v>19</v>
      </c>
      <c r="AA158" s="1">
        <v>32</v>
      </c>
      <c r="AC158" s="1">
        <f t="shared" si="140"/>
        <v>4.5999999999999996</v>
      </c>
      <c r="AD158" s="5">
        <v>1</v>
      </c>
      <c r="AE158" s="5">
        <v>1</v>
      </c>
      <c r="AF158" s="5">
        <v>1</v>
      </c>
      <c r="AG158" s="5">
        <v>0</v>
      </c>
      <c r="AH158" s="5">
        <v>0</v>
      </c>
      <c r="AI158" s="3">
        <f t="shared" si="112"/>
        <v>1.6</v>
      </c>
      <c r="AJ158" s="5">
        <f t="shared" si="136"/>
        <v>0</v>
      </c>
      <c r="AK158" s="5">
        <f t="shared" si="123"/>
        <v>1</v>
      </c>
      <c r="AL158" s="5">
        <f t="shared" si="124"/>
        <v>0</v>
      </c>
      <c r="AM158" s="5">
        <f t="shared" si="137"/>
        <v>0</v>
      </c>
      <c r="AN158" s="5">
        <f t="shared" si="125"/>
        <v>0</v>
      </c>
      <c r="AO158" s="5">
        <f t="shared" si="138"/>
        <v>0</v>
      </c>
      <c r="AP158" s="1">
        <v>4</v>
      </c>
      <c r="AQ158" s="1">
        <v>2</v>
      </c>
      <c r="AR158" s="5">
        <v>0</v>
      </c>
      <c r="AS158" s="5">
        <v>0</v>
      </c>
      <c r="AT158" s="5">
        <v>1</v>
      </c>
      <c r="AU158" s="5">
        <v>0</v>
      </c>
      <c r="AV158" s="5">
        <f t="shared" si="113"/>
        <v>0</v>
      </c>
      <c r="AW158" s="5">
        <f t="shared" si="114"/>
        <v>1</v>
      </c>
      <c r="AX158" s="5">
        <f t="shared" si="115"/>
        <v>0</v>
      </c>
      <c r="AY158" s="1">
        <f t="shared" si="141"/>
        <v>0</v>
      </c>
      <c r="AZ158" s="1">
        <f t="shared" si="142"/>
        <v>0</v>
      </c>
      <c r="BA158" s="1">
        <f t="shared" si="143"/>
        <v>0</v>
      </c>
      <c r="BB158" s="5">
        <v>1</v>
      </c>
      <c r="BC158" s="5">
        <v>0</v>
      </c>
      <c r="BD158" s="5">
        <v>0</v>
      </c>
      <c r="BE158" s="5">
        <f t="shared" si="144"/>
        <v>0</v>
      </c>
      <c r="BF158" s="5">
        <v>0</v>
      </c>
      <c r="BG158" s="5">
        <f t="shared" si="135"/>
        <v>0</v>
      </c>
      <c r="BH158" s="5">
        <f t="shared" si="135"/>
        <v>0</v>
      </c>
      <c r="BI158" s="5">
        <f t="shared" si="135"/>
        <v>0</v>
      </c>
      <c r="BJ158" s="5">
        <f t="shared" si="135"/>
        <v>0</v>
      </c>
      <c r="BK158" s="5">
        <f t="shared" si="135"/>
        <v>0</v>
      </c>
      <c r="BL158" s="5">
        <f t="shared" si="135"/>
        <v>0</v>
      </c>
      <c r="BM158" s="5">
        <f t="shared" si="135"/>
        <v>1</v>
      </c>
      <c r="BN158" s="5">
        <f t="shared" si="135"/>
        <v>0</v>
      </c>
      <c r="BO158" s="5">
        <f t="shared" si="134"/>
        <v>0</v>
      </c>
      <c r="BP158" s="5">
        <f t="shared" si="134"/>
        <v>0</v>
      </c>
      <c r="BQ158" s="5">
        <f t="shared" si="134"/>
        <v>0</v>
      </c>
      <c r="BR158" s="5">
        <f t="shared" si="134"/>
        <v>0</v>
      </c>
      <c r="BS158" s="5">
        <f t="shared" si="134"/>
        <v>0</v>
      </c>
      <c r="BT158" s="5">
        <f t="shared" si="134"/>
        <v>0</v>
      </c>
      <c r="BU158" s="5">
        <f t="shared" si="134"/>
        <v>0</v>
      </c>
      <c r="BV158" s="5">
        <f t="shared" si="134"/>
        <v>0</v>
      </c>
      <c r="BW158" s="5">
        <f t="shared" si="134"/>
        <v>0</v>
      </c>
      <c r="BX158" s="5">
        <f t="shared" si="134"/>
        <v>0</v>
      </c>
      <c r="BY158" s="5">
        <f t="shared" si="134"/>
        <v>0</v>
      </c>
      <c r="BZ158" s="5">
        <f t="shared" si="134"/>
        <v>0</v>
      </c>
      <c r="CA158" s="5">
        <f t="shared" si="134"/>
        <v>0</v>
      </c>
      <c r="CB158" s="5">
        <f t="shared" si="133"/>
        <v>0</v>
      </c>
      <c r="CC158" s="5">
        <f t="shared" si="133"/>
        <v>0</v>
      </c>
      <c r="CD158" s="5">
        <f t="shared" si="133"/>
        <v>0</v>
      </c>
      <c r="CE158" s="5">
        <f t="shared" si="133"/>
        <v>0</v>
      </c>
    </row>
    <row r="159" spans="1:83" x14ac:dyDescent="0.2">
      <c r="C159" s="1">
        <f>Growth!D164</f>
        <v>0</v>
      </c>
      <c r="D159" s="5" t="b">
        <f t="shared" si="118"/>
        <v>0</v>
      </c>
      <c r="E159" s="5">
        <v>1996</v>
      </c>
      <c r="F159" s="5">
        <f ca="1">LOOKUP($E159,frequence!$A$2:$A$35,frequence!L$2:L$35)</f>
        <v>18.632669458936146</v>
      </c>
      <c r="G159" s="5">
        <f ca="1">LOOKUP($E159,frequence!$A$2:$A$35,frequence!K$2:K$35)</f>
        <v>0.29150512146707191</v>
      </c>
      <c r="H159" s="5">
        <f ca="1">LOOKUP($E159,frequence!$A$2:$A$35,frequence!M$2:M$35)</f>
        <v>112.20229674036523</v>
      </c>
      <c r="I159" s="18">
        <v>1990</v>
      </c>
      <c r="J159" s="7">
        <f>LOOKUP(I159,CPI!A$69:A$103,CPI!O$69:O$103)</f>
        <v>1.6683703136954862</v>
      </c>
      <c r="K159" s="5">
        <v>1990</v>
      </c>
      <c r="L159" s="7">
        <f t="shared" ca="1" si="119"/>
        <v>1</v>
      </c>
      <c r="M159" s="7">
        <f t="shared" si="111"/>
        <v>3.36</v>
      </c>
      <c r="N159" s="14">
        <v>0.6</v>
      </c>
      <c r="O159" s="1">
        <f ca="1">P159*J159*(1+Growth!G$6)^(2010-K159)</f>
        <v>11.262493628467205</v>
      </c>
      <c r="P159" s="2">
        <f t="shared" si="139"/>
        <v>5</v>
      </c>
      <c r="Q159" s="1">
        <v>5</v>
      </c>
      <c r="R159" s="21">
        <f t="shared" ca="1" si="121"/>
        <v>126.84376273126438</v>
      </c>
      <c r="U159" s="1">
        <v>2</v>
      </c>
      <c r="X159" s="2">
        <f t="shared" si="132"/>
        <v>5</v>
      </c>
      <c r="AA159" s="1">
        <v>7</v>
      </c>
      <c r="AC159" s="1">
        <f t="shared" si="29"/>
        <v>5.6</v>
      </c>
      <c r="AD159" s="5">
        <v>1</v>
      </c>
      <c r="AE159" s="5">
        <v>1</v>
      </c>
      <c r="AF159" s="5">
        <v>1</v>
      </c>
      <c r="AG159" s="5">
        <v>0</v>
      </c>
      <c r="AH159" s="5">
        <v>1</v>
      </c>
      <c r="AI159" s="3">
        <f t="shared" si="112"/>
        <v>1.6</v>
      </c>
      <c r="AJ159" s="5">
        <f t="shared" si="136"/>
        <v>0</v>
      </c>
      <c r="AK159" s="5">
        <f t="shared" si="123"/>
        <v>1</v>
      </c>
      <c r="AL159" s="5">
        <f t="shared" si="124"/>
        <v>0</v>
      </c>
      <c r="AM159" s="5">
        <f t="shared" si="137"/>
        <v>0</v>
      </c>
      <c r="AN159" s="5">
        <f t="shared" si="125"/>
        <v>0</v>
      </c>
      <c r="AO159" s="5">
        <f t="shared" si="138"/>
        <v>0</v>
      </c>
      <c r="AP159" s="1">
        <v>4</v>
      </c>
      <c r="AQ159" s="1">
        <v>2</v>
      </c>
      <c r="AR159" s="5">
        <v>0</v>
      </c>
      <c r="AS159" s="5">
        <v>0</v>
      </c>
      <c r="AT159" s="5">
        <v>1</v>
      </c>
      <c r="AU159" s="5">
        <v>0</v>
      </c>
      <c r="AV159" s="5">
        <f t="shared" si="113"/>
        <v>0</v>
      </c>
      <c r="AW159" s="5">
        <f t="shared" si="114"/>
        <v>1</v>
      </c>
      <c r="AX159" s="5">
        <f t="shared" si="115"/>
        <v>0</v>
      </c>
      <c r="AY159" s="1">
        <f t="shared" si="12"/>
        <v>0</v>
      </c>
      <c r="AZ159" s="1">
        <f t="shared" si="13"/>
        <v>0</v>
      </c>
      <c r="BA159" s="1">
        <f t="shared" si="14"/>
        <v>0</v>
      </c>
      <c r="BB159" s="5">
        <v>1</v>
      </c>
      <c r="BC159" s="5">
        <v>0</v>
      </c>
      <c r="BD159" s="5">
        <v>0</v>
      </c>
      <c r="BE159" s="5">
        <f t="shared" si="30"/>
        <v>0</v>
      </c>
      <c r="BF159" s="5">
        <v>0</v>
      </c>
      <c r="BG159" s="5">
        <f t="shared" si="135"/>
        <v>0</v>
      </c>
      <c r="BH159" s="5">
        <f t="shared" si="135"/>
        <v>0</v>
      </c>
      <c r="BI159" s="5">
        <f t="shared" si="135"/>
        <v>0</v>
      </c>
      <c r="BJ159" s="5">
        <f t="shared" si="135"/>
        <v>0</v>
      </c>
      <c r="BK159" s="5">
        <f t="shared" si="135"/>
        <v>0</v>
      </c>
      <c r="BL159" s="5">
        <f t="shared" si="135"/>
        <v>0</v>
      </c>
      <c r="BM159" s="5">
        <f t="shared" si="135"/>
        <v>1</v>
      </c>
      <c r="BN159" s="5">
        <f t="shared" si="135"/>
        <v>0</v>
      </c>
      <c r="BO159" s="5">
        <f t="shared" si="134"/>
        <v>0</v>
      </c>
      <c r="BP159" s="5">
        <f t="shared" si="134"/>
        <v>0</v>
      </c>
      <c r="BQ159" s="5">
        <f t="shared" si="134"/>
        <v>0</v>
      </c>
      <c r="BR159" s="5">
        <f t="shared" si="134"/>
        <v>0</v>
      </c>
      <c r="BS159" s="5">
        <f t="shared" si="134"/>
        <v>0</v>
      </c>
      <c r="BT159" s="5">
        <f t="shared" si="134"/>
        <v>0</v>
      </c>
      <c r="BU159" s="5">
        <f t="shared" si="134"/>
        <v>0</v>
      </c>
      <c r="BV159" s="5">
        <f t="shared" si="134"/>
        <v>0</v>
      </c>
      <c r="BW159" s="5">
        <f t="shared" si="134"/>
        <v>0</v>
      </c>
      <c r="BX159" s="5">
        <f t="shared" si="134"/>
        <v>0</v>
      </c>
      <c r="BY159" s="5">
        <f t="shared" si="134"/>
        <v>0</v>
      </c>
      <c r="BZ159" s="5">
        <f t="shared" si="134"/>
        <v>0</v>
      </c>
      <c r="CA159" s="5">
        <f t="shared" si="134"/>
        <v>0</v>
      </c>
      <c r="CB159" s="5">
        <f t="shared" si="133"/>
        <v>0</v>
      </c>
      <c r="CC159" s="5">
        <f t="shared" si="133"/>
        <v>0</v>
      </c>
      <c r="CD159" s="5">
        <f t="shared" si="133"/>
        <v>0</v>
      </c>
      <c r="CE159" s="5">
        <f t="shared" si="133"/>
        <v>0</v>
      </c>
    </row>
    <row r="160" spans="1:83" x14ac:dyDescent="0.2">
      <c r="C160" s="1">
        <f>Growth!D165</f>
        <v>0</v>
      </c>
      <c r="D160" s="5" t="b">
        <f t="shared" si="118"/>
        <v>0</v>
      </c>
      <c r="E160" s="5">
        <v>1996</v>
      </c>
      <c r="F160" s="5">
        <f ca="1">LOOKUP($E160,frequence!$A$2:$A$35,frequence!L$2:L$35)</f>
        <v>18.632669458936146</v>
      </c>
      <c r="G160" s="5">
        <f ca="1">LOOKUP($E160,frequence!$A$2:$A$35,frequence!K$2:K$35)</f>
        <v>0.29150512146707191</v>
      </c>
      <c r="H160" s="5">
        <f ca="1">LOOKUP($E160,frequence!$A$2:$A$35,frequence!M$2:M$35)</f>
        <v>112.20229674036523</v>
      </c>
      <c r="I160" s="18">
        <v>1990</v>
      </c>
      <c r="J160" s="7">
        <f>LOOKUP(I160,CPI!A$69:A$103,CPI!O$69:O$103)</f>
        <v>1.6683703136954862</v>
      </c>
      <c r="K160" s="5">
        <v>1990</v>
      </c>
      <c r="L160" s="7">
        <f t="shared" ca="1" si="119"/>
        <v>1</v>
      </c>
      <c r="M160" s="7">
        <f t="shared" si="111"/>
        <v>0.45999999999999996</v>
      </c>
      <c r="N160" s="14">
        <v>0.1</v>
      </c>
      <c r="O160" s="1">
        <f ca="1">P160*J160*(1+Growth!G$6)^(2010-K160)</f>
        <v>65.322463045109799</v>
      </c>
      <c r="P160" s="2">
        <f t="shared" si="139"/>
        <v>29</v>
      </c>
      <c r="Q160" s="1">
        <v>29</v>
      </c>
      <c r="R160" s="21">
        <f t="shared" ca="1" si="121"/>
        <v>4267.0241782797357</v>
      </c>
      <c r="U160" s="1">
        <v>12</v>
      </c>
      <c r="X160" s="2">
        <f t="shared" si="132"/>
        <v>29</v>
      </c>
      <c r="AA160" s="1">
        <v>45</v>
      </c>
      <c r="AC160" s="1">
        <f t="shared" si="29"/>
        <v>4.5999999999999996</v>
      </c>
      <c r="AD160" s="5">
        <v>1</v>
      </c>
      <c r="AE160" s="5">
        <v>1</v>
      </c>
      <c r="AF160" s="5">
        <v>1</v>
      </c>
      <c r="AG160" s="5">
        <v>0</v>
      </c>
      <c r="AH160" s="5">
        <v>0</v>
      </c>
      <c r="AI160" s="3">
        <f t="shared" si="112"/>
        <v>1.6</v>
      </c>
      <c r="AJ160" s="5">
        <f t="shared" si="136"/>
        <v>0</v>
      </c>
      <c r="AK160" s="5">
        <f t="shared" si="123"/>
        <v>1</v>
      </c>
      <c r="AL160" s="5">
        <f t="shared" si="124"/>
        <v>0</v>
      </c>
      <c r="AM160" s="5">
        <f t="shared" si="137"/>
        <v>0</v>
      </c>
      <c r="AN160" s="5">
        <f t="shared" si="125"/>
        <v>0</v>
      </c>
      <c r="AO160" s="5">
        <f t="shared" si="138"/>
        <v>0</v>
      </c>
      <c r="AP160" s="1">
        <v>4</v>
      </c>
      <c r="AQ160" s="1">
        <v>2</v>
      </c>
      <c r="AR160" s="5">
        <v>0</v>
      </c>
      <c r="AS160" s="5">
        <v>0</v>
      </c>
      <c r="AT160" s="5">
        <v>1</v>
      </c>
      <c r="AU160" s="5">
        <v>0</v>
      </c>
      <c r="AV160" s="5">
        <f t="shared" si="113"/>
        <v>0</v>
      </c>
      <c r="AW160" s="5">
        <f t="shared" si="114"/>
        <v>1</v>
      </c>
      <c r="AX160" s="5">
        <f t="shared" si="115"/>
        <v>0</v>
      </c>
      <c r="AY160" s="1">
        <f t="shared" si="12"/>
        <v>0</v>
      </c>
      <c r="AZ160" s="1">
        <f t="shared" si="13"/>
        <v>0</v>
      </c>
      <c r="BA160" s="1">
        <f t="shared" si="14"/>
        <v>0</v>
      </c>
      <c r="BB160" s="5">
        <v>1</v>
      </c>
      <c r="BC160" s="5">
        <v>0</v>
      </c>
      <c r="BD160" s="5">
        <v>0</v>
      </c>
      <c r="BE160" s="5">
        <f t="shared" si="30"/>
        <v>0</v>
      </c>
      <c r="BF160" s="5">
        <v>0</v>
      </c>
      <c r="BG160" s="5">
        <f t="shared" si="135"/>
        <v>0</v>
      </c>
      <c r="BH160" s="5">
        <f t="shared" si="135"/>
        <v>0</v>
      </c>
      <c r="BI160" s="5">
        <f t="shared" si="135"/>
        <v>0</v>
      </c>
      <c r="BJ160" s="5">
        <f t="shared" si="135"/>
        <v>0</v>
      </c>
      <c r="BK160" s="5">
        <f t="shared" si="135"/>
        <v>0</v>
      </c>
      <c r="BL160" s="5">
        <f t="shared" si="135"/>
        <v>0</v>
      </c>
      <c r="BM160" s="5">
        <f t="shared" si="135"/>
        <v>1</v>
      </c>
      <c r="BN160" s="5">
        <f t="shared" si="135"/>
        <v>0</v>
      </c>
      <c r="BO160" s="5">
        <f t="shared" si="134"/>
        <v>0</v>
      </c>
      <c r="BP160" s="5">
        <f t="shared" si="134"/>
        <v>0</v>
      </c>
      <c r="BQ160" s="5">
        <f t="shared" si="134"/>
        <v>0</v>
      </c>
      <c r="BR160" s="5">
        <f t="shared" si="134"/>
        <v>0</v>
      </c>
      <c r="BS160" s="5">
        <f t="shared" si="134"/>
        <v>0</v>
      </c>
      <c r="BT160" s="5">
        <f t="shared" si="134"/>
        <v>0</v>
      </c>
      <c r="BU160" s="5">
        <f t="shared" si="134"/>
        <v>0</v>
      </c>
      <c r="BV160" s="5">
        <f t="shared" si="134"/>
        <v>0</v>
      </c>
      <c r="BW160" s="5">
        <f t="shared" si="134"/>
        <v>0</v>
      </c>
      <c r="BX160" s="5">
        <f t="shared" si="134"/>
        <v>0</v>
      </c>
      <c r="BY160" s="5">
        <f t="shared" si="134"/>
        <v>0</v>
      </c>
      <c r="BZ160" s="5">
        <f t="shared" si="134"/>
        <v>0</v>
      </c>
      <c r="CA160" s="5">
        <f t="shared" si="134"/>
        <v>0</v>
      </c>
      <c r="CB160" s="5">
        <f t="shared" si="133"/>
        <v>0</v>
      </c>
      <c r="CC160" s="5">
        <f t="shared" si="133"/>
        <v>0</v>
      </c>
      <c r="CD160" s="5">
        <f t="shared" si="133"/>
        <v>0</v>
      </c>
      <c r="CE160" s="5">
        <f t="shared" si="133"/>
        <v>0</v>
      </c>
    </row>
    <row r="161" spans="1:83" x14ac:dyDescent="0.2">
      <c r="A161" s="1" t="s">
        <v>18</v>
      </c>
      <c r="B161" s="1" t="s">
        <v>75</v>
      </c>
      <c r="C161" s="1">
        <f>Growth!D166</f>
        <v>1</v>
      </c>
      <c r="D161" s="5">
        <f t="shared" si="118"/>
        <v>1996</v>
      </c>
      <c r="E161" s="5">
        <v>1996</v>
      </c>
      <c r="F161" s="5">
        <f ca="1">LOOKUP($E161,frequence!$A$2:$A$35,frequence!L$2:L$35)</f>
        <v>18.632669458936146</v>
      </c>
      <c r="G161" s="5">
        <f ca="1">LOOKUP($E161,frequence!$A$2:$A$35,frequence!K$2:K$35)</f>
        <v>0.29150512146707191</v>
      </c>
      <c r="H161" s="5">
        <f ca="1">LOOKUP($E161,frequence!$A$2:$A$35,frequence!M$2:M$35)</f>
        <v>112.20229674036523</v>
      </c>
      <c r="I161" s="5">
        <v>1990</v>
      </c>
      <c r="J161" s="7">
        <f>LOOKUP(I161,CPI!A$69:A$103,CPI!O$69:O$103)</f>
        <v>1.6683703136954862</v>
      </c>
      <c r="K161" s="5">
        <v>2000</v>
      </c>
      <c r="L161" s="7">
        <f t="shared" ca="1" si="119"/>
        <v>1</v>
      </c>
      <c r="M161" s="7">
        <f t="shared" si="111"/>
        <v>5.6</v>
      </c>
      <c r="N161" s="14">
        <v>1</v>
      </c>
      <c r="O161" s="1">
        <f ca="1">P161*J161*(1+Growth!G$6)^(2010-K161)</f>
        <v>11.999665855604118</v>
      </c>
      <c r="P161" s="1">
        <v>6.19</v>
      </c>
      <c r="Q161" s="2">
        <f>P161</f>
        <v>6.19</v>
      </c>
      <c r="R161" s="21">
        <f t="shared" ca="1" si="121"/>
        <v>143.99198064615129</v>
      </c>
      <c r="X161" s="2">
        <f t="shared" si="132"/>
        <v>6.19</v>
      </c>
      <c r="AC161" s="1">
        <f t="shared" si="29"/>
        <v>5.6</v>
      </c>
      <c r="AD161" s="5">
        <v>1</v>
      </c>
      <c r="AE161" s="5">
        <v>1</v>
      </c>
      <c r="AF161" s="5">
        <v>1</v>
      </c>
      <c r="AG161" s="5">
        <v>0</v>
      </c>
      <c r="AH161" s="5">
        <v>1</v>
      </c>
      <c r="AI161" s="3">
        <f t="shared" si="112"/>
        <v>1.6</v>
      </c>
      <c r="AJ161" s="5">
        <f t="shared" si="136"/>
        <v>1</v>
      </c>
      <c r="AK161" s="5">
        <f t="shared" si="123"/>
        <v>0</v>
      </c>
      <c r="AL161" s="5">
        <f t="shared" si="124"/>
        <v>0</v>
      </c>
      <c r="AM161" s="5">
        <f t="shared" si="137"/>
        <v>0</v>
      </c>
      <c r="AN161" s="5">
        <f t="shared" si="125"/>
        <v>0</v>
      </c>
      <c r="AO161" s="5">
        <f t="shared" si="138"/>
        <v>0</v>
      </c>
      <c r="AP161" s="1">
        <v>5</v>
      </c>
      <c r="AQ161" s="1">
        <v>3</v>
      </c>
      <c r="AR161" s="5">
        <v>0</v>
      </c>
      <c r="AS161" s="5">
        <v>0</v>
      </c>
      <c r="AT161" s="5">
        <v>0</v>
      </c>
      <c r="AU161" s="5">
        <v>0</v>
      </c>
      <c r="AV161" s="5">
        <f t="shared" si="113"/>
        <v>0</v>
      </c>
      <c r="AW161" s="5">
        <f t="shared" si="114"/>
        <v>1</v>
      </c>
      <c r="AX161" s="5">
        <f t="shared" si="115"/>
        <v>0</v>
      </c>
      <c r="AY161" s="1">
        <f t="shared" si="12"/>
        <v>1</v>
      </c>
      <c r="AZ161" s="1">
        <f t="shared" si="13"/>
        <v>0</v>
      </c>
      <c r="BA161" s="1">
        <f t="shared" si="14"/>
        <v>0</v>
      </c>
      <c r="BB161" s="5">
        <v>0</v>
      </c>
      <c r="BC161" s="5">
        <v>1</v>
      </c>
      <c r="BD161" s="5">
        <v>0</v>
      </c>
      <c r="BE161" s="5">
        <f t="shared" si="30"/>
        <v>0</v>
      </c>
      <c r="BF161" s="5">
        <v>1</v>
      </c>
      <c r="BG161" s="5">
        <f t="shared" si="135"/>
        <v>0</v>
      </c>
      <c r="BH161" s="5">
        <f t="shared" si="135"/>
        <v>0</v>
      </c>
      <c r="BI161" s="5">
        <f t="shared" si="135"/>
        <v>0</v>
      </c>
      <c r="BJ161" s="5">
        <f t="shared" si="135"/>
        <v>0</v>
      </c>
      <c r="BK161" s="5">
        <f t="shared" si="135"/>
        <v>0</v>
      </c>
      <c r="BL161" s="5">
        <f t="shared" si="135"/>
        <v>0</v>
      </c>
      <c r="BM161" s="5">
        <f t="shared" si="135"/>
        <v>1</v>
      </c>
      <c r="BN161" s="5">
        <f t="shared" si="135"/>
        <v>0</v>
      </c>
      <c r="BO161" s="5">
        <f t="shared" si="134"/>
        <v>0</v>
      </c>
      <c r="BP161" s="5">
        <f t="shared" si="134"/>
        <v>0</v>
      </c>
      <c r="BQ161" s="5">
        <f t="shared" si="134"/>
        <v>0</v>
      </c>
      <c r="BR161" s="5">
        <f t="shared" si="134"/>
        <v>0</v>
      </c>
      <c r="BS161" s="5">
        <f t="shared" si="134"/>
        <v>0</v>
      </c>
      <c r="BT161" s="5">
        <f t="shared" si="134"/>
        <v>0</v>
      </c>
      <c r="BU161" s="5">
        <f t="shared" si="134"/>
        <v>0</v>
      </c>
      <c r="BV161" s="5">
        <f t="shared" si="134"/>
        <v>0</v>
      </c>
      <c r="BW161" s="5">
        <f t="shared" si="134"/>
        <v>0</v>
      </c>
      <c r="BX161" s="5">
        <f t="shared" si="134"/>
        <v>0</v>
      </c>
      <c r="BY161" s="5">
        <f t="shared" si="134"/>
        <v>0</v>
      </c>
      <c r="BZ161" s="5">
        <f t="shared" si="134"/>
        <v>0</v>
      </c>
      <c r="CA161" s="5">
        <f t="shared" si="134"/>
        <v>0</v>
      </c>
      <c r="CB161" s="5">
        <f t="shared" si="133"/>
        <v>0</v>
      </c>
      <c r="CC161" s="5">
        <f t="shared" si="133"/>
        <v>0</v>
      </c>
      <c r="CD161" s="5">
        <f t="shared" si="133"/>
        <v>0</v>
      </c>
      <c r="CE161" s="5">
        <f t="shared" si="133"/>
        <v>0</v>
      </c>
    </row>
    <row r="162" spans="1:83" x14ac:dyDescent="0.2">
      <c r="A162" s="1" t="s">
        <v>19</v>
      </c>
      <c r="B162" s="1" t="s">
        <v>76</v>
      </c>
      <c r="C162" s="1">
        <f>Growth!D167</f>
        <v>0</v>
      </c>
      <c r="D162" s="5">
        <f t="shared" si="118"/>
        <v>1997</v>
      </c>
      <c r="E162" s="5">
        <v>1997</v>
      </c>
      <c r="F162" s="5">
        <f ca="1">LOOKUP($E162,frequence!$A$2:$A$35,frequence!L$2:L$35)</f>
        <v>28.394272714827164</v>
      </c>
      <c r="G162" s="5">
        <f ca="1">LOOKUP($E162,frequence!$A$2:$A$35,frequence!K$2:K$35)</f>
        <v>0.54068731338998477</v>
      </c>
      <c r="H162" s="5">
        <f ca="1">LOOKUP($E162,frequence!$A$2:$A$35,frequence!M$2:M$35)</f>
        <v>197.31888837074524</v>
      </c>
      <c r="I162" s="18">
        <v>1990</v>
      </c>
      <c r="J162" s="7">
        <f>LOOKUP(I162,CPI!A$69:A$103,CPI!O$69:O$103)</f>
        <v>1.6683703136954862</v>
      </c>
      <c r="K162" s="18">
        <v>2000</v>
      </c>
      <c r="L162" s="7">
        <f t="shared" ca="1" si="119"/>
        <v>1</v>
      </c>
      <c r="M162" s="7">
        <f t="shared" si="111"/>
        <v>4.2300000000000004</v>
      </c>
      <c r="N162" s="14">
        <v>0.9</v>
      </c>
      <c r="O162" s="1">
        <f ca="1">P162*J162*(1+Growth!G$6)^(2010-K162)</f>
        <v>22.56479976724264</v>
      </c>
      <c r="P162" s="2">
        <f>Q162</f>
        <v>11.64</v>
      </c>
      <c r="Q162" s="1">
        <v>11.64</v>
      </c>
      <c r="R162" s="21">
        <f t="shared" ca="1" si="121"/>
        <v>509.17018853575348</v>
      </c>
      <c r="V162" s="1">
        <v>0</v>
      </c>
      <c r="X162" s="2">
        <f t="shared" si="132"/>
        <v>11.64</v>
      </c>
      <c r="Z162" s="1">
        <v>34</v>
      </c>
      <c r="AC162" s="1">
        <f t="shared" si="29"/>
        <v>4.7</v>
      </c>
      <c r="AD162" s="5">
        <v>1</v>
      </c>
      <c r="AE162" s="5">
        <v>0</v>
      </c>
      <c r="AF162" s="5">
        <v>1</v>
      </c>
      <c r="AG162" s="5">
        <v>0</v>
      </c>
      <c r="AH162" s="5">
        <v>1</v>
      </c>
      <c r="AI162" s="3">
        <f t="shared" si="112"/>
        <v>1.7</v>
      </c>
      <c r="AJ162" s="5">
        <f t="shared" si="136"/>
        <v>1</v>
      </c>
      <c r="AK162" s="5">
        <f t="shared" si="123"/>
        <v>0</v>
      </c>
      <c r="AL162" s="5">
        <f t="shared" si="124"/>
        <v>0</v>
      </c>
      <c r="AM162" s="5">
        <f t="shared" si="137"/>
        <v>0</v>
      </c>
      <c r="AN162" s="5">
        <f t="shared" si="125"/>
        <v>0</v>
      </c>
      <c r="AO162" s="5">
        <f t="shared" si="138"/>
        <v>0</v>
      </c>
      <c r="AP162" s="1">
        <v>5</v>
      </c>
      <c r="AQ162" s="1">
        <v>3</v>
      </c>
      <c r="AR162" s="5">
        <v>0</v>
      </c>
      <c r="AS162" s="5">
        <v>0</v>
      </c>
      <c r="AT162" s="5">
        <v>1</v>
      </c>
      <c r="AU162" s="5">
        <v>0</v>
      </c>
      <c r="AV162" s="5">
        <f t="shared" si="113"/>
        <v>0</v>
      </c>
      <c r="AW162" s="5">
        <f t="shared" si="114"/>
        <v>1</v>
      </c>
      <c r="AX162" s="5">
        <f t="shared" si="115"/>
        <v>0</v>
      </c>
      <c r="AY162" s="1">
        <f t="shared" si="12"/>
        <v>1</v>
      </c>
      <c r="AZ162" s="1">
        <f t="shared" si="13"/>
        <v>0</v>
      </c>
      <c r="BA162" s="1">
        <f t="shared" si="14"/>
        <v>0</v>
      </c>
      <c r="BB162" s="5">
        <v>0</v>
      </c>
      <c r="BC162" s="5">
        <v>1</v>
      </c>
      <c r="BD162" s="5">
        <v>0</v>
      </c>
      <c r="BE162" s="5">
        <f t="shared" si="30"/>
        <v>0</v>
      </c>
      <c r="BF162" s="5">
        <v>1</v>
      </c>
      <c r="BG162" s="5">
        <f t="shared" si="135"/>
        <v>0</v>
      </c>
      <c r="BH162" s="5">
        <f t="shared" si="135"/>
        <v>0</v>
      </c>
      <c r="BI162" s="5">
        <f t="shared" si="135"/>
        <v>0</v>
      </c>
      <c r="BJ162" s="5">
        <f t="shared" si="135"/>
        <v>0</v>
      </c>
      <c r="BK162" s="5">
        <f t="shared" si="135"/>
        <v>0</v>
      </c>
      <c r="BL162" s="5">
        <f t="shared" si="135"/>
        <v>0</v>
      </c>
      <c r="BM162" s="5">
        <f t="shared" si="135"/>
        <v>0</v>
      </c>
      <c r="BN162" s="5">
        <f t="shared" si="135"/>
        <v>1</v>
      </c>
      <c r="BO162" s="5">
        <f t="shared" si="134"/>
        <v>0</v>
      </c>
      <c r="BP162" s="5">
        <f t="shared" si="134"/>
        <v>0</v>
      </c>
      <c r="BQ162" s="5">
        <f t="shared" si="134"/>
        <v>0</v>
      </c>
      <c r="BR162" s="5">
        <f t="shared" si="134"/>
        <v>0</v>
      </c>
      <c r="BS162" s="5">
        <f t="shared" si="134"/>
        <v>0</v>
      </c>
      <c r="BT162" s="5">
        <f t="shared" si="134"/>
        <v>0</v>
      </c>
      <c r="BU162" s="5">
        <f t="shared" si="134"/>
        <v>0</v>
      </c>
      <c r="BV162" s="5">
        <f t="shared" si="134"/>
        <v>0</v>
      </c>
      <c r="BW162" s="5">
        <f t="shared" si="134"/>
        <v>0</v>
      </c>
      <c r="BX162" s="5">
        <f t="shared" si="134"/>
        <v>0</v>
      </c>
      <c r="BY162" s="5">
        <f t="shared" si="134"/>
        <v>0</v>
      </c>
      <c r="BZ162" s="5">
        <f t="shared" si="134"/>
        <v>0</v>
      </c>
      <c r="CA162" s="5">
        <f t="shared" si="134"/>
        <v>0</v>
      </c>
      <c r="CB162" s="5">
        <f t="shared" si="133"/>
        <v>0</v>
      </c>
      <c r="CC162" s="5">
        <f t="shared" si="133"/>
        <v>0</v>
      </c>
      <c r="CD162" s="5">
        <f t="shared" si="133"/>
        <v>0</v>
      </c>
      <c r="CE162" s="5">
        <f t="shared" si="133"/>
        <v>0</v>
      </c>
    </row>
    <row r="163" spans="1:83" x14ac:dyDescent="0.2">
      <c r="C163" s="1">
        <f>Growth!D168</f>
        <v>1</v>
      </c>
      <c r="D163" s="5" t="b">
        <f t="shared" si="118"/>
        <v>0</v>
      </c>
      <c r="E163" s="5">
        <v>1997</v>
      </c>
      <c r="F163" s="5">
        <f ca="1">LOOKUP($E163,frequence!$A$2:$A$35,frequence!L$2:L$35)</f>
        <v>28.394272714827164</v>
      </c>
      <c r="G163" s="5">
        <f ca="1">LOOKUP($E163,frequence!$A$2:$A$35,frequence!K$2:K$35)</f>
        <v>0.54068731338998477</v>
      </c>
      <c r="H163" s="5">
        <f ca="1">LOOKUP($E163,frequence!$A$2:$A$35,frequence!M$2:M$35)</f>
        <v>197.31888837074524</v>
      </c>
      <c r="I163" s="18">
        <v>1990</v>
      </c>
      <c r="J163" s="7">
        <f>LOOKUP(I163,CPI!A$69:A$103,CPI!O$69:O$103)</f>
        <v>1.6683703136954862</v>
      </c>
      <c r="K163" s="18">
        <v>2000</v>
      </c>
      <c r="L163" s="7">
        <f t="shared" ca="1" si="119"/>
        <v>1</v>
      </c>
      <c r="M163" s="7">
        <f t="shared" si="111"/>
        <v>0.47000000000000003</v>
      </c>
      <c r="N163" s="14">
        <v>0.1</v>
      </c>
      <c r="O163" s="1">
        <f ca="1">P163*J163*(1+Growth!G$6)^(2010-K163)</f>
        <v>12.115979256466192</v>
      </c>
      <c r="P163" s="2">
        <f>Q163</f>
        <v>6.25</v>
      </c>
      <c r="Q163" s="1">
        <v>6.25</v>
      </c>
      <c r="R163" s="21">
        <f t="shared" ca="1" si="121"/>
        <v>146.79695334311904</v>
      </c>
      <c r="X163" s="2">
        <f t="shared" si="132"/>
        <v>6.25</v>
      </c>
      <c r="AC163" s="1">
        <f t="shared" si="29"/>
        <v>4.7</v>
      </c>
      <c r="AD163" s="5">
        <v>1</v>
      </c>
      <c r="AE163" s="5">
        <v>0</v>
      </c>
      <c r="AF163" s="5">
        <v>1</v>
      </c>
      <c r="AG163" s="5">
        <v>0</v>
      </c>
      <c r="AH163" s="5">
        <v>1</v>
      </c>
      <c r="AI163" s="3">
        <f t="shared" si="112"/>
        <v>1.7</v>
      </c>
      <c r="AJ163" s="5">
        <f t="shared" si="136"/>
        <v>1</v>
      </c>
      <c r="AK163" s="5">
        <f t="shared" si="123"/>
        <v>0</v>
      </c>
      <c r="AL163" s="5">
        <f t="shared" si="124"/>
        <v>0</v>
      </c>
      <c r="AM163" s="5">
        <f t="shared" si="137"/>
        <v>0</v>
      </c>
      <c r="AN163" s="5">
        <f t="shared" si="125"/>
        <v>0</v>
      </c>
      <c r="AO163" s="5">
        <f t="shared" si="138"/>
        <v>0</v>
      </c>
      <c r="AP163" s="1">
        <v>5</v>
      </c>
      <c r="AQ163" s="1">
        <v>3</v>
      </c>
      <c r="AR163" s="5">
        <v>0</v>
      </c>
      <c r="AS163" s="5">
        <v>0</v>
      </c>
      <c r="AT163" s="5">
        <v>1</v>
      </c>
      <c r="AU163" s="5">
        <v>0</v>
      </c>
      <c r="AV163" s="5">
        <f t="shared" si="113"/>
        <v>0</v>
      </c>
      <c r="AW163" s="5">
        <f t="shared" si="114"/>
        <v>1</v>
      </c>
      <c r="AX163" s="5">
        <f t="shared" si="115"/>
        <v>0</v>
      </c>
      <c r="AY163" s="1">
        <f t="shared" si="12"/>
        <v>1</v>
      </c>
      <c r="AZ163" s="1">
        <f t="shared" si="13"/>
        <v>0</v>
      </c>
      <c r="BA163" s="1">
        <f t="shared" si="14"/>
        <v>0</v>
      </c>
      <c r="BB163" s="5">
        <v>0</v>
      </c>
      <c r="BC163" s="5">
        <v>1</v>
      </c>
      <c r="BD163" s="5">
        <v>0</v>
      </c>
      <c r="BE163" s="5">
        <f t="shared" si="30"/>
        <v>0</v>
      </c>
      <c r="BF163" s="5">
        <v>1</v>
      </c>
      <c r="BG163" s="5">
        <f t="shared" si="135"/>
        <v>0</v>
      </c>
      <c r="BH163" s="5">
        <f t="shared" si="135"/>
        <v>0</v>
      </c>
      <c r="BI163" s="5">
        <f t="shared" si="135"/>
        <v>0</v>
      </c>
      <c r="BJ163" s="5">
        <f t="shared" si="135"/>
        <v>0</v>
      </c>
      <c r="BK163" s="5">
        <f t="shared" si="135"/>
        <v>0</v>
      </c>
      <c r="BL163" s="5">
        <f t="shared" si="135"/>
        <v>0</v>
      </c>
      <c r="BM163" s="5">
        <f t="shared" si="135"/>
        <v>0</v>
      </c>
      <c r="BN163" s="5">
        <f t="shared" si="135"/>
        <v>1</v>
      </c>
      <c r="BO163" s="5">
        <f t="shared" si="134"/>
        <v>0</v>
      </c>
      <c r="BP163" s="5">
        <f t="shared" si="134"/>
        <v>0</v>
      </c>
      <c r="BQ163" s="5">
        <f t="shared" si="134"/>
        <v>0</v>
      </c>
      <c r="BR163" s="5">
        <f t="shared" si="134"/>
        <v>0</v>
      </c>
      <c r="BS163" s="5">
        <f t="shared" si="134"/>
        <v>0</v>
      </c>
      <c r="BT163" s="5">
        <f t="shared" si="134"/>
        <v>0</v>
      </c>
      <c r="BU163" s="5">
        <f t="shared" si="134"/>
        <v>0</v>
      </c>
      <c r="BV163" s="5">
        <f t="shared" si="134"/>
        <v>0</v>
      </c>
      <c r="BW163" s="5">
        <f t="shared" si="134"/>
        <v>0</v>
      </c>
      <c r="BX163" s="5">
        <f t="shared" si="134"/>
        <v>0</v>
      </c>
      <c r="BY163" s="5">
        <f t="shared" si="134"/>
        <v>0</v>
      </c>
      <c r="BZ163" s="5">
        <f t="shared" si="134"/>
        <v>0</v>
      </c>
      <c r="CA163" s="5">
        <f t="shared" si="134"/>
        <v>0</v>
      </c>
      <c r="CB163" s="5">
        <f t="shared" si="133"/>
        <v>0</v>
      </c>
      <c r="CC163" s="5">
        <f t="shared" si="133"/>
        <v>0</v>
      </c>
      <c r="CD163" s="5">
        <f t="shared" si="133"/>
        <v>0</v>
      </c>
      <c r="CE163" s="5">
        <f t="shared" si="133"/>
        <v>0</v>
      </c>
    </row>
    <row r="164" spans="1:83" x14ac:dyDescent="0.2">
      <c r="A164" s="1" t="s">
        <v>25</v>
      </c>
      <c r="B164" s="1" t="s">
        <v>174</v>
      </c>
      <c r="C164" s="1">
        <f>Growth!D169</f>
        <v>0</v>
      </c>
      <c r="D164" s="5">
        <f t="shared" si="118"/>
        <v>1999</v>
      </c>
      <c r="E164" s="5">
        <v>1999</v>
      </c>
      <c r="F164" s="5">
        <f ca="1">LOOKUP($E164,frequence!$A$2:$A$35,frequence!L$2:L$35)</f>
        <v>28.394272714827164</v>
      </c>
      <c r="G164" s="5">
        <f ca="1">LOOKUP($E164,frequence!$A$2:$A$35,frequence!K$2:K$35)</f>
        <v>0.57480720321912437</v>
      </c>
      <c r="H164" s="5">
        <f ca="1">LOOKUP($E164,frequence!$A$2:$A$35,frequence!M$2:M$35)</f>
        <v>186.16901967856262</v>
      </c>
      <c r="I164" s="18">
        <v>1995</v>
      </c>
      <c r="J164" s="7">
        <f>LOOKUP(I164,CPI!A$69:A$103,CPI!O$69:O$103)</f>
        <v>1.4308136482939633</v>
      </c>
      <c r="K164" s="18">
        <v>1995</v>
      </c>
      <c r="L164" s="7">
        <f t="shared" ca="1" si="119"/>
        <v>1</v>
      </c>
      <c r="M164" s="7">
        <f t="shared" si="111"/>
        <v>2.4500000000000002</v>
      </c>
      <c r="N164" s="14">
        <v>0.5</v>
      </c>
      <c r="O164" s="1">
        <f ca="1">P164*J164*(1+Growth!G$6)^(2010-K164)</f>
        <v>304.6569365900155</v>
      </c>
      <c r="P164" s="3">
        <v>170</v>
      </c>
      <c r="Q164" s="2">
        <f>P164</f>
        <v>170</v>
      </c>
      <c r="R164" s="21">
        <f t="shared" ca="1" si="121"/>
        <v>92815.849012412727</v>
      </c>
      <c r="X164" s="2">
        <f t="shared" si="132"/>
        <v>170</v>
      </c>
      <c r="AC164" s="1">
        <f t="shared" si="29"/>
        <v>4.9000000000000004</v>
      </c>
      <c r="AD164" s="5">
        <v>0</v>
      </c>
      <c r="AE164" s="5">
        <v>0</v>
      </c>
      <c r="AF164" s="5">
        <v>1</v>
      </c>
      <c r="AG164" s="5">
        <v>1</v>
      </c>
      <c r="AH164" s="5">
        <v>1</v>
      </c>
      <c r="AI164" s="3">
        <f t="shared" si="112"/>
        <v>1.9</v>
      </c>
      <c r="AJ164" s="5">
        <f t="shared" si="136"/>
        <v>0</v>
      </c>
      <c r="AK164" s="5">
        <f t="shared" si="123"/>
        <v>0</v>
      </c>
      <c r="AL164" s="5">
        <f t="shared" si="124"/>
        <v>0</v>
      </c>
      <c r="AM164" s="5">
        <f t="shared" si="137"/>
        <v>0</v>
      </c>
      <c r="AN164" s="5">
        <f t="shared" si="125"/>
        <v>0</v>
      </c>
      <c r="AO164" s="5">
        <f t="shared" si="138"/>
        <v>0</v>
      </c>
      <c r="AP164" s="1">
        <v>1</v>
      </c>
      <c r="AQ164" s="1">
        <v>-1</v>
      </c>
      <c r="AR164" s="5">
        <v>1</v>
      </c>
      <c r="AS164" s="5">
        <v>0</v>
      </c>
      <c r="AT164" s="5">
        <v>0</v>
      </c>
      <c r="AU164" s="5">
        <v>0</v>
      </c>
      <c r="AV164" s="5">
        <f t="shared" si="113"/>
        <v>0</v>
      </c>
      <c r="AW164" s="5">
        <f t="shared" si="114"/>
        <v>1</v>
      </c>
      <c r="AX164" s="5">
        <f t="shared" si="115"/>
        <v>0</v>
      </c>
      <c r="AY164" s="1">
        <f t="shared" si="12"/>
        <v>0</v>
      </c>
      <c r="AZ164" s="1">
        <f t="shared" si="13"/>
        <v>0</v>
      </c>
      <c r="BA164" s="1">
        <f t="shared" si="14"/>
        <v>0</v>
      </c>
      <c r="BB164" s="5">
        <v>0</v>
      </c>
      <c r="BC164" s="5">
        <v>0</v>
      </c>
      <c r="BD164" s="5">
        <v>0</v>
      </c>
      <c r="BE164" s="5">
        <f t="shared" si="30"/>
        <v>1</v>
      </c>
      <c r="BF164" s="5">
        <v>0</v>
      </c>
      <c r="BG164" s="5">
        <f t="shared" si="135"/>
        <v>0</v>
      </c>
      <c r="BH164" s="5">
        <f t="shared" si="135"/>
        <v>0</v>
      </c>
      <c r="BI164" s="5">
        <f t="shared" si="135"/>
        <v>0</v>
      </c>
      <c r="BJ164" s="5">
        <f t="shared" si="135"/>
        <v>0</v>
      </c>
      <c r="BK164" s="5">
        <f t="shared" si="135"/>
        <v>0</v>
      </c>
      <c r="BL164" s="5">
        <f t="shared" si="135"/>
        <v>0</v>
      </c>
      <c r="BM164" s="5">
        <f t="shared" si="135"/>
        <v>0</v>
      </c>
      <c r="BN164" s="5">
        <f t="shared" ref="BN164:CB179" si="145">IF($E164=BN$2,1,0)</f>
        <v>0</v>
      </c>
      <c r="BO164" s="5">
        <f t="shared" si="145"/>
        <v>1</v>
      </c>
      <c r="BP164" s="5">
        <f t="shared" si="145"/>
        <v>0</v>
      </c>
      <c r="BQ164" s="5">
        <f t="shared" si="145"/>
        <v>0</v>
      </c>
      <c r="BR164" s="5">
        <f t="shared" si="145"/>
        <v>0</v>
      </c>
      <c r="BS164" s="5">
        <f t="shared" si="145"/>
        <v>0</v>
      </c>
      <c r="BT164" s="5">
        <f t="shared" si="145"/>
        <v>0</v>
      </c>
      <c r="BU164" s="5">
        <f t="shared" si="145"/>
        <v>0</v>
      </c>
      <c r="BV164" s="5">
        <f t="shared" si="145"/>
        <v>0</v>
      </c>
      <c r="BW164" s="5">
        <f t="shared" si="145"/>
        <v>0</v>
      </c>
      <c r="BX164" s="5">
        <f t="shared" si="145"/>
        <v>0</v>
      </c>
      <c r="BY164" s="5">
        <f t="shared" si="145"/>
        <v>0</v>
      </c>
      <c r="BZ164" s="5">
        <f t="shared" si="145"/>
        <v>0</v>
      </c>
      <c r="CA164" s="5">
        <f t="shared" si="145"/>
        <v>0</v>
      </c>
      <c r="CB164" s="5">
        <f t="shared" si="133"/>
        <v>0</v>
      </c>
      <c r="CC164" s="5">
        <f t="shared" si="133"/>
        <v>0</v>
      </c>
      <c r="CD164" s="5">
        <f t="shared" si="133"/>
        <v>0</v>
      </c>
      <c r="CE164" s="5">
        <f t="shared" si="133"/>
        <v>0</v>
      </c>
    </row>
    <row r="165" spans="1:83" x14ac:dyDescent="0.2">
      <c r="C165" s="1">
        <f>Growth!D170</f>
        <v>0</v>
      </c>
      <c r="D165" s="5" t="b">
        <f t="shared" si="118"/>
        <v>0</v>
      </c>
      <c r="E165" s="5">
        <v>1999</v>
      </c>
      <c r="F165" s="5">
        <f ca="1">LOOKUP($E165,frequence!$A$2:$A$35,frequence!L$2:L$35)</f>
        <v>28.394272714827164</v>
      </c>
      <c r="G165" s="5">
        <f ca="1">LOOKUP($E165,frequence!$A$2:$A$35,frequence!K$2:K$35)</f>
        <v>0.57480720321912437</v>
      </c>
      <c r="H165" s="5">
        <f ca="1">LOOKUP($E165,frequence!$A$2:$A$35,frequence!M$2:M$35)</f>
        <v>186.16901967856262</v>
      </c>
      <c r="I165" s="18">
        <v>1995</v>
      </c>
      <c r="J165" s="7">
        <f>LOOKUP(I165,CPI!A$69:A$103,CPI!O$69:O$103)</f>
        <v>1.4308136482939633</v>
      </c>
      <c r="K165" s="18">
        <v>1995</v>
      </c>
      <c r="L165" s="7">
        <f t="shared" ca="1" si="119"/>
        <v>1</v>
      </c>
      <c r="M165" s="7">
        <f t="shared" si="111"/>
        <v>2.4500000000000002</v>
      </c>
      <c r="N165" s="14">
        <v>0.5</v>
      </c>
      <c r="O165" s="1">
        <f ca="1">P165*J165*(1+Growth!G$6)^(2010-K165)</f>
        <v>125.44697389000639</v>
      </c>
      <c r="P165" s="3">
        <v>70</v>
      </c>
      <c r="Q165" s="2">
        <f>P165</f>
        <v>70</v>
      </c>
      <c r="R165" s="21">
        <f t="shared" ca="1" si="121"/>
        <v>15736.943258159945</v>
      </c>
      <c r="X165" s="2">
        <f t="shared" si="132"/>
        <v>70</v>
      </c>
      <c r="AC165" s="1">
        <f t="shared" si="29"/>
        <v>4.9000000000000004</v>
      </c>
      <c r="AD165" s="5">
        <v>0</v>
      </c>
      <c r="AE165" s="5">
        <v>0</v>
      </c>
      <c r="AF165" s="5">
        <v>1</v>
      </c>
      <c r="AG165" s="5">
        <v>1</v>
      </c>
      <c r="AH165" s="5">
        <v>1</v>
      </c>
      <c r="AI165" s="3">
        <f t="shared" si="112"/>
        <v>1.9</v>
      </c>
      <c r="AJ165" s="5">
        <f t="shared" si="136"/>
        <v>0</v>
      </c>
      <c r="AK165" s="5">
        <f t="shared" si="123"/>
        <v>0</v>
      </c>
      <c r="AL165" s="5">
        <f t="shared" si="124"/>
        <v>0</v>
      </c>
      <c r="AM165" s="5">
        <f t="shared" si="137"/>
        <v>1</v>
      </c>
      <c r="AN165" s="5">
        <f t="shared" si="125"/>
        <v>0</v>
      </c>
      <c r="AO165" s="5">
        <f t="shared" si="138"/>
        <v>0</v>
      </c>
      <c r="AP165" s="1">
        <v>3</v>
      </c>
      <c r="AQ165" s="1">
        <v>1</v>
      </c>
      <c r="AR165" s="5">
        <v>1</v>
      </c>
      <c r="AS165" s="5">
        <v>0</v>
      </c>
      <c r="AT165" s="5">
        <v>0</v>
      </c>
      <c r="AU165" s="5">
        <v>0</v>
      </c>
      <c r="AV165" s="5">
        <f t="shared" si="113"/>
        <v>0</v>
      </c>
      <c r="AW165" s="5">
        <f t="shared" si="114"/>
        <v>1</v>
      </c>
      <c r="AX165" s="5">
        <f t="shared" si="115"/>
        <v>0</v>
      </c>
      <c r="AY165" s="1">
        <f t="shared" si="12"/>
        <v>0</v>
      </c>
      <c r="AZ165" s="1">
        <f t="shared" si="13"/>
        <v>0</v>
      </c>
      <c r="BA165" s="1">
        <f t="shared" si="14"/>
        <v>0</v>
      </c>
      <c r="BB165" s="5">
        <v>0</v>
      </c>
      <c r="BC165" s="5">
        <v>0</v>
      </c>
      <c r="BD165" s="5">
        <v>0</v>
      </c>
      <c r="BE165" s="5">
        <f t="shared" si="30"/>
        <v>1</v>
      </c>
      <c r="BF165" s="5">
        <v>0</v>
      </c>
      <c r="BG165" s="5">
        <f t="shared" ref="BG165:BN180" si="146">IF($E165=BG$2,1,0)</f>
        <v>0</v>
      </c>
      <c r="BH165" s="5">
        <f t="shared" si="146"/>
        <v>0</v>
      </c>
      <c r="BI165" s="5">
        <f t="shared" si="146"/>
        <v>0</v>
      </c>
      <c r="BJ165" s="5">
        <f t="shared" si="146"/>
        <v>0</v>
      </c>
      <c r="BK165" s="5">
        <f t="shared" si="146"/>
        <v>0</v>
      </c>
      <c r="BL165" s="5">
        <f t="shared" si="146"/>
        <v>0</v>
      </c>
      <c r="BM165" s="5">
        <f t="shared" si="146"/>
        <v>0</v>
      </c>
      <c r="BN165" s="5">
        <f t="shared" si="145"/>
        <v>0</v>
      </c>
      <c r="BO165" s="5">
        <f t="shared" si="145"/>
        <v>1</v>
      </c>
      <c r="BP165" s="5">
        <f t="shared" si="145"/>
        <v>0</v>
      </c>
      <c r="BQ165" s="5">
        <f t="shared" si="145"/>
        <v>0</v>
      </c>
      <c r="BR165" s="5">
        <f t="shared" si="145"/>
        <v>0</v>
      </c>
      <c r="BS165" s="5">
        <f t="shared" si="145"/>
        <v>0</v>
      </c>
      <c r="BT165" s="5">
        <f t="shared" si="145"/>
        <v>0</v>
      </c>
      <c r="BU165" s="5">
        <f t="shared" si="145"/>
        <v>0</v>
      </c>
      <c r="BV165" s="5">
        <f t="shared" si="145"/>
        <v>0</v>
      </c>
      <c r="BW165" s="5">
        <f t="shared" si="145"/>
        <v>0</v>
      </c>
      <c r="BX165" s="5">
        <f t="shared" si="145"/>
        <v>0</v>
      </c>
      <c r="BY165" s="5">
        <f t="shared" si="145"/>
        <v>0</v>
      </c>
      <c r="BZ165" s="5">
        <f t="shared" si="145"/>
        <v>0</v>
      </c>
      <c r="CA165" s="5">
        <f t="shared" si="145"/>
        <v>0</v>
      </c>
      <c r="CB165" s="5">
        <f t="shared" si="133"/>
        <v>0</v>
      </c>
      <c r="CC165" s="5">
        <f t="shared" si="133"/>
        <v>0</v>
      </c>
      <c r="CD165" s="5">
        <f t="shared" si="133"/>
        <v>0</v>
      </c>
      <c r="CE165" s="5">
        <f t="shared" si="133"/>
        <v>0</v>
      </c>
    </row>
    <row r="166" spans="1:83" x14ac:dyDescent="0.2">
      <c r="C166" s="1">
        <f>Growth!D171</f>
        <v>0</v>
      </c>
      <c r="D166" s="5" t="b">
        <f t="shared" si="118"/>
        <v>0</v>
      </c>
      <c r="E166" s="5">
        <v>1999</v>
      </c>
      <c r="F166" s="5">
        <f ca="1">LOOKUP($E166,frequence!$A$2:$A$35,frequence!L$2:L$35)</f>
        <v>28.394272714827164</v>
      </c>
      <c r="G166" s="5">
        <f ca="1">LOOKUP($E166,frequence!$A$2:$A$35,frequence!K$2:K$35)</f>
        <v>0.57480720321912437</v>
      </c>
      <c r="H166" s="5">
        <f ca="1">LOOKUP($E166,frequence!$A$2:$A$35,frequence!M$2:M$35)</f>
        <v>186.16901967856262</v>
      </c>
      <c r="I166" s="18">
        <v>1995</v>
      </c>
      <c r="J166" s="7">
        <f>LOOKUP(I166,CPI!A$69:A$103,CPI!O$69:O$103)</f>
        <v>1.4308136482939633</v>
      </c>
      <c r="K166" s="18">
        <v>1995</v>
      </c>
      <c r="L166" s="7">
        <f t="shared" ca="1" si="119"/>
        <v>1</v>
      </c>
      <c r="M166" s="7">
        <f t="shared" si="111"/>
        <v>2.4500000000000002</v>
      </c>
      <c r="N166" s="14">
        <v>0.5</v>
      </c>
      <c r="O166" s="1">
        <f ca="1">P166*J166*(1+Growth!G$6)^(2010-K166)</f>
        <v>286.73594032001461</v>
      </c>
      <c r="P166" s="3">
        <v>160</v>
      </c>
      <c r="Q166" s="2">
        <f>P166</f>
        <v>160</v>
      </c>
      <c r="R166" s="21">
        <f t="shared" ca="1" si="121"/>
        <v>82217.499471202973</v>
      </c>
      <c r="X166" s="2">
        <f t="shared" si="132"/>
        <v>160</v>
      </c>
      <c r="AC166" s="1">
        <f t="shared" si="29"/>
        <v>4.9000000000000004</v>
      </c>
      <c r="AD166" s="5">
        <v>0</v>
      </c>
      <c r="AE166" s="5">
        <v>0</v>
      </c>
      <c r="AF166" s="5">
        <v>1</v>
      </c>
      <c r="AG166" s="5">
        <v>1</v>
      </c>
      <c r="AH166" s="5">
        <v>1</v>
      </c>
      <c r="AI166" s="3">
        <f t="shared" si="112"/>
        <v>1.9</v>
      </c>
      <c r="AJ166" s="5">
        <f t="shared" si="136"/>
        <v>0</v>
      </c>
      <c r="AK166" s="5">
        <f t="shared" si="123"/>
        <v>0</v>
      </c>
      <c r="AL166" s="5">
        <f t="shared" si="124"/>
        <v>0</v>
      </c>
      <c r="AM166" s="5">
        <f t="shared" si="137"/>
        <v>0</v>
      </c>
      <c r="AN166" s="5">
        <f t="shared" si="125"/>
        <v>0</v>
      </c>
      <c r="AO166" s="5">
        <f t="shared" si="138"/>
        <v>0</v>
      </c>
      <c r="AP166" s="1">
        <v>1</v>
      </c>
      <c r="AQ166" s="1">
        <v>-1</v>
      </c>
      <c r="AR166" s="5">
        <v>1</v>
      </c>
      <c r="AS166" s="5">
        <v>0</v>
      </c>
      <c r="AT166" s="5">
        <v>0</v>
      </c>
      <c r="AU166" s="5">
        <v>0</v>
      </c>
      <c r="AV166" s="5">
        <f t="shared" si="113"/>
        <v>0</v>
      </c>
      <c r="AW166" s="5">
        <f t="shared" si="114"/>
        <v>1</v>
      </c>
      <c r="AX166" s="5">
        <f t="shared" si="115"/>
        <v>0</v>
      </c>
      <c r="AY166" s="1">
        <f t="shared" si="12"/>
        <v>0</v>
      </c>
      <c r="AZ166" s="1">
        <f t="shared" si="13"/>
        <v>0</v>
      </c>
      <c r="BA166" s="1">
        <f t="shared" si="14"/>
        <v>0</v>
      </c>
      <c r="BB166" s="5">
        <v>0</v>
      </c>
      <c r="BC166" s="5">
        <v>0</v>
      </c>
      <c r="BD166" s="5">
        <v>0</v>
      </c>
      <c r="BE166" s="5">
        <f t="shared" si="30"/>
        <v>1</v>
      </c>
      <c r="BF166" s="5">
        <v>0</v>
      </c>
      <c r="BG166" s="5">
        <f t="shared" si="146"/>
        <v>0</v>
      </c>
      <c r="BH166" s="5">
        <f t="shared" si="146"/>
        <v>0</v>
      </c>
      <c r="BI166" s="5">
        <f t="shared" si="146"/>
        <v>0</v>
      </c>
      <c r="BJ166" s="5">
        <f t="shared" si="146"/>
        <v>0</v>
      </c>
      <c r="BK166" s="5">
        <f t="shared" si="146"/>
        <v>0</v>
      </c>
      <c r="BL166" s="5">
        <f t="shared" si="146"/>
        <v>0</v>
      </c>
      <c r="BM166" s="5">
        <f t="shared" si="146"/>
        <v>0</v>
      </c>
      <c r="BN166" s="5">
        <f t="shared" si="145"/>
        <v>0</v>
      </c>
      <c r="BO166" s="5">
        <f t="shared" si="145"/>
        <v>1</v>
      </c>
      <c r="BP166" s="5">
        <f t="shared" si="145"/>
        <v>0</v>
      </c>
      <c r="BQ166" s="5">
        <f t="shared" si="145"/>
        <v>0</v>
      </c>
      <c r="BR166" s="5">
        <f t="shared" si="145"/>
        <v>0</v>
      </c>
      <c r="BS166" s="5">
        <f t="shared" si="145"/>
        <v>0</v>
      </c>
      <c r="BT166" s="5">
        <f t="shared" si="145"/>
        <v>0</v>
      </c>
      <c r="BU166" s="5">
        <f t="shared" si="145"/>
        <v>0</v>
      </c>
      <c r="BV166" s="5">
        <f t="shared" si="145"/>
        <v>0</v>
      </c>
      <c r="BW166" s="5">
        <f t="shared" si="145"/>
        <v>0</v>
      </c>
      <c r="BX166" s="5">
        <f t="shared" si="145"/>
        <v>0</v>
      </c>
      <c r="BY166" s="5">
        <f t="shared" si="145"/>
        <v>0</v>
      </c>
      <c r="BZ166" s="5">
        <f t="shared" si="145"/>
        <v>0</v>
      </c>
      <c r="CA166" s="5">
        <f t="shared" si="145"/>
        <v>0</v>
      </c>
      <c r="CB166" s="5">
        <f t="shared" si="133"/>
        <v>0</v>
      </c>
      <c r="CC166" s="5">
        <f t="shared" si="133"/>
        <v>0</v>
      </c>
      <c r="CD166" s="5">
        <f t="shared" si="133"/>
        <v>0</v>
      </c>
      <c r="CE166" s="5">
        <f t="shared" si="133"/>
        <v>0</v>
      </c>
    </row>
    <row r="167" spans="1:83" x14ac:dyDescent="0.2">
      <c r="C167" s="1">
        <f>Growth!D172</f>
        <v>0</v>
      </c>
      <c r="D167" s="5" t="b">
        <f t="shared" si="118"/>
        <v>0</v>
      </c>
      <c r="E167" s="5">
        <v>1999</v>
      </c>
      <c r="F167" s="5">
        <f ca="1">LOOKUP($E167,frequence!$A$2:$A$35,frequence!L$2:L$35)</f>
        <v>28.394272714827164</v>
      </c>
      <c r="G167" s="5">
        <f ca="1">LOOKUP($E167,frequence!$A$2:$A$35,frequence!K$2:K$35)</f>
        <v>0.57480720321912437</v>
      </c>
      <c r="H167" s="5">
        <f ca="1">LOOKUP($E167,frequence!$A$2:$A$35,frequence!M$2:M$35)</f>
        <v>186.16901967856262</v>
      </c>
      <c r="I167" s="18">
        <v>1995</v>
      </c>
      <c r="J167" s="7">
        <f>LOOKUP(I167,CPI!A$69:A$103,CPI!O$69:O$103)</f>
        <v>1.4308136482939633</v>
      </c>
      <c r="K167" s="18">
        <v>1995</v>
      </c>
      <c r="L167" s="7">
        <f t="shared" ca="1" si="119"/>
        <v>1</v>
      </c>
      <c r="M167" s="7">
        <f t="shared" si="111"/>
        <v>2.4500000000000002</v>
      </c>
      <c r="N167" s="14">
        <v>0.5</v>
      </c>
      <c r="O167" s="1">
        <f ca="1">P167*J167*(1+Growth!G$6)^(2010-K167)</f>
        <v>132.61537239800677</v>
      </c>
      <c r="P167" s="3">
        <v>74</v>
      </c>
      <c r="Q167" s="2">
        <f>P167</f>
        <v>74</v>
      </c>
      <c r="R167" s="21">
        <f t="shared" ca="1" si="121"/>
        <v>17586.836996262016</v>
      </c>
      <c r="X167" s="2">
        <f t="shared" si="132"/>
        <v>74</v>
      </c>
      <c r="AC167" s="1">
        <f t="shared" si="29"/>
        <v>4.9000000000000004</v>
      </c>
      <c r="AD167" s="5">
        <v>0</v>
      </c>
      <c r="AE167" s="5">
        <v>0</v>
      </c>
      <c r="AF167" s="5">
        <v>1</v>
      </c>
      <c r="AG167" s="5">
        <v>1</v>
      </c>
      <c r="AH167" s="5">
        <v>1</v>
      </c>
      <c r="AI167" s="3">
        <f t="shared" si="112"/>
        <v>1.9</v>
      </c>
      <c r="AJ167" s="5">
        <f t="shared" si="136"/>
        <v>0</v>
      </c>
      <c r="AK167" s="5">
        <f t="shared" si="123"/>
        <v>0</v>
      </c>
      <c r="AL167" s="5">
        <f t="shared" si="124"/>
        <v>0</v>
      </c>
      <c r="AM167" s="5">
        <f t="shared" si="137"/>
        <v>1</v>
      </c>
      <c r="AN167" s="5">
        <f t="shared" si="125"/>
        <v>0</v>
      </c>
      <c r="AO167" s="5">
        <f t="shared" si="138"/>
        <v>0</v>
      </c>
      <c r="AP167" s="1">
        <v>3</v>
      </c>
      <c r="AQ167" s="1">
        <v>1</v>
      </c>
      <c r="AR167" s="5">
        <v>1</v>
      </c>
      <c r="AS167" s="5">
        <v>0</v>
      </c>
      <c r="AT167" s="5">
        <v>0</v>
      </c>
      <c r="AU167" s="5">
        <v>0</v>
      </c>
      <c r="AV167" s="5">
        <f t="shared" si="113"/>
        <v>0</v>
      </c>
      <c r="AW167" s="5">
        <f t="shared" si="114"/>
        <v>1</v>
      </c>
      <c r="AX167" s="5">
        <f t="shared" si="115"/>
        <v>0</v>
      </c>
      <c r="AY167" s="1">
        <f t="shared" si="12"/>
        <v>0</v>
      </c>
      <c r="AZ167" s="1">
        <f t="shared" si="13"/>
        <v>0</v>
      </c>
      <c r="BA167" s="1">
        <f t="shared" si="14"/>
        <v>0</v>
      </c>
      <c r="BB167" s="5">
        <v>0</v>
      </c>
      <c r="BC167" s="5">
        <v>0</v>
      </c>
      <c r="BD167" s="5">
        <v>0</v>
      </c>
      <c r="BE167" s="5">
        <f t="shared" si="30"/>
        <v>1</v>
      </c>
      <c r="BF167" s="5">
        <v>0</v>
      </c>
      <c r="BG167" s="5">
        <f t="shared" si="146"/>
        <v>0</v>
      </c>
      <c r="BH167" s="5">
        <f t="shared" si="146"/>
        <v>0</v>
      </c>
      <c r="BI167" s="5">
        <f t="shared" si="146"/>
        <v>0</v>
      </c>
      <c r="BJ167" s="5">
        <f t="shared" si="146"/>
        <v>0</v>
      </c>
      <c r="BK167" s="5">
        <f t="shared" si="146"/>
        <v>0</v>
      </c>
      <c r="BL167" s="5">
        <f t="shared" si="146"/>
        <v>0</v>
      </c>
      <c r="BM167" s="5">
        <f t="shared" si="146"/>
        <v>0</v>
      </c>
      <c r="BN167" s="5">
        <f t="shared" si="145"/>
        <v>0</v>
      </c>
      <c r="BO167" s="5">
        <f t="shared" si="145"/>
        <v>1</v>
      </c>
      <c r="BP167" s="5">
        <f t="shared" si="145"/>
        <v>0</v>
      </c>
      <c r="BQ167" s="5">
        <f t="shared" si="145"/>
        <v>0</v>
      </c>
      <c r="BR167" s="5">
        <f t="shared" si="145"/>
        <v>0</v>
      </c>
      <c r="BS167" s="5">
        <f t="shared" si="145"/>
        <v>0</v>
      </c>
      <c r="BT167" s="5">
        <f t="shared" si="145"/>
        <v>0</v>
      </c>
      <c r="BU167" s="5">
        <f t="shared" si="145"/>
        <v>0</v>
      </c>
      <c r="BV167" s="5">
        <f t="shared" si="145"/>
        <v>0</v>
      </c>
      <c r="BW167" s="5">
        <f t="shared" si="145"/>
        <v>0</v>
      </c>
      <c r="BX167" s="5">
        <f t="shared" si="145"/>
        <v>0</v>
      </c>
      <c r="BY167" s="5">
        <f t="shared" si="145"/>
        <v>0</v>
      </c>
      <c r="BZ167" s="5">
        <f t="shared" si="145"/>
        <v>0</v>
      </c>
      <c r="CA167" s="5">
        <f t="shared" si="145"/>
        <v>0</v>
      </c>
      <c r="CB167" s="5">
        <f t="shared" si="145"/>
        <v>0</v>
      </c>
      <c r="CC167" s="5">
        <f t="shared" ref="CC167:CE186" si="147">IF($E167=CC$2,1,0)</f>
        <v>0</v>
      </c>
      <c r="CD167" s="5">
        <f t="shared" si="147"/>
        <v>0</v>
      </c>
      <c r="CE167" s="5">
        <f t="shared" si="147"/>
        <v>0</v>
      </c>
    </row>
    <row r="168" spans="1:83" x14ac:dyDescent="0.2">
      <c r="A168" s="1" t="s">
        <v>0</v>
      </c>
      <c r="B168" s="1" t="s">
        <v>171</v>
      </c>
      <c r="C168" s="1">
        <f>Growth!D173</f>
        <v>1</v>
      </c>
      <c r="D168" s="5">
        <f t="shared" si="118"/>
        <v>1999</v>
      </c>
      <c r="E168" s="5">
        <v>1999</v>
      </c>
      <c r="F168" s="5">
        <f ca="1">LOOKUP($E168,frequence!$A$2:$A$35,frequence!L$2:L$35)</f>
        <v>28.394272714827164</v>
      </c>
      <c r="G168" s="5">
        <f ca="1">LOOKUP($E168,frequence!$A$2:$A$35,frequence!K$2:K$35)</f>
        <v>0.57480720321912437</v>
      </c>
      <c r="H168" s="5">
        <f ca="1">LOOKUP($E168,frequence!$A$2:$A$35,frequence!M$2:M$35)</f>
        <v>186.16901967856262</v>
      </c>
      <c r="I168" s="5">
        <v>1995</v>
      </c>
      <c r="J168" s="7">
        <f>LOOKUP(I168,CPI!A$69:A$103,CPI!O$69:O$103)</f>
        <v>1.4308136482939633</v>
      </c>
      <c r="K168" s="5">
        <v>2000</v>
      </c>
      <c r="L168" s="7">
        <f t="shared" ca="1" si="119"/>
        <v>1</v>
      </c>
      <c r="M168" s="7">
        <f t="shared" si="111"/>
        <v>1.7250000000000001</v>
      </c>
      <c r="N168" s="14">
        <f>0.5*0.5</f>
        <v>0.25</v>
      </c>
      <c r="O168" s="1">
        <f ca="1">P168*J168*(1+Growth!G$6)^(2010-K168)</f>
        <v>99.751715831189358</v>
      </c>
      <c r="P168" s="1">
        <v>60</v>
      </c>
      <c r="Q168" s="1">
        <v>82</v>
      </c>
      <c r="R168" s="21">
        <f t="shared" ca="1" si="121"/>
        <v>9950.4048112663531</v>
      </c>
      <c r="S168" s="1">
        <v>51</v>
      </c>
      <c r="T168" s="1">
        <v>17</v>
      </c>
      <c r="U168" s="1">
        <v>26</v>
      </c>
      <c r="X168" s="1">
        <v>70</v>
      </c>
      <c r="AA168" s="1">
        <v>178</v>
      </c>
      <c r="AB168" s="1">
        <v>259</v>
      </c>
      <c r="AC168" s="1">
        <f t="shared" si="29"/>
        <v>6.9</v>
      </c>
      <c r="AD168" s="5">
        <v>1</v>
      </c>
      <c r="AE168" s="5">
        <v>1</v>
      </c>
      <c r="AF168" s="5">
        <v>1</v>
      </c>
      <c r="AG168" s="5">
        <v>1</v>
      </c>
      <c r="AH168" s="5">
        <v>1</v>
      </c>
      <c r="AI168" s="3">
        <f t="shared" si="112"/>
        <v>1.9</v>
      </c>
      <c r="AJ168" s="5">
        <f t="shared" si="136"/>
        <v>0</v>
      </c>
      <c r="AK168" s="5">
        <f t="shared" si="123"/>
        <v>0</v>
      </c>
      <c r="AL168" s="5">
        <f t="shared" si="124"/>
        <v>0</v>
      </c>
      <c r="AM168" s="5">
        <f t="shared" si="137"/>
        <v>1</v>
      </c>
      <c r="AN168" s="5">
        <f t="shared" si="125"/>
        <v>0</v>
      </c>
      <c r="AO168" s="5">
        <f t="shared" si="138"/>
        <v>0</v>
      </c>
      <c r="AP168" s="1">
        <v>3</v>
      </c>
      <c r="AQ168" s="1">
        <v>1</v>
      </c>
      <c r="AR168" s="5">
        <v>1</v>
      </c>
      <c r="AS168" s="5">
        <v>0</v>
      </c>
      <c r="AT168" s="5">
        <v>1</v>
      </c>
      <c r="AU168" s="5">
        <v>1</v>
      </c>
      <c r="AV168" s="5">
        <f t="shared" si="113"/>
        <v>0</v>
      </c>
      <c r="AW168" s="5">
        <f t="shared" si="114"/>
        <v>1</v>
      </c>
      <c r="AX168" s="5">
        <f t="shared" si="115"/>
        <v>0</v>
      </c>
      <c r="AY168" s="1">
        <f t="shared" si="12"/>
        <v>0</v>
      </c>
      <c r="AZ168" s="1">
        <f t="shared" si="13"/>
        <v>0</v>
      </c>
      <c r="BA168" s="1">
        <f t="shared" si="14"/>
        <v>0</v>
      </c>
      <c r="BB168" s="5">
        <v>0</v>
      </c>
      <c r="BC168" s="5">
        <v>0</v>
      </c>
      <c r="BD168" s="5">
        <v>1</v>
      </c>
      <c r="BE168" s="5">
        <f t="shared" si="30"/>
        <v>0</v>
      </c>
      <c r="BF168" s="5">
        <v>0</v>
      </c>
      <c r="BG168" s="5">
        <f t="shared" si="146"/>
        <v>0</v>
      </c>
      <c r="BH168" s="5">
        <f t="shared" si="146"/>
        <v>0</v>
      </c>
      <c r="BI168" s="5">
        <f t="shared" si="146"/>
        <v>0</v>
      </c>
      <c r="BJ168" s="5">
        <f t="shared" si="146"/>
        <v>0</v>
      </c>
      <c r="BK168" s="5">
        <f t="shared" si="146"/>
        <v>0</v>
      </c>
      <c r="BL168" s="5">
        <f t="shared" si="146"/>
        <v>0</v>
      </c>
      <c r="BM168" s="5">
        <f t="shared" si="146"/>
        <v>0</v>
      </c>
      <c r="BN168" s="5">
        <f t="shared" si="145"/>
        <v>0</v>
      </c>
      <c r="BO168" s="5">
        <f t="shared" si="145"/>
        <v>1</v>
      </c>
      <c r="BP168" s="5">
        <f t="shared" si="145"/>
        <v>0</v>
      </c>
      <c r="BQ168" s="5">
        <f t="shared" si="145"/>
        <v>0</v>
      </c>
      <c r="BR168" s="5">
        <f t="shared" si="145"/>
        <v>0</v>
      </c>
      <c r="BS168" s="5">
        <f t="shared" si="145"/>
        <v>0</v>
      </c>
      <c r="BT168" s="5">
        <f t="shared" si="145"/>
        <v>0</v>
      </c>
      <c r="BU168" s="5">
        <f t="shared" si="145"/>
        <v>0</v>
      </c>
      <c r="BV168" s="5">
        <f t="shared" si="145"/>
        <v>0</v>
      </c>
      <c r="BW168" s="5">
        <f t="shared" si="145"/>
        <v>0</v>
      </c>
      <c r="BX168" s="5">
        <f t="shared" si="145"/>
        <v>0</v>
      </c>
      <c r="BY168" s="5">
        <f t="shared" si="145"/>
        <v>0</v>
      </c>
      <c r="BZ168" s="5">
        <f t="shared" si="145"/>
        <v>0</v>
      </c>
      <c r="CA168" s="5">
        <f t="shared" si="145"/>
        <v>0</v>
      </c>
      <c r="CB168" s="5">
        <f t="shared" si="145"/>
        <v>0</v>
      </c>
      <c r="CC168" s="5">
        <f t="shared" si="147"/>
        <v>0</v>
      </c>
      <c r="CD168" s="5">
        <f t="shared" si="147"/>
        <v>0</v>
      </c>
      <c r="CE168" s="5">
        <f t="shared" si="147"/>
        <v>0</v>
      </c>
    </row>
    <row r="169" spans="1:83" x14ac:dyDescent="0.2">
      <c r="A169" s="6"/>
      <c r="B169" s="6"/>
      <c r="C169" s="1">
        <f>Growth!D174</f>
        <v>0</v>
      </c>
      <c r="D169" s="5" t="b">
        <f t="shared" si="118"/>
        <v>0</v>
      </c>
      <c r="E169" s="5">
        <v>1999</v>
      </c>
      <c r="F169" s="5">
        <f ca="1">LOOKUP($E169,frequence!$A$2:$A$35,frequence!L$2:L$35)</f>
        <v>28.394272714827164</v>
      </c>
      <c r="G169" s="5">
        <f ca="1">LOOKUP($E169,frequence!$A$2:$A$35,frequence!K$2:K$35)</f>
        <v>0.57480720321912437</v>
      </c>
      <c r="H169" s="5">
        <f ca="1">LOOKUP($E169,frequence!$A$2:$A$35,frequence!M$2:M$35)</f>
        <v>186.16901967856262</v>
      </c>
      <c r="I169" s="5">
        <v>1995</v>
      </c>
      <c r="J169" s="7">
        <f>LOOKUP(I169,CPI!A$69:A$103,CPI!O$69:O$103)</f>
        <v>1.4308136482939633</v>
      </c>
      <c r="K169" s="5">
        <v>2000</v>
      </c>
      <c r="L169" s="7">
        <f t="shared" ca="1" si="119"/>
        <v>1</v>
      </c>
      <c r="M169" s="7">
        <f t="shared" si="111"/>
        <v>0.34500000000000003</v>
      </c>
      <c r="N169" s="14">
        <f>0.1*0.5</f>
        <v>0.05</v>
      </c>
      <c r="O169" s="1">
        <f ca="1">P169*J169*(1+Growth!G$6)^(2010-K169)</f>
        <v>103.07677302556235</v>
      </c>
      <c r="P169" s="1">
        <v>62</v>
      </c>
      <c r="Q169" s="2">
        <f t="shared" ref="Q169:Q1216" si="148">P169</f>
        <v>62</v>
      </c>
      <c r="R169" s="21">
        <f t="shared" ca="1" si="121"/>
        <v>10624.821137363297</v>
      </c>
      <c r="X169" s="2">
        <f>P169</f>
        <v>62</v>
      </c>
      <c r="AC169" s="1">
        <f t="shared" si="29"/>
        <v>6.9</v>
      </c>
      <c r="AD169" s="5">
        <v>1</v>
      </c>
      <c r="AE169" s="5">
        <v>1</v>
      </c>
      <c r="AF169" s="5">
        <v>1</v>
      </c>
      <c r="AG169" s="5">
        <v>1</v>
      </c>
      <c r="AH169" s="5">
        <v>1</v>
      </c>
      <c r="AI169" s="3">
        <f t="shared" si="112"/>
        <v>1.9</v>
      </c>
      <c r="AJ169" s="5">
        <f t="shared" si="136"/>
        <v>0</v>
      </c>
      <c r="AK169" s="5">
        <f t="shared" si="123"/>
        <v>0</v>
      </c>
      <c r="AL169" s="5">
        <f t="shared" si="124"/>
        <v>0</v>
      </c>
      <c r="AM169" s="5">
        <f t="shared" si="137"/>
        <v>1</v>
      </c>
      <c r="AN169" s="5">
        <f t="shared" si="125"/>
        <v>0</v>
      </c>
      <c r="AO169" s="5">
        <f t="shared" si="138"/>
        <v>0</v>
      </c>
      <c r="AP169" s="1">
        <v>3</v>
      </c>
      <c r="AQ169" s="1">
        <v>1</v>
      </c>
      <c r="AR169" s="5">
        <v>1</v>
      </c>
      <c r="AS169" s="5">
        <v>1</v>
      </c>
      <c r="AT169" s="5">
        <v>0</v>
      </c>
      <c r="AU169" s="5">
        <v>1</v>
      </c>
      <c r="AV169" s="5">
        <f t="shared" si="113"/>
        <v>0</v>
      </c>
      <c r="AW169" s="5">
        <f t="shared" si="114"/>
        <v>1</v>
      </c>
      <c r="AX169" s="5">
        <f t="shared" si="115"/>
        <v>0</v>
      </c>
      <c r="AY169" s="1">
        <f t="shared" si="12"/>
        <v>0</v>
      </c>
      <c r="AZ169" s="1">
        <f t="shared" si="13"/>
        <v>0</v>
      </c>
      <c r="BA169" s="1">
        <f t="shared" si="14"/>
        <v>0</v>
      </c>
      <c r="BB169" s="5">
        <v>0</v>
      </c>
      <c r="BC169" s="5">
        <v>0</v>
      </c>
      <c r="BD169" s="5">
        <v>1</v>
      </c>
      <c r="BE169" s="5">
        <f t="shared" si="30"/>
        <v>0</v>
      </c>
      <c r="BF169" s="5">
        <v>0</v>
      </c>
      <c r="BG169" s="5">
        <f t="shared" si="146"/>
        <v>0</v>
      </c>
      <c r="BH169" s="5">
        <f t="shared" si="146"/>
        <v>0</v>
      </c>
      <c r="BI169" s="5">
        <f t="shared" si="146"/>
        <v>0</v>
      </c>
      <c r="BJ169" s="5">
        <f t="shared" si="146"/>
        <v>0</v>
      </c>
      <c r="BK169" s="5">
        <f t="shared" si="146"/>
        <v>0</v>
      </c>
      <c r="BL169" s="5">
        <f t="shared" si="146"/>
        <v>0</v>
      </c>
      <c r="BM169" s="5">
        <f t="shared" si="146"/>
        <v>0</v>
      </c>
      <c r="BN169" s="5">
        <f t="shared" si="145"/>
        <v>0</v>
      </c>
      <c r="BO169" s="5">
        <f t="shared" si="145"/>
        <v>1</v>
      </c>
      <c r="BP169" s="5">
        <f t="shared" si="145"/>
        <v>0</v>
      </c>
      <c r="BQ169" s="5">
        <f t="shared" si="145"/>
        <v>0</v>
      </c>
      <c r="BR169" s="5">
        <f t="shared" si="145"/>
        <v>0</v>
      </c>
      <c r="BS169" s="5">
        <f t="shared" si="145"/>
        <v>0</v>
      </c>
      <c r="BT169" s="5">
        <f t="shared" si="145"/>
        <v>0</v>
      </c>
      <c r="BU169" s="5">
        <f t="shared" si="145"/>
        <v>0</v>
      </c>
      <c r="BV169" s="5">
        <f t="shared" si="145"/>
        <v>0</v>
      </c>
      <c r="BW169" s="5">
        <f t="shared" si="145"/>
        <v>0</v>
      </c>
      <c r="BX169" s="5">
        <f t="shared" si="145"/>
        <v>0</v>
      </c>
      <c r="BY169" s="5">
        <f t="shared" si="145"/>
        <v>0</v>
      </c>
      <c r="BZ169" s="5">
        <f t="shared" si="145"/>
        <v>0</v>
      </c>
      <c r="CA169" s="5">
        <f t="shared" si="145"/>
        <v>0</v>
      </c>
      <c r="CB169" s="5">
        <f t="shared" si="145"/>
        <v>0</v>
      </c>
      <c r="CC169" s="5">
        <f t="shared" si="147"/>
        <v>0</v>
      </c>
      <c r="CD169" s="5">
        <f t="shared" si="147"/>
        <v>0</v>
      </c>
      <c r="CE169" s="5">
        <f t="shared" si="147"/>
        <v>0</v>
      </c>
    </row>
    <row r="170" spans="1:83" x14ac:dyDescent="0.2">
      <c r="A170" s="4"/>
      <c r="B170" s="4"/>
      <c r="C170" s="1">
        <f>Growth!D175</f>
        <v>0</v>
      </c>
      <c r="D170" s="5" t="b">
        <f t="shared" si="118"/>
        <v>0</v>
      </c>
      <c r="E170" s="5">
        <v>1999</v>
      </c>
      <c r="F170" s="5">
        <f ca="1">LOOKUP($E170,frequence!$A$2:$A$35,frequence!L$2:L$35)</f>
        <v>28.394272714827164</v>
      </c>
      <c r="G170" s="5">
        <f ca="1">LOOKUP($E170,frequence!$A$2:$A$35,frequence!K$2:K$35)</f>
        <v>0.57480720321912437</v>
      </c>
      <c r="H170" s="5">
        <f ca="1">LOOKUP($E170,frequence!$A$2:$A$35,frequence!M$2:M$35)</f>
        <v>186.16901967856262</v>
      </c>
      <c r="I170" s="5">
        <v>1995</v>
      </c>
      <c r="J170" s="7">
        <f>LOOKUP(I170,CPI!A$69:A$103,CPI!O$69:O$103)</f>
        <v>1.4308136482939633</v>
      </c>
      <c r="K170" s="5">
        <v>2000</v>
      </c>
      <c r="L170" s="7">
        <f t="shared" ca="1" si="119"/>
        <v>1</v>
      </c>
      <c r="M170" s="7">
        <f t="shared" si="111"/>
        <v>0.34500000000000003</v>
      </c>
      <c r="N170" s="14">
        <f>0.1*0.5</f>
        <v>0.05</v>
      </c>
      <c r="O170" s="1">
        <f ca="1">P170*J170*(1+Growth!G$6)^(2010-K170)</f>
        <v>38.238157735289256</v>
      </c>
      <c r="P170" s="1">
        <v>23</v>
      </c>
      <c r="Q170" s="2">
        <f t="shared" si="148"/>
        <v>23</v>
      </c>
      <c r="R170" s="21">
        <f t="shared" ca="1" si="121"/>
        <v>1462.1567069888615</v>
      </c>
      <c r="X170" s="2">
        <f>P170</f>
        <v>23</v>
      </c>
      <c r="AC170" s="1">
        <f t="shared" si="29"/>
        <v>6.9</v>
      </c>
      <c r="AD170" s="5">
        <v>1</v>
      </c>
      <c r="AE170" s="5">
        <v>1</v>
      </c>
      <c r="AF170" s="5">
        <v>1</v>
      </c>
      <c r="AG170" s="5">
        <v>1</v>
      </c>
      <c r="AH170" s="5">
        <v>1</v>
      </c>
      <c r="AI170" s="3">
        <f t="shared" si="112"/>
        <v>1.9</v>
      </c>
      <c r="AJ170" s="5">
        <f t="shared" si="136"/>
        <v>0</v>
      </c>
      <c r="AK170" s="5">
        <f t="shared" si="123"/>
        <v>0</v>
      </c>
      <c r="AL170" s="5">
        <f t="shared" si="124"/>
        <v>0</v>
      </c>
      <c r="AM170" s="5">
        <f t="shared" si="137"/>
        <v>1</v>
      </c>
      <c r="AN170" s="5">
        <f t="shared" si="125"/>
        <v>0</v>
      </c>
      <c r="AO170" s="5">
        <f t="shared" si="138"/>
        <v>0</v>
      </c>
      <c r="AP170" s="1">
        <v>3</v>
      </c>
      <c r="AQ170" s="1">
        <v>1</v>
      </c>
      <c r="AR170" s="5">
        <v>0</v>
      </c>
      <c r="AS170" s="5">
        <v>1</v>
      </c>
      <c r="AT170" s="5">
        <v>0</v>
      </c>
      <c r="AU170" s="5">
        <v>0</v>
      </c>
      <c r="AV170" s="5">
        <f t="shared" si="113"/>
        <v>0</v>
      </c>
      <c r="AW170" s="5">
        <f t="shared" si="114"/>
        <v>1</v>
      </c>
      <c r="AX170" s="5">
        <f t="shared" si="115"/>
        <v>0</v>
      </c>
      <c r="AY170" s="1">
        <f t="shared" si="12"/>
        <v>0</v>
      </c>
      <c r="AZ170" s="1">
        <f t="shared" si="13"/>
        <v>1</v>
      </c>
      <c r="BA170" s="1">
        <f t="shared" si="14"/>
        <v>0</v>
      </c>
      <c r="BB170" s="5">
        <v>0</v>
      </c>
      <c r="BC170" s="5">
        <v>0</v>
      </c>
      <c r="BD170" s="5">
        <v>1</v>
      </c>
      <c r="BE170" s="5">
        <f t="shared" si="30"/>
        <v>0</v>
      </c>
      <c r="BF170" s="5">
        <v>0</v>
      </c>
      <c r="BG170" s="5">
        <f t="shared" si="146"/>
        <v>0</v>
      </c>
      <c r="BH170" s="5">
        <f t="shared" si="146"/>
        <v>0</v>
      </c>
      <c r="BI170" s="5">
        <f t="shared" si="146"/>
        <v>0</v>
      </c>
      <c r="BJ170" s="5">
        <f t="shared" si="146"/>
        <v>0</v>
      </c>
      <c r="BK170" s="5">
        <f t="shared" si="146"/>
        <v>0</v>
      </c>
      <c r="BL170" s="5">
        <f t="shared" si="146"/>
        <v>0</v>
      </c>
      <c r="BM170" s="5">
        <f t="shared" si="146"/>
        <v>0</v>
      </c>
      <c r="BN170" s="5">
        <f t="shared" si="145"/>
        <v>0</v>
      </c>
      <c r="BO170" s="5">
        <f t="shared" si="145"/>
        <v>1</v>
      </c>
      <c r="BP170" s="5">
        <f t="shared" si="145"/>
        <v>0</v>
      </c>
      <c r="BQ170" s="5">
        <f t="shared" si="145"/>
        <v>0</v>
      </c>
      <c r="BR170" s="5">
        <f t="shared" si="145"/>
        <v>0</v>
      </c>
      <c r="BS170" s="5">
        <f t="shared" si="145"/>
        <v>0</v>
      </c>
      <c r="BT170" s="5">
        <f t="shared" si="145"/>
        <v>0</v>
      </c>
      <c r="BU170" s="5">
        <f t="shared" si="145"/>
        <v>0</v>
      </c>
      <c r="BV170" s="5">
        <f t="shared" si="145"/>
        <v>0</v>
      </c>
      <c r="BW170" s="5">
        <f t="shared" si="145"/>
        <v>0</v>
      </c>
      <c r="BX170" s="5">
        <f t="shared" si="145"/>
        <v>0</v>
      </c>
      <c r="BY170" s="5">
        <f t="shared" si="145"/>
        <v>0</v>
      </c>
      <c r="BZ170" s="5">
        <f t="shared" si="145"/>
        <v>0</v>
      </c>
      <c r="CA170" s="5">
        <f t="shared" si="145"/>
        <v>0</v>
      </c>
      <c r="CB170" s="5">
        <f t="shared" si="145"/>
        <v>0</v>
      </c>
      <c r="CC170" s="5">
        <f t="shared" si="147"/>
        <v>0</v>
      </c>
      <c r="CD170" s="5">
        <f t="shared" si="147"/>
        <v>0</v>
      </c>
      <c r="CE170" s="5">
        <f t="shared" si="147"/>
        <v>0</v>
      </c>
    </row>
    <row r="171" spans="1:83" x14ac:dyDescent="0.2">
      <c r="A171" s="4"/>
      <c r="B171" s="4"/>
      <c r="C171" s="1">
        <f>Growth!D176</f>
        <v>0</v>
      </c>
      <c r="D171" s="5" t="b">
        <f t="shared" si="118"/>
        <v>0</v>
      </c>
      <c r="E171" s="5">
        <v>1999</v>
      </c>
      <c r="F171" s="5">
        <f ca="1">LOOKUP($E171,frequence!$A$2:$A$35,frequence!L$2:L$35)</f>
        <v>28.394272714827164</v>
      </c>
      <c r="G171" s="5">
        <f ca="1">LOOKUP($E171,frequence!$A$2:$A$35,frequence!K$2:K$35)</f>
        <v>0.57480720321912437</v>
      </c>
      <c r="H171" s="5">
        <f ca="1">LOOKUP($E171,frequence!$A$2:$A$35,frequence!M$2:M$35)</f>
        <v>186.16901967856262</v>
      </c>
      <c r="I171" s="5">
        <v>1995</v>
      </c>
      <c r="J171" s="7">
        <f>LOOKUP(I171,CPI!A$69:A$103,CPI!O$69:O$103)</f>
        <v>1.4308136482939633</v>
      </c>
      <c r="K171" s="5">
        <v>2000</v>
      </c>
      <c r="L171" s="7">
        <f t="shared" ca="1" si="119"/>
        <v>1</v>
      </c>
      <c r="M171" s="7">
        <f t="shared" si="111"/>
        <v>0.34500000000000003</v>
      </c>
      <c r="N171" s="14">
        <f>0.1*0.5</f>
        <v>0.05</v>
      </c>
      <c r="O171" s="1">
        <f ca="1">P171*J171*(1+Growth!G$6)^(2010-K171)</f>
        <v>109.72688741430829</v>
      </c>
      <c r="P171" s="1">
        <v>66</v>
      </c>
      <c r="Q171" s="2">
        <f t="shared" si="148"/>
        <v>66</v>
      </c>
      <c r="R171" s="21">
        <f t="shared" ca="1" si="121"/>
        <v>12039.989821632287</v>
      </c>
      <c r="X171" s="2">
        <f>P171</f>
        <v>66</v>
      </c>
      <c r="AC171" s="1">
        <f t="shared" si="29"/>
        <v>6.9</v>
      </c>
      <c r="AD171" s="5">
        <v>1</v>
      </c>
      <c r="AE171" s="5">
        <v>1</v>
      </c>
      <c r="AF171" s="5">
        <v>1</v>
      </c>
      <c r="AG171" s="5">
        <v>1</v>
      </c>
      <c r="AH171" s="5">
        <v>1</v>
      </c>
      <c r="AI171" s="3">
        <f t="shared" si="112"/>
        <v>1.9</v>
      </c>
      <c r="AJ171" s="5">
        <f t="shared" si="136"/>
        <v>0</v>
      </c>
      <c r="AK171" s="5">
        <f t="shared" si="123"/>
        <v>0</v>
      </c>
      <c r="AL171" s="5">
        <f t="shared" si="124"/>
        <v>0</v>
      </c>
      <c r="AM171" s="5">
        <f t="shared" si="137"/>
        <v>1</v>
      </c>
      <c r="AN171" s="5">
        <f t="shared" si="125"/>
        <v>0</v>
      </c>
      <c r="AO171" s="5">
        <f t="shared" si="138"/>
        <v>0</v>
      </c>
      <c r="AP171" s="1">
        <v>3</v>
      </c>
      <c r="AQ171" s="1">
        <v>1</v>
      </c>
      <c r="AR171" s="5">
        <v>1</v>
      </c>
      <c r="AS171" s="5">
        <v>1</v>
      </c>
      <c r="AT171" s="5">
        <v>0</v>
      </c>
      <c r="AU171" s="5">
        <v>0</v>
      </c>
      <c r="AV171" s="5">
        <f t="shared" si="113"/>
        <v>0</v>
      </c>
      <c r="AW171" s="5">
        <f t="shared" si="114"/>
        <v>1</v>
      </c>
      <c r="AX171" s="5">
        <f t="shared" si="115"/>
        <v>0</v>
      </c>
      <c r="AY171" s="1">
        <f t="shared" si="12"/>
        <v>0</v>
      </c>
      <c r="AZ171" s="1">
        <f t="shared" si="13"/>
        <v>0</v>
      </c>
      <c r="BA171" s="1">
        <f t="shared" si="14"/>
        <v>0</v>
      </c>
      <c r="BB171" s="5">
        <v>0</v>
      </c>
      <c r="BC171" s="5">
        <v>0</v>
      </c>
      <c r="BD171" s="5">
        <v>1</v>
      </c>
      <c r="BE171" s="5">
        <f t="shared" si="30"/>
        <v>0</v>
      </c>
      <c r="BF171" s="5">
        <v>0</v>
      </c>
      <c r="BG171" s="5">
        <f t="shared" si="146"/>
        <v>0</v>
      </c>
      <c r="BH171" s="5">
        <f t="shared" si="146"/>
        <v>0</v>
      </c>
      <c r="BI171" s="5">
        <f t="shared" si="146"/>
        <v>0</v>
      </c>
      <c r="BJ171" s="5">
        <f t="shared" si="146"/>
        <v>0</v>
      </c>
      <c r="BK171" s="5">
        <f t="shared" si="146"/>
        <v>0</v>
      </c>
      <c r="BL171" s="5">
        <f t="shared" si="146"/>
        <v>0</v>
      </c>
      <c r="BM171" s="5">
        <f t="shared" si="146"/>
        <v>0</v>
      </c>
      <c r="BN171" s="5">
        <f t="shared" si="145"/>
        <v>0</v>
      </c>
      <c r="BO171" s="5">
        <f t="shared" si="145"/>
        <v>1</v>
      </c>
      <c r="BP171" s="5">
        <f t="shared" si="145"/>
        <v>0</v>
      </c>
      <c r="BQ171" s="5">
        <f t="shared" si="145"/>
        <v>0</v>
      </c>
      <c r="BR171" s="5">
        <f t="shared" si="145"/>
        <v>0</v>
      </c>
      <c r="BS171" s="5">
        <f t="shared" si="145"/>
        <v>0</v>
      </c>
      <c r="BT171" s="5">
        <f t="shared" si="145"/>
        <v>0</v>
      </c>
      <c r="BU171" s="5">
        <f t="shared" si="145"/>
        <v>0</v>
      </c>
      <c r="BV171" s="5">
        <f t="shared" si="145"/>
        <v>0</v>
      </c>
      <c r="BW171" s="5">
        <f t="shared" si="145"/>
        <v>0</v>
      </c>
      <c r="BX171" s="5">
        <f t="shared" si="145"/>
        <v>0</v>
      </c>
      <c r="BY171" s="5">
        <f t="shared" si="145"/>
        <v>0</v>
      </c>
      <c r="BZ171" s="5">
        <f t="shared" si="145"/>
        <v>0</v>
      </c>
      <c r="CA171" s="5">
        <f t="shared" si="145"/>
        <v>0</v>
      </c>
      <c r="CB171" s="5">
        <f t="shared" si="145"/>
        <v>0</v>
      </c>
      <c r="CC171" s="5">
        <f t="shared" si="147"/>
        <v>0</v>
      </c>
      <c r="CD171" s="5">
        <f t="shared" si="147"/>
        <v>0</v>
      </c>
      <c r="CE171" s="5">
        <f t="shared" si="147"/>
        <v>0</v>
      </c>
    </row>
    <row r="172" spans="1:83" x14ac:dyDescent="0.2">
      <c r="A172" s="4"/>
      <c r="B172" s="4"/>
      <c r="C172" s="1">
        <f>Growth!D177</f>
        <v>0</v>
      </c>
      <c r="D172" s="5" t="b">
        <f t="shared" si="118"/>
        <v>0</v>
      </c>
      <c r="E172" s="5">
        <v>1999</v>
      </c>
      <c r="F172" s="5">
        <f ca="1">LOOKUP($E172,frequence!$A$2:$A$35,frequence!L$2:L$35)</f>
        <v>28.394272714827164</v>
      </c>
      <c r="G172" s="5">
        <f ca="1">LOOKUP($E172,frequence!$A$2:$A$35,frequence!K$2:K$35)</f>
        <v>0.57480720321912437</v>
      </c>
      <c r="H172" s="5">
        <f ca="1">LOOKUP($E172,frequence!$A$2:$A$35,frequence!M$2:M$35)</f>
        <v>186.16901967856262</v>
      </c>
      <c r="I172" s="5">
        <v>1995</v>
      </c>
      <c r="J172" s="7">
        <f>LOOKUP(I172,CPI!A$69:A$103,CPI!O$69:O$103)</f>
        <v>1.4308136482939633</v>
      </c>
      <c r="K172" s="5">
        <v>2000</v>
      </c>
      <c r="L172" s="7">
        <f t="shared" ca="1" si="119"/>
        <v>1</v>
      </c>
      <c r="M172" s="7">
        <f t="shared" si="111"/>
        <v>0.34500000000000003</v>
      </c>
      <c r="N172" s="14">
        <f>0.1*0.5</f>
        <v>0.05</v>
      </c>
      <c r="O172" s="1">
        <f ca="1">P172*J172*(1+Growth!G$6)^(2010-K172)</f>
        <v>108.06435881712181</v>
      </c>
      <c r="P172" s="1">
        <v>65</v>
      </c>
      <c r="Q172" s="2">
        <f t="shared" si="148"/>
        <v>65</v>
      </c>
      <c r="R172" s="21">
        <f t="shared" ca="1" si="121"/>
        <v>11677.905646555653</v>
      </c>
      <c r="X172" s="2">
        <f>P172</f>
        <v>65</v>
      </c>
      <c r="AC172" s="1">
        <f t="shared" si="29"/>
        <v>6.9</v>
      </c>
      <c r="AD172" s="5">
        <v>1</v>
      </c>
      <c r="AE172" s="5">
        <v>1</v>
      </c>
      <c r="AF172" s="5">
        <v>1</v>
      </c>
      <c r="AG172" s="5">
        <v>1</v>
      </c>
      <c r="AH172" s="5">
        <v>1</v>
      </c>
      <c r="AI172" s="3">
        <f t="shared" si="112"/>
        <v>1.9</v>
      </c>
      <c r="AJ172" s="5">
        <f t="shared" si="136"/>
        <v>0</v>
      </c>
      <c r="AK172" s="5">
        <f t="shared" si="123"/>
        <v>0</v>
      </c>
      <c r="AL172" s="5">
        <f t="shared" si="124"/>
        <v>0</v>
      </c>
      <c r="AM172" s="5">
        <f t="shared" si="137"/>
        <v>1</v>
      </c>
      <c r="AN172" s="5">
        <f t="shared" si="125"/>
        <v>0</v>
      </c>
      <c r="AO172" s="5">
        <f t="shared" si="138"/>
        <v>0</v>
      </c>
      <c r="AP172" s="1">
        <v>3</v>
      </c>
      <c r="AQ172" s="1">
        <v>1</v>
      </c>
      <c r="AR172" s="5">
        <v>1</v>
      </c>
      <c r="AS172" s="5">
        <v>1</v>
      </c>
      <c r="AT172" s="5">
        <v>0</v>
      </c>
      <c r="AU172" s="5">
        <v>0</v>
      </c>
      <c r="AV172" s="5">
        <f t="shared" si="113"/>
        <v>0</v>
      </c>
      <c r="AW172" s="5">
        <f t="shared" si="114"/>
        <v>1</v>
      </c>
      <c r="AX172" s="5">
        <f t="shared" si="115"/>
        <v>0</v>
      </c>
      <c r="AY172" s="1">
        <f t="shared" si="12"/>
        <v>0</v>
      </c>
      <c r="AZ172" s="1">
        <f t="shared" si="13"/>
        <v>0</v>
      </c>
      <c r="BA172" s="1">
        <f t="shared" si="14"/>
        <v>0</v>
      </c>
      <c r="BB172" s="5">
        <v>0</v>
      </c>
      <c r="BC172" s="5">
        <v>0</v>
      </c>
      <c r="BD172" s="5">
        <v>1</v>
      </c>
      <c r="BE172" s="5">
        <f t="shared" si="30"/>
        <v>0</v>
      </c>
      <c r="BF172" s="5">
        <v>0</v>
      </c>
      <c r="BG172" s="5">
        <f t="shared" si="146"/>
        <v>0</v>
      </c>
      <c r="BH172" s="5">
        <f t="shared" si="146"/>
        <v>0</v>
      </c>
      <c r="BI172" s="5">
        <f t="shared" si="146"/>
        <v>0</v>
      </c>
      <c r="BJ172" s="5">
        <f t="shared" si="146"/>
        <v>0</v>
      </c>
      <c r="BK172" s="5">
        <f t="shared" si="146"/>
        <v>0</v>
      </c>
      <c r="BL172" s="5">
        <f t="shared" si="146"/>
        <v>0</v>
      </c>
      <c r="BM172" s="5">
        <f t="shared" si="146"/>
        <v>0</v>
      </c>
      <c r="BN172" s="5">
        <f t="shared" si="145"/>
        <v>0</v>
      </c>
      <c r="BO172" s="5">
        <f t="shared" si="145"/>
        <v>1</v>
      </c>
      <c r="BP172" s="5">
        <f t="shared" si="145"/>
        <v>0</v>
      </c>
      <c r="BQ172" s="5">
        <f t="shared" si="145"/>
        <v>0</v>
      </c>
      <c r="BR172" s="5">
        <f t="shared" si="145"/>
        <v>0</v>
      </c>
      <c r="BS172" s="5">
        <f t="shared" si="145"/>
        <v>0</v>
      </c>
      <c r="BT172" s="5">
        <f t="shared" si="145"/>
        <v>0</v>
      </c>
      <c r="BU172" s="5">
        <f t="shared" si="145"/>
        <v>0</v>
      </c>
      <c r="BV172" s="5">
        <f t="shared" si="145"/>
        <v>0</v>
      </c>
      <c r="BW172" s="5">
        <f t="shared" si="145"/>
        <v>0</v>
      </c>
      <c r="BX172" s="5">
        <f t="shared" si="145"/>
        <v>0</v>
      </c>
      <c r="BY172" s="5">
        <f t="shared" si="145"/>
        <v>0</v>
      </c>
      <c r="BZ172" s="5">
        <f t="shared" si="145"/>
        <v>0</v>
      </c>
      <c r="CA172" s="5">
        <f t="shared" si="145"/>
        <v>0</v>
      </c>
      <c r="CB172" s="5">
        <f t="shared" si="145"/>
        <v>0</v>
      </c>
      <c r="CC172" s="5">
        <f t="shared" si="147"/>
        <v>0</v>
      </c>
      <c r="CD172" s="5">
        <f t="shared" si="147"/>
        <v>0</v>
      </c>
      <c r="CE172" s="5">
        <f t="shared" si="147"/>
        <v>0</v>
      </c>
    </row>
    <row r="173" spans="1:83" x14ac:dyDescent="0.2">
      <c r="A173" s="4"/>
      <c r="B173" s="4"/>
      <c r="C173" s="1">
        <f>Growth!D178</f>
        <v>0</v>
      </c>
      <c r="D173" s="5" t="b">
        <f t="shared" si="118"/>
        <v>0</v>
      </c>
      <c r="E173" s="5">
        <v>1999</v>
      </c>
      <c r="F173" s="5">
        <f ca="1">LOOKUP($E173,frequence!$A$2:$A$35,frequence!L$2:L$35)</f>
        <v>28.394272714827164</v>
      </c>
      <c r="G173" s="5">
        <f ca="1">LOOKUP($E173,frequence!$A$2:$A$35,frequence!K$2:K$35)</f>
        <v>0.57480720321912437</v>
      </c>
      <c r="H173" s="5">
        <f ca="1">LOOKUP($E173,frequence!$A$2:$A$35,frequence!M$2:M$35)</f>
        <v>186.16901967856262</v>
      </c>
      <c r="I173" s="5">
        <v>1995</v>
      </c>
      <c r="J173" s="7">
        <f>LOOKUP(I173,CPI!A$69:A$103,CPI!O$69:O$103)</f>
        <v>1.4308136482939633</v>
      </c>
      <c r="K173" s="5">
        <v>2000</v>
      </c>
      <c r="L173" s="7">
        <f t="shared" ca="1" si="119"/>
        <v>1</v>
      </c>
      <c r="M173" s="7">
        <f t="shared" si="111"/>
        <v>0.34500000000000003</v>
      </c>
      <c r="N173" s="14">
        <f>0.1*0.5</f>
        <v>0.05</v>
      </c>
      <c r="O173" s="1">
        <f ca="1">P173*J173*(1+Growth!G$6)^(2010-K173)</f>
        <v>93.10160144244341</v>
      </c>
      <c r="P173" s="1">
        <v>56</v>
      </c>
      <c r="Q173" s="2">
        <f t="shared" si="148"/>
        <v>56</v>
      </c>
      <c r="R173" s="21">
        <f t="shared" ca="1" si="121"/>
        <v>8667.9081911475805</v>
      </c>
      <c r="X173" s="2">
        <f>P173</f>
        <v>56</v>
      </c>
      <c r="AC173" s="1">
        <f t="shared" si="29"/>
        <v>6.9</v>
      </c>
      <c r="AD173" s="5">
        <v>1</v>
      </c>
      <c r="AE173" s="5">
        <v>1</v>
      </c>
      <c r="AF173" s="5">
        <v>1</v>
      </c>
      <c r="AG173" s="5">
        <v>1</v>
      </c>
      <c r="AH173" s="5">
        <v>1</v>
      </c>
      <c r="AI173" s="3">
        <f t="shared" si="112"/>
        <v>1.9</v>
      </c>
      <c r="AJ173" s="5">
        <f t="shared" si="136"/>
        <v>0</v>
      </c>
      <c r="AK173" s="5">
        <f t="shared" si="123"/>
        <v>0</v>
      </c>
      <c r="AL173" s="5">
        <f t="shared" si="124"/>
        <v>0</v>
      </c>
      <c r="AM173" s="5">
        <f t="shared" si="137"/>
        <v>1</v>
      </c>
      <c r="AN173" s="5">
        <f t="shared" si="125"/>
        <v>0</v>
      </c>
      <c r="AO173" s="5">
        <f t="shared" si="138"/>
        <v>0</v>
      </c>
      <c r="AP173" s="1">
        <v>3</v>
      </c>
      <c r="AQ173" s="1">
        <v>1</v>
      </c>
      <c r="AR173" s="5">
        <v>1</v>
      </c>
      <c r="AS173" s="5">
        <v>1</v>
      </c>
      <c r="AT173" s="5">
        <v>0</v>
      </c>
      <c r="AU173" s="5">
        <v>0</v>
      </c>
      <c r="AV173" s="5">
        <f t="shared" si="113"/>
        <v>0</v>
      </c>
      <c r="AW173" s="5">
        <f t="shared" si="114"/>
        <v>1</v>
      </c>
      <c r="AX173" s="5">
        <f t="shared" si="115"/>
        <v>0</v>
      </c>
      <c r="AY173" s="1">
        <f t="shared" si="12"/>
        <v>0</v>
      </c>
      <c r="AZ173" s="1">
        <f t="shared" si="13"/>
        <v>0</v>
      </c>
      <c r="BA173" s="1">
        <f t="shared" si="14"/>
        <v>0</v>
      </c>
      <c r="BB173" s="5">
        <v>0</v>
      </c>
      <c r="BC173" s="5">
        <v>0</v>
      </c>
      <c r="BD173" s="5">
        <v>1</v>
      </c>
      <c r="BE173" s="5">
        <f t="shared" si="30"/>
        <v>0</v>
      </c>
      <c r="BF173" s="5">
        <v>0</v>
      </c>
      <c r="BG173" s="5">
        <f t="shared" si="146"/>
        <v>0</v>
      </c>
      <c r="BH173" s="5">
        <f t="shared" si="146"/>
        <v>0</v>
      </c>
      <c r="BI173" s="5">
        <f t="shared" si="146"/>
        <v>0</v>
      </c>
      <c r="BJ173" s="5">
        <f t="shared" si="146"/>
        <v>0</v>
      </c>
      <c r="BK173" s="5">
        <f t="shared" si="146"/>
        <v>0</v>
      </c>
      <c r="BL173" s="5">
        <f t="shared" si="146"/>
        <v>0</v>
      </c>
      <c r="BM173" s="5">
        <f t="shared" si="146"/>
        <v>0</v>
      </c>
      <c r="BN173" s="5">
        <f t="shared" si="145"/>
        <v>0</v>
      </c>
      <c r="BO173" s="5">
        <f t="shared" si="145"/>
        <v>1</v>
      </c>
      <c r="BP173" s="5">
        <f t="shared" si="145"/>
        <v>0</v>
      </c>
      <c r="BQ173" s="5">
        <f t="shared" si="145"/>
        <v>0</v>
      </c>
      <c r="BR173" s="5">
        <f t="shared" si="145"/>
        <v>0</v>
      </c>
      <c r="BS173" s="5">
        <f t="shared" si="145"/>
        <v>0</v>
      </c>
      <c r="BT173" s="5">
        <f t="shared" si="145"/>
        <v>0</v>
      </c>
      <c r="BU173" s="5">
        <f t="shared" si="145"/>
        <v>0</v>
      </c>
      <c r="BV173" s="5">
        <f t="shared" si="145"/>
        <v>0</v>
      </c>
      <c r="BW173" s="5">
        <f t="shared" si="145"/>
        <v>0</v>
      </c>
      <c r="BX173" s="5">
        <f t="shared" si="145"/>
        <v>0</v>
      </c>
      <c r="BY173" s="5">
        <f t="shared" si="145"/>
        <v>0</v>
      </c>
      <c r="BZ173" s="5">
        <f t="shared" si="145"/>
        <v>0</v>
      </c>
      <c r="CA173" s="5">
        <f t="shared" si="145"/>
        <v>0</v>
      </c>
      <c r="CB173" s="5">
        <f t="shared" si="145"/>
        <v>0</v>
      </c>
      <c r="CC173" s="5">
        <f t="shared" si="147"/>
        <v>0</v>
      </c>
      <c r="CD173" s="5">
        <f t="shared" si="147"/>
        <v>0</v>
      </c>
      <c r="CE173" s="5">
        <f t="shared" si="147"/>
        <v>0</v>
      </c>
    </row>
    <row r="174" spans="1:83" x14ac:dyDescent="0.2">
      <c r="A174" s="6"/>
      <c r="B174" s="6"/>
      <c r="C174" s="1">
        <f>Growth!D179</f>
        <v>0</v>
      </c>
      <c r="D174" s="5" t="b">
        <f t="shared" si="118"/>
        <v>0</v>
      </c>
      <c r="E174" s="5">
        <v>1999</v>
      </c>
      <c r="F174" s="5">
        <f ca="1">LOOKUP($E174,frequence!$A$2:$A$35,frequence!L$2:L$35)</f>
        <v>28.394272714827164</v>
      </c>
      <c r="G174" s="5">
        <f ca="1">LOOKUP($E174,frequence!$A$2:$A$35,frequence!K$2:K$35)</f>
        <v>0.57480720321912437</v>
      </c>
      <c r="H174" s="5">
        <f ca="1">LOOKUP($E174,frequence!$A$2:$A$35,frequence!M$2:M$35)</f>
        <v>186.16901967856262</v>
      </c>
      <c r="I174" s="5">
        <v>1995</v>
      </c>
      <c r="J174" s="7">
        <f>LOOKUP(I174,CPI!A$69:A$103,CPI!O$69:O$103)</f>
        <v>1.4308136482939633</v>
      </c>
      <c r="K174" s="5">
        <v>2000</v>
      </c>
      <c r="L174" s="7">
        <f t="shared" ca="1" si="119"/>
        <v>1</v>
      </c>
      <c r="M174" s="7">
        <f t="shared" si="111"/>
        <v>0.34500000000000003</v>
      </c>
      <c r="N174" s="14">
        <f>0.5*0.1</f>
        <v>0.05</v>
      </c>
      <c r="O174" s="1">
        <f ca="1">P174*J174*(1+Growth!G$6)^(2010-K174)</f>
        <v>527.02156530811715</v>
      </c>
      <c r="P174" s="1">
        <v>317</v>
      </c>
      <c r="Q174" s="3">
        <v>465</v>
      </c>
      <c r="R174" s="21">
        <f t="shared" ca="1" si="121"/>
        <v>277751.73029981798</v>
      </c>
      <c r="S174" s="1">
        <v>267</v>
      </c>
      <c r="T174" s="1">
        <v>106</v>
      </c>
      <c r="U174" s="1">
        <v>158</v>
      </c>
      <c r="X174" s="2">
        <v>405</v>
      </c>
      <c r="AA174" s="1">
        <v>962</v>
      </c>
      <c r="AB174" s="1">
        <v>1390</v>
      </c>
      <c r="AC174" s="1">
        <f t="shared" si="29"/>
        <v>6.9</v>
      </c>
      <c r="AD174" s="5">
        <v>1</v>
      </c>
      <c r="AE174" s="5">
        <v>1</v>
      </c>
      <c r="AF174" s="5">
        <v>1</v>
      </c>
      <c r="AG174" s="5">
        <v>1</v>
      </c>
      <c r="AH174" s="5">
        <v>1</v>
      </c>
      <c r="AI174" s="3">
        <f t="shared" si="112"/>
        <v>1.9</v>
      </c>
      <c r="AJ174" s="5">
        <f t="shared" si="136"/>
        <v>0</v>
      </c>
      <c r="AK174" s="5">
        <f t="shared" si="123"/>
        <v>0</v>
      </c>
      <c r="AL174" s="5">
        <f t="shared" si="124"/>
        <v>0</v>
      </c>
      <c r="AM174" s="5">
        <f t="shared" si="137"/>
        <v>0</v>
      </c>
      <c r="AN174" s="5">
        <f t="shared" si="125"/>
        <v>0</v>
      </c>
      <c r="AO174" s="5">
        <f t="shared" si="138"/>
        <v>0</v>
      </c>
      <c r="AP174" s="1">
        <v>0</v>
      </c>
      <c r="AQ174" s="1">
        <v>-2</v>
      </c>
      <c r="AR174" s="5">
        <v>1</v>
      </c>
      <c r="AS174" s="5">
        <v>0</v>
      </c>
      <c r="AT174" s="5">
        <v>1</v>
      </c>
      <c r="AU174" s="5">
        <v>1</v>
      </c>
      <c r="AV174" s="5">
        <f t="shared" si="113"/>
        <v>0</v>
      </c>
      <c r="AW174" s="5">
        <f t="shared" si="114"/>
        <v>1</v>
      </c>
      <c r="AX174" s="5">
        <f t="shared" si="115"/>
        <v>0</v>
      </c>
      <c r="AY174" s="1">
        <f t="shared" ref="AY174:AY237" si="149">AJ174*$AD174*(1-$AV174)*(1-$AR174)</f>
        <v>0</v>
      </c>
      <c r="AZ174" s="1">
        <f t="shared" ref="AZ174:AZ237" si="150">AM174*$AD174*(1-$AV174)*(1-$AR174)</f>
        <v>0</v>
      </c>
      <c r="BA174" s="1">
        <f t="shared" ref="BA174:BA237" si="151">AO174*$AD174*(1-$AV174)*(1-$AR174)</f>
        <v>0</v>
      </c>
      <c r="BB174" s="5">
        <v>0</v>
      </c>
      <c r="BC174" s="5">
        <v>0</v>
      </c>
      <c r="BD174" s="5">
        <v>1</v>
      </c>
      <c r="BE174" s="5">
        <f t="shared" si="30"/>
        <v>0</v>
      </c>
      <c r="BF174" s="5">
        <v>0</v>
      </c>
      <c r="BG174" s="5">
        <f t="shared" si="146"/>
        <v>0</v>
      </c>
      <c r="BH174" s="5">
        <f t="shared" si="146"/>
        <v>0</v>
      </c>
      <c r="BI174" s="5">
        <f t="shared" si="146"/>
        <v>0</v>
      </c>
      <c r="BJ174" s="5">
        <f t="shared" si="146"/>
        <v>0</v>
      </c>
      <c r="BK174" s="5">
        <f t="shared" si="146"/>
        <v>0</v>
      </c>
      <c r="BL174" s="5">
        <f t="shared" si="146"/>
        <v>0</v>
      </c>
      <c r="BM174" s="5">
        <f t="shared" si="146"/>
        <v>0</v>
      </c>
      <c r="BN174" s="5">
        <f t="shared" si="145"/>
        <v>0</v>
      </c>
      <c r="BO174" s="5">
        <f t="shared" si="145"/>
        <v>1</v>
      </c>
      <c r="BP174" s="5">
        <f t="shared" si="145"/>
        <v>0</v>
      </c>
      <c r="BQ174" s="5">
        <f t="shared" si="145"/>
        <v>0</v>
      </c>
      <c r="BR174" s="5">
        <f t="shared" si="145"/>
        <v>0</v>
      </c>
      <c r="BS174" s="5">
        <f t="shared" si="145"/>
        <v>0</v>
      </c>
      <c r="BT174" s="5">
        <f t="shared" si="145"/>
        <v>0</v>
      </c>
      <c r="BU174" s="5">
        <f t="shared" si="145"/>
        <v>0</v>
      </c>
      <c r="BV174" s="5">
        <f t="shared" si="145"/>
        <v>0</v>
      </c>
      <c r="BW174" s="5">
        <f t="shared" si="145"/>
        <v>0</v>
      </c>
      <c r="BX174" s="5">
        <f t="shared" si="145"/>
        <v>0</v>
      </c>
      <c r="BY174" s="5">
        <f t="shared" si="145"/>
        <v>0</v>
      </c>
      <c r="BZ174" s="5">
        <f t="shared" si="145"/>
        <v>0</v>
      </c>
      <c r="CA174" s="5">
        <f t="shared" si="145"/>
        <v>0</v>
      </c>
      <c r="CB174" s="5">
        <f t="shared" si="145"/>
        <v>0</v>
      </c>
      <c r="CC174" s="5">
        <f t="shared" si="147"/>
        <v>0</v>
      </c>
      <c r="CD174" s="5">
        <f t="shared" si="147"/>
        <v>0</v>
      </c>
      <c r="CE174" s="5">
        <f t="shared" si="147"/>
        <v>0</v>
      </c>
    </row>
    <row r="175" spans="1:83" x14ac:dyDescent="0.2">
      <c r="A175" s="4"/>
      <c r="B175" s="4"/>
      <c r="C175" s="1">
        <f>Growth!D180</f>
        <v>0</v>
      </c>
      <c r="D175" s="5" t="b">
        <f t="shared" si="118"/>
        <v>0</v>
      </c>
      <c r="E175" s="5">
        <v>1999</v>
      </c>
      <c r="F175" s="5">
        <f ca="1">LOOKUP($E175,frequence!$A$2:$A$35,frequence!L$2:L$35)</f>
        <v>28.394272714827164</v>
      </c>
      <c r="G175" s="5">
        <f ca="1">LOOKUP($E175,frequence!$A$2:$A$35,frequence!K$2:K$35)</f>
        <v>0.57480720321912437</v>
      </c>
      <c r="H175" s="5">
        <f ca="1">LOOKUP($E175,frequence!$A$2:$A$35,frequence!M$2:M$35)</f>
        <v>186.16901967856262</v>
      </c>
      <c r="I175" s="5">
        <v>1995</v>
      </c>
      <c r="J175" s="7">
        <f>LOOKUP(I175,CPI!A$69:A$103,CPI!O$69:O$103)</f>
        <v>1.4308136482939633</v>
      </c>
      <c r="K175" s="5">
        <v>2000</v>
      </c>
      <c r="L175" s="7">
        <f t="shared" ca="1" si="119"/>
        <v>1</v>
      </c>
      <c r="M175" s="7">
        <f t="shared" si="111"/>
        <v>6.900000000000002E-2</v>
      </c>
      <c r="N175" s="14">
        <f>0.1*0.1</f>
        <v>1.0000000000000002E-2</v>
      </c>
      <c r="O175" s="1">
        <f ca="1">P175*J175*(1+Growth!G$6)^(2010-K175)</f>
        <v>403.9944491163169</v>
      </c>
      <c r="P175" s="1">
        <v>243</v>
      </c>
      <c r="Q175" s="2">
        <f t="shared" si="148"/>
        <v>243</v>
      </c>
      <c r="R175" s="21">
        <f t="shared" ca="1" si="121"/>
        <v>163211.51491679635</v>
      </c>
      <c r="X175" s="2">
        <f>P175</f>
        <v>243</v>
      </c>
      <c r="AC175" s="1">
        <f t="shared" ref="AC175:AC238" si="152">SUM(AD175:AI175)</f>
        <v>6.9</v>
      </c>
      <c r="AD175" s="5">
        <v>1</v>
      </c>
      <c r="AE175" s="5">
        <v>1</v>
      </c>
      <c r="AF175" s="5">
        <v>1</v>
      </c>
      <c r="AG175" s="5">
        <v>1</v>
      </c>
      <c r="AH175" s="5">
        <v>1</v>
      </c>
      <c r="AI175" s="3">
        <f t="shared" si="112"/>
        <v>1.9</v>
      </c>
      <c r="AJ175" s="5">
        <f t="shared" si="136"/>
        <v>0</v>
      </c>
      <c r="AK175" s="5">
        <f t="shared" si="123"/>
        <v>0</v>
      </c>
      <c r="AL175" s="5">
        <f t="shared" si="124"/>
        <v>0</v>
      </c>
      <c r="AM175" s="5">
        <f t="shared" si="137"/>
        <v>0</v>
      </c>
      <c r="AN175" s="5">
        <f t="shared" si="125"/>
        <v>0</v>
      </c>
      <c r="AO175" s="5">
        <f t="shared" si="138"/>
        <v>0</v>
      </c>
      <c r="AP175" s="1">
        <v>0</v>
      </c>
      <c r="AQ175" s="1">
        <v>-2</v>
      </c>
      <c r="AR175" s="5">
        <v>1</v>
      </c>
      <c r="AS175" s="5">
        <v>1</v>
      </c>
      <c r="AT175" s="5">
        <v>0</v>
      </c>
      <c r="AU175" s="5">
        <v>1</v>
      </c>
      <c r="AV175" s="5">
        <f t="shared" si="113"/>
        <v>0</v>
      </c>
      <c r="AW175" s="5">
        <f t="shared" si="114"/>
        <v>1</v>
      </c>
      <c r="AX175" s="5">
        <f t="shared" si="115"/>
        <v>0</v>
      </c>
      <c r="AY175" s="1">
        <f t="shared" si="149"/>
        <v>0</v>
      </c>
      <c r="AZ175" s="1">
        <f t="shared" si="150"/>
        <v>0</v>
      </c>
      <c r="BA175" s="1">
        <f t="shared" si="151"/>
        <v>0</v>
      </c>
      <c r="BB175" s="5">
        <v>0</v>
      </c>
      <c r="BC175" s="5">
        <v>0</v>
      </c>
      <c r="BD175" s="5">
        <v>1</v>
      </c>
      <c r="BE175" s="5">
        <f t="shared" ref="BE175:BE238" si="153">1-SUM(BB175:BD175)</f>
        <v>0</v>
      </c>
      <c r="BF175" s="5">
        <v>0</v>
      </c>
      <c r="BG175" s="5">
        <f t="shared" si="146"/>
        <v>0</v>
      </c>
      <c r="BH175" s="5">
        <f t="shared" si="146"/>
        <v>0</v>
      </c>
      <c r="BI175" s="5">
        <f t="shared" si="146"/>
        <v>0</v>
      </c>
      <c r="BJ175" s="5">
        <f t="shared" si="146"/>
        <v>0</v>
      </c>
      <c r="BK175" s="5">
        <f t="shared" si="146"/>
        <v>0</v>
      </c>
      <c r="BL175" s="5">
        <f t="shared" si="146"/>
        <v>0</v>
      </c>
      <c r="BM175" s="5">
        <f t="shared" si="146"/>
        <v>0</v>
      </c>
      <c r="BN175" s="5">
        <f t="shared" si="145"/>
        <v>0</v>
      </c>
      <c r="BO175" s="5">
        <f t="shared" si="145"/>
        <v>1</v>
      </c>
      <c r="BP175" s="5">
        <f t="shared" si="145"/>
        <v>0</v>
      </c>
      <c r="BQ175" s="5">
        <f t="shared" si="145"/>
        <v>0</v>
      </c>
      <c r="BR175" s="5">
        <f t="shared" si="145"/>
        <v>0</v>
      </c>
      <c r="BS175" s="5">
        <f t="shared" si="145"/>
        <v>0</v>
      </c>
      <c r="BT175" s="5">
        <f t="shared" si="145"/>
        <v>0</v>
      </c>
      <c r="BU175" s="5">
        <f t="shared" si="145"/>
        <v>0</v>
      </c>
      <c r="BV175" s="5">
        <f t="shared" si="145"/>
        <v>0</v>
      </c>
      <c r="BW175" s="5">
        <f t="shared" si="145"/>
        <v>0</v>
      </c>
      <c r="BX175" s="5">
        <f t="shared" si="145"/>
        <v>0</v>
      </c>
      <c r="BY175" s="5">
        <f t="shared" si="145"/>
        <v>0</v>
      </c>
      <c r="BZ175" s="5">
        <f t="shared" si="145"/>
        <v>0</v>
      </c>
      <c r="CA175" s="5">
        <f t="shared" si="145"/>
        <v>0</v>
      </c>
      <c r="CB175" s="5">
        <f t="shared" si="145"/>
        <v>0</v>
      </c>
      <c r="CC175" s="5">
        <f t="shared" si="147"/>
        <v>0</v>
      </c>
      <c r="CD175" s="5">
        <f t="shared" si="147"/>
        <v>0</v>
      </c>
      <c r="CE175" s="5">
        <f t="shared" si="147"/>
        <v>0</v>
      </c>
    </row>
    <row r="176" spans="1:83" x14ac:dyDescent="0.2">
      <c r="A176" s="4"/>
      <c r="B176" s="4"/>
      <c r="C176" s="1">
        <f>Growth!D181</f>
        <v>0</v>
      </c>
      <c r="D176" s="5" t="b">
        <f t="shared" si="118"/>
        <v>0</v>
      </c>
      <c r="E176" s="5">
        <v>1999</v>
      </c>
      <c r="F176" s="5">
        <f ca="1">LOOKUP($E176,frequence!$A$2:$A$35,frequence!L$2:L$35)</f>
        <v>28.394272714827164</v>
      </c>
      <c r="G176" s="5">
        <f ca="1">LOOKUP($E176,frequence!$A$2:$A$35,frequence!K$2:K$35)</f>
        <v>0.57480720321912437</v>
      </c>
      <c r="H176" s="5">
        <f ca="1">LOOKUP($E176,frequence!$A$2:$A$35,frequence!M$2:M$35)</f>
        <v>186.16901967856262</v>
      </c>
      <c r="I176" s="5">
        <v>1995</v>
      </c>
      <c r="J176" s="7">
        <f>LOOKUP(I176,CPI!A$69:A$103,CPI!O$69:O$103)</f>
        <v>1.4308136482939633</v>
      </c>
      <c r="K176" s="5">
        <v>2000</v>
      </c>
      <c r="L176" s="7">
        <f t="shared" ca="1" si="119"/>
        <v>1</v>
      </c>
      <c r="M176" s="7">
        <f t="shared" si="111"/>
        <v>6.900000000000002E-2</v>
      </c>
      <c r="N176" s="14">
        <f>0.1*0.1</f>
        <v>1.0000000000000002E-2</v>
      </c>
      <c r="O176" s="1">
        <f ca="1">P176*J176*(1+Growth!G$6)^(2010-K176)</f>
        <v>236.07906080048147</v>
      </c>
      <c r="P176" s="1">
        <v>142</v>
      </c>
      <c r="Q176" s="2">
        <f t="shared" si="148"/>
        <v>142</v>
      </c>
      <c r="R176" s="21">
        <f t="shared" ca="1" si="121"/>
        <v>55733.322948437424</v>
      </c>
      <c r="X176" s="2">
        <f>P176</f>
        <v>142</v>
      </c>
      <c r="AC176" s="1">
        <f t="shared" si="152"/>
        <v>6.9</v>
      </c>
      <c r="AD176" s="5">
        <v>1</v>
      </c>
      <c r="AE176" s="5">
        <v>1</v>
      </c>
      <c r="AF176" s="5">
        <v>1</v>
      </c>
      <c r="AG176" s="5">
        <v>1</v>
      </c>
      <c r="AH176" s="5">
        <v>1</v>
      </c>
      <c r="AI176" s="3">
        <f t="shared" si="112"/>
        <v>1.9</v>
      </c>
      <c r="AJ176" s="5">
        <f t="shared" si="136"/>
        <v>0</v>
      </c>
      <c r="AK176" s="5">
        <f t="shared" si="123"/>
        <v>0</v>
      </c>
      <c r="AL176" s="5">
        <f t="shared" si="124"/>
        <v>0</v>
      </c>
      <c r="AM176" s="5">
        <f t="shared" si="137"/>
        <v>0</v>
      </c>
      <c r="AN176" s="5">
        <f t="shared" si="125"/>
        <v>0</v>
      </c>
      <c r="AO176" s="5">
        <f t="shared" si="138"/>
        <v>0</v>
      </c>
      <c r="AP176" s="1">
        <v>0</v>
      </c>
      <c r="AQ176" s="1">
        <v>-2</v>
      </c>
      <c r="AR176" s="5">
        <v>0</v>
      </c>
      <c r="AS176" s="5">
        <v>1</v>
      </c>
      <c r="AT176" s="5">
        <v>0</v>
      </c>
      <c r="AU176" s="5">
        <v>0</v>
      </c>
      <c r="AV176" s="5">
        <f t="shared" si="113"/>
        <v>0</v>
      </c>
      <c r="AW176" s="5">
        <f t="shared" si="114"/>
        <v>1</v>
      </c>
      <c r="AX176" s="5">
        <f t="shared" si="115"/>
        <v>0</v>
      </c>
      <c r="AY176" s="1">
        <f t="shared" si="149"/>
        <v>0</v>
      </c>
      <c r="AZ176" s="1">
        <f t="shared" si="150"/>
        <v>0</v>
      </c>
      <c r="BA176" s="1">
        <f t="shared" si="151"/>
        <v>0</v>
      </c>
      <c r="BB176" s="5">
        <v>0</v>
      </c>
      <c r="BC176" s="5">
        <v>0</v>
      </c>
      <c r="BD176" s="5">
        <v>1</v>
      </c>
      <c r="BE176" s="5">
        <f t="shared" si="153"/>
        <v>0</v>
      </c>
      <c r="BF176" s="5">
        <v>0</v>
      </c>
      <c r="BG176" s="5">
        <f t="shared" si="146"/>
        <v>0</v>
      </c>
      <c r="BH176" s="5">
        <f t="shared" si="146"/>
        <v>0</v>
      </c>
      <c r="BI176" s="5">
        <f t="shared" si="146"/>
        <v>0</v>
      </c>
      <c r="BJ176" s="5">
        <f t="shared" si="146"/>
        <v>0</v>
      </c>
      <c r="BK176" s="5">
        <f t="shared" si="146"/>
        <v>0</v>
      </c>
      <c r="BL176" s="5">
        <f t="shared" si="146"/>
        <v>0</v>
      </c>
      <c r="BM176" s="5">
        <f t="shared" si="146"/>
        <v>0</v>
      </c>
      <c r="BN176" s="5">
        <f t="shared" si="145"/>
        <v>0</v>
      </c>
      <c r="BO176" s="5">
        <f t="shared" si="145"/>
        <v>1</v>
      </c>
      <c r="BP176" s="5">
        <f t="shared" si="145"/>
        <v>0</v>
      </c>
      <c r="BQ176" s="5">
        <f t="shared" si="145"/>
        <v>0</v>
      </c>
      <c r="BR176" s="5">
        <f t="shared" si="145"/>
        <v>0</v>
      </c>
      <c r="BS176" s="5">
        <f t="shared" si="145"/>
        <v>0</v>
      </c>
      <c r="BT176" s="5">
        <f t="shared" si="145"/>
        <v>0</v>
      </c>
      <c r="BU176" s="5">
        <f t="shared" si="145"/>
        <v>0</v>
      </c>
      <c r="BV176" s="5">
        <f t="shared" si="145"/>
        <v>0</v>
      </c>
      <c r="BW176" s="5">
        <f t="shared" si="145"/>
        <v>0</v>
      </c>
      <c r="BX176" s="5">
        <f t="shared" si="145"/>
        <v>0</v>
      </c>
      <c r="BY176" s="5">
        <f t="shared" si="145"/>
        <v>0</v>
      </c>
      <c r="BZ176" s="5">
        <f t="shared" si="145"/>
        <v>0</v>
      </c>
      <c r="CA176" s="5">
        <f t="shared" si="145"/>
        <v>0</v>
      </c>
      <c r="CB176" s="5">
        <f t="shared" si="145"/>
        <v>0</v>
      </c>
      <c r="CC176" s="5">
        <f t="shared" si="147"/>
        <v>0</v>
      </c>
      <c r="CD176" s="5">
        <f t="shared" si="147"/>
        <v>0</v>
      </c>
      <c r="CE176" s="5">
        <f t="shared" si="147"/>
        <v>0</v>
      </c>
    </row>
    <row r="177" spans="1:83" x14ac:dyDescent="0.2">
      <c r="A177" s="4"/>
      <c r="B177" s="4"/>
      <c r="C177" s="1">
        <f>Growth!D182</f>
        <v>0</v>
      </c>
      <c r="D177" s="5" t="b">
        <f t="shared" si="118"/>
        <v>0</v>
      </c>
      <c r="E177" s="5">
        <v>1999</v>
      </c>
      <c r="F177" s="5">
        <f ca="1">LOOKUP($E177,frequence!$A$2:$A$35,frequence!L$2:L$35)</f>
        <v>28.394272714827164</v>
      </c>
      <c r="G177" s="5">
        <f ca="1">LOOKUP($E177,frequence!$A$2:$A$35,frequence!K$2:K$35)</f>
        <v>0.57480720321912437</v>
      </c>
      <c r="H177" s="5">
        <f ca="1">LOOKUP($E177,frequence!$A$2:$A$35,frequence!M$2:M$35)</f>
        <v>186.16901967856262</v>
      </c>
      <c r="I177" s="5">
        <v>1995</v>
      </c>
      <c r="J177" s="7">
        <f>LOOKUP(I177,CPI!A$69:A$103,CPI!O$69:O$103)</f>
        <v>1.4308136482939633</v>
      </c>
      <c r="K177" s="5">
        <v>2000</v>
      </c>
      <c r="L177" s="7">
        <f t="shared" ca="1" si="119"/>
        <v>1</v>
      </c>
      <c r="M177" s="7">
        <f t="shared" si="111"/>
        <v>6.900000000000002E-2</v>
      </c>
      <c r="N177" s="14">
        <f>0.1*0.1</f>
        <v>1.0000000000000002E-2</v>
      </c>
      <c r="O177" s="1">
        <f ca="1">P177*J177*(1+Growth!G$6)^(2010-K177)</f>
        <v>598.51029498713615</v>
      </c>
      <c r="P177" s="1">
        <v>360</v>
      </c>
      <c r="Q177" s="2">
        <f t="shared" si="148"/>
        <v>360</v>
      </c>
      <c r="R177" s="21">
        <f t="shared" ca="1" si="121"/>
        <v>358214.57320558873</v>
      </c>
      <c r="X177" s="2">
        <f>P177</f>
        <v>360</v>
      </c>
      <c r="AC177" s="1">
        <f t="shared" si="152"/>
        <v>6.9</v>
      </c>
      <c r="AD177" s="5">
        <v>1</v>
      </c>
      <c r="AE177" s="5">
        <v>1</v>
      </c>
      <c r="AF177" s="5">
        <v>1</v>
      </c>
      <c r="AG177" s="5">
        <v>1</v>
      </c>
      <c r="AH177" s="5">
        <v>1</v>
      </c>
      <c r="AI177" s="3">
        <f t="shared" si="112"/>
        <v>1.9</v>
      </c>
      <c r="AJ177" s="5">
        <f t="shared" si="136"/>
        <v>0</v>
      </c>
      <c r="AK177" s="5">
        <f t="shared" si="123"/>
        <v>0</v>
      </c>
      <c r="AL177" s="5">
        <f t="shared" si="124"/>
        <v>0</v>
      </c>
      <c r="AM177" s="5">
        <f t="shared" si="137"/>
        <v>0</v>
      </c>
      <c r="AN177" s="5">
        <f t="shared" si="125"/>
        <v>0</v>
      </c>
      <c r="AO177" s="5">
        <f t="shared" si="138"/>
        <v>0</v>
      </c>
      <c r="AP177" s="1">
        <v>0</v>
      </c>
      <c r="AQ177" s="1">
        <v>-2</v>
      </c>
      <c r="AR177" s="5">
        <v>1</v>
      </c>
      <c r="AS177" s="5">
        <v>1</v>
      </c>
      <c r="AT177" s="5">
        <v>0</v>
      </c>
      <c r="AU177" s="5">
        <v>0</v>
      </c>
      <c r="AV177" s="5">
        <f t="shared" si="113"/>
        <v>0</v>
      </c>
      <c r="AW177" s="5">
        <f t="shared" si="114"/>
        <v>1</v>
      </c>
      <c r="AX177" s="5">
        <f t="shared" si="115"/>
        <v>0</v>
      </c>
      <c r="AY177" s="1">
        <f t="shared" si="149"/>
        <v>0</v>
      </c>
      <c r="AZ177" s="1">
        <f t="shared" si="150"/>
        <v>0</v>
      </c>
      <c r="BA177" s="1">
        <f t="shared" si="151"/>
        <v>0</v>
      </c>
      <c r="BB177" s="5">
        <v>0</v>
      </c>
      <c r="BC177" s="5">
        <v>0</v>
      </c>
      <c r="BD177" s="5">
        <v>1</v>
      </c>
      <c r="BE177" s="5">
        <f t="shared" si="153"/>
        <v>0</v>
      </c>
      <c r="BF177" s="5">
        <v>0</v>
      </c>
      <c r="BG177" s="5">
        <f t="shared" si="146"/>
        <v>0</v>
      </c>
      <c r="BH177" s="5">
        <f t="shared" si="146"/>
        <v>0</v>
      </c>
      <c r="BI177" s="5">
        <f t="shared" si="146"/>
        <v>0</v>
      </c>
      <c r="BJ177" s="5">
        <f t="shared" si="146"/>
        <v>0</v>
      </c>
      <c r="BK177" s="5">
        <f t="shared" si="146"/>
        <v>0</v>
      </c>
      <c r="BL177" s="5">
        <f t="shared" si="146"/>
        <v>0</v>
      </c>
      <c r="BM177" s="5">
        <f t="shared" si="146"/>
        <v>0</v>
      </c>
      <c r="BN177" s="5">
        <f t="shared" si="145"/>
        <v>0</v>
      </c>
      <c r="BO177" s="5">
        <f t="shared" si="145"/>
        <v>1</v>
      </c>
      <c r="BP177" s="5">
        <f t="shared" si="145"/>
        <v>0</v>
      </c>
      <c r="BQ177" s="5">
        <f t="shared" si="145"/>
        <v>0</v>
      </c>
      <c r="BR177" s="5">
        <f t="shared" si="145"/>
        <v>0</v>
      </c>
      <c r="BS177" s="5">
        <f t="shared" si="145"/>
        <v>0</v>
      </c>
      <c r="BT177" s="5">
        <f t="shared" si="145"/>
        <v>0</v>
      </c>
      <c r="BU177" s="5">
        <f t="shared" si="145"/>
        <v>0</v>
      </c>
      <c r="BV177" s="5">
        <f t="shared" si="145"/>
        <v>0</v>
      </c>
      <c r="BW177" s="5">
        <f t="shared" si="145"/>
        <v>0</v>
      </c>
      <c r="BX177" s="5">
        <f t="shared" si="145"/>
        <v>0</v>
      </c>
      <c r="BY177" s="5">
        <f t="shared" si="145"/>
        <v>0</v>
      </c>
      <c r="BZ177" s="5">
        <f t="shared" si="145"/>
        <v>0</v>
      </c>
      <c r="CA177" s="5">
        <f t="shared" si="145"/>
        <v>0</v>
      </c>
      <c r="CB177" s="5">
        <f t="shared" si="145"/>
        <v>0</v>
      </c>
      <c r="CC177" s="5">
        <f t="shared" si="147"/>
        <v>0</v>
      </c>
      <c r="CD177" s="5">
        <f t="shared" si="147"/>
        <v>0</v>
      </c>
      <c r="CE177" s="5">
        <f t="shared" si="147"/>
        <v>0</v>
      </c>
    </row>
    <row r="178" spans="1:83" x14ac:dyDescent="0.2">
      <c r="A178" s="4"/>
      <c r="B178" s="4"/>
      <c r="C178" s="1">
        <f>Growth!D183</f>
        <v>0</v>
      </c>
      <c r="D178" s="5" t="b">
        <f t="shared" si="118"/>
        <v>0</v>
      </c>
      <c r="E178" s="5">
        <v>1999</v>
      </c>
      <c r="F178" s="5">
        <f ca="1">LOOKUP($E178,frequence!$A$2:$A$35,frequence!L$2:L$35)</f>
        <v>28.394272714827164</v>
      </c>
      <c r="G178" s="5">
        <f ca="1">LOOKUP($E178,frequence!$A$2:$A$35,frequence!K$2:K$35)</f>
        <v>0.57480720321912437</v>
      </c>
      <c r="H178" s="5">
        <f ca="1">LOOKUP($E178,frequence!$A$2:$A$35,frequence!M$2:M$35)</f>
        <v>186.16901967856262</v>
      </c>
      <c r="I178" s="5">
        <v>1995</v>
      </c>
      <c r="J178" s="7">
        <f>LOOKUP(I178,CPI!A$69:A$103,CPI!O$69:O$103)</f>
        <v>1.4308136482939633</v>
      </c>
      <c r="K178" s="5">
        <v>2000</v>
      </c>
      <c r="L178" s="7">
        <f t="shared" ca="1" si="119"/>
        <v>1</v>
      </c>
      <c r="M178" s="7">
        <f t="shared" si="111"/>
        <v>6.900000000000002E-2</v>
      </c>
      <c r="N178" s="14">
        <f>0.1*0.1</f>
        <v>1.0000000000000002E-2</v>
      </c>
      <c r="O178" s="1">
        <f ca="1">P178*J178*(1+Growth!G$6)^(2010-K178)</f>
        <v>578.55995182089828</v>
      </c>
      <c r="P178" s="1">
        <v>348</v>
      </c>
      <c r="Q178" s="2">
        <f t="shared" si="148"/>
        <v>348</v>
      </c>
      <c r="R178" s="21">
        <f t="shared" ca="1" si="121"/>
        <v>334731.61785100016</v>
      </c>
      <c r="X178" s="2">
        <f>P178</f>
        <v>348</v>
      </c>
      <c r="AC178" s="1">
        <f t="shared" si="152"/>
        <v>6.9</v>
      </c>
      <c r="AD178" s="5">
        <v>1</v>
      </c>
      <c r="AE178" s="5">
        <v>1</v>
      </c>
      <c r="AF178" s="5">
        <v>1</v>
      </c>
      <c r="AG178" s="5">
        <v>1</v>
      </c>
      <c r="AH178" s="5">
        <v>1</v>
      </c>
      <c r="AI178" s="3">
        <f t="shared" si="112"/>
        <v>1.9</v>
      </c>
      <c r="AJ178" s="5">
        <f t="shared" si="136"/>
        <v>0</v>
      </c>
      <c r="AK178" s="5">
        <f t="shared" si="123"/>
        <v>0</v>
      </c>
      <c r="AL178" s="5">
        <f t="shared" si="124"/>
        <v>0</v>
      </c>
      <c r="AM178" s="5">
        <f t="shared" si="137"/>
        <v>0</v>
      </c>
      <c r="AN178" s="5">
        <f t="shared" si="125"/>
        <v>0</v>
      </c>
      <c r="AO178" s="5">
        <f t="shared" si="138"/>
        <v>0</v>
      </c>
      <c r="AP178" s="1">
        <v>0</v>
      </c>
      <c r="AQ178" s="1">
        <v>-2</v>
      </c>
      <c r="AR178" s="5">
        <v>1</v>
      </c>
      <c r="AS178" s="5">
        <v>1</v>
      </c>
      <c r="AT178" s="5">
        <v>0</v>
      </c>
      <c r="AU178" s="5">
        <v>0</v>
      </c>
      <c r="AV178" s="5">
        <f t="shared" si="113"/>
        <v>0</v>
      </c>
      <c r="AW178" s="5">
        <f t="shared" si="114"/>
        <v>1</v>
      </c>
      <c r="AX178" s="5">
        <f t="shared" si="115"/>
        <v>0</v>
      </c>
      <c r="AY178" s="1">
        <f t="shared" si="149"/>
        <v>0</v>
      </c>
      <c r="AZ178" s="1">
        <f t="shared" si="150"/>
        <v>0</v>
      </c>
      <c r="BA178" s="1">
        <f t="shared" si="151"/>
        <v>0</v>
      </c>
      <c r="BB178" s="5">
        <v>0</v>
      </c>
      <c r="BC178" s="5">
        <v>0</v>
      </c>
      <c r="BD178" s="5">
        <v>1</v>
      </c>
      <c r="BE178" s="5">
        <f t="shared" si="153"/>
        <v>0</v>
      </c>
      <c r="BF178" s="5">
        <v>0</v>
      </c>
      <c r="BG178" s="5">
        <f t="shared" si="146"/>
        <v>0</v>
      </c>
      <c r="BH178" s="5">
        <f t="shared" si="146"/>
        <v>0</v>
      </c>
      <c r="BI178" s="5">
        <f t="shared" si="146"/>
        <v>0</v>
      </c>
      <c r="BJ178" s="5">
        <f t="shared" si="146"/>
        <v>0</v>
      </c>
      <c r="BK178" s="5">
        <f t="shared" si="146"/>
        <v>0</v>
      </c>
      <c r="BL178" s="5">
        <f t="shared" si="146"/>
        <v>0</v>
      </c>
      <c r="BM178" s="5">
        <f t="shared" si="146"/>
        <v>0</v>
      </c>
      <c r="BN178" s="5">
        <f t="shared" si="145"/>
        <v>0</v>
      </c>
      <c r="BO178" s="5">
        <f t="shared" si="145"/>
        <v>1</v>
      </c>
      <c r="BP178" s="5">
        <f t="shared" si="145"/>
        <v>0</v>
      </c>
      <c r="BQ178" s="5">
        <f t="shared" si="145"/>
        <v>0</v>
      </c>
      <c r="BR178" s="5">
        <f t="shared" si="145"/>
        <v>0</v>
      </c>
      <c r="BS178" s="5">
        <f t="shared" si="145"/>
        <v>0</v>
      </c>
      <c r="BT178" s="5">
        <f t="shared" si="145"/>
        <v>0</v>
      </c>
      <c r="BU178" s="5">
        <f t="shared" si="145"/>
        <v>0</v>
      </c>
      <c r="BV178" s="5">
        <f t="shared" si="145"/>
        <v>0</v>
      </c>
      <c r="BW178" s="5">
        <f t="shared" si="145"/>
        <v>0</v>
      </c>
      <c r="BX178" s="5">
        <f t="shared" si="145"/>
        <v>0</v>
      </c>
      <c r="BY178" s="5">
        <f t="shared" si="145"/>
        <v>0</v>
      </c>
      <c r="BZ178" s="5">
        <f t="shared" si="145"/>
        <v>0</v>
      </c>
      <c r="CA178" s="5">
        <f t="shared" si="145"/>
        <v>0</v>
      </c>
      <c r="CB178" s="5">
        <f t="shared" si="145"/>
        <v>0</v>
      </c>
      <c r="CC178" s="5">
        <f t="shared" si="147"/>
        <v>0</v>
      </c>
      <c r="CD178" s="5">
        <f t="shared" si="147"/>
        <v>0</v>
      </c>
      <c r="CE178" s="5">
        <f t="shared" si="147"/>
        <v>0</v>
      </c>
    </row>
    <row r="179" spans="1:83" x14ac:dyDescent="0.2">
      <c r="A179" s="4"/>
      <c r="B179" s="4"/>
      <c r="C179" s="1">
        <f>Growth!D184</f>
        <v>0</v>
      </c>
      <c r="D179" s="5" t="b">
        <f t="shared" si="118"/>
        <v>0</v>
      </c>
      <c r="E179" s="5">
        <v>1999</v>
      </c>
      <c r="F179" s="5">
        <f ca="1">LOOKUP($E179,frequence!$A$2:$A$35,frequence!L$2:L$35)</f>
        <v>28.394272714827164</v>
      </c>
      <c r="G179" s="5">
        <f ca="1">LOOKUP($E179,frequence!$A$2:$A$35,frequence!K$2:K$35)</f>
        <v>0.57480720321912437</v>
      </c>
      <c r="H179" s="5">
        <f ca="1">LOOKUP($E179,frequence!$A$2:$A$35,frequence!M$2:M$35)</f>
        <v>186.16901967856262</v>
      </c>
      <c r="I179" s="5">
        <v>1995</v>
      </c>
      <c r="J179" s="7">
        <f>LOOKUP(I179,CPI!A$69:A$103,CPI!O$69:O$103)</f>
        <v>1.4308136482939633</v>
      </c>
      <c r="K179" s="5">
        <v>2000</v>
      </c>
      <c r="L179" s="7">
        <f t="shared" ca="1" si="119"/>
        <v>1</v>
      </c>
      <c r="M179" s="7">
        <f t="shared" si="111"/>
        <v>6.900000000000002E-2</v>
      </c>
      <c r="N179" s="14">
        <f>0.1*0.1</f>
        <v>1.0000000000000002E-2</v>
      </c>
      <c r="O179" s="1">
        <f ca="1">P179*J179*(1+Growth!G$6)^(2010-K179)</f>
        <v>478.80823598970892</v>
      </c>
      <c r="P179" s="1">
        <v>288</v>
      </c>
      <c r="Q179" s="2">
        <f t="shared" si="148"/>
        <v>288</v>
      </c>
      <c r="R179" s="21">
        <f t="shared" ca="1" si="121"/>
        <v>229257.3268515768</v>
      </c>
      <c r="X179" s="2">
        <f>P179</f>
        <v>288</v>
      </c>
      <c r="AC179" s="1">
        <f t="shared" si="152"/>
        <v>6.9</v>
      </c>
      <c r="AD179" s="5">
        <v>1</v>
      </c>
      <c r="AE179" s="5">
        <v>1</v>
      </c>
      <c r="AF179" s="5">
        <v>1</v>
      </c>
      <c r="AG179" s="5">
        <v>1</v>
      </c>
      <c r="AH179" s="5">
        <v>1</v>
      </c>
      <c r="AI179" s="3">
        <f t="shared" si="112"/>
        <v>1.9</v>
      </c>
      <c r="AJ179" s="5">
        <f t="shared" si="136"/>
        <v>0</v>
      </c>
      <c r="AK179" s="5">
        <f t="shared" si="123"/>
        <v>0</v>
      </c>
      <c r="AL179" s="5">
        <f t="shared" si="124"/>
        <v>0</v>
      </c>
      <c r="AM179" s="5">
        <f t="shared" si="137"/>
        <v>0</v>
      </c>
      <c r="AN179" s="5">
        <f t="shared" si="125"/>
        <v>0</v>
      </c>
      <c r="AO179" s="5">
        <f t="shared" si="138"/>
        <v>0</v>
      </c>
      <c r="AP179" s="1">
        <v>0</v>
      </c>
      <c r="AQ179" s="1">
        <v>-2</v>
      </c>
      <c r="AR179" s="5">
        <v>1</v>
      </c>
      <c r="AS179" s="5">
        <v>1</v>
      </c>
      <c r="AT179" s="5">
        <v>0</v>
      </c>
      <c r="AU179" s="5">
        <v>0</v>
      </c>
      <c r="AV179" s="5">
        <f t="shared" si="113"/>
        <v>0</v>
      </c>
      <c r="AW179" s="5">
        <f t="shared" si="114"/>
        <v>1</v>
      </c>
      <c r="AX179" s="5">
        <f t="shared" si="115"/>
        <v>0</v>
      </c>
      <c r="AY179" s="1">
        <f t="shared" si="149"/>
        <v>0</v>
      </c>
      <c r="AZ179" s="1">
        <f t="shared" si="150"/>
        <v>0</v>
      </c>
      <c r="BA179" s="1">
        <f t="shared" si="151"/>
        <v>0</v>
      </c>
      <c r="BB179" s="5">
        <v>0</v>
      </c>
      <c r="BC179" s="5">
        <v>0</v>
      </c>
      <c r="BD179" s="5">
        <v>1</v>
      </c>
      <c r="BE179" s="5">
        <f t="shared" si="153"/>
        <v>0</v>
      </c>
      <c r="BF179" s="5">
        <v>0</v>
      </c>
      <c r="BG179" s="5">
        <f t="shared" si="146"/>
        <v>0</v>
      </c>
      <c r="BH179" s="5">
        <f t="shared" si="146"/>
        <v>0</v>
      </c>
      <c r="BI179" s="5">
        <f t="shared" si="146"/>
        <v>0</v>
      </c>
      <c r="BJ179" s="5">
        <f t="shared" si="146"/>
        <v>0</v>
      </c>
      <c r="BK179" s="5">
        <f t="shared" si="146"/>
        <v>0</v>
      </c>
      <c r="BL179" s="5">
        <f t="shared" si="146"/>
        <v>0</v>
      </c>
      <c r="BM179" s="5">
        <f t="shared" si="146"/>
        <v>0</v>
      </c>
      <c r="BN179" s="5">
        <f t="shared" si="145"/>
        <v>0</v>
      </c>
      <c r="BO179" s="5">
        <f t="shared" si="145"/>
        <v>1</v>
      </c>
      <c r="BP179" s="5">
        <f t="shared" si="145"/>
        <v>0</v>
      </c>
      <c r="BQ179" s="5">
        <f t="shared" si="145"/>
        <v>0</v>
      </c>
      <c r="BR179" s="5">
        <f t="shared" si="145"/>
        <v>0</v>
      </c>
      <c r="BS179" s="5">
        <f t="shared" si="145"/>
        <v>0</v>
      </c>
      <c r="BT179" s="5">
        <f t="shared" si="145"/>
        <v>0</v>
      </c>
      <c r="BU179" s="5">
        <f t="shared" si="145"/>
        <v>0</v>
      </c>
      <c r="BV179" s="5">
        <f t="shared" si="145"/>
        <v>0</v>
      </c>
      <c r="BW179" s="5">
        <f t="shared" si="145"/>
        <v>0</v>
      </c>
      <c r="BX179" s="5">
        <f t="shared" si="145"/>
        <v>0</v>
      </c>
      <c r="BY179" s="5">
        <f t="shared" si="145"/>
        <v>0</v>
      </c>
      <c r="BZ179" s="5">
        <f t="shared" si="145"/>
        <v>0</v>
      </c>
      <c r="CA179" s="5">
        <f t="shared" si="145"/>
        <v>0</v>
      </c>
      <c r="CB179" s="5">
        <f t="shared" si="145"/>
        <v>0</v>
      </c>
      <c r="CC179" s="5">
        <f t="shared" si="147"/>
        <v>0</v>
      </c>
      <c r="CD179" s="5">
        <f t="shared" si="147"/>
        <v>0</v>
      </c>
      <c r="CE179" s="5">
        <f t="shared" si="147"/>
        <v>0</v>
      </c>
    </row>
    <row r="180" spans="1:83" x14ac:dyDescent="0.2">
      <c r="A180" s="6"/>
      <c r="B180" s="6"/>
      <c r="C180" s="1">
        <f>Growth!D185</f>
        <v>0</v>
      </c>
      <c r="D180" s="5" t="b">
        <f t="shared" si="118"/>
        <v>0</v>
      </c>
      <c r="E180" s="5">
        <v>1999</v>
      </c>
      <c r="F180" s="5">
        <f ca="1">LOOKUP($E180,frequence!$A$2:$A$35,frequence!L$2:L$35)</f>
        <v>28.394272714827164</v>
      </c>
      <c r="G180" s="5">
        <f ca="1">LOOKUP($E180,frequence!$A$2:$A$35,frequence!K$2:K$35)</f>
        <v>0.57480720321912437</v>
      </c>
      <c r="H180" s="5">
        <f ca="1">LOOKUP($E180,frequence!$A$2:$A$35,frequence!M$2:M$35)</f>
        <v>186.16901967856262</v>
      </c>
      <c r="I180" s="5">
        <v>1995</v>
      </c>
      <c r="J180" s="7">
        <f>LOOKUP(I180,CPI!A$69:A$103,CPI!O$69:O$103)</f>
        <v>1.4308136482939633</v>
      </c>
      <c r="K180" s="5">
        <v>2000</v>
      </c>
      <c r="L180" s="7">
        <f t="shared" ca="1" si="119"/>
        <v>1</v>
      </c>
      <c r="M180" s="7">
        <f t="shared" si="111"/>
        <v>0.34500000000000003</v>
      </c>
      <c r="N180" s="14">
        <f>0.5*0.1</f>
        <v>0.05</v>
      </c>
      <c r="O180" s="1">
        <f ca="1">P180*J180*(1+Growth!G$6)^(2010-K180)</f>
        <v>284.29239011888967</v>
      </c>
      <c r="P180" s="1">
        <v>171</v>
      </c>
      <c r="Q180" s="3">
        <v>244</v>
      </c>
      <c r="R180" s="21">
        <f t="shared" ca="1" si="121"/>
        <v>80822.163079510952</v>
      </c>
      <c r="S180" s="3">
        <v>143</v>
      </c>
      <c r="T180" s="3">
        <v>54</v>
      </c>
      <c r="U180" s="3">
        <v>81</v>
      </c>
      <c r="V180" s="3"/>
      <c r="W180" s="3"/>
      <c r="X180" s="3">
        <v>210</v>
      </c>
      <c r="Y180" s="3"/>
      <c r="AA180" s="1">
        <v>512</v>
      </c>
      <c r="AB180" s="1">
        <v>744</v>
      </c>
      <c r="AC180" s="1">
        <f t="shared" si="152"/>
        <v>6.9</v>
      </c>
      <c r="AD180" s="5">
        <v>1</v>
      </c>
      <c r="AE180" s="5">
        <v>1</v>
      </c>
      <c r="AF180" s="5">
        <v>1</v>
      </c>
      <c r="AG180" s="5">
        <v>1</v>
      </c>
      <c r="AH180" s="5">
        <v>1</v>
      </c>
      <c r="AI180" s="3">
        <f t="shared" si="112"/>
        <v>1.9</v>
      </c>
      <c r="AJ180" s="5">
        <f t="shared" si="136"/>
        <v>0</v>
      </c>
      <c r="AK180" s="5">
        <f t="shared" si="123"/>
        <v>0</v>
      </c>
      <c r="AL180" s="5">
        <f t="shared" si="124"/>
        <v>0</v>
      </c>
      <c r="AM180" s="5">
        <f t="shared" si="137"/>
        <v>0</v>
      </c>
      <c r="AN180" s="5">
        <f t="shared" si="125"/>
        <v>0</v>
      </c>
      <c r="AO180" s="5">
        <f t="shared" si="138"/>
        <v>0</v>
      </c>
      <c r="AP180" s="1">
        <v>1</v>
      </c>
      <c r="AQ180" s="1">
        <v>-1</v>
      </c>
      <c r="AR180" s="5">
        <v>1</v>
      </c>
      <c r="AS180" s="5">
        <v>0</v>
      </c>
      <c r="AT180" s="5">
        <v>1</v>
      </c>
      <c r="AU180" s="5">
        <v>1</v>
      </c>
      <c r="AV180" s="5">
        <f t="shared" si="113"/>
        <v>0</v>
      </c>
      <c r="AW180" s="5">
        <f t="shared" si="114"/>
        <v>1</v>
      </c>
      <c r="AX180" s="5">
        <f t="shared" si="115"/>
        <v>0</v>
      </c>
      <c r="AY180" s="1">
        <f t="shared" si="149"/>
        <v>0</v>
      </c>
      <c r="AZ180" s="1">
        <f t="shared" si="150"/>
        <v>0</v>
      </c>
      <c r="BA180" s="1">
        <f t="shared" si="151"/>
        <v>0</v>
      </c>
      <c r="BB180" s="5">
        <v>0</v>
      </c>
      <c r="BC180" s="5">
        <v>0</v>
      </c>
      <c r="BD180" s="5">
        <v>1</v>
      </c>
      <c r="BE180" s="5">
        <f t="shared" si="153"/>
        <v>0</v>
      </c>
      <c r="BF180" s="5">
        <v>0</v>
      </c>
      <c r="BG180" s="5">
        <f t="shared" si="146"/>
        <v>0</v>
      </c>
      <c r="BH180" s="5">
        <f t="shared" si="146"/>
        <v>0</v>
      </c>
      <c r="BI180" s="5">
        <f t="shared" si="146"/>
        <v>0</v>
      </c>
      <c r="BJ180" s="5">
        <f t="shared" si="146"/>
        <v>0</v>
      </c>
      <c r="BK180" s="5">
        <f t="shared" si="146"/>
        <v>0</v>
      </c>
      <c r="BL180" s="5">
        <f t="shared" si="146"/>
        <v>0</v>
      </c>
      <c r="BM180" s="5">
        <f t="shared" si="146"/>
        <v>0</v>
      </c>
      <c r="BN180" s="5">
        <f t="shared" si="146"/>
        <v>0</v>
      </c>
      <c r="BO180" s="5">
        <f t="shared" ref="BO180:CC195" si="154">IF($E180=BO$2,1,0)</f>
        <v>1</v>
      </c>
      <c r="BP180" s="5">
        <f t="shared" si="154"/>
        <v>0</v>
      </c>
      <c r="BQ180" s="5">
        <f t="shared" si="154"/>
        <v>0</v>
      </c>
      <c r="BR180" s="5">
        <f t="shared" si="154"/>
        <v>0</v>
      </c>
      <c r="BS180" s="5">
        <f t="shared" si="154"/>
        <v>0</v>
      </c>
      <c r="BT180" s="5">
        <f t="shared" si="154"/>
        <v>0</v>
      </c>
      <c r="BU180" s="5">
        <f t="shared" si="154"/>
        <v>0</v>
      </c>
      <c r="BV180" s="5">
        <f t="shared" si="154"/>
        <v>0</v>
      </c>
      <c r="BW180" s="5">
        <f t="shared" si="154"/>
        <v>0</v>
      </c>
      <c r="BX180" s="5">
        <f t="shared" si="154"/>
        <v>0</v>
      </c>
      <c r="BY180" s="5">
        <f t="shared" si="154"/>
        <v>0</v>
      </c>
      <c r="BZ180" s="5">
        <f t="shared" si="154"/>
        <v>0</v>
      </c>
      <c r="CA180" s="5">
        <f t="shared" si="154"/>
        <v>0</v>
      </c>
      <c r="CB180" s="5">
        <f t="shared" si="154"/>
        <v>0</v>
      </c>
      <c r="CC180" s="5">
        <f t="shared" si="147"/>
        <v>0</v>
      </c>
      <c r="CD180" s="5">
        <f t="shared" si="147"/>
        <v>0</v>
      </c>
      <c r="CE180" s="5">
        <f t="shared" si="147"/>
        <v>0</v>
      </c>
    </row>
    <row r="181" spans="1:83" x14ac:dyDescent="0.2">
      <c r="A181" s="4"/>
      <c r="B181" s="4"/>
      <c r="C181" s="1">
        <f>Growth!D186</f>
        <v>0</v>
      </c>
      <c r="D181" s="5" t="b">
        <f t="shared" si="118"/>
        <v>0</v>
      </c>
      <c r="E181" s="5">
        <v>1999</v>
      </c>
      <c r="F181" s="5">
        <f ca="1">LOOKUP($E181,frequence!$A$2:$A$35,frequence!L$2:L$35)</f>
        <v>28.394272714827164</v>
      </c>
      <c r="G181" s="5">
        <f ca="1">LOOKUP($E181,frequence!$A$2:$A$35,frequence!K$2:K$35)</f>
        <v>0.57480720321912437</v>
      </c>
      <c r="H181" s="5">
        <f ca="1">LOOKUP($E181,frequence!$A$2:$A$35,frequence!M$2:M$35)</f>
        <v>186.16901967856262</v>
      </c>
      <c r="I181" s="5">
        <v>1995</v>
      </c>
      <c r="J181" s="7">
        <f>LOOKUP(I181,CPI!A$69:A$103,CPI!O$69:O$103)</f>
        <v>1.4308136482939633</v>
      </c>
      <c r="K181" s="5">
        <v>2000</v>
      </c>
      <c r="L181" s="7">
        <f t="shared" ca="1" si="119"/>
        <v>1</v>
      </c>
      <c r="M181" s="7">
        <f t="shared" si="111"/>
        <v>6.900000000000002E-2</v>
      </c>
      <c r="N181" s="14">
        <f>0.1*0.1</f>
        <v>1.0000000000000002E-2</v>
      </c>
      <c r="O181" s="1">
        <f ca="1">P181*J181*(1+Growth!G$6)^(2010-K181)</f>
        <v>285.95491871607618</v>
      </c>
      <c r="P181" s="1">
        <v>172</v>
      </c>
      <c r="Q181" s="2">
        <f t="shared" si="148"/>
        <v>172</v>
      </c>
      <c r="R181" s="21">
        <f t="shared" ca="1" si="121"/>
        <v>81770.215537917727</v>
      </c>
      <c r="X181" s="2">
        <f>P181</f>
        <v>172</v>
      </c>
      <c r="AC181" s="1">
        <f t="shared" si="152"/>
        <v>6.9</v>
      </c>
      <c r="AD181" s="5">
        <v>1</v>
      </c>
      <c r="AE181" s="5">
        <v>1</v>
      </c>
      <c r="AF181" s="5">
        <v>1</v>
      </c>
      <c r="AG181" s="5">
        <v>1</v>
      </c>
      <c r="AH181" s="5">
        <v>1</v>
      </c>
      <c r="AI181" s="3">
        <f t="shared" si="112"/>
        <v>1.9</v>
      </c>
      <c r="AJ181" s="5">
        <f t="shared" si="136"/>
        <v>0</v>
      </c>
      <c r="AK181" s="5">
        <f t="shared" si="123"/>
        <v>0</v>
      </c>
      <c r="AL181" s="5">
        <f t="shared" si="124"/>
        <v>0</v>
      </c>
      <c r="AM181" s="5">
        <f t="shared" si="137"/>
        <v>0</v>
      </c>
      <c r="AN181" s="5">
        <f t="shared" si="125"/>
        <v>0</v>
      </c>
      <c r="AO181" s="5">
        <f t="shared" si="138"/>
        <v>0</v>
      </c>
      <c r="AP181" s="1">
        <v>1</v>
      </c>
      <c r="AQ181" s="1">
        <v>-1</v>
      </c>
      <c r="AR181" s="5">
        <v>1</v>
      </c>
      <c r="AS181" s="5">
        <v>1</v>
      </c>
      <c r="AT181" s="5">
        <v>0</v>
      </c>
      <c r="AU181" s="5">
        <v>1</v>
      </c>
      <c r="AV181" s="5">
        <f t="shared" si="113"/>
        <v>0</v>
      </c>
      <c r="AW181" s="5">
        <f t="shared" si="114"/>
        <v>1</v>
      </c>
      <c r="AX181" s="5">
        <f t="shared" si="115"/>
        <v>0</v>
      </c>
      <c r="AY181" s="1">
        <f t="shared" si="149"/>
        <v>0</v>
      </c>
      <c r="AZ181" s="1">
        <f t="shared" si="150"/>
        <v>0</v>
      </c>
      <c r="BA181" s="1">
        <f t="shared" si="151"/>
        <v>0</v>
      </c>
      <c r="BB181" s="5">
        <v>0</v>
      </c>
      <c r="BC181" s="5">
        <v>0</v>
      </c>
      <c r="BD181" s="5">
        <v>1</v>
      </c>
      <c r="BE181" s="5">
        <f t="shared" si="153"/>
        <v>0</v>
      </c>
      <c r="BF181" s="5">
        <v>0</v>
      </c>
      <c r="BG181" s="5">
        <f t="shared" ref="BG181:BN196" si="155">IF($E181=BG$2,1,0)</f>
        <v>0</v>
      </c>
      <c r="BH181" s="5">
        <f t="shared" si="155"/>
        <v>0</v>
      </c>
      <c r="BI181" s="5">
        <f t="shared" si="155"/>
        <v>0</v>
      </c>
      <c r="BJ181" s="5">
        <f t="shared" si="155"/>
        <v>0</v>
      </c>
      <c r="BK181" s="5">
        <f t="shared" si="155"/>
        <v>0</v>
      </c>
      <c r="BL181" s="5">
        <f t="shared" si="155"/>
        <v>0</v>
      </c>
      <c r="BM181" s="5">
        <f t="shared" si="155"/>
        <v>0</v>
      </c>
      <c r="BN181" s="5">
        <f t="shared" si="155"/>
        <v>0</v>
      </c>
      <c r="BO181" s="5">
        <f t="shared" si="154"/>
        <v>1</v>
      </c>
      <c r="BP181" s="5">
        <f t="shared" si="154"/>
        <v>0</v>
      </c>
      <c r="BQ181" s="5">
        <f t="shared" si="154"/>
        <v>0</v>
      </c>
      <c r="BR181" s="5">
        <f t="shared" si="154"/>
        <v>0</v>
      </c>
      <c r="BS181" s="5">
        <f t="shared" si="154"/>
        <v>0</v>
      </c>
      <c r="BT181" s="5">
        <f t="shared" si="154"/>
        <v>0</v>
      </c>
      <c r="BU181" s="5">
        <f t="shared" si="154"/>
        <v>0</v>
      </c>
      <c r="BV181" s="5">
        <f t="shared" si="154"/>
        <v>0</v>
      </c>
      <c r="BW181" s="5">
        <f t="shared" si="154"/>
        <v>0</v>
      </c>
      <c r="BX181" s="5">
        <f t="shared" si="154"/>
        <v>0</v>
      </c>
      <c r="BY181" s="5">
        <f t="shared" si="154"/>
        <v>0</v>
      </c>
      <c r="BZ181" s="5">
        <f t="shared" si="154"/>
        <v>0</v>
      </c>
      <c r="CA181" s="5">
        <f t="shared" si="154"/>
        <v>0</v>
      </c>
      <c r="CB181" s="5">
        <f t="shared" si="154"/>
        <v>0</v>
      </c>
      <c r="CC181" s="5">
        <f t="shared" si="147"/>
        <v>0</v>
      </c>
      <c r="CD181" s="5">
        <f t="shared" si="147"/>
        <v>0</v>
      </c>
      <c r="CE181" s="5">
        <f t="shared" si="147"/>
        <v>0</v>
      </c>
    </row>
    <row r="182" spans="1:83" x14ac:dyDescent="0.2">
      <c r="A182" s="4"/>
      <c r="B182" s="4"/>
      <c r="C182" s="1">
        <f>Growth!D187</f>
        <v>0</v>
      </c>
      <c r="D182" s="5" t="b">
        <f t="shared" si="118"/>
        <v>0</v>
      </c>
      <c r="E182" s="5">
        <v>1999</v>
      </c>
      <c r="F182" s="5">
        <f ca="1">LOOKUP($E182,frequence!$A$2:$A$35,frequence!L$2:L$35)</f>
        <v>28.394272714827164</v>
      </c>
      <c r="G182" s="5">
        <f ca="1">LOOKUP($E182,frequence!$A$2:$A$35,frequence!K$2:K$35)</f>
        <v>0.57480720321912437</v>
      </c>
      <c r="H182" s="5">
        <f ca="1">LOOKUP($E182,frequence!$A$2:$A$35,frequence!M$2:M$35)</f>
        <v>186.16901967856262</v>
      </c>
      <c r="I182" s="5">
        <v>1995</v>
      </c>
      <c r="J182" s="7">
        <f>LOOKUP(I182,CPI!A$69:A$103,CPI!O$69:O$103)</f>
        <v>1.4308136482939633</v>
      </c>
      <c r="K182" s="5">
        <v>2000</v>
      </c>
      <c r="L182" s="7">
        <f t="shared" ca="1" si="119"/>
        <v>1</v>
      </c>
      <c r="M182" s="7">
        <f t="shared" si="111"/>
        <v>6.900000000000002E-2</v>
      </c>
      <c r="N182" s="14">
        <f>0.1*0.1</f>
        <v>1.0000000000000002E-2</v>
      </c>
      <c r="O182" s="1">
        <f ca="1">P182*J182*(1+Growth!G$6)^(2010-K182)</f>
        <v>121.36458759461372</v>
      </c>
      <c r="P182" s="1">
        <v>73</v>
      </c>
      <c r="Q182" s="2">
        <f t="shared" si="148"/>
        <v>73</v>
      </c>
      <c r="R182" s="21">
        <f t="shared" ca="1" si="121"/>
        <v>14729.363122010667</v>
      </c>
      <c r="X182" s="2">
        <f>P182</f>
        <v>73</v>
      </c>
      <c r="AC182" s="1">
        <f t="shared" si="152"/>
        <v>6.9</v>
      </c>
      <c r="AD182" s="5">
        <v>1</v>
      </c>
      <c r="AE182" s="5">
        <v>1</v>
      </c>
      <c r="AF182" s="5">
        <v>1</v>
      </c>
      <c r="AG182" s="5">
        <v>1</v>
      </c>
      <c r="AH182" s="5">
        <v>1</v>
      </c>
      <c r="AI182" s="3">
        <f t="shared" si="112"/>
        <v>1.9</v>
      </c>
      <c r="AJ182" s="5">
        <f t="shared" si="136"/>
        <v>0</v>
      </c>
      <c r="AK182" s="5">
        <f t="shared" si="123"/>
        <v>0</v>
      </c>
      <c r="AL182" s="5">
        <f t="shared" si="124"/>
        <v>0</v>
      </c>
      <c r="AM182" s="5">
        <f t="shared" si="137"/>
        <v>0</v>
      </c>
      <c r="AN182" s="5">
        <f t="shared" si="125"/>
        <v>0</v>
      </c>
      <c r="AO182" s="5">
        <f t="shared" si="138"/>
        <v>0</v>
      </c>
      <c r="AP182" s="1">
        <v>1</v>
      </c>
      <c r="AQ182" s="1">
        <v>-1</v>
      </c>
      <c r="AR182" s="5">
        <v>0</v>
      </c>
      <c r="AS182" s="5">
        <v>1</v>
      </c>
      <c r="AT182" s="5">
        <v>0</v>
      </c>
      <c r="AU182" s="5">
        <v>0</v>
      </c>
      <c r="AV182" s="5">
        <f t="shared" si="113"/>
        <v>0</v>
      </c>
      <c r="AW182" s="5">
        <f t="shared" si="114"/>
        <v>1</v>
      </c>
      <c r="AX182" s="5">
        <f t="shared" si="115"/>
        <v>0</v>
      </c>
      <c r="AY182" s="1">
        <f t="shared" si="149"/>
        <v>0</v>
      </c>
      <c r="AZ182" s="1">
        <f t="shared" si="150"/>
        <v>0</v>
      </c>
      <c r="BA182" s="1">
        <f t="shared" si="151"/>
        <v>0</v>
      </c>
      <c r="BB182" s="5">
        <v>0</v>
      </c>
      <c r="BC182" s="5">
        <v>0</v>
      </c>
      <c r="BD182" s="5">
        <v>1</v>
      </c>
      <c r="BE182" s="5">
        <f t="shared" si="153"/>
        <v>0</v>
      </c>
      <c r="BF182" s="5">
        <v>0</v>
      </c>
      <c r="BG182" s="5">
        <f t="shared" si="155"/>
        <v>0</v>
      </c>
      <c r="BH182" s="5">
        <f t="shared" si="155"/>
        <v>0</v>
      </c>
      <c r="BI182" s="5">
        <f t="shared" si="155"/>
        <v>0</v>
      </c>
      <c r="BJ182" s="5">
        <f t="shared" si="155"/>
        <v>0</v>
      </c>
      <c r="BK182" s="5">
        <f t="shared" si="155"/>
        <v>0</v>
      </c>
      <c r="BL182" s="5">
        <f t="shared" si="155"/>
        <v>0</v>
      </c>
      <c r="BM182" s="5">
        <f t="shared" si="155"/>
        <v>0</v>
      </c>
      <c r="BN182" s="5">
        <f t="shared" si="155"/>
        <v>0</v>
      </c>
      <c r="BO182" s="5">
        <f t="shared" si="154"/>
        <v>1</v>
      </c>
      <c r="BP182" s="5">
        <f t="shared" si="154"/>
        <v>0</v>
      </c>
      <c r="BQ182" s="5">
        <f t="shared" si="154"/>
        <v>0</v>
      </c>
      <c r="BR182" s="5">
        <f t="shared" si="154"/>
        <v>0</v>
      </c>
      <c r="BS182" s="5">
        <f t="shared" si="154"/>
        <v>0</v>
      </c>
      <c r="BT182" s="5">
        <f t="shared" si="154"/>
        <v>0</v>
      </c>
      <c r="BU182" s="5">
        <f t="shared" si="154"/>
        <v>0</v>
      </c>
      <c r="BV182" s="5">
        <f t="shared" si="154"/>
        <v>0</v>
      </c>
      <c r="BW182" s="5">
        <f t="shared" si="154"/>
        <v>0</v>
      </c>
      <c r="BX182" s="5">
        <f t="shared" si="154"/>
        <v>0</v>
      </c>
      <c r="BY182" s="5">
        <f t="shared" si="154"/>
        <v>0</v>
      </c>
      <c r="BZ182" s="5">
        <f t="shared" si="154"/>
        <v>0</v>
      </c>
      <c r="CA182" s="5">
        <f t="shared" si="154"/>
        <v>0</v>
      </c>
      <c r="CB182" s="5">
        <f t="shared" si="154"/>
        <v>0</v>
      </c>
      <c r="CC182" s="5">
        <f t="shared" si="147"/>
        <v>0</v>
      </c>
      <c r="CD182" s="5">
        <f t="shared" si="147"/>
        <v>0</v>
      </c>
      <c r="CE182" s="5">
        <f t="shared" si="147"/>
        <v>0</v>
      </c>
    </row>
    <row r="183" spans="1:83" x14ac:dyDescent="0.2">
      <c r="A183" s="4"/>
      <c r="B183" s="4"/>
      <c r="C183" s="1">
        <f>Growth!D188</f>
        <v>0</v>
      </c>
      <c r="D183" s="5" t="b">
        <f t="shared" si="118"/>
        <v>0</v>
      </c>
      <c r="E183" s="5">
        <v>1999</v>
      </c>
      <c r="F183" s="5">
        <f ca="1">LOOKUP($E183,frequence!$A$2:$A$35,frequence!L$2:L$35)</f>
        <v>28.394272714827164</v>
      </c>
      <c r="G183" s="5">
        <f ca="1">LOOKUP($E183,frequence!$A$2:$A$35,frequence!K$2:K$35)</f>
        <v>0.57480720321912437</v>
      </c>
      <c r="H183" s="5">
        <f ca="1">LOOKUP($E183,frequence!$A$2:$A$35,frequence!M$2:M$35)</f>
        <v>186.16901967856262</v>
      </c>
      <c r="I183" s="5">
        <v>1995</v>
      </c>
      <c r="J183" s="7">
        <f>LOOKUP(I183,CPI!A$69:A$103,CPI!O$69:O$103)</f>
        <v>1.4308136482939633</v>
      </c>
      <c r="K183" s="5">
        <v>2000</v>
      </c>
      <c r="L183" s="7">
        <f t="shared" ca="1" si="119"/>
        <v>1</v>
      </c>
      <c r="M183" s="7">
        <f t="shared" si="111"/>
        <v>6.900000000000002E-2</v>
      </c>
      <c r="N183" s="14">
        <f>0.1*0.1</f>
        <v>1.0000000000000002E-2</v>
      </c>
      <c r="O183" s="1">
        <f ca="1">P183*J183*(1+Growth!G$6)^(2010-K183)</f>
        <v>319.20549065980595</v>
      </c>
      <c r="P183" s="1">
        <v>192</v>
      </c>
      <c r="Q183" s="2">
        <f t="shared" si="148"/>
        <v>192</v>
      </c>
      <c r="R183" s="21">
        <f t="shared" ca="1" si="121"/>
        <v>101892.14526736746</v>
      </c>
      <c r="X183" s="2">
        <f>P183</f>
        <v>192</v>
      </c>
      <c r="AC183" s="1">
        <f t="shared" si="152"/>
        <v>6.9</v>
      </c>
      <c r="AD183" s="5">
        <v>1</v>
      </c>
      <c r="AE183" s="5">
        <v>1</v>
      </c>
      <c r="AF183" s="5">
        <v>1</v>
      </c>
      <c r="AG183" s="5">
        <v>1</v>
      </c>
      <c r="AH183" s="5">
        <v>1</v>
      </c>
      <c r="AI183" s="3">
        <f t="shared" si="112"/>
        <v>1.9</v>
      </c>
      <c r="AJ183" s="5">
        <f t="shared" si="136"/>
        <v>0</v>
      </c>
      <c r="AK183" s="5">
        <f t="shared" si="123"/>
        <v>0</v>
      </c>
      <c r="AL183" s="5">
        <f t="shared" si="124"/>
        <v>0</v>
      </c>
      <c r="AM183" s="5">
        <f t="shared" si="137"/>
        <v>0</v>
      </c>
      <c r="AN183" s="5">
        <f t="shared" si="125"/>
        <v>0</v>
      </c>
      <c r="AO183" s="5">
        <f t="shared" si="138"/>
        <v>0</v>
      </c>
      <c r="AP183" s="1">
        <v>1</v>
      </c>
      <c r="AQ183" s="1">
        <v>-1</v>
      </c>
      <c r="AR183" s="5">
        <v>1</v>
      </c>
      <c r="AS183" s="5">
        <v>1</v>
      </c>
      <c r="AT183" s="5">
        <v>0</v>
      </c>
      <c r="AU183" s="5">
        <v>0</v>
      </c>
      <c r="AV183" s="5">
        <f t="shared" si="113"/>
        <v>0</v>
      </c>
      <c r="AW183" s="5">
        <f t="shared" si="114"/>
        <v>1</v>
      </c>
      <c r="AX183" s="5">
        <f t="shared" si="115"/>
        <v>0</v>
      </c>
      <c r="AY183" s="1">
        <f t="shared" si="149"/>
        <v>0</v>
      </c>
      <c r="AZ183" s="1">
        <f t="shared" si="150"/>
        <v>0</v>
      </c>
      <c r="BA183" s="1">
        <f t="shared" si="151"/>
        <v>0</v>
      </c>
      <c r="BB183" s="5">
        <v>0</v>
      </c>
      <c r="BC183" s="5">
        <v>0</v>
      </c>
      <c r="BD183" s="5">
        <v>1</v>
      </c>
      <c r="BE183" s="5">
        <f t="shared" si="153"/>
        <v>0</v>
      </c>
      <c r="BF183" s="5">
        <v>0</v>
      </c>
      <c r="BG183" s="5">
        <f t="shared" si="155"/>
        <v>0</v>
      </c>
      <c r="BH183" s="5">
        <f t="shared" si="155"/>
        <v>0</v>
      </c>
      <c r="BI183" s="5">
        <f t="shared" si="155"/>
        <v>0</v>
      </c>
      <c r="BJ183" s="5">
        <f t="shared" si="155"/>
        <v>0</v>
      </c>
      <c r="BK183" s="5">
        <f t="shared" si="155"/>
        <v>0</v>
      </c>
      <c r="BL183" s="5">
        <f t="shared" si="155"/>
        <v>0</v>
      </c>
      <c r="BM183" s="5">
        <f t="shared" si="155"/>
        <v>0</v>
      </c>
      <c r="BN183" s="5">
        <f t="shared" si="155"/>
        <v>0</v>
      </c>
      <c r="BO183" s="5">
        <f t="shared" si="154"/>
        <v>1</v>
      </c>
      <c r="BP183" s="5">
        <f t="shared" si="154"/>
        <v>0</v>
      </c>
      <c r="BQ183" s="5">
        <f t="shared" si="154"/>
        <v>0</v>
      </c>
      <c r="BR183" s="5">
        <f t="shared" si="154"/>
        <v>0</v>
      </c>
      <c r="BS183" s="5">
        <f t="shared" si="154"/>
        <v>0</v>
      </c>
      <c r="BT183" s="5">
        <f t="shared" si="154"/>
        <v>0</v>
      </c>
      <c r="BU183" s="5">
        <f t="shared" si="154"/>
        <v>0</v>
      </c>
      <c r="BV183" s="5">
        <f t="shared" si="154"/>
        <v>0</v>
      </c>
      <c r="BW183" s="5">
        <f t="shared" si="154"/>
        <v>0</v>
      </c>
      <c r="BX183" s="5">
        <f t="shared" si="154"/>
        <v>0</v>
      </c>
      <c r="BY183" s="5">
        <f t="shared" si="154"/>
        <v>0</v>
      </c>
      <c r="BZ183" s="5">
        <f t="shared" si="154"/>
        <v>0</v>
      </c>
      <c r="CA183" s="5">
        <f t="shared" si="154"/>
        <v>0</v>
      </c>
      <c r="CB183" s="5">
        <f t="shared" si="154"/>
        <v>0</v>
      </c>
      <c r="CC183" s="5">
        <f t="shared" si="147"/>
        <v>0</v>
      </c>
      <c r="CD183" s="5">
        <f t="shared" si="147"/>
        <v>0</v>
      </c>
      <c r="CE183" s="5">
        <f t="shared" si="147"/>
        <v>0</v>
      </c>
    </row>
    <row r="184" spans="1:83" x14ac:dyDescent="0.2">
      <c r="A184" s="4"/>
      <c r="B184" s="4"/>
      <c r="C184" s="1">
        <f>Growth!D189</f>
        <v>0</v>
      </c>
      <c r="D184" s="5" t="b">
        <f t="shared" si="118"/>
        <v>0</v>
      </c>
      <c r="E184" s="5">
        <v>1999</v>
      </c>
      <c r="F184" s="5">
        <f ca="1">LOOKUP($E184,frequence!$A$2:$A$35,frequence!L$2:L$35)</f>
        <v>28.394272714827164</v>
      </c>
      <c r="G184" s="5">
        <f ca="1">LOOKUP($E184,frequence!$A$2:$A$35,frequence!K$2:K$35)</f>
        <v>0.57480720321912437</v>
      </c>
      <c r="H184" s="5">
        <f ca="1">LOOKUP($E184,frequence!$A$2:$A$35,frequence!M$2:M$35)</f>
        <v>186.16901967856262</v>
      </c>
      <c r="I184" s="5">
        <v>1995</v>
      </c>
      <c r="J184" s="7">
        <f>LOOKUP(I184,CPI!A$69:A$103,CPI!O$69:O$103)</f>
        <v>1.4308136482939633</v>
      </c>
      <c r="K184" s="5">
        <v>2000</v>
      </c>
      <c r="L184" s="7">
        <f t="shared" ca="1" si="119"/>
        <v>1</v>
      </c>
      <c r="M184" s="7">
        <f t="shared" si="111"/>
        <v>6.900000000000002E-2</v>
      </c>
      <c r="N184" s="14">
        <f>0.1*0.1</f>
        <v>1.0000000000000002E-2</v>
      </c>
      <c r="O184" s="1">
        <f ca="1">P184*J184*(1+Growth!G$6)^(2010-K184)</f>
        <v>310.89284767387352</v>
      </c>
      <c r="P184" s="1">
        <v>187</v>
      </c>
      <c r="Q184" s="2">
        <f t="shared" si="148"/>
        <v>187</v>
      </c>
      <c r="R184" s="21">
        <f t="shared" ca="1" si="121"/>
        <v>96654.36273477033</v>
      </c>
      <c r="X184" s="2">
        <f>P184</f>
        <v>187</v>
      </c>
      <c r="AC184" s="1">
        <f t="shared" si="152"/>
        <v>6.9</v>
      </c>
      <c r="AD184" s="5">
        <v>1</v>
      </c>
      <c r="AE184" s="5">
        <v>1</v>
      </c>
      <c r="AF184" s="5">
        <v>1</v>
      </c>
      <c r="AG184" s="5">
        <v>1</v>
      </c>
      <c r="AH184" s="5">
        <v>1</v>
      </c>
      <c r="AI184" s="3">
        <f t="shared" si="112"/>
        <v>1.9</v>
      </c>
      <c r="AJ184" s="5">
        <f t="shared" si="136"/>
        <v>0</v>
      </c>
      <c r="AK184" s="5">
        <f t="shared" si="123"/>
        <v>0</v>
      </c>
      <c r="AL184" s="5">
        <f t="shared" si="124"/>
        <v>0</v>
      </c>
      <c r="AM184" s="5">
        <f t="shared" si="137"/>
        <v>0</v>
      </c>
      <c r="AN184" s="5">
        <f t="shared" si="125"/>
        <v>0</v>
      </c>
      <c r="AO184" s="5">
        <f t="shared" si="138"/>
        <v>0</v>
      </c>
      <c r="AP184" s="1">
        <v>1</v>
      </c>
      <c r="AQ184" s="1">
        <v>-1</v>
      </c>
      <c r="AR184" s="5">
        <v>1</v>
      </c>
      <c r="AS184" s="5">
        <v>1</v>
      </c>
      <c r="AT184" s="5">
        <v>0</v>
      </c>
      <c r="AU184" s="5">
        <v>0</v>
      </c>
      <c r="AV184" s="5">
        <f t="shared" si="113"/>
        <v>0</v>
      </c>
      <c r="AW184" s="5">
        <f t="shared" si="114"/>
        <v>1</v>
      </c>
      <c r="AX184" s="5">
        <f t="shared" si="115"/>
        <v>0</v>
      </c>
      <c r="AY184" s="1">
        <f t="shared" si="149"/>
        <v>0</v>
      </c>
      <c r="AZ184" s="1">
        <f t="shared" si="150"/>
        <v>0</v>
      </c>
      <c r="BA184" s="1">
        <f t="shared" si="151"/>
        <v>0</v>
      </c>
      <c r="BB184" s="5">
        <v>0</v>
      </c>
      <c r="BC184" s="5">
        <v>0</v>
      </c>
      <c r="BD184" s="5">
        <v>1</v>
      </c>
      <c r="BE184" s="5">
        <f t="shared" si="153"/>
        <v>0</v>
      </c>
      <c r="BF184" s="5">
        <v>0</v>
      </c>
      <c r="BG184" s="5">
        <f t="shared" si="155"/>
        <v>0</v>
      </c>
      <c r="BH184" s="5">
        <f t="shared" si="155"/>
        <v>0</v>
      </c>
      <c r="BI184" s="5">
        <f t="shared" si="155"/>
        <v>0</v>
      </c>
      <c r="BJ184" s="5">
        <f t="shared" si="155"/>
        <v>0</v>
      </c>
      <c r="BK184" s="5">
        <f t="shared" si="155"/>
        <v>0</v>
      </c>
      <c r="BL184" s="5">
        <f t="shared" si="155"/>
        <v>0</v>
      </c>
      <c r="BM184" s="5">
        <f t="shared" si="155"/>
        <v>0</v>
      </c>
      <c r="BN184" s="5">
        <f t="shared" si="155"/>
        <v>0</v>
      </c>
      <c r="BO184" s="5">
        <f t="shared" si="154"/>
        <v>1</v>
      </c>
      <c r="BP184" s="5">
        <f t="shared" si="154"/>
        <v>0</v>
      </c>
      <c r="BQ184" s="5">
        <f t="shared" si="154"/>
        <v>0</v>
      </c>
      <c r="BR184" s="5">
        <f t="shared" si="154"/>
        <v>0</v>
      </c>
      <c r="BS184" s="5">
        <f t="shared" si="154"/>
        <v>0</v>
      </c>
      <c r="BT184" s="5">
        <f t="shared" si="154"/>
        <v>0</v>
      </c>
      <c r="BU184" s="5">
        <f t="shared" si="154"/>
        <v>0</v>
      </c>
      <c r="BV184" s="5">
        <f t="shared" si="154"/>
        <v>0</v>
      </c>
      <c r="BW184" s="5">
        <f t="shared" si="154"/>
        <v>0</v>
      </c>
      <c r="BX184" s="5">
        <f t="shared" si="154"/>
        <v>0</v>
      </c>
      <c r="BY184" s="5">
        <f t="shared" si="154"/>
        <v>0</v>
      </c>
      <c r="BZ184" s="5">
        <f t="shared" si="154"/>
        <v>0</v>
      </c>
      <c r="CA184" s="5">
        <f t="shared" si="154"/>
        <v>0</v>
      </c>
      <c r="CB184" s="5">
        <f t="shared" si="154"/>
        <v>0</v>
      </c>
      <c r="CC184" s="5">
        <f t="shared" si="147"/>
        <v>0</v>
      </c>
      <c r="CD184" s="5">
        <f t="shared" si="147"/>
        <v>0</v>
      </c>
      <c r="CE184" s="5">
        <f t="shared" si="147"/>
        <v>0</v>
      </c>
    </row>
    <row r="185" spans="1:83" x14ac:dyDescent="0.2">
      <c r="A185" s="4"/>
      <c r="B185" s="4"/>
      <c r="C185" s="1">
        <f>Growth!D190</f>
        <v>0</v>
      </c>
      <c r="D185" s="5" t="b">
        <f t="shared" si="118"/>
        <v>0</v>
      </c>
      <c r="E185" s="5">
        <v>1999</v>
      </c>
      <c r="F185" s="5">
        <f ca="1">LOOKUP($E185,frequence!$A$2:$A$35,frequence!L$2:L$35)</f>
        <v>28.394272714827164</v>
      </c>
      <c r="G185" s="5">
        <f ca="1">LOOKUP($E185,frequence!$A$2:$A$35,frequence!K$2:K$35)</f>
        <v>0.57480720321912437</v>
      </c>
      <c r="H185" s="5">
        <f ca="1">LOOKUP($E185,frequence!$A$2:$A$35,frequence!M$2:M$35)</f>
        <v>186.16901967856262</v>
      </c>
      <c r="I185" s="5">
        <v>1995</v>
      </c>
      <c r="J185" s="7">
        <f>LOOKUP(I185,CPI!A$69:A$103,CPI!O$69:O$103)</f>
        <v>1.4308136482939633</v>
      </c>
      <c r="K185" s="5">
        <v>2000</v>
      </c>
      <c r="L185" s="7">
        <f t="shared" ca="1" si="119"/>
        <v>1</v>
      </c>
      <c r="M185" s="7">
        <f t="shared" si="111"/>
        <v>6.900000000000002E-2</v>
      </c>
      <c r="N185" s="14">
        <f>0.1*0.1</f>
        <v>1.0000000000000002E-2</v>
      </c>
      <c r="O185" s="1">
        <f ca="1">P185*J185*(1+Growth!G$6)^(2010-K185)</f>
        <v>259.35446116109233</v>
      </c>
      <c r="P185" s="1">
        <v>156</v>
      </c>
      <c r="Q185" s="2">
        <f t="shared" si="148"/>
        <v>156</v>
      </c>
      <c r="R185" s="21">
        <f t="shared" ca="1" si="121"/>
        <v>67264.736524160544</v>
      </c>
      <c r="X185" s="2">
        <f>P185</f>
        <v>156</v>
      </c>
      <c r="AC185" s="1">
        <f t="shared" si="152"/>
        <v>6.9</v>
      </c>
      <c r="AD185" s="5">
        <v>1</v>
      </c>
      <c r="AE185" s="5">
        <v>1</v>
      </c>
      <c r="AF185" s="5">
        <v>1</v>
      </c>
      <c r="AG185" s="5">
        <v>1</v>
      </c>
      <c r="AH185" s="5">
        <v>1</v>
      </c>
      <c r="AI185" s="3">
        <f t="shared" si="112"/>
        <v>1.9</v>
      </c>
      <c r="AJ185" s="5">
        <f t="shared" si="136"/>
        <v>0</v>
      </c>
      <c r="AK185" s="5">
        <f t="shared" si="123"/>
        <v>0</v>
      </c>
      <c r="AL185" s="5">
        <f t="shared" si="124"/>
        <v>0</v>
      </c>
      <c r="AM185" s="5">
        <f t="shared" si="137"/>
        <v>0</v>
      </c>
      <c r="AN185" s="5">
        <f t="shared" si="125"/>
        <v>0</v>
      </c>
      <c r="AO185" s="5">
        <f t="shared" si="138"/>
        <v>0</v>
      </c>
      <c r="AP185" s="1">
        <v>1</v>
      </c>
      <c r="AQ185" s="1">
        <v>-1</v>
      </c>
      <c r="AR185" s="5">
        <v>1</v>
      </c>
      <c r="AS185" s="5">
        <v>1</v>
      </c>
      <c r="AT185" s="5">
        <v>0</v>
      </c>
      <c r="AU185" s="5">
        <v>0</v>
      </c>
      <c r="AV185" s="5">
        <f t="shared" si="113"/>
        <v>0</v>
      </c>
      <c r="AW185" s="5">
        <f t="shared" si="114"/>
        <v>1</v>
      </c>
      <c r="AX185" s="5">
        <f t="shared" si="115"/>
        <v>0</v>
      </c>
      <c r="AY185" s="1">
        <f t="shared" si="149"/>
        <v>0</v>
      </c>
      <c r="AZ185" s="1">
        <f t="shared" si="150"/>
        <v>0</v>
      </c>
      <c r="BA185" s="1">
        <f t="shared" si="151"/>
        <v>0</v>
      </c>
      <c r="BB185" s="5">
        <v>0</v>
      </c>
      <c r="BC185" s="5">
        <v>0</v>
      </c>
      <c r="BD185" s="5">
        <v>1</v>
      </c>
      <c r="BE185" s="5">
        <f t="shared" si="153"/>
        <v>0</v>
      </c>
      <c r="BF185" s="5">
        <v>0</v>
      </c>
      <c r="BG185" s="5">
        <f t="shared" si="155"/>
        <v>0</v>
      </c>
      <c r="BH185" s="5">
        <f t="shared" si="155"/>
        <v>0</v>
      </c>
      <c r="BI185" s="5">
        <f t="shared" si="155"/>
        <v>0</v>
      </c>
      <c r="BJ185" s="5">
        <f t="shared" si="155"/>
        <v>0</v>
      </c>
      <c r="BK185" s="5">
        <f t="shared" si="155"/>
        <v>0</v>
      </c>
      <c r="BL185" s="5">
        <f t="shared" si="155"/>
        <v>0</v>
      </c>
      <c r="BM185" s="5">
        <f t="shared" si="155"/>
        <v>0</v>
      </c>
      <c r="BN185" s="5">
        <f t="shared" si="155"/>
        <v>0</v>
      </c>
      <c r="BO185" s="5">
        <f t="shared" si="154"/>
        <v>1</v>
      </c>
      <c r="BP185" s="5">
        <f t="shared" si="154"/>
        <v>0</v>
      </c>
      <c r="BQ185" s="5">
        <f t="shared" si="154"/>
        <v>0</v>
      </c>
      <c r="BR185" s="5">
        <f t="shared" si="154"/>
        <v>0</v>
      </c>
      <c r="BS185" s="5">
        <f t="shared" si="154"/>
        <v>0</v>
      </c>
      <c r="BT185" s="5">
        <f t="shared" si="154"/>
        <v>0</v>
      </c>
      <c r="BU185" s="5">
        <f t="shared" si="154"/>
        <v>0</v>
      </c>
      <c r="BV185" s="5">
        <f t="shared" si="154"/>
        <v>0</v>
      </c>
      <c r="BW185" s="5">
        <f t="shared" si="154"/>
        <v>0</v>
      </c>
      <c r="BX185" s="5">
        <f t="shared" si="154"/>
        <v>0</v>
      </c>
      <c r="BY185" s="5">
        <f t="shared" si="154"/>
        <v>0</v>
      </c>
      <c r="BZ185" s="5">
        <f t="shared" si="154"/>
        <v>0</v>
      </c>
      <c r="CA185" s="5">
        <f t="shared" si="154"/>
        <v>0</v>
      </c>
      <c r="CB185" s="5">
        <f t="shared" si="154"/>
        <v>0</v>
      </c>
      <c r="CC185" s="5">
        <f t="shared" si="147"/>
        <v>0</v>
      </c>
      <c r="CD185" s="5">
        <f t="shared" si="147"/>
        <v>0</v>
      </c>
      <c r="CE185" s="5">
        <f t="shared" si="147"/>
        <v>0</v>
      </c>
    </row>
    <row r="186" spans="1:83" x14ac:dyDescent="0.2">
      <c r="A186" s="6"/>
      <c r="B186" s="6"/>
      <c r="C186" s="1">
        <f>Growth!D191</f>
        <v>0</v>
      </c>
      <c r="D186" s="5" t="b">
        <f t="shared" si="118"/>
        <v>0</v>
      </c>
      <c r="E186" s="5">
        <v>1999</v>
      </c>
      <c r="F186" s="5">
        <f ca="1">LOOKUP($E186,frequence!$A$2:$A$35,frequence!L$2:L$35)</f>
        <v>28.394272714827164</v>
      </c>
      <c r="G186" s="5">
        <f ca="1">LOOKUP($E186,frequence!$A$2:$A$35,frequence!K$2:K$35)</f>
        <v>0.57480720321912437</v>
      </c>
      <c r="H186" s="5">
        <f ca="1">LOOKUP($E186,frequence!$A$2:$A$35,frequence!M$2:M$35)</f>
        <v>186.16901967856262</v>
      </c>
      <c r="I186" s="5">
        <v>1995</v>
      </c>
      <c r="J186" s="7">
        <f>LOOKUP(I186,CPI!A$69:A$103,CPI!O$69:O$103)</f>
        <v>1.4308136482939633</v>
      </c>
      <c r="K186" s="5">
        <v>2000</v>
      </c>
      <c r="L186" s="7">
        <f t="shared" ca="1" si="119"/>
        <v>1</v>
      </c>
      <c r="M186" s="7">
        <f t="shared" si="111"/>
        <v>0.69000000000000006</v>
      </c>
      <c r="N186" s="14">
        <f>0.5*0.2</f>
        <v>0.1</v>
      </c>
      <c r="O186" s="1">
        <f ca="1">P186*J186*(1+Growth!G$6)^(2010-K186)</f>
        <v>43.225743526848724</v>
      </c>
      <c r="P186" s="1">
        <v>26</v>
      </c>
      <c r="Q186" s="3">
        <v>35</v>
      </c>
      <c r="R186" s="21">
        <f t="shared" ca="1" si="121"/>
        <v>1868.4649034489044</v>
      </c>
      <c r="S186" s="3">
        <v>22</v>
      </c>
      <c r="T186" s="3">
        <v>7</v>
      </c>
      <c r="U186" s="3">
        <v>11</v>
      </c>
      <c r="V186" s="3"/>
      <c r="W186" s="3"/>
      <c r="X186" s="3">
        <v>29</v>
      </c>
      <c r="AA186" s="1">
        <v>77</v>
      </c>
      <c r="AB186" s="1">
        <v>114</v>
      </c>
      <c r="AC186" s="1">
        <f t="shared" si="152"/>
        <v>6.9</v>
      </c>
      <c r="AD186" s="5">
        <v>1</v>
      </c>
      <c r="AE186" s="5">
        <v>1</v>
      </c>
      <c r="AF186" s="5">
        <v>1</v>
      </c>
      <c r="AG186" s="5">
        <v>1</v>
      </c>
      <c r="AH186" s="5">
        <v>1</v>
      </c>
      <c r="AI186" s="3">
        <f t="shared" si="112"/>
        <v>1.9</v>
      </c>
      <c r="AJ186" s="5">
        <f t="shared" si="136"/>
        <v>1</v>
      </c>
      <c r="AK186" s="5">
        <f t="shared" si="123"/>
        <v>0</v>
      </c>
      <c r="AL186" s="5">
        <f t="shared" si="124"/>
        <v>0</v>
      </c>
      <c r="AM186" s="5">
        <f t="shared" si="137"/>
        <v>0</v>
      </c>
      <c r="AN186" s="5">
        <f t="shared" si="125"/>
        <v>0</v>
      </c>
      <c r="AO186" s="5">
        <f t="shared" si="138"/>
        <v>0</v>
      </c>
      <c r="AP186" s="1">
        <v>5</v>
      </c>
      <c r="AQ186" s="1">
        <v>3</v>
      </c>
      <c r="AR186" s="5">
        <v>1</v>
      </c>
      <c r="AS186" s="5">
        <v>0</v>
      </c>
      <c r="AT186" s="5">
        <v>1</v>
      </c>
      <c r="AU186" s="5">
        <v>1</v>
      </c>
      <c r="AV186" s="5">
        <f t="shared" si="113"/>
        <v>0</v>
      </c>
      <c r="AW186" s="5">
        <f t="shared" si="114"/>
        <v>1</v>
      </c>
      <c r="AX186" s="5">
        <f t="shared" si="115"/>
        <v>0</v>
      </c>
      <c r="AY186" s="1">
        <f t="shared" si="149"/>
        <v>0</v>
      </c>
      <c r="AZ186" s="1">
        <f t="shared" si="150"/>
        <v>0</v>
      </c>
      <c r="BA186" s="1">
        <f t="shared" si="151"/>
        <v>0</v>
      </c>
      <c r="BB186" s="5">
        <v>0</v>
      </c>
      <c r="BC186" s="5">
        <v>0</v>
      </c>
      <c r="BD186" s="5">
        <v>1</v>
      </c>
      <c r="BE186" s="5">
        <f t="shared" si="153"/>
        <v>0</v>
      </c>
      <c r="BF186" s="5">
        <v>0</v>
      </c>
      <c r="BG186" s="5">
        <f t="shared" si="155"/>
        <v>0</v>
      </c>
      <c r="BH186" s="5">
        <f t="shared" si="155"/>
        <v>0</v>
      </c>
      <c r="BI186" s="5">
        <f t="shared" si="155"/>
        <v>0</v>
      </c>
      <c r="BJ186" s="5">
        <f t="shared" si="155"/>
        <v>0</v>
      </c>
      <c r="BK186" s="5">
        <f t="shared" si="155"/>
        <v>0</v>
      </c>
      <c r="BL186" s="5">
        <f t="shared" si="155"/>
        <v>0</v>
      </c>
      <c r="BM186" s="5">
        <f t="shared" si="155"/>
        <v>0</v>
      </c>
      <c r="BN186" s="5">
        <f t="shared" si="155"/>
        <v>0</v>
      </c>
      <c r="BO186" s="5">
        <f t="shared" si="154"/>
        <v>1</v>
      </c>
      <c r="BP186" s="5">
        <f t="shared" si="154"/>
        <v>0</v>
      </c>
      <c r="BQ186" s="5">
        <f t="shared" si="154"/>
        <v>0</v>
      </c>
      <c r="BR186" s="5">
        <f t="shared" si="154"/>
        <v>0</v>
      </c>
      <c r="BS186" s="5">
        <f t="shared" si="154"/>
        <v>0</v>
      </c>
      <c r="BT186" s="5">
        <f t="shared" si="154"/>
        <v>0</v>
      </c>
      <c r="BU186" s="5">
        <f t="shared" si="154"/>
        <v>0</v>
      </c>
      <c r="BV186" s="5">
        <f t="shared" si="154"/>
        <v>0</v>
      </c>
      <c r="BW186" s="5">
        <f t="shared" si="154"/>
        <v>0</v>
      </c>
      <c r="BX186" s="5">
        <f t="shared" si="154"/>
        <v>0</v>
      </c>
      <c r="BY186" s="5">
        <f t="shared" si="154"/>
        <v>0</v>
      </c>
      <c r="BZ186" s="5">
        <f t="shared" si="154"/>
        <v>0</v>
      </c>
      <c r="CA186" s="5">
        <f t="shared" si="154"/>
        <v>0</v>
      </c>
      <c r="CB186" s="5">
        <f t="shared" si="154"/>
        <v>0</v>
      </c>
      <c r="CC186" s="5">
        <f t="shared" si="147"/>
        <v>0</v>
      </c>
      <c r="CD186" s="5">
        <f t="shared" si="147"/>
        <v>0</v>
      </c>
      <c r="CE186" s="5">
        <f t="shared" si="147"/>
        <v>0</v>
      </c>
    </row>
    <row r="187" spans="1:83" x14ac:dyDescent="0.2">
      <c r="A187" s="4"/>
      <c r="B187" s="4"/>
      <c r="C187" s="1">
        <f>Growth!D192</f>
        <v>0</v>
      </c>
      <c r="D187" s="5" t="b">
        <f t="shared" si="118"/>
        <v>0</v>
      </c>
      <c r="E187" s="5">
        <v>1999</v>
      </c>
      <c r="F187" s="5">
        <f ca="1">LOOKUP($E187,frequence!$A$2:$A$35,frequence!L$2:L$35)</f>
        <v>28.394272714827164</v>
      </c>
      <c r="G187" s="5">
        <f ca="1">LOOKUP($E187,frequence!$A$2:$A$35,frequence!K$2:K$35)</f>
        <v>0.57480720321912437</v>
      </c>
      <c r="H187" s="5">
        <f ca="1">LOOKUP($E187,frequence!$A$2:$A$35,frequence!M$2:M$35)</f>
        <v>186.16901967856262</v>
      </c>
      <c r="I187" s="5">
        <v>1995</v>
      </c>
      <c r="J187" s="7">
        <f>LOOKUP(I187,CPI!A$69:A$103,CPI!O$69:O$103)</f>
        <v>1.4308136482939633</v>
      </c>
      <c r="K187" s="5">
        <v>2000</v>
      </c>
      <c r="L187" s="7">
        <f t="shared" ca="1" si="119"/>
        <v>1</v>
      </c>
      <c r="M187" s="7">
        <f t="shared" si="111"/>
        <v>0.13800000000000004</v>
      </c>
      <c r="N187" s="14">
        <f>0.1*0.2</f>
        <v>2.0000000000000004E-2</v>
      </c>
      <c r="O187" s="1">
        <f ca="1">P187*J187*(1+Growth!G$6)^(2010-K187)</f>
        <v>43.225743526848724</v>
      </c>
      <c r="P187" s="1">
        <v>26</v>
      </c>
      <c r="Q187" s="2">
        <f t="shared" si="148"/>
        <v>26</v>
      </c>
      <c r="R187" s="21">
        <f t="shared" ca="1" si="121"/>
        <v>1868.4649034489044</v>
      </c>
      <c r="X187" s="2">
        <f>P187</f>
        <v>26</v>
      </c>
      <c r="AC187" s="1">
        <f t="shared" si="152"/>
        <v>6.9</v>
      </c>
      <c r="AD187" s="5">
        <v>1</v>
      </c>
      <c r="AE187" s="5">
        <v>1</v>
      </c>
      <c r="AF187" s="5">
        <v>1</v>
      </c>
      <c r="AG187" s="5">
        <v>1</v>
      </c>
      <c r="AH187" s="5">
        <v>1</v>
      </c>
      <c r="AI187" s="3">
        <f t="shared" si="112"/>
        <v>1.9</v>
      </c>
      <c r="AJ187" s="5">
        <f t="shared" si="136"/>
        <v>1</v>
      </c>
      <c r="AK187" s="5">
        <f t="shared" si="123"/>
        <v>0</v>
      </c>
      <c r="AL187" s="5">
        <f t="shared" si="124"/>
        <v>0</v>
      </c>
      <c r="AM187" s="5">
        <f t="shared" si="137"/>
        <v>0</v>
      </c>
      <c r="AN187" s="5">
        <f t="shared" si="125"/>
        <v>0</v>
      </c>
      <c r="AO187" s="5">
        <f t="shared" si="138"/>
        <v>0</v>
      </c>
      <c r="AP187" s="1">
        <v>5</v>
      </c>
      <c r="AQ187" s="1">
        <v>3</v>
      </c>
      <c r="AR187" s="5">
        <v>1</v>
      </c>
      <c r="AS187" s="5">
        <v>1</v>
      </c>
      <c r="AT187" s="5">
        <v>0</v>
      </c>
      <c r="AU187" s="5">
        <v>1</v>
      </c>
      <c r="AV187" s="5">
        <f t="shared" si="113"/>
        <v>0</v>
      </c>
      <c r="AW187" s="5">
        <f t="shared" si="114"/>
        <v>1</v>
      </c>
      <c r="AX187" s="5">
        <f t="shared" si="115"/>
        <v>0</v>
      </c>
      <c r="AY187" s="1">
        <f t="shared" si="149"/>
        <v>0</v>
      </c>
      <c r="AZ187" s="1">
        <f t="shared" si="150"/>
        <v>0</v>
      </c>
      <c r="BA187" s="1">
        <f t="shared" si="151"/>
        <v>0</v>
      </c>
      <c r="BB187" s="5">
        <v>0</v>
      </c>
      <c r="BC187" s="5">
        <v>0</v>
      </c>
      <c r="BD187" s="5">
        <v>1</v>
      </c>
      <c r="BE187" s="5">
        <f t="shared" si="153"/>
        <v>0</v>
      </c>
      <c r="BF187" s="5">
        <v>0</v>
      </c>
      <c r="BG187" s="5">
        <f t="shared" si="155"/>
        <v>0</v>
      </c>
      <c r="BH187" s="5">
        <f t="shared" si="155"/>
        <v>0</v>
      </c>
      <c r="BI187" s="5">
        <f t="shared" si="155"/>
        <v>0</v>
      </c>
      <c r="BJ187" s="5">
        <f t="shared" si="155"/>
        <v>0</v>
      </c>
      <c r="BK187" s="5">
        <f t="shared" si="155"/>
        <v>0</v>
      </c>
      <c r="BL187" s="5">
        <f t="shared" si="155"/>
        <v>0</v>
      </c>
      <c r="BM187" s="5">
        <f t="shared" si="155"/>
        <v>0</v>
      </c>
      <c r="BN187" s="5">
        <f t="shared" si="155"/>
        <v>0</v>
      </c>
      <c r="BO187" s="5">
        <f t="shared" si="154"/>
        <v>1</v>
      </c>
      <c r="BP187" s="5">
        <f t="shared" si="154"/>
        <v>0</v>
      </c>
      <c r="BQ187" s="5">
        <f t="shared" si="154"/>
        <v>0</v>
      </c>
      <c r="BR187" s="5">
        <f t="shared" si="154"/>
        <v>0</v>
      </c>
      <c r="BS187" s="5">
        <f t="shared" si="154"/>
        <v>0</v>
      </c>
      <c r="BT187" s="5">
        <f t="shared" si="154"/>
        <v>0</v>
      </c>
      <c r="BU187" s="5">
        <f t="shared" si="154"/>
        <v>0</v>
      </c>
      <c r="BV187" s="5">
        <f t="shared" si="154"/>
        <v>0</v>
      </c>
      <c r="BW187" s="5">
        <f t="shared" si="154"/>
        <v>0</v>
      </c>
      <c r="BX187" s="5">
        <f t="shared" si="154"/>
        <v>0</v>
      </c>
      <c r="BY187" s="5">
        <f t="shared" si="154"/>
        <v>0</v>
      </c>
      <c r="BZ187" s="5">
        <f t="shared" si="154"/>
        <v>0</v>
      </c>
      <c r="CA187" s="5">
        <f t="shared" si="154"/>
        <v>0</v>
      </c>
      <c r="CB187" s="5">
        <f t="shared" si="154"/>
        <v>0</v>
      </c>
      <c r="CC187" s="5">
        <f t="shared" si="154"/>
        <v>0</v>
      </c>
      <c r="CD187" s="5">
        <f t="shared" ref="CD187:CE206" si="156">IF($E187=CD$2,1,0)</f>
        <v>0</v>
      </c>
      <c r="CE187" s="5">
        <f t="shared" si="156"/>
        <v>0</v>
      </c>
    </row>
    <row r="188" spans="1:83" x14ac:dyDescent="0.2">
      <c r="A188" s="4"/>
      <c r="B188" s="4"/>
      <c r="C188" s="1">
        <f>Growth!D193</f>
        <v>0</v>
      </c>
      <c r="D188" s="5" t="b">
        <f t="shared" si="118"/>
        <v>0</v>
      </c>
      <c r="E188" s="5">
        <v>1999</v>
      </c>
      <c r="F188" s="5">
        <f ca="1">LOOKUP($E188,frequence!$A$2:$A$35,frequence!L$2:L$35)</f>
        <v>28.394272714827164</v>
      </c>
      <c r="G188" s="5">
        <f ca="1">LOOKUP($E188,frequence!$A$2:$A$35,frequence!K$2:K$35)</f>
        <v>0.57480720321912437</v>
      </c>
      <c r="H188" s="5">
        <f ca="1">LOOKUP($E188,frequence!$A$2:$A$35,frequence!M$2:M$35)</f>
        <v>186.16901967856262</v>
      </c>
      <c r="I188" s="5">
        <v>1995</v>
      </c>
      <c r="J188" s="7">
        <f>LOOKUP(I188,CPI!A$69:A$103,CPI!O$69:O$103)</f>
        <v>1.4308136482939633</v>
      </c>
      <c r="K188" s="5">
        <v>2000</v>
      </c>
      <c r="L188" s="7">
        <f t="shared" ca="1" si="119"/>
        <v>1</v>
      </c>
      <c r="M188" s="7">
        <f t="shared" si="111"/>
        <v>0.13800000000000004</v>
      </c>
      <c r="N188" s="14">
        <f>0.1*0.2</f>
        <v>2.0000000000000004E-2</v>
      </c>
      <c r="O188" s="1">
        <f ca="1">P188*J188*(1+Growth!G$6)^(2010-K188)</f>
        <v>14.962757374678404</v>
      </c>
      <c r="P188" s="1">
        <v>9</v>
      </c>
      <c r="Q188" s="2">
        <f t="shared" si="148"/>
        <v>9</v>
      </c>
      <c r="R188" s="21">
        <f t="shared" ca="1" si="121"/>
        <v>223.88410825349297</v>
      </c>
      <c r="X188" s="2">
        <f>P188</f>
        <v>9</v>
      </c>
      <c r="AC188" s="1">
        <f t="shared" si="152"/>
        <v>6.9</v>
      </c>
      <c r="AD188" s="5">
        <v>1</v>
      </c>
      <c r="AE188" s="5">
        <v>1</v>
      </c>
      <c r="AF188" s="5">
        <v>1</v>
      </c>
      <c r="AG188" s="5">
        <v>1</v>
      </c>
      <c r="AH188" s="5">
        <v>1</v>
      </c>
      <c r="AI188" s="3">
        <f t="shared" si="112"/>
        <v>1.9</v>
      </c>
      <c r="AJ188" s="5">
        <f t="shared" si="136"/>
        <v>1</v>
      </c>
      <c r="AK188" s="5">
        <f t="shared" si="123"/>
        <v>0</v>
      </c>
      <c r="AL188" s="5">
        <f t="shared" si="124"/>
        <v>0</v>
      </c>
      <c r="AM188" s="5">
        <f t="shared" si="137"/>
        <v>0</v>
      </c>
      <c r="AN188" s="5">
        <f t="shared" si="125"/>
        <v>0</v>
      </c>
      <c r="AO188" s="5">
        <f t="shared" si="138"/>
        <v>0</v>
      </c>
      <c r="AP188" s="1">
        <v>5</v>
      </c>
      <c r="AQ188" s="1">
        <v>3</v>
      </c>
      <c r="AR188" s="5">
        <v>0</v>
      </c>
      <c r="AS188" s="5">
        <v>1</v>
      </c>
      <c r="AT188" s="5">
        <v>0</v>
      </c>
      <c r="AU188" s="5">
        <v>0</v>
      </c>
      <c r="AV188" s="5">
        <f t="shared" si="113"/>
        <v>0</v>
      </c>
      <c r="AW188" s="5">
        <f t="shared" si="114"/>
        <v>1</v>
      </c>
      <c r="AX188" s="5">
        <f t="shared" si="115"/>
        <v>0</v>
      </c>
      <c r="AY188" s="1">
        <f t="shared" si="149"/>
        <v>1</v>
      </c>
      <c r="AZ188" s="1">
        <f t="shared" si="150"/>
        <v>0</v>
      </c>
      <c r="BA188" s="1">
        <f t="shared" si="151"/>
        <v>0</v>
      </c>
      <c r="BB188" s="5">
        <v>0</v>
      </c>
      <c r="BC188" s="5">
        <v>0</v>
      </c>
      <c r="BD188" s="5">
        <v>1</v>
      </c>
      <c r="BE188" s="5">
        <f t="shared" si="153"/>
        <v>0</v>
      </c>
      <c r="BF188" s="5">
        <v>0</v>
      </c>
      <c r="BG188" s="5">
        <f t="shared" si="155"/>
        <v>0</v>
      </c>
      <c r="BH188" s="5">
        <f t="shared" si="155"/>
        <v>0</v>
      </c>
      <c r="BI188" s="5">
        <f t="shared" si="155"/>
        <v>0</v>
      </c>
      <c r="BJ188" s="5">
        <f t="shared" si="155"/>
        <v>0</v>
      </c>
      <c r="BK188" s="5">
        <f t="shared" si="155"/>
        <v>0</v>
      </c>
      <c r="BL188" s="5">
        <f t="shared" si="155"/>
        <v>0</v>
      </c>
      <c r="BM188" s="5">
        <f t="shared" si="155"/>
        <v>0</v>
      </c>
      <c r="BN188" s="5">
        <f t="shared" si="155"/>
        <v>0</v>
      </c>
      <c r="BO188" s="5">
        <f t="shared" si="154"/>
        <v>1</v>
      </c>
      <c r="BP188" s="5">
        <f t="shared" si="154"/>
        <v>0</v>
      </c>
      <c r="BQ188" s="5">
        <f t="shared" si="154"/>
        <v>0</v>
      </c>
      <c r="BR188" s="5">
        <f t="shared" si="154"/>
        <v>0</v>
      </c>
      <c r="BS188" s="5">
        <f t="shared" si="154"/>
        <v>0</v>
      </c>
      <c r="BT188" s="5">
        <f t="shared" si="154"/>
        <v>0</v>
      </c>
      <c r="BU188" s="5">
        <f t="shared" si="154"/>
        <v>0</v>
      </c>
      <c r="BV188" s="5">
        <f t="shared" si="154"/>
        <v>0</v>
      </c>
      <c r="BW188" s="5">
        <f t="shared" si="154"/>
        <v>0</v>
      </c>
      <c r="BX188" s="5">
        <f t="shared" si="154"/>
        <v>0</v>
      </c>
      <c r="BY188" s="5">
        <f t="shared" si="154"/>
        <v>0</v>
      </c>
      <c r="BZ188" s="5">
        <f t="shared" si="154"/>
        <v>0</v>
      </c>
      <c r="CA188" s="5">
        <f t="shared" si="154"/>
        <v>0</v>
      </c>
      <c r="CB188" s="5">
        <f t="shared" si="154"/>
        <v>0</v>
      </c>
      <c r="CC188" s="5">
        <f t="shared" si="154"/>
        <v>0</v>
      </c>
      <c r="CD188" s="5">
        <f t="shared" si="156"/>
        <v>0</v>
      </c>
      <c r="CE188" s="5">
        <f t="shared" si="156"/>
        <v>0</v>
      </c>
    </row>
    <row r="189" spans="1:83" x14ac:dyDescent="0.2">
      <c r="A189" s="4"/>
      <c r="B189" s="4"/>
      <c r="C189" s="1">
        <f>Growth!D194</f>
        <v>0</v>
      </c>
      <c r="D189" s="5" t="b">
        <f t="shared" si="118"/>
        <v>0</v>
      </c>
      <c r="E189" s="5">
        <v>1999</v>
      </c>
      <c r="F189" s="5">
        <f ca="1">LOOKUP($E189,frequence!$A$2:$A$35,frequence!L$2:L$35)</f>
        <v>28.394272714827164</v>
      </c>
      <c r="G189" s="5">
        <f ca="1">LOOKUP($E189,frequence!$A$2:$A$35,frequence!K$2:K$35)</f>
        <v>0.57480720321912437</v>
      </c>
      <c r="H189" s="5">
        <f ca="1">LOOKUP($E189,frequence!$A$2:$A$35,frequence!M$2:M$35)</f>
        <v>186.16901967856262</v>
      </c>
      <c r="I189" s="5">
        <v>1995</v>
      </c>
      <c r="J189" s="7">
        <f>LOOKUP(I189,CPI!A$69:A$103,CPI!O$69:O$103)</f>
        <v>1.4308136482939633</v>
      </c>
      <c r="K189" s="5">
        <v>2000</v>
      </c>
      <c r="L189" s="7">
        <f t="shared" ca="1" si="119"/>
        <v>1</v>
      </c>
      <c r="M189" s="7">
        <f t="shared" si="111"/>
        <v>0.13800000000000004</v>
      </c>
      <c r="N189" s="14">
        <f>0.1*0.2</f>
        <v>2.0000000000000004E-2</v>
      </c>
      <c r="O189" s="1">
        <f ca="1">P189*J189*(1+Growth!G$6)^(2010-K189)</f>
        <v>46.550800721221705</v>
      </c>
      <c r="P189" s="1">
        <v>28</v>
      </c>
      <c r="Q189" s="2">
        <f t="shared" si="148"/>
        <v>28</v>
      </c>
      <c r="R189" s="21">
        <f t="shared" ca="1" si="121"/>
        <v>2166.9770477868951</v>
      </c>
      <c r="X189" s="2">
        <f>P189</f>
        <v>28</v>
      </c>
      <c r="AC189" s="1">
        <f t="shared" si="152"/>
        <v>6.9</v>
      </c>
      <c r="AD189" s="5">
        <v>1</v>
      </c>
      <c r="AE189" s="5">
        <v>1</v>
      </c>
      <c r="AF189" s="5">
        <v>1</v>
      </c>
      <c r="AG189" s="5">
        <v>1</v>
      </c>
      <c r="AH189" s="5">
        <v>1</v>
      </c>
      <c r="AI189" s="3">
        <f t="shared" si="112"/>
        <v>1.9</v>
      </c>
      <c r="AJ189" s="5">
        <f t="shared" si="136"/>
        <v>1</v>
      </c>
      <c r="AK189" s="5">
        <f t="shared" si="123"/>
        <v>0</v>
      </c>
      <c r="AL189" s="5">
        <f t="shared" si="124"/>
        <v>0</v>
      </c>
      <c r="AM189" s="5">
        <f t="shared" si="137"/>
        <v>0</v>
      </c>
      <c r="AN189" s="5">
        <f t="shared" si="125"/>
        <v>0</v>
      </c>
      <c r="AO189" s="5">
        <f t="shared" si="138"/>
        <v>0</v>
      </c>
      <c r="AP189" s="1">
        <v>5</v>
      </c>
      <c r="AQ189" s="1">
        <v>3</v>
      </c>
      <c r="AR189" s="5">
        <v>1</v>
      </c>
      <c r="AS189" s="5">
        <v>1</v>
      </c>
      <c r="AT189" s="5">
        <v>0</v>
      </c>
      <c r="AU189" s="5">
        <v>0</v>
      </c>
      <c r="AV189" s="5">
        <f t="shared" si="113"/>
        <v>0</v>
      </c>
      <c r="AW189" s="5">
        <f t="shared" si="114"/>
        <v>1</v>
      </c>
      <c r="AX189" s="5">
        <f t="shared" si="115"/>
        <v>0</v>
      </c>
      <c r="AY189" s="1">
        <f t="shared" si="149"/>
        <v>0</v>
      </c>
      <c r="AZ189" s="1">
        <f t="shared" si="150"/>
        <v>0</v>
      </c>
      <c r="BA189" s="1">
        <f t="shared" si="151"/>
        <v>0</v>
      </c>
      <c r="BB189" s="5">
        <v>0</v>
      </c>
      <c r="BC189" s="5">
        <v>0</v>
      </c>
      <c r="BD189" s="5">
        <v>1</v>
      </c>
      <c r="BE189" s="5">
        <f t="shared" si="153"/>
        <v>0</v>
      </c>
      <c r="BF189" s="5">
        <v>0</v>
      </c>
      <c r="BG189" s="5">
        <f t="shared" si="155"/>
        <v>0</v>
      </c>
      <c r="BH189" s="5">
        <f t="shared" si="155"/>
        <v>0</v>
      </c>
      <c r="BI189" s="5">
        <f t="shared" si="155"/>
        <v>0</v>
      </c>
      <c r="BJ189" s="5">
        <f t="shared" si="155"/>
        <v>0</v>
      </c>
      <c r="BK189" s="5">
        <f t="shared" si="155"/>
        <v>0</v>
      </c>
      <c r="BL189" s="5">
        <f t="shared" si="155"/>
        <v>0</v>
      </c>
      <c r="BM189" s="5">
        <f t="shared" si="155"/>
        <v>0</v>
      </c>
      <c r="BN189" s="5">
        <f t="shared" si="155"/>
        <v>0</v>
      </c>
      <c r="BO189" s="5">
        <f t="shared" si="154"/>
        <v>1</v>
      </c>
      <c r="BP189" s="5">
        <f t="shared" si="154"/>
        <v>0</v>
      </c>
      <c r="BQ189" s="5">
        <f t="shared" si="154"/>
        <v>0</v>
      </c>
      <c r="BR189" s="5">
        <f t="shared" si="154"/>
        <v>0</v>
      </c>
      <c r="BS189" s="5">
        <f t="shared" si="154"/>
        <v>0</v>
      </c>
      <c r="BT189" s="5">
        <f t="shared" si="154"/>
        <v>0</v>
      </c>
      <c r="BU189" s="5">
        <f t="shared" si="154"/>
        <v>0</v>
      </c>
      <c r="BV189" s="5">
        <f t="shared" si="154"/>
        <v>0</v>
      </c>
      <c r="BW189" s="5">
        <f t="shared" si="154"/>
        <v>0</v>
      </c>
      <c r="BX189" s="5">
        <f t="shared" si="154"/>
        <v>0</v>
      </c>
      <c r="BY189" s="5">
        <f t="shared" si="154"/>
        <v>0</v>
      </c>
      <c r="BZ189" s="5">
        <f t="shared" si="154"/>
        <v>0</v>
      </c>
      <c r="CA189" s="5">
        <f t="shared" si="154"/>
        <v>0</v>
      </c>
      <c r="CB189" s="5">
        <f t="shared" si="154"/>
        <v>0</v>
      </c>
      <c r="CC189" s="5">
        <f t="shared" si="154"/>
        <v>0</v>
      </c>
      <c r="CD189" s="5">
        <f t="shared" si="156"/>
        <v>0</v>
      </c>
      <c r="CE189" s="5">
        <f t="shared" si="156"/>
        <v>0</v>
      </c>
    </row>
    <row r="190" spans="1:83" x14ac:dyDescent="0.2">
      <c r="A190" s="4"/>
      <c r="B190" s="4"/>
      <c r="C190" s="1">
        <f>Growth!D195</f>
        <v>0</v>
      </c>
      <c r="D190" s="5" t="b">
        <f t="shared" si="118"/>
        <v>0</v>
      </c>
      <c r="E190" s="5">
        <v>1999</v>
      </c>
      <c r="F190" s="5">
        <f ca="1">LOOKUP($E190,frequence!$A$2:$A$35,frequence!L$2:L$35)</f>
        <v>28.394272714827164</v>
      </c>
      <c r="G190" s="5">
        <f ca="1">LOOKUP($E190,frequence!$A$2:$A$35,frequence!K$2:K$35)</f>
        <v>0.57480720321912437</v>
      </c>
      <c r="H190" s="5">
        <f ca="1">LOOKUP($E190,frequence!$A$2:$A$35,frequence!M$2:M$35)</f>
        <v>186.16901967856262</v>
      </c>
      <c r="I190" s="5">
        <v>1995</v>
      </c>
      <c r="J190" s="7">
        <f>LOOKUP(I190,CPI!A$69:A$103,CPI!O$69:O$103)</f>
        <v>1.4308136482939633</v>
      </c>
      <c r="K190" s="5">
        <v>2000</v>
      </c>
      <c r="L190" s="7">
        <f t="shared" ca="1" si="119"/>
        <v>1</v>
      </c>
      <c r="M190" s="7">
        <f t="shared" si="111"/>
        <v>0.13800000000000004</v>
      </c>
      <c r="N190" s="14">
        <f>0.1*0.2</f>
        <v>2.0000000000000004E-2</v>
      </c>
      <c r="O190" s="1">
        <f ca="1">P190*J190*(1+Growth!G$6)^(2010-K190)</f>
        <v>46.550800721221705</v>
      </c>
      <c r="P190" s="1">
        <v>28</v>
      </c>
      <c r="Q190" s="2">
        <f t="shared" si="148"/>
        <v>28</v>
      </c>
      <c r="R190" s="21">
        <f t="shared" ca="1" si="121"/>
        <v>2166.9770477868951</v>
      </c>
      <c r="X190" s="2">
        <f>P190</f>
        <v>28</v>
      </c>
      <c r="AC190" s="1">
        <f t="shared" si="152"/>
        <v>6.9</v>
      </c>
      <c r="AD190" s="5">
        <v>1</v>
      </c>
      <c r="AE190" s="5">
        <v>1</v>
      </c>
      <c r="AF190" s="5">
        <v>1</v>
      </c>
      <c r="AG190" s="5">
        <v>1</v>
      </c>
      <c r="AH190" s="5">
        <v>1</v>
      </c>
      <c r="AI190" s="3">
        <f t="shared" si="112"/>
        <v>1.9</v>
      </c>
      <c r="AJ190" s="5">
        <f t="shared" si="136"/>
        <v>1</v>
      </c>
      <c r="AK190" s="5">
        <f t="shared" si="123"/>
        <v>0</v>
      </c>
      <c r="AL190" s="5">
        <f t="shared" si="124"/>
        <v>0</v>
      </c>
      <c r="AM190" s="5">
        <f t="shared" si="137"/>
        <v>0</v>
      </c>
      <c r="AN190" s="5">
        <f t="shared" si="125"/>
        <v>0</v>
      </c>
      <c r="AO190" s="5">
        <f t="shared" si="138"/>
        <v>0</v>
      </c>
      <c r="AP190" s="1">
        <v>5</v>
      </c>
      <c r="AQ190" s="1">
        <v>3</v>
      </c>
      <c r="AR190" s="5">
        <v>1</v>
      </c>
      <c r="AS190" s="5">
        <v>1</v>
      </c>
      <c r="AT190" s="5">
        <v>0</v>
      </c>
      <c r="AU190" s="5">
        <v>0</v>
      </c>
      <c r="AV190" s="5">
        <f t="shared" si="113"/>
        <v>0</v>
      </c>
      <c r="AW190" s="5">
        <f t="shared" si="114"/>
        <v>1</v>
      </c>
      <c r="AX190" s="5">
        <f t="shared" si="115"/>
        <v>0</v>
      </c>
      <c r="AY190" s="1">
        <f t="shared" si="149"/>
        <v>0</v>
      </c>
      <c r="AZ190" s="1">
        <f t="shared" si="150"/>
        <v>0</v>
      </c>
      <c r="BA190" s="1">
        <f t="shared" si="151"/>
        <v>0</v>
      </c>
      <c r="BB190" s="5">
        <v>0</v>
      </c>
      <c r="BC190" s="5">
        <v>0</v>
      </c>
      <c r="BD190" s="5">
        <v>1</v>
      </c>
      <c r="BE190" s="5">
        <f t="shared" si="153"/>
        <v>0</v>
      </c>
      <c r="BF190" s="5">
        <v>0</v>
      </c>
      <c r="BG190" s="5">
        <f t="shared" si="155"/>
        <v>0</v>
      </c>
      <c r="BH190" s="5">
        <f t="shared" si="155"/>
        <v>0</v>
      </c>
      <c r="BI190" s="5">
        <f t="shared" si="155"/>
        <v>0</v>
      </c>
      <c r="BJ190" s="5">
        <f t="shared" si="155"/>
        <v>0</v>
      </c>
      <c r="BK190" s="5">
        <f t="shared" si="155"/>
        <v>0</v>
      </c>
      <c r="BL190" s="5">
        <f t="shared" si="155"/>
        <v>0</v>
      </c>
      <c r="BM190" s="5">
        <f t="shared" si="155"/>
        <v>0</v>
      </c>
      <c r="BN190" s="5">
        <f t="shared" si="155"/>
        <v>0</v>
      </c>
      <c r="BO190" s="5">
        <f t="shared" si="154"/>
        <v>1</v>
      </c>
      <c r="BP190" s="5">
        <f t="shared" si="154"/>
        <v>0</v>
      </c>
      <c r="BQ190" s="5">
        <f t="shared" si="154"/>
        <v>0</v>
      </c>
      <c r="BR190" s="5">
        <f t="shared" si="154"/>
        <v>0</v>
      </c>
      <c r="BS190" s="5">
        <f t="shared" si="154"/>
        <v>0</v>
      </c>
      <c r="BT190" s="5">
        <f t="shared" si="154"/>
        <v>0</v>
      </c>
      <c r="BU190" s="5">
        <f t="shared" si="154"/>
        <v>0</v>
      </c>
      <c r="BV190" s="5">
        <f t="shared" si="154"/>
        <v>0</v>
      </c>
      <c r="BW190" s="5">
        <f t="shared" si="154"/>
        <v>0</v>
      </c>
      <c r="BX190" s="5">
        <f t="shared" si="154"/>
        <v>0</v>
      </c>
      <c r="BY190" s="5">
        <f t="shared" si="154"/>
        <v>0</v>
      </c>
      <c r="BZ190" s="5">
        <f t="shared" si="154"/>
        <v>0</v>
      </c>
      <c r="CA190" s="5">
        <f t="shared" si="154"/>
        <v>0</v>
      </c>
      <c r="CB190" s="5">
        <f t="shared" si="154"/>
        <v>0</v>
      </c>
      <c r="CC190" s="5">
        <f t="shared" si="154"/>
        <v>0</v>
      </c>
      <c r="CD190" s="5">
        <f t="shared" si="156"/>
        <v>0</v>
      </c>
      <c r="CE190" s="5">
        <f t="shared" si="156"/>
        <v>0</v>
      </c>
    </row>
    <row r="191" spans="1:83" x14ac:dyDescent="0.2">
      <c r="A191" s="4"/>
      <c r="B191" s="4"/>
      <c r="C191" s="1">
        <f>Growth!D196</f>
        <v>0</v>
      </c>
      <c r="D191" s="5" t="b">
        <f t="shared" si="118"/>
        <v>0</v>
      </c>
      <c r="E191" s="5">
        <v>1999</v>
      </c>
      <c r="F191" s="5">
        <f ca="1">LOOKUP($E191,frequence!$A$2:$A$35,frequence!L$2:L$35)</f>
        <v>28.394272714827164</v>
      </c>
      <c r="G191" s="5">
        <f ca="1">LOOKUP($E191,frequence!$A$2:$A$35,frequence!K$2:K$35)</f>
        <v>0.57480720321912437</v>
      </c>
      <c r="H191" s="5">
        <f ca="1">LOOKUP($E191,frequence!$A$2:$A$35,frequence!M$2:M$35)</f>
        <v>186.16901967856262</v>
      </c>
      <c r="I191" s="5">
        <v>1995</v>
      </c>
      <c r="J191" s="7">
        <f>LOOKUP(I191,CPI!A$69:A$103,CPI!O$69:O$103)</f>
        <v>1.4308136482939633</v>
      </c>
      <c r="K191" s="5">
        <v>2000</v>
      </c>
      <c r="L191" s="7">
        <f t="shared" ca="1" si="119"/>
        <v>1</v>
      </c>
      <c r="M191" s="7">
        <f t="shared" si="111"/>
        <v>0.13800000000000004</v>
      </c>
      <c r="N191" s="14">
        <f>0.1*0.2</f>
        <v>2.0000000000000004E-2</v>
      </c>
      <c r="O191" s="1">
        <f ca="1">P191*J191*(1+Growth!G$6)^(2010-K191)</f>
        <v>41.563214929662237</v>
      </c>
      <c r="P191" s="1">
        <v>25</v>
      </c>
      <c r="Q191" s="2">
        <f t="shared" si="148"/>
        <v>25</v>
      </c>
      <c r="R191" s="21">
        <f t="shared" ca="1" si="121"/>
        <v>1727.5008352892978</v>
      </c>
      <c r="X191" s="2">
        <f>P191</f>
        <v>25</v>
      </c>
      <c r="AC191" s="1">
        <f t="shared" si="152"/>
        <v>6.9</v>
      </c>
      <c r="AD191" s="5">
        <v>1</v>
      </c>
      <c r="AE191" s="5">
        <v>1</v>
      </c>
      <c r="AF191" s="5">
        <v>1</v>
      </c>
      <c r="AG191" s="5">
        <v>1</v>
      </c>
      <c r="AH191" s="5">
        <v>1</v>
      </c>
      <c r="AI191" s="3">
        <f t="shared" si="112"/>
        <v>1.9</v>
      </c>
      <c r="AJ191" s="5">
        <f t="shared" si="136"/>
        <v>1</v>
      </c>
      <c r="AK191" s="5">
        <f t="shared" si="123"/>
        <v>0</v>
      </c>
      <c r="AL191" s="5">
        <f t="shared" si="124"/>
        <v>0</v>
      </c>
      <c r="AM191" s="5">
        <f t="shared" si="137"/>
        <v>0</v>
      </c>
      <c r="AN191" s="5">
        <f t="shared" si="125"/>
        <v>0</v>
      </c>
      <c r="AO191" s="5">
        <f t="shared" si="138"/>
        <v>0</v>
      </c>
      <c r="AP191" s="1">
        <v>5</v>
      </c>
      <c r="AQ191" s="1">
        <v>3</v>
      </c>
      <c r="AR191" s="5">
        <v>1</v>
      </c>
      <c r="AS191" s="5">
        <v>1</v>
      </c>
      <c r="AT191" s="5">
        <v>0</v>
      </c>
      <c r="AU191" s="5">
        <v>0</v>
      </c>
      <c r="AV191" s="5">
        <f t="shared" si="113"/>
        <v>0</v>
      </c>
      <c r="AW191" s="5">
        <f t="shared" si="114"/>
        <v>1</v>
      </c>
      <c r="AX191" s="5">
        <f t="shared" si="115"/>
        <v>0</v>
      </c>
      <c r="AY191" s="1">
        <f t="shared" si="149"/>
        <v>0</v>
      </c>
      <c r="AZ191" s="1">
        <f t="shared" si="150"/>
        <v>0</v>
      </c>
      <c r="BA191" s="1">
        <f t="shared" si="151"/>
        <v>0</v>
      </c>
      <c r="BB191" s="5">
        <v>0</v>
      </c>
      <c r="BC191" s="5">
        <v>0</v>
      </c>
      <c r="BD191" s="5">
        <v>1</v>
      </c>
      <c r="BE191" s="5">
        <f t="shared" si="153"/>
        <v>0</v>
      </c>
      <c r="BF191" s="5">
        <v>0</v>
      </c>
      <c r="BG191" s="5">
        <f t="shared" si="155"/>
        <v>0</v>
      </c>
      <c r="BH191" s="5">
        <f t="shared" si="155"/>
        <v>0</v>
      </c>
      <c r="BI191" s="5">
        <f t="shared" si="155"/>
        <v>0</v>
      </c>
      <c r="BJ191" s="5">
        <f t="shared" si="155"/>
        <v>0</v>
      </c>
      <c r="BK191" s="5">
        <f t="shared" si="155"/>
        <v>0</v>
      </c>
      <c r="BL191" s="5">
        <f t="shared" si="155"/>
        <v>0</v>
      </c>
      <c r="BM191" s="5">
        <f t="shared" si="155"/>
        <v>0</v>
      </c>
      <c r="BN191" s="5">
        <f t="shared" si="155"/>
        <v>0</v>
      </c>
      <c r="BO191" s="5">
        <f t="shared" si="154"/>
        <v>1</v>
      </c>
      <c r="BP191" s="5">
        <f t="shared" si="154"/>
        <v>0</v>
      </c>
      <c r="BQ191" s="5">
        <f t="shared" si="154"/>
        <v>0</v>
      </c>
      <c r="BR191" s="5">
        <f t="shared" si="154"/>
        <v>0</v>
      </c>
      <c r="BS191" s="5">
        <f t="shared" si="154"/>
        <v>0</v>
      </c>
      <c r="BT191" s="5">
        <f t="shared" si="154"/>
        <v>0</v>
      </c>
      <c r="BU191" s="5">
        <f t="shared" si="154"/>
        <v>0</v>
      </c>
      <c r="BV191" s="5">
        <f t="shared" si="154"/>
        <v>0</v>
      </c>
      <c r="BW191" s="5">
        <f t="shared" si="154"/>
        <v>0</v>
      </c>
      <c r="BX191" s="5">
        <f t="shared" si="154"/>
        <v>0</v>
      </c>
      <c r="BY191" s="5">
        <f t="shared" si="154"/>
        <v>0</v>
      </c>
      <c r="BZ191" s="5">
        <f t="shared" si="154"/>
        <v>0</v>
      </c>
      <c r="CA191" s="5">
        <f t="shared" si="154"/>
        <v>0</v>
      </c>
      <c r="CB191" s="5">
        <f t="shared" si="154"/>
        <v>0</v>
      </c>
      <c r="CC191" s="5">
        <f t="shared" si="154"/>
        <v>0</v>
      </c>
      <c r="CD191" s="5">
        <f t="shared" si="156"/>
        <v>0</v>
      </c>
      <c r="CE191" s="5">
        <f t="shared" si="156"/>
        <v>0</v>
      </c>
    </row>
    <row r="192" spans="1:83" x14ac:dyDescent="0.2">
      <c r="A192" s="6"/>
      <c r="B192" s="6"/>
      <c r="C192" s="1">
        <f>Growth!D197</f>
        <v>0</v>
      </c>
      <c r="D192" s="5" t="b">
        <f t="shared" si="118"/>
        <v>0</v>
      </c>
      <c r="E192" s="5">
        <v>1999</v>
      </c>
      <c r="F192" s="5">
        <f ca="1">LOOKUP($E192,frequence!$A$2:$A$35,frequence!L$2:L$35)</f>
        <v>28.394272714827164</v>
      </c>
      <c r="G192" s="5">
        <f ca="1">LOOKUP($E192,frequence!$A$2:$A$35,frequence!K$2:K$35)</f>
        <v>0.57480720321912437</v>
      </c>
      <c r="H192" s="5">
        <f ca="1">LOOKUP($E192,frequence!$A$2:$A$35,frequence!M$2:M$35)</f>
        <v>186.16901967856262</v>
      </c>
      <c r="I192" s="5">
        <v>1995</v>
      </c>
      <c r="J192" s="7">
        <f>LOOKUP(I192,CPI!A$69:A$103,CPI!O$69:O$103)</f>
        <v>1.4308136482939633</v>
      </c>
      <c r="K192" s="5">
        <v>2000</v>
      </c>
      <c r="L192" s="7">
        <f t="shared" ca="1" si="119"/>
        <v>1</v>
      </c>
      <c r="M192" s="7">
        <f t="shared" si="111"/>
        <v>0.34500000000000003</v>
      </c>
      <c r="N192" s="14">
        <f>0.5*0.1</f>
        <v>0.05</v>
      </c>
      <c r="O192" s="1">
        <f ca="1">P192*J192*(1+Growth!G$6)^(2010-K192)</f>
        <v>9.9751715831189358</v>
      </c>
      <c r="P192" s="1">
        <v>6</v>
      </c>
      <c r="Q192" s="3">
        <v>7</v>
      </c>
      <c r="R192" s="21">
        <f t="shared" ca="1" si="121"/>
        <v>99.50404811266354</v>
      </c>
      <c r="S192" s="3">
        <v>5</v>
      </c>
      <c r="T192" s="3">
        <v>1</v>
      </c>
      <c r="U192" s="3">
        <v>2</v>
      </c>
      <c r="V192" s="3"/>
      <c r="W192" s="3"/>
      <c r="X192" s="3">
        <v>6</v>
      </c>
      <c r="AA192" s="1">
        <v>17</v>
      </c>
      <c r="AB192" s="1">
        <v>26</v>
      </c>
      <c r="AC192" s="1">
        <f t="shared" si="152"/>
        <v>6.9</v>
      </c>
      <c r="AD192" s="5">
        <v>1</v>
      </c>
      <c r="AE192" s="5">
        <v>1</v>
      </c>
      <c r="AF192" s="5">
        <v>1</v>
      </c>
      <c r="AG192" s="5">
        <v>1</v>
      </c>
      <c r="AH192" s="5">
        <v>1</v>
      </c>
      <c r="AI192" s="3">
        <f t="shared" si="112"/>
        <v>1.9</v>
      </c>
      <c r="AJ192" s="5">
        <f t="shared" si="136"/>
        <v>0</v>
      </c>
      <c r="AK192" s="5">
        <f t="shared" si="123"/>
        <v>0</v>
      </c>
      <c r="AL192" s="5">
        <f t="shared" si="124"/>
        <v>0</v>
      </c>
      <c r="AM192" s="5">
        <f t="shared" si="137"/>
        <v>0</v>
      </c>
      <c r="AN192" s="5">
        <f t="shared" si="125"/>
        <v>0</v>
      </c>
      <c r="AO192" s="5">
        <f t="shared" si="138"/>
        <v>0</v>
      </c>
      <c r="AP192" s="1">
        <v>10</v>
      </c>
      <c r="AQ192" s="1">
        <v>8</v>
      </c>
      <c r="AR192" s="5">
        <v>1</v>
      </c>
      <c r="AS192" s="5">
        <v>0</v>
      </c>
      <c r="AT192" s="5">
        <v>1</v>
      </c>
      <c r="AU192" s="5">
        <v>1</v>
      </c>
      <c r="AV192" s="5">
        <f t="shared" si="113"/>
        <v>0</v>
      </c>
      <c r="AW192" s="5">
        <f t="shared" si="114"/>
        <v>1</v>
      </c>
      <c r="AX192" s="5">
        <f t="shared" si="115"/>
        <v>0</v>
      </c>
      <c r="AY192" s="1">
        <f t="shared" si="149"/>
        <v>0</v>
      </c>
      <c r="AZ192" s="1">
        <f t="shared" si="150"/>
        <v>0</v>
      </c>
      <c r="BA192" s="1">
        <f t="shared" si="151"/>
        <v>0</v>
      </c>
      <c r="BB192" s="5">
        <v>0</v>
      </c>
      <c r="BC192" s="5">
        <v>0</v>
      </c>
      <c r="BD192" s="5">
        <v>1</v>
      </c>
      <c r="BE192" s="5">
        <f t="shared" si="153"/>
        <v>0</v>
      </c>
      <c r="BF192" s="5">
        <v>0</v>
      </c>
      <c r="BG192" s="5">
        <f t="shared" si="155"/>
        <v>0</v>
      </c>
      <c r="BH192" s="5">
        <f t="shared" si="155"/>
        <v>0</v>
      </c>
      <c r="BI192" s="5">
        <f t="shared" si="155"/>
        <v>0</v>
      </c>
      <c r="BJ192" s="5">
        <f t="shared" si="155"/>
        <v>0</v>
      </c>
      <c r="BK192" s="5">
        <f t="shared" si="155"/>
        <v>0</v>
      </c>
      <c r="BL192" s="5">
        <f t="shared" si="155"/>
        <v>0</v>
      </c>
      <c r="BM192" s="5">
        <f t="shared" si="155"/>
        <v>0</v>
      </c>
      <c r="BN192" s="5">
        <f t="shared" si="155"/>
        <v>0</v>
      </c>
      <c r="BO192" s="5">
        <f t="shared" si="154"/>
        <v>1</v>
      </c>
      <c r="BP192" s="5">
        <f t="shared" si="154"/>
        <v>0</v>
      </c>
      <c r="BQ192" s="5">
        <f t="shared" si="154"/>
        <v>0</v>
      </c>
      <c r="BR192" s="5">
        <f t="shared" si="154"/>
        <v>0</v>
      </c>
      <c r="BS192" s="5">
        <f t="shared" si="154"/>
        <v>0</v>
      </c>
      <c r="BT192" s="5">
        <f t="shared" si="154"/>
        <v>0</v>
      </c>
      <c r="BU192" s="5">
        <f t="shared" si="154"/>
        <v>0</v>
      </c>
      <c r="BV192" s="5">
        <f t="shared" si="154"/>
        <v>0</v>
      </c>
      <c r="BW192" s="5">
        <f t="shared" si="154"/>
        <v>0</v>
      </c>
      <c r="BX192" s="5">
        <f t="shared" si="154"/>
        <v>0</v>
      </c>
      <c r="BY192" s="5">
        <f t="shared" si="154"/>
        <v>0</v>
      </c>
      <c r="BZ192" s="5">
        <f t="shared" si="154"/>
        <v>0</v>
      </c>
      <c r="CA192" s="5">
        <f t="shared" si="154"/>
        <v>0</v>
      </c>
      <c r="CB192" s="5">
        <f t="shared" si="154"/>
        <v>0</v>
      </c>
      <c r="CC192" s="5">
        <f t="shared" si="154"/>
        <v>0</v>
      </c>
      <c r="CD192" s="5">
        <f t="shared" si="156"/>
        <v>0</v>
      </c>
      <c r="CE192" s="5">
        <f t="shared" si="156"/>
        <v>0</v>
      </c>
    </row>
    <row r="193" spans="1:83" x14ac:dyDescent="0.2">
      <c r="A193" s="4"/>
      <c r="B193" s="4"/>
      <c r="C193" s="1">
        <f>Growth!D198</f>
        <v>0</v>
      </c>
      <c r="D193" s="5" t="b">
        <f t="shared" si="118"/>
        <v>0</v>
      </c>
      <c r="E193" s="5">
        <v>1999</v>
      </c>
      <c r="F193" s="5">
        <f ca="1">LOOKUP($E193,frequence!$A$2:$A$35,frequence!L$2:L$35)</f>
        <v>28.394272714827164</v>
      </c>
      <c r="G193" s="5">
        <f ca="1">LOOKUP($E193,frequence!$A$2:$A$35,frequence!K$2:K$35)</f>
        <v>0.57480720321912437</v>
      </c>
      <c r="H193" s="5">
        <f ca="1">LOOKUP($E193,frequence!$A$2:$A$35,frequence!M$2:M$35)</f>
        <v>186.16901967856262</v>
      </c>
      <c r="I193" s="5">
        <v>1995</v>
      </c>
      <c r="J193" s="7">
        <f>LOOKUP(I193,CPI!A$69:A$103,CPI!O$69:O$103)</f>
        <v>1.4308136482939633</v>
      </c>
      <c r="K193" s="5">
        <v>2000</v>
      </c>
      <c r="L193" s="7">
        <f t="shared" ca="1" si="119"/>
        <v>1</v>
      </c>
      <c r="M193" s="7">
        <f t="shared" si="111"/>
        <v>6.900000000000002E-2</v>
      </c>
      <c r="N193" s="14">
        <f>0.1*0.1</f>
        <v>1.0000000000000002E-2</v>
      </c>
      <c r="O193" s="1">
        <f ca="1">P193*J193*(1+Growth!G$6)^(2010-K193)</f>
        <v>9.9751715831189358</v>
      </c>
      <c r="P193" s="1">
        <v>6</v>
      </c>
      <c r="Q193" s="2">
        <f t="shared" si="148"/>
        <v>6</v>
      </c>
      <c r="R193" s="21">
        <f t="shared" ca="1" si="121"/>
        <v>99.50404811266354</v>
      </c>
      <c r="X193" s="2">
        <f>P193</f>
        <v>6</v>
      </c>
      <c r="AC193" s="1">
        <f t="shared" si="152"/>
        <v>6.9</v>
      </c>
      <c r="AD193" s="5">
        <v>1</v>
      </c>
      <c r="AE193" s="5">
        <v>1</v>
      </c>
      <c r="AF193" s="5">
        <v>1</v>
      </c>
      <c r="AG193" s="5">
        <v>1</v>
      </c>
      <c r="AH193" s="5">
        <v>1</v>
      </c>
      <c r="AI193" s="3">
        <f t="shared" si="112"/>
        <v>1.9</v>
      </c>
      <c r="AJ193" s="5">
        <f t="shared" si="136"/>
        <v>0</v>
      </c>
      <c r="AK193" s="5">
        <f t="shared" si="123"/>
        <v>0</v>
      </c>
      <c r="AL193" s="5">
        <f t="shared" si="124"/>
        <v>0</v>
      </c>
      <c r="AM193" s="5">
        <f t="shared" si="137"/>
        <v>0</v>
      </c>
      <c r="AN193" s="5">
        <f t="shared" si="125"/>
        <v>0</v>
      </c>
      <c r="AO193" s="5">
        <f t="shared" si="138"/>
        <v>0</v>
      </c>
      <c r="AP193" s="1">
        <v>10</v>
      </c>
      <c r="AQ193" s="1">
        <v>8</v>
      </c>
      <c r="AR193" s="5">
        <v>1</v>
      </c>
      <c r="AS193" s="5">
        <v>1</v>
      </c>
      <c r="AT193" s="5">
        <v>0</v>
      </c>
      <c r="AU193" s="5">
        <v>1</v>
      </c>
      <c r="AV193" s="5">
        <f t="shared" si="113"/>
        <v>0</v>
      </c>
      <c r="AW193" s="5">
        <f t="shared" si="114"/>
        <v>1</v>
      </c>
      <c r="AX193" s="5">
        <f t="shared" si="115"/>
        <v>0</v>
      </c>
      <c r="AY193" s="1">
        <f t="shared" si="149"/>
        <v>0</v>
      </c>
      <c r="AZ193" s="1">
        <f t="shared" si="150"/>
        <v>0</v>
      </c>
      <c r="BA193" s="1">
        <f t="shared" si="151"/>
        <v>0</v>
      </c>
      <c r="BB193" s="5">
        <v>0</v>
      </c>
      <c r="BC193" s="5">
        <v>0</v>
      </c>
      <c r="BD193" s="5">
        <v>1</v>
      </c>
      <c r="BE193" s="5">
        <f t="shared" si="153"/>
        <v>0</v>
      </c>
      <c r="BF193" s="5">
        <v>0</v>
      </c>
      <c r="BG193" s="5">
        <f t="shared" si="155"/>
        <v>0</v>
      </c>
      <c r="BH193" s="5">
        <f t="shared" si="155"/>
        <v>0</v>
      </c>
      <c r="BI193" s="5">
        <f t="shared" si="155"/>
        <v>0</v>
      </c>
      <c r="BJ193" s="5">
        <f t="shared" si="155"/>
        <v>0</v>
      </c>
      <c r="BK193" s="5">
        <f t="shared" si="155"/>
        <v>0</v>
      </c>
      <c r="BL193" s="5">
        <f t="shared" si="155"/>
        <v>0</v>
      </c>
      <c r="BM193" s="5">
        <f t="shared" si="155"/>
        <v>0</v>
      </c>
      <c r="BN193" s="5">
        <f t="shared" si="155"/>
        <v>0</v>
      </c>
      <c r="BO193" s="5">
        <f t="shared" si="154"/>
        <v>1</v>
      </c>
      <c r="BP193" s="5">
        <f t="shared" si="154"/>
        <v>0</v>
      </c>
      <c r="BQ193" s="5">
        <f t="shared" si="154"/>
        <v>0</v>
      </c>
      <c r="BR193" s="5">
        <f t="shared" si="154"/>
        <v>0</v>
      </c>
      <c r="BS193" s="5">
        <f t="shared" si="154"/>
        <v>0</v>
      </c>
      <c r="BT193" s="5">
        <f t="shared" si="154"/>
        <v>0</v>
      </c>
      <c r="BU193" s="5">
        <f t="shared" si="154"/>
        <v>0</v>
      </c>
      <c r="BV193" s="5">
        <f t="shared" si="154"/>
        <v>0</v>
      </c>
      <c r="BW193" s="5">
        <f t="shared" si="154"/>
        <v>0</v>
      </c>
      <c r="BX193" s="5">
        <f t="shared" si="154"/>
        <v>0</v>
      </c>
      <c r="BY193" s="5">
        <f t="shared" si="154"/>
        <v>0</v>
      </c>
      <c r="BZ193" s="5">
        <f t="shared" si="154"/>
        <v>0</v>
      </c>
      <c r="CA193" s="5">
        <f t="shared" si="154"/>
        <v>0</v>
      </c>
      <c r="CB193" s="5">
        <f t="shared" si="154"/>
        <v>0</v>
      </c>
      <c r="CC193" s="5">
        <f t="shared" si="154"/>
        <v>0</v>
      </c>
      <c r="CD193" s="5">
        <f t="shared" si="156"/>
        <v>0</v>
      </c>
      <c r="CE193" s="5">
        <f t="shared" si="156"/>
        <v>0</v>
      </c>
    </row>
    <row r="194" spans="1:83" x14ac:dyDescent="0.2">
      <c r="A194" s="4"/>
      <c r="B194" s="4"/>
      <c r="C194" s="1">
        <f>Growth!D199</f>
        <v>0</v>
      </c>
      <c r="D194" s="5" t="b">
        <f t="shared" si="118"/>
        <v>0</v>
      </c>
      <c r="E194" s="5">
        <v>1999</v>
      </c>
      <c r="F194" s="5">
        <f ca="1">LOOKUP($E194,frequence!$A$2:$A$35,frequence!L$2:L$35)</f>
        <v>28.394272714827164</v>
      </c>
      <c r="G194" s="5">
        <f ca="1">LOOKUP($E194,frequence!$A$2:$A$35,frequence!K$2:K$35)</f>
        <v>0.57480720321912437</v>
      </c>
      <c r="H194" s="5">
        <f ca="1">LOOKUP($E194,frequence!$A$2:$A$35,frequence!M$2:M$35)</f>
        <v>186.16901967856262</v>
      </c>
      <c r="I194" s="5">
        <v>1995</v>
      </c>
      <c r="J194" s="7">
        <f>LOOKUP(I194,CPI!A$69:A$103,CPI!O$69:O$103)</f>
        <v>1.4308136482939633</v>
      </c>
      <c r="K194" s="5">
        <v>2000</v>
      </c>
      <c r="L194" s="7">
        <f t="shared" ca="1" si="119"/>
        <v>1</v>
      </c>
      <c r="M194" s="7">
        <f t="shared" si="111"/>
        <v>6.900000000000002E-2</v>
      </c>
      <c r="N194" s="14">
        <f>0.1*0.1</f>
        <v>1.0000000000000002E-2</v>
      </c>
      <c r="O194" s="1">
        <f ca="1">P194*J194*(1+Growth!G$6)^(2010-K194)</f>
        <v>3.3250571943729788</v>
      </c>
      <c r="P194" s="1">
        <v>2</v>
      </c>
      <c r="Q194" s="2">
        <f t="shared" si="148"/>
        <v>2</v>
      </c>
      <c r="R194" s="21">
        <f t="shared" ca="1" si="121"/>
        <v>11.056005345851505</v>
      </c>
      <c r="X194" s="2">
        <f>P194</f>
        <v>2</v>
      </c>
      <c r="AC194" s="1">
        <f t="shared" si="152"/>
        <v>6.9</v>
      </c>
      <c r="AD194" s="5">
        <v>1</v>
      </c>
      <c r="AE194" s="5">
        <v>1</v>
      </c>
      <c r="AF194" s="5">
        <v>1</v>
      </c>
      <c r="AG194" s="5">
        <v>1</v>
      </c>
      <c r="AH194" s="5">
        <v>1</v>
      </c>
      <c r="AI194" s="3">
        <f t="shared" si="112"/>
        <v>1.9</v>
      </c>
      <c r="AJ194" s="5">
        <f t="shared" si="136"/>
        <v>0</v>
      </c>
      <c r="AK194" s="5">
        <f t="shared" si="123"/>
        <v>0</v>
      </c>
      <c r="AL194" s="5">
        <f t="shared" si="124"/>
        <v>0</v>
      </c>
      <c r="AM194" s="5">
        <f t="shared" si="137"/>
        <v>0</v>
      </c>
      <c r="AN194" s="5">
        <f t="shared" si="125"/>
        <v>0</v>
      </c>
      <c r="AO194" s="5">
        <f t="shared" si="138"/>
        <v>0</v>
      </c>
      <c r="AP194" s="1">
        <v>10</v>
      </c>
      <c r="AQ194" s="1">
        <v>8</v>
      </c>
      <c r="AR194" s="5">
        <v>0</v>
      </c>
      <c r="AS194" s="5">
        <v>1</v>
      </c>
      <c r="AT194" s="5">
        <v>0</v>
      </c>
      <c r="AU194" s="5">
        <v>0</v>
      </c>
      <c r="AV194" s="5">
        <f t="shared" si="113"/>
        <v>0</v>
      </c>
      <c r="AW194" s="5">
        <f t="shared" si="114"/>
        <v>1</v>
      </c>
      <c r="AX194" s="5">
        <f t="shared" si="115"/>
        <v>0</v>
      </c>
      <c r="AY194" s="1">
        <f t="shared" si="149"/>
        <v>0</v>
      </c>
      <c r="AZ194" s="1">
        <f t="shared" si="150"/>
        <v>0</v>
      </c>
      <c r="BA194" s="1">
        <f t="shared" si="151"/>
        <v>0</v>
      </c>
      <c r="BB194" s="5">
        <v>0</v>
      </c>
      <c r="BC194" s="5">
        <v>0</v>
      </c>
      <c r="BD194" s="5">
        <v>1</v>
      </c>
      <c r="BE194" s="5">
        <f t="shared" si="153"/>
        <v>0</v>
      </c>
      <c r="BF194" s="5">
        <v>0</v>
      </c>
      <c r="BG194" s="5">
        <f t="shared" si="155"/>
        <v>0</v>
      </c>
      <c r="BH194" s="5">
        <f t="shared" si="155"/>
        <v>0</v>
      </c>
      <c r="BI194" s="5">
        <f t="shared" si="155"/>
        <v>0</v>
      </c>
      <c r="BJ194" s="5">
        <f t="shared" si="155"/>
        <v>0</v>
      </c>
      <c r="BK194" s="5">
        <f t="shared" si="155"/>
        <v>0</v>
      </c>
      <c r="BL194" s="5">
        <f t="shared" si="155"/>
        <v>0</v>
      </c>
      <c r="BM194" s="5">
        <f t="shared" si="155"/>
        <v>0</v>
      </c>
      <c r="BN194" s="5">
        <f t="shared" si="155"/>
        <v>0</v>
      </c>
      <c r="BO194" s="5">
        <f t="shared" si="154"/>
        <v>1</v>
      </c>
      <c r="BP194" s="5">
        <f t="shared" si="154"/>
        <v>0</v>
      </c>
      <c r="BQ194" s="5">
        <f t="shared" si="154"/>
        <v>0</v>
      </c>
      <c r="BR194" s="5">
        <f t="shared" si="154"/>
        <v>0</v>
      </c>
      <c r="BS194" s="5">
        <f t="shared" si="154"/>
        <v>0</v>
      </c>
      <c r="BT194" s="5">
        <f t="shared" si="154"/>
        <v>0</v>
      </c>
      <c r="BU194" s="5">
        <f t="shared" si="154"/>
        <v>0</v>
      </c>
      <c r="BV194" s="5">
        <f t="shared" si="154"/>
        <v>0</v>
      </c>
      <c r="BW194" s="5">
        <f t="shared" si="154"/>
        <v>0</v>
      </c>
      <c r="BX194" s="5">
        <f t="shared" si="154"/>
        <v>0</v>
      </c>
      <c r="BY194" s="5">
        <f t="shared" si="154"/>
        <v>0</v>
      </c>
      <c r="BZ194" s="5">
        <f t="shared" si="154"/>
        <v>0</v>
      </c>
      <c r="CA194" s="5">
        <f t="shared" si="154"/>
        <v>0</v>
      </c>
      <c r="CB194" s="5">
        <f t="shared" si="154"/>
        <v>0</v>
      </c>
      <c r="CC194" s="5">
        <f t="shared" si="154"/>
        <v>0</v>
      </c>
      <c r="CD194" s="5">
        <f t="shared" si="156"/>
        <v>0</v>
      </c>
      <c r="CE194" s="5">
        <f t="shared" si="156"/>
        <v>0</v>
      </c>
    </row>
    <row r="195" spans="1:83" x14ac:dyDescent="0.2">
      <c r="A195" s="4"/>
      <c r="B195" s="4"/>
      <c r="C195" s="1">
        <f>Growth!D200</f>
        <v>0</v>
      </c>
      <c r="D195" s="5" t="b">
        <f t="shared" si="118"/>
        <v>0</v>
      </c>
      <c r="E195" s="5">
        <v>1999</v>
      </c>
      <c r="F195" s="5">
        <f ca="1">LOOKUP($E195,frequence!$A$2:$A$35,frequence!L$2:L$35)</f>
        <v>28.394272714827164</v>
      </c>
      <c r="G195" s="5">
        <f ca="1">LOOKUP($E195,frequence!$A$2:$A$35,frequence!K$2:K$35)</f>
        <v>0.57480720321912437</v>
      </c>
      <c r="H195" s="5">
        <f ca="1">LOOKUP($E195,frequence!$A$2:$A$35,frequence!M$2:M$35)</f>
        <v>186.16901967856262</v>
      </c>
      <c r="I195" s="5">
        <v>1995</v>
      </c>
      <c r="J195" s="7">
        <f>LOOKUP(I195,CPI!A$69:A$103,CPI!O$69:O$103)</f>
        <v>1.4308136482939633</v>
      </c>
      <c r="K195" s="5">
        <v>2000</v>
      </c>
      <c r="L195" s="7">
        <f t="shared" ca="1" si="119"/>
        <v>1</v>
      </c>
      <c r="M195" s="7">
        <f t="shared" si="111"/>
        <v>6.900000000000002E-2</v>
      </c>
      <c r="N195" s="14">
        <f>0.1*0.1</f>
        <v>1.0000000000000002E-2</v>
      </c>
      <c r="O195" s="1">
        <f ca="1">P195*J195*(1+Growth!G$6)^(2010-K195)</f>
        <v>9.9751715831189358</v>
      </c>
      <c r="P195" s="1">
        <v>6</v>
      </c>
      <c r="Q195" s="2">
        <f t="shared" si="148"/>
        <v>6</v>
      </c>
      <c r="R195" s="21">
        <f t="shared" ca="1" si="121"/>
        <v>99.50404811266354</v>
      </c>
      <c r="X195" s="2">
        <f>P195</f>
        <v>6</v>
      </c>
      <c r="AC195" s="1">
        <f t="shared" si="152"/>
        <v>6.9</v>
      </c>
      <c r="AD195" s="5">
        <v>1</v>
      </c>
      <c r="AE195" s="5">
        <v>1</v>
      </c>
      <c r="AF195" s="5">
        <v>1</v>
      </c>
      <c r="AG195" s="5">
        <v>1</v>
      </c>
      <c r="AH195" s="5">
        <v>1</v>
      </c>
      <c r="AI195" s="3">
        <f t="shared" si="112"/>
        <v>1.9</v>
      </c>
      <c r="AJ195" s="5">
        <f t="shared" si="136"/>
        <v>0</v>
      </c>
      <c r="AK195" s="5">
        <f t="shared" si="123"/>
        <v>0</v>
      </c>
      <c r="AL195" s="5">
        <f t="shared" si="124"/>
        <v>0</v>
      </c>
      <c r="AM195" s="5">
        <f t="shared" si="137"/>
        <v>0</v>
      </c>
      <c r="AN195" s="5">
        <f t="shared" si="125"/>
        <v>0</v>
      </c>
      <c r="AO195" s="5">
        <f t="shared" si="138"/>
        <v>0</v>
      </c>
      <c r="AP195" s="1">
        <v>10</v>
      </c>
      <c r="AQ195" s="1">
        <v>8</v>
      </c>
      <c r="AR195" s="5">
        <v>1</v>
      </c>
      <c r="AS195" s="5">
        <v>1</v>
      </c>
      <c r="AT195" s="5">
        <v>0</v>
      </c>
      <c r="AU195" s="5">
        <v>0</v>
      </c>
      <c r="AV195" s="5">
        <f t="shared" si="113"/>
        <v>0</v>
      </c>
      <c r="AW195" s="5">
        <f t="shared" si="114"/>
        <v>1</v>
      </c>
      <c r="AX195" s="5">
        <f t="shared" si="115"/>
        <v>0</v>
      </c>
      <c r="AY195" s="1">
        <f t="shared" si="149"/>
        <v>0</v>
      </c>
      <c r="AZ195" s="1">
        <f t="shared" si="150"/>
        <v>0</v>
      </c>
      <c r="BA195" s="1">
        <f t="shared" si="151"/>
        <v>0</v>
      </c>
      <c r="BB195" s="5">
        <v>0</v>
      </c>
      <c r="BC195" s="5">
        <v>0</v>
      </c>
      <c r="BD195" s="5">
        <v>1</v>
      </c>
      <c r="BE195" s="5">
        <f t="shared" si="153"/>
        <v>0</v>
      </c>
      <c r="BF195" s="5">
        <v>0</v>
      </c>
      <c r="BG195" s="5">
        <f t="shared" si="155"/>
        <v>0</v>
      </c>
      <c r="BH195" s="5">
        <f t="shared" si="155"/>
        <v>0</v>
      </c>
      <c r="BI195" s="5">
        <f t="shared" si="155"/>
        <v>0</v>
      </c>
      <c r="BJ195" s="5">
        <f t="shared" si="155"/>
        <v>0</v>
      </c>
      <c r="BK195" s="5">
        <f t="shared" si="155"/>
        <v>0</v>
      </c>
      <c r="BL195" s="5">
        <f t="shared" si="155"/>
        <v>0</v>
      </c>
      <c r="BM195" s="5">
        <f t="shared" si="155"/>
        <v>0</v>
      </c>
      <c r="BN195" s="5">
        <f t="shared" si="155"/>
        <v>0</v>
      </c>
      <c r="BO195" s="5">
        <f t="shared" si="154"/>
        <v>1</v>
      </c>
      <c r="BP195" s="5">
        <f t="shared" si="154"/>
        <v>0</v>
      </c>
      <c r="BQ195" s="5">
        <f t="shared" si="154"/>
        <v>0</v>
      </c>
      <c r="BR195" s="5">
        <f t="shared" si="154"/>
        <v>0</v>
      </c>
      <c r="BS195" s="5">
        <f t="shared" si="154"/>
        <v>0</v>
      </c>
      <c r="BT195" s="5">
        <f t="shared" si="154"/>
        <v>0</v>
      </c>
      <c r="BU195" s="5">
        <f t="shared" si="154"/>
        <v>0</v>
      </c>
      <c r="BV195" s="5">
        <f t="shared" si="154"/>
        <v>0</v>
      </c>
      <c r="BW195" s="5">
        <f t="shared" si="154"/>
        <v>0</v>
      </c>
      <c r="BX195" s="5">
        <f t="shared" si="154"/>
        <v>0</v>
      </c>
      <c r="BY195" s="5">
        <f t="shared" si="154"/>
        <v>0</v>
      </c>
      <c r="BZ195" s="5">
        <f t="shared" si="154"/>
        <v>0</v>
      </c>
      <c r="CA195" s="5">
        <f t="shared" si="154"/>
        <v>0</v>
      </c>
      <c r="CB195" s="5">
        <f t="shared" si="154"/>
        <v>0</v>
      </c>
      <c r="CC195" s="5">
        <f t="shared" si="154"/>
        <v>0</v>
      </c>
      <c r="CD195" s="5">
        <f t="shared" si="156"/>
        <v>0</v>
      </c>
      <c r="CE195" s="5">
        <f t="shared" si="156"/>
        <v>0</v>
      </c>
    </row>
    <row r="196" spans="1:83" x14ac:dyDescent="0.2">
      <c r="A196" s="4"/>
      <c r="B196" s="4"/>
      <c r="C196" s="1">
        <f>Growth!D201</f>
        <v>0</v>
      </c>
      <c r="D196" s="5" t="b">
        <f t="shared" si="118"/>
        <v>0</v>
      </c>
      <c r="E196" s="5">
        <v>1999</v>
      </c>
      <c r="F196" s="5">
        <f ca="1">LOOKUP($E196,frequence!$A$2:$A$35,frequence!L$2:L$35)</f>
        <v>28.394272714827164</v>
      </c>
      <c r="G196" s="5">
        <f ca="1">LOOKUP($E196,frequence!$A$2:$A$35,frequence!K$2:K$35)</f>
        <v>0.57480720321912437</v>
      </c>
      <c r="H196" s="5">
        <f ca="1">LOOKUP($E196,frequence!$A$2:$A$35,frequence!M$2:M$35)</f>
        <v>186.16901967856262</v>
      </c>
      <c r="I196" s="5">
        <v>1995</v>
      </c>
      <c r="J196" s="7">
        <f>LOOKUP(I196,CPI!A$69:A$103,CPI!O$69:O$103)</f>
        <v>1.4308136482939633</v>
      </c>
      <c r="K196" s="5">
        <v>2000</v>
      </c>
      <c r="L196" s="7">
        <f t="shared" ca="1" si="119"/>
        <v>1</v>
      </c>
      <c r="M196" s="7">
        <f t="shared" ref="M196:M259" si="157">N196*AC196</f>
        <v>6.900000000000002E-2</v>
      </c>
      <c r="N196" s="14">
        <f>0.1*0.1</f>
        <v>1.0000000000000002E-2</v>
      </c>
      <c r="O196" s="1">
        <f ca="1">P196*J196*(1+Growth!G$6)^(2010-K196)</f>
        <v>9.9751715831189358</v>
      </c>
      <c r="P196" s="1">
        <v>6</v>
      </c>
      <c r="Q196" s="2">
        <f t="shared" si="148"/>
        <v>6</v>
      </c>
      <c r="R196" s="21">
        <f t="shared" ca="1" si="121"/>
        <v>99.50404811266354</v>
      </c>
      <c r="X196" s="2">
        <f>P196</f>
        <v>6</v>
      </c>
      <c r="AC196" s="1">
        <f t="shared" si="152"/>
        <v>6.9</v>
      </c>
      <c r="AD196" s="5">
        <v>1</v>
      </c>
      <c r="AE196" s="5">
        <v>1</v>
      </c>
      <c r="AF196" s="5">
        <v>1</v>
      </c>
      <c r="AG196" s="5">
        <v>1</v>
      </c>
      <c r="AH196" s="5">
        <v>1</v>
      </c>
      <c r="AI196" s="3">
        <f t="shared" ref="AI196:AI259" si="158">(E196-1980)/10</f>
        <v>1.9</v>
      </c>
      <c r="AJ196" s="5">
        <f t="shared" si="136"/>
        <v>0</v>
      </c>
      <c r="AK196" s="5">
        <f t="shared" si="123"/>
        <v>0</v>
      </c>
      <c r="AL196" s="5">
        <f t="shared" si="124"/>
        <v>0</v>
      </c>
      <c r="AM196" s="5">
        <f t="shared" si="137"/>
        <v>0</v>
      </c>
      <c r="AN196" s="5">
        <f t="shared" si="125"/>
        <v>0</v>
      </c>
      <c r="AO196" s="5">
        <f t="shared" si="138"/>
        <v>0</v>
      </c>
      <c r="AP196" s="1">
        <v>10</v>
      </c>
      <c r="AQ196" s="1">
        <v>8</v>
      </c>
      <c r="AR196" s="5">
        <v>1</v>
      </c>
      <c r="AS196" s="5">
        <v>1</v>
      </c>
      <c r="AT196" s="5">
        <v>0</v>
      </c>
      <c r="AU196" s="5">
        <v>0</v>
      </c>
      <c r="AV196" s="5">
        <f t="shared" ref="AV196:AV259" si="159">IF(E196&lt;1996,1,0)</f>
        <v>0</v>
      </c>
      <c r="AW196" s="5">
        <f t="shared" ref="AW196:AW259" si="160">IF(E196&lt;2002,IF(E196&gt;1995,1,0),0)</f>
        <v>1</v>
      </c>
      <c r="AX196" s="5">
        <f t="shared" ref="AX196:AX259" si="161">IF(E196&gt;2001,1,0)</f>
        <v>0</v>
      </c>
      <c r="AY196" s="1">
        <f t="shared" si="149"/>
        <v>0</v>
      </c>
      <c r="AZ196" s="1">
        <f t="shared" si="150"/>
        <v>0</v>
      </c>
      <c r="BA196" s="1">
        <f t="shared" si="151"/>
        <v>0</v>
      </c>
      <c r="BB196" s="5">
        <v>0</v>
      </c>
      <c r="BC196" s="5">
        <v>0</v>
      </c>
      <c r="BD196" s="5">
        <v>1</v>
      </c>
      <c r="BE196" s="5">
        <f t="shared" si="153"/>
        <v>0</v>
      </c>
      <c r="BF196" s="5">
        <v>0</v>
      </c>
      <c r="BG196" s="5">
        <f t="shared" si="155"/>
        <v>0</v>
      </c>
      <c r="BH196" s="5">
        <f t="shared" si="155"/>
        <v>0</v>
      </c>
      <c r="BI196" s="5">
        <f t="shared" si="155"/>
        <v>0</v>
      </c>
      <c r="BJ196" s="5">
        <f t="shared" si="155"/>
        <v>0</v>
      </c>
      <c r="BK196" s="5">
        <f t="shared" si="155"/>
        <v>0</v>
      </c>
      <c r="BL196" s="5">
        <f t="shared" si="155"/>
        <v>0</v>
      </c>
      <c r="BM196" s="5">
        <f t="shared" si="155"/>
        <v>0</v>
      </c>
      <c r="BN196" s="5">
        <f t="shared" ref="BN196:CB211" si="162">IF($E196=BN$2,1,0)</f>
        <v>0</v>
      </c>
      <c r="BO196" s="5">
        <f t="shared" si="162"/>
        <v>1</v>
      </c>
      <c r="BP196" s="5">
        <f t="shared" si="162"/>
        <v>0</v>
      </c>
      <c r="BQ196" s="5">
        <f t="shared" si="162"/>
        <v>0</v>
      </c>
      <c r="BR196" s="5">
        <f t="shared" si="162"/>
        <v>0</v>
      </c>
      <c r="BS196" s="5">
        <f t="shared" si="162"/>
        <v>0</v>
      </c>
      <c r="BT196" s="5">
        <f t="shared" si="162"/>
        <v>0</v>
      </c>
      <c r="BU196" s="5">
        <f t="shared" si="162"/>
        <v>0</v>
      </c>
      <c r="BV196" s="5">
        <f t="shared" si="162"/>
        <v>0</v>
      </c>
      <c r="BW196" s="5">
        <f t="shared" si="162"/>
        <v>0</v>
      </c>
      <c r="BX196" s="5">
        <f t="shared" si="162"/>
        <v>0</v>
      </c>
      <c r="BY196" s="5">
        <f t="shared" si="162"/>
        <v>0</v>
      </c>
      <c r="BZ196" s="5">
        <f t="shared" si="162"/>
        <v>0</v>
      </c>
      <c r="CA196" s="5">
        <f t="shared" si="162"/>
        <v>0</v>
      </c>
      <c r="CB196" s="5">
        <f t="shared" si="162"/>
        <v>0</v>
      </c>
      <c r="CC196" s="5">
        <f t="shared" ref="CC196:CE215" si="163">IF($E196=CC$2,1,0)</f>
        <v>0</v>
      </c>
      <c r="CD196" s="5">
        <f t="shared" si="156"/>
        <v>0</v>
      </c>
      <c r="CE196" s="5">
        <f t="shared" si="156"/>
        <v>0</v>
      </c>
    </row>
    <row r="197" spans="1:83" x14ac:dyDescent="0.2">
      <c r="A197" s="4"/>
      <c r="B197" s="4"/>
      <c r="C197" s="1">
        <f>Growth!D202</f>
        <v>0</v>
      </c>
      <c r="D197" s="5" t="b">
        <f t="shared" ref="D197:D260" si="164">IF(B197&gt;0,E197)</f>
        <v>0</v>
      </c>
      <c r="E197" s="5">
        <v>1999</v>
      </c>
      <c r="F197" s="5">
        <f ca="1">LOOKUP($E197,frequence!$A$2:$A$35,frequence!L$2:L$35)</f>
        <v>28.394272714827164</v>
      </c>
      <c r="G197" s="5">
        <f ca="1">LOOKUP($E197,frequence!$A$2:$A$35,frequence!K$2:K$35)</f>
        <v>0.57480720321912437</v>
      </c>
      <c r="H197" s="5">
        <f ca="1">LOOKUP($E197,frequence!$A$2:$A$35,frequence!M$2:M$35)</f>
        <v>186.16901967856262</v>
      </c>
      <c r="I197" s="5">
        <v>1995</v>
      </c>
      <c r="J197" s="7">
        <f>LOOKUP(I197,CPI!A$69:A$103,CPI!O$69:O$103)</f>
        <v>1.4308136482939633</v>
      </c>
      <c r="K197" s="5">
        <v>2000</v>
      </c>
      <c r="L197" s="7">
        <f t="shared" ref="L197:L260" ca="1" si="165">IF(O197&lt;L$1,1,IF(O197&gt;L$2,0,1-(O197-L$1)/(L$2-L$1)))</f>
        <v>1</v>
      </c>
      <c r="M197" s="7">
        <f t="shared" si="157"/>
        <v>6.900000000000002E-2</v>
      </c>
      <c r="N197" s="14">
        <f>0.1*0.1</f>
        <v>1.0000000000000002E-2</v>
      </c>
      <c r="O197" s="1">
        <f ca="1">P197*J197*(1+Growth!G$6)^(2010-K197)</f>
        <v>9.9751715831189358</v>
      </c>
      <c r="P197" s="1">
        <v>6</v>
      </c>
      <c r="Q197" s="2">
        <f t="shared" si="148"/>
        <v>6</v>
      </c>
      <c r="R197" s="21">
        <f t="shared" ref="R197:R260" ca="1" si="166">O197*O197</f>
        <v>99.50404811266354</v>
      </c>
      <c r="X197" s="2">
        <f>P197</f>
        <v>6</v>
      </c>
      <c r="AC197" s="1">
        <f t="shared" si="152"/>
        <v>6.9</v>
      </c>
      <c r="AD197" s="5">
        <v>1</v>
      </c>
      <c r="AE197" s="5">
        <v>1</v>
      </c>
      <c r="AF197" s="5">
        <v>1</v>
      </c>
      <c r="AG197" s="5">
        <v>1</v>
      </c>
      <c r="AH197" s="5">
        <v>1</v>
      </c>
      <c r="AI197" s="3">
        <f t="shared" si="158"/>
        <v>1.9</v>
      </c>
      <c r="AJ197" s="5">
        <f t="shared" si="136"/>
        <v>0</v>
      </c>
      <c r="AK197" s="5">
        <f t="shared" ref="AK197:AK260" si="167">IF($AQ197=2,1,0)</f>
        <v>0</v>
      </c>
      <c r="AL197" s="5">
        <f t="shared" ref="AL197:AL260" si="168">IF($AQ197=1.5,1,0)</f>
        <v>0</v>
      </c>
      <c r="AM197" s="5">
        <f t="shared" si="137"/>
        <v>0</v>
      </c>
      <c r="AN197" s="5">
        <f t="shared" ref="AN197:AN260" si="169">IF($AQ197=0.1,1,0)</f>
        <v>0</v>
      </c>
      <c r="AO197" s="5">
        <f t="shared" si="138"/>
        <v>0</v>
      </c>
      <c r="AP197" s="1">
        <v>10</v>
      </c>
      <c r="AQ197" s="1">
        <v>8</v>
      </c>
      <c r="AR197" s="5">
        <v>1</v>
      </c>
      <c r="AS197" s="5">
        <v>1</v>
      </c>
      <c r="AT197" s="5">
        <v>0</v>
      </c>
      <c r="AU197" s="5">
        <v>0</v>
      </c>
      <c r="AV197" s="5">
        <f t="shared" si="159"/>
        <v>0</v>
      </c>
      <c r="AW197" s="5">
        <f t="shared" si="160"/>
        <v>1</v>
      </c>
      <c r="AX197" s="5">
        <f t="shared" si="161"/>
        <v>0</v>
      </c>
      <c r="AY197" s="1">
        <f t="shared" si="149"/>
        <v>0</v>
      </c>
      <c r="AZ197" s="1">
        <f t="shared" si="150"/>
        <v>0</v>
      </c>
      <c r="BA197" s="1">
        <f t="shared" si="151"/>
        <v>0</v>
      </c>
      <c r="BB197" s="5">
        <v>0</v>
      </c>
      <c r="BC197" s="5">
        <v>0</v>
      </c>
      <c r="BD197" s="5">
        <v>1</v>
      </c>
      <c r="BE197" s="5">
        <f t="shared" si="153"/>
        <v>0</v>
      </c>
      <c r="BF197" s="5">
        <v>0</v>
      </c>
      <c r="BG197" s="5">
        <f t="shared" ref="BG197:BN212" si="170">IF($E197=BG$2,1,0)</f>
        <v>0</v>
      </c>
      <c r="BH197" s="5">
        <f t="shared" si="170"/>
        <v>0</v>
      </c>
      <c r="BI197" s="5">
        <f t="shared" si="170"/>
        <v>0</v>
      </c>
      <c r="BJ197" s="5">
        <f t="shared" si="170"/>
        <v>0</v>
      </c>
      <c r="BK197" s="5">
        <f t="shared" si="170"/>
        <v>0</v>
      </c>
      <c r="BL197" s="5">
        <f t="shared" si="170"/>
        <v>0</v>
      </c>
      <c r="BM197" s="5">
        <f t="shared" si="170"/>
        <v>0</v>
      </c>
      <c r="BN197" s="5">
        <f t="shared" si="162"/>
        <v>0</v>
      </c>
      <c r="BO197" s="5">
        <f t="shared" si="162"/>
        <v>1</v>
      </c>
      <c r="BP197" s="5">
        <f t="shared" si="162"/>
        <v>0</v>
      </c>
      <c r="BQ197" s="5">
        <f t="shared" si="162"/>
        <v>0</v>
      </c>
      <c r="BR197" s="5">
        <f t="shared" si="162"/>
        <v>0</v>
      </c>
      <c r="BS197" s="5">
        <f t="shared" si="162"/>
        <v>0</v>
      </c>
      <c r="BT197" s="5">
        <f t="shared" si="162"/>
        <v>0</v>
      </c>
      <c r="BU197" s="5">
        <f t="shared" si="162"/>
        <v>0</v>
      </c>
      <c r="BV197" s="5">
        <f t="shared" si="162"/>
        <v>0</v>
      </c>
      <c r="BW197" s="5">
        <f t="shared" si="162"/>
        <v>0</v>
      </c>
      <c r="BX197" s="5">
        <f t="shared" si="162"/>
        <v>0</v>
      </c>
      <c r="BY197" s="5">
        <f t="shared" si="162"/>
        <v>0</v>
      </c>
      <c r="BZ197" s="5">
        <f t="shared" si="162"/>
        <v>0</v>
      </c>
      <c r="CA197" s="5">
        <f t="shared" si="162"/>
        <v>0</v>
      </c>
      <c r="CB197" s="5">
        <f t="shared" si="162"/>
        <v>0</v>
      </c>
      <c r="CC197" s="5">
        <f t="shared" si="163"/>
        <v>0</v>
      </c>
      <c r="CD197" s="5">
        <f t="shared" si="156"/>
        <v>0</v>
      </c>
      <c r="CE197" s="5">
        <f t="shared" si="156"/>
        <v>0</v>
      </c>
    </row>
    <row r="198" spans="1:83" x14ac:dyDescent="0.2">
      <c r="A198" s="4" t="s">
        <v>35</v>
      </c>
      <c r="B198" s="19" t="s">
        <v>161</v>
      </c>
      <c r="C198" s="1">
        <f>Growth!D203</f>
        <v>1</v>
      </c>
      <c r="D198" s="5">
        <f t="shared" si="164"/>
        <v>1999</v>
      </c>
      <c r="E198" s="5">
        <v>1999</v>
      </c>
      <c r="F198" s="5">
        <f ca="1">LOOKUP($E198,frequence!$A$2:$A$35,frequence!L$2:L$35)</f>
        <v>28.394272714827164</v>
      </c>
      <c r="G198" s="5">
        <f ca="1">LOOKUP($E198,frequence!$A$2:$A$35,frequence!K$2:K$35)</f>
        <v>0.57480720321912437</v>
      </c>
      <c r="H198" s="5">
        <f ca="1">LOOKUP($E198,frequence!$A$2:$A$35,frequence!M$2:M$35)</f>
        <v>186.16901967856262</v>
      </c>
      <c r="I198" s="5">
        <v>1990</v>
      </c>
      <c r="J198" s="7">
        <f>LOOKUP(I198,CPI!A$69:A$103,CPI!O$69:O$103)</f>
        <v>1.6683703136954862</v>
      </c>
      <c r="K198" s="5">
        <v>1995</v>
      </c>
      <c r="L198" s="7">
        <f t="shared" ca="1" si="165"/>
        <v>1</v>
      </c>
      <c r="M198" s="7">
        <f t="shared" si="157"/>
        <v>5.9</v>
      </c>
      <c r="N198" s="14">
        <v>1</v>
      </c>
      <c r="O198" s="1">
        <f ca="1">P198*J198*(1+Growth!G$6)^(2010-K198)</f>
        <v>84.463259671901923</v>
      </c>
      <c r="P198" s="2">
        <f>Q198</f>
        <v>40.42</v>
      </c>
      <c r="Q198" s="3">
        <v>40.42</v>
      </c>
      <c r="R198" s="21">
        <f t="shared" ca="1" si="166"/>
        <v>7134.042234403134</v>
      </c>
      <c r="U198" s="1">
        <v>0</v>
      </c>
      <c r="X198" s="3">
        <v>22.85</v>
      </c>
      <c r="AA198" s="1">
        <v>193.29</v>
      </c>
      <c r="AC198" s="1">
        <f t="shared" si="152"/>
        <v>5.9</v>
      </c>
      <c r="AD198" s="5">
        <v>1</v>
      </c>
      <c r="AE198" s="5">
        <v>1</v>
      </c>
      <c r="AF198" s="5">
        <v>1</v>
      </c>
      <c r="AG198" s="5">
        <v>0</v>
      </c>
      <c r="AH198" s="5">
        <v>1</v>
      </c>
      <c r="AI198" s="3">
        <f t="shared" si="158"/>
        <v>1.9</v>
      </c>
      <c r="AJ198" s="5">
        <f t="shared" si="136"/>
        <v>1</v>
      </c>
      <c r="AK198" s="5">
        <f t="shared" si="167"/>
        <v>0</v>
      </c>
      <c r="AL198" s="5">
        <f t="shared" si="168"/>
        <v>0</v>
      </c>
      <c r="AM198" s="5">
        <f t="shared" si="137"/>
        <v>0</v>
      </c>
      <c r="AN198" s="5">
        <f t="shared" si="169"/>
        <v>0</v>
      </c>
      <c r="AO198" s="5">
        <f t="shared" si="138"/>
        <v>0</v>
      </c>
      <c r="AP198" s="1">
        <v>5</v>
      </c>
      <c r="AQ198" s="1">
        <v>3</v>
      </c>
      <c r="AR198" s="5">
        <v>0</v>
      </c>
      <c r="AS198" s="5">
        <v>0</v>
      </c>
      <c r="AT198" s="5">
        <v>1</v>
      </c>
      <c r="AU198" s="5">
        <v>0</v>
      </c>
      <c r="AV198" s="5">
        <f t="shared" si="159"/>
        <v>0</v>
      </c>
      <c r="AW198" s="5">
        <f t="shared" si="160"/>
        <v>1</v>
      </c>
      <c r="AX198" s="5">
        <f t="shared" si="161"/>
        <v>0</v>
      </c>
      <c r="AY198" s="1">
        <f t="shared" si="149"/>
        <v>1</v>
      </c>
      <c r="AZ198" s="1">
        <f t="shared" si="150"/>
        <v>0</v>
      </c>
      <c r="BA198" s="1">
        <f t="shared" si="151"/>
        <v>0</v>
      </c>
      <c r="BB198" s="5">
        <v>0</v>
      </c>
      <c r="BC198" s="5">
        <v>0</v>
      </c>
      <c r="BD198" s="5">
        <v>0</v>
      </c>
      <c r="BE198" s="5">
        <f t="shared" si="153"/>
        <v>1</v>
      </c>
      <c r="BF198" s="5">
        <v>1</v>
      </c>
      <c r="BG198" s="5">
        <f t="shared" si="170"/>
        <v>0</v>
      </c>
      <c r="BH198" s="5">
        <f t="shared" si="170"/>
        <v>0</v>
      </c>
      <c r="BI198" s="5">
        <f t="shared" si="170"/>
        <v>0</v>
      </c>
      <c r="BJ198" s="5">
        <f t="shared" si="170"/>
        <v>0</v>
      </c>
      <c r="BK198" s="5">
        <f t="shared" si="170"/>
        <v>0</v>
      </c>
      <c r="BL198" s="5">
        <f t="shared" si="170"/>
        <v>0</v>
      </c>
      <c r="BM198" s="5">
        <f t="shared" si="170"/>
        <v>0</v>
      </c>
      <c r="BN198" s="5">
        <f t="shared" si="162"/>
        <v>0</v>
      </c>
      <c r="BO198" s="5">
        <f t="shared" si="162"/>
        <v>1</v>
      </c>
      <c r="BP198" s="5">
        <f t="shared" si="162"/>
        <v>0</v>
      </c>
      <c r="BQ198" s="5">
        <f t="shared" si="162"/>
        <v>0</v>
      </c>
      <c r="BR198" s="5">
        <f t="shared" si="162"/>
        <v>0</v>
      </c>
      <c r="BS198" s="5">
        <f t="shared" si="162"/>
        <v>0</v>
      </c>
      <c r="BT198" s="5">
        <f t="shared" si="162"/>
        <v>0</v>
      </c>
      <c r="BU198" s="5">
        <f t="shared" si="162"/>
        <v>0</v>
      </c>
      <c r="BV198" s="5">
        <f t="shared" si="162"/>
        <v>0</v>
      </c>
      <c r="BW198" s="5">
        <f t="shared" si="162"/>
        <v>0</v>
      </c>
      <c r="BX198" s="5">
        <f t="shared" si="162"/>
        <v>0</v>
      </c>
      <c r="BY198" s="5">
        <f t="shared" si="162"/>
        <v>0</v>
      </c>
      <c r="BZ198" s="5">
        <f t="shared" si="162"/>
        <v>0</v>
      </c>
      <c r="CA198" s="5">
        <f t="shared" si="162"/>
        <v>0</v>
      </c>
      <c r="CB198" s="5">
        <f t="shared" si="162"/>
        <v>0</v>
      </c>
      <c r="CC198" s="5">
        <f t="shared" si="163"/>
        <v>0</v>
      </c>
      <c r="CD198" s="5">
        <f t="shared" si="156"/>
        <v>0</v>
      </c>
      <c r="CE198" s="5">
        <f t="shared" si="156"/>
        <v>0</v>
      </c>
    </row>
    <row r="199" spans="1:83" x14ac:dyDescent="0.2">
      <c r="A199" s="1" t="s">
        <v>27</v>
      </c>
      <c r="B199" s="1" t="s">
        <v>77</v>
      </c>
      <c r="C199" s="1">
        <f>Growth!D204</f>
        <v>1</v>
      </c>
      <c r="D199" s="5">
        <f t="shared" si="164"/>
        <v>2000</v>
      </c>
      <c r="E199" s="5">
        <v>2000</v>
      </c>
      <c r="F199" s="5">
        <f ca="1">LOOKUP($E199,frequence!$A$2:$A$35,frequence!L$2:L$35)</f>
        <v>29.827011246309265</v>
      </c>
      <c r="G199" s="5">
        <f ca="1">LOOKUP($E199,frequence!$A$2:$A$35,frequence!K$2:K$35)</f>
        <v>1.1108580159006192</v>
      </c>
      <c r="H199" s="5">
        <f ca="1">LOOKUP($E199,frequence!$A$2:$A$35,frequence!M$2:M$35)</f>
        <v>282.69053499300935</v>
      </c>
      <c r="I199" s="5">
        <v>1990</v>
      </c>
      <c r="J199" s="7">
        <f>LOOKUP(I199,CPI!A$69:A$103,CPI!O$69:O$103)</f>
        <v>1.6683703136954862</v>
      </c>
      <c r="K199" s="5">
        <v>1995</v>
      </c>
      <c r="L199" s="7">
        <f t="shared" ca="1" si="165"/>
        <v>1</v>
      </c>
      <c r="M199" s="7">
        <f t="shared" si="157"/>
        <v>5</v>
      </c>
      <c r="N199" s="14">
        <v>1</v>
      </c>
      <c r="O199" s="1">
        <f ca="1">P199*J199*(1+Growth!G$6)^(2010-K199)</f>
        <v>12.328877586942637</v>
      </c>
      <c r="P199" s="1">
        <v>5.9</v>
      </c>
      <c r="Q199" s="2">
        <f t="shared" si="148"/>
        <v>5.9</v>
      </c>
      <c r="R199" s="21">
        <f t="shared" ca="1" si="166"/>
        <v>152.00122255381649</v>
      </c>
      <c r="X199" s="2">
        <f>P199</f>
        <v>5.9</v>
      </c>
      <c r="AC199" s="1">
        <f t="shared" si="152"/>
        <v>5</v>
      </c>
      <c r="AD199" s="5">
        <v>0</v>
      </c>
      <c r="AE199" s="5">
        <v>1</v>
      </c>
      <c r="AF199" s="5">
        <v>1</v>
      </c>
      <c r="AG199" s="5">
        <v>0</v>
      </c>
      <c r="AH199" s="5">
        <v>1</v>
      </c>
      <c r="AI199" s="3">
        <f t="shared" si="158"/>
        <v>2</v>
      </c>
      <c r="AJ199" s="5">
        <f t="shared" si="136"/>
        <v>0</v>
      </c>
      <c r="AK199" s="5">
        <f t="shared" si="167"/>
        <v>0</v>
      </c>
      <c r="AL199" s="5">
        <f t="shared" si="168"/>
        <v>0</v>
      </c>
      <c r="AM199" s="5">
        <f t="shared" si="137"/>
        <v>0</v>
      </c>
      <c r="AN199" s="5">
        <f t="shared" si="169"/>
        <v>0</v>
      </c>
      <c r="AO199" s="5">
        <f t="shared" si="138"/>
        <v>0</v>
      </c>
      <c r="AP199" s="1" t="s">
        <v>42</v>
      </c>
      <c r="AQ199" s="1" t="s">
        <v>42</v>
      </c>
      <c r="AR199" s="5">
        <v>0</v>
      </c>
      <c r="AS199" s="5">
        <v>0</v>
      </c>
      <c r="AT199" s="5">
        <v>0</v>
      </c>
      <c r="AU199" s="5">
        <v>0</v>
      </c>
      <c r="AV199" s="5">
        <f t="shared" si="159"/>
        <v>0</v>
      </c>
      <c r="AW199" s="5">
        <f t="shared" si="160"/>
        <v>1</v>
      </c>
      <c r="AX199" s="5">
        <f t="shared" si="161"/>
        <v>0</v>
      </c>
      <c r="AY199" s="1">
        <f t="shared" si="149"/>
        <v>0</v>
      </c>
      <c r="AZ199" s="1">
        <f t="shared" si="150"/>
        <v>0</v>
      </c>
      <c r="BA199" s="1">
        <f t="shared" si="151"/>
        <v>0</v>
      </c>
      <c r="BB199" s="5">
        <v>0</v>
      </c>
      <c r="BC199" s="5">
        <v>1</v>
      </c>
      <c r="BD199" s="5">
        <v>0</v>
      </c>
      <c r="BE199" s="5">
        <f t="shared" si="153"/>
        <v>0</v>
      </c>
      <c r="BF199" s="5">
        <v>1</v>
      </c>
      <c r="BG199" s="5">
        <f t="shared" si="170"/>
        <v>0</v>
      </c>
      <c r="BH199" s="5">
        <f t="shared" si="170"/>
        <v>0</v>
      </c>
      <c r="BI199" s="5">
        <f t="shared" si="170"/>
        <v>0</v>
      </c>
      <c r="BJ199" s="5">
        <f t="shared" si="170"/>
        <v>0</v>
      </c>
      <c r="BK199" s="5">
        <f t="shared" si="170"/>
        <v>0</v>
      </c>
      <c r="BL199" s="5">
        <f t="shared" si="170"/>
        <v>0</v>
      </c>
      <c r="BM199" s="5">
        <f t="shared" si="170"/>
        <v>0</v>
      </c>
      <c r="BN199" s="5">
        <f t="shared" si="162"/>
        <v>0</v>
      </c>
      <c r="BO199" s="5">
        <f t="shared" si="162"/>
        <v>0</v>
      </c>
      <c r="BP199" s="5">
        <f t="shared" si="162"/>
        <v>1</v>
      </c>
      <c r="BQ199" s="5">
        <f t="shared" si="162"/>
        <v>0</v>
      </c>
      <c r="BR199" s="5">
        <f t="shared" si="162"/>
        <v>0</v>
      </c>
      <c r="BS199" s="5">
        <f t="shared" si="162"/>
        <v>0</v>
      </c>
      <c r="BT199" s="5">
        <f t="shared" si="162"/>
        <v>0</v>
      </c>
      <c r="BU199" s="5">
        <f t="shared" si="162"/>
        <v>0</v>
      </c>
      <c r="BV199" s="5">
        <f t="shared" si="162"/>
        <v>0</v>
      </c>
      <c r="BW199" s="5">
        <f t="shared" si="162"/>
        <v>0</v>
      </c>
      <c r="BX199" s="5">
        <f t="shared" si="162"/>
        <v>0</v>
      </c>
      <c r="BY199" s="5">
        <f t="shared" si="162"/>
        <v>0</v>
      </c>
      <c r="BZ199" s="5">
        <f t="shared" si="162"/>
        <v>0</v>
      </c>
      <c r="CA199" s="5">
        <f t="shared" si="162"/>
        <v>0</v>
      </c>
      <c r="CB199" s="5">
        <f t="shared" si="162"/>
        <v>0</v>
      </c>
      <c r="CC199" s="5">
        <f t="shared" si="163"/>
        <v>0</v>
      </c>
      <c r="CD199" s="5">
        <f t="shared" si="156"/>
        <v>0</v>
      </c>
      <c r="CE199" s="5">
        <f t="shared" si="156"/>
        <v>0</v>
      </c>
    </row>
    <row r="200" spans="1:83" x14ac:dyDescent="0.2">
      <c r="A200" s="1" t="s">
        <v>24</v>
      </c>
      <c r="B200" s="1" t="s">
        <v>187</v>
      </c>
      <c r="C200" s="1">
        <f>Growth!D205</f>
        <v>0</v>
      </c>
      <c r="D200" s="5">
        <f t="shared" si="164"/>
        <v>2001</v>
      </c>
      <c r="E200" s="5">
        <v>2001</v>
      </c>
      <c r="F200" s="5">
        <f ca="1">LOOKUP($E200,frequence!$A$2:$A$35,frequence!L$2:L$35)</f>
        <v>29.761886767605532</v>
      </c>
      <c r="G200" s="5">
        <f ca="1">LOOKUP($E200,frequence!$A$2:$A$35,frequence!K$2:K$35)</f>
        <v>1.1317817114055975</v>
      </c>
      <c r="H200" s="5">
        <f ca="1">LOOKUP($E200,frequence!$A$2:$A$35,frequence!M$2:M$35)</f>
        <v>278.80118935435661</v>
      </c>
      <c r="I200" s="18">
        <v>1995</v>
      </c>
      <c r="J200" s="7">
        <f>LOOKUP(I200,CPI!A$69:A$103,CPI!O$69:O$103)</f>
        <v>1.4308136482939633</v>
      </c>
      <c r="K200" s="18">
        <v>1995</v>
      </c>
      <c r="L200" s="7">
        <f t="shared" ca="1" si="165"/>
        <v>1</v>
      </c>
      <c r="M200" s="7">
        <f t="shared" si="157"/>
        <v>0.51</v>
      </c>
      <c r="N200" s="14">
        <v>0.1</v>
      </c>
      <c r="O200" s="1">
        <f ca="1">P200*J200*(1+Growth!G$6)^(2010-K200)</f>
        <v>46.773800264702388</v>
      </c>
      <c r="P200" s="1">
        <v>26.1</v>
      </c>
      <c r="Q200" s="2">
        <f t="shared" si="148"/>
        <v>26.1</v>
      </c>
      <c r="R200" s="21">
        <f t="shared" ca="1" si="166"/>
        <v>2187.788391202273</v>
      </c>
      <c r="X200" s="2">
        <f>P200</f>
        <v>26.1</v>
      </c>
      <c r="AC200" s="1">
        <f t="shared" si="152"/>
        <v>5.0999999999999996</v>
      </c>
      <c r="AD200" s="5">
        <v>0</v>
      </c>
      <c r="AE200" s="5">
        <v>0</v>
      </c>
      <c r="AF200" s="5">
        <v>1</v>
      </c>
      <c r="AG200" s="5">
        <v>1</v>
      </c>
      <c r="AH200" s="5">
        <v>1</v>
      </c>
      <c r="AI200" s="3">
        <f t="shared" si="158"/>
        <v>2.1</v>
      </c>
      <c r="AJ200" s="5">
        <f t="shared" si="136"/>
        <v>0</v>
      </c>
      <c r="AK200" s="5">
        <f t="shared" si="167"/>
        <v>0</v>
      </c>
      <c r="AL200" s="5">
        <f t="shared" si="168"/>
        <v>0</v>
      </c>
      <c r="AM200" s="5">
        <f t="shared" si="137"/>
        <v>1</v>
      </c>
      <c r="AN200" s="5">
        <f t="shared" si="169"/>
        <v>0</v>
      </c>
      <c r="AO200" s="5">
        <f t="shared" si="138"/>
        <v>0</v>
      </c>
      <c r="AP200" s="1">
        <v>3</v>
      </c>
      <c r="AQ200" s="1">
        <v>1</v>
      </c>
      <c r="AR200" s="5">
        <v>1</v>
      </c>
      <c r="AS200" s="5">
        <v>0</v>
      </c>
      <c r="AT200" s="5">
        <v>0</v>
      </c>
      <c r="AU200" s="5">
        <v>0</v>
      </c>
      <c r="AV200" s="5">
        <f t="shared" si="159"/>
        <v>0</v>
      </c>
      <c r="AW200" s="5">
        <f t="shared" si="160"/>
        <v>1</v>
      </c>
      <c r="AX200" s="5">
        <f t="shared" si="161"/>
        <v>0</v>
      </c>
      <c r="AY200" s="1">
        <f t="shared" si="149"/>
        <v>0</v>
      </c>
      <c r="AZ200" s="1">
        <f t="shared" si="150"/>
        <v>0</v>
      </c>
      <c r="BA200" s="1">
        <f t="shared" si="151"/>
        <v>0</v>
      </c>
      <c r="BB200" s="5">
        <v>0</v>
      </c>
      <c r="BC200" s="5">
        <v>0</v>
      </c>
      <c r="BD200" s="5">
        <v>1</v>
      </c>
      <c r="BE200" s="5">
        <f t="shared" si="153"/>
        <v>0</v>
      </c>
      <c r="BF200" s="5">
        <v>0</v>
      </c>
      <c r="BG200" s="5">
        <f t="shared" si="170"/>
        <v>0</v>
      </c>
      <c r="BH200" s="5">
        <f t="shared" si="170"/>
        <v>0</v>
      </c>
      <c r="BI200" s="5">
        <f t="shared" si="170"/>
        <v>0</v>
      </c>
      <c r="BJ200" s="5">
        <f t="shared" si="170"/>
        <v>0</v>
      </c>
      <c r="BK200" s="5">
        <f t="shared" si="170"/>
        <v>0</v>
      </c>
      <c r="BL200" s="5">
        <f t="shared" si="170"/>
        <v>0</v>
      </c>
      <c r="BM200" s="5">
        <f t="shared" si="170"/>
        <v>0</v>
      </c>
      <c r="BN200" s="5">
        <f t="shared" si="162"/>
        <v>0</v>
      </c>
      <c r="BO200" s="5">
        <f t="shared" si="162"/>
        <v>0</v>
      </c>
      <c r="BP200" s="5">
        <f t="shared" si="162"/>
        <v>0</v>
      </c>
      <c r="BQ200" s="5">
        <f t="shared" si="162"/>
        <v>1</v>
      </c>
      <c r="BR200" s="5">
        <f t="shared" si="162"/>
        <v>0</v>
      </c>
      <c r="BS200" s="5">
        <f t="shared" si="162"/>
        <v>0</v>
      </c>
      <c r="BT200" s="5">
        <f t="shared" si="162"/>
        <v>0</v>
      </c>
      <c r="BU200" s="5">
        <f t="shared" si="162"/>
        <v>0</v>
      </c>
      <c r="BV200" s="5">
        <f t="shared" si="162"/>
        <v>0</v>
      </c>
      <c r="BW200" s="5">
        <f t="shared" si="162"/>
        <v>0</v>
      </c>
      <c r="BX200" s="5">
        <f t="shared" si="162"/>
        <v>0</v>
      </c>
      <c r="BY200" s="5">
        <f t="shared" si="162"/>
        <v>0</v>
      </c>
      <c r="BZ200" s="5">
        <f t="shared" si="162"/>
        <v>0</v>
      </c>
      <c r="CA200" s="5">
        <f t="shared" si="162"/>
        <v>0</v>
      </c>
      <c r="CB200" s="5">
        <f t="shared" si="162"/>
        <v>0</v>
      </c>
      <c r="CC200" s="5">
        <f t="shared" si="163"/>
        <v>0</v>
      </c>
      <c r="CD200" s="5">
        <f t="shared" si="156"/>
        <v>0</v>
      </c>
      <c r="CE200" s="5">
        <f t="shared" si="156"/>
        <v>0</v>
      </c>
    </row>
    <row r="201" spans="1:83" x14ac:dyDescent="0.2">
      <c r="C201" s="1">
        <f>Growth!D206</f>
        <v>0</v>
      </c>
      <c r="D201" s="5" t="b">
        <f t="shared" si="164"/>
        <v>0</v>
      </c>
      <c r="E201" s="5">
        <v>2001</v>
      </c>
      <c r="F201" s="5">
        <f ca="1">LOOKUP($E201,frequence!$A$2:$A$35,frequence!L$2:L$35)</f>
        <v>29.761886767605532</v>
      </c>
      <c r="G201" s="5">
        <f ca="1">LOOKUP($E201,frequence!$A$2:$A$35,frequence!K$2:K$35)</f>
        <v>1.1317817114055975</v>
      </c>
      <c r="H201" s="5">
        <f ca="1">LOOKUP($E201,frequence!$A$2:$A$35,frequence!M$2:M$35)</f>
        <v>278.80118935435661</v>
      </c>
      <c r="I201" s="18">
        <v>1995</v>
      </c>
      <c r="J201" s="7">
        <f>LOOKUP(I201,CPI!A$69:A$103,CPI!O$69:O$103)</f>
        <v>1.4308136482939633</v>
      </c>
      <c r="K201" s="18">
        <v>1995</v>
      </c>
      <c r="L201" s="7">
        <f t="shared" ca="1" si="165"/>
        <v>1</v>
      </c>
      <c r="M201" s="7">
        <f t="shared" si="157"/>
        <v>0.51</v>
      </c>
      <c r="N201" s="14">
        <v>0.1</v>
      </c>
      <c r="O201" s="1">
        <f ca="1">P201*J201*(1+Growth!G$6)^(2010-K201)</f>
        <v>6.2723486945003195</v>
      </c>
      <c r="P201" s="1">
        <v>3.5</v>
      </c>
      <c r="Q201" s="2">
        <f t="shared" si="148"/>
        <v>3.5</v>
      </c>
      <c r="R201" s="21">
        <f t="shared" ca="1" si="166"/>
        <v>39.342358145399864</v>
      </c>
      <c r="X201" s="2">
        <f>P201</f>
        <v>3.5</v>
      </c>
      <c r="AC201" s="1">
        <f t="shared" si="152"/>
        <v>5.0999999999999996</v>
      </c>
      <c r="AD201" s="5">
        <v>0</v>
      </c>
      <c r="AE201" s="5">
        <v>0</v>
      </c>
      <c r="AF201" s="5">
        <v>1</v>
      </c>
      <c r="AG201" s="5">
        <v>1</v>
      </c>
      <c r="AH201" s="5">
        <v>1</v>
      </c>
      <c r="AI201" s="3">
        <f t="shared" si="158"/>
        <v>2.1</v>
      </c>
      <c r="AJ201" s="5">
        <f t="shared" si="136"/>
        <v>0</v>
      </c>
      <c r="AK201" s="5">
        <f t="shared" si="167"/>
        <v>0</v>
      </c>
      <c r="AL201" s="5">
        <f t="shared" si="168"/>
        <v>0</v>
      </c>
      <c r="AM201" s="5">
        <f t="shared" si="137"/>
        <v>1</v>
      </c>
      <c r="AN201" s="5">
        <f t="shared" si="169"/>
        <v>0</v>
      </c>
      <c r="AO201" s="5">
        <f t="shared" si="138"/>
        <v>0</v>
      </c>
      <c r="AP201" s="1">
        <v>3</v>
      </c>
      <c r="AQ201" s="1">
        <v>1</v>
      </c>
      <c r="AR201" s="5">
        <v>0</v>
      </c>
      <c r="AS201" s="5">
        <v>0</v>
      </c>
      <c r="AT201" s="5">
        <v>0</v>
      </c>
      <c r="AU201" s="5">
        <v>1</v>
      </c>
      <c r="AV201" s="5">
        <f t="shared" si="159"/>
        <v>0</v>
      </c>
      <c r="AW201" s="5">
        <f t="shared" si="160"/>
        <v>1</v>
      </c>
      <c r="AX201" s="5">
        <f t="shared" si="161"/>
        <v>0</v>
      </c>
      <c r="AY201" s="1">
        <f t="shared" si="149"/>
        <v>0</v>
      </c>
      <c r="AZ201" s="1">
        <f t="shared" si="150"/>
        <v>0</v>
      </c>
      <c r="BA201" s="1">
        <f t="shared" si="151"/>
        <v>0</v>
      </c>
      <c r="BB201" s="5">
        <v>0</v>
      </c>
      <c r="BC201" s="5">
        <v>0</v>
      </c>
      <c r="BD201" s="5">
        <v>1</v>
      </c>
      <c r="BE201" s="5">
        <f t="shared" si="153"/>
        <v>0</v>
      </c>
      <c r="BF201" s="5">
        <v>0</v>
      </c>
      <c r="BG201" s="5">
        <f t="shared" si="170"/>
        <v>0</v>
      </c>
      <c r="BH201" s="5">
        <f t="shared" si="170"/>
        <v>0</v>
      </c>
      <c r="BI201" s="5">
        <f t="shared" si="170"/>
        <v>0</v>
      </c>
      <c r="BJ201" s="5">
        <f t="shared" si="170"/>
        <v>0</v>
      </c>
      <c r="BK201" s="5">
        <f t="shared" si="170"/>
        <v>0</v>
      </c>
      <c r="BL201" s="5">
        <f t="shared" si="170"/>
        <v>0</v>
      </c>
      <c r="BM201" s="5">
        <f t="shared" si="170"/>
        <v>0</v>
      </c>
      <c r="BN201" s="5">
        <f t="shared" si="162"/>
        <v>0</v>
      </c>
      <c r="BO201" s="5">
        <f t="shared" si="162"/>
        <v>0</v>
      </c>
      <c r="BP201" s="5">
        <f t="shared" si="162"/>
        <v>0</v>
      </c>
      <c r="BQ201" s="5">
        <f t="shared" si="162"/>
        <v>1</v>
      </c>
      <c r="BR201" s="5">
        <f t="shared" si="162"/>
        <v>0</v>
      </c>
      <c r="BS201" s="5">
        <f t="shared" si="162"/>
        <v>0</v>
      </c>
      <c r="BT201" s="5">
        <f t="shared" si="162"/>
        <v>0</v>
      </c>
      <c r="BU201" s="5">
        <f t="shared" si="162"/>
        <v>0</v>
      </c>
      <c r="BV201" s="5">
        <f t="shared" si="162"/>
        <v>0</v>
      </c>
      <c r="BW201" s="5">
        <f t="shared" si="162"/>
        <v>0</v>
      </c>
      <c r="BX201" s="5">
        <f t="shared" si="162"/>
        <v>0</v>
      </c>
      <c r="BY201" s="5">
        <f t="shared" si="162"/>
        <v>0</v>
      </c>
      <c r="BZ201" s="5">
        <f t="shared" si="162"/>
        <v>0</v>
      </c>
      <c r="CA201" s="5">
        <f t="shared" si="162"/>
        <v>0</v>
      </c>
      <c r="CB201" s="5">
        <f t="shared" si="162"/>
        <v>0</v>
      </c>
      <c r="CC201" s="5">
        <f t="shared" si="163"/>
        <v>0</v>
      </c>
      <c r="CD201" s="5">
        <f t="shared" si="156"/>
        <v>0</v>
      </c>
      <c r="CE201" s="5">
        <f t="shared" si="156"/>
        <v>0</v>
      </c>
    </row>
    <row r="202" spans="1:83" x14ac:dyDescent="0.2">
      <c r="C202" s="1">
        <f>Growth!D207</f>
        <v>0</v>
      </c>
      <c r="D202" s="5" t="b">
        <f t="shared" si="164"/>
        <v>0</v>
      </c>
      <c r="E202" s="5">
        <v>2001</v>
      </c>
      <c r="F202" s="5">
        <f ca="1">LOOKUP($E202,frequence!$A$2:$A$35,frequence!L$2:L$35)</f>
        <v>29.761886767605532</v>
      </c>
      <c r="G202" s="5">
        <f ca="1">LOOKUP($E202,frequence!$A$2:$A$35,frequence!K$2:K$35)</f>
        <v>1.1317817114055975</v>
      </c>
      <c r="H202" s="5">
        <f ca="1">LOOKUP($E202,frequence!$A$2:$A$35,frequence!M$2:M$35)</f>
        <v>278.80118935435661</v>
      </c>
      <c r="I202" s="18">
        <v>1995</v>
      </c>
      <c r="J202" s="7">
        <f>LOOKUP(I202,CPI!A$69:A$103,CPI!O$69:O$103)</f>
        <v>1.4308136482939633</v>
      </c>
      <c r="K202" s="18">
        <v>1995</v>
      </c>
      <c r="L202" s="7">
        <f t="shared" ca="1" si="165"/>
        <v>1</v>
      </c>
      <c r="M202" s="7">
        <f t="shared" si="157"/>
        <v>5.0999999999999996</v>
      </c>
      <c r="N202" s="14">
        <v>1</v>
      </c>
      <c r="O202" s="1">
        <f ca="1">P202*J202*(1+Growth!G$6)^(2010-K202)</f>
        <v>82.078162916604185</v>
      </c>
      <c r="P202" s="1">
        <v>45.8</v>
      </c>
      <c r="Q202" s="2">
        <f t="shared" si="148"/>
        <v>45.8</v>
      </c>
      <c r="R202" s="21">
        <f t="shared" ca="1" si="166"/>
        <v>6736.824827764618</v>
      </c>
      <c r="X202" s="2">
        <f>P202</f>
        <v>45.8</v>
      </c>
      <c r="AC202" s="1">
        <f t="shared" si="152"/>
        <v>5.0999999999999996</v>
      </c>
      <c r="AD202" s="5">
        <v>0</v>
      </c>
      <c r="AE202" s="5">
        <v>0</v>
      </c>
      <c r="AF202" s="5">
        <v>1</v>
      </c>
      <c r="AG202" s="5">
        <v>1</v>
      </c>
      <c r="AH202" s="5">
        <v>1</v>
      </c>
      <c r="AI202" s="3">
        <f t="shared" si="158"/>
        <v>2.1</v>
      </c>
      <c r="AJ202" s="5">
        <f t="shared" si="136"/>
        <v>0</v>
      </c>
      <c r="AK202" s="5">
        <f t="shared" si="167"/>
        <v>0</v>
      </c>
      <c r="AL202" s="5">
        <f t="shared" si="168"/>
        <v>0</v>
      </c>
      <c r="AM202" s="5">
        <f t="shared" si="137"/>
        <v>1</v>
      </c>
      <c r="AN202" s="5">
        <f t="shared" si="169"/>
        <v>0</v>
      </c>
      <c r="AO202" s="5">
        <f t="shared" si="138"/>
        <v>0</v>
      </c>
      <c r="AP202" s="1">
        <v>3</v>
      </c>
      <c r="AQ202" s="1">
        <v>1</v>
      </c>
      <c r="AR202" s="5">
        <v>1</v>
      </c>
      <c r="AS202" s="5">
        <v>0</v>
      </c>
      <c r="AT202" s="5">
        <v>0</v>
      </c>
      <c r="AU202" s="5">
        <v>0</v>
      </c>
      <c r="AV202" s="5">
        <f t="shared" si="159"/>
        <v>0</v>
      </c>
      <c r="AW202" s="5">
        <f t="shared" si="160"/>
        <v>1</v>
      </c>
      <c r="AX202" s="5">
        <f t="shared" si="161"/>
        <v>0</v>
      </c>
      <c r="AY202" s="1">
        <f t="shared" si="149"/>
        <v>0</v>
      </c>
      <c r="AZ202" s="1">
        <f t="shared" si="150"/>
        <v>0</v>
      </c>
      <c r="BA202" s="1">
        <f t="shared" si="151"/>
        <v>0</v>
      </c>
      <c r="BB202" s="5">
        <v>0</v>
      </c>
      <c r="BC202" s="5">
        <v>0</v>
      </c>
      <c r="BD202" s="5">
        <v>1</v>
      </c>
      <c r="BE202" s="5">
        <f t="shared" si="153"/>
        <v>0</v>
      </c>
      <c r="BF202" s="5">
        <v>0</v>
      </c>
      <c r="BG202" s="5">
        <f t="shared" si="170"/>
        <v>0</v>
      </c>
      <c r="BH202" s="5">
        <f t="shared" si="170"/>
        <v>0</v>
      </c>
      <c r="BI202" s="5">
        <f t="shared" si="170"/>
        <v>0</v>
      </c>
      <c r="BJ202" s="5">
        <f t="shared" si="170"/>
        <v>0</v>
      </c>
      <c r="BK202" s="5">
        <f t="shared" si="170"/>
        <v>0</v>
      </c>
      <c r="BL202" s="5">
        <f t="shared" si="170"/>
        <v>0</v>
      </c>
      <c r="BM202" s="5">
        <f t="shared" si="170"/>
        <v>0</v>
      </c>
      <c r="BN202" s="5">
        <f t="shared" si="162"/>
        <v>0</v>
      </c>
      <c r="BO202" s="5">
        <f t="shared" si="162"/>
        <v>0</v>
      </c>
      <c r="BP202" s="5">
        <f t="shared" si="162"/>
        <v>0</v>
      </c>
      <c r="BQ202" s="5">
        <f t="shared" si="162"/>
        <v>1</v>
      </c>
      <c r="BR202" s="5">
        <f t="shared" si="162"/>
        <v>0</v>
      </c>
      <c r="BS202" s="5">
        <f t="shared" si="162"/>
        <v>0</v>
      </c>
      <c r="BT202" s="5">
        <f t="shared" si="162"/>
        <v>0</v>
      </c>
      <c r="BU202" s="5">
        <f t="shared" si="162"/>
        <v>0</v>
      </c>
      <c r="BV202" s="5">
        <f t="shared" si="162"/>
        <v>0</v>
      </c>
      <c r="BW202" s="5">
        <f t="shared" si="162"/>
        <v>0</v>
      </c>
      <c r="BX202" s="5">
        <f t="shared" si="162"/>
        <v>0</v>
      </c>
      <c r="BY202" s="5">
        <f t="shared" si="162"/>
        <v>0</v>
      </c>
      <c r="BZ202" s="5">
        <f t="shared" si="162"/>
        <v>0</v>
      </c>
      <c r="CA202" s="5">
        <f t="shared" si="162"/>
        <v>0</v>
      </c>
      <c r="CB202" s="5">
        <f t="shared" si="162"/>
        <v>0</v>
      </c>
      <c r="CC202" s="5">
        <f t="shared" si="163"/>
        <v>0</v>
      </c>
      <c r="CD202" s="5">
        <f t="shared" si="156"/>
        <v>0</v>
      </c>
      <c r="CE202" s="5">
        <f t="shared" si="156"/>
        <v>0</v>
      </c>
    </row>
    <row r="203" spans="1:83" x14ac:dyDescent="0.2">
      <c r="C203" s="1">
        <f>Growth!D208</f>
        <v>0</v>
      </c>
      <c r="D203" s="5" t="b">
        <f t="shared" si="164"/>
        <v>0</v>
      </c>
      <c r="E203" s="5">
        <v>2001</v>
      </c>
      <c r="F203" s="5">
        <f ca="1">LOOKUP($E203,frequence!$A$2:$A$35,frequence!L$2:L$35)</f>
        <v>29.761886767605532</v>
      </c>
      <c r="G203" s="5">
        <f ca="1">LOOKUP($E203,frequence!$A$2:$A$35,frequence!K$2:K$35)</f>
        <v>1.1317817114055975</v>
      </c>
      <c r="H203" s="5">
        <f ca="1">LOOKUP($E203,frequence!$A$2:$A$35,frequence!M$2:M$35)</f>
        <v>278.80118935435661</v>
      </c>
      <c r="I203" s="18">
        <v>1995</v>
      </c>
      <c r="J203" s="7">
        <f>LOOKUP(I203,CPI!A$69:A$103,CPI!O$69:O$103)</f>
        <v>1.4308136482939633</v>
      </c>
      <c r="K203" s="18">
        <v>1995</v>
      </c>
      <c r="L203" s="7">
        <f t="shared" ca="1" si="165"/>
        <v>1</v>
      </c>
      <c r="M203" s="7">
        <f t="shared" si="157"/>
        <v>4.08</v>
      </c>
      <c r="N203" s="14">
        <v>0.8</v>
      </c>
      <c r="O203" s="1">
        <f ca="1">P203*J203*(1+Growth!G$6)^(2010-K203)</f>
        <v>9.1397080977004652</v>
      </c>
      <c r="P203" s="1">
        <v>5.0999999999999996</v>
      </c>
      <c r="Q203" s="1">
        <v>4.8</v>
      </c>
      <c r="R203" s="21">
        <f t="shared" ca="1" si="166"/>
        <v>83.534264111171453</v>
      </c>
      <c r="S203" s="1">
        <v>3.2</v>
      </c>
      <c r="X203" s="1">
        <v>4</v>
      </c>
      <c r="AC203" s="1">
        <f t="shared" si="152"/>
        <v>5.0999999999999996</v>
      </c>
      <c r="AD203" s="5">
        <v>0</v>
      </c>
      <c r="AE203" s="5">
        <v>0</v>
      </c>
      <c r="AF203" s="5">
        <v>1</v>
      </c>
      <c r="AG203" s="5">
        <v>1</v>
      </c>
      <c r="AH203" s="5">
        <v>1</v>
      </c>
      <c r="AI203" s="3">
        <f t="shared" si="158"/>
        <v>2.1</v>
      </c>
      <c r="AJ203" s="5">
        <f t="shared" si="136"/>
        <v>0</v>
      </c>
      <c r="AK203" s="5">
        <f t="shared" si="167"/>
        <v>0</v>
      </c>
      <c r="AL203" s="5">
        <f t="shared" si="168"/>
        <v>0</v>
      </c>
      <c r="AM203" s="5">
        <f t="shared" si="137"/>
        <v>1</v>
      </c>
      <c r="AN203" s="5">
        <f t="shared" si="169"/>
        <v>0</v>
      </c>
      <c r="AO203" s="5">
        <f t="shared" si="138"/>
        <v>0</v>
      </c>
      <c r="AP203" s="1">
        <v>3</v>
      </c>
      <c r="AQ203" s="1">
        <v>1</v>
      </c>
      <c r="AR203" s="5">
        <v>0</v>
      </c>
      <c r="AS203" s="5">
        <v>0</v>
      </c>
      <c r="AT203" s="5">
        <v>1</v>
      </c>
      <c r="AU203" s="5">
        <v>1</v>
      </c>
      <c r="AV203" s="5">
        <f t="shared" si="159"/>
        <v>0</v>
      </c>
      <c r="AW203" s="5">
        <f t="shared" si="160"/>
        <v>1</v>
      </c>
      <c r="AX203" s="5">
        <f t="shared" si="161"/>
        <v>0</v>
      </c>
      <c r="AY203" s="1">
        <f t="shared" si="149"/>
        <v>0</v>
      </c>
      <c r="AZ203" s="1">
        <f t="shared" si="150"/>
        <v>0</v>
      </c>
      <c r="BA203" s="1">
        <f t="shared" si="151"/>
        <v>0</v>
      </c>
      <c r="BB203" s="5">
        <v>0</v>
      </c>
      <c r="BC203" s="5">
        <v>0</v>
      </c>
      <c r="BD203" s="5">
        <v>1</v>
      </c>
      <c r="BE203" s="5">
        <f t="shared" si="153"/>
        <v>0</v>
      </c>
      <c r="BF203" s="5">
        <v>0</v>
      </c>
      <c r="BG203" s="5">
        <f t="shared" si="170"/>
        <v>0</v>
      </c>
      <c r="BH203" s="5">
        <f t="shared" si="170"/>
        <v>0</v>
      </c>
      <c r="BI203" s="5">
        <f t="shared" si="170"/>
        <v>0</v>
      </c>
      <c r="BJ203" s="5">
        <f t="shared" si="170"/>
        <v>0</v>
      </c>
      <c r="BK203" s="5">
        <f t="shared" si="170"/>
        <v>0</v>
      </c>
      <c r="BL203" s="5">
        <f t="shared" si="170"/>
        <v>0</v>
      </c>
      <c r="BM203" s="5">
        <f t="shared" si="170"/>
        <v>0</v>
      </c>
      <c r="BN203" s="5">
        <f t="shared" si="162"/>
        <v>0</v>
      </c>
      <c r="BO203" s="5">
        <f t="shared" si="162"/>
        <v>0</v>
      </c>
      <c r="BP203" s="5">
        <f t="shared" si="162"/>
        <v>0</v>
      </c>
      <c r="BQ203" s="5">
        <f t="shared" si="162"/>
        <v>1</v>
      </c>
      <c r="BR203" s="5">
        <f t="shared" si="162"/>
        <v>0</v>
      </c>
      <c r="BS203" s="5">
        <f t="shared" si="162"/>
        <v>0</v>
      </c>
      <c r="BT203" s="5">
        <f t="shared" si="162"/>
        <v>0</v>
      </c>
      <c r="BU203" s="5">
        <f t="shared" si="162"/>
        <v>0</v>
      </c>
      <c r="BV203" s="5">
        <f t="shared" si="162"/>
        <v>0</v>
      </c>
      <c r="BW203" s="5">
        <f t="shared" si="162"/>
        <v>0</v>
      </c>
      <c r="BX203" s="5">
        <f t="shared" si="162"/>
        <v>0</v>
      </c>
      <c r="BY203" s="5">
        <f t="shared" si="162"/>
        <v>0</v>
      </c>
      <c r="BZ203" s="5">
        <f t="shared" si="162"/>
        <v>0</v>
      </c>
      <c r="CA203" s="5">
        <f t="shared" si="162"/>
        <v>0</v>
      </c>
      <c r="CB203" s="5">
        <f t="shared" si="162"/>
        <v>0</v>
      </c>
      <c r="CC203" s="5">
        <f t="shared" si="163"/>
        <v>0</v>
      </c>
      <c r="CD203" s="5">
        <f t="shared" si="156"/>
        <v>0</v>
      </c>
      <c r="CE203" s="5">
        <f t="shared" si="156"/>
        <v>0</v>
      </c>
    </row>
    <row r="204" spans="1:83" x14ac:dyDescent="0.2">
      <c r="A204" s="1" t="s">
        <v>36</v>
      </c>
      <c r="B204" s="11" t="s">
        <v>149</v>
      </c>
      <c r="C204" s="1">
        <f>Growth!D209</f>
        <v>0</v>
      </c>
      <c r="D204" s="5">
        <f t="shared" si="164"/>
        <v>2002</v>
      </c>
      <c r="E204" s="5">
        <v>2002</v>
      </c>
      <c r="F204" s="5">
        <f ca="1">LOOKUP($E204,frequence!$A$2:$A$35,frequence!L$2:L$35)</f>
        <v>29.761886767605532</v>
      </c>
      <c r="G204" s="5">
        <f ca="1">LOOKUP($E204,frequence!$A$2:$A$35,frequence!K$2:K$35)</f>
        <v>1.2154764934255065</v>
      </c>
      <c r="H204" s="5">
        <f ca="1">LOOKUP($E204,frequence!$A$2:$A$35,frequence!M$2:M$35)</f>
        <v>263.24380679974507</v>
      </c>
      <c r="I204" s="5">
        <v>2000</v>
      </c>
      <c r="J204" s="7">
        <f>LOOKUP(I204,CPI!A$69:A$103,CPI!O$69:O$103)</f>
        <v>1.2662950058072011</v>
      </c>
      <c r="K204" s="5">
        <v>2000</v>
      </c>
      <c r="L204" s="7">
        <f t="shared" ca="1" si="165"/>
        <v>1</v>
      </c>
      <c r="M204" s="7">
        <f t="shared" si="157"/>
        <v>4.2</v>
      </c>
      <c r="N204" s="14">
        <v>1</v>
      </c>
      <c r="O204" s="1">
        <f ca="1">P204*J204*(1+Growth!G$6)^(2010-K204)</f>
        <v>149.34372740092297</v>
      </c>
      <c r="P204" s="1">
        <v>101.5</v>
      </c>
      <c r="Q204" s="2">
        <f t="shared" si="148"/>
        <v>101.5</v>
      </c>
      <c r="R204" s="21">
        <f t="shared" ca="1" si="166"/>
        <v>22303.548914001192</v>
      </c>
      <c r="U204" s="1">
        <v>51</v>
      </c>
      <c r="X204" s="2">
        <f t="shared" ref="X204:X267" si="171">P204</f>
        <v>101.5</v>
      </c>
      <c r="AA204" s="1">
        <v>203</v>
      </c>
      <c r="AC204" s="1">
        <f t="shared" si="152"/>
        <v>4.2</v>
      </c>
      <c r="AD204" s="5">
        <v>0</v>
      </c>
      <c r="AE204" s="5">
        <v>0</v>
      </c>
      <c r="AF204" s="5">
        <v>1</v>
      </c>
      <c r="AG204" s="5">
        <v>0</v>
      </c>
      <c r="AH204" s="5">
        <v>1</v>
      </c>
      <c r="AI204" s="3">
        <f t="shared" si="158"/>
        <v>2.2000000000000002</v>
      </c>
      <c r="AJ204" s="5">
        <f t="shared" si="136"/>
        <v>0</v>
      </c>
      <c r="AK204" s="5">
        <f t="shared" si="167"/>
        <v>0</v>
      </c>
      <c r="AL204" s="5">
        <f t="shared" si="168"/>
        <v>0</v>
      </c>
      <c r="AM204" s="5">
        <f t="shared" si="137"/>
        <v>1</v>
      </c>
      <c r="AN204" s="5">
        <f t="shared" si="169"/>
        <v>0</v>
      </c>
      <c r="AO204" s="5">
        <f t="shared" si="138"/>
        <v>0</v>
      </c>
      <c r="AP204" s="1">
        <v>3</v>
      </c>
      <c r="AQ204" s="1">
        <v>1</v>
      </c>
      <c r="AR204" s="5">
        <v>1</v>
      </c>
      <c r="AS204" s="5">
        <v>0</v>
      </c>
      <c r="AT204" s="5">
        <v>0</v>
      </c>
      <c r="AU204" s="5">
        <v>0</v>
      </c>
      <c r="AV204" s="5">
        <f t="shared" si="159"/>
        <v>0</v>
      </c>
      <c r="AW204" s="5">
        <f t="shared" si="160"/>
        <v>0</v>
      </c>
      <c r="AX204" s="5">
        <f t="shared" si="161"/>
        <v>1</v>
      </c>
      <c r="AY204" s="1">
        <f t="shared" si="149"/>
        <v>0</v>
      </c>
      <c r="AZ204" s="1">
        <f t="shared" si="150"/>
        <v>0</v>
      </c>
      <c r="BA204" s="1">
        <f t="shared" si="151"/>
        <v>0</v>
      </c>
      <c r="BB204" s="5">
        <v>0</v>
      </c>
      <c r="BC204" s="5">
        <v>0</v>
      </c>
      <c r="BD204" s="5">
        <v>0</v>
      </c>
      <c r="BE204" s="5">
        <f t="shared" si="153"/>
        <v>1</v>
      </c>
      <c r="BF204" s="5">
        <v>0</v>
      </c>
      <c r="BG204" s="5">
        <f t="shared" si="170"/>
        <v>0</v>
      </c>
      <c r="BH204" s="5">
        <f t="shared" si="170"/>
        <v>0</v>
      </c>
      <c r="BI204" s="5">
        <f t="shared" si="170"/>
        <v>0</v>
      </c>
      <c r="BJ204" s="5">
        <f t="shared" si="170"/>
        <v>0</v>
      </c>
      <c r="BK204" s="5">
        <f t="shared" si="170"/>
        <v>0</v>
      </c>
      <c r="BL204" s="5">
        <f t="shared" si="170"/>
        <v>0</v>
      </c>
      <c r="BM204" s="5">
        <f t="shared" si="170"/>
        <v>0</v>
      </c>
      <c r="BN204" s="5">
        <f t="shared" si="162"/>
        <v>0</v>
      </c>
      <c r="BO204" s="5">
        <f t="shared" si="162"/>
        <v>0</v>
      </c>
      <c r="BP204" s="5">
        <f t="shared" si="162"/>
        <v>0</v>
      </c>
      <c r="BQ204" s="5">
        <f t="shared" si="162"/>
        <v>0</v>
      </c>
      <c r="BR204" s="5">
        <f t="shared" si="162"/>
        <v>1</v>
      </c>
      <c r="BS204" s="5">
        <f t="shared" si="162"/>
        <v>0</v>
      </c>
      <c r="BT204" s="5">
        <f t="shared" si="162"/>
        <v>0</v>
      </c>
      <c r="BU204" s="5">
        <f t="shared" si="162"/>
        <v>0</v>
      </c>
      <c r="BV204" s="5">
        <f t="shared" si="162"/>
        <v>0</v>
      </c>
      <c r="BW204" s="5">
        <f t="shared" si="162"/>
        <v>0</v>
      </c>
      <c r="BX204" s="5">
        <f t="shared" si="162"/>
        <v>0</v>
      </c>
      <c r="BY204" s="5">
        <f t="shared" si="162"/>
        <v>0</v>
      </c>
      <c r="BZ204" s="5">
        <f t="shared" si="162"/>
        <v>0</v>
      </c>
      <c r="CA204" s="5">
        <f t="shared" si="162"/>
        <v>0</v>
      </c>
      <c r="CB204" s="5">
        <f t="shared" si="162"/>
        <v>0</v>
      </c>
      <c r="CC204" s="5">
        <f t="shared" si="163"/>
        <v>0</v>
      </c>
      <c r="CD204" s="5">
        <f t="shared" si="156"/>
        <v>0</v>
      </c>
      <c r="CE204" s="5">
        <f t="shared" si="156"/>
        <v>0</v>
      </c>
    </row>
    <row r="205" spans="1:83" x14ac:dyDescent="0.2">
      <c r="A205" s="1" t="s">
        <v>29</v>
      </c>
      <c r="B205" s="1" t="s">
        <v>159</v>
      </c>
      <c r="C205" s="1">
        <f>Growth!D210</f>
        <v>0</v>
      </c>
      <c r="D205" s="5">
        <f t="shared" si="164"/>
        <v>2005</v>
      </c>
      <c r="E205" s="5">
        <v>2005</v>
      </c>
      <c r="F205" s="5">
        <f ca="1">LOOKUP($E205,frequence!$A$2:$A$35,frequence!L$2:L$35)</f>
        <v>72.06588395020114</v>
      </c>
      <c r="G205" s="5">
        <f ca="1">LOOKUP($E205,frequence!$A$2:$A$35,frequence!K$2:K$35)</f>
        <v>5.2330043573314997</v>
      </c>
      <c r="H205" s="5">
        <f ca="1">LOOKUP($E205,frequence!$A$2:$A$35,frequence!M$2:M$35)</f>
        <v>523.86420294178538</v>
      </c>
      <c r="I205" s="5">
        <v>1995</v>
      </c>
      <c r="J205" s="7">
        <f>LOOKUP(I205,CPI!A$69:A$103,CPI!O$69:O$103)</f>
        <v>1.4308136482939633</v>
      </c>
      <c r="K205" s="5">
        <v>2005</v>
      </c>
      <c r="L205" s="7">
        <f t="shared" ca="1" si="165"/>
        <v>1</v>
      </c>
      <c r="M205" s="7">
        <f t="shared" si="157"/>
        <v>0.62500000000000011</v>
      </c>
      <c r="N205" s="14">
        <f>0.1/1.2</f>
        <v>8.3333333333333343E-2</v>
      </c>
      <c r="O205" s="1">
        <f ca="1">P205*J205*(1+Growth!G$6)^(2010-K205)</f>
        <v>30.692281705166849</v>
      </c>
      <c r="P205" s="1">
        <v>19.899999999999999</v>
      </c>
      <c r="Q205" s="2">
        <f t="shared" si="148"/>
        <v>19.899999999999999</v>
      </c>
      <c r="R205" s="21">
        <f t="shared" ca="1" si="166"/>
        <v>942.01615626931959</v>
      </c>
      <c r="X205" s="2">
        <f t="shared" si="171"/>
        <v>19.899999999999999</v>
      </c>
      <c r="AC205" s="1">
        <f t="shared" si="152"/>
        <v>7.5</v>
      </c>
      <c r="AD205" s="5">
        <v>1</v>
      </c>
      <c r="AE205" s="5">
        <v>1</v>
      </c>
      <c r="AF205" s="5">
        <v>1</v>
      </c>
      <c r="AG205" s="5">
        <v>1</v>
      </c>
      <c r="AH205" s="5">
        <v>1</v>
      </c>
      <c r="AI205" s="3">
        <f t="shared" si="158"/>
        <v>2.5</v>
      </c>
      <c r="AJ205" s="5">
        <f t="shared" si="136"/>
        <v>0</v>
      </c>
      <c r="AK205" s="5">
        <f t="shared" si="167"/>
        <v>0</v>
      </c>
      <c r="AL205" s="5">
        <f t="shared" si="168"/>
        <v>0</v>
      </c>
      <c r="AM205" s="5">
        <f t="shared" si="137"/>
        <v>0</v>
      </c>
      <c r="AN205" s="5">
        <f t="shared" si="169"/>
        <v>0</v>
      </c>
      <c r="AO205" s="5">
        <f t="shared" si="138"/>
        <v>1</v>
      </c>
      <c r="AP205" s="1">
        <v>2</v>
      </c>
      <c r="AQ205" s="1">
        <v>0</v>
      </c>
      <c r="AR205" s="5">
        <v>0</v>
      </c>
      <c r="AS205" s="5">
        <v>1</v>
      </c>
      <c r="AT205" s="5">
        <v>0</v>
      </c>
      <c r="AU205" s="5">
        <v>0</v>
      </c>
      <c r="AV205" s="5">
        <f t="shared" si="159"/>
        <v>0</v>
      </c>
      <c r="AW205" s="5">
        <f t="shared" si="160"/>
        <v>0</v>
      </c>
      <c r="AX205" s="5">
        <f t="shared" si="161"/>
        <v>1</v>
      </c>
      <c r="AY205" s="1">
        <f t="shared" si="149"/>
        <v>0</v>
      </c>
      <c r="AZ205" s="1">
        <f t="shared" si="150"/>
        <v>0</v>
      </c>
      <c r="BA205" s="1">
        <f t="shared" si="151"/>
        <v>1</v>
      </c>
      <c r="BB205" s="5">
        <v>0</v>
      </c>
      <c r="BC205" s="5">
        <v>0</v>
      </c>
      <c r="BD205" s="5">
        <v>1</v>
      </c>
      <c r="BE205" s="5">
        <f t="shared" si="153"/>
        <v>0</v>
      </c>
      <c r="BF205" s="5">
        <v>0</v>
      </c>
      <c r="BG205" s="5">
        <f t="shared" si="170"/>
        <v>0</v>
      </c>
      <c r="BH205" s="5">
        <f t="shared" si="170"/>
        <v>0</v>
      </c>
      <c r="BI205" s="5">
        <f t="shared" si="170"/>
        <v>0</v>
      </c>
      <c r="BJ205" s="5">
        <f t="shared" si="170"/>
        <v>0</v>
      </c>
      <c r="BK205" s="5">
        <f t="shared" si="170"/>
        <v>0</v>
      </c>
      <c r="BL205" s="5">
        <f t="shared" si="170"/>
        <v>0</v>
      </c>
      <c r="BM205" s="5">
        <f t="shared" si="170"/>
        <v>0</v>
      </c>
      <c r="BN205" s="5">
        <f t="shared" si="162"/>
        <v>0</v>
      </c>
      <c r="BO205" s="5">
        <f t="shared" si="162"/>
        <v>0</v>
      </c>
      <c r="BP205" s="5">
        <f t="shared" si="162"/>
        <v>0</v>
      </c>
      <c r="BQ205" s="5">
        <f t="shared" si="162"/>
        <v>0</v>
      </c>
      <c r="BR205" s="5">
        <f t="shared" si="162"/>
        <v>0</v>
      </c>
      <c r="BS205" s="5">
        <f t="shared" si="162"/>
        <v>0</v>
      </c>
      <c r="BT205" s="5">
        <f t="shared" si="162"/>
        <v>0</v>
      </c>
      <c r="BU205" s="5">
        <f t="shared" si="162"/>
        <v>1</v>
      </c>
      <c r="BV205" s="5">
        <f t="shared" si="162"/>
        <v>0</v>
      </c>
      <c r="BW205" s="5">
        <f t="shared" si="162"/>
        <v>0</v>
      </c>
      <c r="BX205" s="5">
        <f t="shared" si="162"/>
        <v>0</v>
      </c>
      <c r="BY205" s="5">
        <f t="shared" si="162"/>
        <v>0</v>
      </c>
      <c r="BZ205" s="5">
        <f t="shared" si="162"/>
        <v>0</v>
      </c>
      <c r="CA205" s="5">
        <f t="shared" si="162"/>
        <v>0</v>
      </c>
      <c r="CB205" s="5">
        <f t="shared" si="162"/>
        <v>0</v>
      </c>
      <c r="CC205" s="5">
        <f t="shared" si="163"/>
        <v>0</v>
      </c>
      <c r="CD205" s="5">
        <f t="shared" si="156"/>
        <v>0</v>
      </c>
      <c r="CE205" s="5">
        <f t="shared" si="156"/>
        <v>0</v>
      </c>
    </row>
    <row r="206" spans="1:83" x14ac:dyDescent="0.2">
      <c r="C206" s="1">
        <f>Growth!D211</f>
        <v>0</v>
      </c>
      <c r="D206" s="5" t="b">
        <f t="shared" si="164"/>
        <v>0</v>
      </c>
      <c r="E206" s="5">
        <v>2005</v>
      </c>
      <c r="F206" s="5">
        <f ca="1">LOOKUP($E206,frequence!$A$2:$A$35,frequence!L$2:L$35)</f>
        <v>72.06588395020114</v>
      </c>
      <c r="G206" s="5">
        <f ca="1">LOOKUP($E206,frequence!$A$2:$A$35,frequence!K$2:K$35)</f>
        <v>5.2330043573314997</v>
      </c>
      <c r="H206" s="5">
        <f ca="1">LOOKUP($E206,frequence!$A$2:$A$35,frequence!M$2:M$35)</f>
        <v>523.86420294178538</v>
      </c>
      <c r="I206" s="5">
        <v>1995</v>
      </c>
      <c r="J206" s="7">
        <f>LOOKUP(I206,CPI!A$69:A$103,CPI!O$69:O$103)</f>
        <v>1.4308136482939633</v>
      </c>
      <c r="K206" s="5">
        <v>2005</v>
      </c>
      <c r="L206" s="7">
        <f t="shared" ca="1" si="165"/>
        <v>1</v>
      </c>
      <c r="M206" s="7">
        <f t="shared" si="157"/>
        <v>1.2500000000000002</v>
      </c>
      <c r="N206" s="14">
        <f>0.2/1.2</f>
        <v>0.16666666666666669</v>
      </c>
      <c r="O206" s="1">
        <f ca="1">P206*J206*(1+Growth!G$6)^(2010-K206)</f>
        <v>24.831443992622432</v>
      </c>
      <c r="P206" s="1">
        <v>16.100000000000001</v>
      </c>
      <c r="Q206" s="2">
        <f t="shared" si="148"/>
        <v>16.100000000000001</v>
      </c>
      <c r="R206" s="21">
        <f t="shared" ca="1" si="166"/>
        <v>616.60061075874466</v>
      </c>
      <c r="X206" s="2">
        <f t="shared" si="171"/>
        <v>16.100000000000001</v>
      </c>
      <c r="AC206" s="1">
        <f t="shared" si="152"/>
        <v>7.5</v>
      </c>
      <c r="AD206" s="5">
        <v>1</v>
      </c>
      <c r="AE206" s="5">
        <v>1</v>
      </c>
      <c r="AF206" s="5">
        <v>1</v>
      </c>
      <c r="AG206" s="5">
        <v>1</v>
      </c>
      <c r="AH206" s="5">
        <v>1</v>
      </c>
      <c r="AI206" s="3">
        <f t="shared" si="158"/>
        <v>2.5</v>
      </c>
      <c r="AJ206" s="5">
        <f t="shared" si="136"/>
        <v>0</v>
      </c>
      <c r="AK206" s="5">
        <f t="shared" si="167"/>
        <v>0</v>
      </c>
      <c r="AL206" s="5">
        <f t="shared" si="168"/>
        <v>0</v>
      </c>
      <c r="AM206" s="5">
        <f t="shared" si="137"/>
        <v>0</v>
      </c>
      <c r="AN206" s="5">
        <f t="shared" si="169"/>
        <v>0</v>
      </c>
      <c r="AO206" s="5">
        <f t="shared" si="138"/>
        <v>1</v>
      </c>
      <c r="AP206" s="1">
        <v>2</v>
      </c>
      <c r="AQ206" s="1">
        <v>0</v>
      </c>
      <c r="AR206" s="5">
        <v>1</v>
      </c>
      <c r="AS206" s="5">
        <v>1</v>
      </c>
      <c r="AT206" s="5">
        <v>0</v>
      </c>
      <c r="AU206" s="5">
        <v>0</v>
      </c>
      <c r="AV206" s="5">
        <f t="shared" si="159"/>
        <v>0</v>
      </c>
      <c r="AW206" s="5">
        <f t="shared" si="160"/>
        <v>0</v>
      </c>
      <c r="AX206" s="5">
        <f t="shared" si="161"/>
        <v>1</v>
      </c>
      <c r="AY206" s="1">
        <f t="shared" si="149"/>
        <v>0</v>
      </c>
      <c r="AZ206" s="1">
        <f t="shared" si="150"/>
        <v>0</v>
      </c>
      <c r="BA206" s="1">
        <f t="shared" si="151"/>
        <v>0</v>
      </c>
      <c r="BB206" s="5">
        <v>0</v>
      </c>
      <c r="BC206" s="5">
        <v>0</v>
      </c>
      <c r="BD206" s="5">
        <v>1</v>
      </c>
      <c r="BE206" s="5">
        <f t="shared" si="153"/>
        <v>0</v>
      </c>
      <c r="BF206" s="5">
        <v>0</v>
      </c>
      <c r="BG206" s="5">
        <f t="shared" si="170"/>
        <v>0</v>
      </c>
      <c r="BH206" s="5">
        <f t="shared" si="170"/>
        <v>0</v>
      </c>
      <c r="BI206" s="5">
        <f t="shared" si="170"/>
        <v>0</v>
      </c>
      <c r="BJ206" s="5">
        <f t="shared" si="170"/>
        <v>0</v>
      </c>
      <c r="BK206" s="5">
        <f t="shared" si="170"/>
        <v>0</v>
      </c>
      <c r="BL206" s="5">
        <f t="shared" si="170"/>
        <v>0</v>
      </c>
      <c r="BM206" s="5">
        <f t="shared" si="170"/>
        <v>0</v>
      </c>
      <c r="BN206" s="5">
        <f t="shared" si="162"/>
        <v>0</v>
      </c>
      <c r="BO206" s="5">
        <f t="shared" si="162"/>
        <v>0</v>
      </c>
      <c r="BP206" s="5">
        <f t="shared" si="162"/>
        <v>0</v>
      </c>
      <c r="BQ206" s="5">
        <f t="shared" si="162"/>
        <v>0</v>
      </c>
      <c r="BR206" s="5">
        <f t="shared" si="162"/>
        <v>0</v>
      </c>
      <c r="BS206" s="5">
        <f t="shared" si="162"/>
        <v>0</v>
      </c>
      <c r="BT206" s="5">
        <f t="shared" si="162"/>
        <v>0</v>
      </c>
      <c r="BU206" s="5">
        <f t="shared" si="162"/>
        <v>1</v>
      </c>
      <c r="BV206" s="5">
        <f t="shared" si="162"/>
        <v>0</v>
      </c>
      <c r="BW206" s="5">
        <f t="shared" si="162"/>
        <v>0</v>
      </c>
      <c r="BX206" s="5">
        <f t="shared" si="162"/>
        <v>0</v>
      </c>
      <c r="BY206" s="5">
        <f t="shared" si="162"/>
        <v>0</v>
      </c>
      <c r="BZ206" s="5">
        <f t="shared" si="162"/>
        <v>0</v>
      </c>
      <c r="CA206" s="5">
        <f t="shared" si="162"/>
        <v>0</v>
      </c>
      <c r="CB206" s="5">
        <f t="shared" si="162"/>
        <v>0</v>
      </c>
      <c r="CC206" s="5">
        <f t="shared" si="163"/>
        <v>0</v>
      </c>
      <c r="CD206" s="5">
        <f t="shared" si="156"/>
        <v>0</v>
      </c>
      <c r="CE206" s="5">
        <f t="shared" si="156"/>
        <v>0</v>
      </c>
    </row>
    <row r="207" spans="1:83" x14ac:dyDescent="0.2">
      <c r="C207" s="1">
        <f>Growth!D212</f>
        <v>0</v>
      </c>
      <c r="D207" s="5" t="b">
        <f t="shared" si="164"/>
        <v>0</v>
      </c>
      <c r="E207" s="5">
        <v>2005</v>
      </c>
      <c r="F207" s="5">
        <f ca="1">LOOKUP($E207,frequence!$A$2:$A$35,frequence!L$2:L$35)</f>
        <v>72.06588395020114</v>
      </c>
      <c r="G207" s="5">
        <f ca="1">LOOKUP($E207,frequence!$A$2:$A$35,frequence!K$2:K$35)</f>
        <v>5.2330043573314997</v>
      </c>
      <c r="H207" s="5">
        <f ca="1">LOOKUP($E207,frequence!$A$2:$A$35,frequence!M$2:M$35)</f>
        <v>523.86420294178538</v>
      </c>
      <c r="I207" s="5">
        <v>1995</v>
      </c>
      <c r="J207" s="7">
        <f>LOOKUP(I207,CPI!A$69:A$103,CPI!O$69:O$103)</f>
        <v>1.4308136482939633</v>
      </c>
      <c r="K207" s="5">
        <v>2005</v>
      </c>
      <c r="L207" s="7">
        <f t="shared" ca="1" si="165"/>
        <v>1</v>
      </c>
      <c r="M207" s="7">
        <f t="shared" si="157"/>
        <v>1.2500000000000002</v>
      </c>
      <c r="N207" s="14">
        <f>0.2/1.2</f>
        <v>0.16666666666666669</v>
      </c>
      <c r="O207" s="1">
        <f ca="1">P207*J207*(1+Growth!G$6)^(2010-K207)</f>
        <v>5.8608377125444244</v>
      </c>
      <c r="P207" s="1">
        <v>3.8</v>
      </c>
      <c r="Q207" s="2">
        <f t="shared" si="148"/>
        <v>3.8</v>
      </c>
      <c r="R207" s="21">
        <f t="shared" ca="1" si="166"/>
        <v>34.349418692782962</v>
      </c>
      <c r="X207" s="2">
        <f t="shared" si="171"/>
        <v>3.8</v>
      </c>
      <c r="AC207" s="1">
        <f t="shared" si="152"/>
        <v>7.5</v>
      </c>
      <c r="AD207" s="5">
        <v>1</v>
      </c>
      <c r="AE207" s="5">
        <v>1</v>
      </c>
      <c r="AF207" s="5">
        <v>1</v>
      </c>
      <c r="AG207" s="5">
        <v>1</v>
      </c>
      <c r="AH207" s="5">
        <v>1</v>
      </c>
      <c r="AI207" s="3">
        <f t="shared" si="158"/>
        <v>2.5</v>
      </c>
      <c r="AJ207" s="5">
        <f t="shared" si="136"/>
        <v>0</v>
      </c>
      <c r="AK207" s="5">
        <f t="shared" si="167"/>
        <v>0</v>
      </c>
      <c r="AL207" s="5">
        <f t="shared" si="168"/>
        <v>0</v>
      </c>
      <c r="AM207" s="5">
        <f t="shared" si="137"/>
        <v>1</v>
      </c>
      <c r="AN207" s="5">
        <f t="shared" si="169"/>
        <v>0</v>
      </c>
      <c r="AO207" s="5">
        <f t="shared" si="138"/>
        <v>0</v>
      </c>
      <c r="AP207" s="1">
        <v>3</v>
      </c>
      <c r="AQ207" s="1">
        <v>1</v>
      </c>
      <c r="AR207" s="5">
        <v>0</v>
      </c>
      <c r="AS207" s="5">
        <v>1</v>
      </c>
      <c r="AT207" s="5">
        <v>0</v>
      </c>
      <c r="AU207" s="5">
        <v>0</v>
      </c>
      <c r="AV207" s="5">
        <f t="shared" si="159"/>
        <v>0</v>
      </c>
      <c r="AW207" s="5">
        <f t="shared" si="160"/>
        <v>0</v>
      </c>
      <c r="AX207" s="5">
        <f t="shared" si="161"/>
        <v>1</v>
      </c>
      <c r="AY207" s="1">
        <f t="shared" si="149"/>
        <v>0</v>
      </c>
      <c r="AZ207" s="1">
        <f t="shared" si="150"/>
        <v>1</v>
      </c>
      <c r="BA207" s="1">
        <f t="shared" si="151"/>
        <v>0</v>
      </c>
      <c r="BB207" s="5">
        <v>0</v>
      </c>
      <c r="BC207" s="5">
        <v>0</v>
      </c>
      <c r="BD207" s="5">
        <v>1</v>
      </c>
      <c r="BE207" s="5">
        <f t="shared" si="153"/>
        <v>0</v>
      </c>
      <c r="BF207" s="5">
        <v>0</v>
      </c>
      <c r="BG207" s="5">
        <f t="shared" si="170"/>
        <v>0</v>
      </c>
      <c r="BH207" s="5">
        <f t="shared" si="170"/>
        <v>0</v>
      </c>
      <c r="BI207" s="5">
        <f t="shared" si="170"/>
        <v>0</v>
      </c>
      <c r="BJ207" s="5">
        <f t="shared" si="170"/>
        <v>0</v>
      </c>
      <c r="BK207" s="5">
        <f t="shared" si="170"/>
        <v>0</v>
      </c>
      <c r="BL207" s="5">
        <f t="shared" si="170"/>
        <v>0</v>
      </c>
      <c r="BM207" s="5">
        <f t="shared" si="170"/>
        <v>0</v>
      </c>
      <c r="BN207" s="5">
        <f t="shared" si="162"/>
        <v>0</v>
      </c>
      <c r="BO207" s="5">
        <f t="shared" si="162"/>
        <v>0</v>
      </c>
      <c r="BP207" s="5">
        <f t="shared" si="162"/>
        <v>0</v>
      </c>
      <c r="BQ207" s="5">
        <f t="shared" si="162"/>
        <v>0</v>
      </c>
      <c r="BR207" s="5">
        <f t="shared" si="162"/>
        <v>0</v>
      </c>
      <c r="BS207" s="5">
        <f t="shared" si="162"/>
        <v>0</v>
      </c>
      <c r="BT207" s="5">
        <f t="shared" si="162"/>
        <v>0</v>
      </c>
      <c r="BU207" s="5">
        <f t="shared" si="162"/>
        <v>1</v>
      </c>
      <c r="BV207" s="5">
        <f t="shared" si="162"/>
        <v>0</v>
      </c>
      <c r="BW207" s="5">
        <f t="shared" si="162"/>
        <v>0</v>
      </c>
      <c r="BX207" s="5">
        <f t="shared" si="162"/>
        <v>0</v>
      </c>
      <c r="BY207" s="5">
        <f t="shared" si="162"/>
        <v>0</v>
      </c>
      <c r="BZ207" s="5">
        <f t="shared" si="162"/>
        <v>0</v>
      </c>
      <c r="CA207" s="5">
        <f t="shared" si="162"/>
        <v>0</v>
      </c>
      <c r="CB207" s="5">
        <f t="shared" si="162"/>
        <v>0</v>
      </c>
      <c r="CC207" s="5">
        <f t="shared" si="163"/>
        <v>0</v>
      </c>
      <c r="CD207" s="5">
        <f t="shared" si="163"/>
        <v>0</v>
      </c>
      <c r="CE207" s="5">
        <f t="shared" si="163"/>
        <v>0</v>
      </c>
    </row>
    <row r="208" spans="1:83" x14ac:dyDescent="0.2">
      <c r="C208" s="1">
        <f>Growth!D213</f>
        <v>0</v>
      </c>
      <c r="D208" s="5" t="b">
        <f t="shared" si="164"/>
        <v>0</v>
      </c>
      <c r="E208" s="5">
        <v>2005</v>
      </c>
      <c r="F208" s="5">
        <f ca="1">LOOKUP($E208,frequence!$A$2:$A$35,frequence!L$2:L$35)</f>
        <v>72.06588395020114</v>
      </c>
      <c r="G208" s="5">
        <f ca="1">LOOKUP($E208,frequence!$A$2:$A$35,frequence!K$2:K$35)</f>
        <v>5.2330043573314997</v>
      </c>
      <c r="H208" s="5">
        <f ca="1">LOOKUP($E208,frequence!$A$2:$A$35,frequence!M$2:M$35)</f>
        <v>523.86420294178538</v>
      </c>
      <c r="I208" s="5">
        <v>1995</v>
      </c>
      <c r="J208" s="7">
        <f>LOOKUP(I208,CPI!A$69:A$103,CPI!O$69:O$103)</f>
        <v>1.4308136482939633</v>
      </c>
      <c r="K208" s="5">
        <v>2005</v>
      </c>
      <c r="L208" s="7">
        <f t="shared" ca="1" si="165"/>
        <v>1</v>
      </c>
      <c r="M208" s="7">
        <f t="shared" si="157"/>
        <v>2.5000000000000004</v>
      </c>
      <c r="N208" s="14">
        <f>0.4/1.2</f>
        <v>0.33333333333333337</v>
      </c>
      <c r="O208" s="1">
        <f ca="1">P208*J208*(1+Growth!G$6)^(2010-K208)</f>
        <v>10.179349711261368</v>
      </c>
      <c r="P208" s="1">
        <v>6.6</v>
      </c>
      <c r="Q208" s="2">
        <f t="shared" si="148"/>
        <v>6.6</v>
      </c>
      <c r="R208" s="21">
        <f t="shared" ca="1" si="166"/>
        <v>103.6191605441569</v>
      </c>
      <c r="X208" s="2">
        <f t="shared" si="171"/>
        <v>6.6</v>
      </c>
      <c r="AC208" s="1">
        <f t="shared" si="152"/>
        <v>7.5</v>
      </c>
      <c r="AD208" s="5">
        <v>1</v>
      </c>
      <c r="AE208" s="5">
        <v>1</v>
      </c>
      <c r="AF208" s="5">
        <v>1</v>
      </c>
      <c r="AG208" s="5">
        <v>1</v>
      </c>
      <c r="AH208" s="5">
        <v>1</v>
      </c>
      <c r="AI208" s="3">
        <f t="shared" si="158"/>
        <v>2.5</v>
      </c>
      <c r="AJ208" s="5">
        <f t="shared" si="136"/>
        <v>0</v>
      </c>
      <c r="AK208" s="5">
        <f t="shared" si="167"/>
        <v>0</v>
      </c>
      <c r="AL208" s="5">
        <f t="shared" si="168"/>
        <v>0</v>
      </c>
      <c r="AM208" s="5">
        <f t="shared" si="137"/>
        <v>1</v>
      </c>
      <c r="AN208" s="5">
        <f t="shared" si="169"/>
        <v>0</v>
      </c>
      <c r="AO208" s="5">
        <f t="shared" si="138"/>
        <v>0</v>
      </c>
      <c r="AP208" s="1">
        <v>3</v>
      </c>
      <c r="AQ208" s="1">
        <v>1</v>
      </c>
      <c r="AR208" s="5">
        <v>1</v>
      </c>
      <c r="AS208" s="5">
        <v>1</v>
      </c>
      <c r="AT208" s="5">
        <v>0</v>
      </c>
      <c r="AU208" s="5">
        <v>0</v>
      </c>
      <c r="AV208" s="5">
        <f t="shared" si="159"/>
        <v>0</v>
      </c>
      <c r="AW208" s="5">
        <f t="shared" si="160"/>
        <v>0</v>
      </c>
      <c r="AX208" s="5">
        <f t="shared" si="161"/>
        <v>1</v>
      </c>
      <c r="AY208" s="1">
        <f t="shared" si="149"/>
        <v>0</v>
      </c>
      <c r="AZ208" s="1">
        <f t="shared" si="150"/>
        <v>0</v>
      </c>
      <c r="BA208" s="1">
        <f t="shared" si="151"/>
        <v>0</v>
      </c>
      <c r="BB208" s="5">
        <v>0</v>
      </c>
      <c r="BC208" s="5">
        <v>0</v>
      </c>
      <c r="BD208" s="5">
        <v>1</v>
      </c>
      <c r="BE208" s="5">
        <f t="shared" si="153"/>
        <v>0</v>
      </c>
      <c r="BF208" s="5">
        <v>0</v>
      </c>
      <c r="BG208" s="5">
        <f t="shared" si="170"/>
        <v>0</v>
      </c>
      <c r="BH208" s="5">
        <f t="shared" si="170"/>
        <v>0</v>
      </c>
      <c r="BI208" s="5">
        <f t="shared" si="170"/>
        <v>0</v>
      </c>
      <c r="BJ208" s="5">
        <f t="shared" si="170"/>
        <v>0</v>
      </c>
      <c r="BK208" s="5">
        <f t="shared" si="170"/>
        <v>0</v>
      </c>
      <c r="BL208" s="5">
        <f t="shared" si="170"/>
        <v>0</v>
      </c>
      <c r="BM208" s="5">
        <f t="shared" si="170"/>
        <v>0</v>
      </c>
      <c r="BN208" s="5">
        <f t="shared" si="162"/>
        <v>0</v>
      </c>
      <c r="BO208" s="5">
        <f t="shared" si="162"/>
        <v>0</v>
      </c>
      <c r="BP208" s="5">
        <f t="shared" si="162"/>
        <v>0</v>
      </c>
      <c r="BQ208" s="5">
        <f t="shared" si="162"/>
        <v>0</v>
      </c>
      <c r="BR208" s="5">
        <f t="shared" si="162"/>
        <v>0</v>
      </c>
      <c r="BS208" s="5">
        <f t="shared" si="162"/>
        <v>0</v>
      </c>
      <c r="BT208" s="5">
        <f t="shared" si="162"/>
        <v>0</v>
      </c>
      <c r="BU208" s="5">
        <f t="shared" si="162"/>
        <v>1</v>
      </c>
      <c r="BV208" s="5">
        <f t="shared" si="162"/>
        <v>0</v>
      </c>
      <c r="BW208" s="5">
        <f t="shared" si="162"/>
        <v>0</v>
      </c>
      <c r="BX208" s="5">
        <f t="shared" si="162"/>
        <v>0</v>
      </c>
      <c r="BY208" s="5">
        <f t="shared" si="162"/>
        <v>0</v>
      </c>
      <c r="BZ208" s="5">
        <f t="shared" si="162"/>
        <v>0</v>
      </c>
      <c r="CA208" s="5">
        <f t="shared" si="162"/>
        <v>0</v>
      </c>
      <c r="CB208" s="5">
        <f t="shared" si="162"/>
        <v>0</v>
      </c>
      <c r="CC208" s="5">
        <f t="shared" si="163"/>
        <v>0</v>
      </c>
      <c r="CD208" s="5">
        <f t="shared" si="163"/>
        <v>0</v>
      </c>
      <c r="CE208" s="5">
        <f t="shared" si="163"/>
        <v>0</v>
      </c>
    </row>
    <row r="209" spans="1:83" x14ac:dyDescent="0.2">
      <c r="C209" s="1">
        <f>Growth!D214</f>
        <v>0</v>
      </c>
      <c r="D209" s="5" t="b">
        <f t="shared" si="164"/>
        <v>0</v>
      </c>
      <c r="E209" s="5">
        <v>2005</v>
      </c>
      <c r="F209" s="5">
        <f ca="1">LOOKUP($E209,frequence!$A$2:$A$35,frequence!L$2:L$35)</f>
        <v>72.06588395020114</v>
      </c>
      <c r="G209" s="5">
        <f ca="1">LOOKUP($E209,frequence!$A$2:$A$35,frequence!K$2:K$35)</f>
        <v>5.2330043573314997</v>
      </c>
      <c r="H209" s="5">
        <f ca="1">LOOKUP($E209,frequence!$A$2:$A$35,frequence!M$2:M$35)</f>
        <v>523.86420294178538</v>
      </c>
      <c r="I209" s="5">
        <v>1995</v>
      </c>
      <c r="J209" s="7">
        <f>LOOKUP(I209,CPI!A$69:A$103,CPI!O$69:O$103)</f>
        <v>1.4308136482939633</v>
      </c>
      <c r="K209" s="5">
        <v>2005</v>
      </c>
      <c r="L209" s="7">
        <f t="shared" ca="1" si="165"/>
        <v>1</v>
      </c>
      <c r="M209" s="7">
        <f t="shared" si="157"/>
        <v>0.62500000000000011</v>
      </c>
      <c r="N209" s="14">
        <f>0.1/1.2</f>
        <v>8.3333333333333343E-2</v>
      </c>
      <c r="O209" s="1">
        <f ca="1">P209*J209*(1+Growth!G$6)^(2010-K209)</f>
        <v>-10.179349711261368</v>
      </c>
      <c r="P209" s="1">
        <v>-6.6</v>
      </c>
      <c r="Q209" s="2">
        <f t="shared" si="148"/>
        <v>-6.6</v>
      </c>
      <c r="R209" s="21">
        <f t="shared" ca="1" si="166"/>
        <v>103.6191605441569</v>
      </c>
      <c r="X209" s="2">
        <f t="shared" si="171"/>
        <v>-6.6</v>
      </c>
      <c r="AC209" s="1">
        <f t="shared" si="152"/>
        <v>7.5</v>
      </c>
      <c r="AD209" s="5">
        <v>1</v>
      </c>
      <c r="AE209" s="5">
        <v>1</v>
      </c>
      <c r="AF209" s="5">
        <v>1</v>
      </c>
      <c r="AG209" s="5">
        <v>1</v>
      </c>
      <c r="AH209" s="5">
        <v>1</v>
      </c>
      <c r="AI209" s="3">
        <f t="shared" si="158"/>
        <v>2.5</v>
      </c>
      <c r="AJ209" s="5">
        <f t="shared" si="136"/>
        <v>1</v>
      </c>
      <c r="AK209" s="5">
        <f t="shared" si="167"/>
        <v>0</v>
      </c>
      <c r="AL209" s="5">
        <f t="shared" si="168"/>
        <v>0</v>
      </c>
      <c r="AM209" s="5">
        <f t="shared" si="137"/>
        <v>0</v>
      </c>
      <c r="AN209" s="5">
        <f t="shared" si="169"/>
        <v>0</v>
      </c>
      <c r="AO209" s="5">
        <f t="shared" si="138"/>
        <v>0</v>
      </c>
      <c r="AP209" s="1">
        <v>5</v>
      </c>
      <c r="AQ209" s="1">
        <v>3</v>
      </c>
      <c r="AR209" s="5">
        <v>0</v>
      </c>
      <c r="AS209" s="5">
        <v>1</v>
      </c>
      <c r="AT209" s="5">
        <v>0</v>
      </c>
      <c r="AU209" s="5">
        <v>0</v>
      </c>
      <c r="AV209" s="5">
        <f t="shared" si="159"/>
        <v>0</v>
      </c>
      <c r="AW209" s="5">
        <f t="shared" si="160"/>
        <v>0</v>
      </c>
      <c r="AX209" s="5">
        <f t="shared" si="161"/>
        <v>1</v>
      </c>
      <c r="AY209" s="1">
        <f t="shared" si="149"/>
        <v>1</v>
      </c>
      <c r="AZ209" s="1">
        <f t="shared" si="150"/>
        <v>0</v>
      </c>
      <c r="BA209" s="1">
        <f t="shared" si="151"/>
        <v>0</v>
      </c>
      <c r="BB209" s="5">
        <v>0</v>
      </c>
      <c r="BC209" s="5">
        <v>0</v>
      </c>
      <c r="BD209" s="5">
        <v>1</v>
      </c>
      <c r="BE209" s="5">
        <f t="shared" si="153"/>
        <v>0</v>
      </c>
      <c r="BF209" s="5">
        <v>0</v>
      </c>
      <c r="BG209" s="5">
        <f t="shared" si="170"/>
        <v>0</v>
      </c>
      <c r="BH209" s="5">
        <f t="shared" si="170"/>
        <v>0</v>
      </c>
      <c r="BI209" s="5">
        <f t="shared" si="170"/>
        <v>0</v>
      </c>
      <c r="BJ209" s="5">
        <f t="shared" si="170"/>
        <v>0</v>
      </c>
      <c r="BK209" s="5">
        <f t="shared" si="170"/>
        <v>0</v>
      </c>
      <c r="BL209" s="5">
        <f t="shared" si="170"/>
        <v>0</v>
      </c>
      <c r="BM209" s="5">
        <f t="shared" si="170"/>
        <v>0</v>
      </c>
      <c r="BN209" s="5">
        <f t="shared" si="162"/>
        <v>0</v>
      </c>
      <c r="BO209" s="5">
        <f t="shared" si="162"/>
        <v>0</v>
      </c>
      <c r="BP209" s="5">
        <f t="shared" si="162"/>
        <v>0</v>
      </c>
      <c r="BQ209" s="5">
        <f t="shared" si="162"/>
        <v>0</v>
      </c>
      <c r="BR209" s="5">
        <f t="shared" si="162"/>
        <v>0</v>
      </c>
      <c r="BS209" s="5">
        <f t="shared" si="162"/>
        <v>0</v>
      </c>
      <c r="BT209" s="5">
        <f t="shared" si="162"/>
        <v>0</v>
      </c>
      <c r="BU209" s="5">
        <f t="shared" si="162"/>
        <v>1</v>
      </c>
      <c r="BV209" s="5">
        <f t="shared" si="162"/>
        <v>0</v>
      </c>
      <c r="BW209" s="5">
        <f t="shared" si="162"/>
        <v>0</v>
      </c>
      <c r="BX209" s="5">
        <f t="shared" si="162"/>
        <v>0</v>
      </c>
      <c r="BY209" s="5">
        <f t="shared" si="162"/>
        <v>0</v>
      </c>
      <c r="BZ209" s="5">
        <f t="shared" si="162"/>
        <v>0</v>
      </c>
      <c r="CA209" s="5">
        <f t="shared" si="162"/>
        <v>0</v>
      </c>
      <c r="CB209" s="5">
        <f t="shared" si="162"/>
        <v>0</v>
      </c>
      <c r="CC209" s="5">
        <f t="shared" si="163"/>
        <v>0</v>
      </c>
      <c r="CD209" s="5">
        <f t="shared" si="163"/>
        <v>0</v>
      </c>
      <c r="CE209" s="5">
        <f t="shared" si="163"/>
        <v>0</v>
      </c>
    </row>
    <row r="210" spans="1:83" x14ac:dyDescent="0.2">
      <c r="C210" s="1">
        <f>Growth!D215</f>
        <v>0</v>
      </c>
      <c r="D210" s="5" t="b">
        <f t="shared" si="164"/>
        <v>0</v>
      </c>
      <c r="E210" s="5">
        <v>2005</v>
      </c>
      <c r="F210" s="5">
        <f ca="1">LOOKUP($E210,frequence!$A$2:$A$35,frequence!L$2:L$35)</f>
        <v>72.06588395020114</v>
      </c>
      <c r="G210" s="5">
        <f ca="1">LOOKUP($E210,frequence!$A$2:$A$35,frequence!K$2:K$35)</f>
        <v>5.2330043573314997</v>
      </c>
      <c r="H210" s="5">
        <f ca="1">LOOKUP($E210,frequence!$A$2:$A$35,frequence!M$2:M$35)</f>
        <v>523.86420294178538</v>
      </c>
      <c r="I210" s="5">
        <v>1995</v>
      </c>
      <c r="J210" s="7">
        <f>LOOKUP(I210,CPI!A$69:A$103,CPI!O$69:O$103)</f>
        <v>1.4308136482939633</v>
      </c>
      <c r="K210" s="5">
        <v>2005</v>
      </c>
      <c r="L210" s="7">
        <f t="shared" ca="1" si="165"/>
        <v>1</v>
      </c>
      <c r="M210" s="7">
        <f t="shared" si="157"/>
        <v>1.2500000000000002</v>
      </c>
      <c r="N210" s="14">
        <f>0.2/1.2</f>
        <v>0.16666666666666669</v>
      </c>
      <c r="O210" s="1">
        <f ca="1">P210*J210*(1+Growth!G$6)^(2010-K210)</f>
        <v>-0.77116285691374009</v>
      </c>
      <c r="P210" s="1">
        <v>-0.5</v>
      </c>
      <c r="Q210" s="2">
        <f t="shared" si="148"/>
        <v>-0.5</v>
      </c>
      <c r="R210" s="21">
        <f t="shared" ca="1" si="166"/>
        <v>0.59469215188336155</v>
      </c>
      <c r="X210" s="2">
        <f t="shared" si="171"/>
        <v>-0.5</v>
      </c>
      <c r="AC210" s="1">
        <f t="shared" si="152"/>
        <v>7.5</v>
      </c>
      <c r="AD210" s="5">
        <v>1</v>
      </c>
      <c r="AE210" s="5">
        <v>1</v>
      </c>
      <c r="AF210" s="5">
        <v>1</v>
      </c>
      <c r="AG210" s="5">
        <v>1</v>
      </c>
      <c r="AH210" s="5">
        <v>1</v>
      </c>
      <c r="AI210" s="3">
        <f t="shared" si="158"/>
        <v>2.5</v>
      </c>
      <c r="AJ210" s="5">
        <f t="shared" si="136"/>
        <v>1</v>
      </c>
      <c r="AK210" s="5">
        <f t="shared" si="167"/>
        <v>0</v>
      </c>
      <c r="AL210" s="5">
        <f t="shared" si="168"/>
        <v>0</v>
      </c>
      <c r="AM210" s="5">
        <f t="shared" si="137"/>
        <v>0</v>
      </c>
      <c r="AN210" s="5">
        <f t="shared" si="169"/>
        <v>0</v>
      </c>
      <c r="AO210" s="5">
        <f t="shared" si="138"/>
        <v>0</v>
      </c>
      <c r="AP210" s="1">
        <v>5</v>
      </c>
      <c r="AQ210" s="1">
        <v>3</v>
      </c>
      <c r="AR210" s="5">
        <v>1</v>
      </c>
      <c r="AS210" s="5">
        <v>1</v>
      </c>
      <c r="AT210" s="5">
        <v>0</v>
      </c>
      <c r="AU210" s="5">
        <v>0</v>
      </c>
      <c r="AV210" s="5">
        <f t="shared" si="159"/>
        <v>0</v>
      </c>
      <c r="AW210" s="5">
        <f t="shared" si="160"/>
        <v>0</v>
      </c>
      <c r="AX210" s="5">
        <f t="shared" si="161"/>
        <v>1</v>
      </c>
      <c r="AY210" s="1">
        <f t="shared" si="149"/>
        <v>0</v>
      </c>
      <c r="AZ210" s="1">
        <f t="shared" si="150"/>
        <v>0</v>
      </c>
      <c r="BA210" s="1">
        <f t="shared" si="151"/>
        <v>0</v>
      </c>
      <c r="BB210" s="5">
        <v>0</v>
      </c>
      <c r="BC210" s="5">
        <v>0</v>
      </c>
      <c r="BD210" s="5">
        <v>1</v>
      </c>
      <c r="BE210" s="5">
        <f t="shared" si="153"/>
        <v>0</v>
      </c>
      <c r="BF210" s="5">
        <v>0</v>
      </c>
      <c r="BG210" s="5">
        <f t="shared" si="170"/>
        <v>0</v>
      </c>
      <c r="BH210" s="5">
        <f t="shared" si="170"/>
        <v>0</v>
      </c>
      <c r="BI210" s="5">
        <f t="shared" si="170"/>
        <v>0</v>
      </c>
      <c r="BJ210" s="5">
        <f t="shared" si="170"/>
        <v>0</v>
      </c>
      <c r="BK210" s="5">
        <f t="shared" si="170"/>
        <v>0</v>
      </c>
      <c r="BL210" s="5">
        <f t="shared" si="170"/>
        <v>0</v>
      </c>
      <c r="BM210" s="5">
        <f t="shared" si="170"/>
        <v>0</v>
      </c>
      <c r="BN210" s="5">
        <f t="shared" si="162"/>
        <v>0</v>
      </c>
      <c r="BO210" s="5">
        <f t="shared" si="162"/>
        <v>0</v>
      </c>
      <c r="BP210" s="5">
        <f t="shared" si="162"/>
        <v>0</v>
      </c>
      <c r="BQ210" s="5">
        <f t="shared" si="162"/>
        <v>0</v>
      </c>
      <c r="BR210" s="5">
        <f t="shared" si="162"/>
        <v>0</v>
      </c>
      <c r="BS210" s="5">
        <f t="shared" si="162"/>
        <v>0</v>
      </c>
      <c r="BT210" s="5">
        <f t="shared" si="162"/>
        <v>0</v>
      </c>
      <c r="BU210" s="5">
        <f t="shared" si="162"/>
        <v>1</v>
      </c>
      <c r="BV210" s="5">
        <f t="shared" si="162"/>
        <v>0</v>
      </c>
      <c r="BW210" s="5">
        <f t="shared" si="162"/>
        <v>0</v>
      </c>
      <c r="BX210" s="5">
        <f t="shared" si="162"/>
        <v>0</v>
      </c>
      <c r="BY210" s="5">
        <f t="shared" si="162"/>
        <v>0</v>
      </c>
      <c r="BZ210" s="5">
        <f t="shared" si="162"/>
        <v>0</v>
      </c>
      <c r="CA210" s="5">
        <f t="shared" si="162"/>
        <v>0</v>
      </c>
      <c r="CB210" s="5">
        <f t="shared" si="162"/>
        <v>0</v>
      </c>
      <c r="CC210" s="5">
        <f t="shared" si="163"/>
        <v>0</v>
      </c>
      <c r="CD210" s="5">
        <f t="shared" si="163"/>
        <v>0</v>
      </c>
      <c r="CE210" s="5">
        <f t="shared" si="163"/>
        <v>0</v>
      </c>
    </row>
    <row r="211" spans="1:83" x14ac:dyDescent="0.2">
      <c r="A211" s="1" t="s">
        <v>39</v>
      </c>
      <c r="B211" s="1" t="s">
        <v>158</v>
      </c>
      <c r="C211" s="1">
        <f>Growth!D216</f>
        <v>0</v>
      </c>
      <c r="D211" s="5">
        <f t="shared" si="164"/>
        <v>2003</v>
      </c>
      <c r="E211" s="5">
        <v>2003</v>
      </c>
      <c r="F211" s="5">
        <f ca="1">LOOKUP($E211,frequence!$A$2:$A$35,frequence!L$2:L$35)</f>
        <v>29.827011246309265</v>
      </c>
      <c r="G211" s="5">
        <f ca="1">LOOKUP($E211,frequence!$A$2:$A$35,frequence!K$2:K$35)</f>
        <v>1.2364001889304839</v>
      </c>
      <c r="H211" s="5">
        <f ca="1">LOOKUP($E211,frequence!$A$2:$A$35,frequence!M$2:M$35)</f>
        <v>259.35446116109233</v>
      </c>
      <c r="I211" s="5">
        <v>1989</v>
      </c>
      <c r="J211" s="7">
        <f>LOOKUP(I211,CPI!A$69:A$103,CPI!O$69:O$103)</f>
        <v>1.7585161290322582</v>
      </c>
      <c r="K211" s="5">
        <v>2000</v>
      </c>
      <c r="L211" s="7">
        <f t="shared" ca="1" si="165"/>
        <v>1</v>
      </c>
      <c r="M211" s="7">
        <f t="shared" si="157"/>
        <v>0.53</v>
      </c>
      <c r="N211" s="14">
        <f>0.5*0.2</f>
        <v>0.1</v>
      </c>
      <c r="O211" s="1">
        <f ca="1">P211*J211*(1+Growth!G$6)^(2010-K211)</f>
        <v>11.728549323648457</v>
      </c>
      <c r="P211" s="1">
        <v>5.74</v>
      </c>
      <c r="Q211" s="2">
        <f t="shared" si="148"/>
        <v>5.74</v>
      </c>
      <c r="R211" s="21">
        <f t="shared" ca="1" si="166"/>
        <v>137.55886923725467</v>
      </c>
      <c r="X211" s="2">
        <f t="shared" si="171"/>
        <v>5.74</v>
      </c>
      <c r="AC211" s="1">
        <f t="shared" si="152"/>
        <v>5.3</v>
      </c>
      <c r="AD211" s="5">
        <v>1</v>
      </c>
      <c r="AE211" s="5">
        <v>0</v>
      </c>
      <c r="AF211" s="5">
        <v>1</v>
      </c>
      <c r="AG211" s="5">
        <v>0</v>
      </c>
      <c r="AH211" s="5">
        <v>1</v>
      </c>
      <c r="AI211" s="3">
        <f t="shared" si="158"/>
        <v>2.2999999999999998</v>
      </c>
      <c r="AJ211" s="5">
        <f t="shared" si="136"/>
        <v>0</v>
      </c>
      <c r="AK211" s="5">
        <f t="shared" si="167"/>
        <v>1</v>
      </c>
      <c r="AL211" s="5">
        <f t="shared" si="168"/>
        <v>0</v>
      </c>
      <c r="AM211" s="5">
        <f t="shared" si="137"/>
        <v>0</v>
      </c>
      <c r="AN211" s="5">
        <f t="shared" si="169"/>
        <v>0</v>
      </c>
      <c r="AO211" s="5">
        <f t="shared" si="138"/>
        <v>0</v>
      </c>
      <c r="AP211" s="1">
        <v>4</v>
      </c>
      <c r="AQ211" s="1">
        <v>2</v>
      </c>
      <c r="AR211" s="5">
        <v>0</v>
      </c>
      <c r="AS211" s="5">
        <v>0</v>
      </c>
      <c r="AT211" s="5">
        <v>0</v>
      </c>
      <c r="AU211" s="5">
        <v>0</v>
      </c>
      <c r="AV211" s="5">
        <f t="shared" si="159"/>
        <v>0</v>
      </c>
      <c r="AW211" s="5">
        <f t="shared" si="160"/>
        <v>0</v>
      </c>
      <c r="AX211" s="5">
        <f t="shared" si="161"/>
        <v>1</v>
      </c>
      <c r="AY211" s="1">
        <f t="shared" si="149"/>
        <v>0</v>
      </c>
      <c r="AZ211" s="1">
        <f t="shared" si="150"/>
        <v>0</v>
      </c>
      <c r="BA211" s="1">
        <f t="shared" si="151"/>
        <v>0</v>
      </c>
      <c r="BB211" s="5">
        <v>0</v>
      </c>
      <c r="BC211" s="5">
        <v>0</v>
      </c>
      <c r="BD211" s="5">
        <v>0</v>
      </c>
      <c r="BE211" s="5">
        <f t="shared" si="153"/>
        <v>1</v>
      </c>
      <c r="BF211" s="5">
        <v>0</v>
      </c>
      <c r="BG211" s="5">
        <f t="shared" si="170"/>
        <v>0</v>
      </c>
      <c r="BH211" s="5">
        <f t="shared" si="170"/>
        <v>0</v>
      </c>
      <c r="BI211" s="5">
        <f t="shared" si="170"/>
        <v>0</v>
      </c>
      <c r="BJ211" s="5">
        <f t="shared" si="170"/>
        <v>0</v>
      </c>
      <c r="BK211" s="5">
        <f t="shared" si="170"/>
        <v>0</v>
      </c>
      <c r="BL211" s="5">
        <f t="shared" si="170"/>
        <v>0</v>
      </c>
      <c r="BM211" s="5">
        <f t="shared" si="170"/>
        <v>0</v>
      </c>
      <c r="BN211" s="5">
        <f t="shared" si="162"/>
        <v>0</v>
      </c>
      <c r="BO211" s="5">
        <f t="shared" si="162"/>
        <v>0</v>
      </c>
      <c r="BP211" s="5">
        <f t="shared" si="162"/>
        <v>0</v>
      </c>
      <c r="BQ211" s="5">
        <f t="shared" si="162"/>
        <v>0</v>
      </c>
      <c r="BR211" s="5">
        <f t="shared" si="162"/>
        <v>0</v>
      </c>
      <c r="BS211" s="5">
        <f t="shared" si="162"/>
        <v>1</v>
      </c>
      <c r="BT211" s="5">
        <f t="shared" si="162"/>
        <v>0</v>
      </c>
      <c r="BU211" s="5">
        <f t="shared" si="162"/>
        <v>0</v>
      </c>
      <c r="BV211" s="5">
        <f t="shared" si="162"/>
        <v>0</v>
      </c>
      <c r="BW211" s="5">
        <f t="shared" si="162"/>
        <v>0</v>
      </c>
      <c r="BX211" s="5">
        <f t="shared" si="162"/>
        <v>0</v>
      </c>
      <c r="BY211" s="5">
        <f t="shared" si="162"/>
        <v>0</v>
      </c>
      <c r="BZ211" s="5">
        <f t="shared" si="162"/>
        <v>0</v>
      </c>
      <c r="CA211" s="5">
        <f t="shared" si="162"/>
        <v>0</v>
      </c>
      <c r="CB211" s="5">
        <f t="shared" ref="CB211:CE230" si="172">IF($E211=CB$2,1,0)</f>
        <v>0</v>
      </c>
      <c r="CC211" s="5">
        <f t="shared" si="163"/>
        <v>0</v>
      </c>
      <c r="CD211" s="5">
        <f t="shared" si="163"/>
        <v>0</v>
      </c>
      <c r="CE211" s="5">
        <f t="shared" si="163"/>
        <v>0</v>
      </c>
    </row>
    <row r="212" spans="1:83" x14ac:dyDescent="0.2">
      <c r="C212" s="1">
        <f>Growth!D217</f>
        <v>0</v>
      </c>
      <c r="D212" s="5" t="b">
        <f t="shared" si="164"/>
        <v>0</v>
      </c>
      <c r="E212" s="5">
        <v>2003</v>
      </c>
      <c r="F212" s="5">
        <f ca="1">LOOKUP($E212,frequence!$A$2:$A$35,frequence!L$2:L$35)</f>
        <v>29.827011246309265</v>
      </c>
      <c r="G212" s="5">
        <f ca="1">LOOKUP($E212,frequence!$A$2:$A$35,frequence!K$2:K$35)</f>
        <v>1.2364001889304839</v>
      </c>
      <c r="H212" s="5">
        <f ca="1">LOOKUP($E212,frequence!$A$2:$A$35,frequence!M$2:M$35)</f>
        <v>259.35446116109233</v>
      </c>
      <c r="I212" s="5">
        <v>1989</v>
      </c>
      <c r="J212" s="7">
        <f>LOOKUP(I212,CPI!A$69:A$103,CPI!O$69:O$103)</f>
        <v>1.7585161290322582</v>
      </c>
      <c r="K212" s="5">
        <v>2000</v>
      </c>
      <c r="L212" s="7">
        <f t="shared" ca="1" si="165"/>
        <v>1</v>
      </c>
      <c r="M212" s="7">
        <f t="shared" si="157"/>
        <v>1.06</v>
      </c>
      <c r="N212" s="14">
        <f>0.5*0.4</f>
        <v>0.2</v>
      </c>
      <c r="O212" s="1">
        <f ca="1">P212*J212*(1+Growth!G$6)^(2010-K212)</f>
        <v>21.332065320364091</v>
      </c>
      <c r="P212" s="1">
        <v>10.44</v>
      </c>
      <c r="Q212" s="2">
        <f t="shared" si="148"/>
        <v>10.44</v>
      </c>
      <c r="R212" s="21">
        <f t="shared" ca="1" si="166"/>
        <v>455.0570108322803</v>
      </c>
      <c r="X212" s="2">
        <f t="shared" si="171"/>
        <v>10.44</v>
      </c>
      <c r="AC212" s="1">
        <f t="shared" si="152"/>
        <v>5.3</v>
      </c>
      <c r="AD212" s="5">
        <v>1</v>
      </c>
      <c r="AE212" s="5">
        <v>0</v>
      </c>
      <c r="AF212" s="5">
        <v>1</v>
      </c>
      <c r="AG212" s="5">
        <v>0</v>
      </c>
      <c r="AH212" s="5">
        <v>1</v>
      </c>
      <c r="AI212" s="3">
        <f t="shared" si="158"/>
        <v>2.2999999999999998</v>
      </c>
      <c r="AJ212" s="5">
        <f t="shared" si="136"/>
        <v>0</v>
      </c>
      <c r="AK212" s="5">
        <f t="shared" si="167"/>
        <v>1</v>
      </c>
      <c r="AL212" s="5">
        <f t="shared" si="168"/>
        <v>0</v>
      </c>
      <c r="AM212" s="5">
        <f t="shared" si="137"/>
        <v>0</v>
      </c>
      <c r="AN212" s="5">
        <f t="shared" si="169"/>
        <v>0</v>
      </c>
      <c r="AO212" s="5">
        <f t="shared" si="138"/>
        <v>0</v>
      </c>
      <c r="AP212" s="11" t="s">
        <v>42</v>
      </c>
      <c r="AQ212" s="1">
        <v>2</v>
      </c>
      <c r="AR212" s="5">
        <v>0</v>
      </c>
      <c r="AS212" s="5">
        <v>0</v>
      </c>
      <c r="AT212" s="5">
        <v>0</v>
      </c>
      <c r="AU212" s="5">
        <v>0</v>
      </c>
      <c r="AV212" s="5">
        <f t="shared" si="159"/>
        <v>0</v>
      </c>
      <c r="AW212" s="5">
        <f t="shared" si="160"/>
        <v>0</v>
      </c>
      <c r="AX212" s="5">
        <f t="shared" si="161"/>
        <v>1</v>
      </c>
      <c r="AY212" s="1">
        <f t="shared" si="149"/>
        <v>0</v>
      </c>
      <c r="AZ212" s="1">
        <f t="shared" si="150"/>
        <v>0</v>
      </c>
      <c r="BA212" s="1">
        <f t="shared" si="151"/>
        <v>0</v>
      </c>
      <c r="BB212" s="5">
        <v>0</v>
      </c>
      <c r="BC212" s="5">
        <v>0</v>
      </c>
      <c r="BD212" s="5">
        <v>0</v>
      </c>
      <c r="BE212" s="5">
        <f t="shared" si="153"/>
        <v>1</v>
      </c>
      <c r="BF212" s="5">
        <v>0</v>
      </c>
      <c r="BG212" s="5">
        <f t="shared" si="170"/>
        <v>0</v>
      </c>
      <c r="BH212" s="5">
        <f t="shared" si="170"/>
        <v>0</v>
      </c>
      <c r="BI212" s="5">
        <f t="shared" si="170"/>
        <v>0</v>
      </c>
      <c r="BJ212" s="5">
        <f t="shared" si="170"/>
        <v>0</v>
      </c>
      <c r="BK212" s="5">
        <f t="shared" si="170"/>
        <v>0</v>
      </c>
      <c r="BL212" s="5">
        <f t="shared" si="170"/>
        <v>0</v>
      </c>
      <c r="BM212" s="5">
        <f t="shared" si="170"/>
        <v>0</v>
      </c>
      <c r="BN212" s="5">
        <f t="shared" si="170"/>
        <v>0</v>
      </c>
      <c r="BO212" s="5">
        <f t="shared" ref="BO212:CA227" si="173">IF($E212=BO$2,1,0)</f>
        <v>0</v>
      </c>
      <c r="BP212" s="5">
        <f t="shared" si="173"/>
        <v>0</v>
      </c>
      <c r="BQ212" s="5">
        <f t="shared" si="173"/>
        <v>0</v>
      </c>
      <c r="BR212" s="5">
        <f t="shared" si="173"/>
        <v>0</v>
      </c>
      <c r="BS212" s="5">
        <f t="shared" si="173"/>
        <v>1</v>
      </c>
      <c r="BT212" s="5">
        <f t="shared" si="173"/>
        <v>0</v>
      </c>
      <c r="BU212" s="5">
        <f t="shared" si="173"/>
        <v>0</v>
      </c>
      <c r="BV212" s="5">
        <f t="shared" si="173"/>
        <v>0</v>
      </c>
      <c r="BW212" s="5">
        <f t="shared" si="173"/>
        <v>0</v>
      </c>
      <c r="BX212" s="5">
        <f t="shared" si="173"/>
        <v>0</v>
      </c>
      <c r="BY212" s="5">
        <f t="shared" si="173"/>
        <v>0</v>
      </c>
      <c r="BZ212" s="5">
        <f t="shared" si="173"/>
        <v>0</v>
      </c>
      <c r="CA212" s="5">
        <f t="shared" si="173"/>
        <v>0</v>
      </c>
      <c r="CB212" s="5">
        <f t="shared" si="172"/>
        <v>0</v>
      </c>
      <c r="CC212" s="5">
        <f t="shared" si="163"/>
        <v>0</v>
      </c>
      <c r="CD212" s="5">
        <f t="shared" si="163"/>
        <v>0</v>
      </c>
      <c r="CE212" s="5">
        <f t="shared" si="163"/>
        <v>0</v>
      </c>
    </row>
    <row r="213" spans="1:83" x14ac:dyDescent="0.2">
      <c r="C213" s="1">
        <f>Growth!D218</f>
        <v>0</v>
      </c>
      <c r="D213" s="5" t="b">
        <f t="shared" si="164"/>
        <v>0</v>
      </c>
      <c r="E213" s="5">
        <v>2003</v>
      </c>
      <c r="F213" s="5">
        <f ca="1">LOOKUP($E213,frequence!$A$2:$A$35,frequence!L$2:L$35)</f>
        <v>29.827011246309265</v>
      </c>
      <c r="G213" s="5">
        <f ca="1">LOOKUP($E213,frequence!$A$2:$A$35,frequence!K$2:K$35)</f>
        <v>1.2364001889304839</v>
      </c>
      <c r="H213" s="5">
        <f ca="1">LOOKUP($E213,frequence!$A$2:$A$35,frequence!M$2:M$35)</f>
        <v>259.35446116109233</v>
      </c>
      <c r="I213" s="5">
        <v>1989</v>
      </c>
      <c r="J213" s="7">
        <f>LOOKUP(I213,CPI!A$69:A$103,CPI!O$69:O$103)</f>
        <v>1.7585161290322582</v>
      </c>
      <c r="K213" s="5">
        <v>2000</v>
      </c>
      <c r="L213" s="7">
        <f t="shared" ca="1" si="165"/>
        <v>1</v>
      </c>
      <c r="M213" s="7">
        <f t="shared" si="157"/>
        <v>1.06</v>
      </c>
      <c r="N213" s="14">
        <f>0.5*0.4</f>
        <v>0.2</v>
      </c>
      <c r="O213" s="1">
        <f ca="1">P213*J213*(1+Growth!G$6)^(2010-K213)</f>
        <v>13.322324318848072</v>
      </c>
      <c r="P213" s="1">
        <v>6.52</v>
      </c>
      <c r="Q213" s="2">
        <f t="shared" si="148"/>
        <v>6.52</v>
      </c>
      <c r="R213" s="21">
        <f t="shared" ca="1" si="166"/>
        <v>177.48432525657074</v>
      </c>
      <c r="X213" s="2">
        <f t="shared" si="171"/>
        <v>6.52</v>
      </c>
      <c r="AC213" s="1">
        <f t="shared" si="152"/>
        <v>5.3</v>
      </c>
      <c r="AD213" s="5">
        <v>1</v>
      </c>
      <c r="AE213" s="5">
        <v>0</v>
      </c>
      <c r="AF213" s="5">
        <v>1</v>
      </c>
      <c r="AG213" s="5">
        <v>0</v>
      </c>
      <c r="AH213" s="5">
        <v>1</v>
      </c>
      <c r="AI213" s="3">
        <f t="shared" si="158"/>
        <v>2.2999999999999998</v>
      </c>
      <c r="AJ213" s="5">
        <f t="shared" si="136"/>
        <v>0</v>
      </c>
      <c r="AK213" s="5">
        <f t="shared" si="167"/>
        <v>1</v>
      </c>
      <c r="AL213" s="5">
        <f t="shared" si="168"/>
        <v>0</v>
      </c>
      <c r="AM213" s="5">
        <f t="shared" si="137"/>
        <v>0</v>
      </c>
      <c r="AN213" s="5">
        <f t="shared" si="169"/>
        <v>0</v>
      </c>
      <c r="AO213" s="5">
        <f t="shared" si="138"/>
        <v>0</v>
      </c>
      <c r="AP213" s="11" t="s">
        <v>42</v>
      </c>
      <c r="AQ213" s="1">
        <v>2</v>
      </c>
      <c r="AR213" s="5">
        <v>0</v>
      </c>
      <c r="AS213" s="5">
        <v>0</v>
      </c>
      <c r="AT213" s="5">
        <v>0</v>
      </c>
      <c r="AU213" s="5">
        <v>0</v>
      </c>
      <c r="AV213" s="5">
        <f t="shared" si="159"/>
        <v>0</v>
      </c>
      <c r="AW213" s="5">
        <f t="shared" si="160"/>
        <v>0</v>
      </c>
      <c r="AX213" s="5">
        <f t="shared" si="161"/>
        <v>1</v>
      </c>
      <c r="AY213" s="1">
        <f t="shared" si="149"/>
        <v>0</v>
      </c>
      <c r="AZ213" s="1">
        <f t="shared" si="150"/>
        <v>0</v>
      </c>
      <c r="BA213" s="1">
        <f t="shared" si="151"/>
        <v>0</v>
      </c>
      <c r="BB213" s="5">
        <v>0</v>
      </c>
      <c r="BC213" s="5">
        <v>0</v>
      </c>
      <c r="BD213" s="5">
        <v>0</v>
      </c>
      <c r="BE213" s="5">
        <f t="shared" si="153"/>
        <v>1</v>
      </c>
      <c r="BF213" s="5">
        <v>0</v>
      </c>
      <c r="BG213" s="5">
        <f t="shared" ref="BG213:BN228" si="174">IF($E213=BG$2,1,0)</f>
        <v>0</v>
      </c>
      <c r="BH213" s="5">
        <f t="shared" si="174"/>
        <v>0</v>
      </c>
      <c r="BI213" s="5">
        <f t="shared" si="174"/>
        <v>0</v>
      </c>
      <c r="BJ213" s="5">
        <f t="shared" si="174"/>
        <v>0</v>
      </c>
      <c r="BK213" s="5">
        <f t="shared" si="174"/>
        <v>0</v>
      </c>
      <c r="BL213" s="5">
        <f t="shared" si="174"/>
        <v>0</v>
      </c>
      <c r="BM213" s="5">
        <f t="shared" si="174"/>
        <v>0</v>
      </c>
      <c r="BN213" s="5">
        <f t="shared" si="174"/>
        <v>0</v>
      </c>
      <c r="BO213" s="5">
        <f t="shared" si="173"/>
        <v>0</v>
      </c>
      <c r="BP213" s="5">
        <f t="shared" si="173"/>
        <v>0</v>
      </c>
      <c r="BQ213" s="5">
        <f t="shared" si="173"/>
        <v>0</v>
      </c>
      <c r="BR213" s="5">
        <f t="shared" si="173"/>
        <v>0</v>
      </c>
      <c r="BS213" s="5">
        <f t="shared" si="173"/>
        <v>1</v>
      </c>
      <c r="BT213" s="5">
        <f t="shared" si="173"/>
        <v>0</v>
      </c>
      <c r="BU213" s="5">
        <f t="shared" si="173"/>
        <v>0</v>
      </c>
      <c r="BV213" s="5">
        <f t="shared" si="173"/>
        <v>0</v>
      </c>
      <c r="BW213" s="5">
        <f t="shared" si="173"/>
        <v>0</v>
      </c>
      <c r="BX213" s="5">
        <f t="shared" si="173"/>
        <v>0</v>
      </c>
      <c r="BY213" s="5">
        <f t="shared" si="173"/>
        <v>0</v>
      </c>
      <c r="BZ213" s="5">
        <f t="shared" si="173"/>
        <v>0</v>
      </c>
      <c r="CA213" s="5">
        <f t="shared" si="173"/>
        <v>0</v>
      </c>
      <c r="CB213" s="5">
        <f t="shared" si="172"/>
        <v>0</v>
      </c>
      <c r="CC213" s="5">
        <f t="shared" si="163"/>
        <v>0</v>
      </c>
      <c r="CD213" s="5">
        <f t="shared" si="163"/>
        <v>0</v>
      </c>
      <c r="CE213" s="5">
        <f t="shared" si="163"/>
        <v>0</v>
      </c>
    </row>
    <row r="214" spans="1:83" x14ac:dyDescent="0.2">
      <c r="C214" s="1">
        <f>Growth!D219</f>
        <v>0</v>
      </c>
      <c r="D214" s="5" t="b">
        <f t="shared" si="164"/>
        <v>0</v>
      </c>
      <c r="E214" s="5">
        <v>2003</v>
      </c>
      <c r="F214" s="5">
        <f ca="1">LOOKUP($E214,frequence!$A$2:$A$35,frequence!L$2:L$35)</f>
        <v>29.827011246309265</v>
      </c>
      <c r="G214" s="5">
        <f ca="1">LOOKUP($E214,frequence!$A$2:$A$35,frequence!K$2:K$35)</f>
        <v>1.2364001889304839</v>
      </c>
      <c r="H214" s="5">
        <f ca="1">LOOKUP($E214,frequence!$A$2:$A$35,frequence!M$2:M$35)</f>
        <v>259.35446116109233</v>
      </c>
      <c r="I214" s="5">
        <v>1989</v>
      </c>
      <c r="J214" s="7">
        <f>LOOKUP(I214,CPI!A$69:A$103,CPI!O$69:O$103)</f>
        <v>1.7585161290322582</v>
      </c>
      <c r="K214" s="5">
        <v>2000</v>
      </c>
      <c r="L214" s="7">
        <f t="shared" ca="1" si="165"/>
        <v>1</v>
      </c>
      <c r="M214" s="7">
        <f t="shared" si="157"/>
        <v>0.26500000000000001</v>
      </c>
      <c r="N214" s="14">
        <f>0.25*0.2</f>
        <v>0.05</v>
      </c>
      <c r="O214" s="1">
        <f ca="1">P214*J214*(1+Growth!G$6)^(2010-K214)</f>
        <v>44.400936725240584</v>
      </c>
      <c r="P214" s="1">
        <v>21.73</v>
      </c>
      <c r="Q214" s="2">
        <f t="shared" si="148"/>
        <v>21.73</v>
      </c>
      <c r="R214" s="21">
        <f t="shared" ca="1" si="166"/>
        <v>1971.4431820788179</v>
      </c>
      <c r="X214" s="2">
        <f t="shared" si="171"/>
        <v>21.73</v>
      </c>
      <c r="AC214" s="1">
        <f t="shared" si="152"/>
        <v>5.3</v>
      </c>
      <c r="AD214" s="5">
        <v>1</v>
      </c>
      <c r="AE214" s="5">
        <v>0</v>
      </c>
      <c r="AF214" s="5">
        <v>1</v>
      </c>
      <c r="AG214" s="5">
        <v>0</v>
      </c>
      <c r="AH214" s="5">
        <v>1</v>
      </c>
      <c r="AI214" s="3">
        <f t="shared" si="158"/>
        <v>2.2999999999999998</v>
      </c>
      <c r="AJ214" s="5">
        <f t="shared" si="136"/>
        <v>0</v>
      </c>
      <c r="AK214" s="5">
        <f t="shared" si="167"/>
        <v>0</v>
      </c>
      <c r="AL214" s="5">
        <f t="shared" si="168"/>
        <v>0</v>
      </c>
      <c r="AM214" s="5">
        <f t="shared" si="137"/>
        <v>0</v>
      </c>
      <c r="AN214" s="5">
        <f t="shared" si="169"/>
        <v>0</v>
      </c>
      <c r="AO214" s="5">
        <f t="shared" si="138"/>
        <v>1</v>
      </c>
      <c r="AP214" s="1">
        <v>2</v>
      </c>
      <c r="AQ214" s="1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f t="shared" si="159"/>
        <v>0</v>
      </c>
      <c r="AW214" s="5">
        <f t="shared" si="160"/>
        <v>0</v>
      </c>
      <c r="AX214" s="5">
        <f t="shared" si="161"/>
        <v>1</v>
      </c>
      <c r="AY214" s="1">
        <f t="shared" si="149"/>
        <v>0</v>
      </c>
      <c r="AZ214" s="1">
        <f t="shared" si="150"/>
        <v>0</v>
      </c>
      <c r="BA214" s="1">
        <f t="shared" si="151"/>
        <v>1</v>
      </c>
      <c r="BB214" s="5">
        <v>0</v>
      </c>
      <c r="BC214" s="5">
        <v>0</v>
      </c>
      <c r="BD214" s="5">
        <v>0</v>
      </c>
      <c r="BE214" s="5">
        <f t="shared" si="153"/>
        <v>1</v>
      </c>
      <c r="BF214" s="5">
        <v>0</v>
      </c>
      <c r="BG214" s="5">
        <f t="shared" si="174"/>
        <v>0</v>
      </c>
      <c r="BH214" s="5">
        <f t="shared" si="174"/>
        <v>0</v>
      </c>
      <c r="BI214" s="5">
        <f t="shared" si="174"/>
        <v>0</v>
      </c>
      <c r="BJ214" s="5">
        <f t="shared" si="174"/>
        <v>0</v>
      </c>
      <c r="BK214" s="5">
        <f t="shared" si="174"/>
        <v>0</v>
      </c>
      <c r="BL214" s="5">
        <f t="shared" si="174"/>
        <v>0</v>
      </c>
      <c r="BM214" s="5">
        <f t="shared" si="174"/>
        <v>0</v>
      </c>
      <c r="BN214" s="5">
        <f t="shared" si="174"/>
        <v>0</v>
      </c>
      <c r="BO214" s="5">
        <f t="shared" si="173"/>
        <v>0</v>
      </c>
      <c r="BP214" s="5">
        <f t="shared" si="173"/>
        <v>0</v>
      </c>
      <c r="BQ214" s="5">
        <f t="shared" si="173"/>
        <v>0</v>
      </c>
      <c r="BR214" s="5">
        <f t="shared" si="173"/>
        <v>0</v>
      </c>
      <c r="BS214" s="5">
        <f t="shared" si="173"/>
        <v>1</v>
      </c>
      <c r="BT214" s="5">
        <f t="shared" si="173"/>
        <v>0</v>
      </c>
      <c r="BU214" s="5">
        <f t="shared" si="173"/>
        <v>0</v>
      </c>
      <c r="BV214" s="5">
        <f t="shared" si="173"/>
        <v>0</v>
      </c>
      <c r="BW214" s="5">
        <f t="shared" si="173"/>
        <v>0</v>
      </c>
      <c r="BX214" s="5">
        <f t="shared" si="173"/>
        <v>0</v>
      </c>
      <c r="BY214" s="5">
        <f t="shared" si="173"/>
        <v>0</v>
      </c>
      <c r="BZ214" s="5">
        <f t="shared" si="173"/>
        <v>0</v>
      </c>
      <c r="CA214" s="5">
        <f t="shared" si="173"/>
        <v>0</v>
      </c>
      <c r="CB214" s="5">
        <f t="shared" si="172"/>
        <v>0</v>
      </c>
      <c r="CC214" s="5">
        <f t="shared" si="163"/>
        <v>0</v>
      </c>
      <c r="CD214" s="5">
        <f t="shared" si="163"/>
        <v>0</v>
      </c>
      <c r="CE214" s="5">
        <f t="shared" si="163"/>
        <v>0</v>
      </c>
    </row>
    <row r="215" spans="1:83" x14ac:dyDescent="0.2">
      <c r="C215" s="1">
        <f>Growth!D220</f>
        <v>0</v>
      </c>
      <c r="D215" s="5" t="b">
        <f t="shared" si="164"/>
        <v>0</v>
      </c>
      <c r="E215" s="5">
        <v>2003</v>
      </c>
      <c r="F215" s="5">
        <f ca="1">LOOKUP($E215,frequence!$A$2:$A$35,frequence!L$2:L$35)</f>
        <v>29.827011246309265</v>
      </c>
      <c r="G215" s="5">
        <f ca="1">LOOKUP($E215,frequence!$A$2:$A$35,frequence!K$2:K$35)</f>
        <v>1.2364001889304839</v>
      </c>
      <c r="H215" s="5">
        <f ca="1">LOOKUP($E215,frequence!$A$2:$A$35,frequence!M$2:M$35)</f>
        <v>259.35446116109233</v>
      </c>
      <c r="I215" s="5">
        <v>1989</v>
      </c>
      <c r="J215" s="7">
        <f>LOOKUP(I215,CPI!A$69:A$103,CPI!O$69:O$103)</f>
        <v>1.7585161290322582</v>
      </c>
      <c r="K215" s="5">
        <v>2000</v>
      </c>
      <c r="L215" s="7">
        <f t="shared" ca="1" si="165"/>
        <v>1</v>
      </c>
      <c r="M215" s="7">
        <f t="shared" si="157"/>
        <v>0.53</v>
      </c>
      <c r="N215" s="14">
        <f>0.25*0.4</f>
        <v>0.1</v>
      </c>
      <c r="O215" s="1">
        <f ca="1">P215*J215*(1+Growth!G$6)^(2010-K215)</f>
        <v>69.145315176352568</v>
      </c>
      <c r="P215" s="1">
        <v>33.840000000000003</v>
      </c>
      <c r="Q215" s="2">
        <f t="shared" si="148"/>
        <v>33.840000000000003</v>
      </c>
      <c r="R215" s="21">
        <f t="shared" ca="1" si="166"/>
        <v>4781.0746108371332</v>
      </c>
      <c r="X215" s="2">
        <f t="shared" si="171"/>
        <v>33.840000000000003</v>
      </c>
      <c r="AC215" s="1">
        <f t="shared" si="152"/>
        <v>5.3</v>
      </c>
      <c r="AD215" s="5">
        <v>1</v>
      </c>
      <c r="AE215" s="5">
        <v>0</v>
      </c>
      <c r="AF215" s="5">
        <v>1</v>
      </c>
      <c r="AG215" s="5">
        <v>0</v>
      </c>
      <c r="AH215" s="5">
        <v>1</v>
      </c>
      <c r="AI215" s="3">
        <f t="shared" si="158"/>
        <v>2.2999999999999998</v>
      </c>
      <c r="AJ215" s="5">
        <f t="shared" ref="AJ215:AJ278" si="175">IF($AQ215=3,1,0)</f>
        <v>0</v>
      </c>
      <c r="AK215" s="5">
        <f t="shared" si="167"/>
        <v>0</v>
      </c>
      <c r="AL215" s="5">
        <f t="shared" si="168"/>
        <v>0</v>
      </c>
      <c r="AM215" s="5">
        <f t="shared" si="137"/>
        <v>0</v>
      </c>
      <c r="AN215" s="5">
        <f t="shared" si="169"/>
        <v>0</v>
      </c>
      <c r="AO215" s="5">
        <f t="shared" si="138"/>
        <v>1</v>
      </c>
      <c r="AP215" s="11" t="s">
        <v>42</v>
      </c>
      <c r="AQ215" s="1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f t="shared" si="159"/>
        <v>0</v>
      </c>
      <c r="AW215" s="5">
        <f t="shared" si="160"/>
        <v>0</v>
      </c>
      <c r="AX215" s="5">
        <f t="shared" si="161"/>
        <v>1</v>
      </c>
      <c r="AY215" s="1">
        <f t="shared" si="149"/>
        <v>0</v>
      </c>
      <c r="AZ215" s="1">
        <f t="shared" si="150"/>
        <v>0</v>
      </c>
      <c r="BA215" s="1">
        <f t="shared" si="151"/>
        <v>1</v>
      </c>
      <c r="BB215" s="5">
        <v>0</v>
      </c>
      <c r="BC215" s="5">
        <v>0</v>
      </c>
      <c r="BD215" s="5">
        <v>0</v>
      </c>
      <c r="BE215" s="5">
        <f t="shared" si="153"/>
        <v>1</v>
      </c>
      <c r="BF215" s="5">
        <v>0</v>
      </c>
      <c r="BG215" s="5">
        <f t="shared" si="174"/>
        <v>0</v>
      </c>
      <c r="BH215" s="5">
        <f t="shared" si="174"/>
        <v>0</v>
      </c>
      <c r="BI215" s="5">
        <f t="shared" si="174"/>
        <v>0</v>
      </c>
      <c r="BJ215" s="5">
        <f t="shared" si="174"/>
        <v>0</v>
      </c>
      <c r="BK215" s="5">
        <f t="shared" si="174"/>
        <v>0</v>
      </c>
      <c r="BL215" s="5">
        <f t="shared" si="174"/>
        <v>0</v>
      </c>
      <c r="BM215" s="5">
        <f t="shared" si="174"/>
        <v>0</v>
      </c>
      <c r="BN215" s="5">
        <f t="shared" si="174"/>
        <v>0</v>
      </c>
      <c r="BO215" s="5">
        <f t="shared" si="173"/>
        <v>0</v>
      </c>
      <c r="BP215" s="5">
        <f t="shared" si="173"/>
        <v>0</v>
      </c>
      <c r="BQ215" s="5">
        <f t="shared" si="173"/>
        <v>0</v>
      </c>
      <c r="BR215" s="5">
        <f t="shared" si="173"/>
        <v>0</v>
      </c>
      <c r="BS215" s="5">
        <f t="shared" si="173"/>
        <v>1</v>
      </c>
      <c r="BT215" s="5">
        <f t="shared" si="173"/>
        <v>0</v>
      </c>
      <c r="BU215" s="5">
        <f t="shared" si="173"/>
        <v>0</v>
      </c>
      <c r="BV215" s="5">
        <f t="shared" si="173"/>
        <v>0</v>
      </c>
      <c r="BW215" s="5">
        <f t="shared" si="173"/>
        <v>0</v>
      </c>
      <c r="BX215" s="5">
        <f t="shared" si="173"/>
        <v>0</v>
      </c>
      <c r="BY215" s="5">
        <f t="shared" si="173"/>
        <v>0</v>
      </c>
      <c r="BZ215" s="5">
        <f t="shared" si="173"/>
        <v>0</v>
      </c>
      <c r="CA215" s="5">
        <f t="shared" si="173"/>
        <v>0</v>
      </c>
      <c r="CB215" s="5">
        <f t="shared" si="172"/>
        <v>0</v>
      </c>
      <c r="CC215" s="5">
        <f t="shared" si="163"/>
        <v>0</v>
      </c>
      <c r="CD215" s="5">
        <f t="shared" si="163"/>
        <v>0</v>
      </c>
      <c r="CE215" s="5">
        <f t="shared" si="163"/>
        <v>0</v>
      </c>
    </row>
    <row r="216" spans="1:83" x14ac:dyDescent="0.2">
      <c r="C216" s="1">
        <f>Growth!D221</f>
        <v>0</v>
      </c>
      <c r="D216" s="5" t="b">
        <f t="shared" si="164"/>
        <v>0</v>
      </c>
      <c r="E216" s="5">
        <v>2003</v>
      </c>
      <c r="F216" s="5">
        <f ca="1">LOOKUP($E216,frequence!$A$2:$A$35,frequence!L$2:L$35)</f>
        <v>29.827011246309265</v>
      </c>
      <c r="G216" s="5">
        <f ca="1">LOOKUP($E216,frequence!$A$2:$A$35,frequence!K$2:K$35)</f>
        <v>1.2364001889304839</v>
      </c>
      <c r="H216" s="5">
        <f ca="1">LOOKUP($E216,frequence!$A$2:$A$35,frequence!M$2:M$35)</f>
        <v>259.35446116109233</v>
      </c>
      <c r="I216" s="5">
        <v>1989</v>
      </c>
      <c r="J216" s="7">
        <f>LOOKUP(I216,CPI!A$69:A$103,CPI!O$69:O$103)</f>
        <v>1.7585161290322582</v>
      </c>
      <c r="K216" s="5">
        <v>2000</v>
      </c>
      <c r="L216" s="7">
        <f t="shared" ca="1" si="165"/>
        <v>1</v>
      </c>
      <c r="M216" s="7">
        <f t="shared" si="157"/>
        <v>0.53</v>
      </c>
      <c r="N216" s="14">
        <f>0.25*0.4</f>
        <v>0.1</v>
      </c>
      <c r="O216" s="1">
        <f ca="1">P216*J216*(1+Growth!G$6)^(2010-K216)</f>
        <v>47.649785753916724</v>
      </c>
      <c r="P216" s="1">
        <v>23.32</v>
      </c>
      <c r="Q216" s="2">
        <f t="shared" si="148"/>
        <v>23.32</v>
      </c>
      <c r="R216" s="21">
        <f t="shared" ca="1" si="166"/>
        <v>2270.5020823941654</v>
      </c>
      <c r="X216" s="2">
        <f t="shared" si="171"/>
        <v>23.32</v>
      </c>
      <c r="AC216" s="1">
        <f t="shared" si="152"/>
        <v>5.3</v>
      </c>
      <c r="AD216" s="5">
        <v>1</v>
      </c>
      <c r="AE216" s="5">
        <v>0</v>
      </c>
      <c r="AF216" s="5">
        <v>1</v>
      </c>
      <c r="AG216" s="5">
        <v>0</v>
      </c>
      <c r="AH216" s="5">
        <v>1</v>
      </c>
      <c r="AI216" s="3">
        <f t="shared" si="158"/>
        <v>2.2999999999999998</v>
      </c>
      <c r="AJ216" s="5">
        <f t="shared" si="175"/>
        <v>0</v>
      </c>
      <c r="AK216" s="5">
        <f t="shared" si="167"/>
        <v>0</v>
      </c>
      <c r="AL216" s="5">
        <f t="shared" si="168"/>
        <v>0</v>
      </c>
      <c r="AM216" s="5">
        <f t="shared" si="137"/>
        <v>0</v>
      </c>
      <c r="AN216" s="5">
        <f t="shared" si="169"/>
        <v>0</v>
      </c>
      <c r="AO216" s="5">
        <f t="shared" si="138"/>
        <v>1</v>
      </c>
      <c r="AP216" s="11" t="s">
        <v>42</v>
      </c>
      <c r="AQ216" s="1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f t="shared" si="159"/>
        <v>0</v>
      </c>
      <c r="AW216" s="5">
        <f t="shared" si="160"/>
        <v>0</v>
      </c>
      <c r="AX216" s="5">
        <f t="shared" si="161"/>
        <v>1</v>
      </c>
      <c r="AY216" s="1">
        <f t="shared" si="149"/>
        <v>0</v>
      </c>
      <c r="AZ216" s="1">
        <f t="shared" si="150"/>
        <v>0</v>
      </c>
      <c r="BA216" s="1">
        <f t="shared" si="151"/>
        <v>1</v>
      </c>
      <c r="BB216" s="5">
        <v>0</v>
      </c>
      <c r="BC216" s="5">
        <v>0</v>
      </c>
      <c r="BD216" s="5">
        <v>0</v>
      </c>
      <c r="BE216" s="5">
        <f t="shared" si="153"/>
        <v>1</v>
      </c>
      <c r="BF216" s="5">
        <v>0</v>
      </c>
      <c r="BG216" s="5">
        <f t="shared" si="174"/>
        <v>0</v>
      </c>
      <c r="BH216" s="5">
        <f t="shared" si="174"/>
        <v>0</v>
      </c>
      <c r="BI216" s="5">
        <f t="shared" si="174"/>
        <v>0</v>
      </c>
      <c r="BJ216" s="5">
        <f t="shared" si="174"/>
        <v>0</v>
      </c>
      <c r="BK216" s="5">
        <f t="shared" si="174"/>
        <v>0</v>
      </c>
      <c r="BL216" s="5">
        <f t="shared" si="174"/>
        <v>0</v>
      </c>
      <c r="BM216" s="5">
        <f t="shared" si="174"/>
        <v>0</v>
      </c>
      <c r="BN216" s="5">
        <f t="shared" si="174"/>
        <v>0</v>
      </c>
      <c r="BO216" s="5">
        <f t="shared" si="173"/>
        <v>0</v>
      </c>
      <c r="BP216" s="5">
        <f t="shared" si="173"/>
        <v>0</v>
      </c>
      <c r="BQ216" s="5">
        <f t="shared" si="173"/>
        <v>0</v>
      </c>
      <c r="BR216" s="5">
        <f t="shared" si="173"/>
        <v>0</v>
      </c>
      <c r="BS216" s="5">
        <f t="shared" si="173"/>
        <v>1</v>
      </c>
      <c r="BT216" s="5">
        <f t="shared" si="173"/>
        <v>0</v>
      </c>
      <c r="BU216" s="5">
        <f t="shared" si="173"/>
        <v>0</v>
      </c>
      <c r="BV216" s="5">
        <f t="shared" si="173"/>
        <v>0</v>
      </c>
      <c r="BW216" s="5">
        <f t="shared" si="173"/>
        <v>0</v>
      </c>
      <c r="BX216" s="5">
        <f t="shared" si="173"/>
        <v>0</v>
      </c>
      <c r="BY216" s="5">
        <f t="shared" si="173"/>
        <v>0</v>
      </c>
      <c r="BZ216" s="5">
        <f t="shared" si="173"/>
        <v>0</v>
      </c>
      <c r="CA216" s="5">
        <f t="shared" si="173"/>
        <v>0</v>
      </c>
      <c r="CB216" s="5">
        <f t="shared" si="172"/>
        <v>0</v>
      </c>
      <c r="CC216" s="5">
        <f t="shared" si="172"/>
        <v>0</v>
      </c>
      <c r="CD216" s="5">
        <f t="shared" si="172"/>
        <v>0</v>
      </c>
      <c r="CE216" s="5">
        <f t="shared" si="172"/>
        <v>0</v>
      </c>
    </row>
    <row r="217" spans="1:83" x14ac:dyDescent="0.2">
      <c r="C217" s="1">
        <f>Growth!D222</f>
        <v>0</v>
      </c>
      <c r="D217" s="5" t="b">
        <f t="shared" si="164"/>
        <v>0</v>
      </c>
      <c r="E217" s="5">
        <v>2003</v>
      </c>
      <c r="F217" s="5">
        <f ca="1">LOOKUP($E217,frequence!$A$2:$A$35,frequence!L$2:L$35)</f>
        <v>29.827011246309265</v>
      </c>
      <c r="G217" s="5">
        <f ca="1">LOOKUP($E217,frequence!$A$2:$A$35,frequence!K$2:K$35)</f>
        <v>1.2364001889304839</v>
      </c>
      <c r="H217" s="5">
        <f ca="1">LOOKUP($E217,frequence!$A$2:$A$35,frequence!M$2:M$35)</f>
        <v>259.35446116109233</v>
      </c>
      <c r="I217" s="5">
        <v>1989</v>
      </c>
      <c r="J217" s="7">
        <f>LOOKUP(I217,CPI!A$69:A$103,CPI!O$69:O$103)</f>
        <v>1.7585161290322582</v>
      </c>
      <c r="K217" s="5">
        <v>2000</v>
      </c>
      <c r="L217" s="7">
        <f t="shared" ca="1" si="165"/>
        <v>1</v>
      </c>
      <c r="M217" s="7">
        <f t="shared" si="157"/>
        <v>0.26500000000000001</v>
      </c>
      <c r="N217" s="14">
        <f>0.25*0.2</f>
        <v>0.05</v>
      </c>
      <c r="O217" s="1">
        <f ca="1">P217*J217*(1+Growth!G$6)^(2010-K217)</f>
        <v>3.0240858883274764</v>
      </c>
      <c r="P217" s="1">
        <v>1.48</v>
      </c>
      <c r="Q217" s="2">
        <f t="shared" si="148"/>
        <v>1.48</v>
      </c>
      <c r="R217" s="21">
        <f t="shared" ca="1" si="166"/>
        <v>9.1450954599813823</v>
      </c>
      <c r="X217" s="2">
        <f t="shared" si="171"/>
        <v>1.48</v>
      </c>
      <c r="AC217" s="1">
        <f t="shared" si="152"/>
        <v>5.3</v>
      </c>
      <c r="AD217" s="5">
        <v>1</v>
      </c>
      <c r="AE217" s="5">
        <v>0</v>
      </c>
      <c r="AF217" s="5">
        <v>1</v>
      </c>
      <c r="AG217" s="5">
        <v>0</v>
      </c>
      <c r="AH217" s="5">
        <v>1</v>
      </c>
      <c r="AI217" s="3">
        <f t="shared" si="158"/>
        <v>2.2999999999999998</v>
      </c>
      <c r="AJ217" s="5">
        <f t="shared" si="175"/>
        <v>0</v>
      </c>
      <c r="AK217" s="5">
        <f t="shared" si="167"/>
        <v>0</v>
      </c>
      <c r="AL217" s="5">
        <f t="shared" si="168"/>
        <v>0</v>
      </c>
      <c r="AM217" s="5">
        <f t="shared" si="137"/>
        <v>0</v>
      </c>
      <c r="AN217" s="5">
        <f t="shared" si="169"/>
        <v>0</v>
      </c>
      <c r="AO217" s="5">
        <f t="shared" si="138"/>
        <v>0</v>
      </c>
      <c r="AP217" s="1">
        <v>7</v>
      </c>
      <c r="AQ217" s="1">
        <v>5</v>
      </c>
      <c r="AR217" s="5">
        <v>0</v>
      </c>
      <c r="AS217" s="5">
        <v>0</v>
      </c>
      <c r="AT217" s="5">
        <v>0</v>
      </c>
      <c r="AU217" s="5">
        <v>0</v>
      </c>
      <c r="AV217" s="5">
        <f t="shared" si="159"/>
        <v>0</v>
      </c>
      <c r="AW217" s="5">
        <f t="shared" si="160"/>
        <v>0</v>
      </c>
      <c r="AX217" s="5">
        <f t="shared" si="161"/>
        <v>1</v>
      </c>
      <c r="AY217" s="1">
        <f t="shared" si="149"/>
        <v>0</v>
      </c>
      <c r="AZ217" s="1">
        <f t="shared" si="150"/>
        <v>0</v>
      </c>
      <c r="BA217" s="1">
        <f t="shared" si="151"/>
        <v>0</v>
      </c>
      <c r="BB217" s="5">
        <v>0</v>
      </c>
      <c r="BC217" s="5">
        <v>0</v>
      </c>
      <c r="BD217" s="5">
        <v>0</v>
      </c>
      <c r="BE217" s="5">
        <f t="shared" si="153"/>
        <v>1</v>
      </c>
      <c r="BF217" s="5">
        <v>0</v>
      </c>
      <c r="BG217" s="5">
        <f t="shared" si="174"/>
        <v>0</v>
      </c>
      <c r="BH217" s="5">
        <f t="shared" si="174"/>
        <v>0</v>
      </c>
      <c r="BI217" s="5">
        <f t="shared" si="174"/>
        <v>0</v>
      </c>
      <c r="BJ217" s="5">
        <f t="shared" si="174"/>
        <v>0</v>
      </c>
      <c r="BK217" s="5">
        <f t="shared" si="174"/>
        <v>0</v>
      </c>
      <c r="BL217" s="5">
        <f t="shared" si="174"/>
        <v>0</v>
      </c>
      <c r="BM217" s="5">
        <f t="shared" si="174"/>
        <v>0</v>
      </c>
      <c r="BN217" s="5">
        <f t="shared" si="174"/>
        <v>0</v>
      </c>
      <c r="BO217" s="5">
        <f t="shared" si="173"/>
        <v>0</v>
      </c>
      <c r="BP217" s="5">
        <f t="shared" si="173"/>
        <v>0</v>
      </c>
      <c r="BQ217" s="5">
        <f t="shared" si="173"/>
        <v>0</v>
      </c>
      <c r="BR217" s="5">
        <f t="shared" si="173"/>
        <v>0</v>
      </c>
      <c r="BS217" s="5">
        <f t="shared" si="173"/>
        <v>1</v>
      </c>
      <c r="BT217" s="5">
        <f t="shared" si="173"/>
        <v>0</v>
      </c>
      <c r="BU217" s="5">
        <f t="shared" si="173"/>
        <v>0</v>
      </c>
      <c r="BV217" s="5">
        <f t="shared" si="173"/>
        <v>0</v>
      </c>
      <c r="BW217" s="5">
        <f t="shared" si="173"/>
        <v>0</v>
      </c>
      <c r="BX217" s="5">
        <f t="shared" si="173"/>
        <v>0</v>
      </c>
      <c r="BY217" s="5">
        <f t="shared" si="173"/>
        <v>0</v>
      </c>
      <c r="BZ217" s="5">
        <f t="shared" si="173"/>
        <v>0</v>
      </c>
      <c r="CA217" s="5">
        <f t="shared" si="173"/>
        <v>0</v>
      </c>
      <c r="CB217" s="5">
        <f t="shared" si="172"/>
        <v>0</v>
      </c>
      <c r="CC217" s="5">
        <f t="shared" si="172"/>
        <v>0</v>
      </c>
      <c r="CD217" s="5">
        <f t="shared" si="172"/>
        <v>0</v>
      </c>
      <c r="CE217" s="5">
        <f t="shared" si="172"/>
        <v>0</v>
      </c>
    </row>
    <row r="218" spans="1:83" x14ac:dyDescent="0.2">
      <c r="C218" s="1">
        <f>Growth!D223</f>
        <v>0</v>
      </c>
      <c r="D218" s="5" t="b">
        <f t="shared" si="164"/>
        <v>0</v>
      </c>
      <c r="E218" s="5">
        <v>2003</v>
      </c>
      <c r="F218" s="5">
        <f ca="1">LOOKUP($E218,frequence!$A$2:$A$35,frequence!L$2:L$35)</f>
        <v>29.827011246309265</v>
      </c>
      <c r="G218" s="5">
        <f ca="1">LOOKUP($E218,frequence!$A$2:$A$35,frequence!K$2:K$35)</f>
        <v>1.2364001889304839</v>
      </c>
      <c r="H218" s="5">
        <f ca="1">LOOKUP($E218,frequence!$A$2:$A$35,frequence!M$2:M$35)</f>
        <v>259.35446116109233</v>
      </c>
      <c r="I218" s="5">
        <v>1989</v>
      </c>
      <c r="J218" s="7">
        <f>LOOKUP(I218,CPI!A$69:A$103,CPI!O$69:O$103)</f>
        <v>1.7585161290322582</v>
      </c>
      <c r="K218" s="5">
        <v>2000</v>
      </c>
      <c r="L218" s="7">
        <f t="shared" ca="1" si="165"/>
        <v>1</v>
      </c>
      <c r="M218" s="7">
        <f t="shared" si="157"/>
        <v>0.53</v>
      </c>
      <c r="N218" s="14">
        <f>0.25*0.4</f>
        <v>0.1</v>
      </c>
      <c r="O218" s="1">
        <f ca="1">P218*J218*(1+Growth!G$6)^(2010-K218)</f>
        <v>5.884707674583197</v>
      </c>
      <c r="P218" s="1">
        <v>2.88</v>
      </c>
      <c r="Q218" s="2">
        <f t="shared" si="148"/>
        <v>2.88</v>
      </c>
      <c r="R218" s="21">
        <f t="shared" ca="1" si="166"/>
        <v>34.629784415298381</v>
      </c>
      <c r="X218" s="2">
        <f t="shared" si="171"/>
        <v>2.88</v>
      </c>
      <c r="AC218" s="1">
        <f t="shared" si="152"/>
        <v>5.3</v>
      </c>
      <c r="AD218" s="5">
        <v>1</v>
      </c>
      <c r="AE218" s="5">
        <v>0</v>
      </c>
      <c r="AF218" s="5">
        <v>1</v>
      </c>
      <c r="AG218" s="5">
        <v>0</v>
      </c>
      <c r="AH218" s="5">
        <v>1</v>
      </c>
      <c r="AI218" s="3">
        <f t="shared" si="158"/>
        <v>2.2999999999999998</v>
      </c>
      <c r="AJ218" s="5">
        <f t="shared" si="175"/>
        <v>0</v>
      </c>
      <c r="AK218" s="5">
        <f t="shared" si="167"/>
        <v>0</v>
      </c>
      <c r="AL218" s="5">
        <f t="shared" si="168"/>
        <v>0</v>
      </c>
      <c r="AM218" s="5">
        <f t="shared" ref="AM218:AM281" si="176">IF($AQ218=1,1,0)</f>
        <v>0</v>
      </c>
      <c r="AN218" s="5">
        <f t="shared" si="169"/>
        <v>0</v>
      </c>
      <c r="AO218" s="5">
        <f t="shared" ref="AO218:AO281" si="177">IF($AQ218=0,1,0)</f>
        <v>0</v>
      </c>
      <c r="AP218" s="11" t="s">
        <v>42</v>
      </c>
      <c r="AQ218" s="1">
        <v>5</v>
      </c>
      <c r="AR218" s="5">
        <v>0</v>
      </c>
      <c r="AS218" s="5">
        <v>0</v>
      </c>
      <c r="AT218" s="5">
        <v>0</v>
      </c>
      <c r="AU218" s="5">
        <v>0</v>
      </c>
      <c r="AV218" s="5">
        <f t="shared" si="159"/>
        <v>0</v>
      </c>
      <c r="AW218" s="5">
        <f t="shared" si="160"/>
        <v>0</v>
      </c>
      <c r="AX218" s="5">
        <f t="shared" si="161"/>
        <v>1</v>
      </c>
      <c r="AY218" s="1">
        <f t="shared" si="149"/>
        <v>0</v>
      </c>
      <c r="AZ218" s="1">
        <f t="shared" si="150"/>
        <v>0</v>
      </c>
      <c r="BA218" s="1">
        <f t="shared" si="151"/>
        <v>0</v>
      </c>
      <c r="BB218" s="5">
        <v>0</v>
      </c>
      <c r="BC218" s="5">
        <v>0</v>
      </c>
      <c r="BD218" s="5">
        <v>0</v>
      </c>
      <c r="BE218" s="5">
        <f t="shared" si="153"/>
        <v>1</v>
      </c>
      <c r="BF218" s="5">
        <v>0</v>
      </c>
      <c r="BG218" s="5">
        <f t="shared" si="174"/>
        <v>0</v>
      </c>
      <c r="BH218" s="5">
        <f t="shared" si="174"/>
        <v>0</v>
      </c>
      <c r="BI218" s="5">
        <f t="shared" si="174"/>
        <v>0</v>
      </c>
      <c r="BJ218" s="5">
        <f t="shared" si="174"/>
        <v>0</v>
      </c>
      <c r="BK218" s="5">
        <f t="shared" si="174"/>
        <v>0</v>
      </c>
      <c r="BL218" s="5">
        <f t="shared" si="174"/>
        <v>0</v>
      </c>
      <c r="BM218" s="5">
        <f t="shared" si="174"/>
        <v>0</v>
      </c>
      <c r="BN218" s="5">
        <f t="shared" si="174"/>
        <v>0</v>
      </c>
      <c r="BO218" s="5">
        <f t="shared" si="173"/>
        <v>0</v>
      </c>
      <c r="BP218" s="5">
        <f t="shared" si="173"/>
        <v>0</v>
      </c>
      <c r="BQ218" s="5">
        <f t="shared" si="173"/>
        <v>0</v>
      </c>
      <c r="BR218" s="5">
        <f t="shared" si="173"/>
        <v>0</v>
      </c>
      <c r="BS218" s="5">
        <f t="shared" si="173"/>
        <v>1</v>
      </c>
      <c r="BT218" s="5">
        <f t="shared" si="173"/>
        <v>0</v>
      </c>
      <c r="BU218" s="5">
        <f t="shared" si="173"/>
        <v>0</v>
      </c>
      <c r="BV218" s="5">
        <f t="shared" si="173"/>
        <v>0</v>
      </c>
      <c r="BW218" s="5">
        <f t="shared" si="173"/>
        <v>0</v>
      </c>
      <c r="BX218" s="5">
        <f t="shared" si="173"/>
        <v>0</v>
      </c>
      <c r="BY218" s="5">
        <f t="shared" si="173"/>
        <v>0</v>
      </c>
      <c r="BZ218" s="5">
        <f t="shared" si="173"/>
        <v>0</v>
      </c>
      <c r="CA218" s="5">
        <f t="shared" si="173"/>
        <v>0</v>
      </c>
      <c r="CB218" s="5">
        <f t="shared" si="172"/>
        <v>0</v>
      </c>
      <c r="CC218" s="5">
        <f t="shared" si="172"/>
        <v>0</v>
      </c>
      <c r="CD218" s="5">
        <f t="shared" si="172"/>
        <v>0</v>
      </c>
      <c r="CE218" s="5">
        <f t="shared" si="172"/>
        <v>0</v>
      </c>
    </row>
    <row r="219" spans="1:83" x14ac:dyDescent="0.2">
      <c r="C219" s="1">
        <f>Growth!D224</f>
        <v>0</v>
      </c>
      <c r="D219" s="5" t="b">
        <f t="shared" si="164"/>
        <v>0</v>
      </c>
      <c r="E219" s="5">
        <v>2003</v>
      </c>
      <c r="F219" s="5">
        <f ca="1">LOOKUP($E219,frequence!$A$2:$A$35,frequence!L$2:L$35)</f>
        <v>29.827011246309265</v>
      </c>
      <c r="G219" s="5">
        <f ca="1">LOOKUP($E219,frequence!$A$2:$A$35,frequence!K$2:K$35)</f>
        <v>1.2364001889304839</v>
      </c>
      <c r="H219" s="5">
        <f ca="1">LOOKUP($E219,frequence!$A$2:$A$35,frequence!M$2:M$35)</f>
        <v>259.35446116109233</v>
      </c>
      <c r="I219" s="5">
        <v>1989</v>
      </c>
      <c r="J219" s="7">
        <f>LOOKUP(I219,CPI!A$69:A$103,CPI!O$69:O$103)</f>
        <v>1.7585161290322582</v>
      </c>
      <c r="K219" s="5">
        <v>2000</v>
      </c>
      <c r="L219" s="7">
        <f t="shared" ca="1" si="165"/>
        <v>1</v>
      </c>
      <c r="M219" s="7">
        <f t="shared" si="157"/>
        <v>0.53</v>
      </c>
      <c r="N219" s="14">
        <f>0.25*0.4</f>
        <v>0.1</v>
      </c>
      <c r="O219" s="1">
        <f ca="1">P219*J219*(1+Growth!G$6)^(2010-K219)</f>
        <v>3.6575092838555285</v>
      </c>
      <c r="P219" s="1">
        <v>1.79</v>
      </c>
      <c r="Q219" s="2">
        <f t="shared" si="148"/>
        <v>1.79</v>
      </c>
      <c r="R219" s="21">
        <f t="shared" ca="1" si="166"/>
        <v>13.377374161489382</v>
      </c>
      <c r="X219" s="2">
        <f t="shared" si="171"/>
        <v>1.79</v>
      </c>
      <c r="AC219" s="1">
        <f t="shared" si="152"/>
        <v>5.3</v>
      </c>
      <c r="AD219" s="5">
        <v>1</v>
      </c>
      <c r="AE219" s="5">
        <v>0</v>
      </c>
      <c r="AF219" s="5">
        <v>1</v>
      </c>
      <c r="AG219" s="5">
        <v>0</v>
      </c>
      <c r="AH219" s="5">
        <v>1</v>
      </c>
      <c r="AI219" s="3">
        <f t="shared" si="158"/>
        <v>2.2999999999999998</v>
      </c>
      <c r="AJ219" s="5">
        <f t="shared" si="175"/>
        <v>0</v>
      </c>
      <c r="AK219" s="5">
        <f t="shared" si="167"/>
        <v>0</v>
      </c>
      <c r="AL219" s="5">
        <f t="shared" si="168"/>
        <v>0</v>
      </c>
      <c r="AM219" s="5">
        <f t="shared" si="176"/>
        <v>0</v>
      </c>
      <c r="AN219" s="5">
        <f t="shared" si="169"/>
        <v>0</v>
      </c>
      <c r="AO219" s="5">
        <f t="shared" si="177"/>
        <v>0</v>
      </c>
      <c r="AP219" s="11" t="s">
        <v>42</v>
      </c>
      <c r="AQ219" s="1">
        <v>5</v>
      </c>
      <c r="AR219" s="5">
        <v>0</v>
      </c>
      <c r="AS219" s="5">
        <v>0</v>
      </c>
      <c r="AT219" s="5">
        <v>0</v>
      </c>
      <c r="AU219" s="5">
        <v>0</v>
      </c>
      <c r="AV219" s="5">
        <f t="shared" si="159"/>
        <v>0</v>
      </c>
      <c r="AW219" s="5">
        <f t="shared" si="160"/>
        <v>0</v>
      </c>
      <c r="AX219" s="5">
        <f t="shared" si="161"/>
        <v>1</v>
      </c>
      <c r="AY219" s="1">
        <f t="shared" si="149"/>
        <v>0</v>
      </c>
      <c r="AZ219" s="1">
        <f t="shared" si="150"/>
        <v>0</v>
      </c>
      <c r="BA219" s="1">
        <f t="shared" si="151"/>
        <v>0</v>
      </c>
      <c r="BB219" s="5">
        <v>0</v>
      </c>
      <c r="BC219" s="5">
        <v>0</v>
      </c>
      <c r="BD219" s="5">
        <v>0</v>
      </c>
      <c r="BE219" s="5">
        <f t="shared" si="153"/>
        <v>1</v>
      </c>
      <c r="BF219" s="5">
        <v>0</v>
      </c>
      <c r="BG219" s="5">
        <f t="shared" si="174"/>
        <v>0</v>
      </c>
      <c r="BH219" s="5">
        <f t="shared" si="174"/>
        <v>0</v>
      </c>
      <c r="BI219" s="5">
        <f t="shared" si="174"/>
        <v>0</v>
      </c>
      <c r="BJ219" s="5">
        <f t="shared" si="174"/>
        <v>0</v>
      </c>
      <c r="BK219" s="5">
        <f t="shared" si="174"/>
        <v>0</v>
      </c>
      <c r="BL219" s="5">
        <f t="shared" si="174"/>
        <v>0</v>
      </c>
      <c r="BM219" s="5">
        <f t="shared" si="174"/>
        <v>0</v>
      </c>
      <c r="BN219" s="5">
        <f t="shared" si="174"/>
        <v>0</v>
      </c>
      <c r="BO219" s="5">
        <f t="shared" si="173"/>
        <v>0</v>
      </c>
      <c r="BP219" s="5">
        <f t="shared" si="173"/>
        <v>0</v>
      </c>
      <c r="BQ219" s="5">
        <f t="shared" si="173"/>
        <v>0</v>
      </c>
      <c r="BR219" s="5">
        <f t="shared" si="173"/>
        <v>0</v>
      </c>
      <c r="BS219" s="5">
        <f t="shared" si="173"/>
        <v>1</v>
      </c>
      <c r="BT219" s="5">
        <f t="shared" si="173"/>
        <v>0</v>
      </c>
      <c r="BU219" s="5">
        <f t="shared" si="173"/>
        <v>0</v>
      </c>
      <c r="BV219" s="5">
        <f t="shared" si="173"/>
        <v>0</v>
      </c>
      <c r="BW219" s="5">
        <f t="shared" si="173"/>
        <v>0</v>
      </c>
      <c r="BX219" s="5">
        <f t="shared" si="173"/>
        <v>0</v>
      </c>
      <c r="BY219" s="5">
        <f t="shared" si="173"/>
        <v>0</v>
      </c>
      <c r="BZ219" s="5">
        <f t="shared" si="173"/>
        <v>0</v>
      </c>
      <c r="CA219" s="5">
        <f t="shared" si="173"/>
        <v>0</v>
      </c>
      <c r="CB219" s="5">
        <f t="shared" si="172"/>
        <v>0</v>
      </c>
      <c r="CC219" s="5">
        <f t="shared" si="172"/>
        <v>0</v>
      </c>
      <c r="CD219" s="5">
        <f t="shared" si="172"/>
        <v>0</v>
      </c>
      <c r="CE219" s="5">
        <f t="shared" si="172"/>
        <v>0</v>
      </c>
    </row>
    <row r="220" spans="1:83" x14ac:dyDescent="0.2">
      <c r="A220" s="1" t="s">
        <v>37</v>
      </c>
      <c r="B220" s="1" t="s">
        <v>157</v>
      </c>
      <c r="C220" s="1">
        <f>Growth!D225</f>
        <v>0</v>
      </c>
      <c r="D220" s="5">
        <f t="shared" si="164"/>
        <v>2003</v>
      </c>
      <c r="E220" s="5">
        <v>2003</v>
      </c>
      <c r="F220" s="5">
        <f ca="1">LOOKUP($E220,frequence!$A$2:$A$35,frequence!L$2:L$35)</f>
        <v>29.827011246309265</v>
      </c>
      <c r="G220" s="5">
        <f ca="1">LOOKUP($E220,frequence!$A$2:$A$35,frequence!K$2:K$35)</f>
        <v>1.2364001889304839</v>
      </c>
      <c r="H220" s="5">
        <f ca="1">LOOKUP($E220,frequence!$A$2:$A$35,frequence!M$2:M$35)</f>
        <v>259.35446116109233</v>
      </c>
      <c r="I220" s="5">
        <v>2000</v>
      </c>
      <c r="J220" s="7">
        <f>LOOKUP(I220,CPI!A$69:A$103,CPI!O$69:O$103)</f>
        <v>1.2662950058072011</v>
      </c>
      <c r="K220" s="5">
        <v>2000</v>
      </c>
      <c r="L220" s="7">
        <f t="shared" ca="1" si="165"/>
        <v>1</v>
      </c>
      <c r="M220" s="7">
        <f t="shared" si="157"/>
        <v>5.3</v>
      </c>
      <c r="N220" s="14">
        <v>1</v>
      </c>
      <c r="O220" s="1">
        <f ca="1">P220*J220*(1+Growth!G$6)^(2010-K220)</f>
        <v>38.010308287591222</v>
      </c>
      <c r="P220" s="2">
        <f>Q220</f>
        <v>25.833333333333332</v>
      </c>
      <c r="Q220" s="2">
        <f>(U220+AA220)/2</f>
        <v>25.833333333333332</v>
      </c>
      <c r="R220" s="21">
        <f t="shared" ca="1" si="166"/>
        <v>1444.783536117726</v>
      </c>
      <c r="U220" s="1">
        <f>4/2.4*4</f>
        <v>6.666666666666667</v>
      </c>
      <c r="X220" s="2">
        <f t="shared" si="171"/>
        <v>25.833333333333332</v>
      </c>
      <c r="AA220" s="1">
        <f>4/2.4*27</f>
        <v>45</v>
      </c>
      <c r="AC220" s="1">
        <f t="shared" si="152"/>
        <v>5.3</v>
      </c>
      <c r="AD220" s="5">
        <v>1</v>
      </c>
      <c r="AE220" s="5">
        <v>0</v>
      </c>
      <c r="AF220" s="5">
        <v>1</v>
      </c>
      <c r="AG220" s="5">
        <v>0</v>
      </c>
      <c r="AH220" s="5">
        <v>1</v>
      </c>
      <c r="AI220" s="3">
        <f t="shared" si="158"/>
        <v>2.2999999999999998</v>
      </c>
      <c r="AJ220" s="5">
        <f t="shared" si="175"/>
        <v>0</v>
      </c>
      <c r="AK220" s="5">
        <f t="shared" si="167"/>
        <v>0</v>
      </c>
      <c r="AL220" s="5">
        <f t="shared" si="168"/>
        <v>0</v>
      </c>
      <c r="AM220" s="5">
        <f t="shared" si="176"/>
        <v>1</v>
      </c>
      <c r="AN220" s="5">
        <f t="shared" si="169"/>
        <v>0</v>
      </c>
      <c r="AO220" s="5">
        <f t="shared" si="177"/>
        <v>0</v>
      </c>
      <c r="AP220" s="1">
        <v>3</v>
      </c>
      <c r="AQ220" s="1">
        <v>1</v>
      </c>
      <c r="AR220" s="5">
        <v>1</v>
      </c>
      <c r="AS220" s="5">
        <v>0</v>
      </c>
      <c r="AT220" s="5">
        <v>0</v>
      </c>
      <c r="AU220" s="5">
        <v>0</v>
      </c>
      <c r="AV220" s="5">
        <f t="shared" si="159"/>
        <v>0</v>
      </c>
      <c r="AW220" s="5">
        <f t="shared" si="160"/>
        <v>0</v>
      </c>
      <c r="AX220" s="5">
        <f t="shared" si="161"/>
        <v>1</v>
      </c>
      <c r="AY220" s="1">
        <f t="shared" si="149"/>
        <v>0</v>
      </c>
      <c r="AZ220" s="1">
        <f t="shared" si="150"/>
        <v>0</v>
      </c>
      <c r="BA220" s="1">
        <f t="shared" si="151"/>
        <v>0</v>
      </c>
      <c r="BB220" s="5">
        <v>0</v>
      </c>
      <c r="BC220" s="5">
        <v>0</v>
      </c>
      <c r="BD220" s="5">
        <v>0</v>
      </c>
      <c r="BE220" s="5">
        <f t="shared" si="153"/>
        <v>1</v>
      </c>
      <c r="BF220" s="5">
        <v>0</v>
      </c>
      <c r="BG220" s="5">
        <f t="shared" si="174"/>
        <v>0</v>
      </c>
      <c r="BH220" s="5">
        <f t="shared" si="174"/>
        <v>0</v>
      </c>
      <c r="BI220" s="5">
        <f t="shared" si="174"/>
        <v>0</v>
      </c>
      <c r="BJ220" s="5">
        <f t="shared" si="174"/>
        <v>0</v>
      </c>
      <c r="BK220" s="5">
        <f t="shared" si="174"/>
        <v>0</v>
      </c>
      <c r="BL220" s="5">
        <f t="shared" si="174"/>
        <v>0</v>
      </c>
      <c r="BM220" s="5">
        <f t="shared" si="174"/>
        <v>0</v>
      </c>
      <c r="BN220" s="5">
        <f t="shared" si="174"/>
        <v>0</v>
      </c>
      <c r="BO220" s="5">
        <f t="shared" si="173"/>
        <v>0</v>
      </c>
      <c r="BP220" s="5">
        <f t="shared" si="173"/>
        <v>0</v>
      </c>
      <c r="BQ220" s="5">
        <f t="shared" si="173"/>
        <v>0</v>
      </c>
      <c r="BR220" s="5">
        <f t="shared" si="173"/>
        <v>0</v>
      </c>
      <c r="BS220" s="5">
        <f t="shared" si="173"/>
        <v>1</v>
      </c>
      <c r="BT220" s="5">
        <f t="shared" si="173"/>
        <v>0</v>
      </c>
      <c r="BU220" s="5">
        <f t="shared" si="173"/>
        <v>0</v>
      </c>
      <c r="BV220" s="5">
        <f t="shared" si="173"/>
        <v>0</v>
      </c>
      <c r="BW220" s="5">
        <f t="shared" si="173"/>
        <v>0</v>
      </c>
      <c r="BX220" s="5">
        <f t="shared" si="173"/>
        <v>0</v>
      </c>
      <c r="BY220" s="5">
        <f t="shared" si="173"/>
        <v>0</v>
      </c>
      <c r="BZ220" s="5">
        <f t="shared" si="173"/>
        <v>0</v>
      </c>
      <c r="CA220" s="5">
        <f t="shared" si="173"/>
        <v>0</v>
      </c>
      <c r="CB220" s="5">
        <f t="shared" si="172"/>
        <v>0</v>
      </c>
      <c r="CC220" s="5">
        <f t="shared" si="172"/>
        <v>0</v>
      </c>
      <c r="CD220" s="5">
        <f t="shared" si="172"/>
        <v>0</v>
      </c>
      <c r="CE220" s="5">
        <f t="shared" si="172"/>
        <v>0</v>
      </c>
    </row>
    <row r="221" spans="1:83" x14ac:dyDescent="0.2">
      <c r="A221" s="1" t="s">
        <v>44</v>
      </c>
      <c r="B221" s="11" t="s">
        <v>160</v>
      </c>
      <c r="C221" s="1">
        <f>Growth!D226</f>
        <v>0</v>
      </c>
      <c r="D221" s="5">
        <f t="shared" si="164"/>
        <v>2003</v>
      </c>
      <c r="E221" s="5">
        <v>2003</v>
      </c>
      <c r="F221" s="5">
        <f ca="1">LOOKUP($E221,frequence!$A$2:$A$35,frequence!L$2:L$35)</f>
        <v>29.827011246309265</v>
      </c>
      <c r="G221" s="5">
        <f ca="1">LOOKUP($E221,frequence!$A$2:$A$35,frequence!K$2:K$35)</f>
        <v>1.2364001889304839</v>
      </c>
      <c r="H221" s="5">
        <f ca="1">LOOKUP($E221,frequence!$A$2:$A$35,frequence!M$2:M$35)</f>
        <v>259.35446116109233</v>
      </c>
      <c r="I221" s="18">
        <v>2000</v>
      </c>
      <c r="J221" s="7">
        <f>LOOKUP(I221,CPI!A$69:A$103,CPI!O$69:O$103)</f>
        <v>1.2662950058072011</v>
      </c>
      <c r="K221" s="18">
        <v>2000</v>
      </c>
      <c r="L221" s="7">
        <f t="shared" ca="1" si="165"/>
        <v>1</v>
      </c>
      <c r="M221" s="7">
        <f t="shared" si="157"/>
        <v>3.3</v>
      </c>
      <c r="N221" s="14">
        <v>1</v>
      </c>
      <c r="O221" s="1">
        <f ca="1">P221*J221*(1+Growth!G$6)^(2010-K221)</f>
        <v>236.44864032835778</v>
      </c>
      <c r="P221" s="1">
        <v>160.69999999999999</v>
      </c>
      <c r="Q221" s="2">
        <f t="shared" si="148"/>
        <v>160.69999999999999</v>
      </c>
      <c r="R221" s="21">
        <f t="shared" ca="1" si="166"/>
        <v>55907.959513129099</v>
      </c>
      <c r="X221" s="2">
        <f t="shared" si="171"/>
        <v>160.69999999999999</v>
      </c>
      <c r="AC221" s="1">
        <f t="shared" si="152"/>
        <v>3.3</v>
      </c>
      <c r="AD221" s="5">
        <v>0</v>
      </c>
      <c r="AE221" s="5">
        <v>1</v>
      </c>
      <c r="AF221" s="5">
        <v>0</v>
      </c>
      <c r="AG221" s="5">
        <v>0</v>
      </c>
      <c r="AH221" s="5">
        <v>0</v>
      </c>
      <c r="AI221" s="3">
        <f t="shared" si="158"/>
        <v>2.2999999999999998</v>
      </c>
      <c r="AJ221" s="5">
        <f t="shared" si="175"/>
        <v>0</v>
      </c>
      <c r="AK221" s="5">
        <f t="shared" si="167"/>
        <v>0</v>
      </c>
      <c r="AL221" s="5">
        <f t="shared" si="168"/>
        <v>0</v>
      </c>
      <c r="AM221" s="5">
        <f t="shared" si="176"/>
        <v>0</v>
      </c>
      <c r="AN221" s="5">
        <f t="shared" si="169"/>
        <v>0</v>
      </c>
      <c r="AO221" s="5">
        <f t="shared" si="177"/>
        <v>0</v>
      </c>
      <c r="AP221" s="11" t="s">
        <v>42</v>
      </c>
      <c r="AQ221" s="11" t="s">
        <v>42</v>
      </c>
      <c r="AR221" s="5">
        <v>0</v>
      </c>
      <c r="AS221" s="5">
        <v>0</v>
      </c>
      <c r="AT221" s="5">
        <v>0</v>
      </c>
      <c r="AU221" s="5">
        <v>0</v>
      </c>
      <c r="AV221" s="5">
        <f t="shared" si="159"/>
        <v>0</v>
      </c>
      <c r="AW221" s="5">
        <f t="shared" si="160"/>
        <v>0</v>
      </c>
      <c r="AX221" s="5">
        <f t="shared" si="161"/>
        <v>1</v>
      </c>
      <c r="AY221" s="1">
        <f t="shared" si="149"/>
        <v>0</v>
      </c>
      <c r="AZ221" s="1">
        <f t="shared" si="150"/>
        <v>0</v>
      </c>
      <c r="BA221" s="1">
        <f t="shared" si="151"/>
        <v>0</v>
      </c>
      <c r="BB221" s="5">
        <v>0</v>
      </c>
      <c r="BC221" s="5">
        <v>0</v>
      </c>
      <c r="BD221" s="5">
        <v>0</v>
      </c>
      <c r="BE221" s="5">
        <f t="shared" si="153"/>
        <v>1</v>
      </c>
      <c r="BF221" s="5">
        <v>0</v>
      </c>
      <c r="BG221" s="5">
        <f t="shared" si="174"/>
        <v>0</v>
      </c>
      <c r="BH221" s="5">
        <f t="shared" si="174"/>
        <v>0</v>
      </c>
      <c r="BI221" s="5">
        <f t="shared" si="174"/>
        <v>0</v>
      </c>
      <c r="BJ221" s="5">
        <f t="shared" si="174"/>
        <v>0</v>
      </c>
      <c r="BK221" s="5">
        <f t="shared" si="174"/>
        <v>0</v>
      </c>
      <c r="BL221" s="5">
        <f t="shared" si="174"/>
        <v>0</v>
      </c>
      <c r="BM221" s="5">
        <f t="shared" si="174"/>
        <v>0</v>
      </c>
      <c r="BN221" s="5">
        <f t="shared" si="174"/>
        <v>0</v>
      </c>
      <c r="BO221" s="5">
        <f t="shared" si="173"/>
        <v>0</v>
      </c>
      <c r="BP221" s="5">
        <f t="shared" si="173"/>
        <v>0</v>
      </c>
      <c r="BQ221" s="5">
        <f t="shared" si="173"/>
        <v>0</v>
      </c>
      <c r="BR221" s="5">
        <f t="shared" si="173"/>
        <v>0</v>
      </c>
      <c r="BS221" s="5">
        <f t="shared" si="173"/>
        <v>1</v>
      </c>
      <c r="BT221" s="5">
        <f t="shared" si="173"/>
        <v>0</v>
      </c>
      <c r="BU221" s="5">
        <f t="shared" si="173"/>
        <v>0</v>
      </c>
      <c r="BV221" s="5">
        <f t="shared" si="173"/>
        <v>0</v>
      </c>
      <c r="BW221" s="5">
        <f t="shared" si="173"/>
        <v>0</v>
      </c>
      <c r="BX221" s="5">
        <f t="shared" si="173"/>
        <v>0</v>
      </c>
      <c r="BY221" s="5">
        <f t="shared" si="173"/>
        <v>0</v>
      </c>
      <c r="BZ221" s="5">
        <f t="shared" si="173"/>
        <v>0</v>
      </c>
      <c r="CA221" s="5">
        <f t="shared" si="173"/>
        <v>0</v>
      </c>
      <c r="CB221" s="5">
        <f t="shared" si="172"/>
        <v>0</v>
      </c>
      <c r="CC221" s="5">
        <f t="shared" si="172"/>
        <v>0</v>
      </c>
      <c r="CD221" s="5">
        <f t="shared" si="172"/>
        <v>0</v>
      </c>
      <c r="CE221" s="5">
        <f t="shared" si="172"/>
        <v>0</v>
      </c>
    </row>
    <row r="222" spans="1:83" x14ac:dyDescent="0.2">
      <c r="A222" s="1" t="s">
        <v>41</v>
      </c>
      <c r="B222" s="1" t="s">
        <v>156</v>
      </c>
      <c r="C222" s="1">
        <f>Growth!D227</f>
        <v>0</v>
      </c>
      <c r="D222" s="5">
        <f t="shared" si="164"/>
        <v>2004</v>
      </c>
      <c r="E222" s="5">
        <v>2004</v>
      </c>
      <c r="F222" s="5">
        <f ca="1">LOOKUP($E222,frequence!$A$2:$A$35,frequence!L$2:L$35)</f>
        <v>29.761886767605532</v>
      </c>
      <c r="G222" s="5">
        <f ca="1">LOOKUP($E222,frequence!$A$2:$A$35,frequence!K$2:K$35)</f>
        <v>1.4389796045014025</v>
      </c>
      <c r="H222" s="5">
        <f ca="1">LOOKUP($E222,frequence!$A$2:$A$35,frequence!M$2:M$35)</f>
        <v>239.58577159610638</v>
      </c>
      <c r="I222" s="5">
        <v>1995</v>
      </c>
      <c r="J222" s="7">
        <f>LOOKUP(I222,CPI!A$69:A$103,CPI!O$69:O$103)</f>
        <v>1.4308136482939633</v>
      </c>
      <c r="K222" s="5">
        <v>2000</v>
      </c>
      <c r="L222" s="7">
        <f t="shared" ca="1" si="165"/>
        <v>1</v>
      </c>
      <c r="M222" s="7">
        <f t="shared" si="157"/>
        <v>1.2210000000000001</v>
      </c>
      <c r="N222" s="14">
        <f t="shared" ref="N222:N227" si="178">0.99/6</f>
        <v>0.16500000000000001</v>
      </c>
      <c r="O222" s="1">
        <f ca="1">P222*J222*(1+Growth!G$6)^(2010-K222)</f>
        <v>131.33975917773265</v>
      </c>
      <c r="P222" s="3">
        <v>79</v>
      </c>
      <c r="Q222" s="2">
        <f t="shared" si="148"/>
        <v>79</v>
      </c>
      <c r="R222" s="21">
        <f t="shared" ca="1" si="166"/>
        <v>17250.132340864806</v>
      </c>
      <c r="X222" s="2">
        <f t="shared" si="171"/>
        <v>79</v>
      </c>
      <c r="AC222" s="1">
        <f t="shared" si="152"/>
        <v>7.4</v>
      </c>
      <c r="AD222" s="5">
        <v>1</v>
      </c>
      <c r="AE222" s="5">
        <v>1</v>
      </c>
      <c r="AF222" s="5">
        <v>1</v>
      </c>
      <c r="AG222" s="5">
        <v>1</v>
      </c>
      <c r="AH222" s="5">
        <v>1</v>
      </c>
      <c r="AI222" s="3">
        <f t="shared" si="158"/>
        <v>2.4</v>
      </c>
      <c r="AJ222" s="5">
        <f t="shared" si="175"/>
        <v>0</v>
      </c>
      <c r="AK222" s="5">
        <f t="shared" si="167"/>
        <v>0</v>
      </c>
      <c r="AL222" s="5">
        <f t="shared" si="168"/>
        <v>0</v>
      </c>
      <c r="AM222" s="5">
        <f t="shared" si="176"/>
        <v>0</v>
      </c>
      <c r="AN222" s="5">
        <f t="shared" si="169"/>
        <v>0</v>
      </c>
      <c r="AO222" s="5">
        <f t="shared" si="177"/>
        <v>1</v>
      </c>
      <c r="AP222" s="11" t="s">
        <v>42</v>
      </c>
      <c r="AQ222" s="1">
        <v>0</v>
      </c>
      <c r="AR222" s="5">
        <v>0</v>
      </c>
      <c r="AS222" s="5">
        <v>1</v>
      </c>
      <c r="AT222" s="5">
        <v>0</v>
      </c>
      <c r="AU222" s="5">
        <v>0</v>
      </c>
      <c r="AV222" s="5">
        <f t="shared" si="159"/>
        <v>0</v>
      </c>
      <c r="AW222" s="5">
        <f t="shared" si="160"/>
        <v>0</v>
      </c>
      <c r="AX222" s="5">
        <f t="shared" si="161"/>
        <v>1</v>
      </c>
      <c r="AY222" s="1">
        <f t="shared" si="149"/>
        <v>0</v>
      </c>
      <c r="AZ222" s="1">
        <f t="shared" si="150"/>
        <v>0</v>
      </c>
      <c r="BA222" s="1">
        <f t="shared" si="151"/>
        <v>1</v>
      </c>
      <c r="BB222" s="5">
        <v>0</v>
      </c>
      <c r="BC222" s="5">
        <v>0</v>
      </c>
      <c r="BD222" s="5">
        <v>1</v>
      </c>
      <c r="BE222" s="5">
        <f t="shared" si="153"/>
        <v>0</v>
      </c>
      <c r="BF222" s="5">
        <v>0</v>
      </c>
      <c r="BG222" s="5">
        <f t="shared" si="174"/>
        <v>0</v>
      </c>
      <c r="BH222" s="5">
        <f t="shared" si="174"/>
        <v>0</v>
      </c>
      <c r="BI222" s="5">
        <f t="shared" si="174"/>
        <v>0</v>
      </c>
      <c r="BJ222" s="5">
        <f t="shared" si="174"/>
        <v>0</v>
      </c>
      <c r="BK222" s="5">
        <f t="shared" si="174"/>
        <v>0</v>
      </c>
      <c r="BL222" s="5">
        <f t="shared" si="174"/>
        <v>0</v>
      </c>
      <c r="BM222" s="5">
        <f t="shared" si="174"/>
        <v>0</v>
      </c>
      <c r="BN222" s="5">
        <f t="shared" si="174"/>
        <v>0</v>
      </c>
      <c r="BO222" s="5">
        <f t="shared" si="173"/>
        <v>0</v>
      </c>
      <c r="BP222" s="5">
        <f t="shared" si="173"/>
        <v>0</v>
      </c>
      <c r="BQ222" s="5">
        <f t="shared" si="173"/>
        <v>0</v>
      </c>
      <c r="BR222" s="5">
        <f t="shared" si="173"/>
        <v>0</v>
      </c>
      <c r="BS222" s="5">
        <f t="shared" si="173"/>
        <v>0</v>
      </c>
      <c r="BT222" s="5">
        <f t="shared" si="173"/>
        <v>1</v>
      </c>
      <c r="BU222" s="5">
        <f t="shared" si="173"/>
        <v>0</v>
      </c>
      <c r="BV222" s="5">
        <f t="shared" si="173"/>
        <v>0</v>
      </c>
      <c r="BW222" s="5">
        <f t="shared" si="173"/>
        <v>0</v>
      </c>
      <c r="BX222" s="5">
        <f t="shared" si="173"/>
        <v>0</v>
      </c>
      <c r="BY222" s="5">
        <f t="shared" si="173"/>
        <v>0</v>
      </c>
      <c r="BZ222" s="5">
        <f t="shared" si="173"/>
        <v>0</v>
      </c>
      <c r="CA222" s="5">
        <f t="shared" si="173"/>
        <v>0</v>
      </c>
      <c r="CB222" s="5">
        <f t="shared" si="172"/>
        <v>0</v>
      </c>
      <c r="CC222" s="5">
        <f t="shared" si="172"/>
        <v>0</v>
      </c>
      <c r="CD222" s="5">
        <f t="shared" si="172"/>
        <v>0</v>
      </c>
      <c r="CE222" s="5">
        <f t="shared" si="172"/>
        <v>0</v>
      </c>
    </row>
    <row r="223" spans="1:83" x14ac:dyDescent="0.2">
      <c r="C223" s="1">
        <f>Growth!D228</f>
        <v>0</v>
      </c>
      <c r="D223" s="5" t="b">
        <f t="shared" si="164"/>
        <v>0</v>
      </c>
      <c r="E223" s="5">
        <v>2004</v>
      </c>
      <c r="F223" s="5">
        <f ca="1">LOOKUP($E223,frequence!$A$2:$A$35,frequence!L$2:L$35)</f>
        <v>29.761886767605532</v>
      </c>
      <c r="G223" s="5">
        <f ca="1">LOOKUP($E223,frequence!$A$2:$A$35,frequence!K$2:K$35)</f>
        <v>1.4389796045014025</v>
      </c>
      <c r="H223" s="5">
        <f ca="1">LOOKUP($E223,frequence!$A$2:$A$35,frequence!M$2:M$35)</f>
        <v>239.58577159610638</v>
      </c>
      <c r="I223" s="5">
        <v>1995</v>
      </c>
      <c r="J223" s="7">
        <f>LOOKUP(I223,CPI!A$69:A$103,CPI!O$69:O$103)</f>
        <v>1.4308136482939633</v>
      </c>
      <c r="K223" s="5">
        <v>2000</v>
      </c>
      <c r="L223" s="7">
        <f t="shared" ca="1" si="165"/>
        <v>1</v>
      </c>
      <c r="M223" s="7">
        <f t="shared" si="157"/>
        <v>1.2210000000000001</v>
      </c>
      <c r="N223" s="14">
        <f t="shared" si="178"/>
        <v>0.16500000000000001</v>
      </c>
      <c r="O223" s="1">
        <f ca="1">P223*J223*(1+Growth!G$6)^(2010-K223)</f>
        <v>282.62986152170316</v>
      </c>
      <c r="P223" s="3">
        <v>170</v>
      </c>
      <c r="Q223" s="2">
        <f t="shared" si="148"/>
        <v>170</v>
      </c>
      <c r="R223" s="21">
        <f t="shared" ca="1" si="166"/>
        <v>79879.638623777108</v>
      </c>
      <c r="X223" s="2">
        <f t="shared" si="171"/>
        <v>170</v>
      </c>
      <c r="AC223" s="1">
        <f t="shared" si="152"/>
        <v>7.4</v>
      </c>
      <c r="AD223" s="5">
        <v>1</v>
      </c>
      <c r="AE223" s="5">
        <v>1</v>
      </c>
      <c r="AF223" s="5">
        <v>1</v>
      </c>
      <c r="AG223" s="5">
        <v>1</v>
      </c>
      <c r="AH223" s="5">
        <v>1</v>
      </c>
      <c r="AI223" s="3">
        <f t="shared" si="158"/>
        <v>2.4</v>
      </c>
      <c r="AJ223" s="5">
        <f t="shared" si="175"/>
        <v>0</v>
      </c>
      <c r="AK223" s="5">
        <f t="shared" si="167"/>
        <v>0</v>
      </c>
      <c r="AL223" s="5">
        <f t="shared" si="168"/>
        <v>0</v>
      </c>
      <c r="AM223" s="5">
        <f t="shared" si="176"/>
        <v>0</v>
      </c>
      <c r="AN223" s="5">
        <f t="shared" si="169"/>
        <v>0</v>
      </c>
      <c r="AO223" s="5">
        <f t="shared" si="177"/>
        <v>1</v>
      </c>
      <c r="AP223" s="11" t="s">
        <v>42</v>
      </c>
      <c r="AQ223" s="1">
        <v>0</v>
      </c>
      <c r="AR223" s="5">
        <v>1</v>
      </c>
      <c r="AS223" s="5">
        <v>1</v>
      </c>
      <c r="AT223" s="5">
        <v>0</v>
      </c>
      <c r="AU223" s="5">
        <v>0</v>
      </c>
      <c r="AV223" s="5">
        <f t="shared" si="159"/>
        <v>0</v>
      </c>
      <c r="AW223" s="5">
        <f t="shared" si="160"/>
        <v>0</v>
      </c>
      <c r="AX223" s="5">
        <f t="shared" si="161"/>
        <v>1</v>
      </c>
      <c r="AY223" s="1">
        <f t="shared" si="149"/>
        <v>0</v>
      </c>
      <c r="AZ223" s="1">
        <f t="shared" si="150"/>
        <v>0</v>
      </c>
      <c r="BA223" s="1">
        <f t="shared" si="151"/>
        <v>0</v>
      </c>
      <c r="BB223" s="5">
        <v>0</v>
      </c>
      <c r="BC223" s="5">
        <v>0</v>
      </c>
      <c r="BD223" s="5">
        <v>1</v>
      </c>
      <c r="BE223" s="5">
        <f t="shared" si="153"/>
        <v>0</v>
      </c>
      <c r="BF223" s="5">
        <v>0</v>
      </c>
      <c r="BG223" s="5">
        <f t="shared" si="174"/>
        <v>0</v>
      </c>
      <c r="BH223" s="5">
        <f t="shared" si="174"/>
        <v>0</v>
      </c>
      <c r="BI223" s="5">
        <f t="shared" si="174"/>
        <v>0</v>
      </c>
      <c r="BJ223" s="5">
        <f t="shared" si="174"/>
        <v>0</v>
      </c>
      <c r="BK223" s="5">
        <f t="shared" si="174"/>
        <v>0</v>
      </c>
      <c r="BL223" s="5">
        <f t="shared" si="174"/>
        <v>0</v>
      </c>
      <c r="BM223" s="5">
        <f t="shared" si="174"/>
        <v>0</v>
      </c>
      <c r="BN223" s="5">
        <f t="shared" si="174"/>
        <v>0</v>
      </c>
      <c r="BO223" s="5">
        <f t="shared" si="173"/>
        <v>0</v>
      </c>
      <c r="BP223" s="5">
        <f t="shared" si="173"/>
        <v>0</v>
      </c>
      <c r="BQ223" s="5">
        <f t="shared" si="173"/>
        <v>0</v>
      </c>
      <c r="BR223" s="5">
        <f t="shared" si="173"/>
        <v>0</v>
      </c>
      <c r="BS223" s="5">
        <f t="shared" si="173"/>
        <v>0</v>
      </c>
      <c r="BT223" s="5">
        <f t="shared" si="173"/>
        <v>1</v>
      </c>
      <c r="BU223" s="5">
        <f t="shared" si="173"/>
        <v>0</v>
      </c>
      <c r="BV223" s="5">
        <f t="shared" si="173"/>
        <v>0</v>
      </c>
      <c r="BW223" s="5">
        <f t="shared" si="173"/>
        <v>0</v>
      </c>
      <c r="BX223" s="5">
        <f t="shared" si="173"/>
        <v>0</v>
      </c>
      <c r="BY223" s="5">
        <f t="shared" si="173"/>
        <v>0</v>
      </c>
      <c r="BZ223" s="5">
        <f t="shared" si="173"/>
        <v>0</v>
      </c>
      <c r="CA223" s="5">
        <f t="shared" si="173"/>
        <v>0</v>
      </c>
      <c r="CB223" s="5">
        <f t="shared" si="172"/>
        <v>0</v>
      </c>
      <c r="CC223" s="5">
        <f t="shared" si="172"/>
        <v>0</v>
      </c>
      <c r="CD223" s="5">
        <f t="shared" si="172"/>
        <v>0</v>
      </c>
      <c r="CE223" s="5">
        <f t="shared" si="172"/>
        <v>0</v>
      </c>
    </row>
    <row r="224" spans="1:83" x14ac:dyDescent="0.2">
      <c r="C224" s="1">
        <f>Growth!D229</f>
        <v>0</v>
      </c>
      <c r="D224" s="5" t="b">
        <f t="shared" si="164"/>
        <v>0</v>
      </c>
      <c r="E224" s="5">
        <v>2004</v>
      </c>
      <c r="F224" s="5">
        <f ca="1">LOOKUP($E224,frequence!$A$2:$A$35,frequence!L$2:L$35)</f>
        <v>29.761886767605532</v>
      </c>
      <c r="G224" s="5">
        <f ca="1">LOOKUP($E224,frequence!$A$2:$A$35,frequence!K$2:K$35)</f>
        <v>1.4389796045014025</v>
      </c>
      <c r="H224" s="5">
        <f ca="1">LOOKUP($E224,frequence!$A$2:$A$35,frequence!M$2:M$35)</f>
        <v>239.58577159610638</v>
      </c>
      <c r="I224" s="5">
        <v>1995</v>
      </c>
      <c r="J224" s="7">
        <f>LOOKUP(I224,CPI!A$69:A$103,CPI!O$69:O$103)</f>
        <v>1.4308136482939633</v>
      </c>
      <c r="K224" s="5">
        <v>2000</v>
      </c>
      <c r="L224" s="7">
        <f t="shared" ca="1" si="165"/>
        <v>1</v>
      </c>
      <c r="M224" s="7">
        <f t="shared" si="157"/>
        <v>1.2210000000000001</v>
      </c>
      <c r="N224" s="14">
        <f t="shared" si="178"/>
        <v>0.16500000000000001</v>
      </c>
      <c r="O224" s="1">
        <f ca="1">P224*J224*(1+Growth!G$6)^(2010-K224)</f>
        <v>41.89572064909953</v>
      </c>
      <c r="P224" s="3">
        <v>25.2</v>
      </c>
      <c r="Q224" s="2">
        <f t="shared" si="148"/>
        <v>25.2</v>
      </c>
      <c r="R224" s="21">
        <f t="shared" ca="1" si="166"/>
        <v>1755.2514087073848</v>
      </c>
      <c r="X224" s="2">
        <f t="shared" si="171"/>
        <v>25.2</v>
      </c>
      <c r="AC224" s="1">
        <f t="shared" si="152"/>
        <v>7.4</v>
      </c>
      <c r="AD224" s="5">
        <v>1</v>
      </c>
      <c r="AE224" s="5">
        <v>1</v>
      </c>
      <c r="AF224" s="5">
        <v>1</v>
      </c>
      <c r="AG224" s="5">
        <v>1</v>
      </c>
      <c r="AH224" s="5">
        <v>1</v>
      </c>
      <c r="AI224" s="3">
        <f t="shared" si="158"/>
        <v>2.4</v>
      </c>
      <c r="AJ224" s="5">
        <f t="shared" si="175"/>
        <v>0</v>
      </c>
      <c r="AK224" s="5">
        <f t="shared" si="167"/>
        <v>0</v>
      </c>
      <c r="AL224" s="5">
        <f t="shared" si="168"/>
        <v>0</v>
      </c>
      <c r="AM224" s="5">
        <f t="shared" si="176"/>
        <v>1</v>
      </c>
      <c r="AN224" s="5">
        <f t="shared" si="169"/>
        <v>0</v>
      </c>
      <c r="AO224" s="5">
        <f t="shared" si="177"/>
        <v>0</v>
      </c>
      <c r="AP224" s="11" t="s">
        <v>42</v>
      </c>
      <c r="AQ224" s="1">
        <v>1</v>
      </c>
      <c r="AR224" s="5">
        <v>0</v>
      </c>
      <c r="AS224" s="5">
        <v>1</v>
      </c>
      <c r="AT224" s="5">
        <v>0</v>
      </c>
      <c r="AU224" s="5">
        <v>0</v>
      </c>
      <c r="AV224" s="5">
        <f t="shared" si="159"/>
        <v>0</v>
      </c>
      <c r="AW224" s="5">
        <f t="shared" si="160"/>
        <v>0</v>
      </c>
      <c r="AX224" s="5">
        <f t="shared" si="161"/>
        <v>1</v>
      </c>
      <c r="AY224" s="1">
        <f t="shared" si="149"/>
        <v>0</v>
      </c>
      <c r="AZ224" s="1">
        <f t="shared" si="150"/>
        <v>1</v>
      </c>
      <c r="BA224" s="1">
        <f t="shared" si="151"/>
        <v>0</v>
      </c>
      <c r="BB224" s="5">
        <v>0</v>
      </c>
      <c r="BC224" s="5">
        <v>0</v>
      </c>
      <c r="BD224" s="5">
        <v>1</v>
      </c>
      <c r="BE224" s="5">
        <f t="shared" si="153"/>
        <v>0</v>
      </c>
      <c r="BF224" s="5">
        <v>0</v>
      </c>
      <c r="BG224" s="5">
        <f t="shared" si="174"/>
        <v>0</v>
      </c>
      <c r="BH224" s="5">
        <f t="shared" si="174"/>
        <v>0</v>
      </c>
      <c r="BI224" s="5">
        <f t="shared" si="174"/>
        <v>0</v>
      </c>
      <c r="BJ224" s="5">
        <f t="shared" si="174"/>
        <v>0</v>
      </c>
      <c r="BK224" s="5">
        <f t="shared" si="174"/>
        <v>0</v>
      </c>
      <c r="BL224" s="5">
        <f t="shared" si="174"/>
        <v>0</v>
      </c>
      <c r="BM224" s="5">
        <f t="shared" si="174"/>
        <v>0</v>
      </c>
      <c r="BN224" s="5">
        <f t="shared" si="174"/>
        <v>0</v>
      </c>
      <c r="BO224" s="5">
        <f t="shared" si="173"/>
        <v>0</v>
      </c>
      <c r="BP224" s="5">
        <f t="shared" si="173"/>
        <v>0</v>
      </c>
      <c r="BQ224" s="5">
        <f t="shared" si="173"/>
        <v>0</v>
      </c>
      <c r="BR224" s="5">
        <f t="shared" si="173"/>
        <v>0</v>
      </c>
      <c r="BS224" s="5">
        <f t="shared" si="173"/>
        <v>0</v>
      </c>
      <c r="BT224" s="5">
        <f t="shared" si="173"/>
        <v>1</v>
      </c>
      <c r="BU224" s="5">
        <f t="shared" si="173"/>
        <v>0</v>
      </c>
      <c r="BV224" s="5">
        <f t="shared" si="173"/>
        <v>0</v>
      </c>
      <c r="BW224" s="5">
        <f t="shared" si="173"/>
        <v>0</v>
      </c>
      <c r="BX224" s="5">
        <f t="shared" si="173"/>
        <v>0</v>
      </c>
      <c r="BY224" s="5">
        <f t="shared" si="173"/>
        <v>0</v>
      </c>
      <c r="BZ224" s="5">
        <f t="shared" si="173"/>
        <v>0</v>
      </c>
      <c r="CA224" s="5">
        <f t="shared" si="173"/>
        <v>0</v>
      </c>
      <c r="CB224" s="5">
        <f t="shared" si="172"/>
        <v>0</v>
      </c>
      <c r="CC224" s="5">
        <f t="shared" si="172"/>
        <v>0</v>
      </c>
      <c r="CD224" s="5">
        <f t="shared" si="172"/>
        <v>0</v>
      </c>
      <c r="CE224" s="5">
        <f t="shared" si="172"/>
        <v>0</v>
      </c>
    </row>
    <row r="225" spans="1:83" x14ac:dyDescent="0.2">
      <c r="C225" s="1">
        <f>Growth!D230</f>
        <v>0</v>
      </c>
      <c r="D225" s="5" t="b">
        <f t="shared" si="164"/>
        <v>0</v>
      </c>
      <c r="E225" s="5">
        <v>2004</v>
      </c>
      <c r="F225" s="5">
        <f ca="1">LOOKUP($E225,frequence!$A$2:$A$35,frequence!L$2:L$35)</f>
        <v>29.761886767605532</v>
      </c>
      <c r="G225" s="5">
        <f ca="1">LOOKUP($E225,frequence!$A$2:$A$35,frequence!K$2:K$35)</f>
        <v>1.4389796045014025</v>
      </c>
      <c r="H225" s="5">
        <f ca="1">LOOKUP($E225,frequence!$A$2:$A$35,frequence!M$2:M$35)</f>
        <v>239.58577159610638</v>
      </c>
      <c r="I225" s="5">
        <v>1995</v>
      </c>
      <c r="J225" s="7">
        <f>LOOKUP(I225,CPI!A$69:A$103,CPI!O$69:O$103)</f>
        <v>1.4308136482939633</v>
      </c>
      <c r="K225" s="5">
        <v>2000</v>
      </c>
      <c r="L225" s="7">
        <f t="shared" ca="1" si="165"/>
        <v>1</v>
      </c>
      <c r="M225" s="7">
        <f t="shared" si="157"/>
        <v>1.2210000000000001</v>
      </c>
      <c r="N225" s="14">
        <f t="shared" si="178"/>
        <v>0.16500000000000001</v>
      </c>
      <c r="O225" s="1">
        <f ca="1">P225*J225*(1+Growth!G$6)^(2010-K225)</f>
        <v>156.44394099524865</v>
      </c>
      <c r="P225" s="3">
        <v>94.1</v>
      </c>
      <c r="Q225" s="2">
        <f t="shared" si="148"/>
        <v>94.1</v>
      </c>
      <c r="R225" s="21">
        <f t="shared" ca="1" si="166"/>
        <v>24474.706674124842</v>
      </c>
      <c r="X225" s="2">
        <f t="shared" si="171"/>
        <v>94.1</v>
      </c>
      <c r="AC225" s="1">
        <f t="shared" si="152"/>
        <v>7.4</v>
      </c>
      <c r="AD225" s="5">
        <v>1</v>
      </c>
      <c r="AE225" s="5">
        <v>1</v>
      </c>
      <c r="AF225" s="5">
        <v>1</v>
      </c>
      <c r="AG225" s="5">
        <v>1</v>
      </c>
      <c r="AH225" s="5">
        <v>1</v>
      </c>
      <c r="AI225" s="3">
        <f t="shared" si="158"/>
        <v>2.4</v>
      </c>
      <c r="AJ225" s="5">
        <f t="shared" si="175"/>
        <v>0</v>
      </c>
      <c r="AK225" s="5">
        <f t="shared" si="167"/>
        <v>0</v>
      </c>
      <c r="AL225" s="5">
        <f t="shared" si="168"/>
        <v>0</v>
      </c>
      <c r="AM225" s="5">
        <f t="shared" si="176"/>
        <v>1</v>
      </c>
      <c r="AN225" s="5">
        <f t="shared" si="169"/>
        <v>0</v>
      </c>
      <c r="AO225" s="5">
        <f t="shared" si="177"/>
        <v>0</v>
      </c>
      <c r="AP225" s="11" t="s">
        <v>42</v>
      </c>
      <c r="AQ225" s="1">
        <v>1</v>
      </c>
      <c r="AR225" s="5">
        <v>1</v>
      </c>
      <c r="AS225" s="5">
        <v>1</v>
      </c>
      <c r="AT225" s="5">
        <v>0</v>
      </c>
      <c r="AU225" s="5">
        <v>0</v>
      </c>
      <c r="AV225" s="5">
        <f t="shared" si="159"/>
        <v>0</v>
      </c>
      <c r="AW225" s="5">
        <f t="shared" si="160"/>
        <v>0</v>
      </c>
      <c r="AX225" s="5">
        <f t="shared" si="161"/>
        <v>1</v>
      </c>
      <c r="AY225" s="1">
        <f t="shared" si="149"/>
        <v>0</v>
      </c>
      <c r="AZ225" s="1">
        <f t="shared" si="150"/>
        <v>0</v>
      </c>
      <c r="BA225" s="1">
        <f t="shared" si="151"/>
        <v>0</v>
      </c>
      <c r="BB225" s="5">
        <v>0</v>
      </c>
      <c r="BC225" s="5">
        <v>0</v>
      </c>
      <c r="BD225" s="5">
        <v>1</v>
      </c>
      <c r="BE225" s="5">
        <f t="shared" si="153"/>
        <v>0</v>
      </c>
      <c r="BF225" s="5">
        <v>0</v>
      </c>
      <c r="BG225" s="5">
        <f t="shared" si="174"/>
        <v>0</v>
      </c>
      <c r="BH225" s="5">
        <f t="shared" si="174"/>
        <v>0</v>
      </c>
      <c r="BI225" s="5">
        <f t="shared" si="174"/>
        <v>0</v>
      </c>
      <c r="BJ225" s="5">
        <f t="shared" si="174"/>
        <v>0</v>
      </c>
      <c r="BK225" s="5">
        <f t="shared" si="174"/>
        <v>0</v>
      </c>
      <c r="BL225" s="5">
        <f t="shared" si="174"/>
        <v>0</v>
      </c>
      <c r="BM225" s="5">
        <f t="shared" si="174"/>
        <v>0</v>
      </c>
      <c r="BN225" s="5">
        <f t="shared" si="174"/>
        <v>0</v>
      </c>
      <c r="BO225" s="5">
        <f t="shared" si="173"/>
        <v>0</v>
      </c>
      <c r="BP225" s="5">
        <f t="shared" si="173"/>
        <v>0</v>
      </c>
      <c r="BQ225" s="5">
        <f t="shared" si="173"/>
        <v>0</v>
      </c>
      <c r="BR225" s="5">
        <f t="shared" si="173"/>
        <v>0</v>
      </c>
      <c r="BS225" s="5">
        <f t="shared" si="173"/>
        <v>0</v>
      </c>
      <c r="BT225" s="5">
        <f t="shared" si="173"/>
        <v>1</v>
      </c>
      <c r="BU225" s="5">
        <f t="shared" si="173"/>
        <v>0</v>
      </c>
      <c r="BV225" s="5">
        <f t="shared" si="173"/>
        <v>0</v>
      </c>
      <c r="BW225" s="5">
        <f t="shared" si="173"/>
        <v>0</v>
      </c>
      <c r="BX225" s="5">
        <f t="shared" si="173"/>
        <v>0</v>
      </c>
      <c r="BY225" s="5">
        <f t="shared" si="173"/>
        <v>0</v>
      </c>
      <c r="BZ225" s="5">
        <f t="shared" si="173"/>
        <v>0</v>
      </c>
      <c r="CA225" s="5">
        <f t="shared" si="173"/>
        <v>0</v>
      </c>
      <c r="CB225" s="5">
        <f t="shared" si="172"/>
        <v>0</v>
      </c>
      <c r="CC225" s="5">
        <f t="shared" si="172"/>
        <v>0</v>
      </c>
      <c r="CD225" s="5">
        <f t="shared" si="172"/>
        <v>0</v>
      </c>
      <c r="CE225" s="5">
        <f t="shared" si="172"/>
        <v>0</v>
      </c>
    </row>
    <row r="226" spans="1:83" x14ac:dyDescent="0.2">
      <c r="C226" s="1">
        <f>Growth!D231</f>
        <v>0</v>
      </c>
      <c r="D226" s="5" t="b">
        <f t="shared" si="164"/>
        <v>0</v>
      </c>
      <c r="E226" s="5">
        <v>2004</v>
      </c>
      <c r="F226" s="5">
        <f ca="1">LOOKUP($E226,frequence!$A$2:$A$35,frequence!L$2:L$35)</f>
        <v>29.761886767605532</v>
      </c>
      <c r="G226" s="5">
        <f ca="1">LOOKUP($E226,frequence!$A$2:$A$35,frequence!K$2:K$35)</f>
        <v>1.4389796045014025</v>
      </c>
      <c r="H226" s="5">
        <f ca="1">LOOKUP($E226,frequence!$A$2:$A$35,frequence!M$2:M$35)</f>
        <v>239.58577159610638</v>
      </c>
      <c r="I226" s="5">
        <v>1995</v>
      </c>
      <c r="J226" s="7">
        <f>LOOKUP(I226,CPI!A$69:A$103,CPI!O$69:O$103)</f>
        <v>1.4308136482939633</v>
      </c>
      <c r="K226" s="5">
        <v>2000</v>
      </c>
      <c r="L226" s="7">
        <f t="shared" ca="1" si="165"/>
        <v>1</v>
      </c>
      <c r="M226" s="7">
        <f t="shared" si="157"/>
        <v>1.2210000000000001</v>
      </c>
      <c r="N226" s="14">
        <f t="shared" si="178"/>
        <v>0.16500000000000001</v>
      </c>
      <c r="O226" s="1">
        <f ca="1">P226*J226*(1+Growth!G$6)^(2010-K226)</f>
        <v>8.4788958456510954</v>
      </c>
      <c r="P226" s="3">
        <v>5.0999999999999996</v>
      </c>
      <c r="Q226" s="2">
        <f t="shared" si="148"/>
        <v>5.0999999999999996</v>
      </c>
      <c r="R226" s="21">
        <f t="shared" ca="1" si="166"/>
        <v>71.8916747613994</v>
      </c>
      <c r="X226" s="2">
        <f t="shared" si="171"/>
        <v>5.0999999999999996</v>
      </c>
      <c r="AC226" s="1">
        <f t="shared" si="152"/>
        <v>7.4</v>
      </c>
      <c r="AD226" s="5">
        <v>1</v>
      </c>
      <c r="AE226" s="5">
        <v>1</v>
      </c>
      <c r="AF226" s="5">
        <v>1</v>
      </c>
      <c r="AG226" s="5">
        <v>1</v>
      </c>
      <c r="AH226" s="5">
        <v>1</v>
      </c>
      <c r="AI226" s="3">
        <f t="shared" si="158"/>
        <v>2.4</v>
      </c>
      <c r="AJ226" s="5">
        <f t="shared" si="175"/>
        <v>1</v>
      </c>
      <c r="AK226" s="5">
        <f t="shared" si="167"/>
        <v>0</v>
      </c>
      <c r="AL226" s="5">
        <f t="shared" si="168"/>
        <v>0</v>
      </c>
      <c r="AM226" s="5">
        <f t="shared" si="176"/>
        <v>0</v>
      </c>
      <c r="AN226" s="5">
        <f t="shared" si="169"/>
        <v>0</v>
      </c>
      <c r="AO226" s="5">
        <f t="shared" si="177"/>
        <v>0</v>
      </c>
      <c r="AP226" s="11" t="s">
        <v>42</v>
      </c>
      <c r="AQ226" s="1">
        <v>3</v>
      </c>
      <c r="AR226" s="5">
        <v>0</v>
      </c>
      <c r="AS226" s="5">
        <v>1</v>
      </c>
      <c r="AT226" s="5">
        <v>0</v>
      </c>
      <c r="AU226" s="5">
        <v>0</v>
      </c>
      <c r="AV226" s="5">
        <f t="shared" si="159"/>
        <v>0</v>
      </c>
      <c r="AW226" s="5">
        <f t="shared" si="160"/>
        <v>0</v>
      </c>
      <c r="AX226" s="5">
        <f t="shared" si="161"/>
        <v>1</v>
      </c>
      <c r="AY226" s="1">
        <f t="shared" si="149"/>
        <v>1</v>
      </c>
      <c r="AZ226" s="1">
        <f t="shared" si="150"/>
        <v>0</v>
      </c>
      <c r="BA226" s="1">
        <f t="shared" si="151"/>
        <v>0</v>
      </c>
      <c r="BB226" s="5">
        <v>0</v>
      </c>
      <c r="BC226" s="5">
        <v>0</v>
      </c>
      <c r="BD226" s="5">
        <v>1</v>
      </c>
      <c r="BE226" s="5">
        <f t="shared" si="153"/>
        <v>0</v>
      </c>
      <c r="BF226" s="5">
        <v>0</v>
      </c>
      <c r="BG226" s="5">
        <f t="shared" si="174"/>
        <v>0</v>
      </c>
      <c r="BH226" s="5">
        <f t="shared" si="174"/>
        <v>0</v>
      </c>
      <c r="BI226" s="5">
        <f t="shared" si="174"/>
        <v>0</v>
      </c>
      <c r="BJ226" s="5">
        <f t="shared" si="174"/>
        <v>0</v>
      </c>
      <c r="BK226" s="5">
        <f t="shared" si="174"/>
        <v>0</v>
      </c>
      <c r="BL226" s="5">
        <f t="shared" si="174"/>
        <v>0</v>
      </c>
      <c r="BM226" s="5">
        <f t="shared" si="174"/>
        <v>0</v>
      </c>
      <c r="BN226" s="5">
        <f t="shared" si="174"/>
        <v>0</v>
      </c>
      <c r="BO226" s="5">
        <f t="shared" si="173"/>
        <v>0</v>
      </c>
      <c r="BP226" s="5">
        <f t="shared" si="173"/>
        <v>0</v>
      </c>
      <c r="BQ226" s="5">
        <f t="shared" si="173"/>
        <v>0</v>
      </c>
      <c r="BR226" s="5">
        <f t="shared" si="173"/>
        <v>0</v>
      </c>
      <c r="BS226" s="5">
        <f t="shared" si="173"/>
        <v>0</v>
      </c>
      <c r="BT226" s="5">
        <f t="shared" si="173"/>
        <v>1</v>
      </c>
      <c r="BU226" s="5">
        <f t="shared" si="173"/>
        <v>0</v>
      </c>
      <c r="BV226" s="5">
        <f t="shared" si="173"/>
        <v>0</v>
      </c>
      <c r="BW226" s="5">
        <f t="shared" si="173"/>
        <v>0</v>
      </c>
      <c r="BX226" s="5">
        <f t="shared" si="173"/>
        <v>0</v>
      </c>
      <c r="BY226" s="5">
        <f t="shared" si="173"/>
        <v>0</v>
      </c>
      <c r="BZ226" s="5">
        <f t="shared" si="173"/>
        <v>0</v>
      </c>
      <c r="CA226" s="5">
        <f t="shared" si="173"/>
        <v>0</v>
      </c>
      <c r="CB226" s="5">
        <f t="shared" si="172"/>
        <v>0</v>
      </c>
      <c r="CC226" s="5">
        <f t="shared" si="172"/>
        <v>0</v>
      </c>
      <c r="CD226" s="5">
        <f t="shared" si="172"/>
        <v>0</v>
      </c>
      <c r="CE226" s="5">
        <f t="shared" si="172"/>
        <v>0</v>
      </c>
    </row>
    <row r="227" spans="1:83" x14ac:dyDescent="0.2">
      <c r="C227" s="1">
        <f>Growth!D232</f>
        <v>0</v>
      </c>
      <c r="D227" s="5" t="b">
        <f t="shared" si="164"/>
        <v>0</v>
      </c>
      <c r="E227" s="5">
        <v>2004</v>
      </c>
      <c r="F227" s="5">
        <f ca="1">LOOKUP($E227,frequence!$A$2:$A$35,frequence!L$2:L$35)</f>
        <v>29.761886767605532</v>
      </c>
      <c r="G227" s="5">
        <f ca="1">LOOKUP($E227,frequence!$A$2:$A$35,frequence!K$2:K$35)</f>
        <v>1.4389796045014025</v>
      </c>
      <c r="H227" s="5">
        <f ca="1">LOOKUP($E227,frequence!$A$2:$A$35,frequence!M$2:M$35)</f>
        <v>239.58577159610638</v>
      </c>
      <c r="I227" s="5">
        <v>1995</v>
      </c>
      <c r="J227" s="7">
        <f>LOOKUP(I227,CPI!A$69:A$103,CPI!O$69:O$103)</f>
        <v>1.4308136482939633</v>
      </c>
      <c r="K227" s="5">
        <v>2000</v>
      </c>
      <c r="L227" s="7">
        <f t="shared" ca="1" si="165"/>
        <v>1</v>
      </c>
      <c r="M227" s="7">
        <f t="shared" si="157"/>
        <v>1.2210000000000001</v>
      </c>
      <c r="N227" s="14">
        <f t="shared" si="178"/>
        <v>0.16500000000000001</v>
      </c>
      <c r="O227" s="1">
        <f ca="1">P227*J227*(1+Growth!G$6)^(2010-K227)</f>
        <v>74.980039733110672</v>
      </c>
      <c r="P227" s="3">
        <v>45.1</v>
      </c>
      <c r="Q227" s="2">
        <f t="shared" si="148"/>
        <v>45.1</v>
      </c>
      <c r="R227" s="21">
        <f t="shared" ca="1" si="166"/>
        <v>5622.0063583788551</v>
      </c>
      <c r="X227" s="2">
        <f t="shared" si="171"/>
        <v>45.1</v>
      </c>
      <c r="AC227" s="1">
        <f t="shared" si="152"/>
        <v>7.4</v>
      </c>
      <c r="AD227" s="5">
        <v>1</v>
      </c>
      <c r="AE227" s="5">
        <v>1</v>
      </c>
      <c r="AF227" s="5">
        <v>1</v>
      </c>
      <c r="AG227" s="5">
        <v>1</v>
      </c>
      <c r="AH227" s="5">
        <v>1</v>
      </c>
      <c r="AI227" s="3">
        <f t="shared" si="158"/>
        <v>2.4</v>
      </c>
      <c r="AJ227" s="5">
        <f t="shared" si="175"/>
        <v>1</v>
      </c>
      <c r="AK227" s="5">
        <f t="shared" si="167"/>
        <v>0</v>
      </c>
      <c r="AL227" s="5">
        <f t="shared" si="168"/>
        <v>0</v>
      </c>
      <c r="AM227" s="5">
        <f t="shared" si="176"/>
        <v>0</v>
      </c>
      <c r="AN227" s="5">
        <f t="shared" si="169"/>
        <v>0</v>
      </c>
      <c r="AO227" s="5">
        <f t="shared" si="177"/>
        <v>0</v>
      </c>
      <c r="AP227" s="11" t="s">
        <v>42</v>
      </c>
      <c r="AQ227" s="1">
        <v>3</v>
      </c>
      <c r="AR227" s="5">
        <v>1</v>
      </c>
      <c r="AS227" s="5">
        <v>1</v>
      </c>
      <c r="AT227" s="5">
        <v>0</v>
      </c>
      <c r="AU227" s="5">
        <v>0</v>
      </c>
      <c r="AV227" s="5">
        <f t="shared" si="159"/>
        <v>0</v>
      </c>
      <c r="AW227" s="5">
        <f t="shared" si="160"/>
        <v>0</v>
      </c>
      <c r="AX227" s="5">
        <f t="shared" si="161"/>
        <v>1</v>
      </c>
      <c r="AY227" s="1">
        <f t="shared" si="149"/>
        <v>0</v>
      </c>
      <c r="AZ227" s="1">
        <f t="shared" si="150"/>
        <v>0</v>
      </c>
      <c r="BA227" s="1">
        <f t="shared" si="151"/>
        <v>0</v>
      </c>
      <c r="BB227" s="5">
        <v>0</v>
      </c>
      <c r="BC227" s="5">
        <v>0</v>
      </c>
      <c r="BD227" s="5">
        <v>1</v>
      </c>
      <c r="BE227" s="5">
        <f t="shared" si="153"/>
        <v>0</v>
      </c>
      <c r="BF227" s="5">
        <v>0</v>
      </c>
      <c r="BG227" s="5">
        <f t="shared" si="174"/>
        <v>0</v>
      </c>
      <c r="BH227" s="5">
        <f t="shared" si="174"/>
        <v>0</v>
      </c>
      <c r="BI227" s="5">
        <f t="shared" si="174"/>
        <v>0</v>
      </c>
      <c r="BJ227" s="5">
        <f t="shared" si="174"/>
        <v>0</v>
      </c>
      <c r="BK227" s="5">
        <f t="shared" si="174"/>
        <v>0</v>
      </c>
      <c r="BL227" s="5">
        <f t="shared" si="174"/>
        <v>0</v>
      </c>
      <c r="BM227" s="5">
        <f t="shared" si="174"/>
        <v>0</v>
      </c>
      <c r="BN227" s="5">
        <f t="shared" si="174"/>
        <v>0</v>
      </c>
      <c r="BO227" s="5">
        <f t="shared" si="173"/>
        <v>0</v>
      </c>
      <c r="BP227" s="5">
        <f t="shared" si="173"/>
        <v>0</v>
      </c>
      <c r="BQ227" s="5">
        <f t="shared" si="173"/>
        <v>0</v>
      </c>
      <c r="BR227" s="5">
        <f t="shared" si="173"/>
        <v>0</v>
      </c>
      <c r="BS227" s="5">
        <f t="shared" si="173"/>
        <v>0</v>
      </c>
      <c r="BT227" s="5">
        <f t="shared" si="173"/>
        <v>1</v>
      </c>
      <c r="BU227" s="5">
        <f t="shared" si="173"/>
        <v>0</v>
      </c>
      <c r="BV227" s="5">
        <f t="shared" si="173"/>
        <v>0</v>
      </c>
      <c r="BW227" s="5">
        <f t="shared" si="173"/>
        <v>0</v>
      </c>
      <c r="BX227" s="5">
        <f t="shared" si="173"/>
        <v>0</v>
      </c>
      <c r="BY227" s="5">
        <f t="shared" si="173"/>
        <v>0</v>
      </c>
      <c r="BZ227" s="5">
        <f t="shared" si="173"/>
        <v>0</v>
      </c>
      <c r="CA227" s="5">
        <f t="shared" si="173"/>
        <v>0</v>
      </c>
      <c r="CB227" s="5">
        <f t="shared" si="172"/>
        <v>0</v>
      </c>
      <c r="CC227" s="5">
        <f t="shared" si="172"/>
        <v>0</v>
      </c>
      <c r="CD227" s="5">
        <f t="shared" si="172"/>
        <v>0</v>
      </c>
      <c r="CE227" s="5">
        <f t="shared" si="172"/>
        <v>0</v>
      </c>
    </row>
    <row r="228" spans="1:83" x14ac:dyDescent="0.2">
      <c r="C228" s="1">
        <f>Growth!D233</f>
        <v>0</v>
      </c>
      <c r="D228" s="5" t="b">
        <f t="shared" si="164"/>
        <v>0</v>
      </c>
      <c r="E228" s="5">
        <v>2004</v>
      </c>
      <c r="F228" s="5">
        <f ca="1">LOOKUP($E228,frequence!$A$2:$A$35,frequence!L$2:L$35)</f>
        <v>29.761886767605532</v>
      </c>
      <c r="G228" s="5">
        <f ca="1">LOOKUP($E228,frequence!$A$2:$A$35,frequence!K$2:K$35)</f>
        <v>1.4389796045014025</v>
      </c>
      <c r="H228" s="5">
        <f ca="1">LOOKUP($E228,frequence!$A$2:$A$35,frequence!M$2:M$35)</f>
        <v>239.58577159610638</v>
      </c>
      <c r="I228" s="5">
        <v>1995</v>
      </c>
      <c r="J228" s="7">
        <f>LOOKUP(I228,CPI!A$69:A$103,CPI!O$69:O$103)</f>
        <v>1.4308136482939633</v>
      </c>
      <c r="K228" s="5">
        <v>2000</v>
      </c>
      <c r="L228" s="7">
        <f t="shared" ca="1" si="165"/>
        <v>1</v>
      </c>
      <c r="M228" s="7">
        <f t="shared" si="157"/>
        <v>1.2333333333333335E-2</v>
      </c>
      <c r="N228" s="14">
        <f t="shared" ref="N228:N233" si="179">0.01/6</f>
        <v>1.6666666666666668E-3</v>
      </c>
      <c r="O228" s="1">
        <f ca="1">P228*J228*(1+Growth!G$6)^(2010-K228)</f>
        <v>125.68716194729858</v>
      </c>
      <c r="P228" s="3">
        <v>75.599999999999994</v>
      </c>
      <c r="Q228" s="2">
        <f t="shared" si="148"/>
        <v>75.599999999999994</v>
      </c>
      <c r="R228" s="21">
        <f t="shared" ca="1" si="166"/>
        <v>15797.26267836646</v>
      </c>
      <c r="X228" s="2">
        <f t="shared" si="171"/>
        <v>75.599999999999994</v>
      </c>
      <c r="AC228" s="1">
        <f t="shared" si="152"/>
        <v>7.4</v>
      </c>
      <c r="AD228" s="5">
        <v>1</v>
      </c>
      <c r="AE228" s="5">
        <v>1</v>
      </c>
      <c r="AF228" s="5">
        <v>1</v>
      </c>
      <c r="AG228" s="5">
        <v>1</v>
      </c>
      <c r="AH228" s="5">
        <v>1</v>
      </c>
      <c r="AI228" s="3">
        <f t="shared" si="158"/>
        <v>2.4</v>
      </c>
      <c r="AJ228" s="5">
        <f t="shared" si="175"/>
        <v>0</v>
      </c>
      <c r="AK228" s="5">
        <f t="shared" si="167"/>
        <v>0</v>
      </c>
      <c r="AL228" s="5">
        <f t="shared" si="168"/>
        <v>0</v>
      </c>
      <c r="AM228" s="5">
        <f t="shared" si="176"/>
        <v>0</v>
      </c>
      <c r="AN228" s="5">
        <f t="shared" si="169"/>
        <v>0</v>
      </c>
      <c r="AO228" s="5">
        <f t="shared" si="177"/>
        <v>1</v>
      </c>
      <c r="AP228" s="11" t="s">
        <v>42</v>
      </c>
      <c r="AQ228" s="1">
        <v>0</v>
      </c>
      <c r="AR228" s="5">
        <v>0</v>
      </c>
      <c r="AS228" s="5">
        <v>1</v>
      </c>
      <c r="AT228" s="5">
        <v>0</v>
      </c>
      <c r="AU228" s="5">
        <v>0</v>
      </c>
      <c r="AV228" s="5">
        <f t="shared" si="159"/>
        <v>0</v>
      </c>
      <c r="AW228" s="5">
        <f t="shared" si="160"/>
        <v>0</v>
      </c>
      <c r="AX228" s="5">
        <f t="shared" si="161"/>
        <v>1</v>
      </c>
      <c r="AY228" s="1">
        <f t="shared" si="149"/>
        <v>0</v>
      </c>
      <c r="AZ228" s="1">
        <f t="shared" si="150"/>
        <v>0</v>
      </c>
      <c r="BA228" s="1">
        <f t="shared" si="151"/>
        <v>1</v>
      </c>
      <c r="BB228" s="5">
        <v>0</v>
      </c>
      <c r="BC228" s="5">
        <v>0</v>
      </c>
      <c r="BD228" s="5">
        <v>1</v>
      </c>
      <c r="BE228" s="5">
        <f t="shared" si="153"/>
        <v>0</v>
      </c>
      <c r="BF228" s="5">
        <v>0</v>
      </c>
      <c r="BG228" s="5">
        <f t="shared" si="174"/>
        <v>0</v>
      </c>
      <c r="BH228" s="5">
        <f t="shared" si="174"/>
        <v>0</v>
      </c>
      <c r="BI228" s="5">
        <f t="shared" si="174"/>
        <v>0</v>
      </c>
      <c r="BJ228" s="5">
        <f t="shared" si="174"/>
        <v>0</v>
      </c>
      <c r="BK228" s="5">
        <f t="shared" si="174"/>
        <v>0</v>
      </c>
      <c r="BL228" s="5">
        <f t="shared" si="174"/>
        <v>0</v>
      </c>
      <c r="BM228" s="5">
        <f t="shared" si="174"/>
        <v>0</v>
      </c>
      <c r="BN228" s="5">
        <f t="shared" ref="BN228:CB243" si="180">IF($E228=BN$2,1,0)</f>
        <v>0</v>
      </c>
      <c r="BO228" s="5">
        <f t="shared" si="180"/>
        <v>0</v>
      </c>
      <c r="BP228" s="5">
        <f t="shared" si="180"/>
        <v>0</v>
      </c>
      <c r="BQ228" s="5">
        <f t="shared" si="180"/>
        <v>0</v>
      </c>
      <c r="BR228" s="5">
        <f t="shared" si="180"/>
        <v>0</v>
      </c>
      <c r="BS228" s="5">
        <f t="shared" si="180"/>
        <v>0</v>
      </c>
      <c r="BT228" s="5">
        <f t="shared" si="180"/>
        <v>1</v>
      </c>
      <c r="BU228" s="5">
        <f t="shared" si="180"/>
        <v>0</v>
      </c>
      <c r="BV228" s="5">
        <f t="shared" si="180"/>
        <v>0</v>
      </c>
      <c r="BW228" s="5">
        <f t="shared" si="180"/>
        <v>0</v>
      </c>
      <c r="BX228" s="5">
        <f t="shared" si="180"/>
        <v>0</v>
      </c>
      <c r="BY228" s="5">
        <f t="shared" si="180"/>
        <v>0</v>
      </c>
      <c r="BZ228" s="5">
        <f t="shared" si="180"/>
        <v>0</v>
      </c>
      <c r="CA228" s="5">
        <f t="shared" si="180"/>
        <v>0</v>
      </c>
      <c r="CB228" s="5">
        <f t="shared" si="172"/>
        <v>0</v>
      </c>
      <c r="CC228" s="5">
        <f t="shared" si="172"/>
        <v>0</v>
      </c>
      <c r="CD228" s="5">
        <f t="shared" si="172"/>
        <v>0</v>
      </c>
      <c r="CE228" s="5">
        <f t="shared" si="172"/>
        <v>0</v>
      </c>
    </row>
    <row r="229" spans="1:83" x14ac:dyDescent="0.2">
      <c r="C229" s="1">
        <f>Growth!D234</f>
        <v>0</v>
      </c>
      <c r="D229" s="5" t="b">
        <f t="shared" si="164"/>
        <v>0</v>
      </c>
      <c r="E229" s="5">
        <v>2004</v>
      </c>
      <c r="F229" s="5">
        <f ca="1">LOOKUP($E229,frequence!$A$2:$A$35,frequence!L$2:L$35)</f>
        <v>29.761886767605532</v>
      </c>
      <c r="G229" s="5">
        <f ca="1">LOOKUP($E229,frequence!$A$2:$A$35,frequence!K$2:K$35)</f>
        <v>1.4389796045014025</v>
      </c>
      <c r="H229" s="5">
        <f ca="1">LOOKUP($E229,frequence!$A$2:$A$35,frequence!M$2:M$35)</f>
        <v>239.58577159610638</v>
      </c>
      <c r="I229" s="5">
        <v>1995</v>
      </c>
      <c r="J229" s="7">
        <f>LOOKUP(I229,CPI!A$69:A$103,CPI!O$69:O$103)</f>
        <v>1.4308136482939633</v>
      </c>
      <c r="K229" s="5">
        <v>2000</v>
      </c>
      <c r="L229" s="7">
        <f t="shared" ca="1" si="165"/>
        <v>1</v>
      </c>
      <c r="M229" s="7">
        <f t="shared" si="157"/>
        <v>1.2333333333333335E-2</v>
      </c>
      <c r="N229" s="14">
        <f t="shared" si="179"/>
        <v>1.6666666666666668E-3</v>
      </c>
      <c r="O229" s="1">
        <f ca="1">P229*J229*(1+Growth!G$6)^(2010-K229)</f>
        <v>278.97229860789292</v>
      </c>
      <c r="P229" s="3">
        <v>167.8</v>
      </c>
      <c r="Q229" s="2">
        <f t="shared" si="148"/>
        <v>167.8</v>
      </c>
      <c r="R229" s="21">
        <f t="shared" ca="1" si="166"/>
        <v>77825.543390571373</v>
      </c>
      <c r="X229" s="2">
        <f t="shared" si="171"/>
        <v>167.8</v>
      </c>
      <c r="AC229" s="1">
        <f t="shared" si="152"/>
        <v>7.4</v>
      </c>
      <c r="AD229" s="5">
        <v>1</v>
      </c>
      <c r="AE229" s="5">
        <v>1</v>
      </c>
      <c r="AF229" s="5">
        <v>1</v>
      </c>
      <c r="AG229" s="5">
        <v>1</v>
      </c>
      <c r="AH229" s="5">
        <v>1</v>
      </c>
      <c r="AI229" s="3">
        <f t="shared" si="158"/>
        <v>2.4</v>
      </c>
      <c r="AJ229" s="5">
        <f t="shared" si="175"/>
        <v>0</v>
      </c>
      <c r="AK229" s="5">
        <f t="shared" si="167"/>
        <v>0</v>
      </c>
      <c r="AL229" s="5">
        <f t="shared" si="168"/>
        <v>0</v>
      </c>
      <c r="AM229" s="5">
        <f t="shared" si="176"/>
        <v>0</v>
      </c>
      <c r="AN229" s="5">
        <f t="shared" si="169"/>
        <v>0</v>
      </c>
      <c r="AO229" s="5">
        <f t="shared" si="177"/>
        <v>1</v>
      </c>
      <c r="AP229" s="11" t="s">
        <v>42</v>
      </c>
      <c r="AQ229" s="1">
        <v>0</v>
      </c>
      <c r="AR229" s="5">
        <v>1</v>
      </c>
      <c r="AS229" s="5">
        <v>1</v>
      </c>
      <c r="AT229" s="5">
        <v>0</v>
      </c>
      <c r="AU229" s="5">
        <v>0</v>
      </c>
      <c r="AV229" s="5">
        <f t="shared" si="159"/>
        <v>0</v>
      </c>
      <c r="AW229" s="5">
        <f t="shared" si="160"/>
        <v>0</v>
      </c>
      <c r="AX229" s="5">
        <f t="shared" si="161"/>
        <v>1</v>
      </c>
      <c r="AY229" s="1">
        <f t="shared" si="149"/>
        <v>0</v>
      </c>
      <c r="AZ229" s="1">
        <f t="shared" si="150"/>
        <v>0</v>
      </c>
      <c r="BA229" s="1">
        <f t="shared" si="151"/>
        <v>0</v>
      </c>
      <c r="BB229" s="5">
        <v>0</v>
      </c>
      <c r="BC229" s="5">
        <v>0</v>
      </c>
      <c r="BD229" s="5">
        <v>1</v>
      </c>
      <c r="BE229" s="5">
        <f t="shared" si="153"/>
        <v>0</v>
      </c>
      <c r="BF229" s="5">
        <v>0</v>
      </c>
      <c r="BG229" s="5">
        <f t="shared" ref="BG229:BN244" si="181">IF($E229=BG$2,1,0)</f>
        <v>0</v>
      </c>
      <c r="BH229" s="5">
        <f t="shared" si="181"/>
        <v>0</v>
      </c>
      <c r="BI229" s="5">
        <f t="shared" si="181"/>
        <v>0</v>
      </c>
      <c r="BJ229" s="5">
        <f t="shared" si="181"/>
        <v>0</v>
      </c>
      <c r="BK229" s="5">
        <f t="shared" si="181"/>
        <v>0</v>
      </c>
      <c r="BL229" s="5">
        <f t="shared" si="181"/>
        <v>0</v>
      </c>
      <c r="BM229" s="5">
        <f t="shared" si="181"/>
        <v>0</v>
      </c>
      <c r="BN229" s="5">
        <f t="shared" si="180"/>
        <v>0</v>
      </c>
      <c r="BO229" s="5">
        <f t="shared" si="180"/>
        <v>0</v>
      </c>
      <c r="BP229" s="5">
        <f t="shared" si="180"/>
        <v>0</v>
      </c>
      <c r="BQ229" s="5">
        <f t="shared" si="180"/>
        <v>0</v>
      </c>
      <c r="BR229" s="5">
        <f t="shared" si="180"/>
        <v>0</v>
      </c>
      <c r="BS229" s="5">
        <f t="shared" si="180"/>
        <v>0</v>
      </c>
      <c r="BT229" s="5">
        <f t="shared" si="180"/>
        <v>1</v>
      </c>
      <c r="BU229" s="5">
        <f t="shared" si="180"/>
        <v>0</v>
      </c>
      <c r="BV229" s="5">
        <f t="shared" si="180"/>
        <v>0</v>
      </c>
      <c r="BW229" s="5">
        <f t="shared" si="180"/>
        <v>0</v>
      </c>
      <c r="BX229" s="5">
        <f t="shared" si="180"/>
        <v>0</v>
      </c>
      <c r="BY229" s="5">
        <f t="shared" si="180"/>
        <v>0</v>
      </c>
      <c r="BZ229" s="5">
        <f t="shared" si="180"/>
        <v>0</v>
      </c>
      <c r="CA229" s="5">
        <f t="shared" si="180"/>
        <v>0</v>
      </c>
      <c r="CB229" s="5">
        <f t="shared" si="172"/>
        <v>0</v>
      </c>
      <c r="CC229" s="5">
        <f t="shared" si="172"/>
        <v>0</v>
      </c>
      <c r="CD229" s="5">
        <f t="shared" si="172"/>
        <v>0</v>
      </c>
      <c r="CE229" s="5">
        <f t="shared" si="172"/>
        <v>0</v>
      </c>
    </row>
    <row r="230" spans="1:83" x14ac:dyDescent="0.2">
      <c r="C230" s="1">
        <f>Growth!D235</f>
        <v>0</v>
      </c>
      <c r="D230" s="5" t="b">
        <f t="shared" si="164"/>
        <v>0</v>
      </c>
      <c r="E230" s="5">
        <v>2004</v>
      </c>
      <c r="F230" s="5">
        <f ca="1">LOOKUP($E230,frequence!$A$2:$A$35,frequence!L$2:L$35)</f>
        <v>29.761886767605532</v>
      </c>
      <c r="G230" s="5">
        <f ca="1">LOOKUP($E230,frequence!$A$2:$A$35,frequence!K$2:K$35)</f>
        <v>1.4389796045014025</v>
      </c>
      <c r="H230" s="5">
        <f ca="1">LOOKUP($E230,frequence!$A$2:$A$35,frequence!M$2:M$35)</f>
        <v>239.58577159610638</v>
      </c>
      <c r="I230" s="5">
        <v>1995</v>
      </c>
      <c r="J230" s="7">
        <f>LOOKUP(I230,CPI!A$69:A$103,CPI!O$69:O$103)</f>
        <v>1.4308136482939633</v>
      </c>
      <c r="K230" s="5">
        <v>2000</v>
      </c>
      <c r="L230" s="7">
        <f t="shared" ca="1" si="165"/>
        <v>1</v>
      </c>
      <c r="M230" s="7">
        <f t="shared" si="157"/>
        <v>1.2333333333333335E-2</v>
      </c>
      <c r="N230" s="14">
        <f t="shared" si="179"/>
        <v>1.6666666666666668E-3</v>
      </c>
      <c r="O230" s="1">
        <f ca="1">P230*J230*(1+Growth!G$6)^(2010-K230)</f>
        <v>40.565697771350337</v>
      </c>
      <c r="P230" s="3">
        <v>24.4</v>
      </c>
      <c r="Q230" s="2">
        <f t="shared" si="148"/>
        <v>24.4</v>
      </c>
      <c r="R230" s="21">
        <f t="shared" ca="1" si="166"/>
        <v>1645.5758356765377</v>
      </c>
      <c r="X230" s="2">
        <f t="shared" si="171"/>
        <v>24.4</v>
      </c>
      <c r="AC230" s="1">
        <f t="shared" si="152"/>
        <v>7.4</v>
      </c>
      <c r="AD230" s="5">
        <v>1</v>
      </c>
      <c r="AE230" s="5">
        <v>1</v>
      </c>
      <c r="AF230" s="5">
        <v>1</v>
      </c>
      <c r="AG230" s="5">
        <v>1</v>
      </c>
      <c r="AH230" s="5">
        <v>1</v>
      </c>
      <c r="AI230" s="3">
        <f t="shared" si="158"/>
        <v>2.4</v>
      </c>
      <c r="AJ230" s="5">
        <f t="shared" si="175"/>
        <v>0</v>
      </c>
      <c r="AK230" s="5">
        <f t="shared" si="167"/>
        <v>0</v>
      </c>
      <c r="AL230" s="5">
        <f t="shared" si="168"/>
        <v>0</v>
      </c>
      <c r="AM230" s="5">
        <f t="shared" si="176"/>
        <v>1</v>
      </c>
      <c r="AN230" s="5">
        <f t="shared" si="169"/>
        <v>0</v>
      </c>
      <c r="AO230" s="5">
        <f t="shared" si="177"/>
        <v>0</v>
      </c>
      <c r="AP230" s="11" t="s">
        <v>42</v>
      </c>
      <c r="AQ230" s="1">
        <v>1</v>
      </c>
      <c r="AR230" s="5">
        <v>0</v>
      </c>
      <c r="AS230" s="5">
        <v>1</v>
      </c>
      <c r="AT230" s="5">
        <v>0</v>
      </c>
      <c r="AU230" s="5">
        <v>0</v>
      </c>
      <c r="AV230" s="5">
        <f t="shared" si="159"/>
        <v>0</v>
      </c>
      <c r="AW230" s="5">
        <f t="shared" si="160"/>
        <v>0</v>
      </c>
      <c r="AX230" s="5">
        <f t="shared" si="161"/>
        <v>1</v>
      </c>
      <c r="AY230" s="1">
        <f t="shared" si="149"/>
        <v>0</v>
      </c>
      <c r="AZ230" s="1">
        <f t="shared" si="150"/>
        <v>1</v>
      </c>
      <c r="BA230" s="1">
        <f t="shared" si="151"/>
        <v>0</v>
      </c>
      <c r="BB230" s="5">
        <v>0</v>
      </c>
      <c r="BC230" s="5">
        <v>0</v>
      </c>
      <c r="BD230" s="5">
        <v>1</v>
      </c>
      <c r="BE230" s="5">
        <f t="shared" si="153"/>
        <v>0</v>
      </c>
      <c r="BF230" s="5">
        <v>0</v>
      </c>
      <c r="BG230" s="5">
        <f t="shared" si="181"/>
        <v>0</v>
      </c>
      <c r="BH230" s="5">
        <f t="shared" si="181"/>
        <v>0</v>
      </c>
      <c r="BI230" s="5">
        <f t="shared" si="181"/>
        <v>0</v>
      </c>
      <c r="BJ230" s="5">
        <f t="shared" si="181"/>
        <v>0</v>
      </c>
      <c r="BK230" s="5">
        <f t="shared" si="181"/>
        <v>0</v>
      </c>
      <c r="BL230" s="5">
        <f t="shared" si="181"/>
        <v>0</v>
      </c>
      <c r="BM230" s="5">
        <f t="shared" si="181"/>
        <v>0</v>
      </c>
      <c r="BN230" s="5">
        <f t="shared" si="180"/>
        <v>0</v>
      </c>
      <c r="BO230" s="5">
        <f t="shared" si="180"/>
        <v>0</v>
      </c>
      <c r="BP230" s="5">
        <f t="shared" si="180"/>
        <v>0</v>
      </c>
      <c r="BQ230" s="5">
        <f t="shared" si="180"/>
        <v>0</v>
      </c>
      <c r="BR230" s="5">
        <f t="shared" si="180"/>
        <v>0</v>
      </c>
      <c r="BS230" s="5">
        <f t="shared" si="180"/>
        <v>0</v>
      </c>
      <c r="BT230" s="5">
        <f t="shared" si="180"/>
        <v>1</v>
      </c>
      <c r="BU230" s="5">
        <f t="shared" si="180"/>
        <v>0</v>
      </c>
      <c r="BV230" s="5">
        <f t="shared" si="180"/>
        <v>0</v>
      </c>
      <c r="BW230" s="5">
        <f t="shared" si="180"/>
        <v>0</v>
      </c>
      <c r="BX230" s="5">
        <f t="shared" si="180"/>
        <v>0</v>
      </c>
      <c r="BY230" s="5">
        <f t="shared" si="180"/>
        <v>0</v>
      </c>
      <c r="BZ230" s="5">
        <f t="shared" si="180"/>
        <v>0</v>
      </c>
      <c r="CA230" s="5">
        <f t="shared" si="180"/>
        <v>0</v>
      </c>
      <c r="CB230" s="5">
        <f t="shared" si="172"/>
        <v>0</v>
      </c>
      <c r="CC230" s="5">
        <f t="shared" si="172"/>
        <v>0</v>
      </c>
      <c r="CD230" s="5">
        <f t="shared" si="172"/>
        <v>0</v>
      </c>
      <c r="CE230" s="5">
        <f t="shared" si="172"/>
        <v>0</v>
      </c>
    </row>
    <row r="231" spans="1:83" x14ac:dyDescent="0.2">
      <c r="C231" s="1">
        <f>Growth!D236</f>
        <v>0</v>
      </c>
      <c r="D231" s="5" t="b">
        <f t="shared" si="164"/>
        <v>0</v>
      </c>
      <c r="E231" s="5">
        <v>2004</v>
      </c>
      <c r="F231" s="5">
        <f ca="1">LOOKUP($E231,frequence!$A$2:$A$35,frequence!L$2:L$35)</f>
        <v>29.761886767605532</v>
      </c>
      <c r="G231" s="5">
        <f ca="1">LOOKUP($E231,frequence!$A$2:$A$35,frequence!K$2:K$35)</f>
        <v>1.4389796045014025</v>
      </c>
      <c r="H231" s="5">
        <f ca="1">LOOKUP($E231,frequence!$A$2:$A$35,frequence!M$2:M$35)</f>
        <v>239.58577159610638</v>
      </c>
      <c r="I231" s="5">
        <v>1995</v>
      </c>
      <c r="J231" s="7">
        <f>LOOKUP(I231,CPI!A$69:A$103,CPI!O$69:O$103)</f>
        <v>1.4308136482939633</v>
      </c>
      <c r="K231" s="5">
        <v>2000</v>
      </c>
      <c r="L231" s="7">
        <f t="shared" ca="1" si="165"/>
        <v>1</v>
      </c>
      <c r="M231" s="7">
        <f t="shared" si="157"/>
        <v>1.2333333333333335E-2</v>
      </c>
      <c r="N231" s="14">
        <f t="shared" si="179"/>
        <v>1.6666666666666668E-3</v>
      </c>
      <c r="O231" s="1">
        <f ca="1">P231*J231*(1+Growth!G$6)^(2010-K231)</f>
        <v>155.6126766966554</v>
      </c>
      <c r="P231" s="3">
        <v>93.6</v>
      </c>
      <c r="Q231" s="2">
        <f t="shared" si="148"/>
        <v>93.6</v>
      </c>
      <c r="R231" s="21">
        <f t="shared" ca="1" si="166"/>
        <v>24215.305148697797</v>
      </c>
      <c r="X231" s="2">
        <f t="shared" si="171"/>
        <v>93.6</v>
      </c>
      <c r="AC231" s="1">
        <f t="shared" si="152"/>
        <v>7.4</v>
      </c>
      <c r="AD231" s="5">
        <v>1</v>
      </c>
      <c r="AE231" s="5">
        <v>1</v>
      </c>
      <c r="AF231" s="5">
        <v>1</v>
      </c>
      <c r="AG231" s="5">
        <v>1</v>
      </c>
      <c r="AH231" s="5">
        <v>1</v>
      </c>
      <c r="AI231" s="3">
        <f t="shared" si="158"/>
        <v>2.4</v>
      </c>
      <c r="AJ231" s="5">
        <f t="shared" si="175"/>
        <v>0</v>
      </c>
      <c r="AK231" s="5">
        <f t="shared" si="167"/>
        <v>0</v>
      </c>
      <c r="AL231" s="5">
        <f t="shared" si="168"/>
        <v>0</v>
      </c>
      <c r="AM231" s="5">
        <f t="shared" si="176"/>
        <v>1</v>
      </c>
      <c r="AN231" s="5">
        <f t="shared" si="169"/>
        <v>0</v>
      </c>
      <c r="AO231" s="5">
        <f t="shared" si="177"/>
        <v>0</v>
      </c>
      <c r="AP231" s="11" t="s">
        <v>42</v>
      </c>
      <c r="AQ231" s="1">
        <v>1</v>
      </c>
      <c r="AR231" s="5">
        <v>1</v>
      </c>
      <c r="AS231" s="5">
        <v>1</v>
      </c>
      <c r="AT231" s="5">
        <v>0</v>
      </c>
      <c r="AU231" s="5">
        <v>0</v>
      </c>
      <c r="AV231" s="5">
        <f t="shared" si="159"/>
        <v>0</v>
      </c>
      <c r="AW231" s="5">
        <f t="shared" si="160"/>
        <v>0</v>
      </c>
      <c r="AX231" s="5">
        <f t="shared" si="161"/>
        <v>1</v>
      </c>
      <c r="AY231" s="1">
        <f t="shared" si="149"/>
        <v>0</v>
      </c>
      <c r="AZ231" s="1">
        <f t="shared" si="150"/>
        <v>0</v>
      </c>
      <c r="BA231" s="1">
        <f t="shared" si="151"/>
        <v>0</v>
      </c>
      <c r="BB231" s="5">
        <v>0</v>
      </c>
      <c r="BC231" s="5">
        <v>0</v>
      </c>
      <c r="BD231" s="5">
        <v>1</v>
      </c>
      <c r="BE231" s="5">
        <f t="shared" si="153"/>
        <v>0</v>
      </c>
      <c r="BF231" s="5">
        <v>0</v>
      </c>
      <c r="BG231" s="5">
        <f t="shared" si="181"/>
        <v>0</v>
      </c>
      <c r="BH231" s="5">
        <f t="shared" si="181"/>
        <v>0</v>
      </c>
      <c r="BI231" s="5">
        <f t="shared" si="181"/>
        <v>0</v>
      </c>
      <c r="BJ231" s="5">
        <f t="shared" si="181"/>
        <v>0</v>
      </c>
      <c r="BK231" s="5">
        <f t="shared" si="181"/>
        <v>0</v>
      </c>
      <c r="BL231" s="5">
        <f t="shared" si="181"/>
        <v>0</v>
      </c>
      <c r="BM231" s="5">
        <f t="shared" si="181"/>
        <v>0</v>
      </c>
      <c r="BN231" s="5">
        <f t="shared" si="180"/>
        <v>0</v>
      </c>
      <c r="BO231" s="5">
        <f t="shared" si="180"/>
        <v>0</v>
      </c>
      <c r="BP231" s="5">
        <f t="shared" si="180"/>
        <v>0</v>
      </c>
      <c r="BQ231" s="5">
        <f t="shared" si="180"/>
        <v>0</v>
      </c>
      <c r="BR231" s="5">
        <f t="shared" si="180"/>
        <v>0</v>
      </c>
      <c r="BS231" s="5">
        <f t="shared" si="180"/>
        <v>0</v>
      </c>
      <c r="BT231" s="5">
        <f t="shared" si="180"/>
        <v>1</v>
      </c>
      <c r="BU231" s="5">
        <f t="shared" si="180"/>
        <v>0</v>
      </c>
      <c r="BV231" s="5">
        <f t="shared" si="180"/>
        <v>0</v>
      </c>
      <c r="BW231" s="5">
        <f t="shared" si="180"/>
        <v>0</v>
      </c>
      <c r="BX231" s="5">
        <f t="shared" si="180"/>
        <v>0</v>
      </c>
      <c r="BY231" s="5">
        <f t="shared" si="180"/>
        <v>0</v>
      </c>
      <c r="BZ231" s="5">
        <f t="shared" si="180"/>
        <v>0</v>
      </c>
      <c r="CA231" s="5">
        <f t="shared" si="180"/>
        <v>0</v>
      </c>
      <c r="CB231" s="5">
        <f t="shared" si="180"/>
        <v>0</v>
      </c>
      <c r="CC231" s="5">
        <f t="shared" ref="CC231:CE250" si="182">IF($E231=CC$2,1,0)</f>
        <v>0</v>
      </c>
      <c r="CD231" s="5">
        <f t="shared" si="182"/>
        <v>0</v>
      </c>
      <c r="CE231" s="5">
        <f t="shared" si="182"/>
        <v>0</v>
      </c>
    </row>
    <row r="232" spans="1:83" x14ac:dyDescent="0.2">
      <c r="C232" s="1">
        <f>Growth!D237</f>
        <v>0</v>
      </c>
      <c r="D232" s="5" t="b">
        <f t="shared" si="164"/>
        <v>0</v>
      </c>
      <c r="E232" s="5">
        <v>2004</v>
      </c>
      <c r="F232" s="5">
        <f ca="1">LOOKUP($E232,frequence!$A$2:$A$35,frequence!L$2:L$35)</f>
        <v>29.761886767605532</v>
      </c>
      <c r="G232" s="5">
        <f ca="1">LOOKUP($E232,frequence!$A$2:$A$35,frequence!K$2:K$35)</f>
        <v>1.4389796045014025</v>
      </c>
      <c r="H232" s="5">
        <f ca="1">LOOKUP($E232,frequence!$A$2:$A$35,frequence!M$2:M$35)</f>
        <v>239.58577159610638</v>
      </c>
      <c r="I232" s="5">
        <v>1995</v>
      </c>
      <c r="J232" s="7">
        <f>LOOKUP(I232,CPI!A$69:A$103,CPI!O$69:O$103)</f>
        <v>1.4308136482939633</v>
      </c>
      <c r="K232" s="5">
        <v>2000</v>
      </c>
      <c r="L232" s="7">
        <f t="shared" ca="1" si="165"/>
        <v>1</v>
      </c>
      <c r="M232" s="7">
        <f t="shared" si="157"/>
        <v>1.2333333333333335E-2</v>
      </c>
      <c r="N232" s="14">
        <f t="shared" si="179"/>
        <v>1.6666666666666668E-3</v>
      </c>
      <c r="O232" s="1">
        <f ca="1">P232*J232*(1+Growth!G$6)^(2010-K232)</f>
        <v>8.3126429859324471</v>
      </c>
      <c r="P232" s="3">
        <v>5</v>
      </c>
      <c r="Q232" s="2">
        <f t="shared" si="148"/>
        <v>5</v>
      </c>
      <c r="R232" s="21">
        <f t="shared" ca="1" si="166"/>
        <v>69.100033411571914</v>
      </c>
      <c r="X232" s="2">
        <f t="shared" si="171"/>
        <v>5</v>
      </c>
      <c r="AC232" s="1">
        <f t="shared" si="152"/>
        <v>7.4</v>
      </c>
      <c r="AD232" s="5">
        <v>1</v>
      </c>
      <c r="AE232" s="5">
        <v>1</v>
      </c>
      <c r="AF232" s="5">
        <v>1</v>
      </c>
      <c r="AG232" s="5">
        <v>1</v>
      </c>
      <c r="AH232" s="5">
        <v>1</v>
      </c>
      <c r="AI232" s="3">
        <f t="shared" si="158"/>
        <v>2.4</v>
      </c>
      <c r="AJ232" s="5">
        <f t="shared" si="175"/>
        <v>1</v>
      </c>
      <c r="AK232" s="5">
        <f t="shared" si="167"/>
        <v>0</v>
      </c>
      <c r="AL232" s="5">
        <f t="shared" si="168"/>
        <v>0</v>
      </c>
      <c r="AM232" s="5">
        <f t="shared" si="176"/>
        <v>0</v>
      </c>
      <c r="AN232" s="5">
        <f t="shared" si="169"/>
        <v>0</v>
      </c>
      <c r="AO232" s="5">
        <f t="shared" si="177"/>
        <v>0</v>
      </c>
      <c r="AP232" s="11" t="s">
        <v>42</v>
      </c>
      <c r="AQ232" s="1">
        <v>3</v>
      </c>
      <c r="AR232" s="5">
        <v>0</v>
      </c>
      <c r="AS232" s="5">
        <v>1</v>
      </c>
      <c r="AT232" s="5">
        <v>0</v>
      </c>
      <c r="AU232" s="5">
        <v>0</v>
      </c>
      <c r="AV232" s="5">
        <f t="shared" si="159"/>
        <v>0</v>
      </c>
      <c r="AW232" s="5">
        <f t="shared" si="160"/>
        <v>0</v>
      </c>
      <c r="AX232" s="5">
        <f t="shared" si="161"/>
        <v>1</v>
      </c>
      <c r="AY232" s="1">
        <f t="shared" si="149"/>
        <v>1</v>
      </c>
      <c r="AZ232" s="1">
        <f t="shared" si="150"/>
        <v>0</v>
      </c>
      <c r="BA232" s="1">
        <f t="shared" si="151"/>
        <v>0</v>
      </c>
      <c r="BB232" s="5">
        <v>0</v>
      </c>
      <c r="BC232" s="5">
        <v>0</v>
      </c>
      <c r="BD232" s="5">
        <v>1</v>
      </c>
      <c r="BE232" s="5">
        <f t="shared" si="153"/>
        <v>0</v>
      </c>
      <c r="BF232" s="5">
        <v>0</v>
      </c>
      <c r="BG232" s="5">
        <f t="shared" si="181"/>
        <v>0</v>
      </c>
      <c r="BH232" s="5">
        <f t="shared" si="181"/>
        <v>0</v>
      </c>
      <c r="BI232" s="5">
        <f t="shared" si="181"/>
        <v>0</v>
      </c>
      <c r="BJ232" s="5">
        <f t="shared" si="181"/>
        <v>0</v>
      </c>
      <c r="BK232" s="5">
        <f t="shared" si="181"/>
        <v>0</v>
      </c>
      <c r="BL232" s="5">
        <f t="shared" si="181"/>
        <v>0</v>
      </c>
      <c r="BM232" s="5">
        <f t="shared" si="181"/>
        <v>0</v>
      </c>
      <c r="BN232" s="5">
        <f t="shared" si="180"/>
        <v>0</v>
      </c>
      <c r="BO232" s="5">
        <f t="shared" si="180"/>
        <v>0</v>
      </c>
      <c r="BP232" s="5">
        <f t="shared" si="180"/>
        <v>0</v>
      </c>
      <c r="BQ232" s="5">
        <f t="shared" si="180"/>
        <v>0</v>
      </c>
      <c r="BR232" s="5">
        <f t="shared" si="180"/>
        <v>0</v>
      </c>
      <c r="BS232" s="5">
        <f t="shared" si="180"/>
        <v>0</v>
      </c>
      <c r="BT232" s="5">
        <f t="shared" si="180"/>
        <v>1</v>
      </c>
      <c r="BU232" s="5">
        <f t="shared" si="180"/>
        <v>0</v>
      </c>
      <c r="BV232" s="5">
        <f t="shared" si="180"/>
        <v>0</v>
      </c>
      <c r="BW232" s="5">
        <f t="shared" si="180"/>
        <v>0</v>
      </c>
      <c r="BX232" s="5">
        <f t="shared" si="180"/>
        <v>0</v>
      </c>
      <c r="BY232" s="5">
        <f t="shared" si="180"/>
        <v>0</v>
      </c>
      <c r="BZ232" s="5">
        <f t="shared" si="180"/>
        <v>0</v>
      </c>
      <c r="CA232" s="5">
        <f t="shared" si="180"/>
        <v>0</v>
      </c>
      <c r="CB232" s="5">
        <f t="shared" si="180"/>
        <v>0</v>
      </c>
      <c r="CC232" s="5">
        <f t="shared" si="182"/>
        <v>0</v>
      </c>
      <c r="CD232" s="5">
        <f t="shared" si="182"/>
        <v>0</v>
      </c>
      <c r="CE232" s="5">
        <f t="shared" si="182"/>
        <v>0</v>
      </c>
    </row>
    <row r="233" spans="1:83" x14ac:dyDescent="0.2">
      <c r="C233" s="1">
        <f>Growth!D238</f>
        <v>0</v>
      </c>
      <c r="D233" s="5" t="b">
        <f t="shared" si="164"/>
        <v>0</v>
      </c>
      <c r="E233" s="5">
        <v>2004</v>
      </c>
      <c r="F233" s="5">
        <f ca="1">LOOKUP($E233,frequence!$A$2:$A$35,frequence!L$2:L$35)</f>
        <v>29.761886767605532</v>
      </c>
      <c r="G233" s="5">
        <f ca="1">LOOKUP($E233,frequence!$A$2:$A$35,frequence!K$2:K$35)</f>
        <v>1.4389796045014025</v>
      </c>
      <c r="H233" s="5">
        <f ca="1">LOOKUP($E233,frequence!$A$2:$A$35,frequence!M$2:M$35)</f>
        <v>239.58577159610638</v>
      </c>
      <c r="I233" s="5">
        <v>1995</v>
      </c>
      <c r="J233" s="7">
        <f>LOOKUP(I233,CPI!A$69:A$103,CPI!O$69:O$103)</f>
        <v>1.4308136482939633</v>
      </c>
      <c r="K233" s="5">
        <v>2000</v>
      </c>
      <c r="L233" s="7">
        <f t="shared" ca="1" si="165"/>
        <v>1</v>
      </c>
      <c r="M233" s="7">
        <f t="shared" si="157"/>
        <v>1.2333333333333335E-2</v>
      </c>
      <c r="N233" s="14">
        <f t="shared" si="179"/>
        <v>1.6666666666666668E-3</v>
      </c>
      <c r="O233" s="1">
        <f ca="1">P233*J233*(1+Growth!G$6)^(2010-K233)</f>
        <v>74.813786873392019</v>
      </c>
      <c r="P233" s="3">
        <v>45</v>
      </c>
      <c r="Q233" s="2">
        <f t="shared" si="148"/>
        <v>45</v>
      </c>
      <c r="R233" s="21">
        <f t="shared" ca="1" si="166"/>
        <v>5597.102706337324</v>
      </c>
      <c r="X233" s="2">
        <f t="shared" si="171"/>
        <v>45</v>
      </c>
      <c r="AC233" s="1">
        <f t="shared" si="152"/>
        <v>7.4</v>
      </c>
      <c r="AD233" s="5">
        <v>1</v>
      </c>
      <c r="AE233" s="5">
        <v>1</v>
      </c>
      <c r="AF233" s="5">
        <v>1</v>
      </c>
      <c r="AG233" s="5">
        <v>1</v>
      </c>
      <c r="AH233" s="5">
        <v>1</v>
      </c>
      <c r="AI233" s="3">
        <f t="shared" si="158"/>
        <v>2.4</v>
      </c>
      <c r="AJ233" s="5">
        <f t="shared" si="175"/>
        <v>1</v>
      </c>
      <c r="AK233" s="5">
        <f t="shared" si="167"/>
        <v>0</v>
      </c>
      <c r="AL233" s="5">
        <f t="shared" si="168"/>
        <v>0</v>
      </c>
      <c r="AM233" s="5">
        <f t="shared" si="176"/>
        <v>0</v>
      </c>
      <c r="AN233" s="5">
        <f t="shared" si="169"/>
        <v>0</v>
      </c>
      <c r="AO233" s="5">
        <f t="shared" si="177"/>
        <v>0</v>
      </c>
      <c r="AP233" s="11" t="s">
        <v>42</v>
      </c>
      <c r="AQ233" s="1">
        <v>3</v>
      </c>
      <c r="AR233" s="5">
        <v>1</v>
      </c>
      <c r="AS233" s="5">
        <v>1</v>
      </c>
      <c r="AT233" s="5">
        <v>0</v>
      </c>
      <c r="AU233" s="5">
        <v>0</v>
      </c>
      <c r="AV233" s="5">
        <f t="shared" si="159"/>
        <v>0</v>
      </c>
      <c r="AW233" s="5">
        <f t="shared" si="160"/>
        <v>0</v>
      </c>
      <c r="AX233" s="5">
        <f t="shared" si="161"/>
        <v>1</v>
      </c>
      <c r="AY233" s="1">
        <f t="shared" si="149"/>
        <v>0</v>
      </c>
      <c r="AZ233" s="1">
        <f t="shared" si="150"/>
        <v>0</v>
      </c>
      <c r="BA233" s="1">
        <f t="shared" si="151"/>
        <v>0</v>
      </c>
      <c r="BB233" s="5">
        <v>0</v>
      </c>
      <c r="BC233" s="5">
        <v>0</v>
      </c>
      <c r="BD233" s="5">
        <v>1</v>
      </c>
      <c r="BE233" s="5">
        <f t="shared" si="153"/>
        <v>0</v>
      </c>
      <c r="BF233" s="5">
        <v>0</v>
      </c>
      <c r="BG233" s="5">
        <f t="shared" si="181"/>
        <v>0</v>
      </c>
      <c r="BH233" s="5">
        <f t="shared" si="181"/>
        <v>0</v>
      </c>
      <c r="BI233" s="5">
        <f t="shared" si="181"/>
        <v>0</v>
      </c>
      <c r="BJ233" s="5">
        <f t="shared" si="181"/>
        <v>0</v>
      </c>
      <c r="BK233" s="5">
        <f t="shared" si="181"/>
        <v>0</v>
      </c>
      <c r="BL233" s="5">
        <f t="shared" si="181"/>
        <v>0</v>
      </c>
      <c r="BM233" s="5">
        <f t="shared" si="181"/>
        <v>0</v>
      </c>
      <c r="BN233" s="5">
        <f t="shared" si="180"/>
        <v>0</v>
      </c>
      <c r="BO233" s="5">
        <f t="shared" si="180"/>
        <v>0</v>
      </c>
      <c r="BP233" s="5">
        <f t="shared" si="180"/>
        <v>0</v>
      </c>
      <c r="BQ233" s="5">
        <f t="shared" si="180"/>
        <v>0</v>
      </c>
      <c r="BR233" s="5">
        <f t="shared" si="180"/>
        <v>0</v>
      </c>
      <c r="BS233" s="5">
        <f t="shared" si="180"/>
        <v>0</v>
      </c>
      <c r="BT233" s="5">
        <f t="shared" si="180"/>
        <v>1</v>
      </c>
      <c r="BU233" s="5">
        <f t="shared" si="180"/>
        <v>0</v>
      </c>
      <c r="BV233" s="5">
        <f t="shared" si="180"/>
        <v>0</v>
      </c>
      <c r="BW233" s="5">
        <f t="shared" si="180"/>
        <v>0</v>
      </c>
      <c r="BX233" s="5">
        <f t="shared" si="180"/>
        <v>0</v>
      </c>
      <c r="BY233" s="5">
        <f t="shared" si="180"/>
        <v>0</v>
      </c>
      <c r="BZ233" s="5">
        <f t="shared" si="180"/>
        <v>0</v>
      </c>
      <c r="CA233" s="5">
        <f t="shared" si="180"/>
        <v>0</v>
      </c>
      <c r="CB233" s="5">
        <f t="shared" si="180"/>
        <v>0</v>
      </c>
      <c r="CC233" s="5">
        <f t="shared" si="182"/>
        <v>0</v>
      </c>
      <c r="CD233" s="5">
        <f t="shared" si="182"/>
        <v>0</v>
      </c>
      <c r="CE233" s="5">
        <f t="shared" si="182"/>
        <v>0</v>
      </c>
    </row>
    <row r="234" spans="1:83" x14ac:dyDescent="0.2">
      <c r="A234" s="1" t="s">
        <v>28</v>
      </c>
      <c r="B234" s="1" t="s">
        <v>93</v>
      </c>
      <c r="C234" s="1">
        <f>Growth!D239</f>
        <v>0</v>
      </c>
      <c r="D234" s="5">
        <f t="shared" si="164"/>
        <v>2004</v>
      </c>
      <c r="E234" s="5">
        <v>2004</v>
      </c>
      <c r="F234" s="5">
        <f ca="1">LOOKUP($E234,frequence!$A$2:$A$35,frequence!L$2:L$35)</f>
        <v>29.761886767605532</v>
      </c>
      <c r="G234" s="5">
        <f ca="1">LOOKUP($E234,frequence!$A$2:$A$35,frequence!K$2:K$35)</f>
        <v>1.4389796045014025</v>
      </c>
      <c r="H234" s="5">
        <f ca="1">LOOKUP($E234,frequence!$A$2:$A$35,frequence!M$2:M$35)</f>
        <v>239.58577159610638</v>
      </c>
      <c r="I234" s="18">
        <v>1990</v>
      </c>
      <c r="J234" s="7">
        <f>LOOKUP(I234,CPI!A$69:A$103,CPI!O$69:O$103)</f>
        <v>1.6683703136954862</v>
      </c>
      <c r="K234" s="18">
        <v>1990</v>
      </c>
      <c r="L234" s="7">
        <f t="shared" ca="1" si="165"/>
        <v>1</v>
      </c>
      <c r="M234" s="7">
        <f t="shared" si="157"/>
        <v>2.2000000000000002</v>
      </c>
      <c r="N234" s="14">
        <v>0.5</v>
      </c>
      <c r="O234" s="1">
        <f ca="1">P234*J234*(1+Growth!G$6)^(2010-K234)</f>
        <v>72.079959222190112</v>
      </c>
      <c r="P234" s="3">
        <v>32</v>
      </c>
      <c r="Q234" s="2">
        <f t="shared" si="148"/>
        <v>32</v>
      </c>
      <c r="R234" s="21">
        <f t="shared" ca="1" si="166"/>
        <v>5195.5205214725893</v>
      </c>
      <c r="X234" s="2">
        <f t="shared" si="171"/>
        <v>32</v>
      </c>
      <c r="AC234" s="1">
        <f t="shared" si="152"/>
        <v>4.4000000000000004</v>
      </c>
      <c r="AD234" s="5">
        <v>0</v>
      </c>
      <c r="AE234" s="5">
        <v>0</v>
      </c>
      <c r="AF234" s="5">
        <v>1</v>
      </c>
      <c r="AG234" s="5">
        <v>0</v>
      </c>
      <c r="AH234" s="5">
        <v>1</v>
      </c>
      <c r="AI234" s="3">
        <f t="shared" si="158"/>
        <v>2.4</v>
      </c>
      <c r="AJ234" s="5">
        <f t="shared" si="175"/>
        <v>0</v>
      </c>
      <c r="AK234" s="5">
        <f t="shared" si="167"/>
        <v>0</v>
      </c>
      <c r="AL234" s="5">
        <f t="shared" si="168"/>
        <v>0</v>
      </c>
      <c r="AM234" s="5">
        <f t="shared" si="176"/>
        <v>1</v>
      </c>
      <c r="AN234" s="5">
        <f t="shared" si="169"/>
        <v>0</v>
      </c>
      <c r="AO234" s="5">
        <f t="shared" si="177"/>
        <v>0</v>
      </c>
      <c r="AP234" s="11" t="s">
        <v>42</v>
      </c>
      <c r="AQ234" s="1">
        <v>1</v>
      </c>
      <c r="AR234" s="5">
        <v>0</v>
      </c>
      <c r="AS234" s="5">
        <v>1</v>
      </c>
      <c r="AT234" s="5">
        <v>0</v>
      </c>
      <c r="AU234" s="5">
        <v>0</v>
      </c>
      <c r="AV234" s="5">
        <f t="shared" si="159"/>
        <v>0</v>
      </c>
      <c r="AW234" s="5">
        <f t="shared" si="160"/>
        <v>0</v>
      </c>
      <c r="AX234" s="5">
        <f t="shared" si="161"/>
        <v>1</v>
      </c>
      <c r="AY234" s="1">
        <f t="shared" si="149"/>
        <v>0</v>
      </c>
      <c r="AZ234" s="1">
        <f t="shared" si="150"/>
        <v>0</v>
      </c>
      <c r="BA234" s="1">
        <f t="shared" si="151"/>
        <v>0</v>
      </c>
      <c r="BB234" s="5">
        <v>0</v>
      </c>
      <c r="BC234" s="5">
        <v>0</v>
      </c>
      <c r="BD234" s="5">
        <v>0</v>
      </c>
      <c r="BE234" s="5">
        <f t="shared" si="153"/>
        <v>1</v>
      </c>
      <c r="BF234" s="5">
        <v>0</v>
      </c>
      <c r="BG234" s="5">
        <f t="shared" si="181"/>
        <v>0</v>
      </c>
      <c r="BH234" s="5">
        <f t="shared" si="181"/>
        <v>0</v>
      </c>
      <c r="BI234" s="5">
        <f t="shared" si="181"/>
        <v>0</v>
      </c>
      <c r="BJ234" s="5">
        <f t="shared" si="181"/>
        <v>0</v>
      </c>
      <c r="BK234" s="5">
        <f t="shared" si="181"/>
        <v>0</v>
      </c>
      <c r="BL234" s="5">
        <f t="shared" si="181"/>
        <v>0</v>
      </c>
      <c r="BM234" s="5">
        <f t="shared" si="181"/>
        <v>0</v>
      </c>
      <c r="BN234" s="5">
        <f t="shared" si="180"/>
        <v>0</v>
      </c>
      <c r="BO234" s="5">
        <f t="shared" si="180"/>
        <v>0</v>
      </c>
      <c r="BP234" s="5">
        <f t="shared" si="180"/>
        <v>0</v>
      </c>
      <c r="BQ234" s="5">
        <f t="shared" si="180"/>
        <v>0</v>
      </c>
      <c r="BR234" s="5">
        <f t="shared" si="180"/>
        <v>0</v>
      </c>
      <c r="BS234" s="5">
        <f t="shared" si="180"/>
        <v>0</v>
      </c>
      <c r="BT234" s="5">
        <f t="shared" si="180"/>
        <v>1</v>
      </c>
      <c r="BU234" s="5">
        <f t="shared" si="180"/>
        <v>0</v>
      </c>
      <c r="BV234" s="5">
        <f t="shared" si="180"/>
        <v>0</v>
      </c>
      <c r="BW234" s="5">
        <f t="shared" si="180"/>
        <v>0</v>
      </c>
      <c r="BX234" s="5">
        <f t="shared" si="180"/>
        <v>0</v>
      </c>
      <c r="BY234" s="5">
        <f t="shared" si="180"/>
        <v>0</v>
      </c>
      <c r="BZ234" s="5">
        <f t="shared" si="180"/>
        <v>0</v>
      </c>
      <c r="CA234" s="5">
        <f t="shared" si="180"/>
        <v>0</v>
      </c>
      <c r="CB234" s="5">
        <f t="shared" si="180"/>
        <v>0</v>
      </c>
      <c r="CC234" s="5">
        <f t="shared" si="182"/>
        <v>0</v>
      </c>
      <c r="CD234" s="5">
        <f t="shared" si="182"/>
        <v>0</v>
      </c>
      <c r="CE234" s="5">
        <f t="shared" si="182"/>
        <v>0</v>
      </c>
    </row>
    <row r="235" spans="1:83" x14ac:dyDescent="0.2">
      <c r="C235" s="1">
        <f>Growth!D240</f>
        <v>0</v>
      </c>
      <c r="D235" s="5" t="b">
        <f t="shared" si="164"/>
        <v>0</v>
      </c>
      <c r="E235" s="5">
        <v>2004</v>
      </c>
      <c r="F235" s="5">
        <f ca="1">LOOKUP($E235,frequence!$A$2:$A$35,frequence!L$2:L$35)</f>
        <v>29.761886767605532</v>
      </c>
      <c r="G235" s="5">
        <f ca="1">LOOKUP($E235,frequence!$A$2:$A$35,frequence!K$2:K$35)</f>
        <v>1.4389796045014025</v>
      </c>
      <c r="H235" s="5">
        <f ca="1">LOOKUP($E235,frequence!$A$2:$A$35,frequence!M$2:M$35)</f>
        <v>239.58577159610638</v>
      </c>
      <c r="I235" s="18">
        <v>1990</v>
      </c>
      <c r="J235" s="7">
        <f>LOOKUP(I235,CPI!A$69:A$103,CPI!O$69:O$103)</f>
        <v>1.6683703136954862</v>
      </c>
      <c r="K235" s="18">
        <v>1990</v>
      </c>
      <c r="L235" s="7">
        <f t="shared" ca="1" si="165"/>
        <v>0.97099035226718666</v>
      </c>
      <c r="M235" s="7">
        <f t="shared" si="157"/>
        <v>2.2000000000000002</v>
      </c>
      <c r="N235" s="14">
        <v>0.5</v>
      </c>
      <c r="O235" s="1">
        <f ca="1">P235*J235*(1+Growth!G$6)^(2010-K235)</f>
        <v>1328.9742481591302</v>
      </c>
      <c r="P235" s="3">
        <v>590</v>
      </c>
      <c r="Q235" s="2">
        <f t="shared" si="148"/>
        <v>590</v>
      </c>
      <c r="R235" s="21">
        <f t="shared" ca="1" si="166"/>
        <v>1766172.5522701254</v>
      </c>
      <c r="X235" s="2">
        <f t="shared" si="171"/>
        <v>590</v>
      </c>
      <c r="AC235" s="1">
        <f t="shared" si="152"/>
        <v>4.4000000000000004</v>
      </c>
      <c r="AD235" s="5">
        <v>0</v>
      </c>
      <c r="AE235" s="5">
        <v>0</v>
      </c>
      <c r="AF235" s="5">
        <v>1</v>
      </c>
      <c r="AG235" s="5">
        <v>0</v>
      </c>
      <c r="AH235" s="5">
        <v>1</v>
      </c>
      <c r="AI235" s="3">
        <f t="shared" si="158"/>
        <v>2.4</v>
      </c>
      <c r="AJ235" s="5">
        <f t="shared" si="175"/>
        <v>0</v>
      </c>
      <c r="AK235" s="5">
        <f t="shared" si="167"/>
        <v>0</v>
      </c>
      <c r="AL235" s="5">
        <f t="shared" si="168"/>
        <v>0</v>
      </c>
      <c r="AM235" s="5">
        <f t="shared" si="176"/>
        <v>0</v>
      </c>
      <c r="AN235" s="5">
        <f t="shared" si="169"/>
        <v>0</v>
      </c>
      <c r="AO235" s="5">
        <f t="shared" si="177"/>
        <v>1</v>
      </c>
      <c r="AP235" s="11" t="s">
        <v>42</v>
      </c>
      <c r="AQ235" s="1">
        <v>0</v>
      </c>
      <c r="AR235" s="5">
        <v>1</v>
      </c>
      <c r="AS235" s="5">
        <v>1</v>
      </c>
      <c r="AT235" s="5">
        <v>0</v>
      </c>
      <c r="AU235" s="5">
        <v>0</v>
      </c>
      <c r="AV235" s="5">
        <f t="shared" si="159"/>
        <v>0</v>
      </c>
      <c r="AW235" s="5">
        <f t="shared" si="160"/>
        <v>0</v>
      </c>
      <c r="AX235" s="5">
        <f t="shared" si="161"/>
        <v>1</v>
      </c>
      <c r="AY235" s="1">
        <f t="shared" si="149"/>
        <v>0</v>
      </c>
      <c r="AZ235" s="1">
        <f t="shared" si="150"/>
        <v>0</v>
      </c>
      <c r="BA235" s="1">
        <f t="shared" si="151"/>
        <v>0</v>
      </c>
      <c r="BB235" s="5">
        <v>0</v>
      </c>
      <c r="BC235" s="5">
        <v>0</v>
      </c>
      <c r="BD235" s="5">
        <v>0</v>
      </c>
      <c r="BE235" s="5">
        <f t="shared" si="153"/>
        <v>1</v>
      </c>
      <c r="BF235" s="5">
        <v>0</v>
      </c>
      <c r="BG235" s="5">
        <f t="shared" si="181"/>
        <v>0</v>
      </c>
      <c r="BH235" s="5">
        <f t="shared" si="181"/>
        <v>0</v>
      </c>
      <c r="BI235" s="5">
        <f t="shared" si="181"/>
        <v>0</v>
      </c>
      <c r="BJ235" s="5">
        <f t="shared" si="181"/>
        <v>0</v>
      </c>
      <c r="BK235" s="5">
        <f t="shared" si="181"/>
        <v>0</v>
      </c>
      <c r="BL235" s="5">
        <f t="shared" si="181"/>
        <v>0</v>
      </c>
      <c r="BM235" s="5">
        <f t="shared" si="181"/>
        <v>0</v>
      </c>
      <c r="BN235" s="5">
        <f t="shared" si="180"/>
        <v>0</v>
      </c>
      <c r="BO235" s="5">
        <f t="shared" si="180"/>
        <v>0</v>
      </c>
      <c r="BP235" s="5">
        <f t="shared" si="180"/>
        <v>0</v>
      </c>
      <c r="BQ235" s="5">
        <f t="shared" si="180"/>
        <v>0</v>
      </c>
      <c r="BR235" s="5">
        <f t="shared" si="180"/>
        <v>0</v>
      </c>
      <c r="BS235" s="5">
        <f t="shared" si="180"/>
        <v>0</v>
      </c>
      <c r="BT235" s="5">
        <f t="shared" si="180"/>
        <v>1</v>
      </c>
      <c r="BU235" s="5">
        <f t="shared" si="180"/>
        <v>0</v>
      </c>
      <c r="BV235" s="5">
        <f t="shared" si="180"/>
        <v>0</v>
      </c>
      <c r="BW235" s="5">
        <f t="shared" si="180"/>
        <v>0</v>
      </c>
      <c r="BX235" s="5">
        <f t="shared" si="180"/>
        <v>0</v>
      </c>
      <c r="BY235" s="5">
        <f t="shared" si="180"/>
        <v>0</v>
      </c>
      <c r="BZ235" s="5">
        <f t="shared" si="180"/>
        <v>0</v>
      </c>
      <c r="CA235" s="5">
        <f t="shared" si="180"/>
        <v>0</v>
      </c>
      <c r="CB235" s="5">
        <f t="shared" si="180"/>
        <v>0</v>
      </c>
      <c r="CC235" s="5">
        <f t="shared" si="182"/>
        <v>0</v>
      </c>
      <c r="CD235" s="5">
        <f t="shared" si="182"/>
        <v>0</v>
      </c>
      <c r="CE235" s="5">
        <f t="shared" si="182"/>
        <v>0</v>
      </c>
    </row>
    <row r="236" spans="1:83" x14ac:dyDescent="0.2">
      <c r="A236" s="1" t="s">
        <v>5</v>
      </c>
      <c r="B236" s="11" t="s">
        <v>154</v>
      </c>
      <c r="C236" s="1">
        <f>Growth!D241</f>
        <v>0.23529411764705882</v>
      </c>
      <c r="D236" s="5">
        <f t="shared" si="164"/>
        <v>2004</v>
      </c>
      <c r="E236" s="5">
        <v>2004</v>
      </c>
      <c r="F236" s="5">
        <f ca="1">LOOKUP($E236,frequence!$A$2:$A$35,frequence!L$2:L$35)</f>
        <v>29.761886767605532</v>
      </c>
      <c r="G236" s="5">
        <f ca="1">LOOKUP($E236,frequence!$A$2:$A$35,frequence!K$2:K$35)</f>
        <v>1.4389796045014025</v>
      </c>
      <c r="H236" s="5">
        <f ca="1">LOOKUP($E236,frequence!$A$2:$A$35,frequence!M$2:M$35)</f>
        <v>239.58577159610638</v>
      </c>
      <c r="I236" s="5">
        <f>I$199</f>
        <v>1990</v>
      </c>
      <c r="J236" s="7">
        <f>LOOKUP(I236,CPI!A$69:A$103,CPI!O$69:O$103)</f>
        <v>1.6683703136954862</v>
      </c>
      <c r="K236" s="5">
        <v>1995</v>
      </c>
      <c r="L236" s="7">
        <f t="shared" ca="1" si="165"/>
        <v>1</v>
      </c>
      <c r="M236" s="7">
        <f t="shared" si="157"/>
        <v>1.0352941176470589</v>
      </c>
      <c r="N236" s="14">
        <f>1/4.25</f>
        <v>0.23529411764705882</v>
      </c>
      <c r="O236" s="1">
        <f ca="1">P236*J236*(1+Growth!G$6)^(2010-K236)</f>
        <v>267.47395442858601</v>
      </c>
      <c r="P236" s="3">
        <v>128</v>
      </c>
      <c r="Q236" s="2">
        <f t="shared" si="148"/>
        <v>128</v>
      </c>
      <c r="R236" s="21">
        <f t="shared" ca="1" si="166"/>
        <v>71542.316297665311</v>
      </c>
      <c r="X236" s="2">
        <f t="shared" si="171"/>
        <v>128</v>
      </c>
      <c r="AC236" s="1">
        <f t="shared" si="152"/>
        <v>4.4000000000000004</v>
      </c>
      <c r="AD236" s="5">
        <v>0</v>
      </c>
      <c r="AE236" s="5">
        <v>0</v>
      </c>
      <c r="AF236" s="5">
        <v>1</v>
      </c>
      <c r="AG236" s="5">
        <v>0</v>
      </c>
      <c r="AH236" s="5">
        <v>1</v>
      </c>
      <c r="AI236" s="3">
        <f t="shared" si="158"/>
        <v>2.4</v>
      </c>
      <c r="AJ236" s="5">
        <f t="shared" si="175"/>
        <v>0</v>
      </c>
      <c r="AK236" s="5">
        <f t="shared" si="167"/>
        <v>0</v>
      </c>
      <c r="AL236" s="5">
        <f t="shared" si="168"/>
        <v>0</v>
      </c>
      <c r="AM236" s="5">
        <f t="shared" si="176"/>
        <v>0</v>
      </c>
      <c r="AN236" s="5">
        <f t="shared" si="169"/>
        <v>0</v>
      </c>
      <c r="AO236" s="5">
        <f t="shared" si="177"/>
        <v>1</v>
      </c>
      <c r="AP236" s="11" t="s">
        <v>42</v>
      </c>
      <c r="AQ236" s="1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f t="shared" si="159"/>
        <v>0</v>
      </c>
      <c r="AW236" s="5">
        <f t="shared" si="160"/>
        <v>0</v>
      </c>
      <c r="AX236" s="5">
        <f t="shared" si="161"/>
        <v>1</v>
      </c>
      <c r="AY236" s="1">
        <f t="shared" si="149"/>
        <v>0</v>
      </c>
      <c r="AZ236" s="1">
        <f t="shared" si="150"/>
        <v>0</v>
      </c>
      <c r="BA236" s="1">
        <f t="shared" si="151"/>
        <v>0</v>
      </c>
      <c r="BB236" s="5">
        <v>0</v>
      </c>
      <c r="BC236" s="5">
        <v>0</v>
      </c>
      <c r="BD236" s="5">
        <v>0</v>
      </c>
      <c r="BE236" s="5">
        <f t="shared" si="153"/>
        <v>1</v>
      </c>
      <c r="BF236" s="5">
        <v>0</v>
      </c>
      <c r="BG236" s="5">
        <f t="shared" si="181"/>
        <v>0</v>
      </c>
      <c r="BH236" s="5">
        <f t="shared" si="181"/>
        <v>0</v>
      </c>
      <c r="BI236" s="5">
        <f t="shared" si="181"/>
        <v>0</v>
      </c>
      <c r="BJ236" s="5">
        <f t="shared" si="181"/>
        <v>0</v>
      </c>
      <c r="BK236" s="5">
        <f t="shared" si="181"/>
        <v>0</v>
      </c>
      <c r="BL236" s="5">
        <f t="shared" si="181"/>
        <v>0</v>
      </c>
      <c r="BM236" s="5">
        <f t="shared" si="181"/>
        <v>0</v>
      </c>
      <c r="BN236" s="5">
        <f t="shared" si="180"/>
        <v>0</v>
      </c>
      <c r="BO236" s="5">
        <f t="shared" si="180"/>
        <v>0</v>
      </c>
      <c r="BP236" s="5">
        <f t="shared" si="180"/>
        <v>0</v>
      </c>
      <c r="BQ236" s="5">
        <f t="shared" si="180"/>
        <v>0</v>
      </c>
      <c r="BR236" s="5">
        <f t="shared" si="180"/>
        <v>0</v>
      </c>
      <c r="BS236" s="5">
        <f t="shared" si="180"/>
        <v>0</v>
      </c>
      <c r="BT236" s="5">
        <f t="shared" si="180"/>
        <v>1</v>
      </c>
      <c r="BU236" s="5">
        <f t="shared" si="180"/>
        <v>0</v>
      </c>
      <c r="BV236" s="5">
        <f t="shared" si="180"/>
        <v>0</v>
      </c>
      <c r="BW236" s="5">
        <f t="shared" si="180"/>
        <v>0</v>
      </c>
      <c r="BX236" s="5">
        <f t="shared" si="180"/>
        <v>0</v>
      </c>
      <c r="BY236" s="5">
        <f t="shared" si="180"/>
        <v>0</v>
      </c>
      <c r="BZ236" s="5">
        <f t="shared" si="180"/>
        <v>0</v>
      </c>
      <c r="CA236" s="5">
        <f t="shared" si="180"/>
        <v>0</v>
      </c>
      <c r="CB236" s="5">
        <f t="shared" si="180"/>
        <v>0</v>
      </c>
      <c r="CC236" s="5">
        <f t="shared" si="182"/>
        <v>0</v>
      </c>
      <c r="CD236" s="5">
        <f t="shared" si="182"/>
        <v>0</v>
      </c>
      <c r="CE236" s="5">
        <f t="shared" si="182"/>
        <v>0</v>
      </c>
    </row>
    <row r="237" spans="1:83" x14ac:dyDescent="0.2">
      <c r="C237" s="1">
        <f>Growth!D242</f>
        <v>1.1764705882352941E-2</v>
      </c>
      <c r="D237" s="5" t="b">
        <f t="shared" si="164"/>
        <v>0</v>
      </c>
      <c r="E237" s="5">
        <v>2004</v>
      </c>
      <c r="F237" s="5">
        <f ca="1">LOOKUP($E237,frequence!$A$2:$A$35,frequence!L$2:L$35)</f>
        <v>29.761886767605532</v>
      </c>
      <c r="G237" s="5">
        <f ca="1">LOOKUP($E237,frequence!$A$2:$A$35,frequence!K$2:K$35)</f>
        <v>1.4389796045014025</v>
      </c>
      <c r="H237" s="5">
        <f ca="1">LOOKUP($E237,frequence!$A$2:$A$35,frequence!M$2:M$35)</f>
        <v>239.58577159610638</v>
      </c>
      <c r="I237" s="5">
        <f t="shared" ref="I237:I244" si="183">I$199</f>
        <v>1990</v>
      </c>
      <c r="J237" s="7">
        <f>LOOKUP(I237,CPI!A$69:A$103,CPI!O$69:O$103)</f>
        <v>1.6683703136954862</v>
      </c>
      <c r="K237" s="5">
        <v>2005</v>
      </c>
      <c r="L237" s="7">
        <f t="shared" ca="1" si="165"/>
        <v>1</v>
      </c>
      <c r="M237" s="7">
        <f t="shared" si="157"/>
        <v>5.1764705882352942E-2</v>
      </c>
      <c r="N237" s="14">
        <f>0.05/4.25</f>
        <v>1.1764705882352941E-2</v>
      </c>
      <c r="O237" s="1">
        <f ca="1">P237*J237*(1+Growth!G$6)^(2010-K237)</f>
        <v>809.27848090503903</v>
      </c>
      <c r="P237" s="3">
        <v>450</v>
      </c>
      <c r="Q237" s="2">
        <f t="shared" si="148"/>
        <v>450</v>
      </c>
      <c r="R237" s="21">
        <f t="shared" ca="1" si="166"/>
        <v>654931.65965596761</v>
      </c>
      <c r="X237" s="2">
        <f t="shared" si="171"/>
        <v>450</v>
      </c>
      <c r="AC237" s="1">
        <f t="shared" si="152"/>
        <v>4.4000000000000004</v>
      </c>
      <c r="AD237" s="5">
        <v>0</v>
      </c>
      <c r="AE237" s="5">
        <v>0</v>
      </c>
      <c r="AF237" s="5">
        <v>1</v>
      </c>
      <c r="AG237" s="5">
        <v>0</v>
      </c>
      <c r="AH237" s="5">
        <v>1</v>
      </c>
      <c r="AI237" s="3">
        <f t="shared" si="158"/>
        <v>2.4</v>
      </c>
      <c r="AJ237" s="5">
        <f t="shared" si="175"/>
        <v>0</v>
      </c>
      <c r="AK237" s="5">
        <f t="shared" si="167"/>
        <v>0</v>
      </c>
      <c r="AL237" s="5">
        <f t="shared" si="168"/>
        <v>0</v>
      </c>
      <c r="AM237" s="5">
        <f t="shared" si="176"/>
        <v>0</v>
      </c>
      <c r="AN237" s="5">
        <f t="shared" si="169"/>
        <v>0</v>
      </c>
      <c r="AO237" s="5">
        <f t="shared" si="177"/>
        <v>1</v>
      </c>
      <c r="AP237" s="11" t="s">
        <v>42</v>
      </c>
      <c r="AQ237" s="1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f t="shared" si="159"/>
        <v>0</v>
      </c>
      <c r="AW237" s="5">
        <f t="shared" si="160"/>
        <v>0</v>
      </c>
      <c r="AX237" s="5">
        <f t="shared" si="161"/>
        <v>1</v>
      </c>
      <c r="AY237" s="1">
        <f t="shared" si="149"/>
        <v>0</v>
      </c>
      <c r="AZ237" s="1">
        <f t="shared" si="150"/>
        <v>0</v>
      </c>
      <c r="BA237" s="1">
        <f t="shared" si="151"/>
        <v>0</v>
      </c>
      <c r="BB237" s="5">
        <v>0</v>
      </c>
      <c r="BC237" s="5">
        <v>0</v>
      </c>
      <c r="BD237" s="5">
        <v>0</v>
      </c>
      <c r="BE237" s="5">
        <f t="shared" si="153"/>
        <v>1</v>
      </c>
      <c r="BF237" s="5">
        <v>0</v>
      </c>
      <c r="BG237" s="5">
        <f t="shared" si="181"/>
        <v>0</v>
      </c>
      <c r="BH237" s="5">
        <f t="shared" si="181"/>
        <v>0</v>
      </c>
      <c r="BI237" s="5">
        <f t="shared" si="181"/>
        <v>0</v>
      </c>
      <c r="BJ237" s="5">
        <f t="shared" si="181"/>
        <v>0</v>
      </c>
      <c r="BK237" s="5">
        <f t="shared" si="181"/>
        <v>0</v>
      </c>
      <c r="BL237" s="5">
        <f t="shared" si="181"/>
        <v>0</v>
      </c>
      <c r="BM237" s="5">
        <f t="shared" si="181"/>
        <v>0</v>
      </c>
      <c r="BN237" s="5">
        <f t="shared" si="180"/>
        <v>0</v>
      </c>
      <c r="BO237" s="5">
        <f t="shared" si="180"/>
        <v>0</v>
      </c>
      <c r="BP237" s="5">
        <f t="shared" si="180"/>
        <v>0</v>
      </c>
      <c r="BQ237" s="5">
        <f t="shared" si="180"/>
        <v>0</v>
      </c>
      <c r="BR237" s="5">
        <f t="shared" si="180"/>
        <v>0</v>
      </c>
      <c r="BS237" s="5">
        <f t="shared" si="180"/>
        <v>0</v>
      </c>
      <c r="BT237" s="5">
        <f t="shared" si="180"/>
        <v>1</v>
      </c>
      <c r="BU237" s="5">
        <f t="shared" si="180"/>
        <v>0</v>
      </c>
      <c r="BV237" s="5">
        <f t="shared" si="180"/>
        <v>0</v>
      </c>
      <c r="BW237" s="5">
        <f t="shared" si="180"/>
        <v>0</v>
      </c>
      <c r="BX237" s="5">
        <f t="shared" si="180"/>
        <v>0</v>
      </c>
      <c r="BY237" s="5">
        <f t="shared" si="180"/>
        <v>0</v>
      </c>
      <c r="BZ237" s="5">
        <f t="shared" si="180"/>
        <v>0</v>
      </c>
      <c r="CA237" s="5">
        <f t="shared" si="180"/>
        <v>0</v>
      </c>
      <c r="CB237" s="5">
        <f t="shared" si="180"/>
        <v>0</v>
      </c>
      <c r="CC237" s="5">
        <f t="shared" si="182"/>
        <v>0</v>
      </c>
      <c r="CD237" s="5">
        <f t="shared" si="182"/>
        <v>0</v>
      </c>
      <c r="CE237" s="5">
        <f t="shared" si="182"/>
        <v>0</v>
      </c>
    </row>
    <row r="238" spans="1:83" x14ac:dyDescent="0.2">
      <c r="C238" s="1">
        <f>Growth!D243</f>
        <v>1.1764705882352941E-2</v>
      </c>
      <c r="D238" s="5" t="b">
        <f t="shared" si="164"/>
        <v>0</v>
      </c>
      <c r="E238" s="5">
        <v>2004</v>
      </c>
      <c r="F238" s="5">
        <f ca="1">LOOKUP($E238,frequence!$A$2:$A$35,frequence!L$2:L$35)</f>
        <v>29.761886767605532</v>
      </c>
      <c r="G238" s="5">
        <f ca="1">LOOKUP($E238,frequence!$A$2:$A$35,frequence!K$2:K$35)</f>
        <v>1.4389796045014025</v>
      </c>
      <c r="H238" s="5">
        <f ca="1">LOOKUP($E238,frequence!$A$2:$A$35,frequence!M$2:M$35)</f>
        <v>239.58577159610638</v>
      </c>
      <c r="I238" s="5">
        <f t="shared" si="183"/>
        <v>1990</v>
      </c>
      <c r="J238" s="7">
        <f>LOOKUP(I238,CPI!A$69:A$103,CPI!O$69:O$103)</f>
        <v>1.6683703136954862</v>
      </c>
      <c r="K238" s="5">
        <v>2005</v>
      </c>
      <c r="L238" s="7">
        <f t="shared" ca="1" si="165"/>
        <v>1</v>
      </c>
      <c r="M238" s="7">
        <f t="shared" si="157"/>
        <v>5.1764705882352942E-2</v>
      </c>
      <c r="N238" s="14">
        <f>0.05/4.25</f>
        <v>1.1764705882352941E-2</v>
      </c>
      <c r="O238" s="1">
        <f ca="1">P238*J238*(1+Growth!G$6)^(2010-K238)</f>
        <v>57.548691975469445</v>
      </c>
      <c r="P238" s="3">
        <v>32</v>
      </c>
      <c r="Q238" s="2">
        <f t="shared" si="148"/>
        <v>32</v>
      </c>
      <c r="R238" s="21">
        <f t="shared" ca="1" si="166"/>
        <v>3311.8519480874616</v>
      </c>
      <c r="X238" s="2">
        <f t="shared" si="171"/>
        <v>32</v>
      </c>
      <c r="AC238" s="1">
        <f t="shared" si="152"/>
        <v>4.4000000000000004</v>
      </c>
      <c r="AD238" s="5">
        <v>0</v>
      </c>
      <c r="AE238" s="5">
        <v>0</v>
      </c>
      <c r="AF238" s="5">
        <v>1</v>
      </c>
      <c r="AG238" s="5">
        <v>0</v>
      </c>
      <c r="AH238" s="5">
        <v>1</v>
      </c>
      <c r="AI238" s="3">
        <f t="shared" si="158"/>
        <v>2.4</v>
      </c>
      <c r="AJ238" s="5">
        <f t="shared" si="175"/>
        <v>0</v>
      </c>
      <c r="AK238" s="5">
        <f t="shared" si="167"/>
        <v>0</v>
      </c>
      <c r="AL238" s="5">
        <f t="shared" si="168"/>
        <v>0</v>
      </c>
      <c r="AM238" s="5">
        <f t="shared" si="176"/>
        <v>0</v>
      </c>
      <c r="AN238" s="5">
        <f t="shared" si="169"/>
        <v>0</v>
      </c>
      <c r="AO238" s="5">
        <f t="shared" si="177"/>
        <v>1</v>
      </c>
      <c r="AP238" s="11" t="s">
        <v>42</v>
      </c>
      <c r="AQ238" s="1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f t="shared" si="159"/>
        <v>0</v>
      </c>
      <c r="AW238" s="5">
        <f t="shared" si="160"/>
        <v>0</v>
      </c>
      <c r="AX238" s="5">
        <f t="shared" si="161"/>
        <v>1</v>
      </c>
      <c r="AY238" s="1">
        <f t="shared" ref="AY238:AY355" si="184">AJ238*$AD238*(1-$AV238)*(1-$AR238)</f>
        <v>0</v>
      </c>
      <c r="AZ238" s="1">
        <f t="shared" ref="AZ238:AZ355" si="185">AM238*$AD238*(1-$AV238)*(1-$AR238)</f>
        <v>0</v>
      </c>
      <c r="BA238" s="1">
        <f t="shared" ref="BA238:BA355" si="186">AO238*$AD238*(1-$AV238)*(1-$AR238)</f>
        <v>0</v>
      </c>
      <c r="BB238" s="5">
        <v>0</v>
      </c>
      <c r="BC238" s="5">
        <v>0</v>
      </c>
      <c r="BD238" s="5">
        <v>0</v>
      </c>
      <c r="BE238" s="5">
        <f t="shared" si="153"/>
        <v>1</v>
      </c>
      <c r="BF238" s="5">
        <v>0</v>
      </c>
      <c r="BG238" s="5">
        <f t="shared" si="181"/>
        <v>0</v>
      </c>
      <c r="BH238" s="5">
        <f t="shared" si="181"/>
        <v>0</v>
      </c>
      <c r="BI238" s="5">
        <f t="shared" si="181"/>
        <v>0</v>
      </c>
      <c r="BJ238" s="5">
        <f t="shared" si="181"/>
        <v>0</v>
      </c>
      <c r="BK238" s="5">
        <f t="shared" si="181"/>
        <v>0</v>
      </c>
      <c r="BL238" s="5">
        <f t="shared" si="181"/>
        <v>0</v>
      </c>
      <c r="BM238" s="5">
        <f t="shared" si="181"/>
        <v>0</v>
      </c>
      <c r="BN238" s="5">
        <f t="shared" si="180"/>
        <v>0</v>
      </c>
      <c r="BO238" s="5">
        <f t="shared" si="180"/>
        <v>0</v>
      </c>
      <c r="BP238" s="5">
        <f t="shared" si="180"/>
        <v>0</v>
      </c>
      <c r="BQ238" s="5">
        <f t="shared" si="180"/>
        <v>0</v>
      </c>
      <c r="BR238" s="5">
        <f t="shared" si="180"/>
        <v>0</v>
      </c>
      <c r="BS238" s="5">
        <f t="shared" si="180"/>
        <v>0</v>
      </c>
      <c r="BT238" s="5">
        <f t="shared" si="180"/>
        <v>1</v>
      </c>
      <c r="BU238" s="5">
        <f t="shared" si="180"/>
        <v>0</v>
      </c>
      <c r="BV238" s="5">
        <f t="shared" si="180"/>
        <v>0</v>
      </c>
      <c r="BW238" s="5">
        <f t="shared" si="180"/>
        <v>0</v>
      </c>
      <c r="BX238" s="5">
        <f t="shared" si="180"/>
        <v>0</v>
      </c>
      <c r="BY238" s="5">
        <f t="shared" si="180"/>
        <v>0</v>
      </c>
      <c r="BZ238" s="5">
        <f t="shared" si="180"/>
        <v>0</v>
      </c>
      <c r="CA238" s="5">
        <f t="shared" si="180"/>
        <v>0</v>
      </c>
      <c r="CB238" s="5">
        <f t="shared" si="180"/>
        <v>0</v>
      </c>
      <c r="CC238" s="5">
        <f t="shared" si="182"/>
        <v>0</v>
      </c>
      <c r="CD238" s="5">
        <f t="shared" si="182"/>
        <v>0</v>
      </c>
      <c r="CE238" s="5">
        <f t="shared" si="182"/>
        <v>0</v>
      </c>
    </row>
    <row r="239" spans="1:83" x14ac:dyDescent="0.2">
      <c r="C239" s="1">
        <f>Growth!D244</f>
        <v>0</v>
      </c>
      <c r="D239" s="5" t="b">
        <f t="shared" si="164"/>
        <v>0</v>
      </c>
      <c r="E239" s="5">
        <v>2004</v>
      </c>
      <c r="F239" s="5">
        <f ca="1">LOOKUP($E239,frequence!$A$2:$A$35,frequence!L$2:L$35)</f>
        <v>29.761886767605532</v>
      </c>
      <c r="G239" s="5">
        <f ca="1">LOOKUP($E239,frequence!$A$2:$A$35,frequence!K$2:K$35)</f>
        <v>1.4389796045014025</v>
      </c>
      <c r="H239" s="5">
        <f ca="1">LOOKUP($E239,frequence!$A$2:$A$35,frequence!M$2:M$35)</f>
        <v>239.58577159610638</v>
      </c>
      <c r="I239" s="5">
        <f t="shared" si="183"/>
        <v>1990</v>
      </c>
      <c r="J239" s="7">
        <f>LOOKUP(I239,CPI!A$69:A$103,CPI!O$69:O$103)</f>
        <v>1.6683703136954862</v>
      </c>
      <c r="K239" s="5">
        <v>2025</v>
      </c>
      <c r="L239" s="7">
        <f t="shared" ca="1" si="165"/>
        <v>1</v>
      </c>
      <c r="M239" s="7">
        <f t="shared" si="157"/>
        <v>1.0352941176470589</v>
      </c>
      <c r="N239" s="14">
        <f>1/4.25</f>
        <v>0.23529411764705882</v>
      </c>
      <c r="O239" s="1">
        <f ca="1">P239*J239*(1+Growth!G$6)^(2010-K239)</f>
        <v>119.8825266938954</v>
      </c>
      <c r="P239" s="3">
        <v>90</v>
      </c>
      <c r="Q239" s="2">
        <f t="shared" ref="Q239:Q244" si="187">P239</f>
        <v>90</v>
      </c>
      <c r="R239" s="21">
        <f t="shared" ca="1" si="166"/>
        <v>14371.820206512542</v>
      </c>
      <c r="X239" s="2">
        <f t="shared" si="171"/>
        <v>90</v>
      </c>
      <c r="AC239" s="1">
        <f t="shared" ref="AC239:AC244" si="188">SUM(AD239:AI239)</f>
        <v>4.4000000000000004</v>
      </c>
      <c r="AD239" s="5">
        <v>0</v>
      </c>
      <c r="AE239" s="5">
        <v>0</v>
      </c>
      <c r="AF239" s="5">
        <v>1</v>
      </c>
      <c r="AG239" s="5">
        <v>0</v>
      </c>
      <c r="AH239" s="5">
        <v>1</v>
      </c>
      <c r="AI239" s="3">
        <f t="shared" si="158"/>
        <v>2.4</v>
      </c>
      <c r="AJ239" s="5">
        <f t="shared" si="175"/>
        <v>0</v>
      </c>
      <c r="AK239" s="5">
        <f t="shared" si="167"/>
        <v>0</v>
      </c>
      <c r="AL239" s="5">
        <f t="shared" si="168"/>
        <v>0</v>
      </c>
      <c r="AM239" s="5">
        <f t="shared" si="176"/>
        <v>1</v>
      </c>
      <c r="AN239" s="5">
        <f t="shared" si="169"/>
        <v>0</v>
      </c>
      <c r="AO239" s="5">
        <f t="shared" si="177"/>
        <v>0</v>
      </c>
      <c r="AP239" s="11" t="s">
        <v>42</v>
      </c>
      <c r="AQ239" s="1">
        <v>1</v>
      </c>
      <c r="AR239" s="5">
        <v>0</v>
      </c>
      <c r="AS239" s="5">
        <v>0</v>
      </c>
      <c r="AT239" s="5">
        <v>0</v>
      </c>
      <c r="AU239" s="5">
        <v>0</v>
      </c>
      <c r="AV239" s="5">
        <f t="shared" si="159"/>
        <v>0</v>
      </c>
      <c r="AW239" s="5">
        <f t="shared" si="160"/>
        <v>0</v>
      </c>
      <c r="AX239" s="5">
        <f t="shared" si="161"/>
        <v>1</v>
      </c>
      <c r="AY239" s="1">
        <f t="shared" ref="AY239:AY244" si="189">AJ239*$AD239*(1-$AV239)*(1-$AR239)</f>
        <v>0</v>
      </c>
      <c r="AZ239" s="1">
        <f t="shared" ref="AZ239:AZ244" si="190">AM239*$AD239*(1-$AV239)*(1-$AR239)</f>
        <v>0</v>
      </c>
      <c r="BA239" s="1">
        <f t="shared" ref="BA239:BA244" si="191">AO239*$AD239*(1-$AV239)*(1-$AR239)</f>
        <v>0</v>
      </c>
      <c r="BB239" s="5">
        <v>0</v>
      </c>
      <c r="BC239" s="5">
        <v>0</v>
      </c>
      <c r="BD239" s="5">
        <v>0</v>
      </c>
      <c r="BE239" s="5">
        <f t="shared" ref="BE239:BE244" si="192">1-SUM(BB239:BD239)</f>
        <v>1</v>
      </c>
      <c r="BF239" s="5">
        <v>0</v>
      </c>
      <c r="BG239" s="5">
        <f t="shared" si="181"/>
        <v>0</v>
      </c>
      <c r="BH239" s="5">
        <f t="shared" si="181"/>
        <v>0</v>
      </c>
      <c r="BI239" s="5">
        <f t="shared" si="181"/>
        <v>0</v>
      </c>
      <c r="BJ239" s="5">
        <f t="shared" si="181"/>
        <v>0</v>
      </c>
      <c r="BK239" s="5">
        <f t="shared" si="181"/>
        <v>0</v>
      </c>
      <c r="BL239" s="5">
        <f t="shared" si="181"/>
        <v>0</v>
      </c>
      <c r="BM239" s="5">
        <f t="shared" si="181"/>
        <v>0</v>
      </c>
      <c r="BN239" s="5">
        <f t="shared" si="180"/>
        <v>0</v>
      </c>
      <c r="BO239" s="5">
        <f t="shared" si="180"/>
        <v>0</v>
      </c>
      <c r="BP239" s="5">
        <f t="shared" si="180"/>
        <v>0</v>
      </c>
      <c r="BQ239" s="5">
        <f t="shared" si="180"/>
        <v>0</v>
      </c>
      <c r="BR239" s="5">
        <f t="shared" si="180"/>
        <v>0</v>
      </c>
      <c r="BS239" s="5">
        <f t="shared" si="180"/>
        <v>0</v>
      </c>
      <c r="BT239" s="5">
        <f t="shared" si="180"/>
        <v>1</v>
      </c>
      <c r="BU239" s="5">
        <f t="shared" si="180"/>
        <v>0</v>
      </c>
      <c r="BV239" s="5">
        <f t="shared" si="180"/>
        <v>0</v>
      </c>
      <c r="BW239" s="5">
        <f t="shared" si="180"/>
        <v>0</v>
      </c>
      <c r="BX239" s="5">
        <f t="shared" si="180"/>
        <v>0</v>
      </c>
      <c r="BY239" s="5">
        <f t="shared" si="180"/>
        <v>0</v>
      </c>
      <c r="BZ239" s="5">
        <f t="shared" si="180"/>
        <v>0</v>
      </c>
      <c r="CA239" s="5">
        <f t="shared" si="180"/>
        <v>0</v>
      </c>
      <c r="CB239" s="5">
        <f t="shared" si="180"/>
        <v>0</v>
      </c>
      <c r="CC239" s="5">
        <f t="shared" si="182"/>
        <v>0</v>
      </c>
      <c r="CD239" s="5">
        <f t="shared" si="182"/>
        <v>0</v>
      </c>
      <c r="CE239" s="5">
        <f t="shared" si="182"/>
        <v>0</v>
      </c>
    </row>
    <row r="240" spans="1:83" x14ac:dyDescent="0.2">
      <c r="C240" s="1">
        <f>Growth!D245</f>
        <v>0</v>
      </c>
      <c r="D240" s="5" t="b">
        <f t="shared" si="164"/>
        <v>0</v>
      </c>
      <c r="E240" s="5">
        <v>2004</v>
      </c>
      <c r="F240" s="5">
        <f ca="1">LOOKUP($E240,frequence!$A$2:$A$35,frequence!L$2:L$35)</f>
        <v>29.761886767605532</v>
      </c>
      <c r="G240" s="5">
        <f ca="1">LOOKUP($E240,frequence!$A$2:$A$35,frequence!K$2:K$35)</f>
        <v>1.4389796045014025</v>
      </c>
      <c r="H240" s="5">
        <f ca="1">LOOKUP($E240,frequence!$A$2:$A$35,frequence!M$2:M$35)</f>
        <v>239.58577159610638</v>
      </c>
      <c r="I240" s="5">
        <f t="shared" si="183"/>
        <v>1990</v>
      </c>
      <c r="J240" s="7">
        <f>LOOKUP(I240,CPI!A$69:A$103,CPI!O$69:O$103)</f>
        <v>1.6683703136954862</v>
      </c>
      <c r="K240" s="5">
        <v>2025</v>
      </c>
      <c r="L240" s="7">
        <f t="shared" ca="1" si="165"/>
        <v>1</v>
      </c>
      <c r="M240" s="7">
        <f t="shared" si="157"/>
        <v>1.0352941176470589</v>
      </c>
      <c r="N240" s="14">
        <f>1/4.25</f>
        <v>0.23529411764705882</v>
      </c>
      <c r="O240" s="1">
        <f ca="1">P240*J240*(1+Growth!G$6)^(2010-K240)</f>
        <v>59.9412633469477</v>
      </c>
      <c r="P240" s="3">
        <v>45</v>
      </c>
      <c r="Q240" s="2">
        <f t="shared" si="187"/>
        <v>45</v>
      </c>
      <c r="R240" s="21">
        <f t="shared" ca="1" si="166"/>
        <v>3592.9550516281356</v>
      </c>
      <c r="X240" s="2">
        <f t="shared" si="171"/>
        <v>45</v>
      </c>
      <c r="AC240" s="1">
        <f t="shared" si="188"/>
        <v>4.4000000000000004</v>
      </c>
      <c r="AD240" s="5">
        <v>0</v>
      </c>
      <c r="AE240" s="5">
        <v>0</v>
      </c>
      <c r="AF240" s="5">
        <v>1</v>
      </c>
      <c r="AG240" s="5">
        <v>0</v>
      </c>
      <c r="AH240" s="5">
        <v>1</v>
      </c>
      <c r="AI240" s="3">
        <f t="shared" si="158"/>
        <v>2.4</v>
      </c>
      <c r="AJ240" s="5">
        <f t="shared" si="175"/>
        <v>0</v>
      </c>
      <c r="AK240" s="5">
        <f t="shared" si="167"/>
        <v>1</v>
      </c>
      <c r="AL240" s="5">
        <f t="shared" si="168"/>
        <v>0</v>
      </c>
      <c r="AM240" s="5">
        <f t="shared" si="176"/>
        <v>0</v>
      </c>
      <c r="AN240" s="5">
        <f t="shared" si="169"/>
        <v>0</v>
      </c>
      <c r="AO240" s="5">
        <f t="shared" si="177"/>
        <v>0</v>
      </c>
      <c r="AP240" s="11" t="s">
        <v>42</v>
      </c>
      <c r="AQ240" s="1">
        <v>2</v>
      </c>
      <c r="AR240" s="5">
        <v>0</v>
      </c>
      <c r="AS240" s="5">
        <v>0</v>
      </c>
      <c r="AT240" s="5">
        <v>0</v>
      </c>
      <c r="AU240" s="5">
        <v>0</v>
      </c>
      <c r="AV240" s="5">
        <f t="shared" si="159"/>
        <v>0</v>
      </c>
      <c r="AW240" s="5">
        <f t="shared" si="160"/>
        <v>0</v>
      </c>
      <c r="AX240" s="5">
        <f t="shared" si="161"/>
        <v>1</v>
      </c>
      <c r="AY240" s="1">
        <f t="shared" si="189"/>
        <v>0</v>
      </c>
      <c r="AZ240" s="1">
        <f t="shared" si="190"/>
        <v>0</v>
      </c>
      <c r="BA240" s="1">
        <f t="shared" si="191"/>
        <v>0</v>
      </c>
      <c r="BB240" s="5">
        <v>0</v>
      </c>
      <c r="BC240" s="5">
        <v>0</v>
      </c>
      <c r="BD240" s="5">
        <v>0</v>
      </c>
      <c r="BE240" s="5">
        <f t="shared" si="192"/>
        <v>1</v>
      </c>
      <c r="BF240" s="5">
        <v>0</v>
      </c>
      <c r="BG240" s="5">
        <f t="shared" si="181"/>
        <v>0</v>
      </c>
      <c r="BH240" s="5">
        <f t="shared" si="181"/>
        <v>0</v>
      </c>
      <c r="BI240" s="5">
        <f t="shared" si="181"/>
        <v>0</v>
      </c>
      <c r="BJ240" s="5">
        <f t="shared" si="181"/>
        <v>0</v>
      </c>
      <c r="BK240" s="5">
        <f t="shared" si="181"/>
        <v>0</v>
      </c>
      <c r="BL240" s="5">
        <f t="shared" si="181"/>
        <v>0</v>
      </c>
      <c r="BM240" s="5">
        <f t="shared" si="181"/>
        <v>0</v>
      </c>
      <c r="BN240" s="5">
        <f t="shared" si="180"/>
        <v>0</v>
      </c>
      <c r="BO240" s="5">
        <f t="shared" si="180"/>
        <v>0</v>
      </c>
      <c r="BP240" s="5">
        <f t="shared" si="180"/>
        <v>0</v>
      </c>
      <c r="BQ240" s="5">
        <f t="shared" si="180"/>
        <v>0</v>
      </c>
      <c r="BR240" s="5">
        <f t="shared" si="180"/>
        <v>0</v>
      </c>
      <c r="BS240" s="5">
        <f t="shared" si="180"/>
        <v>0</v>
      </c>
      <c r="BT240" s="5">
        <f t="shared" si="180"/>
        <v>1</v>
      </c>
      <c r="BU240" s="5">
        <f t="shared" si="180"/>
        <v>0</v>
      </c>
      <c r="BV240" s="5">
        <f t="shared" si="180"/>
        <v>0</v>
      </c>
      <c r="BW240" s="5">
        <f t="shared" si="180"/>
        <v>0</v>
      </c>
      <c r="BX240" s="5">
        <f t="shared" si="180"/>
        <v>0</v>
      </c>
      <c r="BY240" s="5">
        <f t="shared" si="180"/>
        <v>0</v>
      </c>
      <c r="BZ240" s="5">
        <f t="shared" si="180"/>
        <v>0</v>
      </c>
      <c r="CA240" s="5">
        <f t="shared" si="180"/>
        <v>0</v>
      </c>
      <c r="CB240" s="5">
        <f t="shared" si="180"/>
        <v>0</v>
      </c>
      <c r="CC240" s="5">
        <f t="shared" si="182"/>
        <v>0</v>
      </c>
      <c r="CD240" s="5">
        <f t="shared" si="182"/>
        <v>0</v>
      </c>
      <c r="CE240" s="5">
        <f t="shared" si="182"/>
        <v>0</v>
      </c>
    </row>
    <row r="241" spans="1:83" x14ac:dyDescent="0.2">
      <c r="C241" s="1">
        <f>Growth!D246</f>
        <v>0</v>
      </c>
      <c r="D241" s="5" t="b">
        <f t="shared" si="164"/>
        <v>0</v>
      </c>
      <c r="E241" s="5">
        <v>2004</v>
      </c>
      <c r="F241" s="5">
        <f ca="1">LOOKUP($E241,frequence!$A$2:$A$35,frequence!L$2:L$35)</f>
        <v>29.761886767605532</v>
      </c>
      <c r="G241" s="5">
        <f ca="1">LOOKUP($E241,frequence!$A$2:$A$35,frequence!K$2:K$35)</f>
        <v>1.4389796045014025</v>
      </c>
      <c r="H241" s="5">
        <f ca="1">LOOKUP($E241,frequence!$A$2:$A$35,frequence!M$2:M$35)</f>
        <v>239.58577159610638</v>
      </c>
      <c r="I241" s="5">
        <f t="shared" si="183"/>
        <v>1990</v>
      </c>
      <c r="J241" s="7">
        <f>LOOKUP(I241,CPI!A$69:A$103,CPI!O$69:O$103)</f>
        <v>1.6683703136954862</v>
      </c>
      <c r="K241" s="5">
        <v>2025</v>
      </c>
      <c r="L241" s="7">
        <f t="shared" ca="1" si="165"/>
        <v>1</v>
      </c>
      <c r="M241" s="7">
        <f t="shared" si="157"/>
        <v>1.0352941176470589</v>
      </c>
      <c r="N241" s="14">
        <f>1/4.25</f>
        <v>0.23529411764705882</v>
      </c>
      <c r="O241" s="1">
        <f ca="1">P241*J241*(1+Growth!G$6)^(2010-K241)</f>
        <v>34.632729933792007</v>
      </c>
      <c r="P241" s="3">
        <v>26</v>
      </c>
      <c r="Q241" s="2">
        <f t="shared" si="187"/>
        <v>26</v>
      </c>
      <c r="R241" s="21">
        <f t="shared" ca="1" si="166"/>
        <v>1199.4259826669729</v>
      </c>
      <c r="X241" s="2">
        <f t="shared" si="171"/>
        <v>26</v>
      </c>
      <c r="AC241" s="1">
        <f t="shared" si="188"/>
        <v>4.4000000000000004</v>
      </c>
      <c r="AD241" s="5">
        <v>0</v>
      </c>
      <c r="AE241" s="5">
        <v>0</v>
      </c>
      <c r="AF241" s="5">
        <v>1</v>
      </c>
      <c r="AG241" s="5">
        <v>0</v>
      </c>
      <c r="AH241" s="5">
        <v>1</v>
      </c>
      <c r="AI241" s="3">
        <f t="shared" si="158"/>
        <v>2.4</v>
      </c>
      <c r="AJ241" s="5">
        <f t="shared" si="175"/>
        <v>1</v>
      </c>
      <c r="AK241" s="5">
        <f t="shared" si="167"/>
        <v>0</v>
      </c>
      <c r="AL241" s="5">
        <f t="shared" si="168"/>
        <v>0</v>
      </c>
      <c r="AM241" s="5">
        <f t="shared" si="176"/>
        <v>0</v>
      </c>
      <c r="AN241" s="5">
        <f t="shared" si="169"/>
        <v>0</v>
      </c>
      <c r="AO241" s="5">
        <f t="shared" si="177"/>
        <v>0</v>
      </c>
      <c r="AP241" s="11" t="s">
        <v>42</v>
      </c>
      <c r="AQ241" s="1">
        <v>3</v>
      </c>
      <c r="AR241" s="5">
        <v>0</v>
      </c>
      <c r="AS241" s="5">
        <v>0</v>
      </c>
      <c r="AT241" s="5">
        <v>0</v>
      </c>
      <c r="AU241" s="5">
        <v>0</v>
      </c>
      <c r="AV241" s="5">
        <f t="shared" si="159"/>
        <v>0</v>
      </c>
      <c r="AW241" s="5">
        <f t="shared" si="160"/>
        <v>0</v>
      </c>
      <c r="AX241" s="5">
        <f t="shared" si="161"/>
        <v>1</v>
      </c>
      <c r="AY241" s="1">
        <f t="shared" si="189"/>
        <v>0</v>
      </c>
      <c r="AZ241" s="1">
        <f t="shared" si="190"/>
        <v>0</v>
      </c>
      <c r="BA241" s="1">
        <f t="shared" si="191"/>
        <v>0</v>
      </c>
      <c r="BB241" s="5">
        <v>0</v>
      </c>
      <c r="BC241" s="5">
        <v>0</v>
      </c>
      <c r="BD241" s="5">
        <v>0</v>
      </c>
      <c r="BE241" s="5">
        <f t="shared" si="192"/>
        <v>1</v>
      </c>
      <c r="BF241" s="5">
        <v>0</v>
      </c>
      <c r="BG241" s="5">
        <f t="shared" si="181"/>
        <v>0</v>
      </c>
      <c r="BH241" s="5">
        <f t="shared" si="181"/>
        <v>0</v>
      </c>
      <c r="BI241" s="5">
        <f t="shared" si="181"/>
        <v>0</v>
      </c>
      <c r="BJ241" s="5">
        <f t="shared" si="181"/>
        <v>0</v>
      </c>
      <c r="BK241" s="5">
        <f t="shared" si="181"/>
        <v>0</v>
      </c>
      <c r="BL241" s="5">
        <f t="shared" si="181"/>
        <v>0</v>
      </c>
      <c r="BM241" s="5">
        <f t="shared" si="181"/>
        <v>0</v>
      </c>
      <c r="BN241" s="5">
        <f t="shared" si="180"/>
        <v>0</v>
      </c>
      <c r="BO241" s="5">
        <f t="shared" si="180"/>
        <v>0</v>
      </c>
      <c r="BP241" s="5">
        <f t="shared" si="180"/>
        <v>0</v>
      </c>
      <c r="BQ241" s="5">
        <f t="shared" si="180"/>
        <v>0</v>
      </c>
      <c r="BR241" s="5">
        <f t="shared" si="180"/>
        <v>0</v>
      </c>
      <c r="BS241" s="5">
        <f t="shared" si="180"/>
        <v>0</v>
      </c>
      <c r="BT241" s="5">
        <f t="shared" si="180"/>
        <v>1</v>
      </c>
      <c r="BU241" s="5">
        <f t="shared" si="180"/>
        <v>0</v>
      </c>
      <c r="BV241" s="5">
        <f t="shared" si="180"/>
        <v>0</v>
      </c>
      <c r="BW241" s="5">
        <f t="shared" si="180"/>
        <v>0</v>
      </c>
      <c r="BX241" s="5">
        <f t="shared" si="180"/>
        <v>0</v>
      </c>
      <c r="BY241" s="5">
        <f t="shared" si="180"/>
        <v>0</v>
      </c>
      <c r="BZ241" s="5">
        <f t="shared" si="180"/>
        <v>0</v>
      </c>
      <c r="CA241" s="5">
        <f t="shared" si="180"/>
        <v>0</v>
      </c>
      <c r="CB241" s="5">
        <f t="shared" si="180"/>
        <v>0</v>
      </c>
      <c r="CC241" s="5">
        <f t="shared" si="182"/>
        <v>0</v>
      </c>
      <c r="CD241" s="5">
        <f t="shared" si="182"/>
        <v>0</v>
      </c>
      <c r="CE241" s="5">
        <f t="shared" si="182"/>
        <v>0</v>
      </c>
    </row>
    <row r="242" spans="1:83" x14ac:dyDescent="0.2">
      <c r="C242" s="1">
        <f>Growth!D247</f>
        <v>0</v>
      </c>
      <c r="D242" s="5" t="b">
        <f t="shared" si="164"/>
        <v>0</v>
      </c>
      <c r="E242" s="5">
        <v>2004</v>
      </c>
      <c r="F242" s="5">
        <f ca="1">LOOKUP($E242,frequence!$A$2:$A$35,frequence!L$2:L$35)</f>
        <v>29.761886767605532</v>
      </c>
      <c r="G242" s="5">
        <f ca="1">LOOKUP($E242,frequence!$A$2:$A$35,frequence!K$2:K$35)</f>
        <v>1.4389796045014025</v>
      </c>
      <c r="H242" s="5">
        <f ca="1">LOOKUP($E242,frequence!$A$2:$A$35,frequence!M$2:M$35)</f>
        <v>239.58577159610638</v>
      </c>
      <c r="I242" s="5">
        <f t="shared" si="183"/>
        <v>1990</v>
      </c>
      <c r="J242" s="7">
        <f>LOOKUP(I242,CPI!A$69:A$103,CPI!O$69:O$103)</f>
        <v>1.6683703136954862</v>
      </c>
      <c r="K242" s="5">
        <v>2025</v>
      </c>
      <c r="L242" s="7">
        <f t="shared" ca="1" si="165"/>
        <v>1</v>
      </c>
      <c r="M242" s="7">
        <f t="shared" si="157"/>
        <v>5.1764705882352942E-2</v>
      </c>
      <c r="N242" s="14">
        <f t="shared" ref="N242:N244" si="193">0.05/4.25</f>
        <v>1.1764705882352941E-2</v>
      </c>
      <c r="O242" s="1">
        <f ca="1">P242*J242*(1+Growth!G$6)^(2010-K242)</f>
        <v>451.55751721367267</v>
      </c>
      <c r="P242" s="3">
        <v>339</v>
      </c>
      <c r="Q242" s="2">
        <f t="shared" si="187"/>
        <v>339</v>
      </c>
      <c r="R242" s="21">
        <f t="shared" ca="1" si="166"/>
        <v>203904.19135217628</v>
      </c>
      <c r="X242" s="2">
        <f t="shared" si="171"/>
        <v>339</v>
      </c>
      <c r="AC242" s="1">
        <f t="shared" si="188"/>
        <v>4.4000000000000004</v>
      </c>
      <c r="AD242" s="5">
        <v>0</v>
      </c>
      <c r="AE242" s="5">
        <v>0</v>
      </c>
      <c r="AF242" s="5">
        <v>1</v>
      </c>
      <c r="AG242" s="5">
        <v>0</v>
      </c>
      <c r="AH242" s="5">
        <v>1</v>
      </c>
      <c r="AI242" s="3">
        <f t="shared" si="158"/>
        <v>2.4</v>
      </c>
      <c r="AJ242" s="5">
        <f t="shared" si="175"/>
        <v>0</v>
      </c>
      <c r="AK242" s="5">
        <f t="shared" si="167"/>
        <v>0</v>
      </c>
      <c r="AL242" s="5">
        <f t="shared" si="168"/>
        <v>0</v>
      </c>
      <c r="AM242" s="5">
        <f t="shared" si="176"/>
        <v>1</v>
      </c>
      <c r="AN242" s="5">
        <f t="shared" si="169"/>
        <v>0</v>
      </c>
      <c r="AO242" s="5">
        <f t="shared" si="177"/>
        <v>0</v>
      </c>
      <c r="AP242" s="11" t="s">
        <v>42</v>
      </c>
      <c r="AQ242" s="1">
        <v>1</v>
      </c>
      <c r="AR242" s="5">
        <v>0</v>
      </c>
      <c r="AS242" s="5">
        <v>0</v>
      </c>
      <c r="AT242" s="5">
        <v>0</v>
      </c>
      <c r="AU242" s="5">
        <v>0</v>
      </c>
      <c r="AV242" s="5">
        <f t="shared" si="159"/>
        <v>0</v>
      </c>
      <c r="AW242" s="5">
        <f t="shared" si="160"/>
        <v>0</v>
      </c>
      <c r="AX242" s="5">
        <f t="shared" si="161"/>
        <v>1</v>
      </c>
      <c r="AY242" s="1">
        <f t="shared" si="189"/>
        <v>0</v>
      </c>
      <c r="AZ242" s="1">
        <f t="shared" si="190"/>
        <v>0</v>
      </c>
      <c r="BA242" s="1">
        <f t="shared" si="191"/>
        <v>0</v>
      </c>
      <c r="BB242" s="5">
        <v>0</v>
      </c>
      <c r="BC242" s="5">
        <v>0</v>
      </c>
      <c r="BD242" s="5">
        <v>0</v>
      </c>
      <c r="BE242" s="5">
        <f t="shared" si="192"/>
        <v>1</v>
      </c>
      <c r="BF242" s="5">
        <v>0</v>
      </c>
      <c r="BG242" s="5">
        <f t="shared" si="181"/>
        <v>0</v>
      </c>
      <c r="BH242" s="5">
        <f t="shared" si="181"/>
        <v>0</v>
      </c>
      <c r="BI242" s="5">
        <f t="shared" si="181"/>
        <v>0</v>
      </c>
      <c r="BJ242" s="5">
        <f t="shared" si="181"/>
        <v>0</v>
      </c>
      <c r="BK242" s="5">
        <f t="shared" si="181"/>
        <v>0</v>
      </c>
      <c r="BL242" s="5">
        <f t="shared" si="181"/>
        <v>0</v>
      </c>
      <c r="BM242" s="5">
        <f t="shared" si="181"/>
        <v>0</v>
      </c>
      <c r="BN242" s="5">
        <f t="shared" si="180"/>
        <v>0</v>
      </c>
      <c r="BO242" s="5">
        <f t="shared" si="180"/>
        <v>0</v>
      </c>
      <c r="BP242" s="5">
        <f t="shared" si="180"/>
        <v>0</v>
      </c>
      <c r="BQ242" s="5">
        <f t="shared" si="180"/>
        <v>0</v>
      </c>
      <c r="BR242" s="5">
        <f t="shared" si="180"/>
        <v>0</v>
      </c>
      <c r="BS242" s="5">
        <f t="shared" si="180"/>
        <v>0</v>
      </c>
      <c r="BT242" s="5">
        <f t="shared" si="180"/>
        <v>1</v>
      </c>
      <c r="BU242" s="5">
        <f t="shared" si="180"/>
        <v>0</v>
      </c>
      <c r="BV242" s="5">
        <f t="shared" si="180"/>
        <v>0</v>
      </c>
      <c r="BW242" s="5">
        <f t="shared" si="180"/>
        <v>0</v>
      </c>
      <c r="BX242" s="5">
        <f t="shared" si="180"/>
        <v>0</v>
      </c>
      <c r="BY242" s="5">
        <f t="shared" si="180"/>
        <v>0</v>
      </c>
      <c r="BZ242" s="5">
        <f t="shared" si="180"/>
        <v>0</v>
      </c>
      <c r="CA242" s="5">
        <f t="shared" si="180"/>
        <v>0</v>
      </c>
      <c r="CB242" s="5">
        <f t="shared" si="180"/>
        <v>0</v>
      </c>
      <c r="CC242" s="5">
        <f t="shared" si="182"/>
        <v>0</v>
      </c>
      <c r="CD242" s="5">
        <f t="shared" si="182"/>
        <v>0</v>
      </c>
      <c r="CE242" s="5">
        <f t="shared" si="182"/>
        <v>0</v>
      </c>
    </row>
    <row r="243" spans="1:83" x14ac:dyDescent="0.2">
      <c r="C243" s="1">
        <f>Growth!D248</f>
        <v>0</v>
      </c>
      <c r="D243" s="5" t="b">
        <f t="shared" si="164"/>
        <v>0</v>
      </c>
      <c r="E243" s="5">
        <v>2004</v>
      </c>
      <c r="F243" s="5">
        <f ca="1">LOOKUP($E243,frequence!$A$2:$A$35,frequence!L$2:L$35)</f>
        <v>29.761886767605532</v>
      </c>
      <c r="G243" s="5">
        <f ca="1">LOOKUP($E243,frequence!$A$2:$A$35,frequence!K$2:K$35)</f>
        <v>1.4389796045014025</v>
      </c>
      <c r="H243" s="5">
        <f ca="1">LOOKUP($E243,frequence!$A$2:$A$35,frequence!M$2:M$35)</f>
        <v>239.58577159610638</v>
      </c>
      <c r="I243" s="5">
        <f t="shared" si="183"/>
        <v>1990</v>
      </c>
      <c r="J243" s="7">
        <f>LOOKUP(I243,CPI!A$69:A$103,CPI!O$69:O$103)</f>
        <v>1.6683703136954862</v>
      </c>
      <c r="K243" s="5">
        <v>2025</v>
      </c>
      <c r="L243" s="7">
        <f t="shared" ca="1" si="165"/>
        <v>1</v>
      </c>
      <c r="M243" s="7">
        <f t="shared" si="157"/>
        <v>5.1764705882352942E-2</v>
      </c>
      <c r="N243" s="14">
        <f t="shared" si="193"/>
        <v>1.1764705882352941E-2</v>
      </c>
      <c r="O243" s="1">
        <f ca="1">P243*J243*(1+Growth!G$6)^(2010-K243)</f>
        <v>185.15190233834957</v>
      </c>
      <c r="P243" s="3">
        <v>139</v>
      </c>
      <c r="Q243" s="2">
        <f t="shared" si="187"/>
        <v>139</v>
      </c>
      <c r="R243" s="21">
        <f t="shared" ca="1" si="166"/>
        <v>34281.226939509739</v>
      </c>
      <c r="X243" s="2">
        <f t="shared" si="171"/>
        <v>139</v>
      </c>
      <c r="AC243" s="1">
        <f t="shared" si="188"/>
        <v>4.4000000000000004</v>
      </c>
      <c r="AD243" s="5">
        <v>0</v>
      </c>
      <c r="AE243" s="5">
        <v>0</v>
      </c>
      <c r="AF243" s="5">
        <v>1</v>
      </c>
      <c r="AG243" s="5">
        <v>0</v>
      </c>
      <c r="AH243" s="5">
        <v>1</v>
      </c>
      <c r="AI243" s="3">
        <f t="shared" si="158"/>
        <v>2.4</v>
      </c>
      <c r="AJ243" s="5">
        <f t="shared" si="175"/>
        <v>0</v>
      </c>
      <c r="AK243" s="5">
        <f t="shared" si="167"/>
        <v>1</v>
      </c>
      <c r="AL243" s="5">
        <f t="shared" si="168"/>
        <v>0</v>
      </c>
      <c r="AM243" s="5">
        <f t="shared" si="176"/>
        <v>0</v>
      </c>
      <c r="AN243" s="5">
        <f t="shared" si="169"/>
        <v>0</v>
      </c>
      <c r="AO243" s="5">
        <f t="shared" si="177"/>
        <v>0</v>
      </c>
      <c r="AP243" s="11" t="s">
        <v>42</v>
      </c>
      <c r="AQ243" s="1">
        <v>2</v>
      </c>
      <c r="AR243" s="5">
        <v>0</v>
      </c>
      <c r="AS243" s="5">
        <v>0</v>
      </c>
      <c r="AT243" s="5">
        <v>0</v>
      </c>
      <c r="AU243" s="5">
        <v>0</v>
      </c>
      <c r="AV243" s="5">
        <f t="shared" si="159"/>
        <v>0</v>
      </c>
      <c r="AW243" s="5">
        <f t="shared" si="160"/>
        <v>0</v>
      </c>
      <c r="AX243" s="5">
        <f t="shared" si="161"/>
        <v>1</v>
      </c>
      <c r="AY243" s="1">
        <f t="shared" si="189"/>
        <v>0</v>
      </c>
      <c r="AZ243" s="1">
        <f t="shared" si="190"/>
        <v>0</v>
      </c>
      <c r="BA243" s="1">
        <f t="shared" si="191"/>
        <v>0</v>
      </c>
      <c r="BB243" s="5">
        <v>0</v>
      </c>
      <c r="BC243" s="5">
        <v>0</v>
      </c>
      <c r="BD243" s="5">
        <v>0</v>
      </c>
      <c r="BE243" s="5">
        <f t="shared" si="192"/>
        <v>1</v>
      </c>
      <c r="BF243" s="5">
        <v>0</v>
      </c>
      <c r="BG243" s="5">
        <f t="shared" si="181"/>
        <v>0</v>
      </c>
      <c r="BH243" s="5">
        <f t="shared" si="181"/>
        <v>0</v>
      </c>
      <c r="BI243" s="5">
        <f t="shared" si="181"/>
        <v>0</v>
      </c>
      <c r="BJ243" s="5">
        <f t="shared" si="181"/>
        <v>0</v>
      </c>
      <c r="BK243" s="5">
        <f t="shared" si="181"/>
        <v>0</v>
      </c>
      <c r="BL243" s="5">
        <f t="shared" si="181"/>
        <v>0</v>
      </c>
      <c r="BM243" s="5">
        <f t="shared" si="181"/>
        <v>0</v>
      </c>
      <c r="BN243" s="5">
        <f t="shared" si="180"/>
        <v>0</v>
      </c>
      <c r="BO243" s="5">
        <f t="shared" si="180"/>
        <v>0</v>
      </c>
      <c r="BP243" s="5">
        <f t="shared" si="180"/>
        <v>0</v>
      </c>
      <c r="BQ243" s="5">
        <f t="shared" si="180"/>
        <v>0</v>
      </c>
      <c r="BR243" s="5">
        <f t="shared" si="180"/>
        <v>0</v>
      </c>
      <c r="BS243" s="5">
        <f t="shared" si="180"/>
        <v>0</v>
      </c>
      <c r="BT243" s="5">
        <f t="shared" si="180"/>
        <v>1</v>
      </c>
      <c r="BU243" s="5">
        <f t="shared" si="180"/>
        <v>0</v>
      </c>
      <c r="BV243" s="5">
        <f t="shared" si="180"/>
        <v>0</v>
      </c>
      <c r="BW243" s="5">
        <f t="shared" si="180"/>
        <v>0</v>
      </c>
      <c r="BX243" s="5">
        <f t="shared" si="180"/>
        <v>0</v>
      </c>
      <c r="BY243" s="5">
        <f t="shared" si="180"/>
        <v>0</v>
      </c>
      <c r="BZ243" s="5">
        <f t="shared" si="180"/>
        <v>0</v>
      </c>
      <c r="CA243" s="5">
        <f t="shared" si="180"/>
        <v>0</v>
      </c>
      <c r="CB243" s="5">
        <f t="shared" si="180"/>
        <v>0</v>
      </c>
      <c r="CC243" s="5">
        <f t="shared" si="182"/>
        <v>0</v>
      </c>
      <c r="CD243" s="5">
        <f t="shared" si="182"/>
        <v>0</v>
      </c>
      <c r="CE243" s="5">
        <f t="shared" si="182"/>
        <v>0</v>
      </c>
    </row>
    <row r="244" spans="1:83" x14ac:dyDescent="0.2">
      <c r="C244" s="1">
        <f>Growth!D249</f>
        <v>0</v>
      </c>
      <c r="D244" s="5" t="b">
        <f t="shared" si="164"/>
        <v>0</v>
      </c>
      <c r="E244" s="5">
        <v>2004</v>
      </c>
      <c r="F244" s="5">
        <f ca="1">LOOKUP($E244,frequence!$A$2:$A$35,frequence!L$2:L$35)</f>
        <v>29.761886767605532</v>
      </c>
      <c r="G244" s="5">
        <f ca="1">LOOKUP($E244,frequence!$A$2:$A$35,frequence!K$2:K$35)</f>
        <v>1.4389796045014025</v>
      </c>
      <c r="H244" s="5">
        <f ca="1">LOOKUP($E244,frequence!$A$2:$A$35,frequence!M$2:M$35)</f>
        <v>239.58577159610638</v>
      </c>
      <c r="I244" s="5">
        <f t="shared" si="183"/>
        <v>1990</v>
      </c>
      <c r="J244" s="7">
        <f>LOOKUP(I244,CPI!A$69:A$103,CPI!O$69:O$103)</f>
        <v>1.6683703136954862</v>
      </c>
      <c r="K244" s="5">
        <v>2025</v>
      </c>
      <c r="L244" s="7">
        <f t="shared" ca="1" si="165"/>
        <v>1</v>
      </c>
      <c r="M244" s="7">
        <f t="shared" si="157"/>
        <v>5.1764705882352942E-2</v>
      </c>
      <c r="N244" s="14">
        <f t="shared" si="193"/>
        <v>1.1764705882352941E-2</v>
      </c>
      <c r="O244" s="1">
        <f ca="1">P244*J244*(1+Growth!G$6)^(2010-K244)</f>
        <v>95.906021355116323</v>
      </c>
      <c r="P244" s="3">
        <v>72</v>
      </c>
      <c r="Q244" s="2">
        <f t="shared" si="187"/>
        <v>72</v>
      </c>
      <c r="R244" s="21">
        <f t="shared" ca="1" si="166"/>
        <v>9197.9649321680281</v>
      </c>
      <c r="X244" s="2">
        <f t="shared" si="171"/>
        <v>72</v>
      </c>
      <c r="AC244" s="1">
        <f t="shared" si="188"/>
        <v>4.4000000000000004</v>
      </c>
      <c r="AD244" s="5">
        <v>0</v>
      </c>
      <c r="AE244" s="5">
        <v>0</v>
      </c>
      <c r="AF244" s="5">
        <v>1</v>
      </c>
      <c r="AG244" s="5">
        <v>0</v>
      </c>
      <c r="AH244" s="5">
        <v>1</v>
      </c>
      <c r="AI244" s="3">
        <f t="shared" si="158"/>
        <v>2.4</v>
      </c>
      <c r="AJ244" s="5">
        <f t="shared" si="175"/>
        <v>1</v>
      </c>
      <c r="AK244" s="5">
        <f t="shared" si="167"/>
        <v>0</v>
      </c>
      <c r="AL244" s="5">
        <f t="shared" si="168"/>
        <v>0</v>
      </c>
      <c r="AM244" s="5">
        <f t="shared" si="176"/>
        <v>0</v>
      </c>
      <c r="AN244" s="5">
        <f t="shared" si="169"/>
        <v>0</v>
      </c>
      <c r="AO244" s="5">
        <f t="shared" si="177"/>
        <v>0</v>
      </c>
      <c r="AP244" s="11" t="s">
        <v>42</v>
      </c>
      <c r="AQ244" s="1">
        <v>3</v>
      </c>
      <c r="AR244" s="5">
        <v>0</v>
      </c>
      <c r="AS244" s="5">
        <v>0</v>
      </c>
      <c r="AT244" s="5">
        <v>0</v>
      </c>
      <c r="AU244" s="5">
        <v>0</v>
      </c>
      <c r="AV244" s="5">
        <f t="shared" si="159"/>
        <v>0</v>
      </c>
      <c r="AW244" s="5">
        <f t="shared" si="160"/>
        <v>0</v>
      </c>
      <c r="AX244" s="5">
        <f t="shared" si="161"/>
        <v>1</v>
      </c>
      <c r="AY244" s="1">
        <f t="shared" si="189"/>
        <v>0</v>
      </c>
      <c r="AZ244" s="1">
        <f t="shared" si="190"/>
        <v>0</v>
      </c>
      <c r="BA244" s="1">
        <f t="shared" si="191"/>
        <v>0</v>
      </c>
      <c r="BB244" s="5">
        <v>0</v>
      </c>
      <c r="BC244" s="5">
        <v>0</v>
      </c>
      <c r="BD244" s="5">
        <v>0</v>
      </c>
      <c r="BE244" s="5">
        <f t="shared" si="192"/>
        <v>1</v>
      </c>
      <c r="BF244" s="5">
        <v>0</v>
      </c>
      <c r="BG244" s="5">
        <f t="shared" si="181"/>
        <v>0</v>
      </c>
      <c r="BH244" s="5">
        <f t="shared" si="181"/>
        <v>0</v>
      </c>
      <c r="BI244" s="5">
        <f t="shared" si="181"/>
        <v>0</v>
      </c>
      <c r="BJ244" s="5">
        <f t="shared" si="181"/>
        <v>0</v>
      </c>
      <c r="BK244" s="5">
        <f t="shared" si="181"/>
        <v>0</v>
      </c>
      <c r="BL244" s="5">
        <f t="shared" si="181"/>
        <v>0</v>
      </c>
      <c r="BM244" s="5">
        <f t="shared" si="181"/>
        <v>0</v>
      </c>
      <c r="BN244" s="5">
        <f t="shared" si="181"/>
        <v>0</v>
      </c>
      <c r="BO244" s="5">
        <f t="shared" ref="BO244:CC259" si="194">IF($E244=BO$2,1,0)</f>
        <v>0</v>
      </c>
      <c r="BP244" s="5">
        <f t="shared" si="194"/>
        <v>0</v>
      </c>
      <c r="BQ244" s="5">
        <f t="shared" si="194"/>
        <v>0</v>
      </c>
      <c r="BR244" s="5">
        <f t="shared" si="194"/>
        <v>0</v>
      </c>
      <c r="BS244" s="5">
        <f t="shared" si="194"/>
        <v>0</v>
      </c>
      <c r="BT244" s="5">
        <f t="shared" si="194"/>
        <v>1</v>
      </c>
      <c r="BU244" s="5">
        <f t="shared" si="194"/>
        <v>0</v>
      </c>
      <c r="BV244" s="5">
        <f t="shared" si="194"/>
        <v>0</v>
      </c>
      <c r="BW244" s="5">
        <f t="shared" si="194"/>
        <v>0</v>
      </c>
      <c r="BX244" s="5">
        <f t="shared" si="194"/>
        <v>0</v>
      </c>
      <c r="BY244" s="5">
        <f t="shared" si="194"/>
        <v>0</v>
      </c>
      <c r="BZ244" s="5">
        <f t="shared" si="194"/>
        <v>0</v>
      </c>
      <c r="CA244" s="5">
        <f t="shared" si="194"/>
        <v>0</v>
      </c>
      <c r="CB244" s="5">
        <f t="shared" si="194"/>
        <v>0</v>
      </c>
      <c r="CC244" s="5">
        <f t="shared" si="182"/>
        <v>0</v>
      </c>
      <c r="CD244" s="5">
        <f t="shared" si="182"/>
        <v>0</v>
      </c>
      <c r="CE244" s="5">
        <f t="shared" si="182"/>
        <v>0</v>
      </c>
    </row>
    <row r="245" spans="1:83" x14ac:dyDescent="0.2">
      <c r="A245" s="1" t="s">
        <v>43</v>
      </c>
      <c r="B245" s="11" t="s">
        <v>155</v>
      </c>
      <c r="C245" s="1">
        <f>Growth!D250</f>
        <v>0</v>
      </c>
      <c r="D245" s="5">
        <f t="shared" si="164"/>
        <v>2004</v>
      </c>
      <c r="E245" s="5">
        <v>2004</v>
      </c>
      <c r="F245" s="5">
        <f ca="1">LOOKUP($E245,frequence!$A$2:$A$35,frequence!L$2:L$35)</f>
        <v>29.761886767605532</v>
      </c>
      <c r="G245" s="5">
        <f ca="1">LOOKUP($E245,frequence!$A$2:$A$35,frequence!K$2:K$35)</f>
        <v>1.4389796045014025</v>
      </c>
      <c r="H245" s="5">
        <f ca="1">LOOKUP($E245,frequence!$A$2:$A$35,frequence!M$2:M$35)</f>
        <v>239.58577159610638</v>
      </c>
      <c r="I245" s="5">
        <v>2000</v>
      </c>
      <c r="J245" s="7">
        <f>LOOKUP(I245,CPI!A$69:A$103,CPI!O$69:O$103)</f>
        <v>1.2662950058072011</v>
      </c>
      <c r="K245" s="5">
        <v>2000</v>
      </c>
      <c r="L245" s="7">
        <f t="shared" ca="1" si="165"/>
        <v>1</v>
      </c>
      <c r="M245" s="7">
        <f t="shared" si="157"/>
        <v>0.22000000000000003</v>
      </c>
      <c r="N245" s="14">
        <v>0.05</v>
      </c>
      <c r="O245" s="1">
        <f ca="1">P245*J245*(1+Growth!G$6)^(2010-K245)</f>
        <v>441.41003172686584</v>
      </c>
      <c r="P245" s="3">
        <v>300</v>
      </c>
      <c r="Q245" s="2">
        <f t="shared" si="148"/>
        <v>300</v>
      </c>
      <c r="R245" s="21">
        <f t="shared" ca="1" si="166"/>
        <v>194842.8161091127</v>
      </c>
      <c r="X245" s="2">
        <f t="shared" si="171"/>
        <v>300</v>
      </c>
      <c r="AC245" s="1">
        <f t="shared" ref="AC245:AC276" si="195">SUM(AD245:AI245)</f>
        <v>4.4000000000000004</v>
      </c>
      <c r="AD245" s="5">
        <v>0</v>
      </c>
      <c r="AE245" s="5">
        <v>0</v>
      </c>
      <c r="AF245" s="5">
        <v>1</v>
      </c>
      <c r="AG245" s="5">
        <v>0</v>
      </c>
      <c r="AH245" s="5">
        <v>1</v>
      </c>
      <c r="AI245" s="3">
        <f t="shared" si="158"/>
        <v>2.4</v>
      </c>
      <c r="AJ245" s="5">
        <f t="shared" si="175"/>
        <v>0</v>
      </c>
      <c r="AK245" s="5">
        <f t="shared" si="167"/>
        <v>0</v>
      </c>
      <c r="AL245" s="5">
        <f t="shared" si="168"/>
        <v>0</v>
      </c>
      <c r="AM245" s="5">
        <f t="shared" si="176"/>
        <v>0</v>
      </c>
      <c r="AN245" s="5">
        <f t="shared" si="169"/>
        <v>0</v>
      </c>
      <c r="AO245" s="5">
        <f t="shared" si="177"/>
        <v>1</v>
      </c>
      <c r="AP245" s="11" t="s">
        <v>42</v>
      </c>
      <c r="AQ245" s="1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f t="shared" si="159"/>
        <v>0</v>
      </c>
      <c r="AW245" s="5">
        <f t="shared" si="160"/>
        <v>0</v>
      </c>
      <c r="AX245" s="5">
        <f t="shared" si="161"/>
        <v>1</v>
      </c>
      <c r="AY245" s="1">
        <f t="shared" si="184"/>
        <v>0</v>
      </c>
      <c r="AZ245" s="1">
        <f t="shared" si="185"/>
        <v>0</v>
      </c>
      <c r="BA245" s="1">
        <f t="shared" si="186"/>
        <v>0</v>
      </c>
      <c r="BB245" s="5">
        <v>0</v>
      </c>
      <c r="BC245" s="5">
        <v>0</v>
      </c>
      <c r="BD245" s="5">
        <v>0</v>
      </c>
      <c r="BE245" s="5">
        <f t="shared" ref="BE245:BE356" si="196">1-SUM(BB245:BD245)</f>
        <v>1</v>
      </c>
      <c r="BF245" s="5">
        <v>0</v>
      </c>
      <c r="BG245" s="5">
        <f t="shared" ref="BG245:BN260" si="197">IF($E245=BG$2,1,0)</f>
        <v>0</v>
      </c>
      <c r="BH245" s="5">
        <f t="shared" si="197"/>
        <v>0</v>
      </c>
      <c r="BI245" s="5">
        <f t="shared" si="197"/>
        <v>0</v>
      </c>
      <c r="BJ245" s="5">
        <f t="shared" si="197"/>
        <v>0</v>
      </c>
      <c r="BK245" s="5">
        <f t="shared" si="197"/>
        <v>0</v>
      </c>
      <c r="BL245" s="5">
        <f t="shared" si="197"/>
        <v>0</v>
      </c>
      <c r="BM245" s="5">
        <f t="shared" si="197"/>
        <v>0</v>
      </c>
      <c r="BN245" s="5">
        <f t="shared" si="197"/>
        <v>0</v>
      </c>
      <c r="BO245" s="5">
        <f t="shared" si="194"/>
        <v>0</v>
      </c>
      <c r="BP245" s="5">
        <f t="shared" si="194"/>
        <v>0</v>
      </c>
      <c r="BQ245" s="5">
        <f t="shared" si="194"/>
        <v>0</v>
      </c>
      <c r="BR245" s="5">
        <f t="shared" si="194"/>
        <v>0</v>
      </c>
      <c r="BS245" s="5">
        <f t="shared" si="194"/>
        <v>0</v>
      </c>
      <c r="BT245" s="5">
        <f t="shared" si="194"/>
        <v>1</v>
      </c>
      <c r="BU245" s="5">
        <f t="shared" si="194"/>
        <v>0</v>
      </c>
      <c r="BV245" s="5">
        <f t="shared" si="194"/>
        <v>0</v>
      </c>
      <c r="BW245" s="5">
        <f t="shared" si="194"/>
        <v>0</v>
      </c>
      <c r="BX245" s="5">
        <f t="shared" si="194"/>
        <v>0</v>
      </c>
      <c r="BY245" s="5">
        <f t="shared" si="194"/>
        <v>0</v>
      </c>
      <c r="BZ245" s="5">
        <f t="shared" si="194"/>
        <v>0</v>
      </c>
      <c r="CA245" s="5">
        <f t="shared" si="194"/>
        <v>0</v>
      </c>
      <c r="CB245" s="5">
        <f t="shared" si="194"/>
        <v>0</v>
      </c>
      <c r="CC245" s="5">
        <f t="shared" si="182"/>
        <v>0</v>
      </c>
      <c r="CD245" s="5">
        <f t="shared" si="182"/>
        <v>0</v>
      </c>
      <c r="CE245" s="5">
        <f t="shared" si="182"/>
        <v>0</v>
      </c>
    </row>
    <row r="246" spans="1:83" x14ac:dyDescent="0.2">
      <c r="C246" s="1">
        <f>Growth!D251</f>
        <v>0</v>
      </c>
      <c r="D246" s="5" t="b">
        <f t="shared" si="164"/>
        <v>0</v>
      </c>
      <c r="E246" s="5">
        <v>2004</v>
      </c>
      <c r="F246" s="5">
        <f ca="1">LOOKUP($E246,frequence!$A$2:$A$35,frequence!L$2:L$35)</f>
        <v>29.761886767605532</v>
      </c>
      <c r="G246" s="5">
        <f ca="1">LOOKUP($E246,frequence!$A$2:$A$35,frequence!K$2:K$35)</f>
        <v>1.4389796045014025</v>
      </c>
      <c r="H246" s="5">
        <f ca="1">LOOKUP($E246,frequence!$A$2:$A$35,frequence!M$2:M$35)</f>
        <v>239.58577159610638</v>
      </c>
      <c r="I246" s="5">
        <v>2000</v>
      </c>
      <c r="J246" s="7">
        <f>LOOKUP(I246,CPI!A$69:A$103,CPI!O$69:O$103)</f>
        <v>1.2662950058072011</v>
      </c>
      <c r="K246" s="5">
        <v>2000</v>
      </c>
      <c r="L246" s="7">
        <f t="shared" ca="1" si="165"/>
        <v>1</v>
      </c>
      <c r="M246" s="7">
        <f t="shared" si="157"/>
        <v>4.18</v>
      </c>
      <c r="N246" s="14">
        <v>0.95</v>
      </c>
      <c r="O246" s="1">
        <f ca="1">P246*J246*(1+Growth!G$6)^(2010-K246)</f>
        <v>17.656401269074635</v>
      </c>
      <c r="P246" s="3">
        <v>12</v>
      </c>
      <c r="Q246" s="2">
        <f t="shared" si="148"/>
        <v>12</v>
      </c>
      <c r="R246" s="21">
        <f t="shared" ca="1" si="166"/>
        <v>311.74850577458039</v>
      </c>
      <c r="X246" s="2">
        <f t="shared" si="171"/>
        <v>12</v>
      </c>
      <c r="AC246" s="1">
        <f t="shared" si="195"/>
        <v>4.4000000000000004</v>
      </c>
      <c r="AD246" s="5">
        <v>0</v>
      </c>
      <c r="AE246" s="5">
        <v>0</v>
      </c>
      <c r="AF246" s="5">
        <v>1</v>
      </c>
      <c r="AG246" s="5">
        <v>0</v>
      </c>
      <c r="AH246" s="5">
        <v>1</v>
      </c>
      <c r="AI246" s="3">
        <f t="shared" si="158"/>
        <v>2.4</v>
      </c>
      <c r="AJ246" s="5">
        <f t="shared" si="175"/>
        <v>1</v>
      </c>
      <c r="AK246" s="5">
        <f t="shared" si="167"/>
        <v>0</v>
      </c>
      <c r="AL246" s="5">
        <f t="shared" si="168"/>
        <v>0</v>
      </c>
      <c r="AM246" s="5">
        <f t="shared" si="176"/>
        <v>0</v>
      </c>
      <c r="AN246" s="5">
        <f t="shared" si="169"/>
        <v>0</v>
      </c>
      <c r="AO246" s="5">
        <f t="shared" si="177"/>
        <v>0</v>
      </c>
      <c r="AP246" s="11" t="s">
        <v>42</v>
      </c>
      <c r="AQ246" s="1">
        <v>3</v>
      </c>
      <c r="AR246" s="5">
        <v>0</v>
      </c>
      <c r="AS246" s="5">
        <v>0</v>
      </c>
      <c r="AT246" s="5">
        <v>0</v>
      </c>
      <c r="AU246" s="5">
        <v>0</v>
      </c>
      <c r="AV246" s="5">
        <f t="shared" si="159"/>
        <v>0</v>
      </c>
      <c r="AW246" s="5">
        <f t="shared" si="160"/>
        <v>0</v>
      </c>
      <c r="AX246" s="5">
        <f t="shared" si="161"/>
        <v>1</v>
      </c>
      <c r="AY246" s="1">
        <f t="shared" si="184"/>
        <v>0</v>
      </c>
      <c r="AZ246" s="1">
        <f t="shared" si="185"/>
        <v>0</v>
      </c>
      <c r="BA246" s="1">
        <f t="shared" si="186"/>
        <v>0</v>
      </c>
      <c r="BB246" s="5">
        <v>0</v>
      </c>
      <c r="BC246" s="5">
        <v>0</v>
      </c>
      <c r="BD246" s="5">
        <v>0</v>
      </c>
      <c r="BE246" s="5">
        <f t="shared" si="196"/>
        <v>1</v>
      </c>
      <c r="BF246" s="5">
        <v>0</v>
      </c>
      <c r="BG246" s="5">
        <f t="shared" si="197"/>
        <v>0</v>
      </c>
      <c r="BH246" s="5">
        <f t="shared" si="197"/>
        <v>0</v>
      </c>
      <c r="BI246" s="5">
        <f t="shared" si="197"/>
        <v>0</v>
      </c>
      <c r="BJ246" s="5">
        <f t="shared" si="197"/>
        <v>0</v>
      </c>
      <c r="BK246" s="5">
        <f t="shared" si="197"/>
        <v>0</v>
      </c>
      <c r="BL246" s="5">
        <f t="shared" si="197"/>
        <v>0</v>
      </c>
      <c r="BM246" s="5">
        <f t="shared" si="197"/>
        <v>0</v>
      </c>
      <c r="BN246" s="5">
        <f t="shared" si="197"/>
        <v>0</v>
      </c>
      <c r="BO246" s="5">
        <f t="shared" si="194"/>
        <v>0</v>
      </c>
      <c r="BP246" s="5">
        <f t="shared" si="194"/>
        <v>0</v>
      </c>
      <c r="BQ246" s="5">
        <f t="shared" si="194"/>
        <v>0</v>
      </c>
      <c r="BR246" s="5">
        <f t="shared" si="194"/>
        <v>0</v>
      </c>
      <c r="BS246" s="5">
        <f t="shared" si="194"/>
        <v>0</v>
      </c>
      <c r="BT246" s="5">
        <f t="shared" si="194"/>
        <v>1</v>
      </c>
      <c r="BU246" s="5">
        <f t="shared" si="194"/>
        <v>0</v>
      </c>
      <c r="BV246" s="5">
        <f t="shared" si="194"/>
        <v>0</v>
      </c>
      <c r="BW246" s="5">
        <f t="shared" si="194"/>
        <v>0</v>
      </c>
      <c r="BX246" s="5">
        <f t="shared" si="194"/>
        <v>0</v>
      </c>
      <c r="BY246" s="5">
        <f t="shared" si="194"/>
        <v>0</v>
      </c>
      <c r="BZ246" s="5">
        <f t="shared" si="194"/>
        <v>0</v>
      </c>
      <c r="CA246" s="5">
        <f t="shared" si="194"/>
        <v>0</v>
      </c>
      <c r="CB246" s="5">
        <f t="shared" si="194"/>
        <v>0</v>
      </c>
      <c r="CC246" s="5">
        <f t="shared" si="182"/>
        <v>0</v>
      </c>
      <c r="CD246" s="5">
        <f t="shared" si="182"/>
        <v>0</v>
      </c>
      <c r="CE246" s="5">
        <f t="shared" si="182"/>
        <v>0</v>
      </c>
    </row>
    <row r="247" spans="1:83" x14ac:dyDescent="0.2">
      <c r="A247" s="1" t="s">
        <v>46</v>
      </c>
      <c r="B247" s="11" t="s">
        <v>151</v>
      </c>
      <c r="C247" s="1">
        <f>Growth!D252</f>
        <v>0</v>
      </c>
      <c r="D247" s="5">
        <f t="shared" si="164"/>
        <v>2006</v>
      </c>
      <c r="E247" s="5">
        <v>2006</v>
      </c>
      <c r="F247" s="5">
        <f ca="1">LOOKUP($E247,frequence!$A$2:$A$35,frequence!L$2:L$35)</f>
        <v>71.097990738484512</v>
      </c>
      <c r="G247" s="5">
        <f ca="1">LOOKUP($E247,frequence!$A$2:$A$35,frequence!K$2:K$35)</f>
        <v>5.2950026937283488</v>
      </c>
      <c r="H247" s="5">
        <f ca="1">LOOKUP($E247,frequence!$A$2:$A$35,frequence!M$2:M$35)</f>
        <v>500.74918436144497</v>
      </c>
      <c r="I247" s="5">
        <v>1995</v>
      </c>
      <c r="J247" s="7">
        <f>LOOKUP(I247,CPI!A$69:A$103,CPI!O$69:O$103)</f>
        <v>1.4308136482939633</v>
      </c>
      <c r="K247" s="5">
        <v>2000</v>
      </c>
      <c r="L247" s="7">
        <f t="shared" ca="1" si="165"/>
        <v>1</v>
      </c>
      <c r="M247" s="7">
        <f t="shared" si="157"/>
        <v>1.3299999999999998</v>
      </c>
      <c r="N247" s="14">
        <f>0.95/4</f>
        <v>0.23749999999999999</v>
      </c>
      <c r="O247" s="1">
        <f ca="1">P247*J247*(1+Growth!G$6)^(2010-K247)</f>
        <v>96.426658636816384</v>
      </c>
      <c r="P247" s="3">
        <v>58</v>
      </c>
      <c r="Q247" s="2">
        <f t="shared" si="148"/>
        <v>58</v>
      </c>
      <c r="R247" s="21">
        <f t="shared" ca="1" si="166"/>
        <v>9298.1004958611156</v>
      </c>
      <c r="X247" s="2">
        <f t="shared" si="171"/>
        <v>58</v>
      </c>
      <c r="AC247" s="1">
        <f t="shared" si="195"/>
        <v>5.6</v>
      </c>
      <c r="AD247" s="5">
        <v>0</v>
      </c>
      <c r="AE247" s="5">
        <v>0</v>
      </c>
      <c r="AF247" s="5">
        <v>1</v>
      </c>
      <c r="AG247" s="5">
        <v>1</v>
      </c>
      <c r="AH247" s="5">
        <v>1</v>
      </c>
      <c r="AI247" s="3">
        <f t="shared" si="158"/>
        <v>2.6</v>
      </c>
      <c r="AJ247" s="5">
        <f t="shared" si="175"/>
        <v>0</v>
      </c>
      <c r="AK247" s="5">
        <f t="shared" si="167"/>
        <v>0</v>
      </c>
      <c r="AL247" s="5">
        <f t="shared" si="168"/>
        <v>0</v>
      </c>
      <c r="AM247" s="5">
        <f t="shared" si="176"/>
        <v>0</v>
      </c>
      <c r="AN247" s="5">
        <f t="shared" si="169"/>
        <v>0</v>
      </c>
      <c r="AO247" s="5">
        <f t="shared" si="177"/>
        <v>1</v>
      </c>
      <c r="AP247" s="11" t="s">
        <v>42</v>
      </c>
      <c r="AQ247" s="1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f t="shared" si="159"/>
        <v>0</v>
      </c>
      <c r="AW247" s="5">
        <f t="shared" si="160"/>
        <v>0</v>
      </c>
      <c r="AX247" s="5">
        <f t="shared" si="161"/>
        <v>1</v>
      </c>
      <c r="AY247" s="1">
        <f t="shared" si="184"/>
        <v>0</v>
      </c>
      <c r="AZ247" s="1">
        <f t="shared" si="185"/>
        <v>0</v>
      </c>
      <c r="BA247" s="1">
        <f t="shared" si="186"/>
        <v>0</v>
      </c>
      <c r="BB247" s="5">
        <v>0</v>
      </c>
      <c r="BC247" s="5">
        <v>0</v>
      </c>
      <c r="BD247" s="5">
        <v>1</v>
      </c>
      <c r="BE247" s="5">
        <f t="shared" si="196"/>
        <v>0</v>
      </c>
      <c r="BF247" s="5">
        <v>0</v>
      </c>
      <c r="BG247" s="5">
        <f t="shared" si="197"/>
        <v>0</v>
      </c>
      <c r="BH247" s="5">
        <f t="shared" si="197"/>
        <v>0</v>
      </c>
      <c r="BI247" s="5">
        <f t="shared" si="197"/>
        <v>0</v>
      </c>
      <c r="BJ247" s="5">
        <f t="shared" si="197"/>
        <v>0</v>
      </c>
      <c r="BK247" s="5">
        <f t="shared" si="197"/>
        <v>0</v>
      </c>
      <c r="BL247" s="5">
        <f t="shared" si="197"/>
        <v>0</v>
      </c>
      <c r="BM247" s="5">
        <f t="shared" si="197"/>
        <v>0</v>
      </c>
      <c r="BN247" s="5">
        <f t="shared" si="197"/>
        <v>0</v>
      </c>
      <c r="BO247" s="5">
        <f t="shared" si="194"/>
        <v>0</v>
      </c>
      <c r="BP247" s="5">
        <f t="shared" si="194"/>
        <v>0</v>
      </c>
      <c r="BQ247" s="5">
        <f t="shared" si="194"/>
        <v>0</v>
      </c>
      <c r="BR247" s="5">
        <f t="shared" si="194"/>
        <v>0</v>
      </c>
      <c r="BS247" s="5">
        <f t="shared" si="194"/>
        <v>0</v>
      </c>
      <c r="BT247" s="5">
        <f t="shared" si="194"/>
        <v>0</v>
      </c>
      <c r="BU247" s="5">
        <f t="shared" si="194"/>
        <v>0</v>
      </c>
      <c r="BV247" s="5">
        <f t="shared" si="194"/>
        <v>1</v>
      </c>
      <c r="BW247" s="5">
        <f t="shared" si="194"/>
        <v>0</v>
      </c>
      <c r="BX247" s="5">
        <f t="shared" si="194"/>
        <v>0</v>
      </c>
      <c r="BY247" s="5">
        <f t="shared" si="194"/>
        <v>0</v>
      </c>
      <c r="BZ247" s="5">
        <f t="shared" si="194"/>
        <v>0</v>
      </c>
      <c r="CA247" s="5">
        <f t="shared" si="194"/>
        <v>0</v>
      </c>
      <c r="CB247" s="5">
        <f t="shared" si="194"/>
        <v>0</v>
      </c>
      <c r="CC247" s="5">
        <f t="shared" si="182"/>
        <v>0</v>
      </c>
      <c r="CD247" s="5">
        <f t="shared" si="182"/>
        <v>0</v>
      </c>
      <c r="CE247" s="5">
        <f t="shared" si="182"/>
        <v>0</v>
      </c>
    </row>
    <row r="248" spans="1:83" x14ac:dyDescent="0.2">
      <c r="C248" s="1">
        <f>Growth!D253</f>
        <v>0</v>
      </c>
      <c r="D248" s="5" t="b">
        <f t="shared" si="164"/>
        <v>0</v>
      </c>
      <c r="E248" s="5">
        <v>2006</v>
      </c>
      <c r="F248" s="5">
        <f ca="1">LOOKUP($E248,frequence!$A$2:$A$35,frequence!L$2:L$35)</f>
        <v>71.097990738484512</v>
      </c>
      <c r="G248" s="5">
        <f ca="1">LOOKUP($E248,frequence!$A$2:$A$35,frequence!K$2:K$35)</f>
        <v>5.2950026937283488</v>
      </c>
      <c r="H248" s="5">
        <f ca="1">LOOKUP($E248,frequence!$A$2:$A$35,frequence!M$2:M$35)</f>
        <v>500.74918436144497</v>
      </c>
      <c r="I248" s="5">
        <v>1995</v>
      </c>
      <c r="J248" s="7">
        <f>LOOKUP(I248,CPI!A$69:A$103,CPI!O$69:O$103)</f>
        <v>1.4308136482939633</v>
      </c>
      <c r="K248" s="5">
        <v>2000</v>
      </c>
      <c r="L248" s="7">
        <f t="shared" ca="1" si="165"/>
        <v>1</v>
      </c>
      <c r="M248" s="7">
        <f t="shared" si="157"/>
        <v>1.3299999999999998</v>
      </c>
      <c r="N248" s="14">
        <f>0.95/4</f>
        <v>0.23749999999999999</v>
      </c>
      <c r="O248" s="1">
        <f ca="1">P248*J248*(1+Growth!G$6)^(2010-K248)</f>
        <v>18.287814569051381</v>
      </c>
      <c r="P248" s="3">
        <v>11</v>
      </c>
      <c r="Q248" s="2">
        <f t="shared" si="148"/>
        <v>11</v>
      </c>
      <c r="R248" s="21">
        <f t="shared" ca="1" si="166"/>
        <v>334.44416171200794</v>
      </c>
      <c r="X248" s="2">
        <f t="shared" si="171"/>
        <v>11</v>
      </c>
      <c r="AC248" s="1">
        <f t="shared" si="195"/>
        <v>5.6</v>
      </c>
      <c r="AD248" s="5">
        <v>0</v>
      </c>
      <c r="AE248" s="5">
        <v>0</v>
      </c>
      <c r="AF248" s="5">
        <v>1</v>
      </c>
      <c r="AG248" s="5">
        <v>1</v>
      </c>
      <c r="AH248" s="5">
        <v>1</v>
      </c>
      <c r="AI248" s="3">
        <f t="shared" si="158"/>
        <v>2.6</v>
      </c>
      <c r="AJ248" s="5">
        <f t="shared" si="175"/>
        <v>0</v>
      </c>
      <c r="AK248" s="5">
        <f t="shared" si="167"/>
        <v>0</v>
      </c>
      <c r="AL248" s="5">
        <f t="shared" si="168"/>
        <v>0</v>
      </c>
      <c r="AM248" s="5">
        <f t="shared" si="176"/>
        <v>1</v>
      </c>
      <c r="AN248" s="5">
        <f t="shared" si="169"/>
        <v>0</v>
      </c>
      <c r="AO248" s="5">
        <f t="shared" si="177"/>
        <v>0</v>
      </c>
      <c r="AP248" s="11" t="s">
        <v>42</v>
      </c>
      <c r="AQ248" s="1">
        <v>1</v>
      </c>
      <c r="AR248" s="5">
        <v>0</v>
      </c>
      <c r="AS248" s="5">
        <v>0</v>
      </c>
      <c r="AT248" s="5">
        <v>0</v>
      </c>
      <c r="AU248" s="5">
        <v>0</v>
      </c>
      <c r="AV248" s="5">
        <f t="shared" si="159"/>
        <v>0</v>
      </c>
      <c r="AW248" s="5">
        <f t="shared" si="160"/>
        <v>0</v>
      </c>
      <c r="AX248" s="5">
        <f t="shared" si="161"/>
        <v>1</v>
      </c>
      <c r="AY248" s="1">
        <f t="shared" si="184"/>
        <v>0</v>
      </c>
      <c r="AZ248" s="1">
        <f t="shared" si="185"/>
        <v>0</v>
      </c>
      <c r="BA248" s="1">
        <f t="shared" si="186"/>
        <v>0</v>
      </c>
      <c r="BB248" s="5">
        <v>0</v>
      </c>
      <c r="BC248" s="5">
        <v>0</v>
      </c>
      <c r="BD248" s="5">
        <v>1</v>
      </c>
      <c r="BE248" s="5">
        <f t="shared" si="196"/>
        <v>0</v>
      </c>
      <c r="BF248" s="5">
        <v>0</v>
      </c>
      <c r="BG248" s="5">
        <f t="shared" si="197"/>
        <v>0</v>
      </c>
      <c r="BH248" s="5">
        <f t="shared" si="197"/>
        <v>0</v>
      </c>
      <c r="BI248" s="5">
        <f t="shared" si="197"/>
        <v>0</v>
      </c>
      <c r="BJ248" s="5">
        <f t="shared" si="197"/>
        <v>0</v>
      </c>
      <c r="BK248" s="5">
        <f t="shared" si="197"/>
        <v>0</v>
      </c>
      <c r="BL248" s="5">
        <f t="shared" si="197"/>
        <v>0</v>
      </c>
      <c r="BM248" s="5">
        <f t="shared" si="197"/>
        <v>0</v>
      </c>
      <c r="BN248" s="5">
        <f t="shared" si="197"/>
        <v>0</v>
      </c>
      <c r="BO248" s="5">
        <f t="shared" si="194"/>
        <v>0</v>
      </c>
      <c r="BP248" s="5">
        <f t="shared" si="194"/>
        <v>0</v>
      </c>
      <c r="BQ248" s="5">
        <f t="shared" si="194"/>
        <v>0</v>
      </c>
      <c r="BR248" s="5">
        <f t="shared" si="194"/>
        <v>0</v>
      </c>
      <c r="BS248" s="5">
        <f t="shared" si="194"/>
        <v>0</v>
      </c>
      <c r="BT248" s="5">
        <f t="shared" si="194"/>
        <v>0</v>
      </c>
      <c r="BU248" s="5">
        <f t="shared" si="194"/>
        <v>0</v>
      </c>
      <c r="BV248" s="5">
        <f t="shared" si="194"/>
        <v>1</v>
      </c>
      <c r="BW248" s="5">
        <f t="shared" si="194"/>
        <v>0</v>
      </c>
      <c r="BX248" s="5">
        <f t="shared" si="194"/>
        <v>0</v>
      </c>
      <c r="BY248" s="5">
        <f t="shared" si="194"/>
        <v>0</v>
      </c>
      <c r="BZ248" s="5">
        <f t="shared" si="194"/>
        <v>0</v>
      </c>
      <c r="CA248" s="5">
        <f t="shared" si="194"/>
        <v>0</v>
      </c>
      <c r="CB248" s="5">
        <f t="shared" si="194"/>
        <v>0</v>
      </c>
      <c r="CC248" s="5">
        <f t="shared" si="182"/>
        <v>0</v>
      </c>
      <c r="CD248" s="5">
        <f t="shared" si="182"/>
        <v>0</v>
      </c>
      <c r="CE248" s="5">
        <f t="shared" si="182"/>
        <v>0</v>
      </c>
    </row>
    <row r="249" spans="1:83" x14ac:dyDescent="0.2">
      <c r="C249" s="1">
        <f>Growth!D254</f>
        <v>0</v>
      </c>
      <c r="D249" s="5" t="b">
        <f t="shared" si="164"/>
        <v>0</v>
      </c>
      <c r="E249" s="5">
        <v>2006</v>
      </c>
      <c r="F249" s="5">
        <f ca="1">LOOKUP($E249,frequence!$A$2:$A$35,frequence!L$2:L$35)</f>
        <v>71.097990738484512</v>
      </c>
      <c r="G249" s="5">
        <f ca="1">LOOKUP($E249,frequence!$A$2:$A$35,frequence!K$2:K$35)</f>
        <v>5.2950026937283488</v>
      </c>
      <c r="H249" s="5">
        <f ca="1">LOOKUP($E249,frequence!$A$2:$A$35,frequence!M$2:M$35)</f>
        <v>500.74918436144497</v>
      </c>
      <c r="I249" s="5">
        <v>1995</v>
      </c>
      <c r="J249" s="7">
        <f>LOOKUP(I249,CPI!A$69:A$103,CPI!O$69:O$103)</f>
        <v>1.4308136482939633</v>
      </c>
      <c r="K249" s="5">
        <v>2000</v>
      </c>
      <c r="L249" s="7">
        <f t="shared" ca="1" si="165"/>
        <v>1</v>
      </c>
      <c r="M249" s="7">
        <f t="shared" si="157"/>
        <v>1.3299999999999998</v>
      </c>
      <c r="N249" s="14">
        <f>0.95/4</f>
        <v>0.23749999999999999</v>
      </c>
      <c r="O249" s="1">
        <f ca="1">P249*J249*(1+Growth!G$6)^(2010-K249)</f>
        <v>-3.8238157735289251</v>
      </c>
      <c r="P249" s="3">
        <v>-2.2999999999999998</v>
      </c>
      <c r="Q249" s="2">
        <f t="shared" si="148"/>
        <v>-2.2999999999999998</v>
      </c>
      <c r="R249" s="21">
        <f t="shared" ca="1" si="166"/>
        <v>14.621567069888611</v>
      </c>
      <c r="X249" s="2">
        <f t="shared" si="171"/>
        <v>-2.2999999999999998</v>
      </c>
      <c r="AC249" s="1">
        <f t="shared" si="195"/>
        <v>5.6</v>
      </c>
      <c r="AD249" s="5">
        <v>0</v>
      </c>
      <c r="AE249" s="5">
        <v>0</v>
      </c>
      <c r="AF249" s="5">
        <v>1</v>
      </c>
      <c r="AG249" s="5">
        <v>1</v>
      </c>
      <c r="AH249" s="5">
        <v>1</v>
      </c>
      <c r="AI249" s="3">
        <f t="shared" si="158"/>
        <v>2.6</v>
      </c>
      <c r="AJ249" s="5">
        <f t="shared" si="175"/>
        <v>1</v>
      </c>
      <c r="AK249" s="5">
        <f t="shared" si="167"/>
        <v>0</v>
      </c>
      <c r="AL249" s="5">
        <f t="shared" si="168"/>
        <v>0</v>
      </c>
      <c r="AM249" s="5">
        <f t="shared" si="176"/>
        <v>0</v>
      </c>
      <c r="AN249" s="5">
        <f t="shared" si="169"/>
        <v>0</v>
      </c>
      <c r="AO249" s="5">
        <f t="shared" si="177"/>
        <v>0</v>
      </c>
      <c r="AP249" s="11" t="s">
        <v>42</v>
      </c>
      <c r="AQ249" s="1">
        <v>3</v>
      </c>
      <c r="AR249" s="5">
        <v>0</v>
      </c>
      <c r="AS249" s="5">
        <v>0</v>
      </c>
      <c r="AT249" s="5">
        <v>0</v>
      </c>
      <c r="AU249" s="5">
        <v>0</v>
      </c>
      <c r="AV249" s="5">
        <f t="shared" si="159"/>
        <v>0</v>
      </c>
      <c r="AW249" s="5">
        <f t="shared" si="160"/>
        <v>0</v>
      </c>
      <c r="AX249" s="5">
        <f t="shared" si="161"/>
        <v>1</v>
      </c>
      <c r="AY249" s="1">
        <f t="shared" si="184"/>
        <v>0</v>
      </c>
      <c r="AZ249" s="1">
        <f t="shared" si="185"/>
        <v>0</v>
      </c>
      <c r="BA249" s="1">
        <f t="shared" si="186"/>
        <v>0</v>
      </c>
      <c r="BB249" s="5">
        <v>0</v>
      </c>
      <c r="BC249" s="5">
        <v>0</v>
      </c>
      <c r="BD249" s="5">
        <v>1</v>
      </c>
      <c r="BE249" s="5">
        <f t="shared" si="196"/>
        <v>0</v>
      </c>
      <c r="BF249" s="5">
        <v>0</v>
      </c>
      <c r="BG249" s="5">
        <f t="shared" si="197"/>
        <v>0</v>
      </c>
      <c r="BH249" s="5">
        <f t="shared" si="197"/>
        <v>0</v>
      </c>
      <c r="BI249" s="5">
        <f t="shared" si="197"/>
        <v>0</v>
      </c>
      <c r="BJ249" s="5">
        <f t="shared" si="197"/>
        <v>0</v>
      </c>
      <c r="BK249" s="5">
        <f t="shared" si="197"/>
        <v>0</v>
      </c>
      <c r="BL249" s="5">
        <f t="shared" si="197"/>
        <v>0</v>
      </c>
      <c r="BM249" s="5">
        <f t="shared" si="197"/>
        <v>0</v>
      </c>
      <c r="BN249" s="5">
        <f t="shared" si="197"/>
        <v>0</v>
      </c>
      <c r="BO249" s="5">
        <f t="shared" si="194"/>
        <v>0</v>
      </c>
      <c r="BP249" s="5">
        <f t="shared" si="194"/>
        <v>0</v>
      </c>
      <c r="BQ249" s="5">
        <f t="shared" si="194"/>
        <v>0</v>
      </c>
      <c r="BR249" s="5">
        <f t="shared" si="194"/>
        <v>0</v>
      </c>
      <c r="BS249" s="5">
        <f t="shared" si="194"/>
        <v>0</v>
      </c>
      <c r="BT249" s="5">
        <f t="shared" si="194"/>
        <v>0</v>
      </c>
      <c r="BU249" s="5">
        <f t="shared" si="194"/>
        <v>0</v>
      </c>
      <c r="BV249" s="5">
        <f t="shared" si="194"/>
        <v>1</v>
      </c>
      <c r="BW249" s="5">
        <f t="shared" si="194"/>
        <v>0</v>
      </c>
      <c r="BX249" s="5">
        <f t="shared" si="194"/>
        <v>0</v>
      </c>
      <c r="BY249" s="5">
        <f t="shared" si="194"/>
        <v>0</v>
      </c>
      <c r="BZ249" s="5">
        <f t="shared" si="194"/>
        <v>0</v>
      </c>
      <c r="CA249" s="5">
        <f t="shared" si="194"/>
        <v>0</v>
      </c>
      <c r="CB249" s="5">
        <f t="shared" si="194"/>
        <v>0</v>
      </c>
      <c r="CC249" s="5">
        <f t="shared" si="182"/>
        <v>0</v>
      </c>
      <c r="CD249" s="5">
        <f t="shared" si="182"/>
        <v>0</v>
      </c>
      <c r="CE249" s="5">
        <f t="shared" si="182"/>
        <v>0</v>
      </c>
    </row>
    <row r="250" spans="1:83" x14ac:dyDescent="0.2">
      <c r="C250" s="1">
        <f>Growth!D255</f>
        <v>0</v>
      </c>
      <c r="D250" s="5" t="b">
        <f t="shared" si="164"/>
        <v>0</v>
      </c>
      <c r="E250" s="5">
        <v>2006</v>
      </c>
      <c r="F250" s="5">
        <f ca="1">LOOKUP($E250,frequence!$A$2:$A$35,frequence!L$2:L$35)</f>
        <v>71.097990738484512</v>
      </c>
      <c r="G250" s="5">
        <f ca="1">LOOKUP($E250,frequence!$A$2:$A$35,frequence!K$2:K$35)</f>
        <v>5.2950026937283488</v>
      </c>
      <c r="H250" s="5">
        <f ca="1">LOOKUP($E250,frequence!$A$2:$A$35,frequence!M$2:M$35)</f>
        <v>500.74918436144497</v>
      </c>
      <c r="I250" s="5">
        <v>1995</v>
      </c>
      <c r="J250" s="7">
        <f>LOOKUP(I250,CPI!A$69:A$103,CPI!O$69:O$103)</f>
        <v>1.4308136482939633</v>
      </c>
      <c r="K250" s="5">
        <v>2000</v>
      </c>
      <c r="L250" s="7">
        <f t="shared" ca="1" si="165"/>
        <v>1</v>
      </c>
      <c r="M250" s="7">
        <f t="shared" si="157"/>
        <v>1.3299999999999998</v>
      </c>
      <c r="N250" s="14">
        <f>0.95/4</f>
        <v>0.23749999999999999</v>
      </c>
      <c r="O250" s="1">
        <f ca="1">P250*J250*(1+Growth!G$6)^(2010-K250)</f>
        <v>29.925514749356807</v>
      </c>
      <c r="P250" s="3">
        <v>18</v>
      </c>
      <c r="Q250" s="2">
        <f t="shared" si="148"/>
        <v>18</v>
      </c>
      <c r="R250" s="21">
        <f t="shared" ca="1" si="166"/>
        <v>895.53643301397187</v>
      </c>
      <c r="X250" s="2">
        <f t="shared" si="171"/>
        <v>18</v>
      </c>
      <c r="AC250" s="1">
        <f t="shared" si="195"/>
        <v>5.6</v>
      </c>
      <c r="AD250" s="5">
        <v>0</v>
      </c>
      <c r="AE250" s="5">
        <v>0</v>
      </c>
      <c r="AF250" s="5">
        <v>1</v>
      </c>
      <c r="AG250" s="5">
        <v>1</v>
      </c>
      <c r="AH250" s="5">
        <v>1</v>
      </c>
      <c r="AI250" s="3">
        <f t="shared" si="158"/>
        <v>2.6</v>
      </c>
      <c r="AJ250" s="5">
        <f t="shared" si="175"/>
        <v>0</v>
      </c>
      <c r="AK250" s="5">
        <f t="shared" si="167"/>
        <v>0</v>
      </c>
      <c r="AL250" s="5">
        <f t="shared" si="168"/>
        <v>0</v>
      </c>
      <c r="AM250" s="5">
        <f t="shared" si="176"/>
        <v>0</v>
      </c>
      <c r="AN250" s="5">
        <f t="shared" si="169"/>
        <v>0</v>
      </c>
      <c r="AO250" s="5">
        <f t="shared" si="177"/>
        <v>0</v>
      </c>
      <c r="AP250" s="11" t="s">
        <v>42</v>
      </c>
      <c r="AQ250" s="1" t="s">
        <v>42</v>
      </c>
      <c r="AR250" s="5">
        <v>0</v>
      </c>
      <c r="AS250" s="5">
        <v>0</v>
      </c>
      <c r="AT250" s="5">
        <v>0</v>
      </c>
      <c r="AU250" s="5">
        <v>0</v>
      </c>
      <c r="AV250" s="5">
        <f t="shared" si="159"/>
        <v>0</v>
      </c>
      <c r="AW250" s="5">
        <f t="shared" si="160"/>
        <v>0</v>
      </c>
      <c r="AX250" s="5">
        <f t="shared" si="161"/>
        <v>1</v>
      </c>
      <c r="AY250" s="1">
        <f t="shared" si="184"/>
        <v>0</v>
      </c>
      <c r="AZ250" s="1">
        <f t="shared" si="185"/>
        <v>0</v>
      </c>
      <c r="BA250" s="1">
        <f t="shared" si="186"/>
        <v>0</v>
      </c>
      <c r="BB250" s="5">
        <v>0</v>
      </c>
      <c r="BC250" s="5">
        <v>0</v>
      </c>
      <c r="BD250" s="5">
        <v>1</v>
      </c>
      <c r="BE250" s="5">
        <f t="shared" si="196"/>
        <v>0</v>
      </c>
      <c r="BF250" s="5">
        <v>0</v>
      </c>
      <c r="BG250" s="5">
        <f t="shared" si="197"/>
        <v>0</v>
      </c>
      <c r="BH250" s="5">
        <f t="shared" si="197"/>
        <v>0</v>
      </c>
      <c r="BI250" s="5">
        <f t="shared" si="197"/>
        <v>0</v>
      </c>
      <c r="BJ250" s="5">
        <f t="shared" si="197"/>
        <v>0</v>
      </c>
      <c r="BK250" s="5">
        <f t="shared" si="197"/>
        <v>0</v>
      </c>
      <c r="BL250" s="5">
        <f t="shared" si="197"/>
        <v>0</v>
      </c>
      <c r="BM250" s="5">
        <f t="shared" si="197"/>
        <v>0</v>
      </c>
      <c r="BN250" s="5">
        <f t="shared" si="197"/>
        <v>0</v>
      </c>
      <c r="BO250" s="5">
        <f t="shared" si="194"/>
        <v>0</v>
      </c>
      <c r="BP250" s="5">
        <f t="shared" si="194"/>
        <v>0</v>
      </c>
      <c r="BQ250" s="5">
        <f t="shared" si="194"/>
        <v>0</v>
      </c>
      <c r="BR250" s="5">
        <f t="shared" si="194"/>
        <v>0</v>
      </c>
      <c r="BS250" s="5">
        <f t="shared" si="194"/>
        <v>0</v>
      </c>
      <c r="BT250" s="5">
        <f t="shared" si="194"/>
        <v>0</v>
      </c>
      <c r="BU250" s="5">
        <f t="shared" si="194"/>
        <v>0</v>
      </c>
      <c r="BV250" s="5">
        <f t="shared" si="194"/>
        <v>1</v>
      </c>
      <c r="BW250" s="5">
        <f t="shared" si="194"/>
        <v>0</v>
      </c>
      <c r="BX250" s="5">
        <f t="shared" si="194"/>
        <v>0</v>
      </c>
      <c r="BY250" s="5">
        <f t="shared" si="194"/>
        <v>0</v>
      </c>
      <c r="BZ250" s="5">
        <f t="shared" si="194"/>
        <v>0</v>
      </c>
      <c r="CA250" s="5">
        <f t="shared" si="194"/>
        <v>0</v>
      </c>
      <c r="CB250" s="5">
        <f t="shared" si="194"/>
        <v>0</v>
      </c>
      <c r="CC250" s="5">
        <f t="shared" si="182"/>
        <v>0</v>
      </c>
      <c r="CD250" s="5">
        <f t="shared" si="182"/>
        <v>0</v>
      </c>
      <c r="CE250" s="5">
        <f t="shared" si="182"/>
        <v>0</v>
      </c>
    </row>
    <row r="251" spans="1:83" x14ac:dyDescent="0.2">
      <c r="C251" s="1">
        <f>Growth!D256</f>
        <v>0</v>
      </c>
      <c r="D251" s="5" t="b">
        <f t="shared" si="164"/>
        <v>0</v>
      </c>
      <c r="E251" s="5">
        <v>2006</v>
      </c>
      <c r="F251" s="5">
        <f ca="1">LOOKUP($E251,frequence!$A$2:$A$35,frequence!L$2:L$35)</f>
        <v>71.097990738484512</v>
      </c>
      <c r="G251" s="5">
        <f ca="1">LOOKUP($E251,frequence!$A$2:$A$35,frequence!K$2:K$35)</f>
        <v>5.2950026937283488</v>
      </c>
      <c r="H251" s="5">
        <f ca="1">LOOKUP($E251,frequence!$A$2:$A$35,frequence!M$2:M$35)</f>
        <v>500.74918436144497</v>
      </c>
      <c r="I251" s="5">
        <v>1995</v>
      </c>
      <c r="J251" s="7">
        <f>LOOKUP(I251,CPI!A$69:A$103,CPI!O$69:O$103)</f>
        <v>1.4308136482939633</v>
      </c>
      <c r="K251" s="5">
        <v>2000</v>
      </c>
      <c r="L251" s="7">
        <f t="shared" ca="1" si="165"/>
        <v>1</v>
      </c>
      <c r="M251" s="7">
        <f t="shared" si="157"/>
        <v>6.9999999999999993E-3</v>
      </c>
      <c r="N251" s="14">
        <f>0.05/40</f>
        <v>1.25E-3</v>
      </c>
      <c r="O251" s="1">
        <f ca="1">P251*J251*(1+Growth!G$6)^(2010-K251)</f>
        <v>89.776544248070422</v>
      </c>
      <c r="P251" s="3">
        <v>54</v>
      </c>
      <c r="Q251" s="2">
        <f t="shared" si="148"/>
        <v>54</v>
      </c>
      <c r="R251" s="21">
        <f t="shared" ca="1" si="166"/>
        <v>8059.8278971257469</v>
      </c>
      <c r="X251" s="2">
        <f t="shared" si="171"/>
        <v>54</v>
      </c>
      <c r="AC251" s="1">
        <f t="shared" si="195"/>
        <v>5.6</v>
      </c>
      <c r="AD251" s="5">
        <v>0</v>
      </c>
      <c r="AE251" s="5">
        <v>0</v>
      </c>
      <c r="AF251" s="5">
        <v>1</v>
      </c>
      <c r="AG251" s="5">
        <v>1</v>
      </c>
      <c r="AH251" s="5">
        <v>1</v>
      </c>
      <c r="AI251" s="3">
        <f t="shared" si="158"/>
        <v>2.6</v>
      </c>
      <c r="AJ251" s="5">
        <f t="shared" si="175"/>
        <v>0</v>
      </c>
      <c r="AK251" s="5">
        <f t="shared" si="167"/>
        <v>0</v>
      </c>
      <c r="AL251" s="5">
        <f t="shared" si="168"/>
        <v>0</v>
      </c>
      <c r="AM251" s="5">
        <f t="shared" si="176"/>
        <v>0</v>
      </c>
      <c r="AN251" s="5">
        <f t="shared" si="169"/>
        <v>0</v>
      </c>
      <c r="AO251" s="5">
        <f t="shared" si="177"/>
        <v>1</v>
      </c>
      <c r="AP251" s="11" t="s">
        <v>42</v>
      </c>
      <c r="AQ251" s="1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f t="shared" si="159"/>
        <v>0</v>
      </c>
      <c r="AW251" s="5">
        <f t="shared" si="160"/>
        <v>0</v>
      </c>
      <c r="AX251" s="5">
        <f t="shared" si="161"/>
        <v>1</v>
      </c>
      <c r="AY251" s="1">
        <f t="shared" si="184"/>
        <v>0</v>
      </c>
      <c r="AZ251" s="1">
        <f t="shared" si="185"/>
        <v>0</v>
      </c>
      <c r="BA251" s="1">
        <f t="shared" si="186"/>
        <v>0</v>
      </c>
      <c r="BB251" s="5">
        <v>0</v>
      </c>
      <c r="BC251" s="5">
        <v>0</v>
      </c>
      <c r="BD251" s="5">
        <v>1</v>
      </c>
      <c r="BE251" s="5">
        <f t="shared" si="196"/>
        <v>0</v>
      </c>
      <c r="BF251" s="5">
        <v>0</v>
      </c>
      <c r="BG251" s="5">
        <f t="shared" si="197"/>
        <v>0</v>
      </c>
      <c r="BH251" s="5">
        <f t="shared" si="197"/>
        <v>0</v>
      </c>
      <c r="BI251" s="5">
        <f t="shared" si="197"/>
        <v>0</v>
      </c>
      <c r="BJ251" s="5">
        <f t="shared" si="197"/>
        <v>0</v>
      </c>
      <c r="BK251" s="5">
        <f t="shared" si="197"/>
        <v>0</v>
      </c>
      <c r="BL251" s="5">
        <f t="shared" si="197"/>
        <v>0</v>
      </c>
      <c r="BM251" s="5">
        <f t="shared" si="197"/>
        <v>0</v>
      </c>
      <c r="BN251" s="5">
        <f t="shared" si="197"/>
        <v>0</v>
      </c>
      <c r="BO251" s="5">
        <f t="shared" si="194"/>
        <v>0</v>
      </c>
      <c r="BP251" s="5">
        <f t="shared" si="194"/>
        <v>0</v>
      </c>
      <c r="BQ251" s="5">
        <f t="shared" si="194"/>
        <v>0</v>
      </c>
      <c r="BR251" s="5">
        <f t="shared" si="194"/>
        <v>0</v>
      </c>
      <c r="BS251" s="5">
        <f t="shared" si="194"/>
        <v>0</v>
      </c>
      <c r="BT251" s="5">
        <f t="shared" si="194"/>
        <v>0</v>
      </c>
      <c r="BU251" s="5">
        <f t="shared" si="194"/>
        <v>0</v>
      </c>
      <c r="BV251" s="5">
        <f t="shared" si="194"/>
        <v>1</v>
      </c>
      <c r="BW251" s="5">
        <f t="shared" si="194"/>
        <v>0</v>
      </c>
      <c r="BX251" s="5">
        <f t="shared" si="194"/>
        <v>0</v>
      </c>
      <c r="BY251" s="5">
        <f t="shared" si="194"/>
        <v>0</v>
      </c>
      <c r="BZ251" s="5">
        <f t="shared" si="194"/>
        <v>0</v>
      </c>
      <c r="CA251" s="5">
        <f t="shared" si="194"/>
        <v>0</v>
      </c>
      <c r="CB251" s="5">
        <f t="shared" si="194"/>
        <v>0</v>
      </c>
      <c r="CC251" s="5">
        <f t="shared" si="194"/>
        <v>0</v>
      </c>
      <c r="CD251" s="5">
        <f t="shared" ref="CD251:CE270" si="198">IF($E251=CD$2,1,0)</f>
        <v>0</v>
      </c>
      <c r="CE251" s="5">
        <f t="shared" si="198"/>
        <v>0</v>
      </c>
    </row>
    <row r="252" spans="1:83" x14ac:dyDescent="0.2">
      <c r="C252" s="1">
        <f>Growth!D257</f>
        <v>0</v>
      </c>
      <c r="D252" s="5" t="b">
        <f t="shared" si="164"/>
        <v>0</v>
      </c>
      <c r="E252" s="5">
        <v>2006</v>
      </c>
      <c r="F252" s="5">
        <f ca="1">LOOKUP($E252,frequence!$A$2:$A$35,frequence!L$2:L$35)</f>
        <v>71.097990738484512</v>
      </c>
      <c r="G252" s="5">
        <f ca="1">LOOKUP($E252,frequence!$A$2:$A$35,frequence!K$2:K$35)</f>
        <v>5.2950026937283488</v>
      </c>
      <c r="H252" s="5">
        <f ca="1">LOOKUP($E252,frequence!$A$2:$A$35,frequence!M$2:M$35)</f>
        <v>500.74918436144497</v>
      </c>
      <c r="I252" s="5">
        <v>1995</v>
      </c>
      <c r="J252" s="7">
        <f>LOOKUP(I252,CPI!A$69:A$103,CPI!O$69:O$103)</f>
        <v>1.4308136482939633</v>
      </c>
      <c r="K252" s="5">
        <v>2000</v>
      </c>
      <c r="L252" s="7">
        <f t="shared" ca="1" si="165"/>
        <v>1</v>
      </c>
      <c r="M252" s="7">
        <f t="shared" si="157"/>
        <v>6.9999999999999993E-3</v>
      </c>
      <c r="N252" s="14">
        <f t="shared" ref="N252:N290" si="199">0.05/40</f>
        <v>1.25E-3</v>
      </c>
      <c r="O252" s="1">
        <f ca="1">P252*J252*(1+Growth!G$6)^(2010-K252)</f>
        <v>18.287814569051381</v>
      </c>
      <c r="P252" s="3">
        <v>11</v>
      </c>
      <c r="Q252" s="2">
        <f t="shared" si="148"/>
        <v>11</v>
      </c>
      <c r="R252" s="21">
        <f t="shared" ca="1" si="166"/>
        <v>334.44416171200794</v>
      </c>
      <c r="X252" s="2">
        <f t="shared" si="171"/>
        <v>11</v>
      </c>
      <c r="AC252" s="1">
        <f t="shared" si="195"/>
        <v>5.6</v>
      </c>
      <c r="AD252" s="5">
        <v>0</v>
      </c>
      <c r="AE252" s="5">
        <v>0</v>
      </c>
      <c r="AF252" s="5">
        <v>1</v>
      </c>
      <c r="AG252" s="5">
        <v>1</v>
      </c>
      <c r="AH252" s="5">
        <v>1</v>
      </c>
      <c r="AI252" s="3">
        <f t="shared" si="158"/>
        <v>2.6</v>
      </c>
      <c r="AJ252" s="5">
        <f t="shared" si="175"/>
        <v>0</v>
      </c>
      <c r="AK252" s="5">
        <f t="shared" si="167"/>
        <v>0</v>
      </c>
      <c r="AL252" s="5">
        <f t="shared" si="168"/>
        <v>0</v>
      </c>
      <c r="AM252" s="5">
        <f t="shared" si="176"/>
        <v>1</v>
      </c>
      <c r="AN252" s="5">
        <f t="shared" si="169"/>
        <v>0</v>
      </c>
      <c r="AO252" s="5">
        <f t="shared" si="177"/>
        <v>0</v>
      </c>
      <c r="AP252" s="11" t="s">
        <v>42</v>
      </c>
      <c r="AQ252" s="1">
        <v>1</v>
      </c>
      <c r="AR252" s="5">
        <v>0</v>
      </c>
      <c r="AS252" s="5">
        <v>0</v>
      </c>
      <c r="AT252" s="5">
        <v>0</v>
      </c>
      <c r="AU252" s="5">
        <v>0</v>
      </c>
      <c r="AV252" s="5">
        <f t="shared" si="159"/>
        <v>0</v>
      </c>
      <c r="AW252" s="5">
        <f t="shared" si="160"/>
        <v>0</v>
      </c>
      <c r="AX252" s="5">
        <f t="shared" si="161"/>
        <v>1</v>
      </c>
      <c r="AY252" s="1">
        <f t="shared" si="184"/>
        <v>0</v>
      </c>
      <c r="AZ252" s="1">
        <f t="shared" si="185"/>
        <v>0</v>
      </c>
      <c r="BA252" s="1">
        <f t="shared" si="186"/>
        <v>0</v>
      </c>
      <c r="BB252" s="5">
        <v>0</v>
      </c>
      <c r="BC252" s="5">
        <v>0</v>
      </c>
      <c r="BD252" s="5">
        <v>1</v>
      </c>
      <c r="BE252" s="5">
        <f t="shared" si="196"/>
        <v>0</v>
      </c>
      <c r="BF252" s="5">
        <v>0</v>
      </c>
      <c r="BG252" s="5">
        <f t="shared" si="197"/>
        <v>0</v>
      </c>
      <c r="BH252" s="5">
        <f t="shared" si="197"/>
        <v>0</v>
      </c>
      <c r="BI252" s="5">
        <f t="shared" si="197"/>
        <v>0</v>
      </c>
      <c r="BJ252" s="5">
        <f t="shared" si="197"/>
        <v>0</v>
      </c>
      <c r="BK252" s="5">
        <f t="shared" si="197"/>
        <v>0</v>
      </c>
      <c r="BL252" s="5">
        <f t="shared" si="197"/>
        <v>0</v>
      </c>
      <c r="BM252" s="5">
        <f t="shared" si="197"/>
        <v>0</v>
      </c>
      <c r="BN252" s="5">
        <f t="shared" si="197"/>
        <v>0</v>
      </c>
      <c r="BO252" s="5">
        <f t="shared" si="194"/>
        <v>0</v>
      </c>
      <c r="BP252" s="5">
        <f t="shared" si="194"/>
        <v>0</v>
      </c>
      <c r="BQ252" s="5">
        <f t="shared" si="194"/>
        <v>0</v>
      </c>
      <c r="BR252" s="5">
        <f t="shared" si="194"/>
        <v>0</v>
      </c>
      <c r="BS252" s="5">
        <f t="shared" si="194"/>
        <v>0</v>
      </c>
      <c r="BT252" s="5">
        <f t="shared" si="194"/>
        <v>0</v>
      </c>
      <c r="BU252" s="5">
        <f t="shared" si="194"/>
        <v>0</v>
      </c>
      <c r="BV252" s="5">
        <f t="shared" si="194"/>
        <v>1</v>
      </c>
      <c r="BW252" s="5">
        <f t="shared" si="194"/>
        <v>0</v>
      </c>
      <c r="BX252" s="5">
        <f t="shared" si="194"/>
        <v>0</v>
      </c>
      <c r="BY252" s="5">
        <f t="shared" si="194"/>
        <v>0</v>
      </c>
      <c r="BZ252" s="5">
        <f t="shared" si="194"/>
        <v>0</v>
      </c>
      <c r="CA252" s="5">
        <f t="shared" si="194"/>
        <v>0</v>
      </c>
      <c r="CB252" s="5">
        <f t="shared" si="194"/>
        <v>0</v>
      </c>
      <c r="CC252" s="5">
        <f t="shared" si="194"/>
        <v>0</v>
      </c>
      <c r="CD252" s="5">
        <f t="shared" si="198"/>
        <v>0</v>
      </c>
      <c r="CE252" s="5">
        <f t="shared" si="198"/>
        <v>0</v>
      </c>
    </row>
    <row r="253" spans="1:83" x14ac:dyDescent="0.2">
      <c r="C253" s="1">
        <f>Growth!D258</f>
        <v>0</v>
      </c>
      <c r="D253" s="5" t="b">
        <f t="shared" si="164"/>
        <v>0</v>
      </c>
      <c r="E253" s="5">
        <v>2006</v>
      </c>
      <c r="F253" s="5">
        <f ca="1">LOOKUP($E253,frequence!$A$2:$A$35,frequence!L$2:L$35)</f>
        <v>71.097990738484512</v>
      </c>
      <c r="G253" s="5">
        <f ca="1">LOOKUP($E253,frequence!$A$2:$A$35,frequence!K$2:K$35)</f>
        <v>5.2950026937283488</v>
      </c>
      <c r="H253" s="5">
        <f ca="1">LOOKUP($E253,frequence!$A$2:$A$35,frequence!M$2:M$35)</f>
        <v>500.74918436144497</v>
      </c>
      <c r="I253" s="5">
        <v>1995</v>
      </c>
      <c r="J253" s="7">
        <f>LOOKUP(I253,CPI!A$69:A$103,CPI!O$69:O$103)</f>
        <v>1.4308136482939633</v>
      </c>
      <c r="K253" s="5">
        <v>2000</v>
      </c>
      <c r="L253" s="7">
        <f t="shared" ca="1" si="165"/>
        <v>1</v>
      </c>
      <c r="M253" s="7">
        <f t="shared" si="157"/>
        <v>6.9999999999999993E-3</v>
      </c>
      <c r="N253" s="14">
        <f t="shared" si="199"/>
        <v>1.25E-3</v>
      </c>
      <c r="O253" s="1">
        <f ca="1">P253*J253*(1+Growth!G$6)^(2010-K253)</f>
        <v>-4.1563214929662236</v>
      </c>
      <c r="P253" s="3">
        <v>-2.5</v>
      </c>
      <c r="Q253" s="2">
        <f t="shared" si="148"/>
        <v>-2.5</v>
      </c>
      <c r="R253" s="21">
        <f t="shared" ca="1" si="166"/>
        <v>17.275008352892979</v>
      </c>
      <c r="X253" s="2">
        <f t="shared" si="171"/>
        <v>-2.5</v>
      </c>
      <c r="AC253" s="1">
        <f t="shared" si="195"/>
        <v>5.6</v>
      </c>
      <c r="AD253" s="5">
        <v>0</v>
      </c>
      <c r="AE253" s="5">
        <v>0</v>
      </c>
      <c r="AF253" s="5">
        <v>1</v>
      </c>
      <c r="AG253" s="5">
        <v>1</v>
      </c>
      <c r="AH253" s="5">
        <v>1</v>
      </c>
      <c r="AI253" s="3">
        <f t="shared" si="158"/>
        <v>2.6</v>
      </c>
      <c r="AJ253" s="5">
        <f t="shared" si="175"/>
        <v>1</v>
      </c>
      <c r="AK253" s="5">
        <f t="shared" si="167"/>
        <v>0</v>
      </c>
      <c r="AL253" s="5">
        <f t="shared" si="168"/>
        <v>0</v>
      </c>
      <c r="AM253" s="5">
        <f t="shared" si="176"/>
        <v>0</v>
      </c>
      <c r="AN253" s="5">
        <f t="shared" si="169"/>
        <v>0</v>
      </c>
      <c r="AO253" s="5">
        <f t="shared" si="177"/>
        <v>0</v>
      </c>
      <c r="AP253" s="11" t="s">
        <v>42</v>
      </c>
      <c r="AQ253" s="1">
        <v>3</v>
      </c>
      <c r="AR253" s="5">
        <v>0</v>
      </c>
      <c r="AS253" s="5">
        <v>0</v>
      </c>
      <c r="AT253" s="5">
        <v>0</v>
      </c>
      <c r="AU253" s="5">
        <v>0</v>
      </c>
      <c r="AV253" s="5">
        <f t="shared" si="159"/>
        <v>0</v>
      </c>
      <c r="AW253" s="5">
        <f t="shared" si="160"/>
        <v>0</v>
      </c>
      <c r="AX253" s="5">
        <f t="shared" si="161"/>
        <v>1</v>
      </c>
      <c r="AY253" s="1">
        <f t="shared" si="184"/>
        <v>0</v>
      </c>
      <c r="AZ253" s="1">
        <f t="shared" si="185"/>
        <v>0</v>
      </c>
      <c r="BA253" s="1">
        <f t="shared" si="186"/>
        <v>0</v>
      </c>
      <c r="BB253" s="5">
        <v>0</v>
      </c>
      <c r="BC253" s="5">
        <v>0</v>
      </c>
      <c r="BD253" s="5">
        <v>1</v>
      </c>
      <c r="BE253" s="5">
        <f t="shared" si="196"/>
        <v>0</v>
      </c>
      <c r="BF253" s="5">
        <v>0</v>
      </c>
      <c r="BG253" s="5">
        <f t="shared" si="197"/>
        <v>0</v>
      </c>
      <c r="BH253" s="5">
        <f t="shared" si="197"/>
        <v>0</v>
      </c>
      <c r="BI253" s="5">
        <f t="shared" si="197"/>
        <v>0</v>
      </c>
      <c r="BJ253" s="5">
        <f t="shared" si="197"/>
        <v>0</v>
      </c>
      <c r="BK253" s="5">
        <f t="shared" si="197"/>
        <v>0</v>
      </c>
      <c r="BL253" s="5">
        <f t="shared" si="197"/>
        <v>0</v>
      </c>
      <c r="BM253" s="5">
        <f t="shared" si="197"/>
        <v>0</v>
      </c>
      <c r="BN253" s="5">
        <f t="shared" si="197"/>
        <v>0</v>
      </c>
      <c r="BO253" s="5">
        <f t="shared" si="194"/>
        <v>0</v>
      </c>
      <c r="BP253" s="5">
        <f t="shared" si="194"/>
        <v>0</v>
      </c>
      <c r="BQ253" s="5">
        <f t="shared" si="194"/>
        <v>0</v>
      </c>
      <c r="BR253" s="5">
        <f t="shared" si="194"/>
        <v>0</v>
      </c>
      <c r="BS253" s="5">
        <f t="shared" si="194"/>
        <v>0</v>
      </c>
      <c r="BT253" s="5">
        <f t="shared" si="194"/>
        <v>0</v>
      </c>
      <c r="BU253" s="5">
        <f t="shared" si="194"/>
        <v>0</v>
      </c>
      <c r="BV253" s="5">
        <f t="shared" si="194"/>
        <v>1</v>
      </c>
      <c r="BW253" s="5">
        <f t="shared" si="194"/>
        <v>0</v>
      </c>
      <c r="BX253" s="5">
        <f t="shared" si="194"/>
        <v>0</v>
      </c>
      <c r="BY253" s="5">
        <f t="shared" si="194"/>
        <v>0</v>
      </c>
      <c r="BZ253" s="5">
        <f t="shared" si="194"/>
        <v>0</v>
      </c>
      <c r="CA253" s="5">
        <f t="shared" si="194"/>
        <v>0</v>
      </c>
      <c r="CB253" s="5">
        <f t="shared" si="194"/>
        <v>0</v>
      </c>
      <c r="CC253" s="5">
        <f t="shared" si="194"/>
        <v>0</v>
      </c>
      <c r="CD253" s="5">
        <f t="shared" si="198"/>
        <v>0</v>
      </c>
      <c r="CE253" s="5">
        <f t="shared" si="198"/>
        <v>0</v>
      </c>
    </row>
    <row r="254" spans="1:83" x14ac:dyDescent="0.2">
      <c r="C254" s="1">
        <f>Growth!D259</f>
        <v>0</v>
      </c>
      <c r="D254" s="5" t="b">
        <f t="shared" si="164"/>
        <v>0</v>
      </c>
      <c r="E254" s="5">
        <v>2006</v>
      </c>
      <c r="F254" s="5">
        <f ca="1">LOOKUP($E254,frequence!$A$2:$A$35,frequence!L$2:L$35)</f>
        <v>71.097990738484512</v>
      </c>
      <c r="G254" s="5">
        <f ca="1">LOOKUP($E254,frequence!$A$2:$A$35,frequence!K$2:K$35)</f>
        <v>5.2950026937283488</v>
      </c>
      <c r="H254" s="5">
        <f ca="1">LOOKUP($E254,frequence!$A$2:$A$35,frequence!M$2:M$35)</f>
        <v>500.74918436144497</v>
      </c>
      <c r="I254" s="5">
        <v>1995</v>
      </c>
      <c r="J254" s="7">
        <f>LOOKUP(I254,CPI!A$69:A$103,CPI!O$69:O$103)</f>
        <v>1.4308136482939633</v>
      </c>
      <c r="K254" s="5">
        <v>2000</v>
      </c>
      <c r="L254" s="7">
        <f t="shared" ca="1" si="165"/>
        <v>1</v>
      </c>
      <c r="M254" s="7">
        <f t="shared" si="157"/>
        <v>6.9999999999999993E-3</v>
      </c>
      <c r="N254" s="14">
        <f t="shared" si="199"/>
        <v>1.25E-3</v>
      </c>
      <c r="O254" s="1">
        <f ca="1">P254*J254*(1+Growth!G$6)^(2010-K254)</f>
        <v>28.262986152170317</v>
      </c>
      <c r="P254" s="3">
        <v>17</v>
      </c>
      <c r="Q254" s="2">
        <f t="shared" si="148"/>
        <v>17</v>
      </c>
      <c r="R254" s="21">
        <f t="shared" ca="1" si="166"/>
        <v>798.79638623777112</v>
      </c>
      <c r="X254" s="2">
        <f t="shared" si="171"/>
        <v>17</v>
      </c>
      <c r="AC254" s="1">
        <f t="shared" si="195"/>
        <v>5.6</v>
      </c>
      <c r="AD254" s="5">
        <v>0</v>
      </c>
      <c r="AE254" s="5">
        <v>0</v>
      </c>
      <c r="AF254" s="5">
        <v>1</v>
      </c>
      <c r="AG254" s="5">
        <v>1</v>
      </c>
      <c r="AH254" s="5">
        <v>1</v>
      </c>
      <c r="AI254" s="3">
        <f t="shared" si="158"/>
        <v>2.6</v>
      </c>
      <c r="AJ254" s="5">
        <f t="shared" si="175"/>
        <v>0</v>
      </c>
      <c r="AK254" s="5">
        <f t="shared" si="167"/>
        <v>0</v>
      </c>
      <c r="AL254" s="5">
        <f t="shared" si="168"/>
        <v>0</v>
      </c>
      <c r="AM254" s="5">
        <f t="shared" si="176"/>
        <v>0</v>
      </c>
      <c r="AN254" s="5">
        <f t="shared" si="169"/>
        <v>0</v>
      </c>
      <c r="AO254" s="5">
        <f t="shared" si="177"/>
        <v>0</v>
      </c>
      <c r="AP254" s="11" t="s">
        <v>42</v>
      </c>
      <c r="AQ254" s="1" t="s">
        <v>42</v>
      </c>
      <c r="AR254" s="5">
        <v>0</v>
      </c>
      <c r="AS254" s="5">
        <v>0</v>
      </c>
      <c r="AT254" s="5">
        <v>0</v>
      </c>
      <c r="AU254" s="5">
        <v>0</v>
      </c>
      <c r="AV254" s="5">
        <f t="shared" si="159"/>
        <v>0</v>
      </c>
      <c r="AW254" s="5">
        <f t="shared" si="160"/>
        <v>0</v>
      </c>
      <c r="AX254" s="5">
        <f t="shared" si="161"/>
        <v>1</v>
      </c>
      <c r="AY254" s="1">
        <f t="shared" si="184"/>
        <v>0</v>
      </c>
      <c r="AZ254" s="1">
        <f t="shared" si="185"/>
        <v>0</v>
      </c>
      <c r="BA254" s="1">
        <f t="shared" si="186"/>
        <v>0</v>
      </c>
      <c r="BB254" s="5">
        <v>0</v>
      </c>
      <c r="BC254" s="5">
        <v>0</v>
      </c>
      <c r="BD254" s="5">
        <v>1</v>
      </c>
      <c r="BE254" s="5">
        <f t="shared" si="196"/>
        <v>0</v>
      </c>
      <c r="BF254" s="5">
        <v>0</v>
      </c>
      <c r="BG254" s="5">
        <f t="shared" si="197"/>
        <v>0</v>
      </c>
      <c r="BH254" s="5">
        <f t="shared" si="197"/>
        <v>0</v>
      </c>
      <c r="BI254" s="5">
        <f t="shared" si="197"/>
        <v>0</v>
      </c>
      <c r="BJ254" s="5">
        <f t="shared" si="197"/>
        <v>0</v>
      </c>
      <c r="BK254" s="5">
        <f t="shared" si="197"/>
        <v>0</v>
      </c>
      <c r="BL254" s="5">
        <f t="shared" si="197"/>
        <v>0</v>
      </c>
      <c r="BM254" s="5">
        <f t="shared" si="197"/>
        <v>0</v>
      </c>
      <c r="BN254" s="5">
        <f t="shared" si="197"/>
        <v>0</v>
      </c>
      <c r="BO254" s="5">
        <f t="shared" si="194"/>
        <v>0</v>
      </c>
      <c r="BP254" s="5">
        <f t="shared" si="194"/>
        <v>0</v>
      </c>
      <c r="BQ254" s="5">
        <f t="shared" si="194"/>
        <v>0</v>
      </c>
      <c r="BR254" s="5">
        <f t="shared" si="194"/>
        <v>0</v>
      </c>
      <c r="BS254" s="5">
        <f t="shared" si="194"/>
        <v>0</v>
      </c>
      <c r="BT254" s="5">
        <f t="shared" si="194"/>
        <v>0</v>
      </c>
      <c r="BU254" s="5">
        <f t="shared" si="194"/>
        <v>0</v>
      </c>
      <c r="BV254" s="5">
        <f t="shared" si="194"/>
        <v>1</v>
      </c>
      <c r="BW254" s="5">
        <f t="shared" si="194"/>
        <v>0</v>
      </c>
      <c r="BX254" s="5">
        <f t="shared" si="194"/>
        <v>0</v>
      </c>
      <c r="BY254" s="5">
        <f t="shared" si="194"/>
        <v>0</v>
      </c>
      <c r="BZ254" s="5">
        <f t="shared" si="194"/>
        <v>0</v>
      </c>
      <c r="CA254" s="5">
        <f t="shared" si="194"/>
        <v>0</v>
      </c>
      <c r="CB254" s="5">
        <f t="shared" si="194"/>
        <v>0</v>
      </c>
      <c r="CC254" s="5">
        <f t="shared" si="194"/>
        <v>0</v>
      </c>
      <c r="CD254" s="5">
        <f t="shared" si="198"/>
        <v>0</v>
      </c>
      <c r="CE254" s="5">
        <f t="shared" si="198"/>
        <v>0</v>
      </c>
    </row>
    <row r="255" spans="1:83" x14ac:dyDescent="0.2">
      <c r="C255" s="1">
        <f>Growth!D260</f>
        <v>0</v>
      </c>
      <c r="D255" s="5" t="b">
        <f t="shared" si="164"/>
        <v>0</v>
      </c>
      <c r="E255" s="5">
        <v>2006</v>
      </c>
      <c r="F255" s="5">
        <f ca="1">LOOKUP($E255,frequence!$A$2:$A$35,frequence!L$2:L$35)</f>
        <v>71.097990738484512</v>
      </c>
      <c r="G255" s="5">
        <f ca="1">LOOKUP($E255,frequence!$A$2:$A$35,frequence!K$2:K$35)</f>
        <v>5.2950026937283488</v>
      </c>
      <c r="H255" s="5">
        <f ca="1">LOOKUP($E255,frequence!$A$2:$A$35,frequence!M$2:M$35)</f>
        <v>500.74918436144497</v>
      </c>
      <c r="I255" s="5">
        <v>1995</v>
      </c>
      <c r="J255" s="7">
        <f>LOOKUP(I255,CPI!A$69:A$103,CPI!O$69:O$103)</f>
        <v>1.4308136482939633</v>
      </c>
      <c r="K255" s="5">
        <v>2000</v>
      </c>
      <c r="L255" s="7">
        <f t="shared" ca="1" si="165"/>
        <v>1</v>
      </c>
      <c r="M255" s="7">
        <f t="shared" si="157"/>
        <v>6.9999999999999993E-3</v>
      </c>
      <c r="N255" s="14">
        <f t="shared" si="199"/>
        <v>1.25E-3</v>
      </c>
      <c r="O255" s="1">
        <f ca="1">P255*J255*(1+Growth!G$6)^(2010-K255)</f>
        <v>89.776544248070422</v>
      </c>
      <c r="P255" s="3">
        <v>54</v>
      </c>
      <c r="Q255" s="2">
        <f t="shared" si="148"/>
        <v>54</v>
      </c>
      <c r="R255" s="21">
        <f t="shared" ca="1" si="166"/>
        <v>8059.8278971257469</v>
      </c>
      <c r="X255" s="2">
        <f t="shared" si="171"/>
        <v>54</v>
      </c>
      <c r="AC255" s="1">
        <f t="shared" si="195"/>
        <v>5.6</v>
      </c>
      <c r="AD255" s="5">
        <v>0</v>
      </c>
      <c r="AE255" s="5">
        <v>0</v>
      </c>
      <c r="AF255" s="5">
        <v>1</v>
      </c>
      <c r="AG255" s="5">
        <v>1</v>
      </c>
      <c r="AH255" s="5">
        <v>1</v>
      </c>
      <c r="AI255" s="3">
        <f t="shared" si="158"/>
        <v>2.6</v>
      </c>
      <c r="AJ255" s="5">
        <f t="shared" si="175"/>
        <v>0</v>
      </c>
      <c r="AK255" s="5">
        <f t="shared" si="167"/>
        <v>0</v>
      </c>
      <c r="AL255" s="5">
        <f t="shared" si="168"/>
        <v>0</v>
      </c>
      <c r="AM255" s="5">
        <f t="shared" si="176"/>
        <v>0</v>
      </c>
      <c r="AN255" s="5">
        <f t="shared" si="169"/>
        <v>0</v>
      </c>
      <c r="AO255" s="5">
        <f t="shared" si="177"/>
        <v>1</v>
      </c>
      <c r="AP255" s="11" t="s">
        <v>42</v>
      </c>
      <c r="AQ255" s="1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f t="shared" si="159"/>
        <v>0</v>
      </c>
      <c r="AW255" s="5">
        <f t="shared" si="160"/>
        <v>0</v>
      </c>
      <c r="AX255" s="5">
        <f t="shared" si="161"/>
        <v>1</v>
      </c>
      <c r="AY255" s="1">
        <f t="shared" si="184"/>
        <v>0</v>
      </c>
      <c r="AZ255" s="1">
        <f t="shared" si="185"/>
        <v>0</v>
      </c>
      <c r="BA255" s="1">
        <f t="shared" si="186"/>
        <v>0</v>
      </c>
      <c r="BB255" s="5">
        <v>0</v>
      </c>
      <c r="BC255" s="5">
        <v>0</v>
      </c>
      <c r="BD255" s="5">
        <v>1</v>
      </c>
      <c r="BE255" s="5">
        <f t="shared" si="196"/>
        <v>0</v>
      </c>
      <c r="BF255" s="5">
        <v>0</v>
      </c>
      <c r="BG255" s="5">
        <f t="shared" si="197"/>
        <v>0</v>
      </c>
      <c r="BH255" s="5">
        <f t="shared" si="197"/>
        <v>0</v>
      </c>
      <c r="BI255" s="5">
        <f t="shared" si="197"/>
        <v>0</v>
      </c>
      <c r="BJ255" s="5">
        <f t="shared" si="197"/>
        <v>0</v>
      </c>
      <c r="BK255" s="5">
        <f t="shared" si="197"/>
        <v>0</v>
      </c>
      <c r="BL255" s="5">
        <f t="shared" si="197"/>
        <v>0</v>
      </c>
      <c r="BM255" s="5">
        <f t="shared" si="197"/>
        <v>0</v>
      </c>
      <c r="BN255" s="5">
        <f t="shared" si="197"/>
        <v>0</v>
      </c>
      <c r="BO255" s="5">
        <f t="shared" si="194"/>
        <v>0</v>
      </c>
      <c r="BP255" s="5">
        <f t="shared" si="194"/>
        <v>0</v>
      </c>
      <c r="BQ255" s="5">
        <f t="shared" si="194"/>
        <v>0</v>
      </c>
      <c r="BR255" s="5">
        <f t="shared" si="194"/>
        <v>0</v>
      </c>
      <c r="BS255" s="5">
        <f t="shared" si="194"/>
        <v>0</v>
      </c>
      <c r="BT255" s="5">
        <f t="shared" si="194"/>
        <v>0</v>
      </c>
      <c r="BU255" s="5">
        <f t="shared" si="194"/>
        <v>0</v>
      </c>
      <c r="BV255" s="5">
        <f t="shared" si="194"/>
        <v>1</v>
      </c>
      <c r="BW255" s="5">
        <f t="shared" si="194"/>
        <v>0</v>
      </c>
      <c r="BX255" s="5">
        <f t="shared" si="194"/>
        <v>0</v>
      </c>
      <c r="BY255" s="5">
        <f t="shared" si="194"/>
        <v>0</v>
      </c>
      <c r="BZ255" s="5">
        <f t="shared" si="194"/>
        <v>0</v>
      </c>
      <c r="CA255" s="5">
        <f t="shared" si="194"/>
        <v>0</v>
      </c>
      <c r="CB255" s="5">
        <f t="shared" si="194"/>
        <v>0</v>
      </c>
      <c r="CC255" s="5">
        <f t="shared" si="194"/>
        <v>0</v>
      </c>
      <c r="CD255" s="5">
        <f t="shared" si="198"/>
        <v>0</v>
      </c>
      <c r="CE255" s="5">
        <f t="shared" si="198"/>
        <v>0</v>
      </c>
    </row>
    <row r="256" spans="1:83" x14ac:dyDescent="0.2">
      <c r="C256" s="1">
        <f>Growth!D261</f>
        <v>0</v>
      </c>
      <c r="D256" s="5" t="b">
        <f t="shared" si="164"/>
        <v>0</v>
      </c>
      <c r="E256" s="5">
        <v>2006</v>
      </c>
      <c r="F256" s="5">
        <f ca="1">LOOKUP($E256,frequence!$A$2:$A$35,frequence!L$2:L$35)</f>
        <v>71.097990738484512</v>
      </c>
      <c r="G256" s="5">
        <f ca="1">LOOKUP($E256,frequence!$A$2:$A$35,frequence!K$2:K$35)</f>
        <v>5.2950026937283488</v>
      </c>
      <c r="H256" s="5">
        <f ca="1">LOOKUP($E256,frequence!$A$2:$A$35,frequence!M$2:M$35)</f>
        <v>500.74918436144497</v>
      </c>
      <c r="I256" s="5">
        <v>1995</v>
      </c>
      <c r="J256" s="7">
        <f>LOOKUP(I256,CPI!A$69:A$103,CPI!O$69:O$103)</f>
        <v>1.4308136482939633</v>
      </c>
      <c r="K256" s="5">
        <v>2000</v>
      </c>
      <c r="L256" s="7">
        <f t="shared" ca="1" si="165"/>
        <v>1</v>
      </c>
      <c r="M256" s="7">
        <f t="shared" si="157"/>
        <v>6.9999999999999993E-3</v>
      </c>
      <c r="N256" s="14">
        <f t="shared" si="199"/>
        <v>1.25E-3</v>
      </c>
      <c r="O256" s="1">
        <f ca="1">P256*J256*(1+Growth!G$6)^(2010-K256)</f>
        <v>21.612871763424362</v>
      </c>
      <c r="P256" s="3">
        <v>13</v>
      </c>
      <c r="Q256" s="2">
        <f t="shared" si="148"/>
        <v>13</v>
      </c>
      <c r="R256" s="21">
        <f t="shared" ca="1" si="166"/>
        <v>467.11622586222609</v>
      </c>
      <c r="X256" s="2">
        <f t="shared" si="171"/>
        <v>13</v>
      </c>
      <c r="AC256" s="1">
        <f t="shared" si="195"/>
        <v>5.6</v>
      </c>
      <c r="AD256" s="5">
        <v>0</v>
      </c>
      <c r="AE256" s="5">
        <v>0</v>
      </c>
      <c r="AF256" s="5">
        <v>1</v>
      </c>
      <c r="AG256" s="5">
        <v>1</v>
      </c>
      <c r="AH256" s="5">
        <v>1</v>
      </c>
      <c r="AI256" s="3">
        <f t="shared" si="158"/>
        <v>2.6</v>
      </c>
      <c r="AJ256" s="5">
        <f t="shared" si="175"/>
        <v>0</v>
      </c>
      <c r="AK256" s="5">
        <f t="shared" si="167"/>
        <v>0</v>
      </c>
      <c r="AL256" s="5">
        <f t="shared" si="168"/>
        <v>0</v>
      </c>
      <c r="AM256" s="5">
        <f t="shared" si="176"/>
        <v>1</v>
      </c>
      <c r="AN256" s="5">
        <f t="shared" si="169"/>
        <v>0</v>
      </c>
      <c r="AO256" s="5">
        <f t="shared" si="177"/>
        <v>0</v>
      </c>
      <c r="AP256" s="11" t="s">
        <v>42</v>
      </c>
      <c r="AQ256" s="1">
        <v>1</v>
      </c>
      <c r="AR256" s="5">
        <v>0</v>
      </c>
      <c r="AS256" s="5">
        <v>0</v>
      </c>
      <c r="AT256" s="5">
        <v>0</v>
      </c>
      <c r="AU256" s="5">
        <v>0</v>
      </c>
      <c r="AV256" s="5">
        <f t="shared" si="159"/>
        <v>0</v>
      </c>
      <c r="AW256" s="5">
        <f t="shared" si="160"/>
        <v>0</v>
      </c>
      <c r="AX256" s="5">
        <f t="shared" si="161"/>
        <v>1</v>
      </c>
      <c r="AY256" s="1">
        <f t="shared" si="184"/>
        <v>0</v>
      </c>
      <c r="AZ256" s="1">
        <f t="shared" si="185"/>
        <v>0</v>
      </c>
      <c r="BA256" s="1">
        <f t="shared" si="186"/>
        <v>0</v>
      </c>
      <c r="BB256" s="5">
        <v>0</v>
      </c>
      <c r="BC256" s="5">
        <v>0</v>
      </c>
      <c r="BD256" s="5">
        <v>1</v>
      </c>
      <c r="BE256" s="5">
        <f t="shared" si="196"/>
        <v>0</v>
      </c>
      <c r="BF256" s="5">
        <v>0</v>
      </c>
      <c r="BG256" s="5">
        <f t="shared" si="197"/>
        <v>0</v>
      </c>
      <c r="BH256" s="5">
        <f t="shared" si="197"/>
        <v>0</v>
      </c>
      <c r="BI256" s="5">
        <f t="shared" si="197"/>
        <v>0</v>
      </c>
      <c r="BJ256" s="5">
        <f t="shared" si="197"/>
        <v>0</v>
      </c>
      <c r="BK256" s="5">
        <f t="shared" si="197"/>
        <v>0</v>
      </c>
      <c r="BL256" s="5">
        <f t="shared" si="197"/>
        <v>0</v>
      </c>
      <c r="BM256" s="5">
        <f t="shared" si="197"/>
        <v>0</v>
      </c>
      <c r="BN256" s="5">
        <f t="shared" si="197"/>
        <v>0</v>
      </c>
      <c r="BO256" s="5">
        <f t="shared" si="194"/>
        <v>0</v>
      </c>
      <c r="BP256" s="5">
        <f t="shared" si="194"/>
        <v>0</v>
      </c>
      <c r="BQ256" s="5">
        <f t="shared" si="194"/>
        <v>0</v>
      </c>
      <c r="BR256" s="5">
        <f t="shared" si="194"/>
        <v>0</v>
      </c>
      <c r="BS256" s="5">
        <f t="shared" si="194"/>
        <v>0</v>
      </c>
      <c r="BT256" s="5">
        <f t="shared" si="194"/>
        <v>0</v>
      </c>
      <c r="BU256" s="5">
        <f t="shared" si="194"/>
        <v>0</v>
      </c>
      <c r="BV256" s="5">
        <f t="shared" si="194"/>
        <v>1</v>
      </c>
      <c r="BW256" s="5">
        <f t="shared" si="194"/>
        <v>0</v>
      </c>
      <c r="BX256" s="5">
        <f t="shared" si="194"/>
        <v>0</v>
      </c>
      <c r="BY256" s="5">
        <f t="shared" si="194"/>
        <v>0</v>
      </c>
      <c r="BZ256" s="5">
        <f t="shared" si="194"/>
        <v>0</v>
      </c>
      <c r="CA256" s="5">
        <f t="shared" si="194"/>
        <v>0</v>
      </c>
      <c r="CB256" s="5">
        <f t="shared" si="194"/>
        <v>0</v>
      </c>
      <c r="CC256" s="5">
        <f t="shared" si="194"/>
        <v>0</v>
      </c>
      <c r="CD256" s="5">
        <f t="shared" si="198"/>
        <v>0</v>
      </c>
      <c r="CE256" s="5">
        <f t="shared" si="198"/>
        <v>0</v>
      </c>
    </row>
    <row r="257" spans="3:83" x14ac:dyDescent="0.2">
      <c r="C257" s="1">
        <f>Growth!D262</f>
        <v>0</v>
      </c>
      <c r="D257" s="5" t="b">
        <f t="shared" si="164"/>
        <v>0</v>
      </c>
      <c r="E257" s="5">
        <v>2006</v>
      </c>
      <c r="F257" s="5">
        <f ca="1">LOOKUP($E257,frequence!$A$2:$A$35,frequence!L$2:L$35)</f>
        <v>71.097990738484512</v>
      </c>
      <c r="G257" s="5">
        <f ca="1">LOOKUP($E257,frequence!$A$2:$A$35,frequence!K$2:K$35)</f>
        <v>5.2950026937283488</v>
      </c>
      <c r="H257" s="5">
        <f ca="1">LOOKUP($E257,frequence!$A$2:$A$35,frequence!M$2:M$35)</f>
        <v>500.74918436144497</v>
      </c>
      <c r="I257" s="5">
        <v>1995</v>
      </c>
      <c r="J257" s="7">
        <f>LOOKUP(I257,CPI!A$69:A$103,CPI!O$69:O$103)</f>
        <v>1.4308136482939633</v>
      </c>
      <c r="K257" s="5">
        <v>2000</v>
      </c>
      <c r="L257" s="7">
        <f t="shared" ca="1" si="165"/>
        <v>1</v>
      </c>
      <c r="M257" s="7">
        <f t="shared" si="157"/>
        <v>6.9999999999999993E-3</v>
      </c>
      <c r="N257" s="14">
        <f t="shared" si="199"/>
        <v>1.25E-3</v>
      </c>
      <c r="O257" s="1">
        <f ca="1">P257*J257*(1+Growth!G$6)^(2010-K257)</f>
        <v>-0.14131493076085161</v>
      </c>
      <c r="P257" s="3">
        <v>-8.5000000000000006E-2</v>
      </c>
      <c r="Q257" s="2">
        <f t="shared" si="148"/>
        <v>-8.5000000000000006E-2</v>
      </c>
      <c r="R257" s="21">
        <f t="shared" ca="1" si="166"/>
        <v>1.9969909655944286E-2</v>
      </c>
      <c r="X257" s="2">
        <f t="shared" si="171"/>
        <v>-8.5000000000000006E-2</v>
      </c>
      <c r="AC257" s="1">
        <f t="shared" si="195"/>
        <v>5.6</v>
      </c>
      <c r="AD257" s="5">
        <v>0</v>
      </c>
      <c r="AE257" s="5">
        <v>0</v>
      </c>
      <c r="AF257" s="5">
        <v>1</v>
      </c>
      <c r="AG257" s="5">
        <v>1</v>
      </c>
      <c r="AH257" s="5">
        <v>1</v>
      </c>
      <c r="AI257" s="3">
        <f t="shared" si="158"/>
        <v>2.6</v>
      </c>
      <c r="AJ257" s="5">
        <f t="shared" si="175"/>
        <v>1</v>
      </c>
      <c r="AK257" s="5">
        <f t="shared" si="167"/>
        <v>0</v>
      </c>
      <c r="AL257" s="5">
        <f t="shared" si="168"/>
        <v>0</v>
      </c>
      <c r="AM257" s="5">
        <f t="shared" si="176"/>
        <v>0</v>
      </c>
      <c r="AN257" s="5">
        <f t="shared" si="169"/>
        <v>0</v>
      </c>
      <c r="AO257" s="5">
        <f t="shared" si="177"/>
        <v>0</v>
      </c>
      <c r="AP257" s="11" t="s">
        <v>42</v>
      </c>
      <c r="AQ257" s="1">
        <v>3</v>
      </c>
      <c r="AR257" s="5">
        <v>0</v>
      </c>
      <c r="AS257" s="5">
        <v>0</v>
      </c>
      <c r="AT257" s="5">
        <v>0</v>
      </c>
      <c r="AU257" s="5">
        <v>0</v>
      </c>
      <c r="AV257" s="5">
        <f t="shared" si="159"/>
        <v>0</v>
      </c>
      <c r="AW257" s="5">
        <f t="shared" si="160"/>
        <v>0</v>
      </c>
      <c r="AX257" s="5">
        <f t="shared" si="161"/>
        <v>1</v>
      </c>
      <c r="AY257" s="1">
        <f t="shared" si="184"/>
        <v>0</v>
      </c>
      <c r="AZ257" s="1">
        <f t="shared" si="185"/>
        <v>0</v>
      </c>
      <c r="BA257" s="1">
        <f t="shared" si="186"/>
        <v>0</v>
      </c>
      <c r="BB257" s="5">
        <v>0</v>
      </c>
      <c r="BC257" s="5">
        <v>0</v>
      </c>
      <c r="BD257" s="5">
        <v>1</v>
      </c>
      <c r="BE257" s="5">
        <f t="shared" si="196"/>
        <v>0</v>
      </c>
      <c r="BF257" s="5">
        <v>0</v>
      </c>
      <c r="BG257" s="5">
        <f t="shared" si="197"/>
        <v>0</v>
      </c>
      <c r="BH257" s="5">
        <f t="shared" si="197"/>
        <v>0</v>
      </c>
      <c r="BI257" s="5">
        <f t="shared" si="197"/>
        <v>0</v>
      </c>
      <c r="BJ257" s="5">
        <f t="shared" si="197"/>
        <v>0</v>
      </c>
      <c r="BK257" s="5">
        <f t="shared" si="197"/>
        <v>0</v>
      </c>
      <c r="BL257" s="5">
        <f t="shared" si="197"/>
        <v>0</v>
      </c>
      <c r="BM257" s="5">
        <f t="shared" si="197"/>
        <v>0</v>
      </c>
      <c r="BN257" s="5">
        <f t="shared" si="197"/>
        <v>0</v>
      </c>
      <c r="BO257" s="5">
        <f t="shared" si="194"/>
        <v>0</v>
      </c>
      <c r="BP257" s="5">
        <f t="shared" si="194"/>
        <v>0</v>
      </c>
      <c r="BQ257" s="5">
        <f t="shared" si="194"/>
        <v>0</v>
      </c>
      <c r="BR257" s="5">
        <f t="shared" si="194"/>
        <v>0</v>
      </c>
      <c r="BS257" s="5">
        <f t="shared" si="194"/>
        <v>0</v>
      </c>
      <c r="BT257" s="5">
        <f t="shared" si="194"/>
        <v>0</v>
      </c>
      <c r="BU257" s="5">
        <f t="shared" si="194"/>
        <v>0</v>
      </c>
      <c r="BV257" s="5">
        <f t="shared" si="194"/>
        <v>1</v>
      </c>
      <c r="BW257" s="5">
        <f t="shared" si="194"/>
        <v>0</v>
      </c>
      <c r="BX257" s="5">
        <f t="shared" si="194"/>
        <v>0</v>
      </c>
      <c r="BY257" s="5">
        <f t="shared" si="194"/>
        <v>0</v>
      </c>
      <c r="BZ257" s="5">
        <f t="shared" si="194"/>
        <v>0</v>
      </c>
      <c r="CA257" s="5">
        <f t="shared" si="194"/>
        <v>0</v>
      </c>
      <c r="CB257" s="5">
        <f t="shared" si="194"/>
        <v>0</v>
      </c>
      <c r="CC257" s="5">
        <f t="shared" si="194"/>
        <v>0</v>
      </c>
      <c r="CD257" s="5">
        <f t="shared" si="198"/>
        <v>0</v>
      </c>
      <c r="CE257" s="5">
        <f t="shared" si="198"/>
        <v>0</v>
      </c>
    </row>
    <row r="258" spans="3:83" x14ac:dyDescent="0.2">
      <c r="C258" s="1">
        <f>Growth!D263</f>
        <v>0</v>
      </c>
      <c r="D258" s="5" t="b">
        <f t="shared" si="164"/>
        <v>0</v>
      </c>
      <c r="E258" s="5">
        <v>2006</v>
      </c>
      <c r="F258" s="5">
        <f ca="1">LOOKUP($E258,frequence!$A$2:$A$35,frequence!L$2:L$35)</f>
        <v>71.097990738484512</v>
      </c>
      <c r="G258" s="5">
        <f ca="1">LOOKUP($E258,frequence!$A$2:$A$35,frequence!K$2:K$35)</f>
        <v>5.2950026937283488</v>
      </c>
      <c r="H258" s="5">
        <f ca="1">LOOKUP($E258,frequence!$A$2:$A$35,frequence!M$2:M$35)</f>
        <v>500.74918436144497</v>
      </c>
      <c r="I258" s="5">
        <v>1995</v>
      </c>
      <c r="J258" s="7">
        <f>LOOKUP(I258,CPI!A$69:A$103,CPI!O$69:O$103)</f>
        <v>1.4308136482939633</v>
      </c>
      <c r="K258" s="5">
        <v>2000</v>
      </c>
      <c r="L258" s="7">
        <f t="shared" ca="1" si="165"/>
        <v>1</v>
      </c>
      <c r="M258" s="7">
        <f t="shared" si="157"/>
        <v>6.9999999999999993E-3</v>
      </c>
      <c r="N258" s="14">
        <f t="shared" si="199"/>
        <v>1.25E-3</v>
      </c>
      <c r="O258" s="1">
        <f ca="1">P258*J258*(1+Growth!G$6)^(2010-K258)</f>
        <v>33.250571943729788</v>
      </c>
      <c r="P258" s="3">
        <v>20</v>
      </c>
      <c r="Q258" s="2">
        <f t="shared" si="148"/>
        <v>20</v>
      </c>
      <c r="R258" s="21">
        <f t="shared" ca="1" si="166"/>
        <v>1105.6005345851506</v>
      </c>
      <c r="X258" s="2">
        <f t="shared" si="171"/>
        <v>20</v>
      </c>
      <c r="AC258" s="1">
        <f t="shared" si="195"/>
        <v>5.6</v>
      </c>
      <c r="AD258" s="5">
        <v>0</v>
      </c>
      <c r="AE258" s="5">
        <v>0</v>
      </c>
      <c r="AF258" s="5">
        <v>1</v>
      </c>
      <c r="AG258" s="5">
        <v>1</v>
      </c>
      <c r="AH258" s="5">
        <v>1</v>
      </c>
      <c r="AI258" s="3">
        <f t="shared" si="158"/>
        <v>2.6</v>
      </c>
      <c r="AJ258" s="5">
        <f t="shared" si="175"/>
        <v>0</v>
      </c>
      <c r="AK258" s="5">
        <f t="shared" si="167"/>
        <v>0</v>
      </c>
      <c r="AL258" s="5">
        <f t="shared" si="168"/>
        <v>0</v>
      </c>
      <c r="AM258" s="5">
        <f t="shared" si="176"/>
        <v>0</v>
      </c>
      <c r="AN258" s="5">
        <f t="shared" si="169"/>
        <v>0</v>
      </c>
      <c r="AO258" s="5">
        <f t="shared" si="177"/>
        <v>0</v>
      </c>
      <c r="AP258" s="11" t="s">
        <v>42</v>
      </c>
      <c r="AQ258" s="1" t="s">
        <v>42</v>
      </c>
      <c r="AR258" s="5">
        <v>0</v>
      </c>
      <c r="AS258" s="5">
        <v>0</v>
      </c>
      <c r="AT258" s="5">
        <v>0</v>
      </c>
      <c r="AU258" s="5">
        <v>0</v>
      </c>
      <c r="AV258" s="5">
        <f t="shared" si="159"/>
        <v>0</v>
      </c>
      <c r="AW258" s="5">
        <f t="shared" si="160"/>
        <v>0</v>
      </c>
      <c r="AX258" s="5">
        <f t="shared" si="161"/>
        <v>1</v>
      </c>
      <c r="AY258" s="1">
        <f t="shared" si="184"/>
        <v>0</v>
      </c>
      <c r="AZ258" s="1">
        <f t="shared" si="185"/>
        <v>0</v>
      </c>
      <c r="BA258" s="1">
        <f t="shared" si="186"/>
        <v>0</v>
      </c>
      <c r="BB258" s="5">
        <v>0</v>
      </c>
      <c r="BC258" s="5">
        <v>0</v>
      </c>
      <c r="BD258" s="5">
        <v>1</v>
      </c>
      <c r="BE258" s="5">
        <f t="shared" si="196"/>
        <v>0</v>
      </c>
      <c r="BF258" s="5">
        <v>0</v>
      </c>
      <c r="BG258" s="5">
        <f t="shared" si="197"/>
        <v>0</v>
      </c>
      <c r="BH258" s="5">
        <f t="shared" si="197"/>
        <v>0</v>
      </c>
      <c r="BI258" s="5">
        <f t="shared" si="197"/>
        <v>0</v>
      </c>
      <c r="BJ258" s="5">
        <f t="shared" si="197"/>
        <v>0</v>
      </c>
      <c r="BK258" s="5">
        <f t="shared" si="197"/>
        <v>0</v>
      </c>
      <c r="BL258" s="5">
        <f t="shared" si="197"/>
        <v>0</v>
      </c>
      <c r="BM258" s="5">
        <f t="shared" si="197"/>
        <v>0</v>
      </c>
      <c r="BN258" s="5">
        <f t="shared" si="197"/>
        <v>0</v>
      </c>
      <c r="BO258" s="5">
        <f t="shared" si="194"/>
        <v>0</v>
      </c>
      <c r="BP258" s="5">
        <f t="shared" si="194"/>
        <v>0</v>
      </c>
      <c r="BQ258" s="5">
        <f t="shared" si="194"/>
        <v>0</v>
      </c>
      <c r="BR258" s="5">
        <f t="shared" si="194"/>
        <v>0</v>
      </c>
      <c r="BS258" s="5">
        <f t="shared" si="194"/>
        <v>0</v>
      </c>
      <c r="BT258" s="5">
        <f t="shared" si="194"/>
        <v>0</v>
      </c>
      <c r="BU258" s="5">
        <f t="shared" si="194"/>
        <v>0</v>
      </c>
      <c r="BV258" s="5">
        <f t="shared" si="194"/>
        <v>1</v>
      </c>
      <c r="BW258" s="5">
        <f t="shared" si="194"/>
        <v>0</v>
      </c>
      <c r="BX258" s="5">
        <f t="shared" si="194"/>
        <v>0</v>
      </c>
      <c r="BY258" s="5">
        <f t="shared" si="194"/>
        <v>0</v>
      </c>
      <c r="BZ258" s="5">
        <f t="shared" si="194"/>
        <v>0</v>
      </c>
      <c r="CA258" s="5">
        <f t="shared" si="194"/>
        <v>0</v>
      </c>
      <c r="CB258" s="5">
        <f t="shared" si="194"/>
        <v>0</v>
      </c>
      <c r="CC258" s="5">
        <f t="shared" si="194"/>
        <v>0</v>
      </c>
      <c r="CD258" s="5">
        <f t="shared" si="198"/>
        <v>0</v>
      </c>
      <c r="CE258" s="5">
        <f t="shared" si="198"/>
        <v>0</v>
      </c>
    </row>
    <row r="259" spans="3:83" x14ac:dyDescent="0.2">
      <c r="C259" s="1">
        <f>Growth!D264</f>
        <v>0</v>
      </c>
      <c r="D259" s="5" t="b">
        <f t="shared" si="164"/>
        <v>0</v>
      </c>
      <c r="E259" s="5">
        <v>2006</v>
      </c>
      <c r="F259" s="5">
        <f ca="1">LOOKUP($E259,frequence!$A$2:$A$35,frequence!L$2:L$35)</f>
        <v>71.097990738484512</v>
      </c>
      <c r="G259" s="5">
        <f ca="1">LOOKUP($E259,frequence!$A$2:$A$35,frequence!K$2:K$35)</f>
        <v>5.2950026937283488</v>
      </c>
      <c r="H259" s="5">
        <f ca="1">LOOKUP($E259,frequence!$A$2:$A$35,frequence!M$2:M$35)</f>
        <v>500.74918436144497</v>
      </c>
      <c r="I259" s="5">
        <v>1995</v>
      </c>
      <c r="J259" s="7">
        <f>LOOKUP(I259,CPI!A$69:A$103,CPI!O$69:O$103)</f>
        <v>1.4308136482939633</v>
      </c>
      <c r="K259" s="5">
        <v>2000</v>
      </c>
      <c r="L259" s="7">
        <f t="shared" ca="1" si="165"/>
        <v>1</v>
      </c>
      <c r="M259" s="7">
        <f t="shared" si="157"/>
        <v>6.9999999999999993E-3</v>
      </c>
      <c r="N259" s="14">
        <f t="shared" si="199"/>
        <v>1.25E-3</v>
      </c>
      <c r="O259" s="1">
        <f ca="1">P259*J259*(1+Growth!G$6)^(2010-K259)</f>
        <v>89.776544248070422</v>
      </c>
      <c r="P259" s="3">
        <v>54</v>
      </c>
      <c r="Q259" s="2">
        <f t="shared" si="148"/>
        <v>54</v>
      </c>
      <c r="R259" s="21">
        <f t="shared" ca="1" si="166"/>
        <v>8059.8278971257469</v>
      </c>
      <c r="X259" s="2">
        <f t="shared" si="171"/>
        <v>54</v>
      </c>
      <c r="AC259" s="1">
        <f t="shared" si="195"/>
        <v>5.6</v>
      </c>
      <c r="AD259" s="5">
        <v>0</v>
      </c>
      <c r="AE259" s="5">
        <v>0</v>
      </c>
      <c r="AF259" s="5">
        <v>1</v>
      </c>
      <c r="AG259" s="5">
        <v>1</v>
      </c>
      <c r="AH259" s="5">
        <v>1</v>
      </c>
      <c r="AI259" s="3">
        <f t="shared" si="158"/>
        <v>2.6</v>
      </c>
      <c r="AJ259" s="5">
        <f t="shared" si="175"/>
        <v>0</v>
      </c>
      <c r="AK259" s="5">
        <f t="shared" si="167"/>
        <v>0</v>
      </c>
      <c r="AL259" s="5">
        <f t="shared" si="168"/>
        <v>0</v>
      </c>
      <c r="AM259" s="5">
        <f t="shared" si="176"/>
        <v>0</v>
      </c>
      <c r="AN259" s="5">
        <f t="shared" si="169"/>
        <v>0</v>
      </c>
      <c r="AO259" s="5">
        <f t="shared" si="177"/>
        <v>1</v>
      </c>
      <c r="AP259" s="11" t="s">
        <v>42</v>
      </c>
      <c r="AQ259" s="1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f t="shared" si="159"/>
        <v>0</v>
      </c>
      <c r="AW259" s="5">
        <f t="shared" si="160"/>
        <v>0</v>
      </c>
      <c r="AX259" s="5">
        <f t="shared" si="161"/>
        <v>1</v>
      </c>
      <c r="AY259" s="1">
        <f t="shared" si="184"/>
        <v>0</v>
      </c>
      <c r="AZ259" s="1">
        <f t="shared" si="185"/>
        <v>0</v>
      </c>
      <c r="BA259" s="1">
        <f t="shared" si="186"/>
        <v>0</v>
      </c>
      <c r="BB259" s="5">
        <v>0</v>
      </c>
      <c r="BC259" s="5">
        <v>0</v>
      </c>
      <c r="BD259" s="5">
        <v>1</v>
      </c>
      <c r="BE259" s="5">
        <f t="shared" si="196"/>
        <v>0</v>
      </c>
      <c r="BF259" s="5">
        <v>0</v>
      </c>
      <c r="BG259" s="5">
        <f t="shared" si="197"/>
        <v>0</v>
      </c>
      <c r="BH259" s="5">
        <f t="shared" si="197"/>
        <v>0</v>
      </c>
      <c r="BI259" s="5">
        <f t="shared" si="197"/>
        <v>0</v>
      </c>
      <c r="BJ259" s="5">
        <f t="shared" si="197"/>
        <v>0</v>
      </c>
      <c r="BK259" s="5">
        <f t="shared" si="197"/>
        <v>0</v>
      </c>
      <c r="BL259" s="5">
        <f t="shared" si="197"/>
        <v>0</v>
      </c>
      <c r="BM259" s="5">
        <f t="shared" si="197"/>
        <v>0</v>
      </c>
      <c r="BN259" s="5">
        <f t="shared" si="197"/>
        <v>0</v>
      </c>
      <c r="BO259" s="5">
        <f t="shared" si="194"/>
        <v>0</v>
      </c>
      <c r="BP259" s="5">
        <f t="shared" si="194"/>
        <v>0</v>
      </c>
      <c r="BQ259" s="5">
        <f t="shared" si="194"/>
        <v>0</v>
      </c>
      <c r="BR259" s="5">
        <f t="shared" si="194"/>
        <v>0</v>
      </c>
      <c r="BS259" s="5">
        <f t="shared" si="194"/>
        <v>0</v>
      </c>
      <c r="BT259" s="5">
        <f t="shared" si="194"/>
        <v>0</v>
      </c>
      <c r="BU259" s="5">
        <f t="shared" si="194"/>
        <v>0</v>
      </c>
      <c r="BV259" s="5">
        <f t="shared" si="194"/>
        <v>1</v>
      </c>
      <c r="BW259" s="5">
        <f t="shared" si="194"/>
        <v>0</v>
      </c>
      <c r="BX259" s="5">
        <f t="shared" si="194"/>
        <v>0</v>
      </c>
      <c r="BY259" s="5">
        <f t="shared" si="194"/>
        <v>0</v>
      </c>
      <c r="BZ259" s="5">
        <f t="shared" si="194"/>
        <v>0</v>
      </c>
      <c r="CA259" s="5">
        <f t="shared" si="194"/>
        <v>0</v>
      </c>
      <c r="CB259" s="5">
        <f t="shared" si="194"/>
        <v>0</v>
      </c>
      <c r="CC259" s="5">
        <f t="shared" si="194"/>
        <v>0</v>
      </c>
      <c r="CD259" s="5">
        <f t="shared" si="198"/>
        <v>0</v>
      </c>
      <c r="CE259" s="5">
        <f t="shared" si="198"/>
        <v>0</v>
      </c>
    </row>
    <row r="260" spans="3:83" x14ac:dyDescent="0.2">
      <c r="C260" s="1">
        <f>Growth!D265</f>
        <v>0</v>
      </c>
      <c r="D260" s="5" t="b">
        <f t="shared" si="164"/>
        <v>0</v>
      </c>
      <c r="E260" s="5">
        <v>2006</v>
      </c>
      <c r="F260" s="5">
        <f ca="1">LOOKUP($E260,frequence!$A$2:$A$35,frequence!L$2:L$35)</f>
        <v>71.097990738484512</v>
      </c>
      <c r="G260" s="5">
        <f ca="1">LOOKUP($E260,frequence!$A$2:$A$35,frequence!K$2:K$35)</f>
        <v>5.2950026937283488</v>
      </c>
      <c r="H260" s="5">
        <f ca="1">LOOKUP($E260,frequence!$A$2:$A$35,frequence!M$2:M$35)</f>
        <v>500.74918436144497</v>
      </c>
      <c r="I260" s="5">
        <v>1995</v>
      </c>
      <c r="J260" s="7">
        <f>LOOKUP(I260,CPI!A$69:A$103,CPI!O$69:O$103)</f>
        <v>1.4308136482939633</v>
      </c>
      <c r="K260" s="5">
        <v>2000</v>
      </c>
      <c r="L260" s="7">
        <f t="shared" ca="1" si="165"/>
        <v>1</v>
      </c>
      <c r="M260" s="7">
        <f t="shared" ref="M260:M323" si="200">N260*AC260</f>
        <v>6.9999999999999993E-3</v>
      </c>
      <c r="N260" s="14">
        <f t="shared" si="199"/>
        <v>1.25E-3</v>
      </c>
      <c r="O260" s="1">
        <f ca="1">P260*J260*(1+Growth!G$6)^(2010-K260)</f>
        <v>16.625285971864894</v>
      </c>
      <c r="P260" s="3">
        <v>10</v>
      </c>
      <c r="Q260" s="2">
        <f t="shared" si="148"/>
        <v>10</v>
      </c>
      <c r="R260" s="21">
        <f t="shared" ca="1" si="166"/>
        <v>276.40013364628766</v>
      </c>
      <c r="X260" s="2">
        <f t="shared" si="171"/>
        <v>10</v>
      </c>
      <c r="AC260" s="1">
        <f t="shared" si="195"/>
        <v>5.6</v>
      </c>
      <c r="AD260" s="5">
        <v>0</v>
      </c>
      <c r="AE260" s="5">
        <v>0</v>
      </c>
      <c r="AF260" s="5">
        <v>1</v>
      </c>
      <c r="AG260" s="5">
        <v>1</v>
      </c>
      <c r="AH260" s="5">
        <v>1</v>
      </c>
      <c r="AI260" s="3">
        <f t="shared" ref="AI260:AI323" si="201">(E260-1980)/10</f>
        <v>2.6</v>
      </c>
      <c r="AJ260" s="5">
        <f t="shared" si="175"/>
        <v>0</v>
      </c>
      <c r="AK260" s="5">
        <f t="shared" si="167"/>
        <v>0</v>
      </c>
      <c r="AL260" s="5">
        <f t="shared" si="168"/>
        <v>0</v>
      </c>
      <c r="AM260" s="5">
        <f t="shared" si="176"/>
        <v>1</v>
      </c>
      <c r="AN260" s="5">
        <f t="shared" si="169"/>
        <v>0</v>
      </c>
      <c r="AO260" s="5">
        <f t="shared" si="177"/>
        <v>0</v>
      </c>
      <c r="AP260" s="11" t="s">
        <v>42</v>
      </c>
      <c r="AQ260" s="1">
        <v>1</v>
      </c>
      <c r="AR260" s="5">
        <v>0</v>
      </c>
      <c r="AS260" s="5">
        <v>0</v>
      </c>
      <c r="AT260" s="5">
        <v>0</v>
      </c>
      <c r="AU260" s="5">
        <v>0</v>
      </c>
      <c r="AV260" s="5">
        <f t="shared" ref="AV260:AV323" si="202">IF(E260&lt;1996,1,0)</f>
        <v>0</v>
      </c>
      <c r="AW260" s="5">
        <f t="shared" ref="AW260:AW323" si="203">IF(E260&lt;2002,IF(E260&gt;1995,1,0),0)</f>
        <v>0</v>
      </c>
      <c r="AX260" s="5">
        <f t="shared" ref="AX260:AX323" si="204">IF(E260&gt;2001,1,0)</f>
        <v>1</v>
      </c>
      <c r="AY260" s="1">
        <f t="shared" si="184"/>
        <v>0</v>
      </c>
      <c r="AZ260" s="1">
        <f t="shared" si="185"/>
        <v>0</v>
      </c>
      <c r="BA260" s="1">
        <f t="shared" si="186"/>
        <v>0</v>
      </c>
      <c r="BB260" s="5">
        <v>0</v>
      </c>
      <c r="BC260" s="5">
        <v>0</v>
      </c>
      <c r="BD260" s="5">
        <v>1</v>
      </c>
      <c r="BE260" s="5">
        <f t="shared" si="196"/>
        <v>0</v>
      </c>
      <c r="BF260" s="5">
        <v>0</v>
      </c>
      <c r="BG260" s="5">
        <f t="shared" si="197"/>
        <v>0</v>
      </c>
      <c r="BH260" s="5">
        <f t="shared" si="197"/>
        <v>0</v>
      </c>
      <c r="BI260" s="5">
        <f t="shared" si="197"/>
        <v>0</v>
      </c>
      <c r="BJ260" s="5">
        <f t="shared" si="197"/>
        <v>0</v>
      </c>
      <c r="BK260" s="5">
        <f t="shared" si="197"/>
        <v>0</v>
      </c>
      <c r="BL260" s="5">
        <f t="shared" si="197"/>
        <v>0</v>
      </c>
      <c r="BM260" s="5">
        <f t="shared" si="197"/>
        <v>0</v>
      </c>
      <c r="BN260" s="5">
        <f t="shared" ref="BN260:CB275" si="205">IF($E260=BN$2,1,0)</f>
        <v>0</v>
      </c>
      <c r="BO260" s="5">
        <f t="shared" si="205"/>
        <v>0</v>
      </c>
      <c r="BP260" s="5">
        <f t="shared" si="205"/>
        <v>0</v>
      </c>
      <c r="BQ260" s="5">
        <f t="shared" si="205"/>
        <v>0</v>
      </c>
      <c r="BR260" s="5">
        <f t="shared" si="205"/>
        <v>0</v>
      </c>
      <c r="BS260" s="5">
        <f t="shared" si="205"/>
        <v>0</v>
      </c>
      <c r="BT260" s="5">
        <f t="shared" si="205"/>
        <v>0</v>
      </c>
      <c r="BU260" s="5">
        <f t="shared" si="205"/>
        <v>0</v>
      </c>
      <c r="BV260" s="5">
        <f t="shared" si="205"/>
        <v>1</v>
      </c>
      <c r="BW260" s="5">
        <f t="shared" si="205"/>
        <v>0</v>
      </c>
      <c r="BX260" s="5">
        <f t="shared" si="205"/>
        <v>0</v>
      </c>
      <c r="BY260" s="5">
        <f t="shared" si="205"/>
        <v>0</v>
      </c>
      <c r="BZ260" s="5">
        <f t="shared" si="205"/>
        <v>0</v>
      </c>
      <c r="CA260" s="5">
        <f t="shared" si="205"/>
        <v>0</v>
      </c>
      <c r="CB260" s="5">
        <f t="shared" si="205"/>
        <v>0</v>
      </c>
      <c r="CC260" s="5">
        <f t="shared" ref="CC260:CE279" si="206">IF($E260=CC$2,1,0)</f>
        <v>0</v>
      </c>
      <c r="CD260" s="5">
        <f t="shared" si="198"/>
        <v>0</v>
      </c>
      <c r="CE260" s="5">
        <f t="shared" si="198"/>
        <v>0</v>
      </c>
    </row>
    <row r="261" spans="3:83" x14ac:dyDescent="0.2">
      <c r="C261" s="1">
        <f>Growth!D266</f>
        <v>0</v>
      </c>
      <c r="D261" s="5" t="b">
        <f t="shared" ref="D261:D324" si="207">IF(B261&gt;0,E261)</f>
        <v>0</v>
      </c>
      <c r="E261" s="5">
        <v>2006</v>
      </c>
      <c r="F261" s="5">
        <f ca="1">LOOKUP($E261,frequence!$A$2:$A$35,frequence!L$2:L$35)</f>
        <v>71.097990738484512</v>
      </c>
      <c r="G261" s="5">
        <f ca="1">LOOKUP($E261,frequence!$A$2:$A$35,frequence!K$2:K$35)</f>
        <v>5.2950026937283488</v>
      </c>
      <c r="H261" s="5">
        <f ca="1">LOOKUP($E261,frequence!$A$2:$A$35,frequence!M$2:M$35)</f>
        <v>500.74918436144497</v>
      </c>
      <c r="I261" s="5">
        <v>1995</v>
      </c>
      <c r="J261" s="7">
        <f>LOOKUP(I261,CPI!A$69:A$103,CPI!O$69:O$103)</f>
        <v>1.4308136482939633</v>
      </c>
      <c r="K261" s="5">
        <v>2000</v>
      </c>
      <c r="L261" s="7">
        <f t="shared" ref="L261:L324" ca="1" si="208">IF(O261&lt;L$1,1,IF(O261&gt;L$2,0,1-(O261-L$1)/(L$2-L$1)))</f>
        <v>1</v>
      </c>
      <c r="M261" s="7">
        <f t="shared" si="200"/>
        <v>6.9999999999999993E-3</v>
      </c>
      <c r="N261" s="14">
        <f t="shared" si="199"/>
        <v>1.25E-3</v>
      </c>
      <c r="O261" s="1">
        <f ca="1">P261*J261*(1+Growth!G$6)^(2010-K261)</f>
        <v>-4.1563214929662236</v>
      </c>
      <c r="P261" s="3">
        <v>-2.5</v>
      </c>
      <c r="Q261" s="2">
        <f t="shared" si="148"/>
        <v>-2.5</v>
      </c>
      <c r="R261" s="21">
        <f t="shared" ref="R261:R324" ca="1" si="209">O261*O261</f>
        <v>17.275008352892979</v>
      </c>
      <c r="X261" s="2">
        <f t="shared" si="171"/>
        <v>-2.5</v>
      </c>
      <c r="AC261" s="1">
        <f t="shared" si="195"/>
        <v>5.6</v>
      </c>
      <c r="AD261" s="5">
        <v>0</v>
      </c>
      <c r="AE261" s="5">
        <v>0</v>
      </c>
      <c r="AF261" s="5">
        <v>1</v>
      </c>
      <c r="AG261" s="5">
        <v>1</v>
      </c>
      <c r="AH261" s="5">
        <v>1</v>
      </c>
      <c r="AI261" s="3">
        <f t="shared" si="201"/>
        <v>2.6</v>
      </c>
      <c r="AJ261" s="5">
        <f t="shared" si="175"/>
        <v>1</v>
      </c>
      <c r="AK261" s="5">
        <f t="shared" ref="AK261:AK324" si="210">IF($AQ261=2,1,0)</f>
        <v>0</v>
      </c>
      <c r="AL261" s="5">
        <f t="shared" ref="AL261:AL324" si="211">IF($AQ261=1.5,1,0)</f>
        <v>0</v>
      </c>
      <c r="AM261" s="5">
        <f t="shared" si="176"/>
        <v>0</v>
      </c>
      <c r="AN261" s="5">
        <f t="shared" ref="AN261:AN324" si="212">IF($AQ261=0.1,1,0)</f>
        <v>0</v>
      </c>
      <c r="AO261" s="5">
        <f t="shared" si="177"/>
        <v>0</v>
      </c>
      <c r="AP261" s="11" t="s">
        <v>42</v>
      </c>
      <c r="AQ261" s="1">
        <v>3</v>
      </c>
      <c r="AR261" s="5">
        <v>0</v>
      </c>
      <c r="AS261" s="5">
        <v>0</v>
      </c>
      <c r="AT261" s="5">
        <v>0</v>
      </c>
      <c r="AU261" s="5">
        <v>0</v>
      </c>
      <c r="AV261" s="5">
        <f t="shared" si="202"/>
        <v>0</v>
      </c>
      <c r="AW261" s="5">
        <f t="shared" si="203"/>
        <v>0</v>
      </c>
      <c r="AX261" s="5">
        <f t="shared" si="204"/>
        <v>1</v>
      </c>
      <c r="AY261" s="1">
        <f t="shared" si="184"/>
        <v>0</v>
      </c>
      <c r="AZ261" s="1">
        <f t="shared" si="185"/>
        <v>0</v>
      </c>
      <c r="BA261" s="1">
        <f t="shared" si="186"/>
        <v>0</v>
      </c>
      <c r="BB261" s="5">
        <v>0</v>
      </c>
      <c r="BC261" s="5">
        <v>0</v>
      </c>
      <c r="BD261" s="5">
        <v>1</v>
      </c>
      <c r="BE261" s="5">
        <f t="shared" si="196"/>
        <v>0</v>
      </c>
      <c r="BF261" s="5">
        <v>0</v>
      </c>
      <c r="BG261" s="5">
        <f t="shared" ref="BG261:BN276" si="213">IF($E261=BG$2,1,0)</f>
        <v>0</v>
      </c>
      <c r="BH261" s="5">
        <f t="shared" si="213"/>
        <v>0</v>
      </c>
      <c r="BI261" s="5">
        <f t="shared" si="213"/>
        <v>0</v>
      </c>
      <c r="BJ261" s="5">
        <f t="shared" si="213"/>
        <v>0</v>
      </c>
      <c r="BK261" s="5">
        <f t="shared" si="213"/>
        <v>0</v>
      </c>
      <c r="BL261" s="5">
        <f t="shared" si="213"/>
        <v>0</v>
      </c>
      <c r="BM261" s="5">
        <f t="shared" si="213"/>
        <v>0</v>
      </c>
      <c r="BN261" s="5">
        <f t="shared" si="205"/>
        <v>0</v>
      </c>
      <c r="BO261" s="5">
        <f t="shared" si="205"/>
        <v>0</v>
      </c>
      <c r="BP261" s="5">
        <f t="shared" si="205"/>
        <v>0</v>
      </c>
      <c r="BQ261" s="5">
        <f t="shared" si="205"/>
        <v>0</v>
      </c>
      <c r="BR261" s="5">
        <f t="shared" si="205"/>
        <v>0</v>
      </c>
      <c r="BS261" s="5">
        <f t="shared" si="205"/>
        <v>0</v>
      </c>
      <c r="BT261" s="5">
        <f t="shared" si="205"/>
        <v>0</v>
      </c>
      <c r="BU261" s="5">
        <f t="shared" si="205"/>
        <v>0</v>
      </c>
      <c r="BV261" s="5">
        <f t="shared" si="205"/>
        <v>1</v>
      </c>
      <c r="BW261" s="5">
        <f t="shared" si="205"/>
        <v>0</v>
      </c>
      <c r="BX261" s="5">
        <f t="shared" si="205"/>
        <v>0</v>
      </c>
      <c r="BY261" s="5">
        <f t="shared" si="205"/>
        <v>0</v>
      </c>
      <c r="BZ261" s="5">
        <f t="shared" si="205"/>
        <v>0</v>
      </c>
      <c r="CA261" s="5">
        <f t="shared" si="205"/>
        <v>0</v>
      </c>
      <c r="CB261" s="5">
        <f t="shared" si="205"/>
        <v>0</v>
      </c>
      <c r="CC261" s="5">
        <f t="shared" si="206"/>
        <v>0</v>
      </c>
      <c r="CD261" s="5">
        <f t="shared" si="198"/>
        <v>0</v>
      </c>
      <c r="CE261" s="5">
        <f t="shared" si="198"/>
        <v>0</v>
      </c>
    </row>
    <row r="262" spans="3:83" x14ac:dyDescent="0.2">
      <c r="C262" s="1">
        <f>Growth!D267</f>
        <v>0</v>
      </c>
      <c r="D262" s="5" t="b">
        <f t="shared" si="207"/>
        <v>0</v>
      </c>
      <c r="E262" s="5">
        <v>2006</v>
      </c>
      <c r="F262" s="5">
        <f ca="1">LOOKUP($E262,frequence!$A$2:$A$35,frequence!L$2:L$35)</f>
        <v>71.097990738484512</v>
      </c>
      <c r="G262" s="5">
        <f ca="1">LOOKUP($E262,frequence!$A$2:$A$35,frequence!K$2:K$35)</f>
        <v>5.2950026937283488</v>
      </c>
      <c r="H262" s="5">
        <f ca="1">LOOKUP($E262,frequence!$A$2:$A$35,frequence!M$2:M$35)</f>
        <v>500.74918436144497</v>
      </c>
      <c r="I262" s="5">
        <v>1995</v>
      </c>
      <c r="J262" s="7">
        <f>LOOKUP(I262,CPI!A$69:A$103,CPI!O$69:O$103)</f>
        <v>1.4308136482939633</v>
      </c>
      <c r="K262" s="5">
        <v>2000</v>
      </c>
      <c r="L262" s="7">
        <f t="shared" ca="1" si="208"/>
        <v>1</v>
      </c>
      <c r="M262" s="7">
        <f t="shared" si="200"/>
        <v>6.9999999999999993E-3</v>
      </c>
      <c r="N262" s="14">
        <f t="shared" si="199"/>
        <v>1.25E-3</v>
      </c>
      <c r="O262" s="1">
        <f ca="1">P262*J262*(1+Growth!G$6)^(2010-K262)</f>
        <v>28.262986152170317</v>
      </c>
      <c r="P262" s="3">
        <v>17</v>
      </c>
      <c r="Q262" s="2">
        <f t="shared" si="148"/>
        <v>17</v>
      </c>
      <c r="R262" s="21">
        <f t="shared" ca="1" si="209"/>
        <v>798.79638623777112</v>
      </c>
      <c r="X262" s="2">
        <f t="shared" si="171"/>
        <v>17</v>
      </c>
      <c r="AC262" s="1">
        <f t="shared" si="195"/>
        <v>5.6</v>
      </c>
      <c r="AD262" s="5">
        <v>0</v>
      </c>
      <c r="AE262" s="5">
        <v>0</v>
      </c>
      <c r="AF262" s="5">
        <v>1</v>
      </c>
      <c r="AG262" s="5">
        <v>1</v>
      </c>
      <c r="AH262" s="5">
        <v>1</v>
      </c>
      <c r="AI262" s="3">
        <f t="shared" si="201"/>
        <v>2.6</v>
      </c>
      <c r="AJ262" s="5">
        <f t="shared" si="175"/>
        <v>0</v>
      </c>
      <c r="AK262" s="5">
        <f t="shared" si="210"/>
        <v>0</v>
      </c>
      <c r="AL262" s="5">
        <f t="shared" si="211"/>
        <v>0</v>
      </c>
      <c r="AM262" s="5">
        <f t="shared" si="176"/>
        <v>0</v>
      </c>
      <c r="AN262" s="5">
        <f t="shared" si="212"/>
        <v>0</v>
      </c>
      <c r="AO262" s="5">
        <f t="shared" si="177"/>
        <v>0</v>
      </c>
      <c r="AP262" s="11" t="s">
        <v>42</v>
      </c>
      <c r="AQ262" s="1" t="s">
        <v>42</v>
      </c>
      <c r="AR262" s="5">
        <v>0</v>
      </c>
      <c r="AS262" s="5">
        <v>0</v>
      </c>
      <c r="AT262" s="5">
        <v>0</v>
      </c>
      <c r="AU262" s="5">
        <v>0</v>
      </c>
      <c r="AV262" s="5">
        <f t="shared" si="202"/>
        <v>0</v>
      </c>
      <c r="AW262" s="5">
        <f t="shared" si="203"/>
        <v>0</v>
      </c>
      <c r="AX262" s="5">
        <f t="shared" si="204"/>
        <v>1</v>
      </c>
      <c r="AY262" s="1">
        <f t="shared" si="184"/>
        <v>0</v>
      </c>
      <c r="AZ262" s="1">
        <f t="shared" si="185"/>
        <v>0</v>
      </c>
      <c r="BA262" s="1">
        <f t="shared" si="186"/>
        <v>0</v>
      </c>
      <c r="BB262" s="5">
        <v>0</v>
      </c>
      <c r="BC262" s="5">
        <v>0</v>
      </c>
      <c r="BD262" s="5">
        <v>1</v>
      </c>
      <c r="BE262" s="5">
        <f t="shared" si="196"/>
        <v>0</v>
      </c>
      <c r="BF262" s="5">
        <v>0</v>
      </c>
      <c r="BG262" s="5">
        <f t="shared" si="213"/>
        <v>0</v>
      </c>
      <c r="BH262" s="5">
        <f t="shared" si="213"/>
        <v>0</v>
      </c>
      <c r="BI262" s="5">
        <f t="shared" si="213"/>
        <v>0</v>
      </c>
      <c r="BJ262" s="5">
        <f t="shared" si="213"/>
        <v>0</v>
      </c>
      <c r="BK262" s="5">
        <f t="shared" si="213"/>
        <v>0</v>
      </c>
      <c r="BL262" s="5">
        <f t="shared" si="213"/>
        <v>0</v>
      </c>
      <c r="BM262" s="5">
        <f t="shared" si="213"/>
        <v>0</v>
      </c>
      <c r="BN262" s="5">
        <f t="shared" si="205"/>
        <v>0</v>
      </c>
      <c r="BO262" s="5">
        <f t="shared" si="205"/>
        <v>0</v>
      </c>
      <c r="BP262" s="5">
        <f t="shared" si="205"/>
        <v>0</v>
      </c>
      <c r="BQ262" s="5">
        <f t="shared" si="205"/>
        <v>0</v>
      </c>
      <c r="BR262" s="5">
        <f t="shared" si="205"/>
        <v>0</v>
      </c>
      <c r="BS262" s="5">
        <f t="shared" si="205"/>
        <v>0</v>
      </c>
      <c r="BT262" s="5">
        <f t="shared" si="205"/>
        <v>0</v>
      </c>
      <c r="BU262" s="5">
        <f t="shared" si="205"/>
        <v>0</v>
      </c>
      <c r="BV262" s="5">
        <f t="shared" si="205"/>
        <v>1</v>
      </c>
      <c r="BW262" s="5">
        <f t="shared" si="205"/>
        <v>0</v>
      </c>
      <c r="BX262" s="5">
        <f t="shared" si="205"/>
        <v>0</v>
      </c>
      <c r="BY262" s="5">
        <f t="shared" si="205"/>
        <v>0</v>
      </c>
      <c r="BZ262" s="5">
        <f t="shared" si="205"/>
        <v>0</v>
      </c>
      <c r="CA262" s="5">
        <f t="shared" si="205"/>
        <v>0</v>
      </c>
      <c r="CB262" s="5">
        <f t="shared" si="205"/>
        <v>0</v>
      </c>
      <c r="CC262" s="5">
        <f t="shared" si="206"/>
        <v>0</v>
      </c>
      <c r="CD262" s="5">
        <f t="shared" si="198"/>
        <v>0</v>
      </c>
      <c r="CE262" s="5">
        <f t="shared" si="198"/>
        <v>0</v>
      </c>
    </row>
    <row r="263" spans="3:83" x14ac:dyDescent="0.2">
      <c r="C263" s="1">
        <f>Growth!D268</f>
        <v>0</v>
      </c>
      <c r="D263" s="5" t="b">
        <f t="shared" si="207"/>
        <v>0</v>
      </c>
      <c r="E263" s="5">
        <v>2006</v>
      </c>
      <c r="F263" s="5">
        <f ca="1">LOOKUP($E263,frequence!$A$2:$A$35,frequence!L$2:L$35)</f>
        <v>71.097990738484512</v>
      </c>
      <c r="G263" s="5">
        <f ca="1">LOOKUP($E263,frequence!$A$2:$A$35,frequence!K$2:K$35)</f>
        <v>5.2950026937283488</v>
      </c>
      <c r="H263" s="5">
        <f ca="1">LOOKUP($E263,frequence!$A$2:$A$35,frequence!M$2:M$35)</f>
        <v>500.74918436144497</v>
      </c>
      <c r="I263" s="5">
        <v>1995</v>
      </c>
      <c r="J263" s="7">
        <f>LOOKUP(I263,CPI!A$69:A$103,CPI!O$69:O$103)</f>
        <v>1.4308136482939633</v>
      </c>
      <c r="K263" s="5">
        <v>2000</v>
      </c>
      <c r="L263" s="7">
        <f t="shared" ca="1" si="208"/>
        <v>1</v>
      </c>
      <c r="M263" s="7">
        <f t="shared" si="200"/>
        <v>6.9999999999999993E-3</v>
      </c>
      <c r="N263" s="14">
        <f t="shared" si="199"/>
        <v>1.25E-3</v>
      </c>
      <c r="O263" s="1">
        <f ca="1">P263*J263*(1+Growth!G$6)^(2010-K263)</f>
        <v>91.439072845256916</v>
      </c>
      <c r="P263" s="3">
        <v>55</v>
      </c>
      <c r="Q263" s="2">
        <f t="shared" si="148"/>
        <v>55</v>
      </c>
      <c r="R263" s="21">
        <f t="shared" ca="1" si="209"/>
        <v>8361.1040428002016</v>
      </c>
      <c r="X263" s="2">
        <f t="shared" si="171"/>
        <v>55</v>
      </c>
      <c r="AC263" s="1">
        <f t="shared" si="195"/>
        <v>5.6</v>
      </c>
      <c r="AD263" s="5">
        <v>0</v>
      </c>
      <c r="AE263" s="5">
        <v>0</v>
      </c>
      <c r="AF263" s="5">
        <v>1</v>
      </c>
      <c r="AG263" s="5">
        <v>1</v>
      </c>
      <c r="AH263" s="5">
        <v>1</v>
      </c>
      <c r="AI263" s="3">
        <f t="shared" si="201"/>
        <v>2.6</v>
      </c>
      <c r="AJ263" s="5">
        <f t="shared" si="175"/>
        <v>0</v>
      </c>
      <c r="AK263" s="5">
        <f t="shared" si="210"/>
        <v>0</v>
      </c>
      <c r="AL263" s="5">
        <f t="shared" si="211"/>
        <v>0</v>
      </c>
      <c r="AM263" s="5">
        <f t="shared" si="176"/>
        <v>0</v>
      </c>
      <c r="AN263" s="5">
        <f t="shared" si="212"/>
        <v>0</v>
      </c>
      <c r="AO263" s="5">
        <f t="shared" si="177"/>
        <v>1</v>
      </c>
      <c r="AP263" s="11" t="s">
        <v>42</v>
      </c>
      <c r="AQ263" s="1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f t="shared" si="202"/>
        <v>0</v>
      </c>
      <c r="AW263" s="5">
        <f t="shared" si="203"/>
        <v>0</v>
      </c>
      <c r="AX263" s="5">
        <f t="shared" si="204"/>
        <v>1</v>
      </c>
      <c r="AY263" s="1">
        <f t="shared" si="184"/>
        <v>0</v>
      </c>
      <c r="AZ263" s="1">
        <f t="shared" si="185"/>
        <v>0</v>
      </c>
      <c r="BA263" s="1">
        <f t="shared" si="186"/>
        <v>0</v>
      </c>
      <c r="BB263" s="5">
        <v>0</v>
      </c>
      <c r="BC263" s="5">
        <v>0</v>
      </c>
      <c r="BD263" s="5">
        <v>1</v>
      </c>
      <c r="BE263" s="5">
        <f t="shared" si="196"/>
        <v>0</v>
      </c>
      <c r="BF263" s="5">
        <v>0</v>
      </c>
      <c r="BG263" s="5">
        <f t="shared" si="213"/>
        <v>0</v>
      </c>
      <c r="BH263" s="5">
        <f t="shared" si="213"/>
        <v>0</v>
      </c>
      <c r="BI263" s="5">
        <f t="shared" si="213"/>
        <v>0</v>
      </c>
      <c r="BJ263" s="5">
        <f t="shared" si="213"/>
        <v>0</v>
      </c>
      <c r="BK263" s="5">
        <f t="shared" si="213"/>
        <v>0</v>
      </c>
      <c r="BL263" s="5">
        <f t="shared" si="213"/>
        <v>0</v>
      </c>
      <c r="BM263" s="5">
        <f t="shared" si="213"/>
        <v>0</v>
      </c>
      <c r="BN263" s="5">
        <f t="shared" si="205"/>
        <v>0</v>
      </c>
      <c r="BO263" s="5">
        <f t="shared" si="205"/>
        <v>0</v>
      </c>
      <c r="BP263" s="5">
        <f t="shared" si="205"/>
        <v>0</v>
      </c>
      <c r="BQ263" s="5">
        <f t="shared" si="205"/>
        <v>0</v>
      </c>
      <c r="BR263" s="5">
        <f t="shared" si="205"/>
        <v>0</v>
      </c>
      <c r="BS263" s="5">
        <f t="shared" si="205"/>
        <v>0</v>
      </c>
      <c r="BT263" s="5">
        <f t="shared" si="205"/>
        <v>0</v>
      </c>
      <c r="BU263" s="5">
        <f t="shared" si="205"/>
        <v>0</v>
      </c>
      <c r="BV263" s="5">
        <f t="shared" si="205"/>
        <v>1</v>
      </c>
      <c r="BW263" s="5">
        <f t="shared" si="205"/>
        <v>0</v>
      </c>
      <c r="BX263" s="5">
        <f t="shared" si="205"/>
        <v>0</v>
      </c>
      <c r="BY263" s="5">
        <f t="shared" si="205"/>
        <v>0</v>
      </c>
      <c r="BZ263" s="5">
        <f t="shared" si="205"/>
        <v>0</v>
      </c>
      <c r="CA263" s="5">
        <f t="shared" si="205"/>
        <v>0</v>
      </c>
      <c r="CB263" s="5">
        <f t="shared" si="205"/>
        <v>0</v>
      </c>
      <c r="CC263" s="5">
        <f t="shared" si="206"/>
        <v>0</v>
      </c>
      <c r="CD263" s="5">
        <f t="shared" si="198"/>
        <v>0</v>
      </c>
      <c r="CE263" s="5">
        <f t="shared" si="198"/>
        <v>0</v>
      </c>
    </row>
    <row r="264" spans="3:83" x14ac:dyDescent="0.2">
      <c r="C264" s="1">
        <f>Growth!D269</f>
        <v>0</v>
      </c>
      <c r="D264" s="5" t="b">
        <f t="shared" si="207"/>
        <v>0</v>
      </c>
      <c r="E264" s="5">
        <v>2006</v>
      </c>
      <c r="F264" s="5">
        <f ca="1">LOOKUP($E264,frequence!$A$2:$A$35,frequence!L$2:L$35)</f>
        <v>71.097990738484512</v>
      </c>
      <c r="G264" s="5">
        <f ca="1">LOOKUP($E264,frequence!$A$2:$A$35,frequence!K$2:K$35)</f>
        <v>5.2950026937283488</v>
      </c>
      <c r="H264" s="5">
        <f ca="1">LOOKUP($E264,frequence!$A$2:$A$35,frequence!M$2:M$35)</f>
        <v>500.74918436144497</v>
      </c>
      <c r="I264" s="5">
        <v>1995</v>
      </c>
      <c r="J264" s="7">
        <f>LOOKUP(I264,CPI!A$69:A$103,CPI!O$69:O$103)</f>
        <v>1.4308136482939633</v>
      </c>
      <c r="K264" s="5">
        <v>2000</v>
      </c>
      <c r="L264" s="7">
        <f t="shared" ca="1" si="208"/>
        <v>1</v>
      </c>
      <c r="M264" s="7">
        <f t="shared" si="200"/>
        <v>6.9999999999999993E-3</v>
      </c>
      <c r="N264" s="14">
        <f t="shared" si="199"/>
        <v>1.25E-3</v>
      </c>
      <c r="O264" s="1">
        <f ca="1">P264*J264*(1+Growth!G$6)^(2010-K264)</f>
        <v>18.287814569051381</v>
      </c>
      <c r="P264" s="3">
        <v>11</v>
      </c>
      <c r="Q264" s="2">
        <f t="shared" si="148"/>
        <v>11</v>
      </c>
      <c r="R264" s="21">
        <f t="shared" ca="1" si="209"/>
        <v>334.44416171200794</v>
      </c>
      <c r="X264" s="2">
        <f t="shared" si="171"/>
        <v>11</v>
      </c>
      <c r="AC264" s="1">
        <f t="shared" si="195"/>
        <v>5.6</v>
      </c>
      <c r="AD264" s="5">
        <v>0</v>
      </c>
      <c r="AE264" s="5">
        <v>0</v>
      </c>
      <c r="AF264" s="5">
        <v>1</v>
      </c>
      <c r="AG264" s="5">
        <v>1</v>
      </c>
      <c r="AH264" s="5">
        <v>1</v>
      </c>
      <c r="AI264" s="3">
        <f t="shared" si="201"/>
        <v>2.6</v>
      </c>
      <c r="AJ264" s="5">
        <f t="shared" si="175"/>
        <v>0</v>
      </c>
      <c r="AK264" s="5">
        <f t="shared" si="210"/>
        <v>0</v>
      </c>
      <c r="AL264" s="5">
        <f t="shared" si="211"/>
        <v>0</v>
      </c>
      <c r="AM264" s="5">
        <f t="shared" si="176"/>
        <v>1</v>
      </c>
      <c r="AN264" s="5">
        <f t="shared" si="212"/>
        <v>0</v>
      </c>
      <c r="AO264" s="5">
        <f t="shared" si="177"/>
        <v>0</v>
      </c>
      <c r="AP264" s="11" t="s">
        <v>42</v>
      </c>
      <c r="AQ264" s="1">
        <v>1</v>
      </c>
      <c r="AR264" s="5">
        <v>0</v>
      </c>
      <c r="AS264" s="5">
        <v>0</v>
      </c>
      <c r="AT264" s="5">
        <v>0</v>
      </c>
      <c r="AU264" s="5">
        <v>0</v>
      </c>
      <c r="AV264" s="5">
        <f t="shared" si="202"/>
        <v>0</v>
      </c>
      <c r="AW264" s="5">
        <f t="shared" si="203"/>
        <v>0</v>
      </c>
      <c r="AX264" s="5">
        <f t="shared" si="204"/>
        <v>1</v>
      </c>
      <c r="AY264" s="1">
        <f t="shared" si="184"/>
        <v>0</v>
      </c>
      <c r="AZ264" s="1">
        <f t="shared" si="185"/>
        <v>0</v>
      </c>
      <c r="BA264" s="1">
        <f t="shared" si="186"/>
        <v>0</v>
      </c>
      <c r="BB264" s="5">
        <v>0</v>
      </c>
      <c r="BC264" s="5">
        <v>0</v>
      </c>
      <c r="BD264" s="5">
        <v>1</v>
      </c>
      <c r="BE264" s="5">
        <f t="shared" si="196"/>
        <v>0</v>
      </c>
      <c r="BF264" s="5">
        <v>0</v>
      </c>
      <c r="BG264" s="5">
        <f t="shared" si="213"/>
        <v>0</v>
      </c>
      <c r="BH264" s="5">
        <f t="shared" si="213"/>
        <v>0</v>
      </c>
      <c r="BI264" s="5">
        <f t="shared" si="213"/>
        <v>0</v>
      </c>
      <c r="BJ264" s="5">
        <f t="shared" si="213"/>
        <v>0</v>
      </c>
      <c r="BK264" s="5">
        <f t="shared" si="213"/>
        <v>0</v>
      </c>
      <c r="BL264" s="5">
        <f t="shared" si="213"/>
        <v>0</v>
      </c>
      <c r="BM264" s="5">
        <f t="shared" si="213"/>
        <v>0</v>
      </c>
      <c r="BN264" s="5">
        <f t="shared" si="205"/>
        <v>0</v>
      </c>
      <c r="BO264" s="5">
        <f t="shared" si="205"/>
        <v>0</v>
      </c>
      <c r="BP264" s="5">
        <f t="shared" si="205"/>
        <v>0</v>
      </c>
      <c r="BQ264" s="5">
        <f t="shared" si="205"/>
        <v>0</v>
      </c>
      <c r="BR264" s="5">
        <f t="shared" si="205"/>
        <v>0</v>
      </c>
      <c r="BS264" s="5">
        <f t="shared" si="205"/>
        <v>0</v>
      </c>
      <c r="BT264" s="5">
        <f t="shared" si="205"/>
        <v>0</v>
      </c>
      <c r="BU264" s="5">
        <f t="shared" si="205"/>
        <v>0</v>
      </c>
      <c r="BV264" s="5">
        <f t="shared" si="205"/>
        <v>1</v>
      </c>
      <c r="BW264" s="5">
        <f t="shared" si="205"/>
        <v>0</v>
      </c>
      <c r="BX264" s="5">
        <f t="shared" si="205"/>
        <v>0</v>
      </c>
      <c r="BY264" s="5">
        <f t="shared" si="205"/>
        <v>0</v>
      </c>
      <c r="BZ264" s="5">
        <f t="shared" si="205"/>
        <v>0</v>
      </c>
      <c r="CA264" s="5">
        <f t="shared" si="205"/>
        <v>0</v>
      </c>
      <c r="CB264" s="5">
        <f t="shared" si="205"/>
        <v>0</v>
      </c>
      <c r="CC264" s="5">
        <f t="shared" si="206"/>
        <v>0</v>
      </c>
      <c r="CD264" s="5">
        <f t="shared" si="198"/>
        <v>0</v>
      </c>
      <c r="CE264" s="5">
        <f t="shared" si="198"/>
        <v>0</v>
      </c>
    </row>
    <row r="265" spans="3:83" x14ac:dyDescent="0.2">
      <c r="C265" s="1">
        <f>Growth!D270</f>
        <v>0</v>
      </c>
      <c r="D265" s="5" t="b">
        <f t="shared" si="207"/>
        <v>0</v>
      </c>
      <c r="E265" s="5">
        <v>2006</v>
      </c>
      <c r="F265" s="5">
        <f ca="1">LOOKUP($E265,frequence!$A$2:$A$35,frequence!L$2:L$35)</f>
        <v>71.097990738484512</v>
      </c>
      <c r="G265" s="5">
        <f ca="1">LOOKUP($E265,frequence!$A$2:$A$35,frequence!K$2:K$35)</f>
        <v>5.2950026937283488</v>
      </c>
      <c r="H265" s="5">
        <f ca="1">LOOKUP($E265,frequence!$A$2:$A$35,frequence!M$2:M$35)</f>
        <v>500.74918436144497</v>
      </c>
      <c r="I265" s="5">
        <v>1995</v>
      </c>
      <c r="J265" s="7">
        <f>LOOKUP(I265,CPI!A$69:A$103,CPI!O$69:O$103)</f>
        <v>1.4308136482939633</v>
      </c>
      <c r="K265" s="5">
        <v>2000</v>
      </c>
      <c r="L265" s="7">
        <f t="shared" ca="1" si="208"/>
        <v>1</v>
      </c>
      <c r="M265" s="7">
        <f t="shared" si="200"/>
        <v>6.9999999999999993E-3</v>
      </c>
      <c r="N265" s="14">
        <f t="shared" si="199"/>
        <v>1.25E-3</v>
      </c>
      <c r="O265" s="1">
        <f ca="1">P265*J265*(1+Growth!G$6)^(2010-K265)</f>
        <v>-4.1563214929662236</v>
      </c>
      <c r="P265" s="3">
        <v>-2.5</v>
      </c>
      <c r="Q265" s="2">
        <f t="shared" si="148"/>
        <v>-2.5</v>
      </c>
      <c r="R265" s="21">
        <f t="shared" ca="1" si="209"/>
        <v>17.275008352892979</v>
      </c>
      <c r="X265" s="2">
        <f t="shared" si="171"/>
        <v>-2.5</v>
      </c>
      <c r="AC265" s="1">
        <f t="shared" si="195"/>
        <v>5.6</v>
      </c>
      <c r="AD265" s="5">
        <v>0</v>
      </c>
      <c r="AE265" s="5">
        <v>0</v>
      </c>
      <c r="AF265" s="5">
        <v>1</v>
      </c>
      <c r="AG265" s="5">
        <v>1</v>
      </c>
      <c r="AH265" s="5">
        <v>1</v>
      </c>
      <c r="AI265" s="3">
        <f t="shared" si="201"/>
        <v>2.6</v>
      </c>
      <c r="AJ265" s="5">
        <f t="shared" si="175"/>
        <v>1</v>
      </c>
      <c r="AK265" s="5">
        <f t="shared" si="210"/>
        <v>0</v>
      </c>
      <c r="AL265" s="5">
        <f t="shared" si="211"/>
        <v>0</v>
      </c>
      <c r="AM265" s="5">
        <f t="shared" si="176"/>
        <v>0</v>
      </c>
      <c r="AN265" s="5">
        <f t="shared" si="212"/>
        <v>0</v>
      </c>
      <c r="AO265" s="5">
        <f t="shared" si="177"/>
        <v>0</v>
      </c>
      <c r="AP265" s="11" t="s">
        <v>42</v>
      </c>
      <c r="AQ265" s="1">
        <v>3</v>
      </c>
      <c r="AR265" s="5">
        <v>0</v>
      </c>
      <c r="AS265" s="5">
        <v>0</v>
      </c>
      <c r="AT265" s="5">
        <v>0</v>
      </c>
      <c r="AU265" s="5">
        <v>0</v>
      </c>
      <c r="AV265" s="5">
        <f t="shared" si="202"/>
        <v>0</v>
      </c>
      <c r="AW265" s="5">
        <f t="shared" si="203"/>
        <v>0</v>
      </c>
      <c r="AX265" s="5">
        <f t="shared" si="204"/>
        <v>1</v>
      </c>
      <c r="AY265" s="1">
        <f t="shared" si="184"/>
        <v>0</v>
      </c>
      <c r="AZ265" s="1">
        <f t="shared" si="185"/>
        <v>0</v>
      </c>
      <c r="BA265" s="1">
        <f t="shared" si="186"/>
        <v>0</v>
      </c>
      <c r="BB265" s="5">
        <v>0</v>
      </c>
      <c r="BC265" s="5">
        <v>0</v>
      </c>
      <c r="BD265" s="5">
        <v>1</v>
      </c>
      <c r="BE265" s="5">
        <f t="shared" si="196"/>
        <v>0</v>
      </c>
      <c r="BF265" s="5">
        <v>0</v>
      </c>
      <c r="BG265" s="5">
        <f t="shared" si="213"/>
        <v>0</v>
      </c>
      <c r="BH265" s="5">
        <f t="shared" si="213"/>
        <v>0</v>
      </c>
      <c r="BI265" s="5">
        <f t="shared" si="213"/>
        <v>0</v>
      </c>
      <c r="BJ265" s="5">
        <f t="shared" si="213"/>
        <v>0</v>
      </c>
      <c r="BK265" s="5">
        <f t="shared" si="213"/>
        <v>0</v>
      </c>
      <c r="BL265" s="5">
        <f t="shared" si="213"/>
        <v>0</v>
      </c>
      <c r="BM265" s="5">
        <f t="shared" si="213"/>
        <v>0</v>
      </c>
      <c r="BN265" s="5">
        <f t="shared" si="205"/>
        <v>0</v>
      </c>
      <c r="BO265" s="5">
        <f t="shared" si="205"/>
        <v>0</v>
      </c>
      <c r="BP265" s="5">
        <f t="shared" si="205"/>
        <v>0</v>
      </c>
      <c r="BQ265" s="5">
        <f t="shared" si="205"/>
        <v>0</v>
      </c>
      <c r="BR265" s="5">
        <f t="shared" si="205"/>
        <v>0</v>
      </c>
      <c r="BS265" s="5">
        <f t="shared" si="205"/>
        <v>0</v>
      </c>
      <c r="BT265" s="5">
        <f t="shared" si="205"/>
        <v>0</v>
      </c>
      <c r="BU265" s="5">
        <f t="shared" si="205"/>
        <v>0</v>
      </c>
      <c r="BV265" s="5">
        <f t="shared" si="205"/>
        <v>1</v>
      </c>
      <c r="BW265" s="5">
        <f t="shared" si="205"/>
        <v>0</v>
      </c>
      <c r="BX265" s="5">
        <f t="shared" si="205"/>
        <v>0</v>
      </c>
      <c r="BY265" s="5">
        <f t="shared" si="205"/>
        <v>0</v>
      </c>
      <c r="BZ265" s="5">
        <f t="shared" si="205"/>
        <v>0</v>
      </c>
      <c r="CA265" s="5">
        <f t="shared" si="205"/>
        <v>0</v>
      </c>
      <c r="CB265" s="5">
        <f t="shared" si="205"/>
        <v>0</v>
      </c>
      <c r="CC265" s="5">
        <f t="shared" si="206"/>
        <v>0</v>
      </c>
      <c r="CD265" s="5">
        <f t="shared" si="198"/>
        <v>0</v>
      </c>
      <c r="CE265" s="5">
        <f t="shared" si="198"/>
        <v>0</v>
      </c>
    </row>
    <row r="266" spans="3:83" x14ac:dyDescent="0.2">
      <c r="C266" s="1">
        <f>Growth!D271</f>
        <v>0</v>
      </c>
      <c r="D266" s="5" t="b">
        <f t="shared" si="207"/>
        <v>0</v>
      </c>
      <c r="E266" s="5">
        <v>2006</v>
      </c>
      <c r="F266" s="5">
        <f ca="1">LOOKUP($E266,frequence!$A$2:$A$35,frequence!L$2:L$35)</f>
        <v>71.097990738484512</v>
      </c>
      <c r="G266" s="5">
        <f ca="1">LOOKUP($E266,frequence!$A$2:$A$35,frequence!K$2:K$35)</f>
        <v>5.2950026937283488</v>
      </c>
      <c r="H266" s="5">
        <f ca="1">LOOKUP($E266,frequence!$A$2:$A$35,frequence!M$2:M$35)</f>
        <v>500.74918436144497</v>
      </c>
      <c r="I266" s="5">
        <v>1995</v>
      </c>
      <c r="J266" s="7">
        <f>LOOKUP(I266,CPI!A$69:A$103,CPI!O$69:O$103)</f>
        <v>1.4308136482939633</v>
      </c>
      <c r="K266" s="5">
        <v>2000</v>
      </c>
      <c r="L266" s="7">
        <f t="shared" ca="1" si="208"/>
        <v>1</v>
      </c>
      <c r="M266" s="7">
        <f t="shared" si="200"/>
        <v>6.9999999999999993E-3</v>
      </c>
      <c r="N266" s="14">
        <f t="shared" si="199"/>
        <v>1.25E-3</v>
      </c>
      <c r="O266" s="1">
        <f ca="1">P266*J266*(1+Growth!G$6)^(2010-K266)</f>
        <v>29.925514749356807</v>
      </c>
      <c r="P266" s="3">
        <v>18</v>
      </c>
      <c r="Q266" s="2">
        <f t="shared" si="148"/>
        <v>18</v>
      </c>
      <c r="R266" s="21">
        <f t="shared" ca="1" si="209"/>
        <v>895.53643301397187</v>
      </c>
      <c r="X266" s="2">
        <f t="shared" si="171"/>
        <v>18</v>
      </c>
      <c r="AC266" s="1">
        <f t="shared" si="195"/>
        <v>5.6</v>
      </c>
      <c r="AD266" s="5">
        <v>0</v>
      </c>
      <c r="AE266" s="5">
        <v>0</v>
      </c>
      <c r="AF266" s="5">
        <v>1</v>
      </c>
      <c r="AG266" s="5">
        <v>1</v>
      </c>
      <c r="AH266" s="5">
        <v>1</v>
      </c>
      <c r="AI266" s="3">
        <f t="shared" si="201"/>
        <v>2.6</v>
      </c>
      <c r="AJ266" s="5">
        <f t="shared" si="175"/>
        <v>0</v>
      </c>
      <c r="AK266" s="5">
        <f t="shared" si="210"/>
        <v>0</v>
      </c>
      <c r="AL266" s="5">
        <f t="shared" si="211"/>
        <v>0</v>
      </c>
      <c r="AM266" s="5">
        <f t="shared" si="176"/>
        <v>0</v>
      </c>
      <c r="AN266" s="5">
        <f t="shared" si="212"/>
        <v>0</v>
      </c>
      <c r="AO266" s="5">
        <f t="shared" si="177"/>
        <v>0</v>
      </c>
      <c r="AP266" s="11" t="s">
        <v>42</v>
      </c>
      <c r="AQ266" s="1" t="s">
        <v>42</v>
      </c>
      <c r="AR266" s="5">
        <v>0</v>
      </c>
      <c r="AS266" s="5">
        <v>0</v>
      </c>
      <c r="AT266" s="5">
        <v>0</v>
      </c>
      <c r="AU266" s="5">
        <v>0</v>
      </c>
      <c r="AV266" s="5">
        <f t="shared" si="202"/>
        <v>0</v>
      </c>
      <c r="AW266" s="5">
        <f t="shared" si="203"/>
        <v>0</v>
      </c>
      <c r="AX266" s="5">
        <f t="shared" si="204"/>
        <v>1</v>
      </c>
      <c r="AY266" s="1">
        <f t="shared" si="184"/>
        <v>0</v>
      </c>
      <c r="AZ266" s="1">
        <f t="shared" si="185"/>
        <v>0</v>
      </c>
      <c r="BA266" s="1">
        <f t="shared" si="186"/>
        <v>0</v>
      </c>
      <c r="BB266" s="5">
        <v>0</v>
      </c>
      <c r="BC266" s="5">
        <v>0</v>
      </c>
      <c r="BD266" s="5">
        <v>1</v>
      </c>
      <c r="BE266" s="5">
        <f t="shared" si="196"/>
        <v>0</v>
      </c>
      <c r="BF266" s="5">
        <v>0</v>
      </c>
      <c r="BG266" s="5">
        <f t="shared" si="213"/>
        <v>0</v>
      </c>
      <c r="BH266" s="5">
        <f t="shared" si="213"/>
        <v>0</v>
      </c>
      <c r="BI266" s="5">
        <f t="shared" si="213"/>
        <v>0</v>
      </c>
      <c r="BJ266" s="5">
        <f t="shared" si="213"/>
        <v>0</v>
      </c>
      <c r="BK266" s="5">
        <f t="shared" si="213"/>
        <v>0</v>
      </c>
      <c r="BL266" s="5">
        <f t="shared" si="213"/>
        <v>0</v>
      </c>
      <c r="BM266" s="5">
        <f t="shared" si="213"/>
        <v>0</v>
      </c>
      <c r="BN266" s="5">
        <f t="shared" si="205"/>
        <v>0</v>
      </c>
      <c r="BO266" s="5">
        <f t="shared" si="205"/>
        <v>0</v>
      </c>
      <c r="BP266" s="5">
        <f t="shared" si="205"/>
        <v>0</v>
      </c>
      <c r="BQ266" s="5">
        <f t="shared" si="205"/>
        <v>0</v>
      </c>
      <c r="BR266" s="5">
        <f t="shared" si="205"/>
        <v>0</v>
      </c>
      <c r="BS266" s="5">
        <f t="shared" si="205"/>
        <v>0</v>
      </c>
      <c r="BT266" s="5">
        <f t="shared" si="205"/>
        <v>0</v>
      </c>
      <c r="BU266" s="5">
        <f t="shared" si="205"/>
        <v>0</v>
      </c>
      <c r="BV266" s="5">
        <f t="shared" si="205"/>
        <v>1</v>
      </c>
      <c r="BW266" s="5">
        <f t="shared" si="205"/>
        <v>0</v>
      </c>
      <c r="BX266" s="5">
        <f t="shared" si="205"/>
        <v>0</v>
      </c>
      <c r="BY266" s="5">
        <f t="shared" si="205"/>
        <v>0</v>
      </c>
      <c r="BZ266" s="5">
        <f t="shared" si="205"/>
        <v>0</v>
      </c>
      <c r="CA266" s="5">
        <f t="shared" si="205"/>
        <v>0</v>
      </c>
      <c r="CB266" s="5">
        <f t="shared" si="205"/>
        <v>0</v>
      </c>
      <c r="CC266" s="5">
        <f t="shared" si="206"/>
        <v>0</v>
      </c>
      <c r="CD266" s="5">
        <f t="shared" si="198"/>
        <v>0</v>
      </c>
      <c r="CE266" s="5">
        <f t="shared" si="198"/>
        <v>0</v>
      </c>
    </row>
    <row r="267" spans="3:83" x14ac:dyDescent="0.2">
      <c r="C267" s="1">
        <f>Growth!D272</f>
        <v>0</v>
      </c>
      <c r="D267" s="5" t="b">
        <f t="shared" si="207"/>
        <v>0</v>
      </c>
      <c r="E267" s="5">
        <v>2006</v>
      </c>
      <c r="F267" s="5">
        <f ca="1">LOOKUP($E267,frequence!$A$2:$A$35,frequence!L$2:L$35)</f>
        <v>71.097990738484512</v>
      </c>
      <c r="G267" s="5">
        <f ca="1">LOOKUP($E267,frequence!$A$2:$A$35,frequence!K$2:K$35)</f>
        <v>5.2950026937283488</v>
      </c>
      <c r="H267" s="5">
        <f ca="1">LOOKUP($E267,frequence!$A$2:$A$35,frequence!M$2:M$35)</f>
        <v>500.74918436144497</v>
      </c>
      <c r="I267" s="5">
        <v>1995</v>
      </c>
      <c r="J267" s="7">
        <f>LOOKUP(I267,CPI!A$69:A$103,CPI!O$69:O$103)</f>
        <v>1.4308136482939633</v>
      </c>
      <c r="K267" s="5">
        <v>2000</v>
      </c>
      <c r="L267" s="7">
        <f t="shared" ca="1" si="208"/>
        <v>1</v>
      </c>
      <c r="M267" s="7">
        <f t="shared" si="200"/>
        <v>6.9999999999999993E-3</v>
      </c>
      <c r="N267" s="14">
        <f t="shared" si="199"/>
        <v>1.25E-3</v>
      </c>
      <c r="O267" s="1">
        <f ca="1">P267*J267*(1+Growth!G$6)^(2010-K267)</f>
        <v>96.426658636816384</v>
      </c>
      <c r="P267" s="3">
        <v>58</v>
      </c>
      <c r="Q267" s="2">
        <f t="shared" si="148"/>
        <v>58</v>
      </c>
      <c r="R267" s="21">
        <f t="shared" ca="1" si="209"/>
        <v>9298.1004958611156</v>
      </c>
      <c r="X267" s="2">
        <f t="shared" si="171"/>
        <v>58</v>
      </c>
      <c r="AC267" s="1">
        <f t="shared" si="195"/>
        <v>5.6</v>
      </c>
      <c r="AD267" s="5">
        <v>0</v>
      </c>
      <c r="AE267" s="5">
        <v>0</v>
      </c>
      <c r="AF267" s="5">
        <v>1</v>
      </c>
      <c r="AG267" s="5">
        <v>1</v>
      </c>
      <c r="AH267" s="5">
        <v>1</v>
      </c>
      <c r="AI267" s="3">
        <f t="shared" si="201"/>
        <v>2.6</v>
      </c>
      <c r="AJ267" s="5">
        <f t="shared" si="175"/>
        <v>0</v>
      </c>
      <c r="AK267" s="5">
        <f t="shared" si="210"/>
        <v>0</v>
      </c>
      <c r="AL267" s="5">
        <f t="shared" si="211"/>
        <v>0</v>
      </c>
      <c r="AM267" s="5">
        <f t="shared" si="176"/>
        <v>0</v>
      </c>
      <c r="AN267" s="5">
        <f t="shared" si="212"/>
        <v>0</v>
      </c>
      <c r="AO267" s="5">
        <f t="shared" si="177"/>
        <v>1</v>
      </c>
      <c r="AP267" s="11" t="s">
        <v>42</v>
      </c>
      <c r="AQ267" s="1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f t="shared" si="202"/>
        <v>0</v>
      </c>
      <c r="AW267" s="5">
        <f t="shared" si="203"/>
        <v>0</v>
      </c>
      <c r="AX267" s="5">
        <f t="shared" si="204"/>
        <v>1</v>
      </c>
      <c r="AY267" s="1">
        <f t="shared" si="184"/>
        <v>0</v>
      </c>
      <c r="AZ267" s="1">
        <f t="shared" si="185"/>
        <v>0</v>
      </c>
      <c r="BA267" s="1">
        <f t="shared" si="186"/>
        <v>0</v>
      </c>
      <c r="BB267" s="5">
        <v>0</v>
      </c>
      <c r="BC267" s="5">
        <v>0</v>
      </c>
      <c r="BD267" s="5">
        <v>1</v>
      </c>
      <c r="BE267" s="5">
        <f t="shared" si="196"/>
        <v>0</v>
      </c>
      <c r="BF267" s="5">
        <v>0</v>
      </c>
      <c r="BG267" s="5">
        <f t="shared" si="213"/>
        <v>0</v>
      </c>
      <c r="BH267" s="5">
        <f t="shared" si="213"/>
        <v>0</v>
      </c>
      <c r="BI267" s="5">
        <f t="shared" si="213"/>
        <v>0</v>
      </c>
      <c r="BJ267" s="5">
        <f t="shared" si="213"/>
        <v>0</v>
      </c>
      <c r="BK267" s="5">
        <f t="shared" si="213"/>
        <v>0</v>
      </c>
      <c r="BL267" s="5">
        <f t="shared" si="213"/>
        <v>0</v>
      </c>
      <c r="BM267" s="5">
        <f t="shared" si="213"/>
        <v>0</v>
      </c>
      <c r="BN267" s="5">
        <f t="shared" si="205"/>
        <v>0</v>
      </c>
      <c r="BO267" s="5">
        <f t="shared" si="205"/>
        <v>0</v>
      </c>
      <c r="BP267" s="5">
        <f t="shared" si="205"/>
        <v>0</v>
      </c>
      <c r="BQ267" s="5">
        <f t="shared" si="205"/>
        <v>0</v>
      </c>
      <c r="BR267" s="5">
        <f t="shared" si="205"/>
        <v>0</v>
      </c>
      <c r="BS267" s="5">
        <f t="shared" si="205"/>
        <v>0</v>
      </c>
      <c r="BT267" s="5">
        <f t="shared" si="205"/>
        <v>0</v>
      </c>
      <c r="BU267" s="5">
        <f t="shared" si="205"/>
        <v>0</v>
      </c>
      <c r="BV267" s="5">
        <f t="shared" si="205"/>
        <v>1</v>
      </c>
      <c r="BW267" s="5">
        <f t="shared" si="205"/>
        <v>0</v>
      </c>
      <c r="BX267" s="5">
        <f t="shared" si="205"/>
        <v>0</v>
      </c>
      <c r="BY267" s="5">
        <f t="shared" si="205"/>
        <v>0</v>
      </c>
      <c r="BZ267" s="5">
        <f t="shared" si="205"/>
        <v>0</v>
      </c>
      <c r="CA267" s="5">
        <f t="shared" si="205"/>
        <v>0</v>
      </c>
      <c r="CB267" s="5">
        <f t="shared" si="205"/>
        <v>0</v>
      </c>
      <c r="CC267" s="5">
        <f t="shared" si="206"/>
        <v>0</v>
      </c>
      <c r="CD267" s="5">
        <f t="shared" si="198"/>
        <v>0</v>
      </c>
      <c r="CE267" s="5">
        <f t="shared" si="198"/>
        <v>0</v>
      </c>
    </row>
    <row r="268" spans="3:83" x14ac:dyDescent="0.2">
      <c r="C268" s="1">
        <f>Growth!D273</f>
        <v>0</v>
      </c>
      <c r="D268" s="5" t="b">
        <f t="shared" si="207"/>
        <v>0</v>
      </c>
      <c r="E268" s="5">
        <v>2006</v>
      </c>
      <c r="F268" s="5">
        <f ca="1">LOOKUP($E268,frequence!$A$2:$A$35,frequence!L$2:L$35)</f>
        <v>71.097990738484512</v>
      </c>
      <c r="G268" s="5">
        <f ca="1">LOOKUP($E268,frequence!$A$2:$A$35,frequence!K$2:K$35)</f>
        <v>5.2950026937283488</v>
      </c>
      <c r="H268" s="5">
        <f ca="1">LOOKUP($E268,frequence!$A$2:$A$35,frequence!M$2:M$35)</f>
        <v>500.74918436144497</v>
      </c>
      <c r="I268" s="5">
        <v>1995</v>
      </c>
      <c r="J268" s="7">
        <f>LOOKUP(I268,CPI!A$69:A$103,CPI!O$69:O$103)</f>
        <v>1.4308136482939633</v>
      </c>
      <c r="K268" s="5">
        <v>2000</v>
      </c>
      <c r="L268" s="7">
        <f t="shared" ca="1" si="208"/>
        <v>1</v>
      </c>
      <c r="M268" s="7">
        <f t="shared" si="200"/>
        <v>6.9999999999999993E-3</v>
      </c>
      <c r="N268" s="14">
        <f t="shared" si="199"/>
        <v>1.25E-3</v>
      </c>
      <c r="O268" s="1">
        <f ca="1">P268*J268*(1+Growth!G$6)^(2010-K268)</f>
        <v>19.950343166237872</v>
      </c>
      <c r="P268" s="3">
        <v>12</v>
      </c>
      <c r="Q268" s="2">
        <f t="shared" si="148"/>
        <v>12</v>
      </c>
      <c r="R268" s="21">
        <f t="shared" ca="1" si="209"/>
        <v>398.01619245065416</v>
      </c>
      <c r="X268" s="2">
        <f t="shared" ref="X268:X331" si="214">P268</f>
        <v>12</v>
      </c>
      <c r="AC268" s="1">
        <f t="shared" si="195"/>
        <v>5.6</v>
      </c>
      <c r="AD268" s="5">
        <v>0</v>
      </c>
      <c r="AE268" s="5">
        <v>0</v>
      </c>
      <c r="AF268" s="5">
        <v>1</v>
      </c>
      <c r="AG268" s="5">
        <v>1</v>
      </c>
      <c r="AH268" s="5">
        <v>1</v>
      </c>
      <c r="AI268" s="3">
        <f t="shared" si="201"/>
        <v>2.6</v>
      </c>
      <c r="AJ268" s="5">
        <f t="shared" si="175"/>
        <v>0</v>
      </c>
      <c r="AK268" s="5">
        <f t="shared" si="210"/>
        <v>0</v>
      </c>
      <c r="AL268" s="5">
        <f t="shared" si="211"/>
        <v>0</v>
      </c>
      <c r="AM268" s="5">
        <f t="shared" si="176"/>
        <v>1</v>
      </c>
      <c r="AN268" s="5">
        <f t="shared" si="212"/>
        <v>0</v>
      </c>
      <c r="AO268" s="5">
        <f t="shared" si="177"/>
        <v>0</v>
      </c>
      <c r="AP268" s="11" t="s">
        <v>42</v>
      </c>
      <c r="AQ268" s="1">
        <v>1</v>
      </c>
      <c r="AR268" s="5">
        <v>0</v>
      </c>
      <c r="AS268" s="5">
        <v>0</v>
      </c>
      <c r="AT268" s="5">
        <v>0</v>
      </c>
      <c r="AU268" s="5">
        <v>0</v>
      </c>
      <c r="AV268" s="5">
        <f t="shared" si="202"/>
        <v>0</v>
      </c>
      <c r="AW268" s="5">
        <f t="shared" si="203"/>
        <v>0</v>
      </c>
      <c r="AX268" s="5">
        <f t="shared" si="204"/>
        <v>1</v>
      </c>
      <c r="AY268" s="1">
        <f t="shared" si="184"/>
        <v>0</v>
      </c>
      <c r="AZ268" s="1">
        <f t="shared" si="185"/>
        <v>0</v>
      </c>
      <c r="BA268" s="1">
        <f t="shared" si="186"/>
        <v>0</v>
      </c>
      <c r="BB268" s="5">
        <v>0</v>
      </c>
      <c r="BC268" s="5">
        <v>0</v>
      </c>
      <c r="BD268" s="5">
        <v>1</v>
      </c>
      <c r="BE268" s="5">
        <f t="shared" si="196"/>
        <v>0</v>
      </c>
      <c r="BF268" s="5">
        <v>0</v>
      </c>
      <c r="BG268" s="5">
        <f t="shared" si="213"/>
        <v>0</v>
      </c>
      <c r="BH268" s="5">
        <f t="shared" si="213"/>
        <v>0</v>
      </c>
      <c r="BI268" s="5">
        <f t="shared" si="213"/>
        <v>0</v>
      </c>
      <c r="BJ268" s="5">
        <f t="shared" si="213"/>
        <v>0</v>
      </c>
      <c r="BK268" s="5">
        <f t="shared" si="213"/>
        <v>0</v>
      </c>
      <c r="BL268" s="5">
        <f t="shared" si="213"/>
        <v>0</v>
      </c>
      <c r="BM268" s="5">
        <f t="shared" si="213"/>
        <v>0</v>
      </c>
      <c r="BN268" s="5">
        <f t="shared" si="205"/>
        <v>0</v>
      </c>
      <c r="BO268" s="5">
        <f t="shared" si="205"/>
        <v>0</v>
      </c>
      <c r="BP268" s="5">
        <f t="shared" si="205"/>
        <v>0</v>
      </c>
      <c r="BQ268" s="5">
        <f t="shared" si="205"/>
        <v>0</v>
      </c>
      <c r="BR268" s="5">
        <f t="shared" si="205"/>
        <v>0</v>
      </c>
      <c r="BS268" s="5">
        <f t="shared" si="205"/>
        <v>0</v>
      </c>
      <c r="BT268" s="5">
        <f t="shared" si="205"/>
        <v>0</v>
      </c>
      <c r="BU268" s="5">
        <f t="shared" si="205"/>
        <v>0</v>
      </c>
      <c r="BV268" s="5">
        <f t="shared" si="205"/>
        <v>1</v>
      </c>
      <c r="BW268" s="5">
        <f t="shared" si="205"/>
        <v>0</v>
      </c>
      <c r="BX268" s="5">
        <f t="shared" si="205"/>
        <v>0</v>
      </c>
      <c r="BY268" s="5">
        <f t="shared" si="205"/>
        <v>0</v>
      </c>
      <c r="BZ268" s="5">
        <f t="shared" si="205"/>
        <v>0</v>
      </c>
      <c r="CA268" s="5">
        <f t="shared" si="205"/>
        <v>0</v>
      </c>
      <c r="CB268" s="5">
        <f t="shared" si="205"/>
        <v>0</v>
      </c>
      <c r="CC268" s="5">
        <f t="shared" si="206"/>
        <v>0</v>
      </c>
      <c r="CD268" s="5">
        <f t="shared" si="198"/>
        <v>0</v>
      </c>
      <c r="CE268" s="5">
        <f t="shared" si="198"/>
        <v>0</v>
      </c>
    </row>
    <row r="269" spans="3:83" x14ac:dyDescent="0.2">
      <c r="C269" s="1">
        <f>Growth!D274</f>
        <v>0</v>
      </c>
      <c r="D269" s="5" t="b">
        <f t="shared" si="207"/>
        <v>0</v>
      </c>
      <c r="E269" s="5">
        <v>2006</v>
      </c>
      <c r="F269" s="5">
        <f ca="1">LOOKUP($E269,frequence!$A$2:$A$35,frequence!L$2:L$35)</f>
        <v>71.097990738484512</v>
      </c>
      <c r="G269" s="5">
        <f ca="1">LOOKUP($E269,frequence!$A$2:$A$35,frequence!K$2:K$35)</f>
        <v>5.2950026937283488</v>
      </c>
      <c r="H269" s="5">
        <f ca="1">LOOKUP($E269,frequence!$A$2:$A$35,frequence!M$2:M$35)</f>
        <v>500.74918436144497</v>
      </c>
      <c r="I269" s="5">
        <v>1995</v>
      </c>
      <c r="J269" s="7">
        <f>LOOKUP(I269,CPI!A$69:A$103,CPI!O$69:O$103)</f>
        <v>1.4308136482939633</v>
      </c>
      <c r="K269" s="5">
        <v>2000</v>
      </c>
      <c r="L269" s="7">
        <f t="shared" ca="1" si="208"/>
        <v>1</v>
      </c>
      <c r="M269" s="7">
        <f t="shared" si="200"/>
        <v>6.9999999999999993E-3</v>
      </c>
      <c r="N269" s="14">
        <f t="shared" si="199"/>
        <v>1.25E-3</v>
      </c>
      <c r="O269" s="1">
        <f ca="1">P269*J269*(1+Growth!G$6)^(2010-K269)</f>
        <v>-3.8238157735289251</v>
      </c>
      <c r="P269" s="3">
        <v>-2.2999999999999998</v>
      </c>
      <c r="Q269" s="2">
        <f t="shared" si="148"/>
        <v>-2.2999999999999998</v>
      </c>
      <c r="R269" s="21">
        <f t="shared" ca="1" si="209"/>
        <v>14.621567069888611</v>
      </c>
      <c r="X269" s="2">
        <f t="shared" si="214"/>
        <v>-2.2999999999999998</v>
      </c>
      <c r="AC269" s="1">
        <f t="shared" si="195"/>
        <v>5.6</v>
      </c>
      <c r="AD269" s="5">
        <v>0</v>
      </c>
      <c r="AE269" s="5">
        <v>0</v>
      </c>
      <c r="AF269" s="5">
        <v>1</v>
      </c>
      <c r="AG269" s="5">
        <v>1</v>
      </c>
      <c r="AH269" s="5">
        <v>1</v>
      </c>
      <c r="AI269" s="3">
        <f t="shared" si="201"/>
        <v>2.6</v>
      </c>
      <c r="AJ269" s="5">
        <f t="shared" si="175"/>
        <v>1</v>
      </c>
      <c r="AK269" s="5">
        <f t="shared" si="210"/>
        <v>0</v>
      </c>
      <c r="AL269" s="5">
        <f t="shared" si="211"/>
        <v>0</v>
      </c>
      <c r="AM269" s="5">
        <f t="shared" si="176"/>
        <v>0</v>
      </c>
      <c r="AN269" s="5">
        <f t="shared" si="212"/>
        <v>0</v>
      </c>
      <c r="AO269" s="5">
        <f t="shared" si="177"/>
        <v>0</v>
      </c>
      <c r="AP269" s="11" t="s">
        <v>42</v>
      </c>
      <c r="AQ269" s="1">
        <v>3</v>
      </c>
      <c r="AR269" s="5">
        <v>0</v>
      </c>
      <c r="AS269" s="5">
        <v>0</v>
      </c>
      <c r="AT269" s="5">
        <v>0</v>
      </c>
      <c r="AU269" s="5">
        <v>0</v>
      </c>
      <c r="AV269" s="5">
        <f t="shared" si="202"/>
        <v>0</v>
      </c>
      <c r="AW269" s="5">
        <f t="shared" si="203"/>
        <v>0</v>
      </c>
      <c r="AX269" s="5">
        <f t="shared" si="204"/>
        <v>1</v>
      </c>
      <c r="AY269" s="1">
        <f t="shared" si="184"/>
        <v>0</v>
      </c>
      <c r="AZ269" s="1">
        <f t="shared" si="185"/>
        <v>0</v>
      </c>
      <c r="BA269" s="1">
        <f t="shared" si="186"/>
        <v>0</v>
      </c>
      <c r="BB269" s="5">
        <v>0</v>
      </c>
      <c r="BC269" s="5">
        <v>0</v>
      </c>
      <c r="BD269" s="5">
        <v>1</v>
      </c>
      <c r="BE269" s="5">
        <f t="shared" si="196"/>
        <v>0</v>
      </c>
      <c r="BF269" s="5">
        <v>0</v>
      </c>
      <c r="BG269" s="5">
        <f t="shared" si="213"/>
        <v>0</v>
      </c>
      <c r="BH269" s="5">
        <f t="shared" si="213"/>
        <v>0</v>
      </c>
      <c r="BI269" s="5">
        <f t="shared" si="213"/>
        <v>0</v>
      </c>
      <c r="BJ269" s="5">
        <f t="shared" si="213"/>
        <v>0</v>
      </c>
      <c r="BK269" s="5">
        <f t="shared" si="213"/>
        <v>0</v>
      </c>
      <c r="BL269" s="5">
        <f t="shared" si="213"/>
        <v>0</v>
      </c>
      <c r="BM269" s="5">
        <f t="shared" si="213"/>
        <v>0</v>
      </c>
      <c r="BN269" s="5">
        <f t="shared" si="205"/>
        <v>0</v>
      </c>
      <c r="BO269" s="5">
        <f t="shared" si="205"/>
        <v>0</v>
      </c>
      <c r="BP269" s="5">
        <f t="shared" si="205"/>
        <v>0</v>
      </c>
      <c r="BQ269" s="5">
        <f t="shared" si="205"/>
        <v>0</v>
      </c>
      <c r="BR269" s="5">
        <f t="shared" si="205"/>
        <v>0</v>
      </c>
      <c r="BS269" s="5">
        <f t="shared" si="205"/>
        <v>0</v>
      </c>
      <c r="BT269" s="5">
        <f t="shared" si="205"/>
        <v>0</v>
      </c>
      <c r="BU269" s="5">
        <f t="shared" si="205"/>
        <v>0</v>
      </c>
      <c r="BV269" s="5">
        <f t="shared" si="205"/>
        <v>1</v>
      </c>
      <c r="BW269" s="5">
        <f t="shared" si="205"/>
        <v>0</v>
      </c>
      <c r="BX269" s="5">
        <f t="shared" si="205"/>
        <v>0</v>
      </c>
      <c r="BY269" s="5">
        <f t="shared" si="205"/>
        <v>0</v>
      </c>
      <c r="BZ269" s="5">
        <f t="shared" si="205"/>
        <v>0</v>
      </c>
      <c r="CA269" s="5">
        <f t="shared" si="205"/>
        <v>0</v>
      </c>
      <c r="CB269" s="5">
        <f t="shared" si="205"/>
        <v>0</v>
      </c>
      <c r="CC269" s="5">
        <f t="shared" si="206"/>
        <v>0</v>
      </c>
      <c r="CD269" s="5">
        <f t="shared" si="198"/>
        <v>0</v>
      </c>
      <c r="CE269" s="5">
        <f t="shared" si="198"/>
        <v>0</v>
      </c>
    </row>
    <row r="270" spans="3:83" x14ac:dyDescent="0.2">
      <c r="C270" s="1">
        <f>Growth!D275</f>
        <v>0</v>
      </c>
      <c r="D270" s="5" t="b">
        <f t="shared" si="207"/>
        <v>0</v>
      </c>
      <c r="E270" s="5">
        <v>2006</v>
      </c>
      <c r="F270" s="5">
        <f ca="1">LOOKUP($E270,frequence!$A$2:$A$35,frequence!L$2:L$35)</f>
        <v>71.097990738484512</v>
      </c>
      <c r="G270" s="5">
        <f ca="1">LOOKUP($E270,frequence!$A$2:$A$35,frequence!K$2:K$35)</f>
        <v>5.2950026937283488</v>
      </c>
      <c r="H270" s="5">
        <f ca="1">LOOKUP($E270,frequence!$A$2:$A$35,frequence!M$2:M$35)</f>
        <v>500.74918436144497</v>
      </c>
      <c r="I270" s="5">
        <v>1995</v>
      </c>
      <c r="J270" s="7">
        <f>LOOKUP(I270,CPI!A$69:A$103,CPI!O$69:O$103)</f>
        <v>1.4308136482939633</v>
      </c>
      <c r="K270" s="5">
        <v>2000</v>
      </c>
      <c r="L270" s="7">
        <f t="shared" ca="1" si="208"/>
        <v>1</v>
      </c>
      <c r="M270" s="7">
        <f t="shared" si="200"/>
        <v>6.9999999999999993E-3</v>
      </c>
      <c r="N270" s="14">
        <f t="shared" si="199"/>
        <v>1.25E-3</v>
      </c>
      <c r="O270" s="1">
        <f ca="1">P270*J270*(1+Growth!G$6)^(2010-K270)</f>
        <v>29.925514749356807</v>
      </c>
      <c r="P270" s="3">
        <v>18</v>
      </c>
      <c r="Q270" s="2">
        <f t="shared" si="148"/>
        <v>18</v>
      </c>
      <c r="R270" s="21">
        <f t="shared" ca="1" si="209"/>
        <v>895.53643301397187</v>
      </c>
      <c r="X270" s="2">
        <f t="shared" si="214"/>
        <v>18</v>
      </c>
      <c r="AC270" s="1">
        <f t="shared" si="195"/>
        <v>5.6</v>
      </c>
      <c r="AD270" s="5">
        <v>0</v>
      </c>
      <c r="AE270" s="5">
        <v>0</v>
      </c>
      <c r="AF270" s="5">
        <v>1</v>
      </c>
      <c r="AG270" s="5">
        <v>1</v>
      </c>
      <c r="AH270" s="5">
        <v>1</v>
      </c>
      <c r="AI270" s="3">
        <f t="shared" si="201"/>
        <v>2.6</v>
      </c>
      <c r="AJ270" s="5">
        <f t="shared" si="175"/>
        <v>0</v>
      </c>
      <c r="AK270" s="5">
        <f t="shared" si="210"/>
        <v>0</v>
      </c>
      <c r="AL270" s="5">
        <f t="shared" si="211"/>
        <v>0</v>
      </c>
      <c r="AM270" s="5">
        <f t="shared" si="176"/>
        <v>0</v>
      </c>
      <c r="AN270" s="5">
        <f t="shared" si="212"/>
        <v>0</v>
      </c>
      <c r="AO270" s="5">
        <f t="shared" si="177"/>
        <v>0</v>
      </c>
      <c r="AP270" s="11" t="s">
        <v>42</v>
      </c>
      <c r="AQ270" s="1" t="s">
        <v>42</v>
      </c>
      <c r="AR270" s="5">
        <v>0</v>
      </c>
      <c r="AS270" s="5">
        <v>0</v>
      </c>
      <c r="AT270" s="5">
        <v>0</v>
      </c>
      <c r="AU270" s="5">
        <v>0</v>
      </c>
      <c r="AV270" s="5">
        <f t="shared" si="202"/>
        <v>0</v>
      </c>
      <c r="AW270" s="5">
        <f t="shared" si="203"/>
        <v>0</v>
      </c>
      <c r="AX270" s="5">
        <f t="shared" si="204"/>
        <v>1</v>
      </c>
      <c r="AY270" s="1">
        <f t="shared" si="184"/>
        <v>0</v>
      </c>
      <c r="AZ270" s="1">
        <f t="shared" si="185"/>
        <v>0</v>
      </c>
      <c r="BA270" s="1">
        <f t="shared" si="186"/>
        <v>0</v>
      </c>
      <c r="BB270" s="5">
        <v>0</v>
      </c>
      <c r="BC270" s="5">
        <v>0</v>
      </c>
      <c r="BD270" s="5">
        <v>1</v>
      </c>
      <c r="BE270" s="5">
        <f t="shared" si="196"/>
        <v>0</v>
      </c>
      <c r="BF270" s="5">
        <v>0</v>
      </c>
      <c r="BG270" s="5">
        <f t="shared" si="213"/>
        <v>0</v>
      </c>
      <c r="BH270" s="5">
        <f t="shared" si="213"/>
        <v>0</v>
      </c>
      <c r="BI270" s="5">
        <f t="shared" si="213"/>
        <v>0</v>
      </c>
      <c r="BJ270" s="5">
        <f t="shared" si="213"/>
        <v>0</v>
      </c>
      <c r="BK270" s="5">
        <f t="shared" si="213"/>
        <v>0</v>
      </c>
      <c r="BL270" s="5">
        <f t="shared" si="213"/>
        <v>0</v>
      </c>
      <c r="BM270" s="5">
        <f t="shared" si="213"/>
        <v>0</v>
      </c>
      <c r="BN270" s="5">
        <f t="shared" si="205"/>
        <v>0</v>
      </c>
      <c r="BO270" s="5">
        <f t="shared" si="205"/>
        <v>0</v>
      </c>
      <c r="BP270" s="5">
        <f t="shared" si="205"/>
        <v>0</v>
      </c>
      <c r="BQ270" s="5">
        <f t="shared" si="205"/>
        <v>0</v>
      </c>
      <c r="BR270" s="5">
        <f t="shared" si="205"/>
        <v>0</v>
      </c>
      <c r="BS270" s="5">
        <f t="shared" si="205"/>
        <v>0</v>
      </c>
      <c r="BT270" s="5">
        <f t="shared" si="205"/>
        <v>0</v>
      </c>
      <c r="BU270" s="5">
        <f t="shared" si="205"/>
        <v>0</v>
      </c>
      <c r="BV270" s="5">
        <f t="shared" si="205"/>
        <v>1</v>
      </c>
      <c r="BW270" s="5">
        <f t="shared" si="205"/>
        <v>0</v>
      </c>
      <c r="BX270" s="5">
        <f t="shared" si="205"/>
        <v>0</v>
      </c>
      <c r="BY270" s="5">
        <f t="shared" si="205"/>
        <v>0</v>
      </c>
      <c r="BZ270" s="5">
        <f t="shared" si="205"/>
        <v>0</v>
      </c>
      <c r="CA270" s="5">
        <f t="shared" si="205"/>
        <v>0</v>
      </c>
      <c r="CB270" s="5">
        <f t="shared" si="205"/>
        <v>0</v>
      </c>
      <c r="CC270" s="5">
        <f t="shared" si="206"/>
        <v>0</v>
      </c>
      <c r="CD270" s="5">
        <f t="shared" si="198"/>
        <v>0</v>
      </c>
      <c r="CE270" s="5">
        <f t="shared" si="198"/>
        <v>0</v>
      </c>
    </row>
    <row r="271" spans="3:83" x14ac:dyDescent="0.2">
      <c r="C271" s="1">
        <f>Growth!D276</f>
        <v>0</v>
      </c>
      <c r="D271" s="5" t="b">
        <f t="shared" si="207"/>
        <v>0</v>
      </c>
      <c r="E271" s="5">
        <v>2006</v>
      </c>
      <c r="F271" s="5">
        <f ca="1">LOOKUP($E271,frequence!$A$2:$A$35,frequence!L$2:L$35)</f>
        <v>71.097990738484512</v>
      </c>
      <c r="G271" s="5">
        <f ca="1">LOOKUP($E271,frequence!$A$2:$A$35,frequence!K$2:K$35)</f>
        <v>5.2950026937283488</v>
      </c>
      <c r="H271" s="5">
        <f ca="1">LOOKUP($E271,frequence!$A$2:$A$35,frequence!M$2:M$35)</f>
        <v>500.74918436144497</v>
      </c>
      <c r="I271" s="5">
        <v>1995</v>
      </c>
      <c r="J271" s="7">
        <f>LOOKUP(I271,CPI!A$69:A$103,CPI!O$69:O$103)</f>
        <v>1.4308136482939633</v>
      </c>
      <c r="K271" s="5">
        <v>2000</v>
      </c>
      <c r="L271" s="7">
        <f t="shared" ca="1" si="208"/>
        <v>1</v>
      </c>
      <c r="M271" s="7">
        <f t="shared" si="200"/>
        <v>6.9999999999999993E-3</v>
      </c>
      <c r="N271" s="14">
        <f t="shared" si="199"/>
        <v>1.25E-3</v>
      </c>
      <c r="O271" s="1">
        <f ca="1">P271*J271*(1+Growth!G$6)^(2010-K271)</f>
        <v>121.36458759461372</v>
      </c>
      <c r="P271" s="3">
        <v>73</v>
      </c>
      <c r="Q271" s="2">
        <f t="shared" si="148"/>
        <v>73</v>
      </c>
      <c r="R271" s="21">
        <f t="shared" ca="1" si="209"/>
        <v>14729.363122010667</v>
      </c>
      <c r="X271" s="2">
        <f t="shared" si="214"/>
        <v>73</v>
      </c>
      <c r="AC271" s="1">
        <f t="shared" si="195"/>
        <v>5.6</v>
      </c>
      <c r="AD271" s="5">
        <v>0</v>
      </c>
      <c r="AE271" s="5">
        <v>0</v>
      </c>
      <c r="AF271" s="5">
        <v>1</v>
      </c>
      <c r="AG271" s="5">
        <v>1</v>
      </c>
      <c r="AH271" s="5">
        <v>1</v>
      </c>
      <c r="AI271" s="3">
        <f t="shared" si="201"/>
        <v>2.6</v>
      </c>
      <c r="AJ271" s="5">
        <f t="shared" si="175"/>
        <v>0</v>
      </c>
      <c r="AK271" s="5">
        <f t="shared" si="210"/>
        <v>0</v>
      </c>
      <c r="AL271" s="5">
        <f t="shared" si="211"/>
        <v>0</v>
      </c>
      <c r="AM271" s="5">
        <f t="shared" si="176"/>
        <v>0</v>
      </c>
      <c r="AN271" s="5">
        <f t="shared" si="212"/>
        <v>0</v>
      </c>
      <c r="AO271" s="5">
        <f t="shared" si="177"/>
        <v>1</v>
      </c>
      <c r="AP271" s="11" t="s">
        <v>42</v>
      </c>
      <c r="AQ271" s="1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f t="shared" si="202"/>
        <v>0</v>
      </c>
      <c r="AW271" s="5">
        <f t="shared" si="203"/>
        <v>0</v>
      </c>
      <c r="AX271" s="5">
        <f t="shared" si="204"/>
        <v>1</v>
      </c>
      <c r="AY271" s="1">
        <f t="shared" si="184"/>
        <v>0</v>
      </c>
      <c r="AZ271" s="1">
        <f t="shared" si="185"/>
        <v>0</v>
      </c>
      <c r="BA271" s="1">
        <f t="shared" si="186"/>
        <v>0</v>
      </c>
      <c r="BB271" s="5">
        <v>0</v>
      </c>
      <c r="BC271" s="5">
        <v>0</v>
      </c>
      <c r="BD271" s="5">
        <v>1</v>
      </c>
      <c r="BE271" s="5">
        <f t="shared" si="196"/>
        <v>0</v>
      </c>
      <c r="BF271" s="5">
        <v>0</v>
      </c>
      <c r="BG271" s="5">
        <f t="shared" si="213"/>
        <v>0</v>
      </c>
      <c r="BH271" s="5">
        <f t="shared" si="213"/>
        <v>0</v>
      </c>
      <c r="BI271" s="5">
        <f t="shared" si="213"/>
        <v>0</v>
      </c>
      <c r="BJ271" s="5">
        <f t="shared" si="213"/>
        <v>0</v>
      </c>
      <c r="BK271" s="5">
        <f t="shared" si="213"/>
        <v>0</v>
      </c>
      <c r="BL271" s="5">
        <f t="shared" si="213"/>
        <v>0</v>
      </c>
      <c r="BM271" s="5">
        <f t="shared" si="213"/>
        <v>0</v>
      </c>
      <c r="BN271" s="5">
        <f t="shared" si="205"/>
        <v>0</v>
      </c>
      <c r="BO271" s="5">
        <f t="shared" si="205"/>
        <v>0</v>
      </c>
      <c r="BP271" s="5">
        <f t="shared" si="205"/>
        <v>0</v>
      </c>
      <c r="BQ271" s="5">
        <f t="shared" si="205"/>
        <v>0</v>
      </c>
      <c r="BR271" s="5">
        <f t="shared" si="205"/>
        <v>0</v>
      </c>
      <c r="BS271" s="5">
        <f t="shared" si="205"/>
        <v>0</v>
      </c>
      <c r="BT271" s="5">
        <f t="shared" si="205"/>
        <v>0</v>
      </c>
      <c r="BU271" s="5">
        <f t="shared" si="205"/>
        <v>0</v>
      </c>
      <c r="BV271" s="5">
        <f t="shared" si="205"/>
        <v>1</v>
      </c>
      <c r="BW271" s="5">
        <f t="shared" si="205"/>
        <v>0</v>
      </c>
      <c r="BX271" s="5">
        <f t="shared" si="205"/>
        <v>0</v>
      </c>
      <c r="BY271" s="5">
        <f t="shared" si="205"/>
        <v>0</v>
      </c>
      <c r="BZ271" s="5">
        <f t="shared" si="205"/>
        <v>0</v>
      </c>
      <c r="CA271" s="5">
        <f t="shared" si="205"/>
        <v>0</v>
      </c>
      <c r="CB271" s="5">
        <f t="shared" si="205"/>
        <v>0</v>
      </c>
      <c r="CC271" s="5">
        <f t="shared" si="206"/>
        <v>0</v>
      </c>
      <c r="CD271" s="5">
        <f t="shared" si="206"/>
        <v>0</v>
      </c>
      <c r="CE271" s="5">
        <f t="shared" si="206"/>
        <v>0</v>
      </c>
    </row>
    <row r="272" spans="3:83" x14ac:dyDescent="0.2">
      <c r="C272" s="1">
        <f>Growth!D277</f>
        <v>0</v>
      </c>
      <c r="D272" s="5" t="b">
        <f t="shared" si="207"/>
        <v>0</v>
      </c>
      <c r="E272" s="5">
        <v>2006</v>
      </c>
      <c r="F272" s="5">
        <f ca="1">LOOKUP($E272,frequence!$A$2:$A$35,frequence!L$2:L$35)</f>
        <v>71.097990738484512</v>
      </c>
      <c r="G272" s="5">
        <f ca="1">LOOKUP($E272,frequence!$A$2:$A$35,frequence!K$2:K$35)</f>
        <v>5.2950026937283488</v>
      </c>
      <c r="H272" s="5">
        <f ca="1">LOOKUP($E272,frequence!$A$2:$A$35,frequence!M$2:M$35)</f>
        <v>500.74918436144497</v>
      </c>
      <c r="I272" s="5">
        <v>1995</v>
      </c>
      <c r="J272" s="7">
        <f>LOOKUP(I272,CPI!A$69:A$103,CPI!O$69:O$103)</f>
        <v>1.4308136482939633</v>
      </c>
      <c r="K272" s="5">
        <v>2000</v>
      </c>
      <c r="L272" s="7">
        <f t="shared" ca="1" si="208"/>
        <v>1</v>
      </c>
      <c r="M272" s="7">
        <f t="shared" si="200"/>
        <v>6.9999999999999993E-3</v>
      </c>
      <c r="N272" s="14">
        <f t="shared" si="199"/>
        <v>1.25E-3</v>
      </c>
      <c r="O272" s="1">
        <f ca="1">P272*J272*(1+Growth!G$6)^(2010-K272)</f>
        <v>26.60045755498383</v>
      </c>
      <c r="P272" s="3">
        <v>16</v>
      </c>
      <c r="Q272" s="2">
        <f t="shared" si="148"/>
        <v>16</v>
      </c>
      <c r="R272" s="21">
        <f t="shared" ca="1" si="209"/>
        <v>707.5843421344963</v>
      </c>
      <c r="X272" s="2">
        <f t="shared" si="214"/>
        <v>16</v>
      </c>
      <c r="AC272" s="1">
        <f t="shared" si="195"/>
        <v>5.6</v>
      </c>
      <c r="AD272" s="5">
        <v>0</v>
      </c>
      <c r="AE272" s="5">
        <v>0</v>
      </c>
      <c r="AF272" s="5">
        <v>1</v>
      </c>
      <c r="AG272" s="5">
        <v>1</v>
      </c>
      <c r="AH272" s="5">
        <v>1</v>
      </c>
      <c r="AI272" s="3">
        <f t="shared" si="201"/>
        <v>2.6</v>
      </c>
      <c r="AJ272" s="5">
        <f t="shared" si="175"/>
        <v>0</v>
      </c>
      <c r="AK272" s="5">
        <f t="shared" si="210"/>
        <v>0</v>
      </c>
      <c r="AL272" s="5">
        <f t="shared" si="211"/>
        <v>0</v>
      </c>
      <c r="AM272" s="5">
        <f t="shared" si="176"/>
        <v>1</v>
      </c>
      <c r="AN272" s="5">
        <f t="shared" si="212"/>
        <v>0</v>
      </c>
      <c r="AO272" s="5">
        <f t="shared" si="177"/>
        <v>0</v>
      </c>
      <c r="AP272" s="11" t="s">
        <v>42</v>
      </c>
      <c r="AQ272" s="1">
        <v>1</v>
      </c>
      <c r="AR272" s="5">
        <v>0</v>
      </c>
      <c r="AS272" s="5">
        <v>0</v>
      </c>
      <c r="AT272" s="5">
        <v>0</v>
      </c>
      <c r="AU272" s="5">
        <v>0</v>
      </c>
      <c r="AV272" s="5">
        <f t="shared" si="202"/>
        <v>0</v>
      </c>
      <c r="AW272" s="5">
        <f t="shared" si="203"/>
        <v>0</v>
      </c>
      <c r="AX272" s="5">
        <f t="shared" si="204"/>
        <v>1</v>
      </c>
      <c r="AY272" s="1">
        <f t="shared" si="184"/>
        <v>0</v>
      </c>
      <c r="AZ272" s="1">
        <f t="shared" si="185"/>
        <v>0</v>
      </c>
      <c r="BA272" s="1">
        <f t="shared" si="186"/>
        <v>0</v>
      </c>
      <c r="BB272" s="5">
        <v>0</v>
      </c>
      <c r="BC272" s="5">
        <v>0</v>
      </c>
      <c r="BD272" s="5">
        <v>1</v>
      </c>
      <c r="BE272" s="5">
        <f t="shared" si="196"/>
        <v>0</v>
      </c>
      <c r="BF272" s="5">
        <v>0</v>
      </c>
      <c r="BG272" s="5">
        <f t="shared" si="213"/>
        <v>0</v>
      </c>
      <c r="BH272" s="5">
        <f t="shared" si="213"/>
        <v>0</v>
      </c>
      <c r="BI272" s="5">
        <f t="shared" si="213"/>
        <v>0</v>
      </c>
      <c r="BJ272" s="5">
        <f t="shared" si="213"/>
        <v>0</v>
      </c>
      <c r="BK272" s="5">
        <f t="shared" si="213"/>
        <v>0</v>
      </c>
      <c r="BL272" s="5">
        <f t="shared" si="213"/>
        <v>0</v>
      </c>
      <c r="BM272" s="5">
        <f t="shared" si="213"/>
        <v>0</v>
      </c>
      <c r="BN272" s="5">
        <f t="shared" si="205"/>
        <v>0</v>
      </c>
      <c r="BO272" s="5">
        <f t="shared" si="205"/>
        <v>0</v>
      </c>
      <c r="BP272" s="5">
        <f t="shared" si="205"/>
        <v>0</v>
      </c>
      <c r="BQ272" s="5">
        <f t="shared" si="205"/>
        <v>0</v>
      </c>
      <c r="BR272" s="5">
        <f t="shared" si="205"/>
        <v>0</v>
      </c>
      <c r="BS272" s="5">
        <f t="shared" si="205"/>
        <v>0</v>
      </c>
      <c r="BT272" s="5">
        <f t="shared" si="205"/>
        <v>0</v>
      </c>
      <c r="BU272" s="5">
        <f t="shared" si="205"/>
        <v>0</v>
      </c>
      <c r="BV272" s="5">
        <f t="shared" si="205"/>
        <v>1</v>
      </c>
      <c r="BW272" s="5">
        <f t="shared" si="205"/>
        <v>0</v>
      </c>
      <c r="BX272" s="5">
        <f t="shared" si="205"/>
        <v>0</v>
      </c>
      <c r="BY272" s="5">
        <f t="shared" si="205"/>
        <v>0</v>
      </c>
      <c r="BZ272" s="5">
        <f t="shared" si="205"/>
        <v>0</v>
      </c>
      <c r="CA272" s="5">
        <f t="shared" si="205"/>
        <v>0</v>
      </c>
      <c r="CB272" s="5">
        <f t="shared" si="205"/>
        <v>0</v>
      </c>
      <c r="CC272" s="5">
        <f t="shared" si="206"/>
        <v>0</v>
      </c>
      <c r="CD272" s="5">
        <f t="shared" si="206"/>
        <v>0</v>
      </c>
      <c r="CE272" s="5">
        <f t="shared" si="206"/>
        <v>0</v>
      </c>
    </row>
    <row r="273" spans="3:83" x14ac:dyDescent="0.2">
      <c r="C273" s="1">
        <f>Growth!D278</f>
        <v>0</v>
      </c>
      <c r="D273" s="5" t="b">
        <f t="shared" si="207"/>
        <v>0</v>
      </c>
      <c r="E273" s="5">
        <v>2006</v>
      </c>
      <c r="F273" s="5">
        <f ca="1">LOOKUP($E273,frequence!$A$2:$A$35,frequence!L$2:L$35)</f>
        <v>71.097990738484512</v>
      </c>
      <c r="G273" s="5">
        <f ca="1">LOOKUP($E273,frequence!$A$2:$A$35,frequence!K$2:K$35)</f>
        <v>5.2950026937283488</v>
      </c>
      <c r="H273" s="5">
        <f ca="1">LOOKUP($E273,frequence!$A$2:$A$35,frequence!M$2:M$35)</f>
        <v>500.74918436144497</v>
      </c>
      <c r="I273" s="5">
        <v>1995</v>
      </c>
      <c r="J273" s="7">
        <f>LOOKUP(I273,CPI!A$69:A$103,CPI!O$69:O$103)</f>
        <v>1.4308136482939633</v>
      </c>
      <c r="K273" s="5">
        <v>2000</v>
      </c>
      <c r="L273" s="7">
        <f t="shared" ca="1" si="208"/>
        <v>1</v>
      </c>
      <c r="M273" s="7">
        <f t="shared" si="200"/>
        <v>6.9999999999999993E-3</v>
      </c>
      <c r="N273" s="14">
        <f t="shared" si="199"/>
        <v>1.25E-3</v>
      </c>
      <c r="O273" s="1">
        <f ca="1">P273*J273*(1+Growth!G$6)^(2010-K273)</f>
        <v>-2.6600457554983832</v>
      </c>
      <c r="P273" s="3">
        <v>-1.6</v>
      </c>
      <c r="Q273" s="2">
        <f t="shared" si="148"/>
        <v>-1.6</v>
      </c>
      <c r="R273" s="21">
        <f t="shared" ca="1" si="209"/>
        <v>7.0758434213449641</v>
      </c>
      <c r="X273" s="2">
        <f t="shared" si="214"/>
        <v>-1.6</v>
      </c>
      <c r="AC273" s="1">
        <f t="shared" si="195"/>
        <v>5.6</v>
      </c>
      <c r="AD273" s="5">
        <v>0</v>
      </c>
      <c r="AE273" s="5">
        <v>0</v>
      </c>
      <c r="AF273" s="5">
        <v>1</v>
      </c>
      <c r="AG273" s="5">
        <v>1</v>
      </c>
      <c r="AH273" s="5">
        <v>1</v>
      </c>
      <c r="AI273" s="3">
        <f t="shared" si="201"/>
        <v>2.6</v>
      </c>
      <c r="AJ273" s="5">
        <f t="shared" si="175"/>
        <v>1</v>
      </c>
      <c r="AK273" s="5">
        <f t="shared" si="210"/>
        <v>0</v>
      </c>
      <c r="AL273" s="5">
        <f t="shared" si="211"/>
        <v>0</v>
      </c>
      <c r="AM273" s="5">
        <f t="shared" si="176"/>
        <v>0</v>
      </c>
      <c r="AN273" s="5">
        <f t="shared" si="212"/>
        <v>0</v>
      </c>
      <c r="AO273" s="5">
        <f t="shared" si="177"/>
        <v>0</v>
      </c>
      <c r="AP273" s="11" t="s">
        <v>42</v>
      </c>
      <c r="AQ273" s="1">
        <v>3</v>
      </c>
      <c r="AR273" s="5">
        <v>0</v>
      </c>
      <c r="AS273" s="5">
        <v>0</v>
      </c>
      <c r="AT273" s="5">
        <v>0</v>
      </c>
      <c r="AU273" s="5">
        <v>0</v>
      </c>
      <c r="AV273" s="5">
        <f t="shared" si="202"/>
        <v>0</v>
      </c>
      <c r="AW273" s="5">
        <f t="shared" si="203"/>
        <v>0</v>
      </c>
      <c r="AX273" s="5">
        <f t="shared" si="204"/>
        <v>1</v>
      </c>
      <c r="AY273" s="1">
        <f t="shared" si="184"/>
        <v>0</v>
      </c>
      <c r="AZ273" s="1">
        <f t="shared" si="185"/>
        <v>0</v>
      </c>
      <c r="BA273" s="1">
        <f t="shared" si="186"/>
        <v>0</v>
      </c>
      <c r="BB273" s="5">
        <v>0</v>
      </c>
      <c r="BC273" s="5">
        <v>0</v>
      </c>
      <c r="BD273" s="5">
        <v>1</v>
      </c>
      <c r="BE273" s="5">
        <f t="shared" si="196"/>
        <v>0</v>
      </c>
      <c r="BF273" s="5">
        <v>0</v>
      </c>
      <c r="BG273" s="5">
        <f t="shared" si="213"/>
        <v>0</v>
      </c>
      <c r="BH273" s="5">
        <f t="shared" si="213"/>
        <v>0</v>
      </c>
      <c r="BI273" s="5">
        <f t="shared" si="213"/>
        <v>0</v>
      </c>
      <c r="BJ273" s="5">
        <f t="shared" si="213"/>
        <v>0</v>
      </c>
      <c r="BK273" s="5">
        <f t="shared" si="213"/>
        <v>0</v>
      </c>
      <c r="BL273" s="5">
        <f t="shared" si="213"/>
        <v>0</v>
      </c>
      <c r="BM273" s="5">
        <f t="shared" si="213"/>
        <v>0</v>
      </c>
      <c r="BN273" s="5">
        <f t="shared" si="205"/>
        <v>0</v>
      </c>
      <c r="BO273" s="5">
        <f t="shared" si="205"/>
        <v>0</v>
      </c>
      <c r="BP273" s="5">
        <f t="shared" si="205"/>
        <v>0</v>
      </c>
      <c r="BQ273" s="5">
        <f t="shared" si="205"/>
        <v>0</v>
      </c>
      <c r="BR273" s="5">
        <f t="shared" si="205"/>
        <v>0</v>
      </c>
      <c r="BS273" s="5">
        <f t="shared" si="205"/>
        <v>0</v>
      </c>
      <c r="BT273" s="5">
        <f t="shared" si="205"/>
        <v>0</v>
      </c>
      <c r="BU273" s="5">
        <f t="shared" si="205"/>
        <v>0</v>
      </c>
      <c r="BV273" s="5">
        <f t="shared" si="205"/>
        <v>1</v>
      </c>
      <c r="BW273" s="5">
        <f t="shared" si="205"/>
        <v>0</v>
      </c>
      <c r="BX273" s="5">
        <f t="shared" si="205"/>
        <v>0</v>
      </c>
      <c r="BY273" s="5">
        <f t="shared" si="205"/>
        <v>0</v>
      </c>
      <c r="BZ273" s="5">
        <f t="shared" si="205"/>
        <v>0</v>
      </c>
      <c r="CA273" s="5">
        <f t="shared" si="205"/>
        <v>0</v>
      </c>
      <c r="CB273" s="5">
        <f t="shared" si="205"/>
        <v>0</v>
      </c>
      <c r="CC273" s="5">
        <f t="shared" si="206"/>
        <v>0</v>
      </c>
      <c r="CD273" s="5">
        <f t="shared" si="206"/>
        <v>0</v>
      </c>
      <c r="CE273" s="5">
        <f t="shared" si="206"/>
        <v>0</v>
      </c>
    </row>
    <row r="274" spans="3:83" x14ac:dyDescent="0.2">
      <c r="C274" s="1">
        <f>Growth!D279</f>
        <v>0</v>
      </c>
      <c r="D274" s="5" t="b">
        <f t="shared" si="207"/>
        <v>0</v>
      </c>
      <c r="E274" s="5">
        <v>2006</v>
      </c>
      <c r="F274" s="5">
        <f ca="1">LOOKUP($E274,frequence!$A$2:$A$35,frequence!L$2:L$35)</f>
        <v>71.097990738484512</v>
      </c>
      <c r="G274" s="5">
        <f ca="1">LOOKUP($E274,frequence!$A$2:$A$35,frequence!K$2:K$35)</f>
        <v>5.2950026937283488</v>
      </c>
      <c r="H274" s="5">
        <f ca="1">LOOKUP($E274,frequence!$A$2:$A$35,frequence!M$2:M$35)</f>
        <v>500.74918436144497</v>
      </c>
      <c r="I274" s="5">
        <v>1995</v>
      </c>
      <c r="J274" s="7">
        <f>LOOKUP(I274,CPI!A$69:A$103,CPI!O$69:O$103)</f>
        <v>1.4308136482939633</v>
      </c>
      <c r="K274" s="5">
        <v>2000</v>
      </c>
      <c r="L274" s="7">
        <f t="shared" ca="1" si="208"/>
        <v>1</v>
      </c>
      <c r="M274" s="7">
        <f t="shared" si="200"/>
        <v>6.9999999999999993E-3</v>
      </c>
      <c r="N274" s="14">
        <f t="shared" si="199"/>
        <v>1.25E-3</v>
      </c>
      <c r="O274" s="1">
        <f ca="1">P274*J274*(1+Growth!G$6)^(2010-K274)</f>
        <v>39.900686332475743</v>
      </c>
      <c r="P274" s="3">
        <v>24</v>
      </c>
      <c r="Q274" s="2">
        <f t="shared" si="148"/>
        <v>24</v>
      </c>
      <c r="R274" s="21">
        <f t="shared" ca="1" si="209"/>
        <v>1592.0647698026166</v>
      </c>
      <c r="X274" s="2">
        <f t="shared" si="214"/>
        <v>24</v>
      </c>
      <c r="AC274" s="1">
        <f t="shared" si="195"/>
        <v>5.6</v>
      </c>
      <c r="AD274" s="5">
        <v>0</v>
      </c>
      <c r="AE274" s="5">
        <v>0</v>
      </c>
      <c r="AF274" s="5">
        <v>1</v>
      </c>
      <c r="AG274" s="5">
        <v>1</v>
      </c>
      <c r="AH274" s="5">
        <v>1</v>
      </c>
      <c r="AI274" s="3">
        <f t="shared" si="201"/>
        <v>2.6</v>
      </c>
      <c r="AJ274" s="5">
        <f t="shared" si="175"/>
        <v>0</v>
      </c>
      <c r="AK274" s="5">
        <f t="shared" si="210"/>
        <v>0</v>
      </c>
      <c r="AL274" s="5">
        <f t="shared" si="211"/>
        <v>0</v>
      </c>
      <c r="AM274" s="5">
        <f t="shared" si="176"/>
        <v>0</v>
      </c>
      <c r="AN274" s="5">
        <f t="shared" si="212"/>
        <v>0</v>
      </c>
      <c r="AO274" s="5">
        <f t="shared" si="177"/>
        <v>0</v>
      </c>
      <c r="AP274" s="11" t="s">
        <v>42</v>
      </c>
      <c r="AQ274" s="1" t="s">
        <v>42</v>
      </c>
      <c r="AR274" s="5">
        <v>0</v>
      </c>
      <c r="AS274" s="5">
        <v>0</v>
      </c>
      <c r="AT274" s="5">
        <v>0</v>
      </c>
      <c r="AU274" s="5">
        <v>0</v>
      </c>
      <c r="AV274" s="5">
        <f t="shared" si="202"/>
        <v>0</v>
      </c>
      <c r="AW274" s="5">
        <f t="shared" si="203"/>
        <v>0</v>
      </c>
      <c r="AX274" s="5">
        <f t="shared" si="204"/>
        <v>1</v>
      </c>
      <c r="AY274" s="1">
        <f t="shared" si="184"/>
        <v>0</v>
      </c>
      <c r="AZ274" s="1">
        <f t="shared" si="185"/>
        <v>0</v>
      </c>
      <c r="BA274" s="1">
        <f t="shared" si="186"/>
        <v>0</v>
      </c>
      <c r="BB274" s="5">
        <v>0</v>
      </c>
      <c r="BC274" s="5">
        <v>0</v>
      </c>
      <c r="BD274" s="5">
        <v>1</v>
      </c>
      <c r="BE274" s="5">
        <f t="shared" si="196"/>
        <v>0</v>
      </c>
      <c r="BF274" s="5">
        <v>0</v>
      </c>
      <c r="BG274" s="5">
        <f t="shared" si="213"/>
        <v>0</v>
      </c>
      <c r="BH274" s="5">
        <f t="shared" si="213"/>
        <v>0</v>
      </c>
      <c r="BI274" s="5">
        <f t="shared" si="213"/>
        <v>0</v>
      </c>
      <c r="BJ274" s="5">
        <f t="shared" si="213"/>
        <v>0</v>
      </c>
      <c r="BK274" s="5">
        <f t="shared" si="213"/>
        <v>0</v>
      </c>
      <c r="BL274" s="5">
        <f t="shared" si="213"/>
        <v>0</v>
      </c>
      <c r="BM274" s="5">
        <f t="shared" si="213"/>
        <v>0</v>
      </c>
      <c r="BN274" s="5">
        <f t="shared" si="205"/>
        <v>0</v>
      </c>
      <c r="BO274" s="5">
        <f t="shared" si="205"/>
        <v>0</v>
      </c>
      <c r="BP274" s="5">
        <f t="shared" si="205"/>
        <v>0</v>
      </c>
      <c r="BQ274" s="5">
        <f t="shared" si="205"/>
        <v>0</v>
      </c>
      <c r="BR274" s="5">
        <f t="shared" si="205"/>
        <v>0</v>
      </c>
      <c r="BS274" s="5">
        <f t="shared" si="205"/>
        <v>0</v>
      </c>
      <c r="BT274" s="5">
        <f t="shared" si="205"/>
        <v>0</v>
      </c>
      <c r="BU274" s="5">
        <f t="shared" si="205"/>
        <v>0</v>
      </c>
      <c r="BV274" s="5">
        <f t="shared" si="205"/>
        <v>1</v>
      </c>
      <c r="BW274" s="5">
        <f t="shared" si="205"/>
        <v>0</v>
      </c>
      <c r="BX274" s="5">
        <f t="shared" si="205"/>
        <v>0</v>
      </c>
      <c r="BY274" s="5">
        <f t="shared" si="205"/>
        <v>0</v>
      </c>
      <c r="BZ274" s="5">
        <f t="shared" si="205"/>
        <v>0</v>
      </c>
      <c r="CA274" s="5">
        <f t="shared" si="205"/>
        <v>0</v>
      </c>
      <c r="CB274" s="5">
        <f t="shared" si="205"/>
        <v>0</v>
      </c>
      <c r="CC274" s="5">
        <f t="shared" si="206"/>
        <v>0</v>
      </c>
      <c r="CD274" s="5">
        <f t="shared" si="206"/>
        <v>0</v>
      </c>
      <c r="CE274" s="5">
        <f t="shared" si="206"/>
        <v>0</v>
      </c>
    </row>
    <row r="275" spans="3:83" x14ac:dyDescent="0.2">
      <c r="C275" s="1">
        <f>Growth!D280</f>
        <v>0</v>
      </c>
      <c r="D275" s="5" t="b">
        <f t="shared" si="207"/>
        <v>0</v>
      </c>
      <c r="E275" s="5">
        <v>2006</v>
      </c>
      <c r="F275" s="5">
        <f ca="1">LOOKUP($E275,frequence!$A$2:$A$35,frequence!L$2:L$35)</f>
        <v>71.097990738484512</v>
      </c>
      <c r="G275" s="5">
        <f ca="1">LOOKUP($E275,frequence!$A$2:$A$35,frequence!K$2:K$35)</f>
        <v>5.2950026937283488</v>
      </c>
      <c r="H275" s="5">
        <f ca="1">LOOKUP($E275,frequence!$A$2:$A$35,frequence!M$2:M$35)</f>
        <v>500.74918436144497</v>
      </c>
      <c r="I275" s="5">
        <v>1995</v>
      </c>
      <c r="J275" s="7">
        <f>LOOKUP(I275,CPI!A$69:A$103,CPI!O$69:O$103)</f>
        <v>1.4308136482939633</v>
      </c>
      <c r="K275" s="5">
        <v>2000</v>
      </c>
      <c r="L275" s="7">
        <f t="shared" ca="1" si="208"/>
        <v>1</v>
      </c>
      <c r="M275" s="7">
        <f t="shared" si="200"/>
        <v>6.9999999999999993E-3</v>
      </c>
      <c r="N275" s="14">
        <f t="shared" si="199"/>
        <v>1.25E-3</v>
      </c>
      <c r="O275" s="1">
        <f ca="1">P275*J275*(1+Growth!G$6)^(2010-K275)</f>
        <v>156.27768813553001</v>
      </c>
      <c r="P275" s="3">
        <v>94</v>
      </c>
      <c r="Q275" s="2">
        <f t="shared" si="148"/>
        <v>94</v>
      </c>
      <c r="R275" s="21">
        <f t="shared" ca="1" si="209"/>
        <v>24422.715808985977</v>
      </c>
      <c r="X275" s="2">
        <f t="shared" si="214"/>
        <v>94</v>
      </c>
      <c r="AC275" s="1">
        <f t="shared" si="195"/>
        <v>5.6</v>
      </c>
      <c r="AD275" s="5">
        <v>0</v>
      </c>
      <c r="AE275" s="5">
        <v>0</v>
      </c>
      <c r="AF275" s="5">
        <v>1</v>
      </c>
      <c r="AG275" s="5">
        <v>1</v>
      </c>
      <c r="AH275" s="5">
        <v>1</v>
      </c>
      <c r="AI275" s="3">
        <f t="shared" si="201"/>
        <v>2.6</v>
      </c>
      <c r="AJ275" s="5">
        <f t="shared" si="175"/>
        <v>0</v>
      </c>
      <c r="AK275" s="5">
        <f t="shared" si="210"/>
        <v>0</v>
      </c>
      <c r="AL275" s="5">
        <f t="shared" si="211"/>
        <v>0</v>
      </c>
      <c r="AM275" s="5">
        <f t="shared" si="176"/>
        <v>0</v>
      </c>
      <c r="AN275" s="5">
        <f t="shared" si="212"/>
        <v>0</v>
      </c>
      <c r="AO275" s="5">
        <f t="shared" si="177"/>
        <v>1</v>
      </c>
      <c r="AP275" s="11" t="s">
        <v>42</v>
      </c>
      <c r="AQ275" s="1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f t="shared" si="202"/>
        <v>0</v>
      </c>
      <c r="AW275" s="5">
        <f t="shared" si="203"/>
        <v>0</v>
      </c>
      <c r="AX275" s="5">
        <f t="shared" si="204"/>
        <v>1</v>
      </c>
      <c r="AY275" s="1">
        <f t="shared" si="184"/>
        <v>0</v>
      </c>
      <c r="AZ275" s="1">
        <f t="shared" si="185"/>
        <v>0</v>
      </c>
      <c r="BA275" s="1">
        <f t="shared" si="186"/>
        <v>0</v>
      </c>
      <c r="BB275" s="5">
        <v>0</v>
      </c>
      <c r="BC275" s="5">
        <v>0</v>
      </c>
      <c r="BD275" s="5">
        <v>1</v>
      </c>
      <c r="BE275" s="5">
        <f t="shared" si="196"/>
        <v>0</v>
      </c>
      <c r="BF275" s="5">
        <v>0</v>
      </c>
      <c r="BG275" s="5">
        <f t="shared" si="213"/>
        <v>0</v>
      </c>
      <c r="BH275" s="5">
        <f t="shared" si="213"/>
        <v>0</v>
      </c>
      <c r="BI275" s="5">
        <f t="shared" si="213"/>
        <v>0</v>
      </c>
      <c r="BJ275" s="5">
        <f t="shared" si="213"/>
        <v>0</v>
      </c>
      <c r="BK275" s="5">
        <f t="shared" si="213"/>
        <v>0</v>
      </c>
      <c r="BL275" s="5">
        <f t="shared" si="213"/>
        <v>0</v>
      </c>
      <c r="BM275" s="5">
        <f t="shared" si="213"/>
        <v>0</v>
      </c>
      <c r="BN275" s="5">
        <f t="shared" si="205"/>
        <v>0</v>
      </c>
      <c r="BO275" s="5">
        <f t="shared" si="205"/>
        <v>0</v>
      </c>
      <c r="BP275" s="5">
        <f t="shared" si="205"/>
        <v>0</v>
      </c>
      <c r="BQ275" s="5">
        <f t="shared" si="205"/>
        <v>0</v>
      </c>
      <c r="BR275" s="5">
        <f t="shared" si="205"/>
        <v>0</v>
      </c>
      <c r="BS275" s="5">
        <f t="shared" si="205"/>
        <v>0</v>
      </c>
      <c r="BT275" s="5">
        <f t="shared" si="205"/>
        <v>0</v>
      </c>
      <c r="BU275" s="5">
        <f t="shared" si="205"/>
        <v>0</v>
      </c>
      <c r="BV275" s="5">
        <f t="shared" si="205"/>
        <v>1</v>
      </c>
      <c r="BW275" s="5">
        <f t="shared" si="205"/>
        <v>0</v>
      </c>
      <c r="BX275" s="5">
        <f t="shared" si="205"/>
        <v>0</v>
      </c>
      <c r="BY275" s="5">
        <f t="shared" si="205"/>
        <v>0</v>
      </c>
      <c r="BZ275" s="5">
        <f t="shared" si="205"/>
        <v>0</v>
      </c>
      <c r="CA275" s="5">
        <f t="shared" si="205"/>
        <v>0</v>
      </c>
      <c r="CB275" s="5">
        <f t="shared" ref="CB275:CE294" si="215">IF($E275=CB$2,1,0)</f>
        <v>0</v>
      </c>
      <c r="CC275" s="5">
        <f t="shared" si="206"/>
        <v>0</v>
      </c>
      <c r="CD275" s="5">
        <f t="shared" si="206"/>
        <v>0</v>
      </c>
      <c r="CE275" s="5">
        <f t="shared" si="206"/>
        <v>0</v>
      </c>
    </row>
    <row r="276" spans="3:83" x14ac:dyDescent="0.2">
      <c r="C276" s="1">
        <f>Growth!D281</f>
        <v>0</v>
      </c>
      <c r="D276" s="5" t="b">
        <f t="shared" si="207"/>
        <v>0</v>
      </c>
      <c r="E276" s="5">
        <v>2006</v>
      </c>
      <c r="F276" s="5">
        <f ca="1">LOOKUP($E276,frequence!$A$2:$A$35,frequence!L$2:L$35)</f>
        <v>71.097990738484512</v>
      </c>
      <c r="G276" s="5">
        <f ca="1">LOOKUP($E276,frequence!$A$2:$A$35,frequence!K$2:K$35)</f>
        <v>5.2950026937283488</v>
      </c>
      <c r="H276" s="5">
        <f ca="1">LOOKUP($E276,frequence!$A$2:$A$35,frequence!M$2:M$35)</f>
        <v>500.74918436144497</v>
      </c>
      <c r="I276" s="5">
        <v>1995</v>
      </c>
      <c r="J276" s="7">
        <f>LOOKUP(I276,CPI!A$69:A$103,CPI!O$69:O$103)</f>
        <v>1.4308136482939633</v>
      </c>
      <c r="K276" s="5">
        <v>2000</v>
      </c>
      <c r="L276" s="7">
        <f t="shared" ca="1" si="208"/>
        <v>1</v>
      </c>
      <c r="M276" s="7">
        <f t="shared" si="200"/>
        <v>6.9999999999999993E-3</v>
      </c>
      <c r="N276" s="14">
        <f t="shared" si="199"/>
        <v>1.25E-3</v>
      </c>
      <c r="O276" s="1">
        <f ca="1">P276*J276*(1+Growth!G$6)^(2010-K276)</f>
        <v>34.913100540916275</v>
      </c>
      <c r="P276" s="3">
        <v>21</v>
      </c>
      <c r="Q276" s="2">
        <f t="shared" si="148"/>
        <v>21</v>
      </c>
      <c r="R276" s="21">
        <f t="shared" ca="1" si="209"/>
        <v>1218.9245893801283</v>
      </c>
      <c r="X276" s="2">
        <f t="shared" si="214"/>
        <v>21</v>
      </c>
      <c r="AC276" s="1">
        <f t="shared" si="195"/>
        <v>5.6</v>
      </c>
      <c r="AD276" s="5">
        <v>0</v>
      </c>
      <c r="AE276" s="5">
        <v>0</v>
      </c>
      <c r="AF276" s="5">
        <v>1</v>
      </c>
      <c r="AG276" s="5">
        <v>1</v>
      </c>
      <c r="AH276" s="5">
        <v>1</v>
      </c>
      <c r="AI276" s="3">
        <f t="shared" si="201"/>
        <v>2.6</v>
      </c>
      <c r="AJ276" s="5">
        <f t="shared" si="175"/>
        <v>0</v>
      </c>
      <c r="AK276" s="5">
        <f t="shared" si="210"/>
        <v>0</v>
      </c>
      <c r="AL276" s="5">
        <f t="shared" si="211"/>
        <v>0</v>
      </c>
      <c r="AM276" s="5">
        <f t="shared" si="176"/>
        <v>1</v>
      </c>
      <c r="AN276" s="5">
        <f t="shared" si="212"/>
        <v>0</v>
      </c>
      <c r="AO276" s="5">
        <f t="shared" si="177"/>
        <v>0</v>
      </c>
      <c r="AP276" s="11" t="s">
        <v>42</v>
      </c>
      <c r="AQ276" s="1">
        <v>1</v>
      </c>
      <c r="AR276" s="5">
        <v>0</v>
      </c>
      <c r="AS276" s="5">
        <v>0</v>
      </c>
      <c r="AT276" s="5">
        <v>0</v>
      </c>
      <c r="AU276" s="5">
        <v>0</v>
      </c>
      <c r="AV276" s="5">
        <f t="shared" si="202"/>
        <v>0</v>
      </c>
      <c r="AW276" s="5">
        <f t="shared" si="203"/>
        <v>0</v>
      </c>
      <c r="AX276" s="5">
        <f t="shared" si="204"/>
        <v>1</v>
      </c>
      <c r="AY276" s="1">
        <f t="shared" si="184"/>
        <v>0</v>
      </c>
      <c r="AZ276" s="1">
        <f t="shared" si="185"/>
        <v>0</v>
      </c>
      <c r="BA276" s="1">
        <f t="shared" si="186"/>
        <v>0</v>
      </c>
      <c r="BB276" s="5">
        <v>0</v>
      </c>
      <c r="BC276" s="5">
        <v>0</v>
      </c>
      <c r="BD276" s="5">
        <v>1</v>
      </c>
      <c r="BE276" s="5">
        <f t="shared" si="196"/>
        <v>0</v>
      </c>
      <c r="BF276" s="5">
        <v>0</v>
      </c>
      <c r="BG276" s="5">
        <f t="shared" si="213"/>
        <v>0</v>
      </c>
      <c r="BH276" s="5">
        <f t="shared" si="213"/>
        <v>0</v>
      </c>
      <c r="BI276" s="5">
        <f t="shared" si="213"/>
        <v>0</v>
      </c>
      <c r="BJ276" s="5">
        <f t="shared" si="213"/>
        <v>0</v>
      </c>
      <c r="BK276" s="5">
        <f t="shared" si="213"/>
        <v>0</v>
      </c>
      <c r="BL276" s="5">
        <f t="shared" si="213"/>
        <v>0</v>
      </c>
      <c r="BM276" s="5">
        <f t="shared" si="213"/>
        <v>0</v>
      </c>
      <c r="BN276" s="5">
        <f t="shared" si="213"/>
        <v>0</v>
      </c>
      <c r="BO276" s="5">
        <f t="shared" ref="BO276:CA291" si="216">IF($E276=BO$2,1,0)</f>
        <v>0</v>
      </c>
      <c r="BP276" s="5">
        <f t="shared" si="216"/>
        <v>0</v>
      </c>
      <c r="BQ276" s="5">
        <f t="shared" si="216"/>
        <v>0</v>
      </c>
      <c r="BR276" s="5">
        <f t="shared" si="216"/>
        <v>0</v>
      </c>
      <c r="BS276" s="5">
        <f t="shared" si="216"/>
        <v>0</v>
      </c>
      <c r="BT276" s="5">
        <f t="shared" si="216"/>
        <v>0</v>
      </c>
      <c r="BU276" s="5">
        <f t="shared" si="216"/>
        <v>0</v>
      </c>
      <c r="BV276" s="5">
        <f t="shared" si="216"/>
        <v>1</v>
      </c>
      <c r="BW276" s="5">
        <f t="shared" si="216"/>
        <v>0</v>
      </c>
      <c r="BX276" s="5">
        <f t="shared" si="216"/>
        <v>0</v>
      </c>
      <c r="BY276" s="5">
        <f t="shared" si="216"/>
        <v>0</v>
      </c>
      <c r="BZ276" s="5">
        <f t="shared" si="216"/>
        <v>0</v>
      </c>
      <c r="CA276" s="5">
        <f t="shared" si="216"/>
        <v>0</v>
      </c>
      <c r="CB276" s="5">
        <f t="shared" si="215"/>
        <v>0</v>
      </c>
      <c r="CC276" s="5">
        <f t="shared" si="206"/>
        <v>0</v>
      </c>
      <c r="CD276" s="5">
        <f t="shared" si="206"/>
        <v>0</v>
      </c>
      <c r="CE276" s="5">
        <f t="shared" si="206"/>
        <v>0</v>
      </c>
    </row>
    <row r="277" spans="3:83" x14ac:dyDescent="0.2">
      <c r="C277" s="1">
        <f>Growth!D282</f>
        <v>0</v>
      </c>
      <c r="D277" s="5" t="b">
        <f t="shared" si="207"/>
        <v>0</v>
      </c>
      <c r="E277" s="5">
        <v>2006</v>
      </c>
      <c r="F277" s="5">
        <f ca="1">LOOKUP($E277,frequence!$A$2:$A$35,frequence!L$2:L$35)</f>
        <v>71.097990738484512</v>
      </c>
      <c r="G277" s="5">
        <f ca="1">LOOKUP($E277,frequence!$A$2:$A$35,frequence!K$2:K$35)</f>
        <v>5.2950026937283488</v>
      </c>
      <c r="H277" s="5">
        <f ca="1">LOOKUP($E277,frequence!$A$2:$A$35,frequence!M$2:M$35)</f>
        <v>500.74918436144497</v>
      </c>
      <c r="I277" s="5">
        <v>1995</v>
      </c>
      <c r="J277" s="7">
        <f>LOOKUP(I277,CPI!A$69:A$103,CPI!O$69:O$103)</f>
        <v>1.4308136482939633</v>
      </c>
      <c r="K277" s="5">
        <v>2000</v>
      </c>
      <c r="L277" s="7">
        <f t="shared" ca="1" si="208"/>
        <v>1</v>
      </c>
      <c r="M277" s="7">
        <f t="shared" si="200"/>
        <v>6.9999999999999993E-3</v>
      </c>
      <c r="N277" s="14">
        <f t="shared" si="199"/>
        <v>1.25E-3</v>
      </c>
      <c r="O277" s="1">
        <f ca="1">P277*J277*(1+Growth!G$6)^(2010-K277)</f>
        <v>-1.2302711619180022</v>
      </c>
      <c r="P277" s="3">
        <v>-0.74</v>
      </c>
      <c r="Q277" s="2">
        <f t="shared" si="148"/>
        <v>-0.74</v>
      </c>
      <c r="R277" s="21">
        <f t="shared" ca="1" si="209"/>
        <v>1.5135671318470714</v>
      </c>
      <c r="X277" s="2">
        <f t="shared" si="214"/>
        <v>-0.74</v>
      </c>
      <c r="AC277" s="1">
        <f t="shared" ref="AC277:AC356" si="217">SUM(AD277:AI277)</f>
        <v>5.6</v>
      </c>
      <c r="AD277" s="5">
        <v>0</v>
      </c>
      <c r="AE277" s="5">
        <v>0</v>
      </c>
      <c r="AF277" s="5">
        <v>1</v>
      </c>
      <c r="AG277" s="5">
        <v>1</v>
      </c>
      <c r="AH277" s="5">
        <v>1</v>
      </c>
      <c r="AI277" s="3">
        <f t="shared" si="201"/>
        <v>2.6</v>
      </c>
      <c r="AJ277" s="5">
        <f t="shared" si="175"/>
        <v>1</v>
      </c>
      <c r="AK277" s="5">
        <f t="shared" si="210"/>
        <v>0</v>
      </c>
      <c r="AL277" s="5">
        <f t="shared" si="211"/>
        <v>0</v>
      </c>
      <c r="AM277" s="5">
        <f t="shared" si="176"/>
        <v>0</v>
      </c>
      <c r="AN277" s="5">
        <f t="shared" si="212"/>
        <v>0</v>
      </c>
      <c r="AO277" s="5">
        <f t="shared" si="177"/>
        <v>0</v>
      </c>
      <c r="AP277" s="11" t="s">
        <v>42</v>
      </c>
      <c r="AQ277" s="1">
        <v>3</v>
      </c>
      <c r="AR277" s="5">
        <v>0</v>
      </c>
      <c r="AS277" s="5">
        <v>0</v>
      </c>
      <c r="AT277" s="5">
        <v>0</v>
      </c>
      <c r="AU277" s="5">
        <v>0</v>
      </c>
      <c r="AV277" s="5">
        <f t="shared" si="202"/>
        <v>0</v>
      </c>
      <c r="AW277" s="5">
        <f t="shared" si="203"/>
        <v>0</v>
      </c>
      <c r="AX277" s="5">
        <f t="shared" si="204"/>
        <v>1</v>
      </c>
      <c r="AY277" s="1">
        <f t="shared" si="184"/>
        <v>0</v>
      </c>
      <c r="AZ277" s="1">
        <f t="shared" si="185"/>
        <v>0</v>
      </c>
      <c r="BA277" s="1">
        <f t="shared" si="186"/>
        <v>0</v>
      </c>
      <c r="BB277" s="5">
        <v>0</v>
      </c>
      <c r="BC277" s="5">
        <v>0</v>
      </c>
      <c r="BD277" s="5">
        <v>1</v>
      </c>
      <c r="BE277" s="5">
        <f t="shared" si="196"/>
        <v>0</v>
      </c>
      <c r="BF277" s="5">
        <v>0</v>
      </c>
      <c r="BG277" s="5">
        <f t="shared" ref="BG277:BN292" si="218">IF($E277=BG$2,1,0)</f>
        <v>0</v>
      </c>
      <c r="BH277" s="5">
        <f t="shared" si="218"/>
        <v>0</v>
      </c>
      <c r="BI277" s="5">
        <f t="shared" si="218"/>
        <v>0</v>
      </c>
      <c r="BJ277" s="5">
        <f t="shared" si="218"/>
        <v>0</v>
      </c>
      <c r="BK277" s="5">
        <f t="shared" si="218"/>
        <v>0</v>
      </c>
      <c r="BL277" s="5">
        <f t="shared" si="218"/>
        <v>0</v>
      </c>
      <c r="BM277" s="5">
        <f t="shared" si="218"/>
        <v>0</v>
      </c>
      <c r="BN277" s="5">
        <f t="shared" si="218"/>
        <v>0</v>
      </c>
      <c r="BO277" s="5">
        <f t="shared" si="216"/>
        <v>0</v>
      </c>
      <c r="BP277" s="5">
        <f t="shared" si="216"/>
        <v>0</v>
      </c>
      <c r="BQ277" s="5">
        <f t="shared" si="216"/>
        <v>0</v>
      </c>
      <c r="BR277" s="5">
        <f t="shared" si="216"/>
        <v>0</v>
      </c>
      <c r="BS277" s="5">
        <f t="shared" si="216"/>
        <v>0</v>
      </c>
      <c r="BT277" s="5">
        <f t="shared" si="216"/>
        <v>0</v>
      </c>
      <c r="BU277" s="5">
        <f t="shared" si="216"/>
        <v>0</v>
      </c>
      <c r="BV277" s="5">
        <f t="shared" si="216"/>
        <v>1</v>
      </c>
      <c r="BW277" s="5">
        <f t="shared" si="216"/>
        <v>0</v>
      </c>
      <c r="BX277" s="5">
        <f t="shared" si="216"/>
        <v>0</v>
      </c>
      <c r="BY277" s="5">
        <f t="shared" si="216"/>
        <v>0</v>
      </c>
      <c r="BZ277" s="5">
        <f t="shared" si="216"/>
        <v>0</v>
      </c>
      <c r="CA277" s="5">
        <f t="shared" si="216"/>
        <v>0</v>
      </c>
      <c r="CB277" s="5">
        <f t="shared" si="215"/>
        <v>0</v>
      </c>
      <c r="CC277" s="5">
        <f t="shared" si="206"/>
        <v>0</v>
      </c>
      <c r="CD277" s="5">
        <f t="shared" si="206"/>
        <v>0</v>
      </c>
      <c r="CE277" s="5">
        <f t="shared" si="206"/>
        <v>0</v>
      </c>
    </row>
    <row r="278" spans="3:83" x14ac:dyDescent="0.2">
      <c r="C278" s="1">
        <f>Growth!D283</f>
        <v>0</v>
      </c>
      <c r="D278" s="5" t="b">
        <f t="shared" si="207"/>
        <v>0</v>
      </c>
      <c r="E278" s="5">
        <v>2006</v>
      </c>
      <c r="F278" s="5">
        <f ca="1">LOOKUP($E278,frequence!$A$2:$A$35,frequence!L$2:L$35)</f>
        <v>71.097990738484512</v>
      </c>
      <c r="G278" s="5">
        <f ca="1">LOOKUP($E278,frequence!$A$2:$A$35,frequence!K$2:K$35)</f>
        <v>5.2950026937283488</v>
      </c>
      <c r="H278" s="5">
        <f ca="1">LOOKUP($E278,frequence!$A$2:$A$35,frequence!M$2:M$35)</f>
        <v>500.74918436144497</v>
      </c>
      <c r="I278" s="5">
        <v>1995</v>
      </c>
      <c r="J278" s="7">
        <f>LOOKUP(I278,CPI!A$69:A$103,CPI!O$69:O$103)</f>
        <v>1.4308136482939633</v>
      </c>
      <c r="K278" s="5">
        <v>2000</v>
      </c>
      <c r="L278" s="7">
        <f t="shared" ca="1" si="208"/>
        <v>1</v>
      </c>
      <c r="M278" s="7">
        <f t="shared" si="200"/>
        <v>6.9999999999999993E-3</v>
      </c>
      <c r="N278" s="14">
        <f t="shared" si="199"/>
        <v>1.25E-3</v>
      </c>
      <c r="O278" s="1">
        <f ca="1">P278*J278*(1+Growth!G$6)^(2010-K278)</f>
        <v>49.875857915594679</v>
      </c>
      <c r="P278" s="3">
        <v>30</v>
      </c>
      <c r="Q278" s="2">
        <f t="shared" si="148"/>
        <v>30</v>
      </c>
      <c r="R278" s="21">
        <f t="shared" ca="1" si="209"/>
        <v>2487.6012028165883</v>
      </c>
      <c r="X278" s="2">
        <f t="shared" si="214"/>
        <v>30</v>
      </c>
      <c r="AC278" s="1">
        <f t="shared" si="217"/>
        <v>5.6</v>
      </c>
      <c r="AD278" s="5">
        <v>0</v>
      </c>
      <c r="AE278" s="5">
        <v>0</v>
      </c>
      <c r="AF278" s="5">
        <v>1</v>
      </c>
      <c r="AG278" s="5">
        <v>1</v>
      </c>
      <c r="AH278" s="5">
        <v>1</v>
      </c>
      <c r="AI278" s="3">
        <f t="shared" si="201"/>
        <v>2.6</v>
      </c>
      <c r="AJ278" s="5">
        <f t="shared" si="175"/>
        <v>0</v>
      </c>
      <c r="AK278" s="5">
        <f t="shared" si="210"/>
        <v>0</v>
      </c>
      <c r="AL278" s="5">
        <f t="shared" si="211"/>
        <v>0</v>
      </c>
      <c r="AM278" s="5">
        <f t="shared" si="176"/>
        <v>0</v>
      </c>
      <c r="AN278" s="5">
        <f t="shared" si="212"/>
        <v>0</v>
      </c>
      <c r="AO278" s="5">
        <f t="shared" si="177"/>
        <v>0</v>
      </c>
      <c r="AP278" s="11" t="s">
        <v>42</v>
      </c>
      <c r="AQ278" s="1" t="s">
        <v>42</v>
      </c>
      <c r="AR278" s="5">
        <v>0</v>
      </c>
      <c r="AS278" s="5">
        <v>0</v>
      </c>
      <c r="AT278" s="5">
        <v>0</v>
      </c>
      <c r="AU278" s="5">
        <v>0</v>
      </c>
      <c r="AV278" s="5">
        <f t="shared" si="202"/>
        <v>0</v>
      </c>
      <c r="AW278" s="5">
        <f t="shared" si="203"/>
        <v>0</v>
      </c>
      <c r="AX278" s="5">
        <f t="shared" si="204"/>
        <v>1</v>
      </c>
      <c r="AY278" s="1">
        <f t="shared" si="184"/>
        <v>0</v>
      </c>
      <c r="AZ278" s="1">
        <f t="shared" si="185"/>
        <v>0</v>
      </c>
      <c r="BA278" s="1">
        <f t="shared" si="186"/>
        <v>0</v>
      </c>
      <c r="BB278" s="5">
        <v>0</v>
      </c>
      <c r="BC278" s="5">
        <v>0</v>
      </c>
      <c r="BD278" s="5">
        <v>1</v>
      </c>
      <c r="BE278" s="5">
        <f t="shared" si="196"/>
        <v>0</v>
      </c>
      <c r="BF278" s="5">
        <v>0</v>
      </c>
      <c r="BG278" s="5">
        <f t="shared" si="218"/>
        <v>0</v>
      </c>
      <c r="BH278" s="5">
        <f t="shared" si="218"/>
        <v>0</v>
      </c>
      <c r="BI278" s="5">
        <f t="shared" si="218"/>
        <v>0</v>
      </c>
      <c r="BJ278" s="5">
        <f t="shared" si="218"/>
        <v>0</v>
      </c>
      <c r="BK278" s="5">
        <f t="shared" si="218"/>
        <v>0</v>
      </c>
      <c r="BL278" s="5">
        <f t="shared" si="218"/>
        <v>0</v>
      </c>
      <c r="BM278" s="5">
        <f t="shared" si="218"/>
        <v>0</v>
      </c>
      <c r="BN278" s="5">
        <f t="shared" si="218"/>
        <v>0</v>
      </c>
      <c r="BO278" s="5">
        <f t="shared" si="216"/>
        <v>0</v>
      </c>
      <c r="BP278" s="5">
        <f t="shared" si="216"/>
        <v>0</v>
      </c>
      <c r="BQ278" s="5">
        <f t="shared" si="216"/>
        <v>0</v>
      </c>
      <c r="BR278" s="5">
        <f t="shared" si="216"/>
        <v>0</v>
      </c>
      <c r="BS278" s="5">
        <f t="shared" si="216"/>
        <v>0</v>
      </c>
      <c r="BT278" s="5">
        <f t="shared" si="216"/>
        <v>0</v>
      </c>
      <c r="BU278" s="5">
        <f t="shared" si="216"/>
        <v>0</v>
      </c>
      <c r="BV278" s="5">
        <f t="shared" si="216"/>
        <v>1</v>
      </c>
      <c r="BW278" s="5">
        <f t="shared" si="216"/>
        <v>0</v>
      </c>
      <c r="BX278" s="5">
        <f t="shared" si="216"/>
        <v>0</v>
      </c>
      <c r="BY278" s="5">
        <f t="shared" si="216"/>
        <v>0</v>
      </c>
      <c r="BZ278" s="5">
        <f t="shared" si="216"/>
        <v>0</v>
      </c>
      <c r="CA278" s="5">
        <f t="shared" si="216"/>
        <v>0</v>
      </c>
      <c r="CB278" s="5">
        <f t="shared" si="215"/>
        <v>0</v>
      </c>
      <c r="CC278" s="5">
        <f t="shared" si="206"/>
        <v>0</v>
      </c>
      <c r="CD278" s="5">
        <f t="shared" si="206"/>
        <v>0</v>
      </c>
      <c r="CE278" s="5">
        <f t="shared" si="206"/>
        <v>0</v>
      </c>
    </row>
    <row r="279" spans="3:83" x14ac:dyDescent="0.2">
      <c r="C279" s="1">
        <f>Growth!D284</f>
        <v>0</v>
      </c>
      <c r="D279" s="5" t="b">
        <f t="shared" si="207"/>
        <v>0</v>
      </c>
      <c r="E279" s="5">
        <v>2006</v>
      </c>
      <c r="F279" s="5">
        <f ca="1">LOOKUP($E279,frequence!$A$2:$A$35,frequence!L$2:L$35)</f>
        <v>71.097990738484512</v>
      </c>
      <c r="G279" s="5">
        <f ca="1">LOOKUP($E279,frequence!$A$2:$A$35,frequence!K$2:K$35)</f>
        <v>5.2950026937283488</v>
      </c>
      <c r="H279" s="5">
        <f ca="1">LOOKUP($E279,frequence!$A$2:$A$35,frequence!M$2:M$35)</f>
        <v>500.74918436144497</v>
      </c>
      <c r="I279" s="5">
        <v>1995</v>
      </c>
      <c r="J279" s="7">
        <f>LOOKUP(I279,CPI!A$69:A$103,CPI!O$69:O$103)</f>
        <v>1.4308136482939633</v>
      </c>
      <c r="K279" s="5">
        <v>2000</v>
      </c>
      <c r="L279" s="7">
        <f t="shared" ca="1" si="208"/>
        <v>1</v>
      </c>
      <c r="M279" s="7">
        <f t="shared" si="200"/>
        <v>6.9999999999999993E-3</v>
      </c>
      <c r="N279" s="14">
        <f t="shared" si="199"/>
        <v>1.25E-3</v>
      </c>
      <c r="O279" s="1">
        <f ca="1">P279*J279*(1+Growth!G$6)^(2010-K279)</f>
        <v>548.63443707154147</v>
      </c>
      <c r="P279" s="3">
        <v>330</v>
      </c>
      <c r="Q279" s="2">
        <f t="shared" si="148"/>
        <v>330</v>
      </c>
      <c r="R279" s="21">
        <f t="shared" ca="1" si="209"/>
        <v>300999.7455408072</v>
      </c>
      <c r="X279" s="2">
        <f t="shared" si="214"/>
        <v>330</v>
      </c>
      <c r="AC279" s="1">
        <f t="shared" si="217"/>
        <v>5.6</v>
      </c>
      <c r="AD279" s="5">
        <v>0</v>
      </c>
      <c r="AE279" s="5">
        <v>0</v>
      </c>
      <c r="AF279" s="5">
        <v>1</v>
      </c>
      <c r="AG279" s="5">
        <v>1</v>
      </c>
      <c r="AH279" s="5">
        <v>1</v>
      </c>
      <c r="AI279" s="3">
        <f t="shared" si="201"/>
        <v>2.6</v>
      </c>
      <c r="AJ279" s="5">
        <f t="shared" ref="AJ279:AJ342" si="219">IF($AQ279=3,1,0)</f>
        <v>0</v>
      </c>
      <c r="AK279" s="5">
        <f t="shared" si="210"/>
        <v>0</v>
      </c>
      <c r="AL279" s="5">
        <f t="shared" si="211"/>
        <v>0</v>
      </c>
      <c r="AM279" s="5">
        <f t="shared" si="176"/>
        <v>0</v>
      </c>
      <c r="AN279" s="5">
        <f t="shared" si="212"/>
        <v>0</v>
      </c>
      <c r="AO279" s="5">
        <f t="shared" si="177"/>
        <v>1</v>
      </c>
      <c r="AP279" s="11" t="s">
        <v>42</v>
      </c>
      <c r="AQ279" s="1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f t="shared" si="202"/>
        <v>0</v>
      </c>
      <c r="AW279" s="5">
        <f t="shared" si="203"/>
        <v>0</v>
      </c>
      <c r="AX279" s="5">
        <f t="shared" si="204"/>
        <v>1</v>
      </c>
      <c r="AY279" s="1">
        <f t="shared" si="184"/>
        <v>0</v>
      </c>
      <c r="AZ279" s="1">
        <f t="shared" si="185"/>
        <v>0</v>
      </c>
      <c r="BA279" s="1">
        <f t="shared" si="186"/>
        <v>0</v>
      </c>
      <c r="BB279" s="5">
        <v>0</v>
      </c>
      <c r="BC279" s="5">
        <v>0</v>
      </c>
      <c r="BD279" s="5">
        <v>1</v>
      </c>
      <c r="BE279" s="5">
        <f t="shared" si="196"/>
        <v>0</v>
      </c>
      <c r="BF279" s="5">
        <v>0</v>
      </c>
      <c r="BG279" s="5">
        <f t="shared" si="218"/>
        <v>0</v>
      </c>
      <c r="BH279" s="5">
        <f t="shared" si="218"/>
        <v>0</v>
      </c>
      <c r="BI279" s="5">
        <f t="shared" si="218"/>
        <v>0</v>
      </c>
      <c r="BJ279" s="5">
        <f t="shared" si="218"/>
        <v>0</v>
      </c>
      <c r="BK279" s="5">
        <f t="shared" si="218"/>
        <v>0</v>
      </c>
      <c r="BL279" s="5">
        <f t="shared" si="218"/>
        <v>0</v>
      </c>
      <c r="BM279" s="5">
        <f t="shared" si="218"/>
        <v>0</v>
      </c>
      <c r="BN279" s="5">
        <f t="shared" si="218"/>
        <v>0</v>
      </c>
      <c r="BO279" s="5">
        <f t="shared" si="216"/>
        <v>0</v>
      </c>
      <c r="BP279" s="5">
        <f t="shared" si="216"/>
        <v>0</v>
      </c>
      <c r="BQ279" s="5">
        <f t="shared" si="216"/>
        <v>0</v>
      </c>
      <c r="BR279" s="5">
        <f t="shared" si="216"/>
        <v>0</v>
      </c>
      <c r="BS279" s="5">
        <f t="shared" si="216"/>
        <v>0</v>
      </c>
      <c r="BT279" s="5">
        <f t="shared" si="216"/>
        <v>0</v>
      </c>
      <c r="BU279" s="5">
        <f t="shared" si="216"/>
        <v>0</v>
      </c>
      <c r="BV279" s="5">
        <f t="shared" si="216"/>
        <v>1</v>
      </c>
      <c r="BW279" s="5">
        <f t="shared" si="216"/>
        <v>0</v>
      </c>
      <c r="BX279" s="5">
        <f t="shared" si="216"/>
        <v>0</v>
      </c>
      <c r="BY279" s="5">
        <f t="shared" si="216"/>
        <v>0</v>
      </c>
      <c r="BZ279" s="5">
        <f t="shared" si="216"/>
        <v>0</v>
      </c>
      <c r="CA279" s="5">
        <f t="shared" si="216"/>
        <v>0</v>
      </c>
      <c r="CB279" s="5">
        <f t="shared" si="215"/>
        <v>0</v>
      </c>
      <c r="CC279" s="5">
        <f t="shared" si="206"/>
        <v>0</v>
      </c>
      <c r="CD279" s="5">
        <f t="shared" si="206"/>
        <v>0</v>
      </c>
      <c r="CE279" s="5">
        <f t="shared" si="206"/>
        <v>0</v>
      </c>
    </row>
    <row r="280" spans="3:83" x14ac:dyDescent="0.2">
      <c r="C280" s="1">
        <f>Growth!D285</f>
        <v>0</v>
      </c>
      <c r="D280" s="5" t="b">
        <f t="shared" si="207"/>
        <v>0</v>
      </c>
      <c r="E280" s="5">
        <v>2006</v>
      </c>
      <c r="F280" s="5">
        <f ca="1">LOOKUP($E280,frequence!$A$2:$A$35,frequence!L$2:L$35)</f>
        <v>71.097990738484512</v>
      </c>
      <c r="G280" s="5">
        <f ca="1">LOOKUP($E280,frequence!$A$2:$A$35,frequence!K$2:K$35)</f>
        <v>5.2950026937283488</v>
      </c>
      <c r="H280" s="5">
        <f ca="1">LOOKUP($E280,frequence!$A$2:$A$35,frequence!M$2:M$35)</f>
        <v>500.74918436144497</v>
      </c>
      <c r="I280" s="5">
        <v>1995</v>
      </c>
      <c r="J280" s="7">
        <f>LOOKUP(I280,CPI!A$69:A$103,CPI!O$69:O$103)</f>
        <v>1.4308136482939633</v>
      </c>
      <c r="K280" s="5">
        <v>2000</v>
      </c>
      <c r="L280" s="7">
        <f t="shared" ca="1" si="208"/>
        <v>1</v>
      </c>
      <c r="M280" s="7">
        <f t="shared" si="200"/>
        <v>6.9999999999999993E-3</v>
      </c>
      <c r="N280" s="14">
        <f t="shared" si="199"/>
        <v>1.25E-3</v>
      </c>
      <c r="O280" s="1">
        <f ca="1">P280*J280*(1+Growth!G$6)^(2010-K280)</f>
        <v>147.96504514959756</v>
      </c>
      <c r="P280" s="3">
        <v>89</v>
      </c>
      <c r="Q280" s="2">
        <f t="shared" si="148"/>
        <v>89</v>
      </c>
      <c r="R280" s="21">
        <f t="shared" ca="1" si="209"/>
        <v>21893.654586122444</v>
      </c>
      <c r="X280" s="2">
        <f t="shared" si="214"/>
        <v>89</v>
      </c>
      <c r="AC280" s="1">
        <f t="shared" si="217"/>
        <v>5.6</v>
      </c>
      <c r="AD280" s="5">
        <v>0</v>
      </c>
      <c r="AE280" s="5">
        <v>0</v>
      </c>
      <c r="AF280" s="5">
        <v>1</v>
      </c>
      <c r="AG280" s="5">
        <v>1</v>
      </c>
      <c r="AH280" s="5">
        <v>1</v>
      </c>
      <c r="AI280" s="3">
        <f t="shared" si="201"/>
        <v>2.6</v>
      </c>
      <c r="AJ280" s="5">
        <f t="shared" si="219"/>
        <v>0</v>
      </c>
      <c r="AK280" s="5">
        <f t="shared" si="210"/>
        <v>0</v>
      </c>
      <c r="AL280" s="5">
        <f t="shared" si="211"/>
        <v>0</v>
      </c>
      <c r="AM280" s="5">
        <f t="shared" si="176"/>
        <v>1</v>
      </c>
      <c r="AN280" s="5">
        <f t="shared" si="212"/>
        <v>0</v>
      </c>
      <c r="AO280" s="5">
        <f t="shared" si="177"/>
        <v>0</v>
      </c>
      <c r="AP280" s="11" t="s">
        <v>42</v>
      </c>
      <c r="AQ280" s="1">
        <v>1</v>
      </c>
      <c r="AR280" s="5">
        <v>0</v>
      </c>
      <c r="AS280" s="5">
        <v>0</v>
      </c>
      <c r="AT280" s="5">
        <v>0</v>
      </c>
      <c r="AU280" s="5">
        <v>0</v>
      </c>
      <c r="AV280" s="5">
        <f t="shared" si="202"/>
        <v>0</v>
      </c>
      <c r="AW280" s="5">
        <f t="shared" si="203"/>
        <v>0</v>
      </c>
      <c r="AX280" s="5">
        <f t="shared" si="204"/>
        <v>1</v>
      </c>
      <c r="AY280" s="1">
        <f t="shared" si="184"/>
        <v>0</v>
      </c>
      <c r="AZ280" s="1">
        <f t="shared" si="185"/>
        <v>0</v>
      </c>
      <c r="BA280" s="1">
        <f t="shared" si="186"/>
        <v>0</v>
      </c>
      <c r="BB280" s="5">
        <v>0</v>
      </c>
      <c r="BC280" s="5">
        <v>0</v>
      </c>
      <c r="BD280" s="5">
        <v>1</v>
      </c>
      <c r="BE280" s="5">
        <f t="shared" si="196"/>
        <v>0</v>
      </c>
      <c r="BF280" s="5">
        <v>0</v>
      </c>
      <c r="BG280" s="5">
        <f t="shared" si="218"/>
        <v>0</v>
      </c>
      <c r="BH280" s="5">
        <f t="shared" si="218"/>
        <v>0</v>
      </c>
      <c r="BI280" s="5">
        <f t="shared" si="218"/>
        <v>0</v>
      </c>
      <c r="BJ280" s="5">
        <f t="shared" si="218"/>
        <v>0</v>
      </c>
      <c r="BK280" s="5">
        <f t="shared" si="218"/>
        <v>0</v>
      </c>
      <c r="BL280" s="5">
        <f t="shared" si="218"/>
        <v>0</v>
      </c>
      <c r="BM280" s="5">
        <f t="shared" si="218"/>
        <v>0</v>
      </c>
      <c r="BN280" s="5">
        <f t="shared" si="218"/>
        <v>0</v>
      </c>
      <c r="BO280" s="5">
        <f t="shared" si="216"/>
        <v>0</v>
      </c>
      <c r="BP280" s="5">
        <f t="shared" si="216"/>
        <v>0</v>
      </c>
      <c r="BQ280" s="5">
        <f t="shared" si="216"/>
        <v>0</v>
      </c>
      <c r="BR280" s="5">
        <f t="shared" si="216"/>
        <v>0</v>
      </c>
      <c r="BS280" s="5">
        <f t="shared" si="216"/>
        <v>0</v>
      </c>
      <c r="BT280" s="5">
        <f t="shared" si="216"/>
        <v>0</v>
      </c>
      <c r="BU280" s="5">
        <f t="shared" si="216"/>
        <v>0</v>
      </c>
      <c r="BV280" s="5">
        <f t="shared" si="216"/>
        <v>1</v>
      </c>
      <c r="BW280" s="5">
        <f t="shared" si="216"/>
        <v>0</v>
      </c>
      <c r="BX280" s="5">
        <f t="shared" si="216"/>
        <v>0</v>
      </c>
      <c r="BY280" s="5">
        <f t="shared" si="216"/>
        <v>0</v>
      </c>
      <c r="BZ280" s="5">
        <f t="shared" si="216"/>
        <v>0</v>
      </c>
      <c r="CA280" s="5">
        <f t="shared" si="216"/>
        <v>0</v>
      </c>
      <c r="CB280" s="5">
        <f t="shared" si="215"/>
        <v>0</v>
      </c>
      <c r="CC280" s="5">
        <f t="shared" si="215"/>
        <v>0</v>
      </c>
      <c r="CD280" s="5">
        <f t="shared" si="215"/>
        <v>0</v>
      </c>
      <c r="CE280" s="5">
        <f t="shared" si="215"/>
        <v>0</v>
      </c>
    </row>
    <row r="281" spans="3:83" x14ac:dyDescent="0.2">
      <c r="C281" s="1">
        <f>Growth!D286</f>
        <v>0</v>
      </c>
      <c r="D281" s="5" t="b">
        <f t="shared" si="207"/>
        <v>0</v>
      </c>
      <c r="E281" s="5">
        <v>2006</v>
      </c>
      <c r="F281" s="5">
        <f ca="1">LOOKUP($E281,frequence!$A$2:$A$35,frequence!L$2:L$35)</f>
        <v>71.097990738484512</v>
      </c>
      <c r="G281" s="5">
        <f ca="1">LOOKUP($E281,frequence!$A$2:$A$35,frequence!K$2:K$35)</f>
        <v>5.2950026937283488</v>
      </c>
      <c r="H281" s="5">
        <f ca="1">LOOKUP($E281,frequence!$A$2:$A$35,frequence!M$2:M$35)</f>
        <v>500.74918436144497</v>
      </c>
      <c r="I281" s="5">
        <v>1995</v>
      </c>
      <c r="J281" s="7">
        <f>LOOKUP(I281,CPI!A$69:A$103,CPI!O$69:O$103)</f>
        <v>1.4308136482939633</v>
      </c>
      <c r="K281" s="5">
        <v>2000</v>
      </c>
      <c r="L281" s="7">
        <f t="shared" ca="1" si="208"/>
        <v>1</v>
      </c>
      <c r="M281" s="7">
        <f t="shared" si="200"/>
        <v>6.9999999999999993E-3</v>
      </c>
      <c r="N281" s="14">
        <f t="shared" si="199"/>
        <v>1.25E-3</v>
      </c>
      <c r="O281" s="1">
        <f ca="1">P281*J281*(1+Growth!G$6)^(2010-K281)</f>
        <v>28.262986152170317</v>
      </c>
      <c r="P281" s="3">
        <v>17</v>
      </c>
      <c r="Q281" s="2">
        <f t="shared" si="148"/>
        <v>17</v>
      </c>
      <c r="R281" s="21">
        <f t="shared" ca="1" si="209"/>
        <v>798.79638623777112</v>
      </c>
      <c r="X281" s="2">
        <f t="shared" si="214"/>
        <v>17</v>
      </c>
      <c r="AC281" s="1">
        <f t="shared" si="217"/>
        <v>5.6</v>
      </c>
      <c r="AD281" s="5">
        <v>0</v>
      </c>
      <c r="AE281" s="5">
        <v>0</v>
      </c>
      <c r="AF281" s="5">
        <v>1</v>
      </c>
      <c r="AG281" s="5">
        <v>1</v>
      </c>
      <c r="AH281" s="5">
        <v>1</v>
      </c>
      <c r="AI281" s="3">
        <f t="shared" si="201"/>
        <v>2.6</v>
      </c>
      <c r="AJ281" s="5">
        <f t="shared" si="219"/>
        <v>1</v>
      </c>
      <c r="AK281" s="5">
        <f t="shared" si="210"/>
        <v>0</v>
      </c>
      <c r="AL281" s="5">
        <f t="shared" si="211"/>
        <v>0</v>
      </c>
      <c r="AM281" s="5">
        <f t="shared" si="176"/>
        <v>0</v>
      </c>
      <c r="AN281" s="5">
        <f t="shared" si="212"/>
        <v>0</v>
      </c>
      <c r="AO281" s="5">
        <f t="shared" si="177"/>
        <v>0</v>
      </c>
      <c r="AP281" s="11" t="s">
        <v>42</v>
      </c>
      <c r="AQ281" s="1">
        <v>3</v>
      </c>
      <c r="AR281" s="5">
        <v>0</v>
      </c>
      <c r="AS281" s="5">
        <v>0</v>
      </c>
      <c r="AT281" s="5">
        <v>0</v>
      </c>
      <c r="AU281" s="5">
        <v>0</v>
      </c>
      <c r="AV281" s="5">
        <f t="shared" si="202"/>
        <v>0</v>
      </c>
      <c r="AW281" s="5">
        <f t="shared" si="203"/>
        <v>0</v>
      </c>
      <c r="AX281" s="5">
        <f t="shared" si="204"/>
        <v>1</v>
      </c>
      <c r="AY281" s="1">
        <f t="shared" si="184"/>
        <v>0</v>
      </c>
      <c r="AZ281" s="1">
        <f t="shared" si="185"/>
        <v>0</v>
      </c>
      <c r="BA281" s="1">
        <f t="shared" si="186"/>
        <v>0</v>
      </c>
      <c r="BB281" s="5">
        <v>0</v>
      </c>
      <c r="BC281" s="5">
        <v>0</v>
      </c>
      <c r="BD281" s="5">
        <v>1</v>
      </c>
      <c r="BE281" s="5">
        <f t="shared" si="196"/>
        <v>0</v>
      </c>
      <c r="BF281" s="5">
        <v>0</v>
      </c>
      <c r="BG281" s="5">
        <f t="shared" si="218"/>
        <v>0</v>
      </c>
      <c r="BH281" s="5">
        <f t="shared" si="218"/>
        <v>0</v>
      </c>
      <c r="BI281" s="5">
        <f t="shared" si="218"/>
        <v>0</v>
      </c>
      <c r="BJ281" s="5">
        <f t="shared" si="218"/>
        <v>0</v>
      </c>
      <c r="BK281" s="5">
        <f t="shared" si="218"/>
        <v>0</v>
      </c>
      <c r="BL281" s="5">
        <f t="shared" si="218"/>
        <v>0</v>
      </c>
      <c r="BM281" s="5">
        <f t="shared" si="218"/>
        <v>0</v>
      </c>
      <c r="BN281" s="5">
        <f t="shared" si="218"/>
        <v>0</v>
      </c>
      <c r="BO281" s="5">
        <f t="shared" si="216"/>
        <v>0</v>
      </c>
      <c r="BP281" s="5">
        <f t="shared" si="216"/>
        <v>0</v>
      </c>
      <c r="BQ281" s="5">
        <f t="shared" si="216"/>
        <v>0</v>
      </c>
      <c r="BR281" s="5">
        <f t="shared" si="216"/>
        <v>0</v>
      </c>
      <c r="BS281" s="5">
        <f t="shared" si="216"/>
        <v>0</v>
      </c>
      <c r="BT281" s="5">
        <f t="shared" si="216"/>
        <v>0</v>
      </c>
      <c r="BU281" s="5">
        <f t="shared" si="216"/>
        <v>0</v>
      </c>
      <c r="BV281" s="5">
        <f t="shared" si="216"/>
        <v>1</v>
      </c>
      <c r="BW281" s="5">
        <f t="shared" si="216"/>
        <v>0</v>
      </c>
      <c r="BX281" s="5">
        <f t="shared" si="216"/>
        <v>0</v>
      </c>
      <c r="BY281" s="5">
        <f t="shared" si="216"/>
        <v>0</v>
      </c>
      <c r="BZ281" s="5">
        <f t="shared" si="216"/>
        <v>0</v>
      </c>
      <c r="CA281" s="5">
        <f t="shared" si="216"/>
        <v>0</v>
      </c>
      <c r="CB281" s="5">
        <f t="shared" si="215"/>
        <v>0</v>
      </c>
      <c r="CC281" s="5">
        <f t="shared" si="215"/>
        <v>0</v>
      </c>
      <c r="CD281" s="5">
        <f t="shared" si="215"/>
        <v>0</v>
      </c>
      <c r="CE281" s="5">
        <f t="shared" si="215"/>
        <v>0</v>
      </c>
    </row>
    <row r="282" spans="3:83" x14ac:dyDescent="0.2">
      <c r="C282" s="1">
        <f>Growth!D287</f>
        <v>0</v>
      </c>
      <c r="D282" s="5" t="b">
        <f t="shared" si="207"/>
        <v>0</v>
      </c>
      <c r="E282" s="5">
        <v>2006</v>
      </c>
      <c r="F282" s="5">
        <f ca="1">LOOKUP($E282,frequence!$A$2:$A$35,frequence!L$2:L$35)</f>
        <v>71.097990738484512</v>
      </c>
      <c r="G282" s="5">
        <f ca="1">LOOKUP($E282,frequence!$A$2:$A$35,frequence!K$2:K$35)</f>
        <v>5.2950026937283488</v>
      </c>
      <c r="H282" s="5">
        <f ca="1">LOOKUP($E282,frequence!$A$2:$A$35,frequence!M$2:M$35)</f>
        <v>500.74918436144497</v>
      </c>
      <c r="I282" s="5">
        <v>1995</v>
      </c>
      <c r="J282" s="7">
        <f>LOOKUP(I282,CPI!A$69:A$103,CPI!O$69:O$103)</f>
        <v>1.4308136482939633</v>
      </c>
      <c r="K282" s="5">
        <v>2000</v>
      </c>
      <c r="L282" s="7">
        <f t="shared" ca="1" si="208"/>
        <v>1</v>
      </c>
      <c r="M282" s="7">
        <f t="shared" si="200"/>
        <v>6.9999999999999993E-3</v>
      </c>
      <c r="N282" s="14">
        <f t="shared" si="199"/>
        <v>1.25E-3</v>
      </c>
      <c r="O282" s="1">
        <f ca="1">P282*J282*(1+Growth!G$6)^(2010-K282)</f>
        <v>166.25285971864895</v>
      </c>
      <c r="P282" s="3">
        <v>100</v>
      </c>
      <c r="Q282" s="2">
        <f t="shared" si="148"/>
        <v>100</v>
      </c>
      <c r="R282" s="21">
        <f t="shared" ca="1" si="209"/>
        <v>27640.013364628765</v>
      </c>
      <c r="X282" s="2">
        <f t="shared" si="214"/>
        <v>100</v>
      </c>
      <c r="AC282" s="1">
        <f t="shared" si="217"/>
        <v>5.6</v>
      </c>
      <c r="AD282" s="5">
        <v>0</v>
      </c>
      <c r="AE282" s="5">
        <v>0</v>
      </c>
      <c r="AF282" s="5">
        <v>1</v>
      </c>
      <c r="AG282" s="5">
        <v>1</v>
      </c>
      <c r="AH282" s="5">
        <v>1</v>
      </c>
      <c r="AI282" s="3">
        <f t="shared" si="201"/>
        <v>2.6</v>
      </c>
      <c r="AJ282" s="5">
        <f t="shared" si="219"/>
        <v>0</v>
      </c>
      <c r="AK282" s="5">
        <f t="shared" si="210"/>
        <v>0</v>
      </c>
      <c r="AL282" s="5">
        <f t="shared" si="211"/>
        <v>0</v>
      </c>
      <c r="AM282" s="5">
        <f t="shared" ref="AM282:AM345" si="220">IF($AQ282=1,1,0)</f>
        <v>0</v>
      </c>
      <c r="AN282" s="5">
        <f t="shared" si="212"/>
        <v>0</v>
      </c>
      <c r="AO282" s="5">
        <f t="shared" ref="AO282:AO345" si="221">IF($AQ282=0,1,0)</f>
        <v>0</v>
      </c>
      <c r="AP282" s="11" t="s">
        <v>42</v>
      </c>
      <c r="AQ282" s="1" t="s">
        <v>42</v>
      </c>
      <c r="AR282" s="5">
        <v>0</v>
      </c>
      <c r="AS282" s="5">
        <v>0</v>
      </c>
      <c r="AT282" s="5">
        <v>0</v>
      </c>
      <c r="AU282" s="5">
        <v>0</v>
      </c>
      <c r="AV282" s="5">
        <f t="shared" si="202"/>
        <v>0</v>
      </c>
      <c r="AW282" s="5">
        <f t="shared" si="203"/>
        <v>0</v>
      </c>
      <c r="AX282" s="5">
        <f t="shared" si="204"/>
        <v>1</v>
      </c>
      <c r="AY282" s="1">
        <f t="shared" si="184"/>
        <v>0</v>
      </c>
      <c r="AZ282" s="1">
        <f t="shared" si="185"/>
        <v>0</v>
      </c>
      <c r="BA282" s="1">
        <f t="shared" si="186"/>
        <v>0</v>
      </c>
      <c r="BB282" s="5">
        <v>0</v>
      </c>
      <c r="BC282" s="5">
        <v>0</v>
      </c>
      <c r="BD282" s="5">
        <v>1</v>
      </c>
      <c r="BE282" s="5">
        <f t="shared" si="196"/>
        <v>0</v>
      </c>
      <c r="BF282" s="5">
        <v>0</v>
      </c>
      <c r="BG282" s="5">
        <f t="shared" si="218"/>
        <v>0</v>
      </c>
      <c r="BH282" s="5">
        <f t="shared" si="218"/>
        <v>0</v>
      </c>
      <c r="BI282" s="5">
        <f t="shared" si="218"/>
        <v>0</v>
      </c>
      <c r="BJ282" s="5">
        <f t="shared" si="218"/>
        <v>0</v>
      </c>
      <c r="BK282" s="5">
        <f t="shared" si="218"/>
        <v>0</v>
      </c>
      <c r="BL282" s="5">
        <f t="shared" si="218"/>
        <v>0</v>
      </c>
      <c r="BM282" s="5">
        <f t="shared" si="218"/>
        <v>0</v>
      </c>
      <c r="BN282" s="5">
        <f t="shared" si="218"/>
        <v>0</v>
      </c>
      <c r="BO282" s="5">
        <f t="shared" si="216"/>
        <v>0</v>
      </c>
      <c r="BP282" s="5">
        <f t="shared" si="216"/>
        <v>0</v>
      </c>
      <c r="BQ282" s="5">
        <f t="shared" si="216"/>
        <v>0</v>
      </c>
      <c r="BR282" s="5">
        <f t="shared" si="216"/>
        <v>0</v>
      </c>
      <c r="BS282" s="5">
        <f t="shared" si="216"/>
        <v>0</v>
      </c>
      <c r="BT282" s="5">
        <f t="shared" si="216"/>
        <v>0</v>
      </c>
      <c r="BU282" s="5">
        <f t="shared" si="216"/>
        <v>0</v>
      </c>
      <c r="BV282" s="5">
        <f t="shared" si="216"/>
        <v>1</v>
      </c>
      <c r="BW282" s="5">
        <f t="shared" si="216"/>
        <v>0</v>
      </c>
      <c r="BX282" s="5">
        <f t="shared" si="216"/>
        <v>0</v>
      </c>
      <c r="BY282" s="5">
        <f t="shared" si="216"/>
        <v>0</v>
      </c>
      <c r="BZ282" s="5">
        <f t="shared" si="216"/>
        <v>0</v>
      </c>
      <c r="CA282" s="5">
        <f t="shared" si="216"/>
        <v>0</v>
      </c>
      <c r="CB282" s="5">
        <f t="shared" si="215"/>
        <v>0</v>
      </c>
      <c r="CC282" s="5">
        <f t="shared" si="215"/>
        <v>0</v>
      </c>
      <c r="CD282" s="5">
        <f t="shared" si="215"/>
        <v>0</v>
      </c>
      <c r="CE282" s="5">
        <f t="shared" si="215"/>
        <v>0</v>
      </c>
    </row>
    <row r="283" spans="3:83" x14ac:dyDescent="0.2">
      <c r="C283" s="1">
        <f>Growth!D288</f>
        <v>0</v>
      </c>
      <c r="D283" s="5" t="b">
        <f t="shared" si="207"/>
        <v>0</v>
      </c>
      <c r="E283" s="5">
        <v>2006</v>
      </c>
      <c r="F283" s="5">
        <f ca="1">LOOKUP($E283,frequence!$A$2:$A$35,frequence!L$2:L$35)</f>
        <v>71.097990738484512</v>
      </c>
      <c r="G283" s="5">
        <f ca="1">LOOKUP($E283,frequence!$A$2:$A$35,frequence!K$2:K$35)</f>
        <v>5.2950026937283488</v>
      </c>
      <c r="H283" s="5">
        <f ca="1">LOOKUP($E283,frequence!$A$2:$A$35,frequence!M$2:M$35)</f>
        <v>500.74918436144497</v>
      </c>
      <c r="I283" s="5">
        <v>1995</v>
      </c>
      <c r="J283" s="7">
        <f>LOOKUP(I283,CPI!A$69:A$103,CPI!O$69:O$103)</f>
        <v>1.4308136482939633</v>
      </c>
      <c r="K283" s="5">
        <v>2000</v>
      </c>
      <c r="L283" s="7">
        <f t="shared" ca="1" si="208"/>
        <v>0.79089114349420053</v>
      </c>
      <c r="M283" s="7">
        <f t="shared" si="200"/>
        <v>6.9999999999999993E-3</v>
      </c>
      <c r="N283" s="14">
        <f t="shared" si="199"/>
        <v>1.25E-3</v>
      </c>
      <c r="O283" s="1">
        <f ca="1">P283*J283*(1+Growth!G$6)^(2010-K283)</f>
        <v>2493.792895779734</v>
      </c>
      <c r="P283" s="3">
        <v>1500</v>
      </c>
      <c r="Q283" s="2">
        <f t="shared" si="148"/>
        <v>1500</v>
      </c>
      <c r="R283" s="21">
        <f t="shared" ca="1" si="209"/>
        <v>6219003.0070414711</v>
      </c>
      <c r="X283" s="2">
        <f t="shared" si="214"/>
        <v>1500</v>
      </c>
      <c r="AC283" s="1">
        <f t="shared" si="217"/>
        <v>5.6</v>
      </c>
      <c r="AD283" s="5">
        <v>0</v>
      </c>
      <c r="AE283" s="5">
        <v>0</v>
      </c>
      <c r="AF283" s="5">
        <v>1</v>
      </c>
      <c r="AG283" s="5">
        <v>1</v>
      </c>
      <c r="AH283" s="5">
        <v>1</v>
      </c>
      <c r="AI283" s="3">
        <f t="shared" si="201"/>
        <v>2.6</v>
      </c>
      <c r="AJ283" s="5">
        <f t="shared" si="219"/>
        <v>0</v>
      </c>
      <c r="AK283" s="5">
        <f t="shared" si="210"/>
        <v>0</v>
      </c>
      <c r="AL283" s="5">
        <f t="shared" si="211"/>
        <v>0</v>
      </c>
      <c r="AM283" s="5">
        <f t="shared" si="220"/>
        <v>0</v>
      </c>
      <c r="AN283" s="5">
        <f t="shared" si="212"/>
        <v>0</v>
      </c>
      <c r="AO283" s="5">
        <f t="shared" si="221"/>
        <v>1</v>
      </c>
      <c r="AP283" s="11" t="s">
        <v>42</v>
      </c>
      <c r="AQ283" s="1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f t="shared" si="202"/>
        <v>0</v>
      </c>
      <c r="AW283" s="5">
        <f t="shared" si="203"/>
        <v>0</v>
      </c>
      <c r="AX283" s="5">
        <f t="shared" si="204"/>
        <v>1</v>
      </c>
      <c r="AY283" s="1">
        <f t="shared" si="184"/>
        <v>0</v>
      </c>
      <c r="AZ283" s="1">
        <f t="shared" si="185"/>
        <v>0</v>
      </c>
      <c r="BA283" s="1">
        <f t="shared" si="186"/>
        <v>0</v>
      </c>
      <c r="BB283" s="5">
        <v>0</v>
      </c>
      <c r="BC283" s="5">
        <v>0</v>
      </c>
      <c r="BD283" s="5">
        <v>1</v>
      </c>
      <c r="BE283" s="5">
        <f t="shared" si="196"/>
        <v>0</v>
      </c>
      <c r="BF283" s="5">
        <v>0</v>
      </c>
      <c r="BG283" s="5">
        <f t="shared" si="218"/>
        <v>0</v>
      </c>
      <c r="BH283" s="5">
        <f t="shared" si="218"/>
        <v>0</v>
      </c>
      <c r="BI283" s="5">
        <f t="shared" si="218"/>
        <v>0</v>
      </c>
      <c r="BJ283" s="5">
        <f t="shared" si="218"/>
        <v>0</v>
      </c>
      <c r="BK283" s="5">
        <f t="shared" si="218"/>
        <v>0</v>
      </c>
      <c r="BL283" s="5">
        <f t="shared" si="218"/>
        <v>0</v>
      </c>
      <c r="BM283" s="5">
        <f t="shared" si="218"/>
        <v>0</v>
      </c>
      <c r="BN283" s="5">
        <f t="shared" si="218"/>
        <v>0</v>
      </c>
      <c r="BO283" s="5">
        <f t="shared" si="216"/>
        <v>0</v>
      </c>
      <c r="BP283" s="5">
        <f t="shared" si="216"/>
        <v>0</v>
      </c>
      <c r="BQ283" s="5">
        <f t="shared" si="216"/>
        <v>0</v>
      </c>
      <c r="BR283" s="5">
        <f t="shared" si="216"/>
        <v>0</v>
      </c>
      <c r="BS283" s="5">
        <f t="shared" si="216"/>
        <v>0</v>
      </c>
      <c r="BT283" s="5">
        <f t="shared" si="216"/>
        <v>0</v>
      </c>
      <c r="BU283" s="5">
        <f t="shared" si="216"/>
        <v>0</v>
      </c>
      <c r="BV283" s="5">
        <f t="shared" si="216"/>
        <v>1</v>
      </c>
      <c r="BW283" s="5">
        <f t="shared" si="216"/>
        <v>0</v>
      </c>
      <c r="BX283" s="5">
        <f t="shared" si="216"/>
        <v>0</v>
      </c>
      <c r="BY283" s="5">
        <f t="shared" si="216"/>
        <v>0</v>
      </c>
      <c r="BZ283" s="5">
        <f t="shared" si="216"/>
        <v>0</v>
      </c>
      <c r="CA283" s="5">
        <f t="shared" si="216"/>
        <v>0</v>
      </c>
      <c r="CB283" s="5">
        <f t="shared" si="215"/>
        <v>0</v>
      </c>
      <c r="CC283" s="5">
        <f t="shared" si="215"/>
        <v>0</v>
      </c>
      <c r="CD283" s="5">
        <f t="shared" si="215"/>
        <v>0</v>
      </c>
      <c r="CE283" s="5">
        <f t="shared" si="215"/>
        <v>0</v>
      </c>
    </row>
    <row r="284" spans="3:83" x14ac:dyDescent="0.2">
      <c r="C284" s="1">
        <f>Growth!D289</f>
        <v>0</v>
      </c>
      <c r="D284" s="5" t="b">
        <f t="shared" si="207"/>
        <v>0</v>
      </c>
      <c r="E284" s="5">
        <v>2006</v>
      </c>
      <c r="F284" s="5">
        <f ca="1">LOOKUP($E284,frequence!$A$2:$A$35,frequence!L$2:L$35)</f>
        <v>71.097990738484512</v>
      </c>
      <c r="G284" s="5">
        <f ca="1">LOOKUP($E284,frequence!$A$2:$A$35,frequence!K$2:K$35)</f>
        <v>5.2950026937283488</v>
      </c>
      <c r="H284" s="5">
        <f ca="1">LOOKUP($E284,frequence!$A$2:$A$35,frequence!M$2:M$35)</f>
        <v>500.74918436144497</v>
      </c>
      <c r="I284" s="5">
        <v>1995</v>
      </c>
      <c r="J284" s="7">
        <f>LOOKUP(I284,CPI!A$69:A$103,CPI!O$69:O$103)</f>
        <v>1.4308136482939633</v>
      </c>
      <c r="K284" s="5">
        <v>2000</v>
      </c>
      <c r="L284" s="7">
        <f t="shared" ca="1" si="208"/>
        <v>1</v>
      </c>
      <c r="M284" s="7">
        <f t="shared" si="200"/>
        <v>6.9999999999999993E-3</v>
      </c>
      <c r="N284" s="14">
        <f t="shared" si="199"/>
        <v>1.25E-3</v>
      </c>
      <c r="O284" s="1">
        <f ca="1">P284*J284*(1+Growth!G$6)^(2010-K284)</f>
        <v>598.51029498713615</v>
      </c>
      <c r="P284" s="3">
        <v>360</v>
      </c>
      <c r="Q284" s="2">
        <f t="shared" si="148"/>
        <v>360</v>
      </c>
      <c r="R284" s="21">
        <f t="shared" ca="1" si="209"/>
        <v>358214.57320558873</v>
      </c>
      <c r="X284" s="2">
        <f t="shared" si="214"/>
        <v>360</v>
      </c>
      <c r="AC284" s="1">
        <f t="shared" si="217"/>
        <v>5.6</v>
      </c>
      <c r="AD284" s="5">
        <v>0</v>
      </c>
      <c r="AE284" s="5">
        <v>0</v>
      </c>
      <c r="AF284" s="5">
        <v>1</v>
      </c>
      <c r="AG284" s="5">
        <v>1</v>
      </c>
      <c r="AH284" s="5">
        <v>1</v>
      </c>
      <c r="AI284" s="3">
        <f t="shared" si="201"/>
        <v>2.6</v>
      </c>
      <c r="AJ284" s="5">
        <f t="shared" si="219"/>
        <v>0</v>
      </c>
      <c r="AK284" s="5">
        <f t="shared" si="210"/>
        <v>0</v>
      </c>
      <c r="AL284" s="5">
        <f t="shared" si="211"/>
        <v>0</v>
      </c>
      <c r="AM284" s="5">
        <f t="shared" si="220"/>
        <v>1</v>
      </c>
      <c r="AN284" s="5">
        <f t="shared" si="212"/>
        <v>0</v>
      </c>
      <c r="AO284" s="5">
        <f t="shared" si="221"/>
        <v>0</v>
      </c>
      <c r="AP284" s="11" t="s">
        <v>42</v>
      </c>
      <c r="AQ284" s="1">
        <v>1</v>
      </c>
      <c r="AR284" s="5">
        <v>0</v>
      </c>
      <c r="AS284" s="5">
        <v>0</v>
      </c>
      <c r="AT284" s="5">
        <v>0</v>
      </c>
      <c r="AU284" s="5">
        <v>0</v>
      </c>
      <c r="AV284" s="5">
        <f t="shared" si="202"/>
        <v>0</v>
      </c>
      <c r="AW284" s="5">
        <f t="shared" si="203"/>
        <v>0</v>
      </c>
      <c r="AX284" s="5">
        <f t="shared" si="204"/>
        <v>1</v>
      </c>
      <c r="AY284" s="1">
        <f t="shared" si="184"/>
        <v>0</v>
      </c>
      <c r="AZ284" s="1">
        <f t="shared" si="185"/>
        <v>0</v>
      </c>
      <c r="BA284" s="1">
        <f t="shared" si="186"/>
        <v>0</v>
      </c>
      <c r="BB284" s="5">
        <v>0</v>
      </c>
      <c r="BC284" s="5">
        <v>0</v>
      </c>
      <c r="BD284" s="5">
        <v>1</v>
      </c>
      <c r="BE284" s="5">
        <f t="shared" si="196"/>
        <v>0</v>
      </c>
      <c r="BF284" s="5">
        <v>0</v>
      </c>
      <c r="BG284" s="5">
        <f t="shared" si="218"/>
        <v>0</v>
      </c>
      <c r="BH284" s="5">
        <f t="shared" si="218"/>
        <v>0</v>
      </c>
      <c r="BI284" s="5">
        <f t="shared" si="218"/>
        <v>0</v>
      </c>
      <c r="BJ284" s="5">
        <f t="shared" si="218"/>
        <v>0</v>
      </c>
      <c r="BK284" s="5">
        <f t="shared" si="218"/>
        <v>0</v>
      </c>
      <c r="BL284" s="5">
        <f t="shared" si="218"/>
        <v>0</v>
      </c>
      <c r="BM284" s="5">
        <f t="shared" si="218"/>
        <v>0</v>
      </c>
      <c r="BN284" s="5">
        <f t="shared" si="218"/>
        <v>0</v>
      </c>
      <c r="BO284" s="5">
        <f t="shared" si="216"/>
        <v>0</v>
      </c>
      <c r="BP284" s="5">
        <f t="shared" si="216"/>
        <v>0</v>
      </c>
      <c r="BQ284" s="5">
        <f t="shared" si="216"/>
        <v>0</v>
      </c>
      <c r="BR284" s="5">
        <f t="shared" si="216"/>
        <v>0</v>
      </c>
      <c r="BS284" s="5">
        <f t="shared" si="216"/>
        <v>0</v>
      </c>
      <c r="BT284" s="5">
        <f t="shared" si="216"/>
        <v>0</v>
      </c>
      <c r="BU284" s="5">
        <f t="shared" si="216"/>
        <v>0</v>
      </c>
      <c r="BV284" s="5">
        <f t="shared" si="216"/>
        <v>1</v>
      </c>
      <c r="BW284" s="5">
        <f t="shared" si="216"/>
        <v>0</v>
      </c>
      <c r="BX284" s="5">
        <f t="shared" si="216"/>
        <v>0</v>
      </c>
      <c r="BY284" s="5">
        <f t="shared" si="216"/>
        <v>0</v>
      </c>
      <c r="BZ284" s="5">
        <f t="shared" si="216"/>
        <v>0</v>
      </c>
      <c r="CA284" s="5">
        <f t="shared" si="216"/>
        <v>0</v>
      </c>
      <c r="CB284" s="5">
        <f t="shared" si="215"/>
        <v>0</v>
      </c>
      <c r="CC284" s="5">
        <f t="shared" si="215"/>
        <v>0</v>
      </c>
      <c r="CD284" s="5">
        <f t="shared" si="215"/>
        <v>0</v>
      </c>
      <c r="CE284" s="5">
        <f t="shared" si="215"/>
        <v>0</v>
      </c>
    </row>
    <row r="285" spans="3:83" x14ac:dyDescent="0.2">
      <c r="C285" s="1">
        <f>Growth!D290</f>
        <v>0</v>
      </c>
      <c r="D285" s="5" t="b">
        <f t="shared" si="207"/>
        <v>0</v>
      </c>
      <c r="E285" s="5">
        <v>2006</v>
      </c>
      <c r="F285" s="5">
        <f ca="1">LOOKUP($E285,frequence!$A$2:$A$35,frequence!L$2:L$35)</f>
        <v>71.097990738484512</v>
      </c>
      <c r="G285" s="5">
        <f ca="1">LOOKUP($E285,frequence!$A$2:$A$35,frequence!K$2:K$35)</f>
        <v>5.2950026937283488</v>
      </c>
      <c r="H285" s="5">
        <f ca="1">LOOKUP($E285,frequence!$A$2:$A$35,frequence!M$2:M$35)</f>
        <v>500.74918436144497</v>
      </c>
      <c r="I285" s="5">
        <v>1995</v>
      </c>
      <c r="J285" s="7">
        <f>LOOKUP(I285,CPI!A$69:A$103,CPI!O$69:O$103)</f>
        <v>1.4308136482939633</v>
      </c>
      <c r="K285" s="5">
        <v>2000</v>
      </c>
      <c r="L285" s="7">
        <f t="shared" ca="1" si="208"/>
        <v>1</v>
      </c>
      <c r="M285" s="7">
        <f t="shared" si="200"/>
        <v>6.9999999999999993E-3</v>
      </c>
      <c r="N285" s="14">
        <f t="shared" si="199"/>
        <v>1.25E-3</v>
      </c>
      <c r="O285" s="1">
        <f ca="1">P285*J285*(1+Growth!G$6)^(2010-K285)</f>
        <v>124.6896447889867</v>
      </c>
      <c r="P285" s="3">
        <v>75</v>
      </c>
      <c r="Q285" s="2">
        <f t="shared" si="148"/>
        <v>75</v>
      </c>
      <c r="R285" s="21">
        <f t="shared" ca="1" si="209"/>
        <v>15547.507517603677</v>
      </c>
      <c r="X285" s="2">
        <f t="shared" si="214"/>
        <v>75</v>
      </c>
      <c r="AC285" s="1">
        <f t="shared" si="217"/>
        <v>5.6</v>
      </c>
      <c r="AD285" s="5">
        <v>0</v>
      </c>
      <c r="AE285" s="5">
        <v>0</v>
      </c>
      <c r="AF285" s="5">
        <v>1</v>
      </c>
      <c r="AG285" s="5">
        <v>1</v>
      </c>
      <c r="AH285" s="5">
        <v>1</v>
      </c>
      <c r="AI285" s="3">
        <f t="shared" si="201"/>
        <v>2.6</v>
      </c>
      <c r="AJ285" s="5">
        <f t="shared" si="219"/>
        <v>1</v>
      </c>
      <c r="AK285" s="5">
        <f t="shared" si="210"/>
        <v>0</v>
      </c>
      <c r="AL285" s="5">
        <f t="shared" si="211"/>
        <v>0</v>
      </c>
      <c r="AM285" s="5">
        <f t="shared" si="220"/>
        <v>0</v>
      </c>
      <c r="AN285" s="5">
        <f t="shared" si="212"/>
        <v>0</v>
      </c>
      <c r="AO285" s="5">
        <f t="shared" si="221"/>
        <v>0</v>
      </c>
      <c r="AP285" s="11" t="s">
        <v>42</v>
      </c>
      <c r="AQ285" s="1">
        <v>3</v>
      </c>
      <c r="AR285" s="5">
        <v>0</v>
      </c>
      <c r="AS285" s="5">
        <v>0</v>
      </c>
      <c r="AT285" s="5">
        <v>0</v>
      </c>
      <c r="AU285" s="5">
        <v>0</v>
      </c>
      <c r="AV285" s="5">
        <f t="shared" si="202"/>
        <v>0</v>
      </c>
      <c r="AW285" s="5">
        <f t="shared" si="203"/>
        <v>0</v>
      </c>
      <c r="AX285" s="5">
        <f t="shared" si="204"/>
        <v>1</v>
      </c>
      <c r="AY285" s="1">
        <f t="shared" si="184"/>
        <v>0</v>
      </c>
      <c r="AZ285" s="1">
        <f t="shared" si="185"/>
        <v>0</v>
      </c>
      <c r="BA285" s="1">
        <f t="shared" si="186"/>
        <v>0</v>
      </c>
      <c r="BB285" s="5">
        <v>0</v>
      </c>
      <c r="BC285" s="5">
        <v>0</v>
      </c>
      <c r="BD285" s="5">
        <v>1</v>
      </c>
      <c r="BE285" s="5">
        <f t="shared" si="196"/>
        <v>0</v>
      </c>
      <c r="BF285" s="5">
        <v>0</v>
      </c>
      <c r="BG285" s="5">
        <f t="shared" si="218"/>
        <v>0</v>
      </c>
      <c r="BH285" s="5">
        <f t="shared" si="218"/>
        <v>0</v>
      </c>
      <c r="BI285" s="5">
        <f t="shared" si="218"/>
        <v>0</v>
      </c>
      <c r="BJ285" s="5">
        <f t="shared" si="218"/>
        <v>0</v>
      </c>
      <c r="BK285" s="5">
        <f t="shared" si="218"/>
        <v>0</v>
      </c>
      <c r="BL285" s="5">
        <f t="shared" si="218"/>
        <v>0</v>
      </c>
      <c r="BM285" s="5">
        <f t="shared" si="218"/>
        <v>0</v>
      </c>
      <c r="BN285" s="5">
        <f t="shared" si="218"/>
        <v>0</v>
      </c>
      <c r="BO285" s="5">
        <f t="shared" si="216"/>
        <v>0</v>
      </c>
      <c r="BP285" s="5">
        <f t="shared" si="216"/>
        <v>0</v>
      </c>
      <c r="BQ285" s="5">
        <f t="shared" si="216"/>
        <v>0</v>
      </c>
      <c r="BR285" s="5">
        <f t="shared" si="216"/>
        <v>0</v>
      </c>
      <c r="BS285" s="5">
        <f t="shared" si="216"/>
        <v>0</v>
      </c>
      <c r="BT285" s="5">
        <f t="shared" si="216"/>
        <v>0</v>
      </c>
      <c r="BU285" s="5">
        <f t="shared" si="216"/>
        <v>0</v>
      </c>
      <c r="BV285" s="5">
        <f t="shared" si="216"/>
        <v>1</v>
      </c>
      <c r="BW285" s="5">
        <f t="shared" si="216"/>
        <v>0</v>
      </c>
      <c r="BX285" s="5">
        <f t="shared" si="216"/>
        <v>0</v>
      </c>
      <c r="BY285" s="5">
        <f t="shared" si="216"/>
        <v>0</v>
      </c>
      <c r="BZ285" s="5">
        <f t="shared" si="216"/>
        <v>0</v>
      </c>
      <c r="CA285" s="5">
        <f t="shared" si="216"/>
        <v>0</v>
      </c>
      <c r="CB285" s="5">
        <f t="shared" si="215"/>
        <v>0</v>
      </c>
      <c r="CC285" s="5">
        <f t="shared" si="215"/>
        <v>0</v>
      </c>
      <c r="CD285" s="5">
        <f t="shared" si="215"/>
        <v>0</v>
      </c>
      <c r="CE285" s="5">
        <f t="shared" si="215"/>
        <v>0</v>
      </c>
    </row>
    <row r="286" spans="3:83" x14ac:dyDescent="0.2">
      <c r="C286" s="1">
        <f>Growth!D291</f>
        <v>0</v>
      </c>
      <c r="D286" s="5" t="b">
        <f t="shared" si="207"/>
        <v>0</v>
      </c>
      <c r="E286" s="5">
        <v>2006</v>
      </c>
      <c r="F286" s="5">
        <f ca="1">LOOKUP($E286,frequence!$A$2:$A$35,frequence!L$2:L$35)</f>
        <v>71.097990738484512</v>
      </c>
      <c r="G286" s="5">
        <f ca="1">LOOKUP($E286,frequence!$A$2:$A$35,frequence!K$2:K$35)</f>
        <v>5.2950026937283488</v>
      </c>
      <c r="H286" s="5">
        <f ca="1">LOOKUP($E286,frequence!$A$2:$A$35,frequence!M$2:M$35)</f>
        <v>500.74918436144497</v>
      </c>
      <c r="I286" s="5">
        <v>1995</v>
      </c>
      <c r="J286" s="7">
        <f>LOOKUP(I286,CPI!A$69:A$103,CPI!O$69:O$103)</f>
        <v>1.4308136482939633</v>
      </c>
      <c r="K286" s="5">
        <v>2000</v>
      </c>
      <c r="L286" s="7">
        <f t="shared" ca="1" si="208"/>
        <v>1</v>
      </c>
      <c r="M286" s="7">
        <f t="shared" si="200"/>
        <v>6.9999999999999993E-3</v>
      </c>
      <c r="N286" s="14">
        <f t="shared" si="199"/>
        <v>1.25E-3</v>
      </c>
      <c r="O286" s="1">
        <f ca="1">P286*J286*(1+Growth!G$6)^(2010-K286)</f>
        <v>448.88272124035211</v>
      </c>
      <c r="P286" s="3">
        <v>270</v>
      </c>
      <c r="Q286" s="2">
        <f t="shared" si="148"/>
        <v>270</v>
      </c>
      <c r="R286" s="21">
        <f t="shared" ca="1" si="209"/>
        <v>201495.69742814367</v>
      </c>
      <c r="X286" s="2">
        <f t="shared" si="214"/>
        <v>270</v>
      </c>
      <c r="AC286" s="1">
        <f t="shared" si="217"/>
        <v>5.6</v>
      </c>
      <c r="AD286" s="5">
        <v>0</v>
      </c>
      <c r="AE286" s="5">
        <v>0</v>
      </c>
      <c r="AF286" s="5">
        <v>1</v>
      </c>
      <c r="AG286" s="5">
        <v>1</v>
      </c>
      <c r="AH286" s="5">
        <v>1</v>
      </c>
      <c r="AI286" s="3">
        <f t="shared" si="201"/>
        <v>2.6</v>
      </c>
      <c r="AJ286" s="5">
        <f t="shared" si="219"/>
        <v>0</v>
      </c>
      <c r="AK286" s="5">
        <f t="shared" si="210"/>
        <v>0</v>
      </c>
      <c r="AL286" s="5">
        <f t="shared" si="211"/>
        <v>0</v>
      </c>
      <c r="AM286" s="5">
        <f t="shared" si="220"/>
        <v>0</v>
      </c>
      <c r="AN286" s="5">
        <f t="shared" si="212"/>
        <v>0</v>
      </c>
      <c r="AO286" s="5">
        <f t="shared" si="221"/>
        <v>0</v>
      </c>
      <c r="AP286" s="11" t="s">
        <v>42</v>
      </c>
      <c r="AQ286" s="1" t="s">
        <v>42</v>
      </c>
      <c r="AR286" s="5">
        <v>0</v>
      </c>
      <c r="AS286" s="5">
        <v>0</v>
      </c>
      <c r="AT286" s="5">
        <v>0</v>
      </c>
      <c r="AU286" s="5">
        <v>0</v>
      </c>
      <c r="AV286" s="5">
        <f t="shared" si="202"/>
        <v>0</v>
      </c>
      <c r="AW286" s="5">
        <f t="shared" si="203"/>
        <v>0</v>
      </c>
      <c r="AX286" s="5">
        <f t="shared" si="204"/>
        <v>1</v>
      </c>
      <c r="AY286" s="1">
        <f t="shared" si="184"/>
        <v>0</v>
      </c>
      <c r="AZ286" s="1">
        <f t="shared" si="185"/>
        <v>0</v>
      </c>
      <c r="BA286" s="1">
        <f t="shared" si="186"/>
        <v>0</v>
      </c>
      <c r="BB286" s="5">
        <v>0</v>
      </c>
      <c r="BC286" s="5">
        <v>0</v>
      </c>
      <c r="BD286" s="5">
        <v>1</v>
      </c>
      <c r="BE286" s="5">
        <f t="shared" si="196"/>
        <v>0</v>
      </c>
      <c r="BF286" s="5">
        <v>0</v>
      </c>
      <c r="BG286" s="5">
        <f t="shared" si="218"/>
        <v>0</v>
      </c>
      <c r="BH286" s="5">
        <f t="shared" si="218"/>
        <v>0</v>
      </c>
      <c r="BI286" s="5">
        <f t="shared" si="218"/>
        <v>0</v>
      </c>
      <c r="BJ286" s="5">
        <f t="shared" si="218"/>
        <v>0</v>
      </c>
      <c r="BK286" s="5">
        <f t="shared" si="218"/>
        <v>0</v>
      </c>
      <c r="BL286" s="5">
        <f t="shared" si="218"/>
        <v>0</v>
      </c>
      <c r="BM286" s="5">
        <f t="shared" si="218"/>
        <v>0</v>
      </c>
      <c r="BN286" s="5">
        <f t="shared" si="218"/>
        <v>0</v>
      </c>
      <c r="BO286" s="5">
        <f t="shared" si="216"/>
        <v>0</v>
      </c>
      <c r="BP286" s="5">
        <f t="shared" si="216"/>
        <v>0</v>
      </c>
      <c r="BQ286" s="5">
        <f t="shared" si="216"/>
        <v>0</v>
      </c>
      <c r="BR286" s="5">
        <f t="shared" si="216"/>
        <v>0</v>
      </c>
      <c r="BS286" s="5">
        <f t="shared" si="216"/>
        <v>0</v>
      </c>
      <c r="BT286" s="5">
        <f t="shared" si="216"/>
        <v>0</v>
      </c>
      <c r="BU286" s="5">
        <f t="shared" si="216"/>
        <v>0</v>
      </c>
      <c r="BV286" s="5">
        <f t="shared" si="216"/>
        <v>1</v>
      </c>
      <c r="BW286" s="5">
        <f t="shared" si="216"/>
        <v>0</v>
      </c>
      <c r="BX286" s="5">
        <f t="shared" si="216"/>
        <v>0</v>
      </c>
      <c r="BY286" s="5">
        <f t="shared" si="216"/>
        <v>0</v>
      </c>
      <c r="BZ286" s="5">
        <f t="shared" si="216"/>
        <v>0</v>
      </c>
      <c r="CA286" s="5">
        <f t="shared" si="216"/>
        <v>0</v>
      </c>
      <c r="CB286" s="5">
        <f t="shared" si="215"/>
        <v>0</v>
      </c>
      <c r="CC286" s="5">
        <f t="shared" si="215"/>
        <v>0</v>
      </c>
      <c r="CD286" s="5">
        <f t="shared" si="215"/>
        <v>0</v>
      </c>
      <c r="CE286" s="5">
        <f t="shared" si="215"/>
        <v>0</v>
      </c>
    </row>
    <row r="287" spans="3:83" x14ac:dyDescent="0.2">
      <c r="C287" s="1">
        <f>Growth!D292</f>
        <v>0</v>
      </c>
      <c r="D287" s="5" t="b">
        <f t="shared" si="207"/>
        <v>0</v>
      </c>
      <c r="E287" s="5">
        <v>2006</v>
      </c>
      <c r="F287" s="5">
        <f ca="1">LOOKUP($E287,frequence!$A$2:$A$35,frequence!L$2:L$35)</f>
        <v>71.097990738484512</v>
      </c>
      <c r="G287" s="5">
        <f ca="1">LOOKUP($E287,frequence!$A$2:$A$35,frequence!K$2:K$35)</f>
        <v>5.2950026937283488</v>
      </c>
      <c r="H287" s="5">
        <f ca="1">LOOKUP($E287,frequence!$A$2:$A$35,frequence!M$2:M$35)</f>
        <v>500.74918436144497</v>
      </c>
      <c r="I287" s="5">
        <v>1995</v>
      </c>
      <c r="J287" s="7">
        <f>LOOKUP(I287,CPI!A$69:A$103,CPI!O$69:O$103)</f>
        <v>1.4308136482939633</v>
      </c>
      <c r="K287" s="5">
        <v>2000</v>
      </c>
      <c r="L287" s="7">
        <f t="shared" ca="1" si="208"/>
        <v>0.5595434766495444</v>
      </c>
      <c r="M287" s="7">
        <f t="shared" si="200"/>
        <v>6.9999999999999993E-3</v>
      </c>
      <c r="N287" s="14">
        <f t="shared" si="199"/>
        <v>1.25E-3</v>
      </c>
      <c r="O287" s="1">
        <f ca="1">P287*J287*(1+Growth!G$6)^(2010-K287)</f>
        <v>3990.0686332475743</v>
      </c>
      <c r="P287" s="3">
        <v>2400</v>
      </c>
      <c r="Q287" s="2">
        <f t="shared" si="148"/>
        <v>2400</v>
      </c>
      <c r="R287" s="21">
        <f t="shared" ca="1" si="209"/>
        <v>15920647.698026165</v>
      </c>
      <c r="X287" s="2">
        <f t="shared" si="214"/>
        <v>2400</v>
      </c>
      <c r="AC287" s="1">
        <f t="shared" si="217"/>
        <v>5.6</v>
      </c>
      <c r="AD287" s="5">
        <v>0</v>
      </c>
      <c r="AE287" s="5">
        <v>0</v>
      </c>
      <c r="AF287" s="5">
        <v>1</v>
      </c>
      <c r="AG287" s="5">
        <v>1</v>
      </c>
      <c r="AH287" s="5">
        <v>1</v>
      </c>
      <c r="AI287" s="3">
        <f t="shared" si="201"/>
        <v>2.6</v>
      </c>
      <c r="AJ287" s="5">
        <f t="shared" si="219"/>
        <v>0</v>
      </c>
      <c r="AK287" s="5">
        <f t="shared" si="210"/>
        <v>0</v>
      </c>
      <c r="AL287" s="5">
        <f t="shared" si="211"/>
        <v>0</v>
      </c>
      <c r="AM287" s="5">
        <f t="shared" si="220"/>
        <v>0</v>
      </c>
      <c r="AN287" s="5">
        <f t="shared" si="212"/>
        <v>0</v>
      </c>
      <c r="AO287" s="5">
        <f t="shared" si="221"/>
        <v>1</v>
      </c>
      <c r="AP287" s="11" t="s">
        <v>42</v>
      </c>
      <c r="AQ287" s="1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f t="shared" si="202"/>
        <v>0</v>
      </c>
      <c r="AW287" s="5">
        <f t="shared" si="203"/>
        <v>0</v>
      </c>
      <c r="AX287" s="5">
        <f t="shared" si="204"/>
        <v>1</v>
      </c>
      <c r="AY287" s="1">
        <f t="shared" si="184"/>
        <v>0</v>
      </c>
      <c r="AZ287" s="1">
        <f t="shared" si="185"/>
        <v>0</v>
      </c>
      <c r="BA287" s="1">
        <f t="shared" si="186"/>
        <v>0</v>
      </c>
      <c r="BB287" s="5">
        <v>0</v>
      </c>
      <c r="BC287" s="5">
        <v>0</v>
      </c>
      <c r="BD287" s="5">
        <v>1</v>
      </c>
      <c r="BE287" s="5">
        <f t="shared" si="196"/>
        <v>0</v>
      </c>
      <c r="BF287" s="5">
        <v>0</v>
      </c>
      <c r="BG287" s="5">
        <f t="shared" si="218"/>
        <v>0</v>
      </c>
      <c r="BH287" s="5">
        <f t="shared" si="218"/>
        <v>0</v>
      </c>
      <c r="BI287" s="5">
        <f t="shared" si="218"/>
        <v>0</v>
      </c>
      <c r="BJ287" s="5">
        <f t="shared" si="218"/>
        <v>0</v>
      </c>
      <c r="BK287" s="5">
        <f t="shared" si="218"/>
        <v>0</v>
      </c>
      <c r="BL287" s="5">
        <f t="shared" si="218"/>
        <v>0</v>
      </c>
      <c r="BM287" s="5">
        <f t="shared" si="218"/>
        <v>0</v>
      </c>
      <c r="BN287" s="5">
        <f t="shared" si="218"/>
        <v>0</v>
      </c>
      <c r="BO287" s="5">
        <f t="shared" si="216"/>
        <v>0</v>
      </c>
      <c r="BP287" s="5">
        <f t="shared" si="216"/>
        <v>0</v>
      </c>
      <c r="BQ287" s="5">
        <f t="shared" si="216"/>
        <v>0</v>
      </c>
      <c r="BR287" s="5">
        <f t="shared" si="216"/>
        <v>0</v>
      </c>
      <c r="BS287" s="5">
        <f t="shared" si="216"/>
        <v>0</v>
      </c>
      <c r="BT287" s="5">
        <f t="shared" si="216"/>
        <v>0</v>
      </c>
      <c r="BU287" s="5">
        <f t="shared" si="216"/>
        <v>0</v>
      </c>
      <c r="BV287" s="5">
        <f t="shared" si="216"/>
        <v>1</v>
      </c>
      <c r="BW287" s="5">
        <f t="shared" si="216"/>
        <v>0</v>
      </c>
      <c r="BX287" s="5">
        <f t="shared" si="216"/>
        <v>0</v>
      </c>
      <c r="BY287" s="5">
        <f t="shared" si="216"/>
        <v>0</v>
      </c>
      <c r="BZ287" s="5">
        <f t="shared" si="216"/>
        <v>0</v>
      </c>
      <c r="CA287" s="5">
        <f t="shared" si="216"/>
        <v>0</v>
      </c>
      <c r="CB287" s="5">
        <f t="shared" si="215"/>
        <v>0</v>
      </c>
      <c r="CC287" s="5">
        <f t="shared" si="215"/>
        <v>0</v>
      </c>
      <c r="CD287" s="5">
        <f t="shared" si="215"/>
        <v>0</v>
      </c>
      <c r="CE287" s="5">
        <f t="shared" si="215"/>
        <v>0</v>
      </c>
    </row>
    <row r="288" spans="3:83" x14ac:dyDescent="0.2">
      <c r="C288" s="1">
        <f>Growth!D293</f>
        <v>0</v>
      </c>
      <c r="D288" s="5" t="b">
        <f t="shared" si="207"/>
        <v>0</v>
      </c>
      <c r="E288" s="5">
        <v>2006</v>
      </c>
      <c r="F288" s="5">
        <f ca="1">LOOKUP($E288,frequence!$A$2:$A$35,frequence!L$2:L$35)</f>
        <v>71.097990738484512</v>
      </c>
      <c r="G288" s="5">
        <f ca="1">LOOKUP($E288,frequence!$A$2:$A$35,frequence!K$2:K$35)</f>
        <v>5.2950026937283488</v>
      </c>
      <c r="H288" s="5">
        <f ca="1">LOOKUP($E288,frequence!$A$2:$A$35,frequence!M$2:M$35)</f>
        <v>500.74918436144497</v>
      </c>
      <c r="I288" s="5">
        <v>1995</v>
      </c>
      <c r="J288" s="7">
        <f>LOOKUP(I288,CPI!A$69:A$103,CPI!O$69:O$103)</f>
        <v>1.4308136482939633</v>
      </c>
      <c r="K288" s="5">
        <v>2000</v>
      </c>
      <c r="L288" s="7">
        <f t="shared" ca="1" si="208"/>
        <v>1</v>
      </c>
      <c r="M288" s="7">
        <f t="shared" si="200"/>
        <v>6.9999999999999993E-3</v>
      </c>
      <c r="N288" s="14">
        <f t="shared" si="199"/>
        <v>1.25E-3</v>
      </c>
      <c r="O288" s="1">
        <f ca="1">P288*J288*(1+Growth!G$6)^(2010-K288)</f>
        <v>964.26658636816376</v>
      </c>
      <c r="P288" s="3">
        <v>580</v>
      </c>
      <c r="Q288" s="2">
        <f t="shared" si="148"/>
        <v>580</v>
      </c>
      <c r="R288" s="21">
        <f t="shared" ca="1" si="209"/>
        <v>929810.04958611145</v>
      </c>
      <c r="X288" s="2">
        <f t="shared" si="214"/>
        <v>580</v>
      </c>
      <c r="AC288" s="1">
        <f t="shared" si="217"/>
        <v>5.6</v>
      </c>
      <c r="AD288" s="5">
        <v>0</v>
      </c>
      <c r="AE288" s="5">
        <v>0</v>
      </c>
      <c r="AF288" s="5">
        <v>1</v>
      </c>
      <c r="AG288" s="5">
        <v>1</v>
      </c>
      <c r="AH288" s="5">
        <v>1</v>
      </c>
      <c r="AI288" s="3">
        <f t="shared" si="201"/>
        <v>2.6</v>
      </c>
      <c r="AJ288" s="5">
        <f t="shared" si="219"/>
        <v>0</v>
      </c>
      <c r="AK288" s="5">
        <f t="shared" si="210"/>
        <v>0</v>
      </c>
      <c r="AL288" s="5">
        <f t="shared" si="211"/>
        <v>0</v>
      </c>
      <c r="AM288" s="5">
        <f t="shared" si="220"/>
        <v>1</v>
      </c>
      <c r="AN288" s="5">
        <f t="shared" si="212"/>
        <v>0</v>
      </c>
      <c r="AO288" s="5">
        <f t="shared" si="221"/>
        <v>0</v>
      </c>
      <c r="AP288" s="11" t="s">
        <v>42</v>
      </c>
      <c r="AQ288" s="1">
        <v>1</v>
      </c>
      <c r="AR288" s="5">
        <v>0</v>
      </c>
      <c r="AS288" s="5">
        <v>0</v>
      </c>
      <c r="AT288" s="5">
        <v>0</v>
      </c>
      <c r="AU288" s="5">
        <v>0</v>
      </c>
      <c r="AV288" s="5">
        <f t="shared" si="202"/>
        <v>0</v>
      </c>
      <c r="AW288" s="5">
        <f t="shared" si="203"/>
        <v>0</v>
      </c>
      <c r="AX288" s="5">
        <f t="shared" si="204"/>
        <v>1</v>
      </c>
      <c r="AY288" s="1">
        <f t="shared" si="184"/>
        <v>0</v>
      </c>
      <c r="AZ288" s="1">
        <f t="shared" si="185"/>
        <v>0</v>
      </c>
      <c r="BA288" s="1">
        <f t="shared" si="186"/>
        <v>0</v>
      </c>
      <c r="BB288" s="5">
        <v>0</v>
      </c>
      <c r="BC288" s="5">
        <v>0</v>
      </c>
      <c r="BD288" s="5">
        <v>1</v>
      </c>
      <c r="BE288" s="5">
        <f t="shared" si="196"/>
        <v>0</v>
      </c>
      <c r="BF288" s="5">
        <v>0</v>
      </c>
      <c r="BG288" s="5">
        <f t="shared" si="218"/>
        <v>0</v>
      </c>
      <c r="BH288" s="5">
        <f t="shared" si="218"/>
        <v>0</v>
      </c>
      <c r="BI288" s="5">
        <f t="shared" si="218"/>
        <v>0</v>
      </c>
      <c r="BJ288" s="5">
        <f t="shared" si="218"/>
        <v>0</v>
      </c>
      <c r="BK288" s="5">
        <f t="shared" si="218"/>
        <v>0</v>
      </c>
      <c r="BL288" s="5">
        <f t="shared" si="218"/>
        <v>0</v>
      </c>
      <c r="BM288" s="5">
        <f t="shared" si="218"/>
        <v>0</v>
      </c>
      <c r="BN288" s="5">
        <f t="shared" si="218"/>
        <v>0</v>
      </c>
      <c r="BO288" s="5">
        <f t="shared" si="216"/>
        <v>0</v>
      </c>
      <c r="BP288" s="5">
        <f t="shared" si="216"/>
        <v>0</v>
      </c>
      <c r="BQ288" s="5">
        <f t="shared" si="216"/>
        <v>0</v>
      </c>
      <c r="BR288" s="5">
        <f t="shared" si="216"/>
        <v>0</v>
      </c>
      <c r="BS288" s="5">
        <f t="shared" si="216"/>
        <v>0</v>
      </c>
      <c r="BT288" s="5">
        <f t="shared" si="216"/>
        <v>0</v>
      </c>
      <c r="BU288" s="5">
        <f t="shared" si="216"/>
        <v>0</v>
      </c>
      <c r="BV288" s="5">
        <f t="shared" si="216"/>
        <v>1</v>
      </c>
      <c r="BW288" s="5">
        <f t="shared" si="216"/>
        <v>0</v>
      </c>
      <c r="BX288" s="5">
        <f t="shared" si="216"/>
        <v>0</v>
      </c>
      <c r="BY288" s="5">
        <f t="shared" si="216"/>
        <v>0</v>
      </c>
      <c r="BZ288" s="5">
        <f t="shared" si="216"/>
        <v>0</v>
      </c>
      <c r="CA288" s="5">
        <f t="shared" si="216"/>
        <v>0</v>
      </c>
      <c r="CB288" s="5">
        <f t="shared" si="215"/>
        <v>0</v>
      </c>
      <c r="CC288" s="5">
        <f t="shared" si="215"/>
        <v>0</v>
      </c>
      <c r="CD288" s="5">
        <f t="shared" si="215"/>
        <v>0</v>
      </c>
      <c r="CE288" s="5">
        <f t="shared" si="215"/>
        <v>0</v>
      </c>
    </row>
    <row r="289" spans="1:83" x14ac:dyDescent="0.2">
      <c r="C289" s="1">
        <f>Growth!D294</f>
        <v>0</v>
      </c>
      <c r="D289" s="5" t="b">
        <f t="shared" si="207"/>
        <v>0</v>
      </c>
      <c r="E289" s="5">
        <v>2006</v>
      </c>
      <c r="F289" s="5">
        <f ca="1">LOOKUP($E289,frequence!$A$2:$A$35,frequence!L$2:L$35)</f>
        <v>71.097990738484512</v>
      </c>
      <c r="G289" s="5">
        <f ca="1">LOOKUP($E289,frequence!$A$2:$A$35,frequence!K$2:K$35)</f>
        <v>5.2950026937283488</v>
      </c>
      <c r="H289" s="5">
        <f ca="1">LOOKUP($E289,frequence!$A$2:$A$35,frequence!M$2:M$35)</f>
        <v>500.74918436144497</v>
      </c>
      <c r="I289" s="5">
        <v>1995</v>
      </c>
      <c r="J289" s="7">
        <f>LOOKUP(I289,CPI!A$69:A$103,CPI!O$69:O$103)</f>
        <v>1.4308136482939633</v>
      </c>
      <c r="K289" s="5">
        <v>2000</v>
      </c>
      <c r="L289" s="7">
        <f t="shared" ca="1" si="208"/>
        <v>1</v>
      </c>
      <c r="M289" s="7">
        <f t="shared" si="200"/>
        <v>6.9999999999999993E-3</v>
      </c>
      <c r="N289" s="14">
        <f t="shared" si="199"/>
        <v>1.25E-3</v>
      </c>
      <c r="O289" s="1">
        <f ca="1">P289*J289*(1+Growth!G$6)^(2010-K289)</f>
        <v>199.50343166237872</v>
      </c>
      <c r="P289" s="3">
        <v>120</v>
      </c>
      <c r="Q289" s="2">
        <f t="shared" si="148"/>
        <v>120</v>
      </c>
      <c r="R289" s="21">
        <f t="shared" ca="1" si="209"/>
        <v>39801.619245065413</v>
      </c>
      <c r="X289" s="2">
        <f t="shared" si="214"/>
        <v>120</v>
      </c>
      <c r="AC289" s="1">
        <f t="shared" si="217"/>
        <v>5.6</v>
      </c>
      <c r="AD289" s="5">
        <v>0</v>
      </c>
      <c r="AE289" s="5">
        <v>0</v>
      </c>
      <c r="AF289" s="5">
        <v>1</v>
      </c>
      <c r="AG289" s="5">
        <v>1</v>
      </c>
      <c r="AH289" s="5">
        <v>1</v>
      </c>
      <c r="AI289" s="3">
        <f t="shared" si="201"/>
        <v>2.6</v>
      </c>
      <c r="AJ289" s="5">
        <f t="shared" si="219"/>
        <v>1</v>
      </c>
      <c r="AK289" s="5">
        <f t="shared" si="210"/>
        <v>0</v>
      </c>
      <c r="AL289" s="5">
        <f t="shared" si="211"/>
        <v>0</v>
      </c>
      <c r="AM289" s="5">
        <f t="shared" si="220"/>
        <v>0</v>
      </c>
      <c r="AN289" s="5">
        <f t="shared" si="212"/>
        <v>0</v>
      </c>
      <c r="AO289" s="5">
        <f t="shared" si="221"/>
        <v>0</v>
      </c>
      <c r="AP289" s="11" t="s">
        <v>42</v>
      </c>
      <c r="AQ289" s="1">
        <v>3</v>
      </c>
      <c r="AR289" s="5">
        <v>0</v>
      </c>
      <c r="AS289" s="5">
        <v>0</v>
      </c>
      <c r="AT289" s="5">
        <v>0</v>
      </c>
      <c r="AU289" s="5">
        <v>0</v>
      </c>
      <c r="AV289" s="5">
        <f t="shared" si="202"/>
        <v>0</v>
      </c>
      <c r="AW289" s="5">
        <f t="shared" si="203"/>
        <v>0</v>
      </c>
      <c r="AX289" s="5">
        <f t="shared" si="204"/>
        <v>1</v>
      </c>
      <c r="AY289" s="1">
        <f t="shared" si="184"/>
        <v>0</v>
      </c>
      <c r="AZ289" s="1">
        <f t="shared" si="185"/>
        <v>0</v>
      </c>
      <c r="BA289" s="1">
        <f t="shared" si="186"/>
        <v>0</v>
      </c>
      <c r="BB289" s="5">
        <v>0</v>
      </c>
      <c r="BC289" s="5">
        <v>0</v>
      </c>
      <c r="BD289" s="5">
        <v>1</v>
      </c>
      <c r="BE289" s="5">
        <f t="shared" si="196"/>
        <v>0</v>
      </c>
      <c r="BF289" s="5">
        <v>0</v>
      </c>
      <c r="BG289" s="5">
        <f t="shared" si="218"/>
        <v>0</v>
      </c>
      <c r="BH289" s="5">
        <f t="shared" si="218"/>
        <v>0</v>
      </c>
      <c r="BI289" s="5">
        <f t="shared" si="218"/>
        <v>0</v>
      </c>
      <c r="BJ289" s="5">
        <f t="shared" si="218"/>
        <v>0</v>
      </c>
      <c r="BK289" s="5">
        <f t="shared" si="218"/>
        <v>0</v>
      </c>
      <c r="BL289" s="5">
        <f t="shared" si="218"/>
        <v>0</v>
      </c>
      <c r="BM289" s="5">
        <f t="shared" si="218"/>
        <v>0</v>
      </c>
      <c r="BN289" s="5">
        <f t="shared" si="218"/>
        <v>0</v>
      </c>
      <c r="BO289" s="5">
        <f t="shared" si="216"/>
        <v>0</v>
      </c>
      <c r="BP289" s="5">
        <f t="shared" si="216"/>
        <v>0</v>
      </c>
      <c r="BQ289" s="5">
        <f t="shared" si="216"/>
        <v>0</v>
      </c>
      <c r="BR289" s="5">
        <f t="shared" si="216"/>
        <v>0</v>
      </c>
      <c r="BS289" s="5">
        <f t="shared" si="216"/>
        <v>0</v>
      </c>
      <c r="BT289" s="5">
        <f t="shared" si="216"/>
        <v>0</v>
      </c>
      <c r="BU289" s="5">
        <f t="shared" si="216"/>
        <v>0</v>
      </c>
      <c r="BV289" s="5">
        <f t="shared" si="216"/>
        <v>1</v>
      </c>
      <c r="BW289" s="5">
        <f t="shared" si="216"/>
        <v>0</v>
      </c>
      <c r="BX289" s="5">
        <f t="shared" si="216"/>
        <v>0</v>
      </c>
      <c r="BY289" s="5">
        <f t="shared" si="216"/>
        <v>0</v>
      </c>
      <c r="BZ289" s="5">
        <f t="shared" si="216"/>
        <v>0</v>
      </c>
      <c r="CA289" s="5">
        <f t="shared" si="216"/>
        <v>0</v>
      </c>
      <c r="CB289" s="5">
        <f t="shared" si="215"/>
        <v>0</v>
      </c>
      <c r="CC289" s="5">
        <f t="shared" si="215"/>
        <v>0</v>
      </c>
      <c r="CD289" s="5">
        <f t="shared" si="215"/>
        <v>0</v>
      </c>
      <c r="CE289" s="5">
        <f t="shared" si="215"/>
        <v>0</v>
      </c>
    </row>
    <row r="290" spans="1:83" x14ac:dyDescent="0.2">
      <c r="C290" s="1">
        <f>Growth!D295</f>
        <v>0</v>
      </c>
      <c r="D290" s="5" t="b">
        <f t="shared" si="207"/>
        <v>0</v>
      </c>
      <c r="E290" s="5">
        <v>2006</v>
      </c>
      <c r="F290" s="5">
        <f ca="1">LOOKUP($E290,frequence!$A$2:$A$35,frequence!L$2:L$35)</f>
        <v>71.097990738484512</v>
      </c>
      <c r="G290" s="5">
        <f ca="1">LOOKUP($E290,frequence!$A$2:$A$35,frequence!K$2:K$35)</f>
        <v>5.2950026937283488</v>
      </c>
      <c r="H290" s="5">
        <f ca="1">LOOKUP($E290,frequence!$A$2:$A$35,frequence!M$2:M$35)</f>
        <v>500.74918436144497</v>
      </c>
      <c r="I290" s="5">
        <v>1995</v>
      </c>
      <c r="J290" s="7">
        <f>LOOKUP(I290,CPI!A$69:A$103,CPI!O$69:O$103)</f>
        <v>1.4308136482939633</v>
      </c>
      <c r="K290" s="5">
        <v>2000</v>
      </c>
      <c r="L290" s="7">
        <f t="shared" ca="1" si="208"/>
        <v>1</v>
      </c>
      <c r="M290" s="7">
        <f t="shared" si="200"/>
        <v>6.9999999999999993E-3</v>
      </c>
      <c r="N290" s="14">
        <f t="shared" si="199"/>
        <v>1.25E-3</v>
      </c>
      <c r="O290" s="1">
        <f ca="1">P290*J290*(1+Growth!G$6)^(2010-K290)</f>
        <v>598.51029498713615</v>
      </c>
      <c r="P290" s="3">
        <v>360</v>
      </c>
      <c r="Q290" s="2">
        <f t="shared" si="148"/>
        <v>360</v>
      </c>
      <c r="R290" s="21">
        <f t="shared" ca="1" si="209"/>
        <v>358214.57320558873</v>
      </c>
      <c r="X290" s="2">
        <f t="shared" si="214"/>
        <v>360</v>
      </c>
      <c r="AC290" s="1">
        <f t="shared" si="217"/>
        <v>5.6</v>
      </c>
      <c r="AD290" s="5">
        <v>0</v>
      </c>
      <c r="AE290" s="5">
        <v>0</v>
      </c>
      <c r="AF290" s="5">
        <v>1</v>
      </c>
      <c r="AG290" s="5">
        <v>1</v>
      </c>
      <c r="AH290" s="5">
        <v>1</v>
      </c>
      <c r="AI290" s="3">
        <f t="shared" si="201"/>
        <v>2.6</v>
      </c>
      <c r="AJ290" s="5">
        <f t="shared" si="219"/>
        <v>0</v>
      </c>
      <c r="AK290" s="5">
        <f t="shared" si="210"/>
        <v>0</v>
      </c>
      <c r="AL290" s="5">
        <f t="shared" si="211"/>
        <v>0</v>
      </c>
      <c r="AM290" s="5">
        <f t="shared" si="220"/>
        <v>0</v>
      </c>
      <c r="AN290" s="5">
        <f t="shared" si="212"/>
        <v>0</v>
      </c>
      <c r="AO290" s="5">
        <f t="shared" si="221"/>
        <v>0</v>
      </c>
      <c r="AP290" s="11" t="s">
        <v>42</v>
      </c>
      <c r="AQ290" s="1" t="s">
        <v>42</v>
      </c>
      <c r="AR290" s="5">
        <v>0</v>
      </c>
      <c r="AS290" s="5">
        <v>0</v>
      </c>
      <c r="AT290" s="5">
        <v>0</v>
      </c>
      <c r="AU290" s="5">
        <v>0</v>
      </c>
      <c r="AV290" s="5">
        <f t="shared" si="202"/>
        <v>0</v>
      </c>
      <c r="AW290" s="5">
        <f t="shared" si="203"/>
        <v>0</v>
      </c>
      <c r="AX290" s="5">
        <f t="shared" si="204"/>
        <v>1</v>
      </c>
      <c r="AY290" s="1">
        <f t="shared" si="184"/>
        <v>0</v>
      </c>
      <c r="AZ290" s="1">
        <f t="shared" si="185"/>
        <v>0</v>
      </c>
      <c r="BA290" s="1">
        <f t="shared" si="186"/>
        <v>0</v>
      </c>
      <c r="BB290" s="5">
        <v>0</v>
      </c>
      <c r="BC290" s="5">
        <v>0</v>
      </c>
      <c r="BD290" s="5">
        <v>1</v>
      </c>
      <c r="BE290" s="5">
        <f t="shared" si="196"/>
        <v>0</v>
      </c>
      <c r="BF290" s="5">
        <v>0</v>
      </c>
      <c r="BG290" s="5">
        <f t="shared" si="218"/>
        <v>0</v>
      </c>
      <c r="BH290" s="5">
        <f t="shared" si="218"/>
        <v>0</v>
      </c>
      <c r="BI290" s="5">
        <f t="shared" si="218"/>
        <v>0</v>
      </c>
      <c r="BJ290" s="5">
        <f t="shared" si="218"/>
        <v>0</v>
      </c>
      <c r="BK290" s="5">
        <f t="shared" si="218"/>
        <v>0</v>
      </c>
      <c r="BL290" s="5">
        <f t="shared" si="218"/>
        <v>0</v>
      </c>
      <c r="BM290" s="5">
        <f t="shared" si="218"/>
        <v>0</v>
      </c>
      <c r="BN290" s="5">
        <f t="shared" si="218"/>
        <v>0</v>
      </c>
      <c r="BO290" s="5">
        <f t="shared" si="216"/>
        <v>0</v>
      </c>
      <c r="BP290" s="5">
        <f t="shared" si="216"/>
        <v>0</v>
      </c>
      <c r="BQ290" s="5">
        <f t="shared" si="216"/>
        <v>0</v>
      </c>
      <c r="BR290" s="5">
        <f t="shared" si="216"/>
        <v>0</v>
      </c>
      <c r="BS290" s="5">
        <f t="shared" si="216"/>
        <v>0</v>
      </c>
      <c r="BT290" s="5">
        <f t="shared" si="216"/>
        <v>0</v>
      </c>
      <c r="BU290" s="5">
        <f t="shared" si="216"/>
        <v>0</v>
      </c>
      <c r="BV290" s="5">
        <f t="shared" si="216"/>
        <v>1</v>
      </c>
      <c r="BW290" s="5">
        <f t="shared" si="216"/>
        <v>0</v>
      </c>
      <c r="BX290" s="5">
        <f t="shared" si="216"/>
        <v>0</v>
      </c>
      <c r="BY290" s="5">
        <f t="shared" si="216"/>
        <v>0</v>
      </c>
      <c r="BZ290" s="5">
        <f t="shared" si="216"/>
        <v>0</v>
      </c>
      <c r="CA290" s="5">
        <f t="shared" si="216"/>
        <v>0</v>
      </c>
      <c r="CB290" s="5">
        <f t="shared" si="215"/>
        <v>0</v>
      </c>
      <c r="CC290" s="5">
        <f t="shared" si="215"/>
        <v>0</v>
      </c>
      <c r="CD290" s="5">
        <f t="shared" si="215"/>
        <v>0</v>
      </c>
      <c r="CE290" s="5">
        <f t="shared" si="215"/>
        <v>0</v>
      </c>
    </row>
    <row r="291" spans="1:83" x14ac:dyDescent="0.2">
      <c r="A291" s="11" t="s">
        <v>152</v>
      </c>
      <c r="B291" s="11" t="s">
        <v>153</v>
      </c>
      <c r="C291" s="1">
        <f>Growth!D296</f>
        <v>0</v>
      </c>
      <c r="D291" s="5">
        <f t="shared" si="207"/>
        <v>2011</v>
      </c>
      <c r="E291" s="5">
        <v>2011</v>
      </c>
      <c r="F291" s="5">
        <f ca="1">LOOKUP($E291,frequence!$A$2:$A$35,frequence!L$2:L$35)</f>
        <v>33.053542446246631</v>
      </c>
      <c r="G291" s="5">
        <f ca="1">LOOKUP($E291,frequence!$A$2:$A$35,frequence!K$2:K$35)</f>
        <v>2.1388579511305732</v>
      </c>
      <c r="H291" s="5">
        <f ca="1">LOOKUP($E291,frequence!$A$2:$A$35,frequence!M$2:M$35)</f>
        <v>182.11948132765423</v>
      </c>
      <c r="I291" s="5">
        <v>2010</v>
      </c>
      <c r="J291" s="7">
        <f>LOOKUP(I291,CPI!A$69:A$103,CPI!O$69:O$103)</f>
        <v>1</v>
      </c>
      <c r="K291" s="5">
        <v>2010</v>
      </c>
      <c r="L291" s="7">
        <f t="shared" ca="1" si="208"/>
        <v>1</v>
      </c>
      <c r="M291" s="7">
        <f t="shared" si="200"/>
        <v>0.82521645021645018</v>
      </c>
      <c r="N291" s="14">
        <f>1/7.392</f>
        <v>0.13528138528138528</v>
      </c>
      <c r="O291" s="1">
        <f ca="1">P291*J291*(1+Growth!G$6)^(2010-K291)</f>
        <v>553</v>
      </c>
      <c r="P291" s="3">
        <v>553</v>
      </c>
      <c r="Q291" s="2">
        <f t="shared" si="148"/>
        <v>553</v>
      </c>
      <c r="R291" s="21">
        <f t="shared" ca="1" si="209"/>
        <v>305809</v>
      </c>
      <c r="X291" s="2">
        <f t="shared" si="214"/>
        <v>553</v>
      </c>
      <c r="AC291" s="1">
        <f t="shared" ref="AC291:AC338" si="222">SUM(AD291:AI291)</f>
        <v>6.1</v>
      </c>
      <c r="AD291" s="5">
        <v>0</v>
      </c>
      <c r="AE291" s="5">
        <v>0</v>
      </c>
      <c r="AF291" s="5">
        <v>1</v>
      </c>
      <c r="AG291" s="5">
        <v>1</v>
      </c>
      <c r="AH291" s="5">
        <v>1</v>
      </c>
      <c r="AI291" s="3">
        <f t="shared" si="201"/>
        <v>3.1</v>
      </c>
      <c r="AJ291" s="5">
        <f t="shared" si="219"/>
        <v>0</v>
      </c>
      <c r="AK291" s="5">
        <f t="shared" si="210"/>
        <v>0</v>
      </c>
      <c r="AL291" s="5">
        <f t="shared" si="211"/>
        <v>0</v>
      </c>
      <c r="AM291" s="5">
        <f t="shared" si="220"/>
        <v>0</v>
      </c>
      <c r="AN291" s="5">
        <f t="shared" si="212"/>
        <v>0</v>
      </c>
      <c r="AO291" s="5">
        <f t="shared" si="221"/>
        <v>1</v>
      </c>
      <c r="AP291" s="11" t="s">
        <v>42</v>
      </c>
      <c r="AQ291" s="1">
        <v>0</v>
      </c>
      <c r="AR291" s="5">
        <v>0</v>
      </c>
      <c r="AS291" s="5">
        <v>0</v>
      </c>
      <c r="AT291" s="5">
        <v>1</v>
      </c>
      <c r="AU291" s="5">
        <v>1</v>
      </c>
      <c r="AV291" s="5">
        <f t="shared" si="202"/>
        <v>0</v>
      </c>
      <c r="AW291" s="5">
        <f t="shared" si="203"/>
        <v>0</v>
      </c>
      <c r="AX291" s="5">
        <f t="shared" si="204"/>
        <v>1</v>
      </c>
      <c r="AY291" s="1">
        <f t="shared" ref="AY291" si="223">AJ291*$AD291*(1-$AV291)*(1-$AR291)</f>
        <v>0</v>
      </c>
      <c r="AZ291" s="1">
        <f t="shared" ref="AZ291" si="224">AM291*$AD291*(1-$AV291)*(1-$AR291)</f>
        <v>0</v>
      </c>
      <c r="BA291" s="1">
        <f t="shared" ref="BA291" si="225">AO291*$AD291*(1-$AV291)*(1-$AR291)</f>
        <v>0</v>
      </c>
      <c r="BB291" s="5">
        <v>0</v>
      </c>
      <c r="BC291" s="5">
        <v>0</v>
      </c>
      <c r="BD291" s="5">
        <v>1</v>
      </c>
      <c r="BE291" s="5">
        <f t="shared" ref="BE291" si="226">1-SUM(BB291:BD291)</f>
        <v>0</v>
      </c>
      <c r="BF291" s="5">
        <v>0</v>
      </c>
      <c r="BG291" s="5">
        <f t="shared" si="218"/>
        <v>0</v>
      </c>
      <c r="BH291" s="5">
        <f t="shared" si="218"/>
        <v>0</v>
      </c>
      <c r="BI291" s="5">
        <f t="shared" si="218"/>
        <v>0</v>
      </c>
      <c r="BJ291" s="5">
        <f t="shared" si="218"/>
        <v>0</v>
      </c>
      <c r="BK291" s="5">
        <f t="shared" si="218"/>
        <v>0</v>
      </c>
      <c r="BL291" s="5">
        <f t="shared" si="218"/>
        <v>0</v>
      </c>
      <c r="BM291" s="5">
        <f t="shared" si="218"/>
        <v>0</v>
      </c>
      <c r="BN291" s="5">
        <f t="shared" si="218"/>
        <v>0</v>
      </c>
      <c r="BO291" s="5">
        <f t="shared" si="216"/>
        <v>0</v>
      </c>
      <c r="BP291" s="5">
        <f t="shared" si="216"/>
        <v>0</v>
      </c>
      <c r="BQ291" s="5">
        <f t="shared" si="216"/>
        <v>0</v>
      </c>
      <c r="BR291" s="5">
        <f t="shared" si="216"/>
        <v>0</v>
      </c>
      <c r="BS291" s="5">
        <f t="shared" si="216"/>
        <v>0</v>
      </c>
      <c r="BT291" s="5">
        <f t="shared" si="216"/>
        <v>0</v>
      </c>
      <c r="BU291" s="5">
        <f t="shared" si="216"/>
        <v>0</v>
      </c>
      <c r="BV291" s="5">
        <f t="shared" si="216"/>
        <v>0</v>
      </c>
      <c r="BW291" s="5">
        <f t="shared" si="216"/>
        <v>0</v>
      </c>
      <c r="BX291" s="5">
        <f t="shared" si="216"/>
        <v>0</v>
      </c>
      <c r="BY291" s="5">
        <f t="shared" si="216"/>
        <v>0</v>
      </c>
      <c r="BZ291" s="5">
        <f t="shared" si="216"/>
        <v>0</v>
      </c>
      <c r="CA291" s="5">
        <f t="shared" si="216"/>
        <v>1</v>
      </c>
      <c r="CB291" s="5">
        <f t="shared" si="215"/>
        <v>0</v>
      </c>
      <c r="CC291" s="5">
        <f t="shared" si="215"/>
        <v>0</v>
      </c>
      <c r="CD291" s="5">
        <f t="shared" si="215"/>
        <v>0</v>
      </c>
      <c r="CE291" s="5">
        <f t="shared" si="215"/>
        <v>0</v>
      </c>
    </row>
    <row r="292" spans="1:83" x14ac:dyDescent="0.2">
      <c r="C292" s="1">
        <f>Growth!D297</f>
        <v>0</v>
      </c>
      <c r="D292" s="5" t="b">
        <f t="shared" si="207"/>
        <v>0</v>
      </c>
      <c r="E292" s="5">
        <v>2011</v>
      </c>
      <c r="F292" s="5">
        <f ca="1">LOOKUP($E292,frequence!$A$2:$A$35,frequence!L$2:L$35)</f>
        <v>33.053542446246631</v>
      </c>
      <c r="G292" s="5">
        <f ca="1">LOOKUP($E292,frequence!$A$2:$A$35,frequence!K$2:K$35)</f>
        <v>2.1388579511305732</v>
      </c>
      <c r="H292" s="5">
        <f ca="1">LOOKUP($E292,frequence!$A$2:$A$35,frequence!M$2:M$35)</f>
        <v>182.11948132765423</v>
      </c>
      <c r="I292" s="5">
        <v>2010</v>
      </c>
      <c r="J292" s="7">
        <f>LOOKUP(I292,CPI!A$69:A$103,CPI!O$69:O$103)</f>
        <v>1</v>
      </c>
      <c r="K292" s="5">
        <v>2010</v>
      </c>
      <c r="L292" s="7">
        <f t="shared" ca="1" si="208"/>
        <v>1</v>
      </c>
      <c r="M292" s="7">
        <f t="shared" si="200"/>
        <v>8.252164502164502E-3</v>
      </c>
      <c r="N292" s="14">
        <f>0.01/7.392</f>
        <v>1.3528138528138528E-3</v>
      </c>
      <c r="O292" s="1">
        <f ca="1">P292*J292*(1+Growth!G$6)^(2010-K292)</f>
        <v>536</v>
      </c>
      <c r="P292" s="3">
        <v>536</v>
      </c>
      <c r="Q292" s="2">
        <f t="shared" si="148"/>
        <v>536</v>
      </c>
      <c r="R292" s="21">
        <f t="shared" ca="1" si="209"/>
        <v>287296</v>
      </c>
      <c r="X292" s="2">
        <f t="shared" si="214"/>
        <v>536</v>
      </c>
      <c r="AC292" s="1">
        <f t="shared" si="222"/>
        <v>6.1</v>
      </c>
      <c r="AD292" s="5">
        <v>0</v>
      </c>
      <c r="AE292" s="5">
        <v>0</v>
      </c>
      <c r="AF292" s="5">
        <v>1</v>
      </c>
      <c r="AG292" s="5">
        <v>1</v>
      </c>
      <c r="AH292" s="5">
        <v>1</v>
      </c>
      <c r="AI292" s="3">
        <f t="shared" si="201"/>
        <v>3.1</v>
      </c>
      <c r="AJ292" s="5">
        <f t="shared" si="219"/>
        <v>0</v>
      </c>
      <c r="AK292" s="5">
        <f t="shared" si="210"/>
        <v>0</v>
      </c>
      <c r="AL292" s="5">
        <f t="shared" si="211"/>
        <v>0</v>
      </c>
      <c r="AM292" s="5">
        <f t="shared" si="220"/>
        <v>0</v>
      </c>
      <c r="AN292" s="5">
        <f t="shared" si="212"/>
        <v>0</v>
      </c>
      <c r="AO292" s="5">
        <f t="shared" si="221"/>
        <v>1</v>
      </c>
      <c r="AP292" s="11" t="s">
        <v>42</v>
      </c>
      <c r="AQ292" s="1">
        <v>0</v>
      </c>
      <c r="AR292" s="5">
        <v>0</v>
      </c>
      <c r="AS292" s="5">
        <v>0</v>
      </c>
      <c r="AT292" s="5">
        <v>1</v>
      </c>
      <c r="AU292" s="5">
        <v>1</v>
      </c>
      <c r="AV292" s="5">
        <f t="shared" si="202"/>
        <v>0</v>
      </c>
      <c r="AW292" s="5">
        <f t="shared" si="203"/>
        <v>0</v>
      </c>
      <c r="AX292" s="5">
        <f t="shared" si="204"/>
        <v>1</v>
      </c>
      <c r="AY292" s="1">
        <f t="shared" ref="AY292:AY338" si="227">AJ292*$AD292*(1-$AV292)*(1-$AR292)</f>
        <v>0</v>
      </c>
      <c r="AZ292" s="1">
        <f t="shared" ref="AZ292:AZ338" si="228">AM292*$AD292*(1-$AV292)*(1-$AR292)</f>
        <v>0</v>
      </c>
      <c r="BA292" s="1">
        <f t="shared" ref="BA292:BA338" si="229">AO292*$AD292*(1-$AV292)*(1-$AR292)</f>
        <v>0</v>
      </c>
      <c r="BB292" s="5">
        <v>0</v>
      </c>
      <c r="BC292" s="5">
        <v>0</v>
      </c>
      <c r="BD292" s="5">
        <v>1</v>
      </c>
      <c r="BE292" s="5">
        <f t="shared" ref="BE292:BE338" si="230">1-SUM(BB292:BD292)</f>
        <v>0</v>
      </c>
      <c r="BF292" s="5">
        <v>0</v>
      </c>
      <c r="BG292" s="5">
        <f t="shared" si="218"/>
        <v>0</v>
      </c>
      <c r="BH292" s="5">
        <f t="shared" si="218"/>
        <v>0</v>
      </c>
      <c r="BI292" s="5">
        <f t="shared" si="218"/>
        <v>0</v>
      </c>
      <c r="BJ292" s="5">
        <f t="shared" si="218"/>
        <v>0</v>
      </c>
      <c r="BK292" s="5">
        <f t="shared" si="218"/>
        <v>0</v>
      </c>
      <c r="BL292" s="5">
        <f t="shared" si="218"/>
        <v>0</v>
      </c>
      <c r="BM292" s="5">
        <f t="shared" si="218"/>
        <v>0</v>
      </c>
      <c r="BN292" s="5">
        <f t="shared" ref="BN292:CB307" si="231">IF($E292=BN$2,1,0)</f>
        <v>0</v>
      </c>
      <c r="BO292" s="5">
        <f t="shared" si="231"/>
        <v>0</v>
      </c>
      <c r="BP292" s="5">
        <f t="shared" si="231"/>
        <v>0</v>
      </c>
      <c r="BQ292" s="5">
        <f t="shared" si="231"/>
        <v>0</v>
      </c>
      <c r="BR292" s="5">
        <f t="shared" si="231"/>
        <v>0</v>
      </c>
      <c r="BS292" s="5">
        <f t="shared" si="231"/>
        <v>0</v>
      </c>
      <c r="BT292" s="5">
        <f t="shared" si="231"/>
        <v>0</v>
      </c>
      <c r="BU292" s="5">
        <f t="shared" si="231"/>
        <v>0</v>
      </c>
      <c r="BV292" s="5">
        <f t="shared" si="231"/>
        <v>0</v>
      </c>
      <c r="BW292" s="5">
        <f t="shared" si="231"/>
        <v>0</v>
      </c>
      <c r="BX292" s="5">
        <f t="shared" si="231"/>
        <v>0</v>
      </c>
      <c r="BY292" s="5">
        <f t="shared" si="231"/>
        <v>0</v>
      </c>
      <c r="BZ292" s="5">
        <f t="shared" si="231"/>
        <v>0</v>
      </c>
      <c r="CA292" s="5">
        <f t="shared" si="231"/>
        <v>1</v>
      </c>
      <c r="CB292" s="5">
        <f t="shared" si="215"/>
        <v>0</v>
      </c>
      <c r="CC292" s="5">
        <f t="shared" si="215"/>
        <v>0</v>
      </c>
      <c r="CD292" s="5">
        <f t="shared" si="215"/>
        <v>0</v>
      </c>
      <c r="CE292" s="5">
        <f t="shared" si="215"/>
        <v>0</v>
      </c>
    </row>
    <row r="293" spans="1:83" x14ac:dyDescent="0.2">
      <c r="C293" s="1">
        <f>Growth!D298</f>
        <v>0</v>
      </c>
      <c r="D293" s="5" t="b">
        <f t="shared" si="207"/>
        <v>0</v>
      </c>
      <c r="E293" s="5">
        <v>2011</v>
      </c>
      <c r="F293" s="5">
        <f ca="1">LOOKUP($E293,frequence!$A$2:$A$35,frequence!L$2:L$35)</f>
        <v>33.053542446246631</v>
      </c>
      <c r="G293" s="5">
        <f ca="1">LOOKUP($E293,frequence!$A$2:$A$35,frequence!K$2:K$35)</f>
        <v>2.1388579511305732</v>
      </c>
      <c r="H293" s="5">
        <f ca="1">LOOKUP($E293,frequence!$A$2:$A$35,frequence!M$2:M$35)</f>
        <v>182.11948132765423</v>
      </c>
      <c r="I293" s="5">
        <v>2010</v>
      </c>
      <c r="J293" s="7">
        <f>LOOKUP(I293,CPI!A$69:A$103,CPI!O$69:O$103)</f>
        <v>1</v>
      </c>
      <c r="K293" s="5">
        <v>2010</v>
      </c>
      <c r="L293" s="7">
        <f t="shared" ca="1" si="208"/>
        <v>1</v>
      </c>
      <c r="M293" s="7">
        <f t="shared" si="200"/>
        <v>8.252164502164501E-2</v>
      </c>
      <c r="N293" s="14">
        <f>0.1/7.392</f>
        <v>1.3528138528138528E-2</v>
      </c>
      <c r="O293" s="1">
        <f ca="1">P293*J293*(1+Growth!G$6)^(2010-K293)</f>
        <v>578</v>
      </c>
      <c r="P293" s="3">
        <v>578</v>
      </c>
      <c r="Q293" s="2">
        <f t="shared" si="148"/>
        <v>578</v>
      </c>
      <c r="R293" s="21">
        <f t="shared" ca="1" si="209"/>
        <v>334084</v>
      </c>
      <c r="X293" s="2">
        <f t="shared" si="214"/>
        <v>578</v>
      </c>
      <c r="AC293" s="1">
        <f t="shared" si="222"/>
        <v>6.1</v>
      </c>
      <c r="AD293" s="5">
        <v>0</v>
      </c>
      <c r="AE293" s="5">
        <v>0</v>
      </c>
      <c r="AF293" s="5">
        <v>1</v>
      </c>
      <c r="AG293" s="5">
        <v>1</v>
      </c>
      <c r="AH293" s="5">
        <v>1</v>
      </c>
      <c r="AI293" s="3">
        <f t="shared" si="201"/>
        <v>3.1</v>
      </c>
      <c r="AJ293" s="5">
        <f t="shared" si="219"/>
        <v>0</v>
      </c>
      <c r="AK293" s="5">
        <f t="shared" si="210"/>
        <v>0</v>
      </c>
      <c r="AL293" s="5">
        <f t="shared" si="211"/>
        <v>0</v>
      </c>
      <c r="AM293" s="5">
        <f t="shared" si="220"/>
        <v>0</v>
      </c>
      <c r="AN293" s="5">
        <f t="shared" si="212"/>
        <v>0</v>
      </c>
      <c r="AO293" s="5">
        <f t="shared" si="221"/>
        <v>1</v>
      </c>
      <c r="AP293" s="11" t="s">
        <v>42</v>
      </c>
      <c r="AQ293" s="1">
        <v>0</v>
      </c>
      <c r="AR293" s="5">
        <v>0</v>
      </c>
      <c r="AS293" s="5">
        <v>0</v>
      </c>
      <c r="AT293" s="5">
        <v>1</v>
      </c>
      <c r="AU293" s="5">
        <v>1</v>
      </c>
      <c r="AV293" s="5">
        <f t="shared" si="202"/>
        <v>0</v>
      </c>
      <c r="AW293" s="5">
        <f t="shared" si="203"/>
        <v>0</v>
      </c>
      <c r="AX293" s="5">
        <f t="shared" si="204"/>
        <v>1</v>
      </c>
      <c r="AY293" s="1">
        <f t="shared" si="227"/>
        <v>0</v>
      </c>
      <c r="AZ293" s="1">
        <f t="shared" si="228"/>
        <v>0</v>
      </c>
      <c r="BA293" s="1">
        <f t="shared" si="229"/>
        <v>0</v>
      </c>
      <c r="BB293" s="5">
        <v>0</v>
      </c>
      <c r="BC293" s="5">
        <v>0</v>
      </c>
      <c r="BD293" s="5">
        <v>1</v>
      </c>
      <c r="BE293" s="5">
        <f t="shared" si="230"/>
        <v>0</v>
      </c>
      <c r="BF293" s="5">
        <v>0</v>
      </c>
      <c r="BG293" s="5">
        <f t="shared" ref="BG293:BN308" si="232">IF($E293=BG$2,1,0)</f>
        <v>0</v>
      </c>
      <c r="BH293" s="5">
        <f t="shared" si="232"/>
        <v>0</v>
      </c>
      <c r="BI293" s="5">
        <f t="shared" si="232"/>
        <v>0</v>
      </c>
      <c r="BJ293" s="5">
        <f t="shared" si="232"/>
        <v>0</v>
      </c>
      <c r="BK293" s="5">
        <f t="shared" si="232"/>
        <v>0</v>
      </c>
      <c r="BL293" s="5">
        <f t="shared" si="232"/>
        <v>0</v>
      </c>
      <c r="BM293" s="5">
        <f t="shared" si="232"/>
        <v>0</v>
      </c>
      <c r="BN293" s="5">
        <f t="shared" si="231"/>
        <v>0</v>
      </c>
      <c r="BO293" s="5">
        <f t="shared" si="231"/>
        <v>0</v>
      </c>
      <c r="BP293" s="5">
        <f t="shared" si="231"/>
        <v>0</v>
      </c>
      <c r="BQ293" s="5">
        <f t="shared" si="231"/>
        <v>0</v>
      </c>
      <c r="BR293" s="5">
        <f t="shared" si="231"/>
        <v>0</v>
      </c>
      <c r="BS293" s="5">
        <f t="shared" si="231"/>
        <v>0</v>
      </c>
      <c r="BT293" s="5">
        <f t="shared" si="231"/>
        <v>0</v>
      </c>
      <c r="BU293" s="5">
        <f t="shared" si="231"/>
        <v>0</v>
      </c>
      <c r="BV293" s="5">
        <f t="shared" si="231"/>
        <v>0</v>
      </c>
      <c r="BW293" s="5">
        <f t="shared" si="231"/>
        <v>0</v>
      </c>
      <c r="BX293" s="5">
        <f t="shared" si="231"/>
        <v>0</v>
      </c>
      <c r="BY293" s="5">
        <f t="shared" si="231"/>
        <v>0</v>
      </c>
      <c r="BZ293" s="5">
        <f t="shared" si="231"/>
        <v>0</v>
      </c>
      <c r="CA293" s="5">
        <f t="shared" si="231"/>
        <v>1</v>
      </c>
      <c r="CB293" s="5">
        <f t="shared" si="215"/>
        <v>0</v>
      </c>
      <c r="CC293" s="5">
        <f t="shared" si="215"/>
        <v>0</v>
      </c>
      <c r="CD293" s="5">
        <f t="shared" si="215"/>
        <v>0</v>
      </c>
      <c r="CE293" s="5">
        <f t="shared" si="215"/>
        <v>0</v>
      </c>
    </row>
    <row r="294" spans="1:83" x14ac:dyDescent="0.2">
      <c r="C294" s="1">
        <f>Growth!D299</f>
        <v>0</v>
      </c>
      <c r="D294" s="5" t="b">
        <f t="shared" si="207"/>
        <v>0</v>
      </c>
      <c r="E294" s="5">
        <v>2011</v>
      </c>
      <c r="F294" s="5">
        <f ca="1">LOOKUP($E294,frequence!$A$2:$A$35,frequence!L$2:L$35)</f>
        <v>33.053542446246631</v>
      </c>
      <c r="G294" s="5">
        <f ca="1">LOOKUP($E294,frequence!$A$2:$A$35,frequence!K$2:K$35)</f>
        <v>2.1388579511305732</v>
      </c>
      <c r="H294" s="5">
        <f ca="1">LOOKUP($E294,frequence!$A$2:$A$35,frequence!M$2:M$35)</f>
        <v>182.11948132765423</v>
      </c>
      <c r="I294" s="5">
        <v>2010</v>
      </c>
      <c r="J294" s="7">
        <f>LOOKUP(I294,CPI!A$69:A$103,CPI!O$69:O$103)</f>
        <v>1</v>
      </c>
      <c r="K294" s="5">
        <v>2010</v>
      </c>
      <c r="L294" s="7">
        <f t="shared" ca="1" si="208"/>
        <v>1</v>
      </c>
      <c r="M294" s="7">
        <f t="shared" si="200"/>
        <v>8.252164502164502E-3</v>
      </c>
      <c r="N294" s="14">
        <f>0.01/7.392</f>
        <v>1.3528138528138528E-3</v>
      </c>
      <c r="O294" s="1">
        <f ca="1">P294*J294*(1+Growth!G$6)^(2010-K294)</f>
        <v>711</v>
      </c>
      <c r="P294" s="3">
        <v>711</v>
      </c>
      <c r="Q294" s="2">
        <f t="shared" si="148"/>
        <v>711</v>
      </c>
      <c r="R294" s="21">
        <f t="shared" ca="1" si="209"/>
        <v>505521</v>
      </c>
      <c r="X294" s="2">
        <f t="shared" si="214"/>
        <v>711</v>
      </c>
      <c r="AC294" s="1">
        <f t="shared" si="222"/>
        <v>6.1</v>
      </c>
      <c r="AD294" s="5">
        <v>0</v>
      </c>
      <c r="AE294" s="5">
        <v>0</v>
      </c>
      <c r="AF294" s="5">
        <v>1</v>
      </c>
      <c r="AG294" s="5">
        <v>1</v>
      </c>
      <c r="AH294" s="5">
        <v>1</v>
      </c>
      <c r="AI294" s="3">
        <f t="shared" si="201"/>
        <v>3.1</v>
      </c>
      <c r="AJ294" s="5">
        <f t="shared" si="219"/>
        <v>0</v>
      </c>
      <c r="AK294" s="5">
        <f t="shared" si="210"/>
        <v>0</v>
      </c>
      <c r="AL294" s="5">
        <f t="shared" si="211"/>
        <v>0</v>
      </c>
      <c r="AM294" s="5">
        <f t="shared" si="220"/>
        <v>0</v>
      </c>
      <c r="AN294" s="5">
        <f t="shared" si="212"/>
        <v>0</v>
      </c>
      <c r="AO294" s="5">
        <f t="shared" si="221"/>
        <v>1</v>
      </c>
      <c r="AP294" s="11" t="s">
        <v>42</v>
      </c>
      <c r="AQ294" s="1">
        <v>0</v>
      </c>
      <c r="AR294" s="5">
        <v>0</v>
      </c>
      <c r="AS294" s="5">
        <v>0</v>
      </c>
      <c r="AT294" s="5">
        <v>1</v>
      </c>
      <c r="AU294" s="5">
        <v>1</v>
      </c>
      <c r="AV294" s="5">
        <f t="shared" si="202"/>
        <v>0</v>
      </c>
      <c r="AW294" s="5">
        <f t="shared" si="203"/>
        <v>0</v>
      </c>
      <c r="AX294" s="5">
        <f t="shared" si="204"/>
        <v>1</v>
      </c>
      <c r="AY294" s="1">
        <f t="shared" si="227"/>
        <v>0</v>
      </c>
      <c r="AZ294" s="1">
        <f t="shared" si="228"/>
        <v>0</v>
      </c>
      <c r="BA294" s="1">
        <f t="shared" si="229"/>
        <v>0</v>
      </c>
      <c r="BB294" s="5">
        <v>0</v>
      </c>
      <c r="BC294" s="5">
        <v>0</v>
      </c>
      <c r="BD294" s="5">
        <v>1</v>
      </c>
      <c r="BE294" s="5">
        <f t="shared" si="230"/>
        <v>0</v>
      </c>
      <c r="BF294" s="5">
        <v>0</v>
      </c>
      <c r="BG294" s="5">
        <f t="shared" si="232"/>
        <v>0</v>
      </c>
      <c r="BH294" s="5">
        <f t="shared" si="232"/>
        <v>0</v>
      </c>
      <c r="BI294" s="5">
        <f t="shared" si="232"/>
        <v>0</v>
      </c>
      <c r="BJ294" s="5">
        <f t="shared" si="232"/>
        <v>0</v>
      </c>
      <c r="BK294" s="5">
        <f t="shared" si="232"/>
        <v>0</v>
      </c>
      <c r="BL294" s="5">
        <f t="shared" si="232"/>
        <v>0</v>
      </c>
      <c r="BM294" s="5">
        <f t="shared" si="232"/>
        <v>0</v>
      </c>
      <c r="BN294" s="5">
        <f t="shared" si="231"/>
        <v>0</v>
      </c>
      <c r="BO294" s="5">
        <f t="shared" si="231"/>
        <v>0</v>
      </c>
      <c r="BP294" s="5">
        <f t="shared" si="231"/>
        <v>0</v>
      </c>
      <c r="BQ294" s="5">
        <f t="shared" si="231"/>
        <v>0</v>
      </c>
      <c r="BR294" s="5">
        <f t="shared" si="231"/>
        <v>0</v>
      </c>
      <c r="BS294" s="5">
        <f t="shared" si="231"/>
        <v>0</v>
      </c>
      <c r="BT294" s="5">
        <f t="shared" si="231"/>
        <v>0</v>
      </c>
      <c r="BU294" s="5">
        <f t="shared" si="231"/>
        <v>0</v>
      </c>
      <c r="BV294" s="5">
        <f t="shared" si="231"/>
        <v>0</v>
      </c>
      <c r="BW294" s="5">
        <f t="shared" si="231"/>
        <v>0</v>
      </c>
      <c r="BX294" s="5">
        <f t="shared" si="231"/>
        <v>0</v>
      </c>
      <c r="BY294" s="5">
        <f t="shared" si="231"/>
        <v>0</v>
      </c>
      <c r="BZ294" s="5">
        <f t="shared" si="231"/>
        <v>0</v>
      </c>
      <c r="CA294" s="5">
        <f t="shared" si="231"/>
        <v>1</v>
      </c>
      <c r="CB294" s="5">
        <f t="shared" si="215"/>
        <v>0</v>
      </c>
      <c r="CC294" s="5">
        <f t="shared" si="215"/>
        <v>0</v>
      </c>
      <c r="CD294" s="5">
        <f t="shared" si="215"/>
        <v>0</v>
      </c>
      <c r="CE294" s="5">
        <f t="shared" si="215"/>
        <v>0</v>
      </c>
    </row>
    <row r="295" spans="1:83" x14ac:dyDescent="0.2">
      <c r="C295" s="1">
        <f>Growth!D300</f>
        <v>0</v>
      </c>
      <c r="D295" s="5" t="b">
        <f t="shared" si="207"/>
        <v>0</v>
      </c>
      <c r="E295" s="5">
        <v>2011</v>
      </c>
      <c r="F295" s="5">
        <f ca="1">LOOKUP($E295,frequence!$A$2:$A$35,frequence!L$2:L$35)</f>
        <v>33.053542446246631</v>
      </c>
      <c r="G295" s="5">
        <f ca="1">LOOKUP($E295,frequence!$A$2:$A$35,frequence!K$2:K$35)</f>
        <v>2.1388579511305732</v>
      </c>
      <c r="H295" s="5">
        <f ca="1">LOOKUP($E295,frequence!$A$2:$A$35,frequence!M$2:M$35)</f>
        <v>182.11948132765423</v>
      </c>
      <c r="I295" s="5">
        <v>2010</v>
      </c>
      <c r="J295" s="7">
        <f>LOOKUP(I295,CPI!A$69:A$103,CPI!O$69:O$103)</f>
        <v>1</v>
      </c>
      <c r="K295" s="5">
        <v>2010</v>
      </c>
      <c r="L295" s="7">
        <f t="shared" ca="1" si="208"/>
        <v>1</v>
      </c>
      <c r="M295" s="7">
        <f t="shared" si="200"/>
        <v>8.252164502164502E-4</v>
      </c>
      <c r="N295" s="14">
        <f>0.001/7.392</f>
        <v>1.3528138528138528E-4</v>
      </c>
      <c r="O295" s="1">
        <f ca="1">P295*J295*(1+Growth!G$6)^(2010-K295)</f>
        <v>1021</v>
      </c>
      <c r="P295" s="3">
        <v>1021</v>
      </c>
      <c r="Q295" s="2">
        <f t="shared" si="148"/>
        <v>1021</v>
      </c>
      <c r="R295" s="21">
        <f t="shared" ca="1" si="209"/>
        <v>1042441</v>
      </c>
      <c r="X295" s="2">
        <f t="shared" si="214"/>
        <v>1021</v>
      </c>
      <c r="AC295" s="1">
        <f t="shared" si="222"/>
        <v>6.1</v>
      </c>
      <c r="AD295" s="5">
        <v>0</v>
      </c>
      <c r="AE295" s="5">
        <v>0</v>
      </c>
      <c r="AF295" s="5">
        <v>1</v>
      </c>
      <c r="AG295" s="5">
        <v>1</v>
      </c>
      <c r="AH295" s="5">
        <v>1</v>
      </c>
      <c r="AI295" s="3">
        <f t="shared" si="201"/>
        <v>3.1</v>
      </c>
      <c r="AJ295" s="5">
        <f t="shared" si="219"/>
        <v>0</v>
      </c>
      <c r="AK295" s="5">
        <f t="shared" si="210"/>
        <v>0</v>
      </c>
      <c r="AL295" s="5">
        <f t="shared" si="211"/>
        <v>0</v>
      </c>
      <c r="AM295" s="5">
        <f t="shared" si="220"/>
        <v>0</v>
      </c>
      <c r="AN295" s="5">
        <f t="shared" si="212"/>
        <v>0</v>
      </c>
      <c r="AO295" s="5">
        <f t="shared" si="221"/>
        <v>1</v>
      </c>
      <c r="AP295" s="11" t="s">
        <v>42</v>
      </c>
      <c r="AQ295" s="1">
        <v>0</v>
      </c>
      <c r="AR295" s="5">
        <v>0</v>
      </c>
      <c r="AS295" s="5">
        <v>0</v>
      </c>
      <c r="AT295" s="5">
        <v>1</v>
      </c>
      <c r="AU295" s="5">
        <v>1</v>
      </c>
      <c r="AV295" s="5">
        <f t="shared" si="202"/>
        <v>0</v>
      </c>
      <c r="AW295" s="5">
        <f t="shared" si="203"/>
        <v>0</v>
      </c>
      <c r="AX295" s="5">
        <f t="shared" si="204"/>
        <v>1</v>
      </c>
      <c r="AY295" s="1">
        <f t="shared" si="227"/>
        <v>0</v>
      </c>
      <c r="AZ295" s="1">
        <f t="shared" si="228"/>
        <v>0</v>
      </c>
      <c r="BA295" s="1">
        <f t="shared" si="229"/>
        <v>0</v>
      </c>
      <c r="BB295" s="5">
        <v>0</v>
      </c>
      <c r="BC295" s="5">
        <v>0</v>
      </c>
      <c r="BD295" s="5">
        <v>1</v>
      </c>
      <c r="BE295" s="5">
        <f t="shared" si="230"/>
        <v>0</v>
      </c>
      <c r="BF295" s="5">
        <v>0</v>
      </c>
      <c r="BG295" s="5">
        <f t="shared" si="232"/>
        <v>0</v>
      </c>
      <c r="BH295" s="5">
        <f t="shared" si="232"/>
        <v>0</v>
      </c>
      <c r="BI295" s="5">
        <f t="shared" si="232"/>
        <v>0</v>
      </c>
      <c r="BJ295" s="5">
        <f t="shared" si="232"/>
        <v>0</v>
      </c>
      <c r="BK295" s="5">
        <f t="shared" si="232"/>
        <v>0</v>
      </c>
      <c r="BL295" s="5">
        <f t="shared" si="232"/>
        <v>0</v>
      </c>
      <c r="BM295" s="5">
        <f t="shared" si="232"/>
        <v>0</v>
      </c>
      <c r="BN295" s="5">
        <f t="shared" si="231"/>
        <v>0</v>
      </c>
      <c r="BO295" s="5">
        <f t="shared" si="231"/>
        <v>0</v>
      </c>
      <c r="BP295" s="5">
        <f t="shared" si="231"/>
        <v>0</v>
      </c>
      <c r="BQ295" s="5">
        <f t="shared" si="231"/>
        <v>0</v>
      </c>
      <c r="BR295" s="5">
        <f t="shared" si="231"/>
        <v>0</v>
      </c>
      <c r="BS295" s="5">
        <f t="shared" si="231"/>
        <v>0</v>
      </c>
      <c r="BT295" s="5">
        <f t="shared" si="231"/>
        <v>0</v>
      </c>
      <c r="BU295" s="5">
        <f t="shared" si="231"/>
        <v>0</v>
      </c>
      <c r="BV295" s="5">
        <f t="shared" si="231"/>
        <v>0</v>
      </c>
      <c r="BW295" s="5">
        <f t="shared" si="231"/>
        <v>0</v>
      </c>
      <c r="BX295" s="5">
        <f t="shared" si="231"/>
        <v>0</v>
      </c>
      <c r="BY295" s="5">
        <f t="shared" si="231"/>
        <v>0</v>
      </c>
      <c r="BZ295" s="5">
        <f t="shared" si="231"/>
        <v>0</v>
      </c>
      <c r="CA295" s="5">
        <f t="shared" si="231"/>
        <v>1</v>
      </c>
      <c r="CB295" s="5">
        <f t="shared" si="231"/>
        <v>0</v>
      </c>
      <c r="CC295" s="5">
        <f t="shared" ref="CC295:CE314" si="233">IF($E295=CC$2,1,0)</f>
        <v>0</v>
      </c>
      <c r="CD295" s="5">
        <f t="shared" si="233"/>
        <v>0</v>
      </c>
      <c r="CE295" s="5">
        <f t="shared" si="233"/>
        <v>0</v>
      </c>
    </row>
    <row r="296" spans="1:83" x14ac:dyDescent="0.2">
      <c r="C296" s="1">
        <f>Growth!D301</f>
        <v>0</v>
      </c>
      <c r="D296" s="5" t="b">
        <f t="shared" si="207"/>
        <v>0</v>
      </c>
      <c r="E296" s="5">
        <v>2011</v>
      </c>
      <c r="F296" s="5">
        <f ca="1">LOOKUP($E296,frequence!$A$2:$A$35,frequence!L$2:L$35)</f>
        <v>33.053542446246631</v>
      </c>
      <c r="G296" s="5">
        <f ca="1">LOOKUP($E296,frequence!$A$2:$A$35,frequence!K$2:K$35)</f>
        <v>2.1388579511305732</v>
      </c>
      <c r="H296" s="5">
        <f ca="1">LOOKUP($E296,frequence!$A$2:$A$35,frequence!M$2:M$35)</f>
        <v>182.11948132765423</v>
      </c>
      <c r="I296" s="5">
        <v>2010</v>
      </c>
      <c r="J296" s="7">
        <f>LOOKUP(I296,CPI!A$69:A$103,CPI!O$69:O$103)</f>
        <v>1</v>
      </c>
      <c r="K296" s="5">
        <v>2010</v>
      </c>
      <c r="L296" s="7">
        <f t="shared" ca="1" si="208"/>
        <v>1</v>
      </c>
      <c r="M296" s="7">
        <f t="shared" si="200"/>
        <v>8.252164502164501E-2</v>
      </c>
      <c r="N296" s="14">
        <f>0.1/7.392</f>
        <v>1.3528138528138528E-2</v>
      </c>
      <c r="O296" s="1">
        <f ca="1">P296*J296*(1+Growth!G$6)^(2010-K296)</f>
        <v>831</v>
      </c>
      <c r="P296" s="3">
        <v>831</v>
      </c>
      <c r="Q296" s="2">
        <f t="shared" si="148"/>
        <v>831</v>
      </c>
      <c r="R296" s="21">
        <f t="shared" ca="1" si="209"/>
        <v>690561</v>
      </c>
      <c r="X296" s="2">
        <f t="shared" si="214"/>
        <v>831</v>
      </c>
      <c r="AC296" s="1">
        <f t="shared" si="222"/>
        <v>6.1</v>
      </c>
      <c r="AD296" s="5">
        <v>0</v>
      </c>
      <c r="AE296" s="5">
        <v>0</v>
      </c>
      <c r="AF296" s="5">
        <v>1</v>
      </c>
      <c r="AG296" s="5">
        <v>1</v>
      </c>
      <c r="AH296" s="5">
        <v>1</v>
      </c>
      <c r="AI296" s="3">
        <f t="shared" si="201"/>
        <v>3.1</v>
      </c>
      <c r="AJ296" s="5">
        <f t="shared" si="219"/>
        <v>0</v>
      </c>
      <c r="AK296" s="5">
        <f t="shared" si="210"/>
        <v>0</v>
      </c>
      <c r="AL296" s="5">
        <f t="shared" si="211"/>
        <v>0</v>
      </c>
      <c r="AM296" s="5">
        <f t="shared" si="220"/>
        <v>0</v>
      </c>
      <c r="AN296" s="5">
        <f t="shared" si="212"/>
        <v>0</v>
      </c>
      <c r="AO296" s="5">
        <f t="shared" si="221"/>
        <v>1</v>
      </c>
      <c r="AP296" s="11" t="s">
        <v>42</v>
      </c>
      <c r="AQ296" s="1">
        <v>0</v>
      </c>
      <c r="AR296" s="5">
        <v>0</v>
      </c>
      <c r="AS296" s="5">
        <v>0</v>
      </c>
      <c r="AT296" s="5">
        <v>1</v>
      </c>
      <c r="AU296" s="5">
        <v>1</v>
      </c>
      <c r="AV296" s="5">
        <f t="shared" si="202"/>
        <v>0</v>
      </c>
      <c r="AW296" s="5">
        <f t="shared" si="203"/>
        <v>0</v>
      </c>
      <c r="AX296" s="5">
        <f t="shared" si="204"/>
        <v>1</v>
      </c>
      <c r="AY296" s="1">
        <f t="shared" si="227"/>
        <v>0</v>
      </c>
      <c r="AZ296" s="1">
        <f t="shared" si="228"/>
        <v>0</v>
      </c>
      <c r="BA296" s="1">
        <f t="shared" si="229"/>
        <v>0</v>
      </c>
      <c r="BB296" s="5">
        <v>0</v>
      </c>
      <c r="BC296" s="5">
        <v>0</v>
      </c>
      <c r="BD296" s="5">
        <v>1</v>
      </c>
      <c r="BE296" s="5">
        <f t="shared" si="230"/>
        <v>0</v>
      </c>
      <c r="BF296" s="5">
        <v>0</v>
      </c>
      <c r="BG296" s="5">
        <f t="shared" si="232"/>
        <v>0</v>
      </c>
      <c r="BH296" s="5">
        <f t="shared" si="232"/>
        <v>0</v>
      </c>
      <c r="BI296" s="5">
        <f t="shared" si="232"/>
        <v>0</v>
      </c>
      <c r="BJ296" s="5">
        <f t="shared" si="232"/>
        <v>0</v>
      </c>
      <c r="BK296" s="5">
        <f t="shared" si="232"/>
        <v>0</v>
      </c>
      <c r="BL296" s="5">
        <f t="shared" si="232"/>
        <v>0</v>
      </c>
      <c r="BM296" s="5">
        <f t="shared" si="232"/>
        <v>0</v>
      </c>
      <c r="BN296" s="5">
        <f t="shared" si="231"/>
        <v>0</v>
      </c>
      <c r="BO296" s="5">
        <f t="shared" si="231"/>
        <v>0</v>
      </c>
      <c r="BP296" s="5">
        <f t="shared" si="231"/>
        <v>0</v>
      </c>
      <c r="BQ296" s="5">
        <f t="shared" si="231"/>
        <v>0</v>
      </c>
      <c r="BR296" s="5">
        <f t="shared" si="231"/>
        <v>0</v>
      </c>
      <c r="BS296" s="5">
        <f t="shared" si="231"/>
        <v>0</v>
      </c>
      <c r="BT296" s="5">
        <f t="shared" si="231"/>
        <v>0</v>
      </c>
      <c r="BU296" s="5">
        <f t="shared" si="231"/>
        <v>0</v>
      </c>
      <c r="BV296" s="5">
        <f t="shared" si="231"/>
        <v>0</v>
      </c>
      <c r="BW296" s="5">
        <f t="shared" si="231"/>
        <v>0</v>
      </c>
      <c r="BX296" s="5">
        <f t="shared" si="231"/>
        <v>0</v>
      </c>
      <c r="BY296" s="5">
        <f t="shared" si="231"/>
        <v>0</v>
      </c>
      <c r="BZ296" s="5">
        <f t="shared" si="231"/>
        <v>0</v>
      </c>
      <c r="CA296" s="5">
        <f t="shared" si="231"/>
        <v>1</v>
      </c>
      <c r="CB296" s="5">
        <f t="shared" si="231"/>
        <v>0</v>
      </c>
      <c r="CC296" s="5">
        <f t="shared" si="233"/>
        <v>0</v>
      </c>
      <c r="CD296" s="5">
        <f t="shared" si="233"/>
        <v>0</v>
      </c>
      <c r="CE296" s="5">
        <f t="shared" si="233"/>
        <v>0</v>
      </c>
    </row>
    <row r="297" spans="1:83" x14ac:dyDescent="0.2">
      <c r="C297" s="1">
        <f>Growth!D302</f>
        <v>0</v>
      </c>
      <c r="D297" s="5" t="b">
        <f t="shared" si="207"/>
        <v>0</v>
      </c>
      <c r="E297" s="5">
        <v>2011</v>
      </c>
      <c r="F297" s="5">
        <f ca="1">LOOKUP($E297,frequence!$A$2:$A$35,frequence!L$2:L$35)</f>
        <v>33.053542446246631</v>
      </c>
      <c r="G297" s="5">
        <f ca="1">LOOKUP($E297,frequence!$A$2:$A$35,frequence!K$2:K$35)</f>
        <v>2.1388579511305732</v>
      </c>
      <c r="H297" s="5">
        <f ca="1">LOOKUP($E297,frequence!$A$2:$A$35,frequence!M$2:M$35)</f>
        <v>182.11948132765423</v>
      </c>
      <c r="I297" s="5">
        <v>2010</v>
      </c>
      <c r="J297" s="7">
        <f>LOOKUP(I297,CPI!A$69:A$103,CPI!O$69:O$103)</f>
        <v>1</v>
      </c>
      <c r="K297" s="5">
        <v>2010</v>
      </c>
      <c r="L297" s="7">
        <f t="shared" ca="1" si="208"/>
        <v>0.92784860034170058</v>
      </c>
      <c r="M297" s="7">
        <f t="shared" si="200"/>
        <v>8.252164502164502E-3</v>
      </c>
      <c r="N297" s="14">
        <f>0.01/7.392</f>
        <v>1.3528138528138528E-3</v>
      </c>
      <c r="O297" s="1">
        <f ca="1">P297*J297*(1+Growth!G$6)^(2010-K297)</f>
        <v>1608</v>
      </c>
      <c r="P297" s="3">
        <v>1608</v>
      </c>
      <c r="Q297" s="2">
        <f t="shared" si="148"/>
        <v>1608</v>
      </c>
      <c r="R297" s="21">
        <f t="shared" ca="1" si="209"/>
        <v>2585664</v>
      </c>
      <c r="X297" s="2">
        <f t="shared" si="214"/>
        <v>1608</v>
      </c>
      <c r="AC297" s="1">
        <f t="shared" si="222"/>
        <v>6.1</v>
      </c>
      <c r="AD297" s="5">
        <v>0</v>
      </c>
      <c r="AE297" s="5">
        <v>0</v>
      </c>
      <c r="AF297" s="5">
        <v>1</v>
      </c>
      <c r="AG297" s="5">
        <v>1</v>
      </c>
      <c r="AH297" s="5">
        <v>1</v>
      </c>
      <c r="AI297" s="3">
        <f t="shared" si="201"/>
        <v>3.1</v>
      </c>
      <c r="AJ297" s="5">
        <f t="shared" si="219"/>
        <v>0</v>
      </c>
      <c r="AK297" s="5">
        <f t="shared" si="210"/>
        <v>0</v>
      </c>
      <c r="AL297" s="5">
        <f t="shared" si="211"/>
        <v>0</v>
      </c>
      <c r="AM297" s="5">
        <f t="shared" si="220"/>
        <v>0</v>
      </c>
      <c r="AN297" s="5">
        <f t="shared" si="212"/>
        <v>0</v>
      </c>
      <c r="AO297" s="5">
        <f t="shared" si="221"/>
        <v>1</v>
      </c>
      <c r="AP297" s="11" t="s">
        <v>42</v>
      </c>
      <c r="AQ297" s="1">
        <v>0</v>
      </c>
      <c r="AR297" s="5">
        <v>0</v>
      </c>
      <c r="AS297" s="5">
        <v>0</v>
      </c>
      <c r="AT297" s="5">
        <v>1</v>
      </c>
      <c r="AU297" s="5">
        <v>1</v>
      </c>
      <c r="AV297" s="5">
        <f t="shared" si="202"/>
        <v>0</v>
      </c>
      <c r="AW297" s="5">
        <f t="shared" si="203"/>
        <v>0</v>
      </c>
      <c r="AX297" s="5">
        <f t="shared" si="204"/>
        <v>1</v>
      </c>
      <c r="AY297" s="1">
        <f t="shared" si="227"/>
        <v>0</v>
      </c>
      <c r="AZ297" s="1">
        <f t="shared" si="228"/>
        <v>0</v>
      </c>
      <c r="BA297" s="1">
        <f t="shared" si="229"/>
        <v>0</v>
      </c>
      <c r="BB297" s="5">
        <v>0</v>
      </c>
      <c r="BC297" s="5">
        <v>0</v>
      </c>
      <c r="BD297" s="5">
        <v>1</v>
      </c>
      <c r="BE297" s="5">
        <f t="shared" si="230"/>
        <v>0</v>
      </c>
      <c r="BF297" s="5">
        <v>0</v>
      </c>
      <c r="BG297" s="5">
        <f t="shared" si="232"/>
        <v>0</v>
      </c>
      <c r="BH297" s="5">
        <f t="shared" si="232"/>
        <v>0</v>
      </c>
      <c r="BI297" s="5">
        <f t="shared" si="232"/>
        <v>0</v>
      </c>
      <c r="BJ297" s="5">
        <f t="shared" si="232"/>
        <v>0</v>
      </c>
      <c r="BK297" s="5">
        <f t="shared" si="232"/>
        <v>0</v>
      </c>
      <c r="BL297" s="5">
        <f t="shared" si="232"/>
        <v>0</v>
      </c>
      <c r="BM297" s="5">
        <f t="shared" si="232"/>
        <v>0</v>
      </c>
      <c r="BN297" s="5">
        <f t="shared" si="231"/>
        <v>0</v>
      </c>
      <c r="BO297" s="5">
        <f t="shared" si="231"/>
        <v>0</v>
      </c>
      <c r="BP297" s="5">
        <f t="shared" si="231"/>
        <v>0</v>
      </c>
      <c r="BQ297" s="5">
        <f t="shared" si="231"/>
        <v>0</v>
      </c>
      <c r="BR297" s="5">
        <f t="shared" si="231"/>
        <v>0</v>
      </c>
      <c r="BS297" s="5">
        <f t="shared" si="231"/>
        <v>0</v>
      </c>
      <c r="BT297" s="5">
        <f t="shared" si="231"/>
        <v>0</v>
      </c>
      <c r="BU297" s="5">
        <f t="shared" si="231"/>
        <v>0</v>
      </c>
      <c r="BV297" s="5">
        <f t="shared" si="231"/>
        <v>0</v>
      </c>
      <c r="BW297" s="5">
        <f t="shared" si="231"/>
        <v>0</v>
      </c>
      <c r="BX297" s="5">
        <f t="shared" si="231"/>
        <v>0</v>
      </c>
      <c r="BY297" s="5">
        <f t="shared" si="231"/>
        <v>0</v>
      </c>
      <c r="BZ297" s="5">
        <f t="shared" si="231"/>
        <v>0</v>
      </c>
      <c r="CA297" s="5">
        <f t="shared" si="231"/>
        <v>1</v>
      </c>
      <c r="CB297" s="5">
        <f t="shared" si="231"/>
        <v>0</v>
      </c>
      <c r="CC297" s="5">
        <f t="shared" si="233"/>
        <v>0</v>
      </c>
      <c r="CD297" s="5">
        <f t="shared" si="233"/>
        <v>0</v>
      </c>
      <c r="CE297" s="5">
        <f t="shared" si="233"/>
        <v>0</v>
      </c>
    </row>
    <row r="298" spans="1:83" x14ac:dyDescent="0.2">
      <c r="C298" s="1">
        <f>Growth!D303</f>
        <v>0</v>
      </c>
      <c r="D298" s="5" t="b">
        <f t="shared" si="207"/>
        <v>0</v>
      </c>
      <c r="E298" s="5">
        <v>2011</v>
      </c>
      <c r="F298" s="5">
        <f ca="1">LOOKUP($E298,frequence!$A$2:$A$35,frequence!L$2:L$35)</f>
        <v>33.053542446246631</v>
      </c>
      <c r="G298" s="5">
        <f ca="1">LOOKUP($E298,frequence!$A$2:$A$35,frequence!K$2:K$35)</f>
        <v>2.1388579511305732</v>
      </c>
      <c r="H298" s="5">
        <f ca="1">LOOKUP($E298,frequence!$A$2:$A$35,frequence!M$2:M$35)</f>
        <v>182.11948132765423</v>
      </c>
      <c r="I298" s="5">
        <v>2010</v>
      </c>
      <c r="J298" s="7">
        <f>LOOKUP(I298,CPI!A$69:A$103,CPI!O$69:O$103)</f>
        <v>1</v>
      </c>
      <c r="K298" s="5">
        <v>2010</v>
      </c>
      <c r="L298" s="7">
        <f t="shared" ca="1" si="208"/>
        <v>0.88594775536709625</v>
      </c>
      <c r="M298" s="7">
        <f t="shared" si="200"/>
        <v>8.252164502164502E-4</v>
      </c>
      <c r="N298" s="14">
        <f>0.001/7.392</f>
        <v>1.3528138528138528E-4</v>
      </c>
      <c r="O298" s="1">
        <f ca="1">P298*J298*(1+Growth!G$6)^(2010-K298)</f>
        <v>1879</v>
      </c>
      <c r="P298" s="3">
        <v>1879</v>
      </c>
      <c r="Q298" s="2">
        <f t="shared" si="148"/>
        <v>1879</v>
      </c>
      <c r="R298" s="21">
        <f t="shared" ca="1" si="209"/>
        <v>3530641</v>
      </c>
      <c r="X298" s="2">
        <f t="shared" si="214"/>
        <v>1879</v>
      </c>
      <c r="AC298" s="1">
        <f t="shared" si="222"/>
        <v>6.1</v>
      </c>
      <c r="AD298" s="5">
        <v>0</v>
      </c>
      <c r="AE298" s="5">
        <v>0</v>
      </c>
      <c r="AF298" s="5">
        <v>1</v>
      </c>
      <c r="AG298" s="5">
        <v>1</v>
      </c>
      <c r="AH298" s="5">
        <v>1</v>
      </c>
      <c r="AI298" s="3">
        <f t="shared" si="201"/>
        <v>3.1</v>
      </c>
      <c r="AJ298" s="5">
        <f t="shared" si="219"/>
        <v>0</v>
      </c>
      <c r="AK298" s="5">
        <f t="shared" si="210"/>
        <v>0</v>
      </c>
      <c r="AL298" s="5">
        <f t="shared" si="211"/>
        <v>0</v>
      </c>
      <c r="AM298" s="5">
        <f t="shared" si="220"/>
        <v>0</v>
      </c>
      <c r="AN298" s="5">
        <f t="shared" si="212"/>
        <v>0</v>
      </c>
      <c r="AO298" s="5">
        <f t="shared" si="221"/>
        <v>1</v>
      </c>
      <c r="AP298" s="11" t="s">
        <v>42</v>
      </c>
      <c r="AQ298" s="1">
        <v>0</v>
      </c>
      <c r="AR298" s="5">
        <v>0</v>
      </c>
      <c r="AS298" s="5">
        <v>0</v>
      </c>
      <c r="AT298" s="5">
        <v>1</v>
      </c>
      <c r="AU298" s="5">
        <v>1</v>
      </c>
      <c r="AV298" s="5">
        <f t="shared" si="202"/>
        <v>0</v>
      </c>
      <c r="AW298" s="5">
        <f t="shared" si="203"/>
        <v>0</v>
      </c>
      <c r="AX298" s="5">
        <f t="shared" si="204"/>
        <v>1</v>
      </c>
      <c r="AY298" s="1">
        <f t="shared" si="227"/>
        <v>0</v>
      </c>
      <c r="AZ298" s="1">
        <f t="shared" si="228"/>
        <v>0</v>
      </c>
      <c r="BA298" s="1">
        <f t="shared" si="229"/>
        <v>0</v>
      </c>
      <c r="BB298" s="5">
        <v>0</v>
      </c>
      <c r="BC298" s="5">
        <v>0</v>
      </c>
      <c r="BD298" s="5">
        <v>1</v>
      </c>
      <c r="BE298" s="5">
        <f t="shared" si="230"/>
        <v>0</v>
      </c>
      <c r="BF298" s="5">
        <v>0</v>
      </c>
      <c r="BG298" s="5">
        <f t="shared" si="232"/>
        <v>0</v>
      </c>
      <c r="BH298" s="5">
        <f t="shared" si="232"/>
        <v>0</v>
      </c>
      <c r="BI298" s="5">
        <f t="shared" si="232"/>
        <v>0</v>
      </c>
      <c r="BJ298" s="5">
        <f t="shared" si="232"/>
        <v>0</v>
      </c>
      <c r="BK298" s="5">
        <f t="shared" si="232"/>
        <v>0</v>
      </c>
      <c r="BL298" s="5">
        <f t="shared" si="232"/>
        <v>0</v>
      </c>
      <c r="BM298" s="5">
        <f t="shared" si="232"/>
        <v>0</v>
      </c>
      <c r="BN298" s="5">
        <f t="shared" si="231"/>
        <v>0</v>
      </c>
      <c r="BO298" s="5">
        <f t="shared" si="231"/>
        <v>0</v>
      </c>
      <c r="BP298" s="5">
        <f t="shared" si="231"/>
        <v>0</v>
      </c>
      <c r="BQ298" s="5">
        <f t="shared" si="231"/>
        <v>0</v>
      </c>
      <c r="BR298" s="5">
        <f t="shared" si="231"/>
        <v>0</v>
      </c>
      <c r="BS298" s="5">
        <f t="shared" si="231"/>
        <v>0</v>
      </c>
      <c r="BT298" s="5">
        <f t="shared" si="231"/>
        <v>0</v>
      </c>
      <c r="BU298" s="5">
        <f t="shared" si="231"/>
        <v>0</v>
      </c>
      <c r="BV298" s="5">
        <f t="shared" si="231"/>
        <v>0</v>
      </c>
      <c r="BW298" s="5">
        <f t="shared" si="231"/>
        <v>0</v>
      </c>
      <c r="BX298" s="5">
        <f t="shared" si="231"/>
        <v>0</v>
      </c>
      <c r="BY298" s="5">
        <f t="shared" si="231"/>
        <v>0</v>
      </c>
      <c r="BZ298" s="5">
        <f t="shared" si="231"/>
        <v>0</v>
      </c>
      <c r="CA298" s="5">
        <f t="shared" si="231"/>
        <v>1</v>
      </c>
      <c r="CB298" s="5">
        <f t="shared" si="231"/>
        <v>0</v>
      </c>
      <c r="CC298" s="5">
        <f t="shared" si="233"/>
        <v>0</v>
      </c>
      <c r="CD298" s="5">
        <f t="shared" si="233"/>
        <v>0</v>
      </c>
      <c r="CE298" s="5">
        <f t="shared" si="233"/>
        <v>0</v>
      </c>
    </row>
    <row r="299" spans="1:83" x14ac:dyDescent="0.2">
      <c r="C299" s="1">
        <f>Growth!D304</f>
        <v>0</v>
      </c>
      <c r="D299" s="5" t="b">
        <f t="shared" si="207"/>
        <v>0</v>
      </c>
      <c r="E299" s="5">
        <v>2011</v>
      </c>
      <c r="F299" s="5">
        <f ca="1">LOOKUP($E299,frequence!$A$2:$A$35,frequence!L$2:L$35)</f>
        <v>33.053542446246631</v>
      </c>
      <c r="G299" s="5">
        <f ca="1">LOOKUP($E299,frequence!$A$2:$A$35,frequence!K$2:K$35)</f>
        <v>2.1388579511305732</v>
      </c>
      <c r="H299" s="5">
        <f ca="1">LOOKUP($E299,frequence!$A$2:$A$35,frequence!M$2:M$35)</f>
        <v>182.11948132765423</v>
      </c>
      <c r="I299" s="5">
        <v>2010</v>
      </c>
      <c r="J299" s="7">
        <f>LOOKUP(I299,CPI!A$69:A$103,CPI!O$69:O$103)</f>
        <v>1</v>
      </c>
      <c r="K299" s="5">
        <v>2010</v>
      </c>
      <c r="L299" s="7">
        <f t="shared" ca="1" si="208"/>
        <v>1</v>
      </c>
      <c r="M299" s="7">
        <f t="shared" si="200"/>
        <v>0.82521645021645018</v>
      </c>
      <c r="N299" s="14">
        <f>1/7.392</f>
        <v>0.13528138528138528</v>
      </c>
      <c r="O299" s="1">
        <f ca="1">P299*J299*(1+Growth!G$6)^(2010-K299)</f>
        <v>359</v>
      </c>
      <c r="P299" s="3">
        <v>359</v>
      </c>
      <c r="Q299" s="2">
        <f t="shared" si="148"/>
        <v>359</v>
      </c>
      <c r="R299" s="21">
        <f t="shared" ca="1" si="209"/>
        <v>128881</v>
      </c>
      <c r="X299" s="2">
        <f t="shared" si="214"/>
        <v>359</v>
      </c>
      <c r="AC299" s="1">
        <f t="shared" si="222"/>
        <v>6.1</v>
      </c>
      <c r="AD299" s="5">
        <v>0</v>
      </c>
      <c r="AE299" s="5">
        <v>0</v>
      </c>
      <c r="AF299" s="5">
        <v>1</v>
      </c>
      <c r="AG299" s="5">
        <v>1</v>
      </c>
      <c r="AH299" s="5">
        <v>1</v>
      </c>
      <c r="AI299" s="3">
        <f t="shared" si="201"/>
        <v>3.1</v>
      </c>
      <c r="AJ299" s="5">
        <f t="shared" si="219"/>
        <v>0</v>
      </c>
      <c r="AK299" s="5">
        <f t="shared" si="210"/>
        <v>0</v>
      </c>
      <c r="AL299" s="5">
        <f t="shared" si="211"/>
        <v>0</v>
      </c>
      <c r="AM299" s="5">
        <f t="shared" si="220"/>
        <v>0</v>
      </c>
      <c r="AN299" s="5">
        <f t="shared" si="212"/>
        <v>0</v>
      </c>
      <c r="AO299" s="5">
        <f t="shared" si="221"/>
        <v>1</v>
      </c>
      <c r="AP299" s="11" t="s">
        <v>42</v>
      </c>
      <c r="AQ299" s="1">
        <v>0</v>
      </c>
      <c r="AR299" s="5">
        <v>0</v>
      </c>
      <c r="AS299" s="5">
        <v>0</v>
      </c>
      <c r="AT299" s="5">
        <v>0</v>
      </c>
      <c r="AU299" s="5">
        <v>1</v>
      </c>
      <c r="AV299" s="5">
        <f t="shared" si="202"/>
        <v>0</v>
      </c>
      <c r="AW299" s="5">
        <f t="shared" si="203"/>
        <v>0</v>
      </c>
      <c r="AX299" s="5">
        <f t="shared" si="204"/>
        <v>1</v>
      </c>
      <c r="AY299" s="1">
        <f t="shared" si="227"/>
        <v>0</v>
      </c>
      <c r="AZ299" s="1">
        <f t="shared" si="228"/>
        <v>0</v>
      </c>
      <c r="BA299" s="1">
        <f t="shared" si="229"/>
        <v>0</v>
      </c>
      <c r="BB299" s="5">
        <v>0</v>
      </c>
      <c r="BC299" s="5">
        <v>0</v>
      </c>
      <c r="BD299" s="5">
        <v>1</v>
      </c>
      <c r="BE299" s="5">
        <f t="shared" si="230"/>
        <v>0</v>
      </c>
      <c r="BF299" s="5">
        <v>0</v>
      </c>
      <c r="BG299" s="5">
        <f t="shared" si="232"/>
        <v>0</v>
      </c>
      <c r="BH299" s="5">
        <f t="shared" si="232"/>
        <v>0</v>
      </c>
      <c r="BI299" s="5">
        <f t="shared" si="232"/>
        <v>0</v>
      </c>
      <c r="BJ299" s="5">
        <f t="shared" si="232"/>
        <v>0</v>
      </c>
      <c r="BK299" s="5">
        <f t="shared" si="232"/>
        <v>0</v>
      </c>
      <c r="BL299" s="5">
        <f t="shared" si="232"/>
        <v>0</v>
      </c>
      <c r="BM299" s="5">
        <f t="shared" si="232"/>
        <v>0</v>
      </c>
      <c r="BN299" s="5">
        <f t="shared" si="231"/>
        <v>0</v>
      </c>
      <c r="BO299" s="5">
        <f t="shared" si="231"/>
        <v>0</v>
      </c>
      <c r="BP299" s="5">
        <f t="shared" si="231"/>
        <v>0</v>
      </c>
      <c r="BQ299" s="5">
        <f t="shared" si="231"/>
        <v>0</v>
      </c>
      <c r="BR299" s="5">
        <f t="shared" si="231"/>
        <v>0</v>
      </c>
      <c r="BS299" s="5">
        <f t="shared" si="231"/>
        <v>0</v>
      </c>
      <c r="BT299" s="5">
        <f t="shared" si="231"/>
        <v>0</v>
      </c>
      <c r="BU299" s="5">
        <f t="shared" si="231"/>
        <v>0</v>
      </c>
      <c r="BV299" s="5">
        <f t="shared" si="231"/>
        <v>0</v>
      </c>
      <c r="BW299" s="5">
        <f t="shared" si="231"/>
        <v>0</v>
      </c>
      <c r="BX299" s="5">
        <f t="shared" si="231"/>
        <v>0</v>
      </c>
      <c r="BY299" s="5">
        <f t="shared" si="231"/>
        <v>0</v>
      </c>
      <c r="BZ299" s="5">
        <f t="shared" si="231"/>
        <v>0</v>
      </c>
      <c r="CA299" s="5">
        <f t="shared" si="231"/>
        <v>1</v>
      </c>
      <c r="CB299" s="5">
        <f t="shared" si="231"/>
        <v>0</v>
      </c>
      <c r="CC299" s="5">
        <f t="shared" si="233"/>
        <v>0</v>
      </c>
      <c r="CD299" s="5">
        <f t="shared" si="233"/>
        <v>0</v>
      </c>
      <c r="CE299" s="5">
        <f t="shared" si="233"/>
        <v>0</v>
      </c>
    </row>
    <row r="300" spans="1:83" x14ac:dyDescent="0.2">
      <c r="C300" s="1">
        <f>Growth!D305</f>
        <v>0</v>
      </c>
      <c r="D300" s="5" t="b">
        <f t="shared" si="207"/>
        <v>0</v>
      </c>
      <c r="E300" s="5">
        <v>2011</v>
      </c>
      <c r="F300" s="5">
        <f ca="1">LOOKUP($E300,frequence!$A$2:$A$35,frequence!L$2:L$35)</f>
        <v>33.053542446246631</v>
      </c>
      <c r="G300" s="5">
        <f ca="1">LOOKUP($E300,frequence!$A$2:$A$35,frequence!K$2:K$35)</f>
        <v>2.1388579511305732</v>
      </c>
      <c r="H300" s="5">
        <f ca="1">LOOKUP($E300,frequence!$A$2:$A$35,frequence!M$2:M$35)</f>
        <v>182.11948132765423</v>
      </c>
      <c r="I300" s="5">
        <v>2010</v>
      </c>
      <c r="J300" s="7">
        <f>LOOKUP(I300,CPI!A$69:A$103,CPI!O$69:O$103)</f>
        <v>1</v>
      </c>
      <c r="K300" s="5">
        <v>2010</v>
      </c>
      <c r="L300" s="7">
        <f t="shared" ca="1" si="208"/>
        <v>1</v>
      </c>
      <c r="M300" s="7">
        <f t="shared" si="200"/>
        <v>8.252164502164502E-3</v>
      </c>
      <c r="N300" s="14">
        <f>0.01/7.392</f>
        <v>1.3528138528138528E-3</v>
      </c>
      <c r="O300" s="1">
        <f ca="1">P300*J300*(1+Growth!G$6)^(2010-K300)</f>
        <v>341</v>
      </c>
      <c r="P300" s="3">
        <v>341</v>
      </c>
      <c r="Q300" s="2">
        <f t="shared" si="148"/>
        <v>341</v>
      </c>
      <c r="R300" s="21">
        <f t="shared" ca="1" si="209"/>
        <v>116281</v>
      </c>
      <c r="X300" s="2">
        <f t="shared" si="214"/>
        <v>341</v>
      </c>
      <c r="AC300" s="1">
        <f t="shared" si="222"/>
        <v>6.1</v>
      </c>
      <c r="AD300" s="5">
        <v>0</v>
      </c>
      <c r="AE300" s="5">
        <v>0</v>
      </c>
      <c r="AF300" s="5">
        <v>1</v>
      </c>
      <c r="AG300" s="5">
        <v>1</v>
      </c>
      <c r="AH300" s="5">
        <v>1</v>
      </c>
      <c r="AI300" s="3">
        <f t="shared" si="201"/>
        <v>3.1</v>
      </c>
      <c r="AJ300" s="5">
        <f t="shared" si="219"/>
        <v>0</v>
      </c>
      <c r="AK300" s="5">
        <f t="shared" si="210"/>
        <v>0</v>
      </c>
      <c r="AL300" s="5">
        <f t="shared" si="211"/>
        <v>0</v>
      </c>
      <c r="AM300" s="5">
        <f t="shared" si="220"/>
        <v>0</v>
      </c>
      <c r="AN300" s="5">
        <f t="shared" si="212"/>
        <v>0</v>
      </c>
      <c r="AO300" s="5">
        <f t="shared" si="221"/>
        <v>1</v>
      </c>
      <c r="AP300" s="11" t="s">
        <v>42</v>
      </c>
      <c r="AQ300" s="1">
        <v>0</v>
      </c>
      <c r="AR300" s="5">
        <v>0</v>
      </c>
      <c r="AS300" s="5">
        <v>0</v>
      </c>
      <c r="AT300" s="5">
        <v>0</v>
      </c>
      <c r="AU300" s="5">
        <v>1</v>
      </c>
      <c r="AV300" s="5">
        <f t="shared" si="202"/>
        <v>0</v>
      </c>
      <c r="AW300" s="5">
        <f t="shared" si="203"/>
        <v>0</v>
      </c>
      <c r="AX300" s="5">
        <f t="shared" si="204"/>
        <v>1</v>
      </c>
      <c r="AY300" s="1">
        <f t="shared" si="227"/>
        <v>0</v>
      </c>
      <c r="AZ300" s="1">
        <f t="shared" si="228"/>
        <v>0</v>
      </c>
      <c r="BA300" s="1">
        <f t="shared" si="229"/>
        <v>0</v>
      </c>
      <c r="BB300" s="5">
        <v>0</v>
      </c>
      <c r="BC300" s="5">
        <v>0</v>
      </c>
      <c r="BD300" s="5">
        <v>1</v>
      </c>
      <c r="BE300" s="5">
        <f t="shared" si="230"/>
        <v>0</v>
      </c>
      <c r="BF300" s="5">
        <v>0</v>
      </c>
      <c r="BG300" s="5">
        <f t="shared" si="232"/>
        <v>0</v>
      </c>
      <c r="BH300" s="5">
        <f t="shared" si="232"/>
        <v>0</v>
      </c>
      <c r="BI300" s="5">
        <f t="shared" si="232"/>
        <v>0</v>
      </c>
      <c r="BJ300" s="5">
        <f t="shared" si="232"/>
        <v>0</v>
      </c>
      <c r="BK300" s="5">
        <f t="shared" si="232"/>
        <v>0</v>
      </c>
      <c r="BL300" s="5">
        <f t="shared" si="232"/>
        <v>0</v>
      </c>
      <c r="BM300" s="5">
        <f t="shared" si="232"/>
        <v>0</v>
      </c>
      <c r="BN300" s="5">
        <f t="shared" si="231"/>
        <v>0</v>
      </c>
      <c r="BO300" s="5">
        <f t="shared" si="231"/>
        <v>0</v>
      </c>
      <c r="BP300" s="5">
        <f t="shared" si="231"/>
        <v>0</v>
      </c>
      <c r="BQ300" s="5">
        <f t="shared" si="231"/>
        <v>0</v>
      </c>
      <c r="BR300" s="5">
        <f t="shared" si="231"/>
        <v>0</v>
      </c>
      <c r="BS300" s="5">
        <f t="shared" si="231"/>
        <v>0</v>
      </c>
      <c r="BT300" s="5">
        <f t="shared" si="231"/>
        <v>0</v>
      </c>
      <c r="BU300" s="5">
        <f t="shared" si="231"/>
        <v>0</v>
      </c>
      <c r="BV300" s="5">
        <f t="shared" si="231"/>
        <v>0</v>
      </c>
      <c r="BW300" s="5">
        <f t="shared" si="231"/>
        <v>0</v>
      </c>
      <c r="BX300" s="5">
        <f t="shared" si="231"/>
        <v>0</v>
      </c>
      <c r="BY300" s="5">
        <f t="shared" si="231"/>
        <v>0</v>
      </c>
      <c r="BZ300" s="5">
        <f t="shared" si="231"/>
        <v>0</v>
      </c>
      <c r="CA300" s="5">
        <f t="shared" si="231"/>
        <v>1</v>
      </c>
      <c r="CB300" s="5">
        <f t="shared" si="231"/>
        <v>0</v>
      </c>
      <c r="CC300" s="5">
        <f t="shared" si="233"/>
        <v>0</v>
      </c>
      <c r="CD300" s="5">
        <f t="shared" si="233"/>
        <v>0</v>
      </c>
      <c r="CE300" s="5">
        <f t="shared" si="233"/>
        <v>0</v>
      </c>
    </row>
    <row r="301" spans="1:83" x14ac:dyDescent="0.2">
      <c r="C301" s="1">
        <f>Growth!D306</f>
        <v>0</v>
      </c>
      <c r="D301" s="5" t="b">
        <f t="shared" si="207"/>
        <v>0</v>
      </c>
      <c r="E301" s="5">
        <v>2011</v>
      </c>
      <c r="F301" s="5">
        <f ca="1">LOOKUP($E301,frequence!$A$2:$A$35,frequence!L$2:L$35)</f>
        <v>33.053542446246631</v>
      </c>
      <c r="G301" s="5">
        <f ca="1">LOOKUP($E301,frequence!$A$2:$A$35,frequence!K$2:K$35)</f>
        <v>2.1388579511305732</v>
      </c>
      <c r="H301" s="5">
        <f ca="1">LOOKUP($E301,frequence!$A$2:$A$35,frequence!M$2:M$35)</f>
        <v>182.11948132765423</v>
      </c>
      <c r="I301" s="5">
        <v>2010</v>
      </c>
      <c r="J301" s="7">
        <f>LOOKUP(I301,CPI!A$69:A$103,CPI!O$69:O$103)</f>
        <v>1</v>
      </c>
      <c r="K301" s="5">
        <v>2010</v>
      </c>
      <c r="L301" s="7">
        <f t="shared" ca="1" si="208"/>
        <v>1</v>
      </c>
      <c r="M301" s="7">
        <f t="shared" si="200"/>
        <v>8.252164502164501E-2</v>
      </c>
      <c r="N301" s="14">
        <f>0.1/7.392</f>
        <v>1.3528138528138528E-2</v>
      </c>
      <c r="O301" s="1">
        <f ca="1">P301*J301*(1+Growth!G$6)^(2010-K301)</f>
        <v>367</v>
      </c>
      <c r="P301" s="3">
        <v>367</v>
      </c>
      <c r="Q301" s="2">
        <f t="shared" si="148"/>
        <v>367</v>
      </c>
      <c r="R301" s="21">
        <f t="shared" ca="1" si="209"/>
        <v>134689</v>
      </c>
      <c r="X301" s="2">
        <f t="shared" si="214"/>
        <v>367</v>
      </c>
      <c r="AC301" s="1">
        <f t="shared" si="222"/>
        <v>6.1</v>
      </c>
      <c r="AD301" s="5">
        <v>0</v>
      </c>
      <c r="AE301" s="5">
        <v>0</v>
      </c>
      <c r="AF301" s="5">
        <v>1</v>
      </c>
      <c r="AG301" s="5">
        <v>1</v>
      </c>
      <c r="AH301" s="5">
        <v>1</v>
      </c>
      <c r="AI301" s="3">
        <f t="shared" si="201"/>
        <v>3.1</v>
      </c>
      <c r="AJ301" s="5">
        <f t="shared" si="219"/>
        <v>0</v>
      </c>
      <c r="AK301" s="5">
        <f t="shared" si="210"/>
        <v>0</v>
      </c>
      <c r="AL301" s="5">
        <f t="shared" si="211"/>
        <v>0</v>
      </c>
      <c r="AM301" s="5">
        <f t="shared" si="220"/>
        <v>0</v>
      </c>
      <c r="AN301" s="5">
        <f t="shared" si="212"/>
        <v>0</v>
      </c>
      <c r="AO301" s="5">
        <f t="shared" si="221"/>
        <v>1</v>
      </c>
      <c r="AP301" s="11" t="s">
        <v>42</v>
      </c>
      <c r="AQ301" s="1">
        <v>0</v>
      </c>
      <c r="AR301" s="5">
        <v>0</v>
      </c>
      <c r="AS301" s="5">
        <v>0</v>
      </c>
      <c r="AT301" s="5">
        <v>0</v>
      </c>
      <c r="AU301" s="5">
        <v>1</v>
      </c>
      <c r="AV301" s="5">
        <f t="shared" si="202"/>
        <v>0</v>
      </c>
      <c r="AW301" s="5">
        <f t="shared" si="203"/>
        <v>0</v>
      </c>
      <c r="AX301" s="5">
        <f t="shared" si="204"/>
        <v>1</v>
      </c>
      <c r="AY301" s="1">
        <f t="shared" si="227"/>
        <v>0</v>
      </c>
      <c r="AZ301" s="1">
        <f t="shared" si="228"/>
        <v>0</v>
      </c>
      <c r="BA301" s="1">
        <f t="shared" si="229"/>
        <v>0</v>
      </c>
      <c r="BB301" s="5">
        <v>0</v>
      </c>
      <c r="BC301" s="5">
        <v>0</v>
      </c>
      <c r="BD301" s="5">
        <v>1</v>
      </c>
      <c r="BE301" s="5">
        <f t="shared" si="230"/>
        <v>0</v>
      </c>
      <c r="BF301" s="5">
        <v>0</v>
      </c>
      <c r="BG301" s="5">
        <f t="shared" si="232"/>
        <v>0</v>
      </c>
      <c r="BH301" s="5">
        <f t="shared" si="232"/>
        <v>0</v>
      </c>
      <c r="BI301" s="5">
        <f t="shared" si="232"/>
        <v>0</v>
      </c>
      <c r="BJ301" s="5">
        <f t="shared" si="232"/>
        <v>0</v>
      </c>
      <c r="BK301" s="5">
        <f t="shared" si="232"/>
        <v>0</v>
      </c>
      <c r="BL301" s="5">
        <f t="shared" si="232"/>
        <v>0</v>
      </c>
      <c r="BM301" s="5">
        <f t="shared" si="232"/>
        <v>0</v>
      </c>
      <c r="BN301" s="5">
        <f t="shared" si="231"/>
        <v>0</v>
      </c>
      <c r="BO301" s="5">
        <f t="shared" si="231"/>
        <v>0</v>
      </c>
      <c r="BP301" s="5">
        <f t="shared" si="231"/>
        <v>0</v>
      </c>
      <c r="BQ301" s="5">
        <f t="shared" si="231"/>
        <v>0</v>
      </c>
      <c r="BR301" s="5">
        <f t="shared" si="231"/>
        <v>0</v>
      </c>
      <c r="BS301" s="5">
        <f t="shared" si="231"/>
        <v>0</v>
      </c>
      <c r="BT301" s="5">
        <f t="shared" si="231"/>
        <v>0</v>
      </c>
      <c r="BU301" s="5">
        <f t="shared" si="231"/>
        <v>0</v>
      </c>
      <c r="BV301" s="5">
        <f t="shared" si="231"/>
        <v>0</v>
      </c>
      <c r="BW301" s="5">
        <f t="shared" si="231"/>
        <v>0</v>
      </c>
      <c r="BX301" s="5">
        <f t="shared" si="231"/>
        <v>0</v>
      </c>
      <c r="BY301" s="5">
        <f t="shared" si="231"/>
        <v>0</v>
      </c>
      <c r="BZ301" s="5">
        <f t="shared" si="231"/>
        <v>0</v>
      </c>
      <c r="CA301" s="5">
        <f t="shared" si="231"/>
        <v>1</v>
      </c>
      <c r="CB301" s="5">
        <f t="shared" si="231"/>
        <v>0</v>
      </c>
      <c r="CC301" s="5">
        <f t="shared" si="233"/>
        <v>0</v>
      </c>
      <c r="CD301" s="5">
        <f t="shared" si="233"/>
        <v>0</v>
      </c>
      <c r="CE301" s="5">
        <f t="shared" si="233"/>
        <v>0</v>
      </c>
    </row>
    <row r="302" spans="1:83" x14ac:dyDescent="0.2">
      <c r="C302" s="1">
        <f>Growth!D307</f>
        <v>0</v>
      </c>
      <c r="D302" s="5" t="b">
        <f t="shared" si="207"/>
        <v>0</v>
      </c>
      <c r="E302" s="5">
        <v>2011</v>
      </c>
      <c r="F302" s="5">
        <f ca="1">LOOKUP($E302,frequence!$A$2:$A$35,frequence!L$2:L$35)</f>
        <v>33.053542446246631</v>
      </c>
      <c r="G302" s="5">
        <f ca="1">LOOKUP($E302,frequence!$A$2:$A$35,frequence!K$2:K$35)</f>
        <v>2.1388579511305732</v>
      </c>
      <c r="H302" s="5">
        <f ca="1">LOOKUP($E302,frequence!$A$2:$A$35,frequence!M$2:M$35)</f>
        <v>182.11948132765423</v>
      </c>
      <c r="I302" s="5">
        <v>2010</v>
      </c>
      <c r="J302" s="7">
        <f>LOOKUP(I302,CPI!A$69:A$103,CPI!O$69:O$103)</f>
        <v>1</v>
      </c>
      <c r="K302" s="5">
        <v>2010</v>
      </c>
      <c r="L302" s="7">
        <f t="shared" ca="1" si="208"/>
        <v>1</v>
      </c>
      <c r="M302" s="7">
        <f t="shared" si="200"/>
        <v>8.252164502164502E-3</v>
      </c>
      <c r="N302" s="14">
        <f>0.01/7.392</f>
        <v>1.3528138528138528E-3</v>
      </c>
      <c r="O302" s="1">
        <f ca="1">P302*J302*(1+Growth!G$6)^(2010-K302)</f>
        <v>423</v>
      </c>
      <c r="P302" s="3">
        <v>423</v>
      </c>
      <c r="Q302" s="2">
        <f t="shared" si="148"/>
        <v>423</v>
      </c>
      <c r="R302" s="21">
        <f t="shared" ca="1" si="209"/>
        <v>178929</v>
      </c>
      <c r="X302" s="2">
        <f t="shared" si="214"/>
        <v>423</v>
      </c>
      <c r="AC302" s="1">
        <f t="shared" si="222"/>
        <v>6.1</v>
      </c>
      <c r="AD302" s="5">
        <v>0</v>
      </c>
      <c r="AE302" s="5">
        <v>0</v>
      </c>
      <c r="AF302" s="5">
        <v>1</v>
      </c>
      <c r="AG302" s="5">
        <v>1</v>
      </c>
      <c r="AH302" s="5">
        <v>1</v>
      </c>
      <c r="AI302" s="3">
        <f t="shared" si="201"/>
        <v>3.1</v>
      </c>
      <c r="AJ302" s="5">
        <f t="shared" si="219"/>
        <v>0</v>
      </c>
      <c r="AK302" s="5">
        <f t="shared" si="210"/>
        <v>0</v>
      </c>
      <c r="AL302" s="5">
        <f t="shared" si="211"/>
        <v>0</v>
      </c>
      <c r="AM302" s="5">
        <f t="shared" si="220"/>
        <v>0</v>
      </c>
      <c r="AN302" s="5">
        <f t="shared" si="212"/>
        <v>0</v>
      </c>
      <c r="AO302" s="5">
        <f t="shared" si="221"/>
        <v>1</v>
      </c>
      <c r="AP302" s="11" t="s">
        <v>42</v>
      </c>
      <c r="AQ302" s="1">
        <v>0</v>
      </c>
      <c r="AR302" s="5">
        <v>0</v>
      </c>
      <c r="AS302" s="5">
        <v>0</v>
      </c>
      <c r="AT302" s="5">
        <v>0</v>
      </c>
      <c r="AU302" s="5">
        <v>1</v>
      </c>
      <c r="AV302" s="5">
        <f t="shared" si="202"/>
        <v>0</v>
      </c>
      <c r="AW302" s="5">
        <f t="shared" si="203"/>
        <v>0</v>
      </c>
      <c r="AX302" s="5">
        <f t="shared" si="204"/>
        <v>1</v>
      </c>
      <c r="AY302" s="1">
        <f t="shared" si="227"/>
        <v>0</v>
      </c>
      <c r="AZ302" s="1">
        <f t="shared" si="228"/>
        <v>0</v>
      </c>
      <c r="BA302" s="1">
        <f t="shared" si="229"/>
        <v>0</v>
      </c>
      <c r="BB302" s="5">
        <v>0</v>
      </c>
      <c r="BC302" s="5">
        <v>0</v>
      </c>
      <c r="BD302" s="5">
        <v>1</v>
      </c>
      <c r="BE302" s="5">
        <f t="shared" si="230"/>
        <v>0</v>
      </c>
      <c r="BF302" s="5">
        <v>0</v>
      </c>
      <c r="BG302" s="5">
        <f t="shared" si="232"/>
        <v>0</v>
      </c>
      <c r="BH302" s="5">
        <f t="shared" si="232"/>
        <v>0</v>
      </c>
      <c r="BI302" s="5">
        <f t="shared" si="232"/>
        <v>0</v>
      </c>
      <c r="BJ302" s="5">
        <f t="shared" si="232"/>
        <v>0</v>
      </c>
      <c r="BK302" s="5">
        <f t="shared" si="232"/>
        <v>0</v>
      </c>
      <c r="BL302" s="5">
        <f t="shared" si="232"/>
        <v>0</v>
      </c>
      <c r="BM302" s="5">
        <f t="shared" si="232"/>
        <v>0</v>
      </c>
      <c r="BN302" s="5">
        <f t="shared" si="231"/>
        <v>0</v>
      </c>
      <c r="BO302" s="5">
        <f t="shared" si="231"/>
        <v>0</v>
      </c>
      <c r="BP302" s="5">
        <f t="shared" si="231"/>
        <v>0</v>
      </c>
      <c r="BQ302" s="5">
        <f t="shared" si="231"/>
        <v>0</v>
      </c>
      <c r="BR302" s="5">
        <f t="shared" si="231"/>
        <v>0</v>
      </c>
      <c r="BS302" s="5">
        <f t="shared" si="231"/>
        <v>0</v>
      </c>
      <c r="BT302" s="5">
        <f t="shared" si="231"/>
        <v>0</v>
      </c>
      <c r="BU302" s="5">
        <f t="shared" si="231"/>
        <v>0</v>
      </c>
      <c r="BV302" s="5">
        <f t="shared" si="231"/>
        <v>0</v>
      </c>
      <c r="BW302" s="5">
        <f t="shared" si="231"/>
        <v>0</v>
      </c>
      <c r="BX302" s="5">
        <f t="shared" si="231"/>
        <v>0</v>
      </c>
      <c r="BY302" s="5">
        <f t="shared" si="231"/>
        <v>0</v>
      </c>
      <c r="BZ302" s="5">
        <f t="shared" si="231"/>
        <v>0</v>
      </c>
      <c r="CA302" s="5">
        <f t="shared" si="231"/>
        <v>1</v>
      </c>
      <c r="CB302" s="5">
        <f t="shared" si="231"/>
        <v>0</v>
      </c>
      <c r="CC302" s="5">
        <f t="shared" si="233"/>
        <v>0</v>
      </c>
      <c r="CD302" s="5">
        <f t="shared" si="233"/>
        <v>0</v>
      </c>
      <c r="CE302" s="5">
        <f t="shared" si="233"/>
        <v>0</v>
      </c>
    </row>
    <row r="303" spans="1:83" x14ac:dyDescent="0.2">
      <c r="C303" s="1">
        <f>Growth!D308</f>
        <v>0</v>
      </c>
      <c r="D303" s="5" t="b">
        <f t="shared" si="207"/>
        <v>0</v>
      </c>
      <c r="E303" s="5">
        <v>2011</v>
      </c>
      <c r="F303" s="5">
        <f ca="1">LOOKUP($E303,frequence!$A$2:$A$35,frequence!L$2:L$35)</f>
        <v>33.053542446246631</v>
      </c>
      <c r="G303" s="5">
        <f ca="1">LOOKUP($E303,frequence!$A$2:$A$35,frequence!K$2:K$35)</f>
        <v>2.1388579511305732</v>
      </c>
      <c r="H303" s="5">
        <f ca="1">LOOKUP($E303,frequence!$A$2:$A$35,frequence!M$2:M$35)</f>
        <v>182.11948132765423</v>
      </c>
      <c r="I303" s="5">
        <v>2010</v>
      </c>
      <c r="J303" s="7">
        <f>LOOKUP(I303,CPI!A$69:A$103,CPI!O$69:O$103)</f>
        <v>1</v>
      </c>
      <c r="K303" s="5">
        <v>2010</v>
      </c>
      <c r="L303" s="7">
        <f t="shared" ca="1" si="208"/>
        <v>1</v>
      </c>
      <c r="M303" s="7">
        <f t="shared" si="200"/>
        <v>8.252164502164502E-4</v>
      </c>
      <c r="N303" s="14">
        <f>0.001/7.392</f>
        <v>1.3528138528138528E-4</v>
      </c>
      <c r="O303" s="1">
        <f ca="1">P303*J303*(1+Growth!G$6)^(2010-K303)</f>
        <v>583</v>
      </c>
      <c r="P303" s="3">
        <v>583</v>
      </c>
      <c r="Q303" s="2">
        <f t="shared" si="148"/>
        <v>583</v>
      </c>
      <c r="R303" s="21">
        <f t="shared" ca="1" si="209"/>
        <v>339889</v>
      </c>
      <c r="X303" s="2">
        <f t="shared" si="214"/>
        <v>583</v>
      </c>
      <c r="AC303" s="1">
        <f t="shared" si="222"/>
        <v>6.1</v>
      </c>
      <c r="AD303" s="5">
        <v>0</v>
      </c>
      <c r="AE303" s="5">
        <v>0</v>
      </c>
      <c r="AF303" s="5">
        <v>1</v>
      </c>
      <c r="AG303" s="5">
        <v>1</v>
      </c>
      <c r="AH303" s="5">
        <v>1</v>
      </c>
      <c r="AI303" s="3">
        <f t="shared" si="201"/>
        <v>3.1</v>
      </c>
      <c r="AJ303" s="5">
        <f t="shared" si="219"/>
        <v>0</v>
      </c>
      <c r="AK303" s="5">
        <f t="shared" si="210"/>
        <v>0</v>
      </c>
      <c r="AL303" s="5">
        <f t="shared" si="211"/>
        <v>0</v>
      </c>
      <c r="AM303" s="5">
        <f t="shared" si="220"/>
        <v>0</v>
      </c>
      <c r="AN303" s="5">
        <f t="shared" si="212"/>
        <v>0</v>
      </c>
      <c r="AO303" s="5">
        <f t="shared" si="221"/>
        <v>1</v>
      </c>
      <c r="AP303" s="11" t="s">
        <v>42</v>
      </c>
      <c r="AQ303" s="1">
        <v>0</v>
      </c>
      <c r="AR303" s="5">
        <v>0</v>
      </c>
      <c r="AS303" s="5">
        <v>0</v>
      </c>
      <c r="AT303" s="5">
        <v>0</v>
      </c>
      <c r="AU303" s="5">
        <v>1</v>
      </c>
      <c r="AV303" s="5">
        <f t="shared" si="202"/>
        <v>0</v>
      </c>
      <c r="AW303" s="5">
        <f t="shared" si="203"/>
        <v>0</v>
      </c>
      <c r="AX303" s="5">
        <f t="shared" si="204"/>
        <v>1</v>
      </c>
      <c r="AY303" s="1">
        <f t="shared" si="227"/>
        <v>0</v>
      </c>
      <c r="AZ303" s="1">
        <f t="shared" si="228"/>
        <v>0</v>
      </c>
      <c r="BA303" s="1">
        <f t="shared" si="229"/>
        <v>0</v>
      </c>
      <c r="BB303" s="5">
        <v>0</v>
      </c>
      <c r="BC303" s="5">
        <v>0</v>
      </c>
      <c r="BD303" s="5">
        <v>1</v>
      </c>
      <c r="BE303" s="5">
        <f t="shared" si="230"/>
        <v>0</v>
      </c>
      <c r="BF303" s="5">
        <v>0</v>
      </c>
      <c r="BG303" s="5">
        <f t="shared" si="232"/>
        <v>0</v>
      </c>
      <c r="BH303" s="5">
        <f t="shared" si="232"/>
        <v>0</v>
      </c>
      <c r="BI303" s="5">
        <f t="shared" si="232"/>
        <v>0</v>
      </c>
      <c r="BJ303" s="5">
        <f t="shared" si="232"/>
        <v>0</v>
      </c>
      <c r="BK303" s="5">
        <f t="shared" si="232"/>
        <v>0</v>
      </c>
      <c r="BL303" s="5">
        <f t="shared" si="232"/>
        <v>0</v>
      </c>
      <c r="BM303" s="5">
        <f t="shared" si="232"/>
        <v>0</v>
      </c>
      <c r="BN303" s="5">
        <f t="shared" si="231"/>
        <v>0</v>
      </c>
      <c r="BO303" s="5">
        <f t="shared" si="231"/>
        <v>0</v>
      </c>
      <c r="BP303" s="5">
        <f t="shared" si="231"/>
        <v>0</v>
      </c>
      <c r="BQ303" s="5">
        <f t="shared" si="231"/>
        <v>0</v>
      </c>
      <c r="BR303" s="5">
        <f t="shared" si="231"/>
        <v>0</v>
      </c>
      <c r="BS303" s="5">
        <f t="shared" si="231"/>
        <v>0</v>
      </c>
      <c r="BT303" s="5">
        <f t="shared" si="231"/>
        <v>0</v>
      </c>
      <c r="BU303" s="5">
        <f t="shared" si="231"/>
        <v>0</v>
      </c>
      <c r="BV303" s="5">
        <f t="shared" si="231"/>
        <v>0</v>
      </c>
      <c r="BW303" s="5">
        <f t="shared" si="231"/>
        <v>0</v>
      </c>
      <c r="BX303" s="5">
        <f t="shared" si="231"/>
        <v>0</v>
      </c>
      <c r="BY303" s="5">
        <f t="shared" si="231"/>
        <v>0</v>
      </c>
      <c r="BZ303" s="5">
        <f t="shared" si="231"/>
        <v>0</v>
      </c>
      <c r="CA303" s="5">
        <f t="shared" si="231"/>
        <v>1</v>
      </c>
      <c r="CB303" s="5">
        <f t="shared" si="231"/>
        <v>0</v>
      </c>
      <c r="CC303" s="5">
        <f t="shared" si="233"/>
        <v>0</v>
      </c>
      <c r="CD303" s="5">
        <f t="shared" si="233"/>
        <v>0</v>
      </c>
      <c r="CE303" s="5">
        <f t="shared" si="233"/>
        <v>0</v>
      </c>
    </row>
    <row r="304" spans="1:83" x14ac:dyDescent="0.2">
      <c r="C304" s="1">
        <f>Growth!D309</f>
        <v>0</v>
      </c>
      <c r="D304" s="5" t="b">
        <f t="shared" si="207"/>
        <v>0</v>
      </c>
      <c r="E304" s="5">
        <v>2011</v>
      </c>
      <c r="F304" s="5">
        <f ca="1">LOOKUP($E304,frequence!$A$2:$A$35,frequence!L$2:L$35)</f>
        <v>33.053542446246631</v>
      </c>
      <c r="G304" s="5">
        <f ca="1">LOOKUP($E304,frequence!$A$2:$A$35,frequence!K$2:K$35)</f>
        <v>2.1388579511305732</v>
      </c>
      <c r="H304" s="5">
        <f ca="1">LOOKUP($E304,frequence!$A$2:$A$35,frequence!M$2:M$35)</f>
        <v>182.11948132765423</v>
      </c>
      <c r="I304" s="5">
        <v>2010</v>
      </c>
      <c r="J304" s="7">
        <f>LOOKUP(I304,CPI!A$69:A$103,CPI!O$69:O$103)</f>
        <v>1</v>
      </c>
      <c r="K304" s="5">
        <v>2010</v>
      </c>
      <c r="L304" s="7">
        <f t="shared" ca="1" si="208"/>
        <v>1</v>
      </c>
      <c r="M304" s="7">
        <f t="shared" si="200"/>
        <v>8.252164502164501E-2</v>
      </c>
      <c r="N304" s="14">
        <f>0.1/7.392</f>
        <v>1.3528138528138528E-2</v>
      </c>
      <c r="O304" s="1">
        <f ca="1">P304*J304*(1+Growth!G$6)^(2010-K304)</f>
        <v>722</v>
      </c>
      <c r="P304" s="3">
        <v>722</v>
      </c>
      <c r="Q304" s="2">
        <f t="shared" si="148"/>
        <v>722</v>
      </c>
      <c r="R304" s="21">
        <f t="shared" ca="1" si="209"/>
        <v>521284</v>
      </c>
      <c r="X304" s="2">
        <f t="shared" si="214"/>
        <v>722</v>
      </c>
      <c r="AC304" s="1">
        <f t="shared" si="222"/>
        <v>6.1</v>
      </c>
      <c r="AD304" s="5">
        <v>0</v>
      </c>
      <c r="AE304" s="5">
        <v>0</v>
      </c>
      <c r="AF304" s="5">
        <v>1</v>
      </c>
      <c r="AG304" s="5">
        <v>1</v>
      </c>
      <c r="AH304" s="5">
        <v>1</v>
      </c>
      <c r="AI304" s="3">
        <f t="shared" si="201"/>
        <v>3.1</v>
      </c>
      <c r="AJ304" s="5">
        <f t="shared" si="219"/>
        <v>0</v>
      </c>
      <c r="AK304" s="5">
        <f t="shared" si="210"/>
        <v>0</v>
      </c>
      <c r="AL304" s="5">
        <f t="shared" si="211"/>
        <v>0</v>
      </c>
      <c r="AM304" s="5">
        <f t="shared" si="220"/>
        <v>0</v>
      </c>
      <c r="AN304" s="5">
        <f t="shared" si="212"/>
        <v>0</v>
      </c>
      <c r="AO304" s="5">
        <f t="shared" si="221"/>
        <v>1</v>
      </c>
      <c r="AP304" s="11" t="s">
        <v>42</v>
      </c>
      <c r="AQ304" s="1">
        <v>0</v>
      </c>
      <c r="AR304" s="5">
        <v>0</v>
      </c>
      <c r="AS304" s="5">
        <v>0</v>
      </c>
      <c r="AT304" s="5">
        <v>0</v>
      </c>
      <c r="AU304" s="5">
        <v>1</v>
      </c>
      <c r="AV304" s="5">
        <f t="shared" si="202"/>
        <v>0</v>
      </c>
      <c r="AW304" s="5">
        <f t="shared" si="203"/>
        <v>0</v>
      </c>
      <c r="AX304" s="5">
        <f t="shared" si="204"/>
        <v>1</v>
      </c>
      <c r="AY304" s="1">
        <f t="shared" si="227"/>
        <v>0</v>
      </c>
      <c r="AZ304" s="1">
        <f t="shared" si="228"/>
        <v>0</v>
      </c>
      <c r="BA304" s="1">
        <f t="shared" si="229"/>
        <v>0</v>
      </c>
      <c r="BB304" s="5">
        <v>0</v>
      </c>
      <c r="BC304" s="5">
        <v>0</v>
      </c>
      <c r="BD304" s="5">
        <v>1</v>
      </c>
      <c r="BE304" s="5">
        <f t="shared" si="230"/>
        <v>0</v>
      </c>
      <c r="BF304" s="5">
        <v>0</v>
      </c>
      <c r="BG304" s="5">
        <f t="shared" si="232"/>
        <v>0</v>
      </c>
      <c r="BH304" s="5">
        <f t="shared" si="232"/>
        <v>0</v>
      </c>
      <c r="BI304" s="5">
        <f t="shared" si="232"/>
        <v>0</v>
      </c>
      <c r="BJ304" s="5">
        <f t="shared" si="232"/>
        <v>0</v>
      </c>
      <c r="BK304" s="5">
        <f t="shared" si="232"/>
        <v>0</v>
      </c>
      <c r="BL304" s="5">
        <f t="shared" si="232"/>
        <v>0</v>
      </c>
      <c r="BM304" s="5">
        <f t="shared" si="232"/>
        <v>0</v>
      </c>
      <c r="BN304" s="5">
        <f t="shared" si="231"/>
        <v>0</v>
      </c>
      <c r="BO304" s="5">
        <f t="shared" si="231"/>
        <v>0</v>
      </c>
      <c r="BP304" s="5">
        <f t="shared" si="231"/>
        <v>0</v>
      </c>
      <c r="BQ304" s="5">
        <f t="shared" si="231"/>
        <v>0</v>
      </c>
      <c r="BR304" s="5">
        <f t="shared" si="231"/>
        <v>0</v>
      </c>
      <c r="BS304" s="5">
        <f t="shared" si="231"/>
        <v>0</v>
      </c>
      <c r="BT304" s="5">
        <f t="shared" si="231"/>
        <v>0</v>
      </c>
      <c r="BU304" s="5">
        <f t="shared" si="231"/>
        <v>0</v>
      </c>
      <c r="BV304" s="5">
        <f t="shared" si="231"/>
        <v>0</v>
      </c>
      <c r="BW304" s="5">
        <f t="shared" si="231"/>
        <v>0</v>
      </c>
      <c r="BX304" s="5">
        <f t="shared" si="231"/>
        <v>0</v>
      </c>
      <c r="BY304" s="5">
        <f t="shared" si="231"/>
        <v>0</v>
      </c>
      <c r="BZ304" s="5">
        <f t="shared" si="231"/>
        <v>0</v>
      </c>
      <c r="CA304" s="5">
        <f t="shared" si="231"/>
        <v>1</v>
      </c>
      <c r="CB304" s="5">
        <f t="shared" si="231"/>
        <v>0</v>
      </c>
      <c r="CC304" s="5">
        <f t="shared" si="233"/>
        <v>0</v>
      </c>
      <c r="CD304" s="5">
        <f t="shared" si="233"/>
        <v>0</v>
      </c>
      <c r="CE304" s="5">
        <f t="shared" si="233"/>
        <v>0</v>
      </c>
    </row>
    <row r="305" spans="3:83" x14ac:dyDescent="0.2">
      <c r="C305" s="1">
        <f>Growth!D310</f>
        <v>0</v>
      </c>
      <c r="D305" s="5" t="b">
        <f t="shared" si="207"/>
        <v>0</v>
      </c>
      <c r="E305" s="5">
        <v>2011</v>
      </c>
      <c r="F305" s="5">
        <f ca="1">LOOKUP($E305,frequence!$A$2:$A$35,frequence!L$2:L$35)</f>
        <v>33.053542446246631</v>
      </c>
      <c r="G305" s="5">
        <f ca="1">LOOKUP($E305,frequence!$A$2:$A$35,frequence!K$2:K$35)</f>
        <v>2.1388579511305732</v>
      </c>
      <c r="H305" s="5">
        <f ca="1">LOOKUP($E305,frequence!$A$2:$A$35,frequence!M$2:M$35)</f>
        <v>182.11948132765423</v>
      </c>
      <c r="I305" s="5">
        <v>2010</v>
      </c>
      <c r="J305" s="7">
        <f>LOOKUP(I305,CPI!A$69:A$103,CPI!O$69:O$103)</f>
        <v>1</v>
      </c>
      <c r="K305" s="5">
        <v>2010</v>
      </c>
      <c r="L305" s="7">
        <f t="shared" ca="1" si="208"/>
        <v>0.95598865121025411</v>
      </c>
      <c r="M305" s="7">
        <f t="shared" si="200"/>
        <v>8.252164502164502E-3</v>
      </c>
      <c r="N305" s="14">
        <f>0.01/7.392</f>
        <v>1.3528138528138528E-3</v>
      </c>
      <c r="O305" s="1">
        <f ca="1">P305*J305*(1+Growth!G$6)^(2010-K305)</f>
        <v>1426</v>
      </c>
      <c r="P305" s="3">
        <v>1426</v>
      </c>
      <c r="Q305" s="2">
        <f t="shared" si="148"/>
        <v>1426</v>
      </c>
      <c r="R305" s="21">
        <f t="shared" ca="1" si="209"/>
        <v>2033476</v>
      </c>
      <c r="X305" s="2">
        <f t="shared" si="214"/>
        <v>1426</v>
      </c>
      <c r="AC305" s="1">
        <f t="shared" si="222"/>
        <v>6.1</v>
      </c>
      <c r="AD305" s="5">
        <v>0</v>
      </c>
      <c r="AE305" s="5">
        <v>0</v>
      </c>
      <c r="AF305" s="5">
        <v>1</v>
      </c>
      <c r="AG305" s="5">
        <v>1</v>
      </c>
      <c r="AH305" s="5">
        <v>1</v>
      </c>
      <c r="AI305" s="3">
        <f t="shared" si="201"/>
        <v>3.1</v>
      </c>
      <c r="AJ305" s="5">
        <f t="shared" si="219"/>
        <v>0</v>
      </c>
      <c r="AK305" s="5">
        <f t="shared" si="210"/>
        <v>0</v>
      </c>
      <c r="AL305" s="5">
        <f t="shared" si="211"/>
        <v>0</v>
      </c>
      <c r="AM305" s="5">
        <f t="shared" si="220"/>
        <v>0</v>
      </c>
      <c r="AN305" s="5">
        <f t="shared" si="212"/>
        <v>0</v>
      </c>
      <c r="AO305" s="5">
        <f t="shared" si="221"/>
        <v>1</v>
      </c>
      <c r="AP305" s="11" t="s">
        <v>42</v>
      </c>
      <c r="AQ305" s="1">
        <v>0</v>
      </c>
      <c r="AR305" s="5">
        <v>0</v>
      </c>
      <c r="AS305" s="5">
        <v>0</v>
      </c>
      <c r="AT305" s="5">
        <v>0</v>
      </c>
      <c r="AU305" s="5">
        <v>1</v>
      </c>
      <c r="AV305" s="5">
        <f t="shared" si="202"/>
        <v>0</v>
      </c>
      <c r="AW305" s="5">
        <f t="shared" si="203"/>
        <v>0</v>
      </c>
      <c r="AX305" s="5">
        <f t="shared" si="204"/>
        <v>1</v>
      </c>
      <c r="AY305" s="1">
        <f t="shared" si="227"/>
        <v>0</v>
      </c>
      <c r="AZ305" s="1">
        <f t="shared" si="228"/>
        <v>0</v>
      </c>
      <c r="BA305" s="1">
        <f t="shared" si="229"/>
        <v>0</v>
      </c>
      <c r="BB305" s="5">
        <v>0</v>
      </c>
      <c r="BC305" s="5">
        <v>0</v>
      </c>
      <c r="BD305" s="5">
        <v>1</v>
      </c>
      <c r="BE305" s="5">
        <f t="shared" si="230"/>
        <v>0</v>
      </c>
      <c r="BF305" s="5">
        <v>0</v>
      </c>
      <c r="BG305" s="5">
        <f t="shared" si="232"/>
        <v>0</v>
      </c>
      <c r="BH305" s="5">
        <f t="shared" si="232"/>
        <v>0</v>
      </c>
      <c r="BI305" s="5">
        <f t="shared" si="232"/>
        <v>0</v>
      </c>
      <c r="BJ305" s="5">
        <f t="shared" si="232"/>
        <v>0</v>
      </c>
      <c r="BK305" s="5">
        <f t="shared" si="232"/>
        <v>0</v>
      </c>
      <c r="BL305" s="5">
        <f t="shared" si="232"/>
        <v>0</v>
      </c>
      <c r="BM305" s="5">
        <f t="shared" si="232"/>
        <v>0</v>
      </c>
      <c r="BN305" s="5">
        <f t="shared" si="231"/>
        <v>0</v>
      </c>
      <c r="BO305" s="5">
        <f t="shared" si="231"/>
        <v>0</v>
      </c>
      <c r="BP305" s="5">
        <f t="shared" si="231"/>
        <v>0</v>
      </c>
      <c r="BQ305" s="5">
        <f t="shared" si="231"/>
        <v>0</v>
      </c>
      <c r="BR305" s="5">
        <f t="shared" si="231"/>
        <v>0</v>
      </c>
      <c r="BS305" s="5">
        <f t="shared" si="231"/>
        <v>0</v>
      </c>
      <c r="BT305" s="5">
        <f t="shared" si="231"/>
        <v>0</v>
      </c>
      <c r="BU305" s="5">
        <f t="shared" si="231"/>
        <v>0</v>
      </c>
      <c r="BV305" s="5">
        <f t="shared" si="231"/>
        <v>0</v>
      </c>
      <c r="BW305" s="5">
        <f t="shared" si="231"/>
        <v>0</v>
      </c>
      <c r="BX305" s="5">
        <f t="shared" si="231"/>
        <v>0</v>
      </c>
      <c r="BY305" s="5">
        <f t="shared" si="231"/>
        <v>0</v>
      </c>
      <c r="BZ305" s="5">
        <f t="shared" si="231"/>
        <v>0</v>
      </c>
      <c r="CA305" s="5">
        <f t="shared" si="231"/>
        <v>1</v>
      </c>
      <c r="CB305" s="5">
        <f t="shared" si="231"/>
        <v>0</v>
      </c>
      <c r="CC305" s="5">
        <f t="shared" si="233"/>
        <v>0</v>
      </c>
      <c r="CD305" s="5">
        <f t="shared" si="233"/>
        <v>0</v>
      </c>
      <c r="CE305" s="5">
        <f t="shared" si="233"/>
        <v>0</v>
      </c>
    </row>
    <row r="306" spans="3:83" x14ac:dyDescent="0.2">
      <c r="C306" s="1">
        <f>Growth!D311</f>
        <v>0</v>
      </c>
      <c r="D306" s="5" t="b">
        <f t="shared" si="207"/>
        <v>0</v>
      </c>
      <c r="E306" s="5">
        <v>2011</v>
      </c>
      <c r="F306" s="5">
        <f ca="1">LOOKUP($E306,frequence!$A$2:$A$35,frequence!L$2:L$35)</f>
        <v>33.053542446246631</v>
      </c>
      <c r="G306" s="5">
        <f ca="1">LOOKUP($E306,frequence!$A$2:$A$35,frequence!K$2:K$35)</f>
        <v>2.1388579511305732</v>
      </c>
      <c r="H306" s="5">
        <f ca="1">LOOKUP($E306,frequence!$A$2:$A$35,frequence!M$2:M$35)</f>
        <v>182.11948132765423</v>
      </c>
      <c r="I306" s="5">
        <v>2010</v>
      </c>
      <c r="J306" s="7">
        <f>LOOKUP(I306,CPI!A$69:A$103,CPI!O$69:O$103)</f>
        <v>1</v>
      </c>
      <c r="K306" s="5">
        <v>2010</v>
      </c>
      <c r="L306" s="7">
        <f t="shared" ca="1" si="208"/>
        <v>0.91826242916669887</v>
      </c>
      <c r="M306" s="7">
        <f t="shared" si="200"/>
        <v>8.252164502164502E-4</v>
      </c>
      <c r="N306" s="14">
        <f>0.001/7.392</f>
        <v>1.3528138528138528E-4</v>
      </c>
      <c r="O306" s="1">
        <f ca="1">P306*J306*(1+Growth!G$6)^(2010-K306)</f>
        <v>1670</v>
      </c>
      <c r="P306" s="3">
        <v>1670</v>
      </c>
      <c r="Q306" s="2">
        <f t="shared" si="148"/>
        <v>1670</v>
      </c>
      <c r="R306" s="21">
        <f t="shared" ca="1" si="209"/>
        <v>2788900</v>
      </c>
      <c r="X306" s="2">
        <f t="shared" si="214"/>
        <v>1670</v>
      </c>
      <c r="AC306" s="1">
        <f t="shared" si="222"/>
        <v>6.1</v>
      </c>
      <c r="AD306" s="5">
        <v>0</v>
      </c>
      <c r="AE306" s="5">
        <v>0</v>
      </c>
      <c r="AF306" s="5">
        <v>1</v>
      </c>
      <c r="AG306" s="5">
        <v>1</v>
      </c>
      <c r="AH306" s="5">
        <v>1</v>
      </c>
      <c r="AI306" s="3">
        <f t="shared" si="201"/>
        <v>3.1</v>
      </c>
      <c r="AJ306" s="5">
        <f t="shared" si="219"/>
        <v>0</v>
      </c>
      <c r="AK306" s="5">
        <f t="shared" si="210"/>
        <v>0</v>
      </c>
      <c r="AL306" s="5">
        <f t="shared" si="211"/>
        <v>0</v>
      </c>
      <c r="AM306" s="5">
        <f t="shared" si="220"/>
        <v>0</v>
      </c>
      <c r="AN306" s="5">
        <f t="shared" si="212"/>
        <v>0</v>
      </c>
      <c r="AO306" s="5">
        <f t="shared" si="221"/>
        <v>1</v>
      </c>
      <c r="AP306" s="11" t="s">
        <v>42</v>
      </c>
      <c r="AQ306" s="1">
        <v>0</v>
      </c>
      <c r="AR306" s="5">
        <v>0</v>
      </c>
      <c r="AS306" s="5">
        <v>0</v>
      </c>
      <c r="AT306" s="5">
        <v>0</v>
      </c>
      <c r="AU306" s="5">
        <v>1</v>
      </c>
      <c r="AV306" s="5">
        <f t="shared" si="202"/>
        <v>0</v>
      </c>
      <c r="AW306" s="5">
        <f t="shared" si="203"/>
        <v>0</v>
      </c>
      <c r="AX306" s="5">
        <f t="shared" si="204"/>
        <v>1</v>
      </c>
      <c r="AY306" s="1">
        <f t="shared" si="227"/>
        <v>0</v>
      </c>
      <c r="AZ306" s="1">
        <f t="shared" si="228"/>
        <v>0</v>
      </c>
      <c r="BA306" s="1">
        <f t="shared" si="229"/>
        <v>0</v>
      </c>
      <c r="BB306" s="5">
        <v>0</v>
      </c>
      <c r="BC306" s="5">
        <v>0</v>
      </c>
      <c r="BD306" s="5">
        <v>1</v>
      </c>
      <c r="BE306" s="5">
        <f t="shared" si="230"/>
        <v>0</v>
      </c>
      <c r="BF306" s="5">
        <v>0</v>
      </c>
      <c r="BG306" s="5">
        <f t="shared" si="232"/>
        <v>0</v>
      </c>
      <c r="BH306" s="5">
        <f t="shared" si="232"/>
        <v>0</v>
      </c>
      <c r="BI306" s="5">
        <f t="shared" si="232"/>
        <v>0</v>
      </c>
      <c r="BJ306" s="5">
        <f t="shared" si="232"/>
        <v>0</v>
      </c>
      <c r="BK306" s="5">
        <f t="shared" si="232"/>
        <v>0</v>
      </c>
      <c r="BL306" s="5">
        <f t="shared" si="232"/>
        <v>0</v>
      </c>
      <c r="BM306" s="5">
        <f t="shared" si="232"/>
        <v>0</v>
      </c>
      <c r="BN306" s="5">
        <f t="shared" si="231"/>
        <v>0</v>
      </c>
      <c r="BO306" s="5">
        <f t="shared" si="231"/>
        <v>0</v>
      </c>
      <c r="BP306" s="5">
        <f t="shared" si="231"/>
        <v>0</v>
      </c>
      <c r="BQ306" s="5">
        <f t="shared" si="231"/>
        <v>0</v>
      </c>
      <c r="BR306" s="5">
        <f t="shared" si="231"/>
        <v>0</v>
      </c>
      <c r="BS306" s="5">
        <f t="shared" si="231"/>
        <v>0</v>
      </c>
      <c r="BT306" s="5">
        <f t="shared" si="231"/>
        <v>0</v>
      </c>
      <c r="BU306" s="5">
        <f t="shared" si="231"/>
        <v>0</v>
      </c>
      <c r="BV306" s="5">
        <f t="shared" si="231"/>
        <v>0</v>
      </c>
      <c r="BW306" s="5">
        <f t="shared" si="231"/>
        <v>0</v>
      </c>
      <c r="BX306" s="5">
        <f t="shared" si="231"/>
        <v>0</v>
      </c>
      <c r="BY306" s="5">
        <f t="shared" si="231"/>
        <v>0</v>
      </c>
      <c r="BZ306" s="5">
        <f t="shared" si="231"/>
        <v>0</v>
      </c>
      <c r="CA306" s="5">
        <f t="shared" si="231"/>
        <v>1</v>
      </c>
      <c r="CB306" s="5">
        <f t="shared" si="231"/>
        <v>0</v>
      </c>
      <c r="CC306" s="5">
        <f t="shared" si="233"/>
        <v>0</v>
      </c>
      <c r="CD306" s="5">
        <f t="shared" si="233"/>
        <v>0</v>
      </c>
      <c r="CE306" s="5">
        <f t="shared" si="233"/>
        <v>0</v>
      </c>
    </row>
    <row r="307" spans="3:83" x14ac:dyDescent="0.2">
      <c r="C307" s="1">
        <f>Growth!D312</f>
        <v>0</v>
      </c>
      <c r="D307" s="5" t="b">
        <f t="shared" si="207"/>
        <v>0</v>
      </c>
      <c r="E307" s="5">
        <v>2011</v>
      </c>
      <c r="F307" s="5">
        <f ca="1">LOOKUP($E307,frequence!$A$2:$A$35,frequence!L$2:L$35)</f>
        <v>33.053542446246631</v>
      </c>
      <c r="G307" s="5">
        <f ca="1">LOOKUP($E307,frequence!$A$2:$A$35,frequence!K$2:K$35)</f>
        <v>2.1388579511305732</v>
      </c>
      <c r="H307" s="5">
        <f ca="1">LOOKUP($E307,frequence!$A$2:$A$35,frequence!M$2:M$35)</f>
        <v>182.11948132765423</v>
      </c>
      <c r="I307" s="5">
        <v>2010</v>
      </c>
      <c r="J307" s="7">
        <f>LOOKUP(I307,CPI!A$69:A$103,CPI!O$69:O$103)</f>
        <v>1</v>
      </c>
      <c r="K307" s="5">
        <v>2010</v>
      </c>
      <c r="L307" s="7">
        <f t="shared" ca="1" si="208"/>
        <v>1</v>
      </c>
      <c r="M307" s="7">
        <f t="shared" si="200"/>
        <v>0.82521645021645018</v>
      </c>
      <c r="N307" s="14">
        <f>1/7.392</f>
        <v>0.13528138528138528</v>
      </c>
      <c r="O307" s="1">
        <f ca="1">P307*J307*(1+Growth!G$6)^(2010-K307)</f>
        <v>108</v>
      </c>
      <c r="P307" s="3">
        <v>108</v>
      </c>
      <c r="Q307" s="2">
        <f t="shared" si="148"/>
        <v>108</v>
      </c>
      <c r="R307" s="21">
        <f t="shared" ca="1" si="209"/>
        <v>11664</v>
      </c>
      <c r="X307" s="2">
        <f t="shared" si="214"/>
        <v>108</v>
      </c>
      <c r="AC307" s="1">
        <f t="shared" si="222"/>
        <v>6.1</v>
      </c>
      <c r="AD307" s="5">
        <v>0</v>
      </c>
      <c r="AE307" s="5">
        <v>0</v>
      </c>
      <c r="AF307" s="5">
        <v>1</v>
      </c>
      <c r="AG307" s="5">
        <v>1</v>
      </c>
      <c r="AH307" s="5">
        <v>1</v>
      </c>
      <c r="AI307" s="3">
        <f t="shared" si="201"/>
        <v>3.1</v>
      </c>
      <c r="AJ307" s="5">
        <f t="shared" si="219"/>
        <v>0</v>
      </c>
      <c r="AK307" s="5">
        <f t="shared" si="210"/>
        <v>0</v>
      </c>
      <c r="AL307" s="5">
        <f t="shared" si="211"/>
        <v>0</v>
      </c>
      <c r="AM307" s="5">
        <f t="shared" si="220"/>
        <v>1</v>
      </c>
      <c r="AN307" s="5">
        <f t="shared" si="212"/>
        <v>0</v>
      </c>
      <c r="AO307" s="5">
        <f t="shared" si="221"/>
        <v>0</v>
      </c>
      <c r="AP307" s="11" t="s">
        <v>42</v>
      </c>
      <c r="AQ307" s="1">
        <v>1</v>
      </c>
      <c r="AR307" s="5">
        <v>0</v>
      </c>
      <c r="AS307" s="5">
        <v>0</v>
      </c>
      <c r="AT307" s="5">
        <v>1</v>
      </c>
      <c r="AU307" s="5">
        <v>1</v>
      </c>
      <c r="AV307" s="5">
        <f t="shared" si="202"/>
        <v>0</v>
      </c>
      <c r="AW307" s="5">
        <f t="shared" si="203"/>
        <v>0</v>
      </c>
      <c r="AX307" s="5">
        <f t="shared" si="204"/>
        <v>1</v>
      </c>
      <c r="AY307" s="1">
        <f t="shared" si="227"/>
        <v>0</v>
      </c>
      <c r="AZ307" s="1">
        <f t="shared" si="228"/>
        <v>0</v>
      </c>
      <c r="BA307" s="1">
        <f t="shared" si="229"/>
        <v>0</v>
      </c>
      <c r="BB307" s="5">
        <v>0</v>
      </c>
      <c r="BC307" s="5">
        <v>0</v>
      </c>
      <c r="BD307" s="5">
        <v>1</v>
      </c>
      <c r="BE307" s="5">
        <f t="shared" si="230"/>
        <v>0</v>
      </c>
      <c r="BF307" s="5">
        <v>0</v>
      </c>
      <c r="BG307" s="5">
        <f t="shared" si="232"/>
        <v>0</v>
      </c>
      <c r="BH307" s="5">
        <f t="shared" si="232"/>
        <v>0</v>
      </c>
      <c r="BI307" s="5">
        <f t="shared" si="232"/>
        <v>0</v>
      </c>
      <c r="BJ307" s="5">
        <f t="shared" si="232"/>
        <v>0</v>
      </c>
      <c r="BK307" s="5">
        <f t="shared" si="232"/>
        <v>0</v>
      </c>
      <c r="BL307" s="5">
        <f t="shared" si="232"/>
        <v>0</v>
      </c>
      <c r="BM307" s="5">
        <f t="shared" si="232"/>
        <v>0</v>
      </c>
      <c r="BN307" s="5">
        <f t="shared" si="231"/>
        <v>0</v>
      </c>
      <c r="BO307" s="5">
        <f t="shared" si="231"/>
        <v>0</v>
      </c>
      <c r="BP307" s="5">
        <f t="shared" si="231"/>
        <v>0</v>
      </c>
      <c r="BQ307" s="5">
        <f t="shared" si="231"/>
        <v>0</v>
      </c>
      <c r="BR307" s="5">
        <f t="shared" si="231"/>
        <v>0</v>
      </c>
      <c r="BS307" s="5">
        <f t="shared" si="231"/>
        <v>0</v>
      </c>
      <c r="BT307" s="5">
        <f t="shared" si="231"/>
        <v>0</v>
      </c>
      <c r="BU307" s="5">
        <f t="shared" si="231"/>
        <v>0</v>
      </c>
      <c r="BV307" s="5">
        <f t="shared" si="231"/>
        <v>0</v>
      </c>
      <c r="BW307" s="5">
        <f t="shared" si="231"/>
        <v>0</v>
      </c>
      <c r="BX307" s="5">
        <f t="shared" si="231"/>
        <v>0</v>
      </c>
      <c r="BY307" s="5">
        <f t="shared" si="231"/>
        <v>0</v>
      </c>
      <c r="BZ307" s="5">
        <f t="shared" si="231"/>
        <v>0</v>
      </c>
      <c r="CA307" s="5">
        <f t="shared" si="231"/>
        <v>1</v>
      </c>
      <c r="CB307" s="5">
        <f t="shared" si="231"/>
        <v>0</v>
      </c>
      <c r="CC307" s="5">
        <f t="shared" si="233"/>
        <v>0</v>
      </c>
      <c r="CD307" s="5">
        <f t="shared" si="233"/>
        <v>0</v>
      </c>
      <c r="CE307" s="5">
        <f t="shared" si="233"/>
        <v>0</v>
      </c>
    </row>
    <row r="308" spans="3:83" x14ac:dyDescent="0.2">
      <c r="C308" s="1">
        <f>Growth!D313</f>
        <v>0</v>
      </c>
      <c r="D308" s="5" t="b">
        <f t="shared" si="207"/>
        <v>0</v>
      </c>
      <c r="E308" s="5">
        <v>2011</v>
      </c>
      <c r="F308" s="5">
        <f ca="1">LOOKUP($E308,frequence!$A$2:$A$35,frequence!L$2:L$35)</f>
        <v>33.053542446246631</v>
      </c>
      <c r="G308" s="5">
        <f ca="1">LOOKUP($E308,frequence!$A$2:$A$35,frequence!K$2:K$35)</f>
        <v>2.1388579511305732</v>
      </c>
      <c r="H308" s="5">
        <f ca="1">LOOKUP($E308,frequence!$A$2:$A$35,frequence!M$2:M$35)</f>
        <v>182.11948132765423</v>
      </c>
      <c r="I308" s="5">
        <v>2010</v>
      </c>
      <c r="J308" s="7">
        <f>LOOKUP(I308,CPI!A$69:A$103,CPI!O$69:O$103)</f>
        <v>1</v>
      </c>
      <c r="K308" s="5">
        <v>2010</v>
      </c>
      <c r="L308" s="7">
        <f t="shared" ca="1" si="208"/>
        <v>1</v>
      </c>
      <c r="M308" s="7">
        <f t="shared" si="200"/>
        <v>8.252164502164502E-3</v>
      </c>
      <c r="N308" s="14">
        <f>0.01/7.392</f>
        <v>1.3528138528138528E-3</v>
      </c>
      <c r="O308" s="1">
        <f ca="1">P308*J308*(1+Growth!G$6)^(2010-K308)</f>
        <v>105</v>
      </c>
      <c r="P308" s="3">
        <v>105</v>
      </c>
      <c r="Q308" s="2">
        <f t="shared" si="148"/>
        <v>105</v>
      </c>
      <c r="R308" s="21">
        <f t="shared" ca="1" si="209"/>
        <v>11025</v>
      </c>
      <c r="X308" s="2">
        <f t="shared" si="214"/>
        <v>105</v>
      </c>
      <c r="AC308" s="1">
        <f t="shared" si="222"/>
        <v>6.1</v>
      </c>
      <c r="AD308" s="5">
        <v>0</v>
      </c>
      <c r="AE308" s="5">
        <v>0</v>
      </c>
      <c r="AF308" s="5">
        <v>1</v>
      </c>
      <c r="AG308" s="5">
        <v>1</v>
      </c>
      <c r="AH308" s="5">
        <v>1</v>
      </c>
      <c r="AI308" s="3">
        <f t="shared" si="201"/>
        <v>3.1</v>
      </c>
      <c r="AJ308" s="5">
        <f t="shared" si="219"/>
        <v>0</v>
      </c>
      <c r="AK308" s="5">
        <f t="shared" si="210"/>
        <v>0</v>
      </c>
      <c r="AL308" s="5">
        <f t="shared" si="211"/>
        <v>0</v>
      </c>
      <c r="AM308" s="5">
        <f t="shared" si="220"/>
        <v>1</v>
      </c>
      <c r="AN308" s="5">
        <f t="shared" si="212"/>
        <v>0</v>
      </c>
      <c r="AO308" s="5">
        <f t="shared" si="221"/>
        <v>0</v>
      </c>
      <c r="AP308" s="11" t="s">
        <v>42</v>
      </c>
      <c r="AQ308" s="1">
        <v>1</v>
      </c>
      <c r="AR308" s="5">
        <v>0</v>
      </c>
      <c r="AS308" s="5">
        <v>0</v>
      </c>
      <c r="AT308" s="5">
        <v>1</v>
      </c>
      <c r="AU308" s="5">
        <v>1</v>
      </c>
      <c r="AV308" s="5">
        <f t="shared" si="202"/>
        <v>0</v>
      </c>
      <c r="AW308" s="5">
        <f t="shared" si="203"/>
        <v>0</v>
      </c>
      <c r="AX308" s="5">
        <f t="shared" si="204"/>
        <v>1</v>
      </c>
      <c r="AY308" s="1">
        <f t="shared" si="227"/>
        <v>0</v>
      </c>
      <c r="AZ308" s="1">
        <f t="shared" si="228"/>
        <v>0</v>
      </c>
      <c r="BA308" s="1">
        <f t="shared" si="229"/>
        <v>0</v>
      </c>
      <c r="BB308" s="5">
        <v>0</v>
      </c>
      <c r="BC308" s="5">
        <v>0</v>
      </c>
      <c r="BD308" s="5">
        <v>1</v>
      </c>
      <c r="BE308" s="5">
        <f t="shared" si="230"/>
        <v>0</v>
      </c>
      <c r="BF308" s="5">
        <v>0</v>
      </c>
      <c r="BG308" s="5">
        <f t="shared" si="232"/>
        <v>0</v>
      </c>
      <c r="BH308" s="5">
        <f t="shared" si="232"/>
        <v>0</v>
      </c>
      <c r="BI308" s="5">
        <f t="shared" si="232"/>
        <v>0</v>
      </c>
      <c r="BJ308" s="5">
        <f t="shared" si="232"/>
        <v>0</v>
      </c>
      <c r="BK308" s="5">
        <f t="shared" si="232"/>
        <v>0</v>
      </c>
      <c r="BL308" s="5">
        <f t="shared" si="232"/>
        <v>0</v>
      </c>
      <c r="BM308" s="5">
        <f t="shared" si="232"/>
        <v>0</v>
      </c>
      <c r="BN308" s="5">
        <f t="shared" si="232"/>
        <v>0</v>
      </c>
      <c r="BO308" s="5">
        <f t="shared" ref="BO308:CC323" si="234">IF($E308=BO$2,1,0)</f>
        <v>0</v>
      </c>
      <c r="BP308" s="5">
        <f t="shared" si="234"/>
        <v>0</v>
      </c>
      <c r="BQ308" s="5">
        <f t="shared" si="234"/>
        <v>0</v>
      </c>
      <c r="BR308" s="5">
        <f t="shared" si="234"/>
        <v>0</v>
      </c>
      <c r="BS308" s="5">
        <f t="shared" si="234"/>
        <v>0</v>
      </c>
      <c r="BT308" s="5">
        <f t="shared" si="234"/>
        <v>0</v>
      </c>
      <c r="BU308" s="5">
        <f t="shared" si="234"/>
        <v>0</v>
      </c>
      <c r="BV308" s="5">
        <f t="shared" si="234"/>
        <v>0</v>
      </c>
      <c r="BW308" s="5">
        <f t="shared" si="234"/>
        <v>0</v>
      </c>
      <c r="BX308" s="5">
        <f t="shared" si="234"/>
        <v>0</v>
      </c>
      <c r="BY308" s="5">
        <f t="shared" si="234"/>
        <v>0</v>
      </c>
      <c r="BZ308" s="5">
        <f t="shared" si="234"/>
        <v>0</v>
      </c>
      <c r="CA308" s="5">
        <f t="shared" si="234"/>
        <v>1</v>
      </c>
      <c r="CB308" s="5">
        <f t="shared" si="234"/>
        <v>0</v>
      </c>
      <c r="CC308" s="5">
        <f t="shared" si="233"/>
        <v>0</v>
      </c>
      <c r="CD308" s="5">
        <f t="shared" si="233"/>
        <v>0</v>
      </c>
      <c r="CE308" s="5">
        <f t="shared" si="233"/>
        <v>0</v>
      </c>
    </row>
    <row r="309" spans="3:83" x14ac:dyDescent="0.2">
      <c r="C309" s="1">
        <f>Growth!D314</f>
        <v>0</v>
      </c>
      <c r="D309" s="5" t="b">
        <f t="shared" si="207"/>
        <v>0</v>
      </c>
      <c r="E309" s="5">
        <v>2011</v>
      </c>
      <c r="F309" s="5">
        <f ca="1">LOOKUP($E309,frequence!$A$2:$A$35,frequence!L$2:L$35)</f>
        <v>33.053542446246631</v>
      </c>
      <c r="G309" s="5">
        <f ca="1">LOOKUP($E309,frequence!$A$2:$A$35,frequence!K$2:K$35)</f>
        <v>2.1388579511305732</v>
      </c>
      <c r="H309" s="5">
        <f ca="1">LOOKUP($E309,frequence!$A$2:$A$35,frequence!M$2:M$35)</f>
        <v>182.11948132765423</v>
      </c>
      <c r="I309" s="5">
        <v>2010</v>
      </c>
      <c r="J309" s="7">
        <f>LOOKUP(I309,CPI!A$69:A$103,CPI!O$69:O$103)</f>
        <v>1</v>
      </c>
      <c r="K309" s="5">
        <v>2010</v>
      </c>
      <c r="L309" s="7">
        <f t="shared" ca="1" si="208"/>
        <v>1</v>
      </c>
      <c r="M309" s="7">
        <f t="shared" si="200"/>
        <v>8.252164502164501E-2</v>
      </c>
      <c r="N309" s="14">
        <f>0.1/7.392</f>
        <v>1.3528138528138528E-2</v>
      </c>
      <c r="O309" s="1">
        <f ca="1">P309*J309*(1+Growth!G$6)^(2010-K309)</f>
        <v>112</v>
      </c>
      <c r="P309" s="3">
        <v>112</v>
      </c>
      <c r="Q309" s="2">
        <f t="shared" si="148"/>
        <v>112</v>
      </c>
      <c r="R309" s="21">
        <f t="shared" ca="1" si="209"/>
        <v>12544</v>
      </c>
      <c r="X309" s="2">
        <f t="shared" si="214"/>
        <v>112</v>
      </c>
      <c r="AC309" s="1">
        <f t="shared" si="222"/>
        <v>6.1</v>
      </c>
      <c r="AD309" s="5">
        <v>0</v>
      </c>
      <c r="AE309" s="5">
        <v>0</v>
      </c>
      <c r="AF309" s="5">
        <v>1</v>
      </c>
      <c r="AG309" s="5">
        <v>1</v>
      </c>
      <c r="AH309" s="5">
        <v>1</v>
      </c>
      <c r="AI309" s="3">
        <f t="shared" si="201"/>
        <v>3.1</v>
      </c>
      <c r="AJ309" s="5">
        <f t="shared" si="219"/>
        <v>0</v>
      </c>
      <c r="AK309" s="5">
        <f t="shared" si="210"/>
        <v>0</v>
      </c>
      <c r="AL309" s="5">
        <f t="shared" si="211"/>
        <v>0</v>
      </c>
      <c r="AM309" s="5">
        <f t="shared" si="220"/>
        <v>1</v>
      </c>
      <c r="AN309" s="5">
        <f t="shared" si="212"/>
        <v>0</v>
      </c>
      <c r="AO309" s="5">
        <f t="shared" si="221"/>
        <v>0</v>
      </c>
      <c r="AP309" s="11" t="s">
        <v>42</v>
      </c>
      <c r="AQ309" s="1">
        <v>1</v>
      </c>
      <c r="AR309" s="5">
        <v>0</v>
      </c>
      <c r="AS309" s="5">
        <v>0</v>
      </c>
      <c r="AT309" s="5">
        <v>1</v>
      </c>
      <c r="AU309" s="5">
        <v>1</v>
      </c>
      <c r="AV309" s="5">
        <f t="shared" si="202"/>
        <v>0</v>
      </c>
      <c r="AW309" s="5">
        <f t="shared" si="203"/>
        <v>0</v>
      </c>
      <c r="AX309" s="5">
        <f t="shared" si="204"/>
        <v>1</v>
      </c>
      <c r="AY309" s="1">
        <f t="shared" si="227"/>
        <v>0</v>
      </c>
      <c r="AZ309" s="1">
        <f t="shared" si="228"/>
        <v>0</v>
      </c>
      <c r="BA309" s="1">
        <f t="shared" si="229"/>
        <v>0</v>
      </c>
      <c r="BB309" s="5">
        <v>0</v>
      </c>
      <c r="BC309" s="5">
        <v>0</v>
      </c>
      <c r="BD309" s="5">
        <v>1</v>
      </c>
      <c r="BE309" s="5">
        <f t="shared" si="230"/>
        <v>0</v>
      </c>
      <c r="BF309" s="5">
        <v>0</v>
      </c>
      <c r="BG309" s="5">
        <f t="shared" ref="BG309:BN324" si="235">IF($E309=BG$2,1,0)</f>
        <v>0</v>
      </c>
      <c r="BH309" s="5">
        <f t="shared" si="235"/>
        <v>0</v>
      </c>
      <c r="BI309" s="5">
        <f t="shared" si="235"/>
        <v>0</v>
      </c>
      <c r="BJ309" s="5">
        <f t="shared" si="235"/>
        <v>0</v>
      </c>
      <c r="BK309" s="5">
        <f t="shared" si="235"/>
        <v>0</v>
      </c>
      <c r="BL309" s="5">
        <f t="shared" si="235"/>
        <v>0</v>
      </c>
      <c r="BM309" s="5">
        <f t="shared" si="235"/>
        <v>0</v>
      </c>
      <c r="BN309" s="5">
        <f t="shared" si="235"/>
        <v>0</v>
      </c>
      <c r="BO309" s="5">
        <f t="shared" si="234"/>
        <v>0</v>
      </c>
      <c r="BP309" s="5">
        <f t="shared" si="234"/>
        <v>0</v>
      </c>
      <c r="BQ309" s="5">
        <f t="shared" si="234"/>
        <v>0</v>
      </c>
      <c r="BR309" s="5">
        <f t="shared" si="234"/>
        <v>0</v>
      </c>
      <c r="BS309" s="5">
        <f t="shared" si="234"/>
        <v>0</v>
      </c>
      <c r="BT309" s="5">
        <f t="shared" si="234"/>
        <v>0</v>
      </c>
      <c r="BU309" s="5">
        <f t="shared" si="234"/>
        <v>0</v>
      </c>
      <c r="BV309" s="5">
        <f t="shared" si="234"/>
        <v>0</v>
      </c>
      <c r="BW309" s="5">
        <f t="shared" si="234"/>
        <v>0</v>
      </c>
      <c r="BX309" s="5">
        <f t="shared" si="234"/>
        <v>0</v>
      </c>
      <c r="BY309" s="5">
        <f t="shared" si="234"/>
        <v>0</v>
      </c>
      <c r="BZ309" s="5">
        <f t="shared" si="234"/>
        <v>0</v>
      </c>
      <c r="CA309" s="5">
        <f t="shared" si="234"/>
        <v>1</v>
      </c>
      <c r="CB309" s="5">
        <f t="shared" si="234"/>
        <v>0</v>
      </c>
      <c r="CC309" s="5">
        <f t="shared" si="233"/>
        <v>0</v>
      </c>
      <c r="CD309" s="5">
        <f t="shared" si="233"/>
        <v>0</v>
      </c>
      <c r="CE309" s="5">
        <f t="shared" si="233"/>
        <v>0</v>
      </c>
    </row>
    <row r="310" spans="3:83" x14ac:dyDescent="0.2">
      <c r="C310" s="1">
        <f>Growth!D315</f>
        <v>0</v>
      </c>
      <c r="D310" s="5" t="b">
        <f t="shared" si="207"/>
        <v>0</v>
      </c>
      <c r="E310" s="5">
        <v>2011</v>
      </c>
      <c r="F310" s="5">
        <f ca="1">LOOKUP($E310,frequence!$A$2:$A$35,frequence!L$2:L$35)</f>
        <v>33.053542446246631</v>
      </c>
      <c r="G310" s="5">
        <f ca="1">LOOKUP($E310,frequence!$A$2:$A$35,frequence!K$2:K$35)</f>
        <v>2.1388579511305732</v>
      </c>
      <c r="H310" s="5">
        <f ca="1">LOOKUP($E310,frequence!$A$2:$A$35,frequence!M$2:M$35)</f>
        <v>182.11948132765423</v>
      </c>
      <c r="I310" s="5">
        <v>2010</v>
      </c>
      <c r="J310" s="7">
        <f>LOOKUP(I310,CPI!A$69:A$103,CPI!O$69:O$103)</f>
        <v>1</v>
      </c>
      <c r="K310" s="5">
        <v>2010</v>
      </c>
      <c r="L310" s="7">
        <f t="shared" ca="1" si="208"/>
        <v>1</v>
      </c>
      <c r="M310" s="7">
        <f t="shared" si="200"/>
        <v>8.252164502164502E-3</v>
      </c>
      <c r="N310" s="14">
        <f>0.01/7.392</f>
        <v>1.3528138528138528E-3</v>
      </c>
      <c r="O310" s="1">
        <f ca="1">P310*J310*(1+Growth!G$6)^(2010-K310)</f>
        <v>135</v>
      </c>
      <c r="P310" s="3">
        <v>135</v>
      </c>
      <c r="Q310" s="2">
        <f t="shared" si="148"/>
        <v>135</v>
      </c>
      <c r="R310" s="21">
        <f t="shared" ca="1" si="209"/>
        <v>18225</v>
      </c>
      <c r="X310" s="2">
        <f t="shared" si="214"/>
        <v>135</v>
      </c>
      <c r="AC310" s="1">
        <f t="shared" si="222"/>
        <v>6.1</v>
      </c>
      <c r="AD310" s="5">
        <v>0</v>
      </c>
      <c r="AE310" s="5">
        <v>0</v>
      </c>
      <c r="AF310" s="5">
        <v>1</v>
      </c>
      <c r="AG310" s="5">
        <v>1</v>
      </c>
      <c r="AH310" s="5">
        <v>1</v>
      </c>
      <c r="AI310" s="3">
        <f t="shared" si="201"/>
        <v>3.1</v>
      </c>
      <c r="AJ310" s="5">
        <f t="shared" si="219"/>
        <v>0</v>
      </c>
      <c r="AK310" s="5">
        <f t="shared" si="210"/>
        <v>0</v>
      </c>
      <c r="AL310" s="5">
        <f t="shared" si="211"/>
        <v>0</v>
      </c>
      <c r="AM310" s="5">
        <f t="shared" si="220"/>
        <v>1</v>
      </c>
      <c r="AN310" s="5">
        <f t="shared" si="212"/>
        <v>0</v>
      </c>
      <c r="AO310" s="5">
        <f t="shared" si="221"/>
        <v>0</v>
      </c>
      <c r="AP310" s="11" t="s">
        <v>42</v>
      </c>
      <c r="AQ310" s="1">
        <v>1</v>
      </c>
      <c r="AR310" s="5">
        <v>0</v>
      </c>
      <c r="AS310" s="5">
        <v>0</v>
      </c>
      <c r="AT310" s="5">
        <v>1</v>
      </c>
      <c r="AU310" s="5">
        <v>1</v>
      </c>
      <c r="AV310" s="5">
        <f t="shared" si="202"/>
        <v>0</v>
      </c>
      <c r="AW310" s="5">
        <f t="shared" si="203"/>
        <v>0</v>
      </c>
      <c r="AX310" s="5">
        <f t="shared" si="204"/>
        <v>1</v>
      </c>
      <c r="AY310" s="1">
        <f t="shared" si="227"/>
        <v>0</v>
      </c>
      <c r="AZ310" s="1">
        <f t="shared" si="228"/>
        <v>0</v>
      </c>
      <c r="BA310" s="1">
        <f t="shared" si="229"/>
        <v>0</v>
      </c>
      <c r="BB310" s="5">
        <v>0</v>
      </c>
      <c r="BC310" s="5">
        <v>0</v>
      </c>
      <c r="BD310" s="5">
        <v>1</v>
      </c>
      <c r="BE310" s="5">
        <f t="shared" si="230"/>
        <v>0</v>
      </c>
      <c r="BF310" s="5">
        <v>0</v>
      </c>
      <c r="BG310" s="5">
        <f t="shared" si="235"/>
        <v>0</v>
      </c>
      <c r="BH310" s="5">
        <f t="shared" si="235"/>
        <v>0</v>
      </c>
      <c r="BI310" s="5">
        <f t="shared" si="235"/>
        <v>0</v>
      </c>
      <c r="BJ310" s="5">
        <f t="shared" si="235"/>
        <v>0</v>
      </c>
      <c r="BK310" s="5">
        <f t="shared" si="235"/>
        <v>0</v>
      </c>
      <c r="BL310" s="5">
        <f t="shared" si="235"/>
        <v>0</v>
      </c>
      <c r="BM310" s="5">
        <f t="shared" si="235"/>
        <v>0</v>
      </c>
      <c r="BN310" s="5">
        <f t="shared" si="235"/>
        <v>0</v>
      </c>
      <c r="BO310" s="5">
        <f t="shared" si="234"/>
        <v>0</v>
      </c>
      <c r="BP310" s="5">
        <f t="shared" si="234"/>
        <v>0</v>
      </c>
      <c r="BQ310" s="5">
        <f t="shared" si="234"/>
        <v>0</v>
      </c>
      <c r="BR310" s="5">
        <f t="shared" si="234"/>
        <v>0</v>
      </c>
      <c r="BS310" s="5">
        <f t="shared" si="234"/>
        <v>0</v>
      </c>
      <c r="BT310" s="5">
        <f t="shared" si="234"/>
        <v>0</v>
      </c>
      <c r="BU310" s="5">
        <f t="shared" si="234"/>
        <v>0</v>
      </c>
      <c r="BV310" s="5">
        <f t="shared" si="234"/>
        <v>0</v>
      </c>
      <c r="BW310" s="5">
        <f t="shared" si="234"/>
        <v>0</v>
      </c>
      <c r="BX310" s="5">
        <f t="shared" si="234"/>
        <v>0</v>
      </c>
      <c r="BY310" s="5">
        <f t="shared" si="234"/>
        <v>0</v>
      </c>
      <c r="BZ310" s="5">
        <f t="shared" si="234"/>
        <v>0</v>
      </c>
      <c r="CA310" s="5">
        <f t="shared" si="234"/>
        <v>1</v>
      </c>
      <c r="CB310" s="5">
        <f t="shared" si="234"/>
        <v>0</v>
      </c>
      <c r="CC310" s="5">
        <f t="shared" si="233"/>
        <v>0</v>
      </c>
      <c r="CD310" s="5">
        <f t="shared" si="233"/>
        <v>0</v>
      </c>
      <c r="CE310" s="5">
        <f t="shared" si="233"/>
        <v>0</v>
      </c>
    </row>
    <row r="311" spans="3:83" x14ac:dyDescent="0.2">
      <c r="C311" s="1">
        <f>Growth!D316</f>
        <v>0</v>
      </c>
      <c r="D311" s="5" t="b">
        <f t="shared" si="207"/>
        <v>0</v>
      </c>
      <c r="E311" s="5">
        <v>2011</v>
      </c>
      <c r="F311" s="5">
        <f ca="1">LOOKUP($E311,frequence!$A$2:$A$35,frequence!L$2:L$35)</f>
        <v>33.053542446246631</v>
      </c>
      <c r="G311" s="5">
        <f ca="1">LOOKUP($E311,frequence!$A$2:$A$35,frequence!K$2:K$35)</f>
        <v>2.1388579511305732</v>
      </c>
      <c r="H311" s="5">
        <f ca="1">LOOKUP($E311,frequence!$A$2:$A$35,frequence!M$2:M$35)</f>
        <v>182.11948132765423</v>
      </c>
      <c r="I311" s="5">
        <v>2010</v>
      </c>
      <c r="J311" s="7">
        <f>LOOKUP(I311,CPI!A$69:A$103,CPI!O$69:O$103)</f>
        <v>1</v>
      </c>
      <c r="K311" s="5">
        <v>2010</v>
      </c>
      <c r="L311" s="7">
        <f t="shared" ca="1" si="208"/>
        <v>1</v>
      </c>
      <c r="M311" s="7">
        <f t="shared" si="200"/>
        <v>8.252164502164502E-4</v>
      </c>
      <c r="N311" s="14">
        <f>0.001/7.392</f>
        <v>1.3528138528138528E-4</v>
      </c>
      <c r="O311" s="1">
        <f ca="1">P311*J311*(1+Growth!G$6)^(2010-K311)</f>
        <v>187</v>
      </c>
      <c r="P311" s="3">
        <v>187</v>
      </c>
      <c r="Q311" s="2">
        <f t="shared" si="148"/>
        <v>187</v>
      </c>
      <c r="R311" s="21">
        <f t="shared" ca="1" si="209"/>
        <v>34969</v>
      </c>
      <c r="X311" s="2">
        <f t="shared" si="214"/>
        <v>187</v>
      </c>
      <c r="AC311" s="1">
        <f t="shared" si="222"/>
        <v>6.1</v>
      </c>
      <c r="AD311" s="5">
        <v>0</v>
      </c>
      <c r="AE311" s="5">
        <v>0</v>
      </c>
      <c r="AF311" s="5">
        <v>1</v>
      </c>
      <c r="AG311" s="5">
        <v>1</v>
      </c>
      <c r="AH311" s="5">
        <v>1</v>
      </c>
      <c r="AI311" s="3">
        <f t="shared" si="201"/>
        <v>3.1</v>
      </c>
      <c r="AJ311" s="5">
        <f t="shared" si="219"/>
        <v>0</v>
      </c>
      <c r="AK311" s="5">
        <f t="shared" si="210"/>
        <v>0</v>
      </c>
      <c r="AL311" s="5">
        <f t="shared" si="211"/>
        <v>0</v>
      </c>
      <c r="AM311" s="5">
        <f t="shared" si="220"/>
        <v>1</v>
      </c>
      <c r="AN311" s="5">
        <f t="shared" si="212"/>
        <v>0</v>
      </c>
      <c r="AO311" s="5">
        <f t="shared" si="221"/>
        <v>0</v>
      </c>
      <c r="AP311" s="11" t="s">
        <v>42</v>
      </c>
      <c r="AQ311" s="1">
        <v>1</v>
      </c>
      <c r="AR311" s="5">
        <v>0</v>
      </c>
      <c r="AS311" s="5">
        <v>0</v>
      </c>
      <c r="AT311" s="5">
        <v>1</v>
      </c>
      <c r="AU311" s="5">
        <v>1</v>
      </c>
      <c r="AV311" s="5">
        <f t="shared" si="202"/>
        <v>0</v>
      </c>
      <c r="AW311" s="5">
        <f t="shared" si="203"/>
        <v>0</v>
      </c>
      <c r="AX311" s="5">
        <f t="shared" si="204"/>
        <v>1</v>
      </c>
      <c r="AY311" s="1">
        <f t="shared" si="227"/>
        <v>0</v>
      </c>
      <c r="AZ311" s="1">
        <f t="shared" si="228"/>
        <v>0</v>
      </c>
      <c r="BA311" s="1">
        <f t="shared" si="229"/>
        <v>0</v>
      </c>
      <c r="BB311" s="5">
        <v>0</v>
      </c>
      <c r="BC311" s="5">
        <v>0</v>
      </c>
      <c r="BD311" s="5">
        <v>1</v>
      </c>
      <c r="BE311" s="5">
        <f t="shared" si="230"/>
        <v>0</v>
      </c>
      <c r="BF311" s="5">
        <v>0</v>
      </c>
      <c r="BG311" s="5">
        <f t="shared" si="235"/>
        <v>0</v>
      </c>
      <c r="BH311" s="5">
        <f t="shared" si="235"/>
        <v>0</v>
      </c>
      <c r="BI311" s="5">
        <f t="shared" si="235"/>
        <v>0</v>
      </c>
      <c r="BJ311" s="5">
        <f t="shared" si="235"/>
        <v>0</v>
      </c>
      <c r="BK311" s="5">
        <f t="shared" si="235"/>
        <v>0</v>
      </c>
      <c r="BL311" s="5">
        <f t="shared" si="235"/>
        <v>0</v>
      </c>
      <c r="BM311" s="5">
        <f t="shared" si="235"/>
        <v>0</v>
      </c>
      <c r="BN311" s="5">
        <f t="shared" si="235"/>
        <v>0</v>
      </c>
      <c r="BO311" s="5">
        <f t="shared" si="234"/>
        <v>0</v>
      </c>
      <c r="BP311" s="5">
        <f t="shared" si="234"/>
        <v>0</v>
      </c>
      <c r="BQ311" s="5">
        <f t="shared" si="234"/>
        <v>0</v>
      </c>
      <c r="BR311" s="5">
        <f t="shared" si="234"/>
        <v>0</v>
      </c>
      <c r="BS311" s="5">
        <f t="shared" si="234"/>
        <v>0</v>
      </c>
      <c r="BT311" s="5">
        <f t="shared" si="234"/>
        <v>0</v>
      </c>
      <c r="BU311" s="5">
        <f t="shared" si="234"/>
        <v>0</v>
      </c>
      <c r="BV311" s="5">
        <f t="shared" si="234"/>
        <v>0</v>
      </c>
      <c r="BW311" s="5">
        <f t="shared" si="234"/>
        <v>0</v>
      </c>
      <c r="BX311" s="5">
        <f t="shared" si="234"/>
        <v>0</v>
      </c>
      <c r="BY311" s="5">
        <f t="shared" si="234"/>
        <v>0</v>
      </c>
      <c r="BZ311" s="5">
        <f t="shared" si="234"/>
        <v>0</v>
      </c>
      <c r="CA311" s="5">
        <f t="shared" si="234"/>
        <v>1</v>
      </c>
      <c r="CB311" s="5">
        <f t="shared" si="234"/>
        <v>0</v>
      </c>
      <c r="CC311" s="5">
        <f t="shared" si="233"/>
        <v>0</v>
      </c>
      <c r="CD311" s="5">
        <f t="shared" si="233"/>
        <v>0</v>
      </c>
      <c r="CE311" s="5">
        <f t="shared" si="233"/>
        <v>0</v>
      </c>
    </row>
    <row r="312" spans="3:83" x14ac:dyDescent="0.2">
      <c r="C312" s="1">
        <f>Growth!D317</f>
        <v>0</v>
      </c>
      <c r="D312" s="5" t="b">
        <f t="shared" si="207"/>
        <v>0</v>
      </c>
      <c r="E312" s="5">
        <v>2011</v>
      </c>
      <c r="F312" s="5">
        <f ca="1">LOOKUP($E312,frequence!$A$2:$A$35,frequence!L$2:L$35)</f>
        <v>33.053542446246631</v>
      </c>
      <c r="G312" s="5">
        <f ca="1">LOOKUP($E312,frequence!$A$2:$A$35,frequence!K$2:K$35)</f>
        <v>2.1388579511305732</v>
      </c>
      <c r="H312" s="5">
        <f ca="1">LOOKUP($E312,frequence!$A$2:$A$35,frequence!M$2:M$35)</f>
        <v>182.11948132765423</v>
      </c>
      <c r="I312" s="5">
        <v>2010</v>
      </c>
      <c r="J312" s="7">
        <f>LOOKUP(I312,CPI!A$69:A$103,CPI!O$69:O$103)</f>
        <v>1</v>
      </c>
      <c r="K312" s="5">
        <v>2010</v>
      </c>
      <c r="L312" s="7">
        <f t="shared" ca="1" si="208"/>
        <v>1</v>
      </c>
      <c r="M312" s="7">
        <f t="shared" si="200"/>
        <v>8.252164502164501E-2</v>
      </c>
      <c r="N312" s="14">
        <f>0.1/7.392</f>
        <v>1.3528138528138528E-2</v>
      </c>
      <c r="O312" s="1">
        <f ca="1">P312*J312*(1+Growth!G$6)^(2010-K312)</f>
        <v>155</v>
      </c>
      <c r="P312" s="3">
        <v>155</v>
      </c>
      <c r="Q312" s="2">
        <f t="shared" si="148"/>
        <v>155</v>
      </c>
      <c r="R312" s="21">
        <f t="shared" ca="1" si="209"/>
        <v>24025</v>
      </c>
      <c r="X312" s="2">
        <f t="shared" si="214"/>
        <v>155</v>
      </c>
      <c r="AC312" s="1">
        <f t="shared" si="222"/>
        <v>6.1</v>
      </c>
      <c r="AD312" s="5">
        <v>0</v>
      </c>
      <c r="AE312" s="5">
        <v>0</v>
      </c>
      <c r="AF312" s="5">
        <v>1</v>
      </c>
      <c r="AG312" s="5">
        <v>1</v>
      </c>
      <c r="AH312" s="5">
        <v>1</v>
      </c>
      <c r="AI312" s="3">
        <f t="shared" si="201"/>
        <v>3.1</v>
      </c>
      <c r="AJ312" s="5">
        <f t="shared" si="219"/>
        <v>0</v>
      </c>
      <c r="AK312" s="5">
        <f t="shared" si="210"/>
        <v>0</v>
      </c>
      <c r="AL312" s="5">
        <f t="shared" si="211"/>
        <v>0</v>
      </c>
      <c r="AM312" s="5">
        <f t="shared" si="220"/>
        <v>1</v>
      </c>
      <c r="AN312" s="5">
        <f t="shared" si="212"/>
        <v>0</v>
      </c>
      <c r="AO312" s="5">
        <f t="shared" si="221"/>
        <v>0</v>
      </c>
      <c r="AP312" s="11" t="s">
        <v>42</v>
      </c>
      <c r="AQ312" s="1">
        <v>1</v>
      </c>
      <c r="AR312" s="5">
        <v>0</v>
      </c>
      <c r="AS312" s="5">
        <v>0</v>
      </c>
      <c r="AT312" s="5">
        <v>1</v>
      </c>
      <c r="AU312" s="5">
        <v>1</v>
      </c>
      <c r="AV312" s="5">
        <f t="shared" si="202"/>
        <v>0</v>
      </c>
      <c r="AW312" s="5">
        <f t="shared" si="203"/>
        <v>0</v>
      </c>
      <c r="AX312" s="5">
        <f t="shared" si="204"/>
        <v>1</v>
      </c>
      <c r="AY312" s="1">
        <f t="shared" si="227"/>
        <v>0</v>
      </c>
      <c r="AZ312" s="1">
        <f t="shared" si="228"/>
        <v>0</v>
      </c>
      <c r="BA312" s="1">
        <f t="shared" si="229"/>
        <v>0</v>
      </c>
      <c r="BB312" s="5">
        <v>0</v>
      </c>
      <c r="BC312" s="5">
        <v>0</v>
      </c>
      <c r="BD312" s="5">
        <v>1</v>
      </c>
      <c r="BE312" s="5">
        <f t="shared" si="230"/>
        <v>0</v>
      </c>
      <c r="BF312" s="5">
        <v>0</v>
      </c>
      <c r="BG312" s="5">
        <f t="shared" si="235"/>
        <v>0</v>
      </c>
      <c r="BH312" s="5">
        <f t="shared" si="235"/>
        <v>0</v>
      </c>
      <c r="BI312" s="5">
        <f t="shared" si="235"/>
        <v>0</v>
      </c>
      <c r="BJ312" s="5">
        <f t="shared" si="235"/>
        <v>0</v>
      </c>
      <c r="BK312" s="5">
        <f t="shared" si="235"/>
        <v>0</v>
      </c>
      <c r="BL312" s="5">
        <f t="shared" si="235"/>
        <v>0</v>
      </c>
      <c r="BM312" s="5">
        <f t="shared" si="235"/>
        <v>0</v>
      </c>
      <c r="BN312" s="5">
        <f t="shared" si="235"/>
        <v>0</v>
      </c>
      <c r="BO312" s="5">
        <f t="shared" si="234"/>
        <v>0</v>
      </c>
      <c r="BP312" s="5">
        <f t="shared" si="234"/>
        <v>0</v>
      </c>
      <c r="BQ312" s="5">
        <f t="shared" si="234"/>
        <v>0</v>
      </c>
      <c r="BR312" s="5">
        <f t="shared" si="234"/>
        <v>0</v>
      </c>
      <c r="BS312" s="5">
        <f t="shared" si="234"/>
        <v>0</v>
      </c>
      <c r="BT312" s="5">
        <f t="shared" si="234"/>
        <v>0</v>
      </c>
      <c r="BU312" s="5">
        <f t="shared" si="234"/>
        <v>0</v>
      </c>
      <c r="BV312" s="5">
        <f t="shared" si="234"/>
        <v>0</v>
      </c>
      <c r="BW312" s="5">
        <f t="shared" si="234"/>
        <v>0</v>
      </c>
      <c r="BX312" s="5">
        <f t="shared" si="234"/>
        <v>0</v>
      </c>
      <c r="BY312" s="5">
        <f t="shared" si="234"/>
        <v>0</v>
      </c>
      <c r="BZ312" s="5">
        <f t="shared" si="234"/>
        <v>0</v>
      </c>
      <c r="CA312" s="5">
        <f t="shared" si="234"/>
        <v>1</v>
      </c>
      <c r="CB312" s="5">
        <f t="shared" si="234"/>
        <v>0</v>
      </c>
      <c r="CC312" s="5">
        <f t="shared" si="233"/>
        <v>0</v>
      </c>
      <c r="CD312" s="5">
        <f t="shared" si="233"/>
        <v>0</v>
      </c>
      <c r="CE312" s="5">
        <f t="shared" si="233"/>
        <v>0</v>
      </c>
    </row>
    <row r="313" spans="3:83" x14ac:dyDescent="0.2">
      <c r="C313" s="1">
        <f>Growth!D318</f>
        <v>0</v>
      </c>
      <c r="D313" s="5" t="b">
        <f t="shared" si="207"/>
        <v>0</v>
      </c>
      <c r="E313" s="5">
        <v>2011</v>
      </c>
      <c r="F313" s="5">
        <f ca="1">LOOKUP($E313,frequence!$A$2:$A$35,frequence!L$2:L$35)</f>
        <v>33.053542446246631</v>
      </c>
      <c r="G313" s="5">
        <f ca="1">LOOKUP($E313,frequence!$A$2:$A$35,frequence!K$2:K$35)</f>
        <v>2.1388579511305732</v>
      </c>
      <c r="H313" s="5">
        <f ca="1">LOOKUP($E313,frequence!$A$2:$A$35,frequence!M$2:M$35)</f>
        <v>182.11948132765423</v>
      </c>
      <c r="I313" s="5">
        <v>2010</v>
      </c>
      <c r="J313" s="7">
        <f>LOOKUP(I313,CPI!A$69:A$103,CPI!O$69:O$103)</f>
        <v>1</v>
      </c>
      <c r="K313" s="5">
        <v>2010</v>
      </c>
      <c r="L313" s="7">
        <f t="shared" ca="1" si="208"/>
        <v>1</v>
      </c>
      <c r="M313" s="7">
        <f t="shared" si="200"/>
        <v>8.252164502164502E-3</v>
      </c>
      <c r="N313" s="14">
        <f>0.01/7.392</f>
        <v>1.3528138528138528E-3</v>
      </c>
      <c r="O313" s="1">
        <f ca="1">P313*J313*(1+Growth!G$6)^(2010-K313)</f>
        <v>258</v>
      </c>
      <c r="P313" s="3">
        <v>258</v>
      </c>
      <c r="Q313" s="2">
        <f t="shared" si="148"/>
        <v>258</v>
      </c>
      <c r="R313" s="21">
        <f t="shared" ca="1" si="209"/>
        <v>66564</v>
      </c>
      <c r="X313" s="2">
        <f t="shared" si="214"/>
        <v>258</v>
      </c>
      <c r="AC313" s="1">
        <f t="shared" si="222"/>
        <v>6.1</v>
      </c>
      <c r="AD313" s="5">
        <v>0</v>
      </c>
      <c r="AE313" s="5">
        <v>0</v>
      </c>
      <c r="AF313" s="5">
        <v>1</v>
      </c>
      <c r="AG313" s="5">
        <v>1</v>
      </c>
      <c r="AH313" s="5">
        <v>1</v>
      </c>
      <c r="AI313" s="3">
        <f t="shared" si="201"/>
        <v>3.1</v>
      </c>
      <c r="AJ313" s="5">
        <f t="shared" si="219"/>
        <v>0</v>
      </c>
      <c r="AK313" s="5">
        <f t="shared" si="210"/>
        <v>0</v>
      </c>
      <c r="AL313" s="5">
        <f t="shared" si="211"/>
        <v>0</v>
      </c>
      <c r="AM313" s="5">
        <f t="shared" si="220"/>
        <v>1</v>
      </c>
      <c r="AN313" s="5">
        <f t="shared" si="212"/>
        <v>0</v>
      </c>
      <c r="AO313" s="5">
        <f t="shared" si="221"/>
        <v>0</v>
      </c>
      <c r="AP313" s="11" t="s">
        <v>42</v>
      </c>
      <c r="AQ313" s="1">
        <v>1</v>
      </c>
      <c r="AR313" s="5">
        <v>0</v>
      </c>
      <c r="AS313" s="5">
        <v>0</v>
      </c>
      <c r="AT313" s="5">
        <v>1</v>
      </c>
      <c r="AU313" s="5">
        <v>1</v>
      </c>
      <c r="AV313" s="5">
        <f t="shared" si="202"/>
        <v>0</v>
      </c>
      <c r="AW313" s="5">
        <f t="shared" si="203"/>
        <v>0</v>
      </c>
      <c r="AX313" s="5">
        <f t="shared" si="204"/>
        <v>1</v>
      </c>
      <c r="AY313" s="1">
        <f t="shared" si="227"/>
        <v>0</v>
      </c>
      <c r="AZ313" s="1">
        <f t="shared" si="228"/>
        <v>0</v>
      </c>
      <c r="BA313" s="1">
        <f t="shared" si="229"/>
        <v>0</v>
      </c>
      <c r="BB313" s="5">
        <v>0</v>
      </c>
      <c r="BC313" s="5">
        <v>0</v>
      </c>
      <c r="BD313" s="5">
        <v>1</v>
      </c>
      <c r="BE313" s="5">
        <f t="shared" si="230"/>
        <v>0</v>
      </c>
      <c r="BF313" s="5">
        <v>0</v>
      </c>
      <c r="BG313" s="5">
        <f t="shared" si="235"/>
        <v>0</v>
      </c>
      <c r="BH313" s="5">
        <f t="shared" si="235"/>
        <v>0</v>
      </c>
      <c r="BI313" s="5">
        <f t="shared" si="235"/>
        <v>0</v>
      </c>
      <c r="BJ313" s="5">
        <f t="shared" si="235"/>
        <v>0</v>
      </c>
      <c r="BK313" s="5">
        <f t="shared" si="235"/>
        <v>0</v>
      </c>
      <c r="BL313" s="5">
        <f t="shared" si="235"/>
        <v>0</v>
      </c>
      <c r="BM313" s="5">
        <f t="shared" si="235"/>
        <v>0</v>
      </c>
      <c r="BN313" s="5">
        <f t="shared" si="235"/>
        <v>0</v>
      </c>
      <c r="BO313" s="5">
        <f t="shared" si="234"/>
        <v>0</v>
      </c>
      <c r="BP313" s="5">
        <f t="shared" si="234"/>
        <v>0</v>
      </c>
      <c r="BQ313" s="5">
        <f t="shared" si="234"/>
        <v>0</v>
      </c>
      <c r="BR313" s="5">
        <f t="shared" si="234"/>
        <v>0</v>
      </c>
      <c r="BS313" s="5">
        <f t="shared" si="234"/>
        <v>0</v>
      </c>
      <c r="BT313" s="5">
        <f t="shared" si="234"/>
        <v>0</v>
      </c>
      <c r="BU313" s="5">
        <f t="shared" si="234"/>
        <v>0</v>
      </c>
      <c r="BV313" s="5">
        <f t="shared" si="234"/>
        <v>0</v>
      </c>
      <c r="BW313" s="5">
        <f t="shared" si="234"/>
        <v>0</v>
      </c>
      <c r="BX313" s="5">
        <f t="shared" si="234"/>
        <v>0</v>
      </c>
      <c r="BY313" s="5">
        <f t="shared" si="234"/>
        <v>0</v>
      </c>
      <c r="BZ313" s="5">
        <f t="shared" si="234"/>
        <v>0</v>
      </c>
      <c r="CA313" s="5">
        <f t="shared" si="234"/>
        <v>1</v>
      </c>
      <c r="CB313" s="5">
        <f t="shared" si="234"/>
        <v>0</v>
      </c>
      <c r="CC313" s="5">
        <f t="shared" si="233"/>
        <v>0</v>
      </c>
      <c r="CD313" s="5">
        <f t="shared" si="233"/>
        <v>0</v>
      </c>
      <c r="CE313" s="5">
        <f t="shared" si="233"/>
        <v>0</v>
      </c>
    </row>
    <row r="314" spans="3:83" x14ac:dyDescent="0.2">
      <c r="C314" s="1">
        <f>Growth!D319</f>
        <v>0</v>
      </c>
      <c r="D314" s="5" t="b">
        <f t="shared" si="207"/>
        <v>0</v>
      </c>
      <c r="E314" s="5">
        <v>2011</v>
      </c>
      <c r="F314" s="5">
        <f ca="1">LOOKUP($E314,frequence!$A$2:$A$35,frequence!L$2:L$35)</f>
        <v>33.053542446246631</v>
      </c>
      <c r="G314" s="5">
        <f ca="1">LOOKUP($E314,frequence!$A$2:$A$35,frequence!K$2:K$35)</f>
        <v>2.1388579511305732</v>
      </c>
      <c r="H314" s="5">
        <f ca="1">LOOKUP($E314,frequence!$A$2:$A$35,frequence!M$2:M$35)</f>
        <v>182.11948132765423</v>
      </c>
      <c r="I314" s="5">
        <v>2010</v>
      </c>
      <c r="J314" s="7">
        <f>LOOKUP(I314,CPI!A$69:A$103,CPI!O$69:O$103)</f>
        <v>1</v>
      </c>
      <c r="K314" s="5">
        <v>2010</v>
      </c>
      <c r="L314" s="7">
        <f t="shared" ca="1" si="208"/>
        <v>1</v>
      </c>
      <c r="M314" s="7">
        <f t="shared" si="200"/>
        <v>8.252164502164502E-4</v>
      </c>
      <c r="N314" s="14">
        <f>0.001/7.392</f>
        <v>1.3528138528138528E-4</v>
      </c>
      <c r="O314" s="1">
        <f ca="1">P314*J314*(1+Growth!G$6)^(2010-K314)</f>
        <v>290</v>
      </c>
      <c r="P314" s="3">
        <v>290</v>
      </c>
      <c r="Q314" s="2">
        <f t="shared" si="148"/>
        <v>290</v>
      </c>
      <c r="R314" s="21">
        <f t="shared" ca="1" si="209"/>
        <v>84100</v>
      </c>
      <c r="X314" s="2">
        <f t="shared" si="214"/>
        <v>290</v>
      </c>
      <c r="AC314" s="1">
        <f t="shared" si="222"/>
        <v>6.1</v>
      </c>
      <c r="AD314" s="5">
        <v>0</v>
      </c>
      <c r="AE314" s="5">
        <v>0</v>
      </c>
      <c r="AF314" s="5">
        <v>1</v>
      </c>
      <c r="AG314" s="5">
        <v>1</v>
      </c>
      <c r="AH314" s="5">
        <v>1</v>
      </c>
      <c r="AI314" s="3">
        <f t="shared" si="201"/>
        <v>3.1</v>
      </c>
      <c r="AJ314" s="5">
        <f t="shared" si="219"/>
        <v>0</v>
      </c>
      <c r="AK314" s="5">
        <f t="shared" si="210"/>
        <v>0</v>
      </c>
      <c r="AL314" s="5">
        <f t="shared" si="211"/>
        <v>0</v>
      </c>
      <c r="AM314" s="5">
        <f t="shared" si="220"/>
        <v>1</v>
      </c>
      <c r="AN314" s="5">
        <f t="shared" si="212"/>
        <v>0</v>
      </c>
      <c r="AO314" s="5">
        <f t="shared" si="221"/>
        <v>0</v>
      </c>
      <c r="AP314" s="11" t="s">
        <v>42</v>
      </c>
      <c r="AQ314" s="1">
        <v>1</v>
      </c>
      <c r="AR314" s="5">
        <v>0</v>
      </c>
      <c r="AS314" s="5">
        <v>0</v>
      </c>
      <c r="AT314" s="5">
        <v>1</v>
      </c>
      <c r="AU314" s="5">
        <v>1</v>
      </c>
      <c r="AV314" s="5">
        <f t="shared" si="202"/>
        <v>0</v>
      </c>
      <c r="AW314" s="5">
        <f t="shared" si="203"/>
        <v>0</v>
      </c>
      <c r="AX314" s="5">
        <f t="shared" si="204"/>
        <v>1</v>
      </c>
      <c r="AY314" s="1">
        <f t="shared" si="227"/>
        <v>0</v>
      </c>
      <c r="AZ314" s="1">
        <f t="shared" si="228"/>
        <v>0</v>
      </c>
      <c r="BA314" s="1">
        <f t="shared" si="229"/>
        <v>0</v>
      </c>
      <c r="BB314" s="5">
        <v>0</v>
      </c>
      <c r="BC314" s="5">
        <v>0</v>
      </c>
      <c r="BD314" s="5">
        <v>1</v>
      </c>
      <c r="BE314" s="5">
        <f t="shared" si="230"/>
        <v>0</v>
      </c>
      <c r="BF314" s="5">
        <v>0</v>
      </c>
      <c r="BG314" s="5">
        <f t="shared" si="235"/>
        <v>0</v>
      </c>
      <c r="BH314" s="5">
        <f t="shared" si="235"/>
        <v>0</v>
      </c>
      <c r="BI314" s="5">
        <f t="shared" si="235"/>
        <v>0</v>
      </c>
      <c r="BJ314" s="5">
        <f t="shared" si="235"/>
        <v>0</v>
      </c>
      <c r="BK314" s="5">
        <f t="shared" si="235"/>
        <v>0</v>
      </c>
      <c r="BL314" s="5">
        <f t="shared" si="235"/>
        <v>0</v>
      </c>
      <c r="BM314" s="5">
        <f t="shared" si="235"/>
        <v>0</v>
      </c>
      <c r="BN314" s="5">
        <f t="shared" si="235"/>
        <v>0</v>
      </c>
      <c r="BO314" s="5">
        <f t="shared" si="234"/>
        <v>0</v>
      </c>
      <c r="BP314" s="5">
        <f t="shared" si="234"/>
        <v>0</v>
      </c>
      <c r="BQ314" s="5">
        <f t="shared" si="234"/>
        <v>0</v>
      </c>
      <c r="BR314" s="5">
        <f t="shared" si="234"/>
        <v>0</v>
      </c>
      <c r="BS314" s="5">
        <f t="shared" si="234"/>
        <v>0</v>
      </c>
      <c r="BT314" s="5">
        <f t="shared" si="234"/>
        <v>0</v>
      </c>
      <c r="BU314" s="5">
        <f t="shared" si="234"/>
        <v>0</v>
      </c>
      <c r="BV314" s="5">
        <f t="shared" si="234"/>
        <v>0</v>
      </c>
      <c r="BW314" s="5">
        <f t="shared" si="234"/>
        <v>0</v>
      </c>
      <c r="BX314" s="5">
        <f t="shared" si="234"/>
        <v>0</v>
      </c>
      <c r="BY314" s="5">
        <f t="shared" si="234"/>
        <v>0</v>
      </c>
      <c r="BZ314" s="5">
        <f t="shared" si="234"/>
        <v>0</v>
      </c>
      <c r="CA314" s="5">
        <f t="shared" si="234"/>
        <v>1</v>
      </c>
      <c r="CB314" s="5">
        <f t="shared" si="234"/>
        <v>0</v>
      </c>
      <c r="CC314" s="5">
        <f t="shared" si="233"/>
        <v>0</v>
      </c>
      <c r="CD314" s="5">
        <f t="shared" si="233"/>
        <v>0</v>
      </c>
      <c r="CE314" s="5">
        <f t="shared" si="233"/>
        <v>0</v>
      </c>
    </row>
    <row r="315" spans="3:83" x14ac:dyDescent="0.2">
      <c r="C315" s="1">
        <f>Growth!D320</f>
        <v>0</v>
      </c>
      <c r="D315" s="5" t="b">
        <f t="shared" si="207"/>
        <v>0</v>
      </c>
      <c r="E315" s="5">
        <v>2011</v>
      </c>
      <c r="F315" s="5">
        <f ca="1">LOOKUP($E315,frequence!$A$2:$A$35,frequence!L$2:L$35)</f>
        <v>33.053542446246631</v>
      </c>
      <c r="G315" s="5">
        <f ca="1">LOOKUP($E315,frequence!$A$2:$A$35,frequence!K$2:K$35)</f>
        <v>2.1388579511305732</v>
      </c>
      <c r="H315" s="5">
        <f ca="1">LOOKUP($E315,frequence!$A$2:$A$35,frequence!M$2:M$35)</f>
        <v>182.11948132765423</v>
      </c>
      <c r="I315" s="5">
        <v>2010</v>
      </c>
      <c r="J315" s="7">
        <f>LOOKUP(I315,CPI!A$69:A$103,CPI!O$69:O$103)</f>
        <v>1</v>
      </c>
      <c r="K315" s="5">
        <v>2010</v>
      </c>
      <c r="L315" s="7">
        <f t="shared" ca="1" si="208"/>
        <v>1</v>
      </c>
      <c r="M315" s="7">
        <f t="shared" si="200"/>
        <v>0.82521645021645018</v>
      </c>
      <c r="N315" s="14">
        <f>1/7.392</f>
        <v>0.13528138528138528</v>
      </c>
      <c r="O315" s="1">
        <f ca="1">P315*J315*(1+Growth!G$6)^(2010-K315)</f>
        <v>85</v>
      </c>
      <c r="P315" s="3">
        <v>85</v>
      </c>
      <c r="Q315" s="2">
        <f t="shared" si="148"/>
        <v>85</v>
      </c>
      <c r="R315" s="21">
        <f t="shared" ca="1" si="209"/>
        <v>7225</v>
      </c>
      <c r="X315" s="2">
        <f t="shared" si="214"/>
        <v>85</v>
      </c>
      <c r="AC315" s="1">
        <f t="shared" si="222"/>
        <v>6.1</v>
      </c>
      <c r="AD315" s="5">
        <v>0</v>
      </c>
      <c r="AE315" s="5">
        <v>0</v>
      </c>
      <c r="AF315" s="5">
        <v>1</v>
      </c>
      <c r="AG315" s="5">
        <v>1</v>
      </c>
      <c r="AH315" s="5">
        <v>1</v>
      </c>
      <c r="AI315" s="3">
        <f t="shared" si="201"/>
        <v>3.1</v>
      </c>
      <c r="AJ315" s="5">
        <f t="shared" si="219"/>
        <v>0</v>
      </c>
      <c r="AK315" s="5">
        <f t="shared" si="210"/>
        <v>0</v>
      </c>
      <c r="AL315" s="5">
        <f t="shared" si="211"/>
        <v>0</v>
      </c>
      <c r="AM315" s="5">
        <f t="shared" si="220"/>
        <v>1</v>
      </c>
      <c r="AN315" s="5">
        <f t="shared" si="212"/>
        <v>0</v>
      </c>
      <c r="AO315" s="5">
        <f t="shared" si="221"/>
        <v>0</v>
      </c>
      <c r="AP315" s="11" t="s">
        <v>42</v>
      </c>
      <c r="AQ315" s="1">
        <v>1</v>
      </c>
      <c r="AR315" s="5">
        <v>0</v>
      </c>
      <c r="AS315" s="5">
        <v>0</v>
      </c>
      <c r="AT315" s="5">
        <v>0</v>
      </c>
      <c r="AU315" s="5">
        <v>1</v>
      </c>
      <c r="AV315" s="5">
        <f t="shared" si="202"/>
        <v>0</v>
      </c>
      <c r="AW315" s="5">
        <f t="shared" si="203"/>
        <v>0</v>
      </c>
      <c r="AX315" s="5">
        <f t="shared" si="204"/>
        <v>1</v>
      </c>
      <c r="AY315" s="1">
        <f t="shared" si="227"/>
        <v>0</v>
      </c>
      <c r="AZ315" s="1">
        <f t="shared" si="228"/>
        <v>0</v>
      </c>
      <c r="BA315" s="1">
        <f t="shared" si="229"/>
        <v>0</v>
      </c>
      <c r="BB315" s="5">
        <v>0</v>
      </c>
      <c r="BC315" s="5">
        <v>0</v>
      </c>
      <c r="BD315" s="5">
        <v>1</v>
      </c>
      <c r="BE315" s="5">
        <f t="shared" si="230"/>
        <v>0</v>
      </c>
      <c r="BF315" s="5">
        <v>0</v>
      </c>
      <c r="BG315" s="5">
        <f t="shared" si="235"/>
        <v>0</v>
      </c>
      <c r="BH315" s="5">
        <f t="shared" si="235"/>
        <v>0</v>
      </c>
      <c r="BI315" s="5">
        <f t="shared" si="235"/>
        <v>0</v>
      </c>
      <c r="BJ315" s="5">
        <f t="shared" si="235"/>
        <v>0</v>
      </c>
      <c r="BK315" s="5">
        <f t="shared" si="235"/>
        <v>0</v>
      </c>
      <c r="BL315" s="5">
        <f t="shared" si="235"/>
        <v>0</v>
      </c>
      <c r="BM315" s="5">
        <f t="shared" si="235"/>
        <v>0</v>
      </c>
      <c r="BN315" s="5">
        <f t="shared" si="235"/>
        <v>0</v>
      </c>
      <c r="BO315" s="5">
        <f t="shared" si="234"/>
        <v>0</v>
      </c>
      <c r="BP315" s="5">
        <f t="shared" si="234"/>
        <v>0</v>
      </c>
      <c r="BQ315" s="5">
        <f t="shared" si="234"/>
        <v>0</v>
      </c>
      <c r="BR315" s="5">
        <f t="shared" si="234"/>
        <v>0</v>
      </c>
      <c r="BS315" s="5">
        <f t="shared" si="234"/>
        <v>0</v>
      </c>
      <c r="BT315" s="5">
        <f t="shared" si="234"/>
        <v>0</v>
      </c>
      <c r="BU315" s="5">
        <f t="shared" si="234"/>
        <v>0</v>
      </c>
      <c r="BV315" s="5">
        <f t="shared" si="234"/>
        <v>0</v>
      </c>
      <c r="BW315" s="5">
        <f t="shared" si="234"/>
        <v>0</v>
      </c>
      <c r="BX315" s="5">
        <f t="shared" si="234"/>
        <v>0</v>
      </c>
      <c r="BY315" s="5">
        <f t="shared" si="234"/>
        <v>0</v>
      </c>
      <c r="BZ315" s="5">
        <f t="shared" si="234"/>
        <v>0</v>
      </c>
      <c r="CA315" s="5">
        <f t="shared" si="234"/>
        <v>1</v>
      </c>
      <c r="CB315" s="5">
        <f t="shared" si="234"/>
        <v>0</v>
      </c>
      <c r="CC315" s="5">
        <f t="shared" si="234"/>
        <v>0</v>
      </c>
      <c r="CD315" s="5">
        <f t="shared" ref="CD315:CE334" si="236">IF($E315=CD$2,1,0)</f>
        <v>0</v>
      </c>
      <c r="CE315" s="5">
        <f t="shared" si="236"/>
        <v>0</v>
      </c>
    </row>
    <row r="316" spans="3:83" x14ac:dyDescent="0.2">
      <c r="C316" s="1">
        <f>Growth!D321</f>
        <v>0</v>
      </c>
      <c r="D316" s="5" t="b">
        <f t="shared" si="207"/>
        <v>0</v>
      </c>
      <c r="E316" s="5">
        <v>2011</v>
      </c>
      <c r="F316" s="5">
        <f ca="1">LOOKUP($E316,frequence!$A$2:$A$35,frequence!L$2:L$35)</f>
        <v>33.053542446246631</v>
      </c>
      <c r="G316" s="5">
        <f ca="1">LOOKUP($E316,frequence!$A$2:$A$35,frequence!K$2:K$35)</f>
        <v>2.1388579511305732</v>
      </c>
      <c r="H316" s="5">
        <f ca="1">LOOKUP($E316,frequence!$A$2:$A$35,frequence!M$2:M$35)</f>
        <v>182.11948132765423</v>
      </c>
      <c r="I316" s="5">
        <v>2010</v>
      </c>
      <c r="J316" s="7">
        <f>LOOKUP(I316,CPI!A$69:A$103,CPI!O$69:O$103)</f>
        <v>1</v>
      </c>
      <c r="K316" s="5">
        <v>2010</v>
      </c>
      <c r="L316" s="7">
        <f t="shared" ca="1" si="208"/>
        <v>1</v>
      </c>
      <c r="M316" s="7">
        <f t="shared" si="200"/>
        <v>8.252164502164502E-3</v>
      </c>
      <c r="N316" s="14">
        <f>0.01/7.392</f>
        <v>1.3528138528138528E-3</v>
      </c>
      <c r="O316" s="1">
        <f ca="1">P316*J316*(1+Growth!G$6)^(2010-K316)</f>
        <v>81</v>
      </c>
      <c r="P316" s="3">
        <v>81</v>
      </c>
      <c r="Q316" s="2">
        <f t="shared" si="148"/>
        <v>81</v>
      </c>
      <c r="R316" s="21">
        <f t="shared" ca="1" si="209"/>
        <v>6561</v>
      </c>
      <c r="X316" s="2">
        <f t="shared" si="214"/>
        <v>81</v>
      </c>
      <c r="AC316" s="1">
        <f t="shared" si="222"/>
        <v>6.1</v>
      </c>
      <c r="AD316" s="5">
        <v>0</v>
      </c>
      <c r="AE316" s="5">
        <v>0</v>
      </c>
      <c r="AF316" s="5">
        <v>1</v>
      </c>
      <c r="AG316" s="5">
        <v>1</v>
      </c>
      <c r="AH316" s="5">
        <v>1</v>
      </c>
      <c r="AI316" s="3">
        <f t="shared" si="201"/>
        <v>3.1</v>
      </c>
      <c r="AJ316" s="5">
        <f t="shared" si="219"/>
        <v>0</v>
      </c>
      <c r="AK316" s="5">
        <f t="shared" si="210"/>
        <v>0</v>
      </c>
      <c r="AL316" s="5">
        <f t="shared" si="211"/>
        <v>0</v>
      </c>
      <c r="AM316" s="5">
        <f t="shared" si="220"/>
        <v>1</v>
      </c>
      <c r="AN316" s="5">
        <f t="shared" si="212"/>
        <v>0</v>
      </c>
      <c r="AO316" s="5">
        <f t="shared" si="221"/>
        <v>0</v>
      </c>
      <c r="AP316" s="11" t="s">
        <v>42</v>
      </c>
      <c r="AQ316" s="1">
        <v>1</v>
      </c>
      <c r="AR316" s="5">
        <v>0</v>
      </c>
      <c r="AS316" s="5">
        <v>0</v>
      </c>
      <c r="AT316" s="5">
        <v>0</v>
      </c>
      <c r="AU316" s="5">
        <v>1</v>
      </c>
      <c r="AV316" s="5">
        <f t="shared" si="202"/>
        <v>0</v>
      </c>
      <c r="AW316" s="5">
        <f t="shared" si="203"/>
        <v>0</v>
      </c>
      <c r="AX316" s="5">
        <f t="shared" si="204"/>
        <v>1</v>
      </c>
      <c r="AY316" s="1">
        <f t="shared" si="227"/>
        <v>0</v>
      </c>
      <c r="AZ316" s="1">
        <f t="shared" si="228"/>
        <v>0</v>
      </c>
      <c r="BA316" s="1">
        <f t="shared" si="229"/>
        <v>0</v>
      </c>
      <c r="BB316" s="5">
        <v>0</v>
      </c>
      <c r="BC316" s="5">
        <v>0</v>
      </c>
      <c r="BD316" s="5">
        <v>1</v>
      </c>
      <c r="BE316" s="5">
        <f t="shared" si="230"/>
        <v>0</v>
      </c>
      <c r="BF316" s="5">
        <v>0</v>
      </c>
      <c r="BG316" s="5">
        <f t="shared" si="235"/>
        <v>0</v>
      </c>
      <c r="BH316" s="5">
        <f t="shared" si="235"/>
        <v>0</v>
      </c>
      <c r="BI316" s="5">
        <f t="shared" si="235"/>
        <v>0</v>
      </c>
      <c r="BJ316" s="5">
        <f t="shared" si="235"/>
        <v>0</v>
      </c>
      <c r="BK316" s="5">
        <f t="shared" si="235"/>
        <v>0</v>
      </c>
      <c r="BL316" s="5">
        <f t="shared" si="235"/>
        <v>0</v>
      </c>
      <c r="BM316" s="5">
        <f t="shared" si="235"/>
        <v>0</v>
      </c>
      <c r="BN316" s="5">
        <f t="shared" si="235"/>
        <v>0</v>
      </c>
      <c r="BO316" s="5">
        <f t="shared" si="234"/>
        <v>0</v>
      </c>
      <c r="BP316" s="5">
        <f t="shared" si="234"/>
        <v>0</v>
      </c>
      <c r="BQ316" s="5">
        <f t="shared" si="234"/>
        <v>0</v>
      </c>
      <c r="BR316" s="5">
        <f t="shared" si="234"/>
        <v>0</v>
      </c>
      <c r="BS316" s="5">
        <f t="shared" si="234"/>
        <v>0</v>
      </c>
      <c r="BT316" s="5">
        <f t="shared" si="234"/>
        <v>0</v>
      </c>
      <c r="BU316" s="5">
        <f t="shared" si="234"/>
        <v>0</v>
      </c>
      <c r="BV316" s="5">
        <f t="shared" si="234"/>
        <v>0</v>
      </c>
      <c r="BW316" s="5">
        <f t="shared" si="234"/>
        <v>0</v>
      </c>
      <c r="BX316" s="5">
        <f t="shared" si="234"/>
        <v>0</v>
      </c>
      <c r="BY316" s="5">
        <f t="shared" si="234"/>
        <v>0</v>
      </c>
      <c r="BZ316" s="5">
        <f t="shared" si="234"/>
        <v>0</v>
      </c>
      <c r="CA316" s="5">
        <f t="shared" si="234"/>
        <v>1</v>
      </c>
      <c r="CB316" s="5">
        <f t="shared" si="234"/>
        <v>0</v>
      </c>
      <c r="CC316" s="5">
        <f t="shared" si="234"/>
        <v>0</v>
      </c>
      <c r="CD316" s="5">
        <f t="shared" si="236"/>
        <v>0</v>
      </c>
      <c r="CE316" s="5">
        <f t="shared" si="236"/>
        <v>0</v>
      </c>
    </row>
    <row r="317" spans="3:83" x14ac:dyDescent="0.2">
      <c r="C317" s="1">
        <f>Growth!D322</f>
        <v>0</v>
      </c>
      <c r="D317" s="5" t="b">
        <f t="shared" si="207"/>
        <v>0</v>
      </c>
      <c r="E317" s="5">
        <v>2011</v>
      </c>
      <c r="F317" s="5">
        <f ca="1">LOOKUP($E317,frequence!$A$2:$A$35,frequence!L$2:L$35)</f>
        <v>33.053542446246631</v>
      </c>
      <c r="G317" s="5">
        <f ca="1">LOOKUP($E317,frequence!$A$2:$A$35,frequence!K$2:K$35)</f>
        <v>2.1388579511305732</v>
      </c>
      <c r="H317" s="5">
        <f ca="1">LOOKUP($E317,frequence!$A$2:$A$35,frequence!M$2:M$35)</f>
        <v>182.11948132765423</v>
      </c>
      <c r="I317" s="5">
        <v>2010</v>
      </c>
      <c r="J317" s="7">
        <f>LOOKUP(I317,CPI!A$69:A$103,CPI!O$69:O$103)</f>
        <v>1</v>
      </c>
      <c r="K317" s="5">
        <v>2010</v>
      </c>
      <c r="L317" s="7">
        <f t="shared" ca="1" si="208"/>
        <v>1</v>
      </c>
      <c r="M317" s="7">
        <f t="shared" si="200"/>
        <v>8.252164502164501E-2</v>
      </c>
      <c r="N317" s="14">
        <f>0.1/7.392</f>
        <v>1.3528138528138528E-2</v>
      </c>
      <c r="O317" s="1">
        <f ca="1">P317*J317*(1+Growth!G$6)^(2010-K317)</f>
        <v>87</v>
      </c>
      <c r="P317" s="3">
        <v>87</v>
      </c>
      <c r="Q317" s="2">
        <f t="shared" si="148"/>
        <v>87</v>
      </c>
      <c r="R317" s="21">
        <f t="shared" ca="1" si="209"/>
        <v>7569</v>
      </c>
      <c r="X317" s="2">
        <f t="shared" si="214"/>
        <v>87</v>
      </c>
      <c r="AC317" s="1">
        <f t="shared" si="222"/>
        <v>6.1</v>
      </c>
      <c r="AD317" s="5">
        <v>0</v>
      </c>
      <c r="AE317" s="5">
        <v>0</v>
      </c>
      <c r="AF317" s="5">
        <v>1</v>
      </c>
      <c r="AG317" s="5">
        <v>1</v>
      </c>
      <c r="AH317" s="5">
        <v>1</v>
      </c>
      <c r="AI317" s="3">
        <f t="shared" si="201"/>
        <v>3.1</v>
      </c>
      <c r="AJ317" s="5">
        <f t="shared" si="219"/>
        <v>0</v>
      </c>
      <c r="AK317" s="5">
        <f t="shared" si="210"/>
        <v>0</v>
      </c>
      <c r="AL317" s="5">
        <f t="shared" si="211"/>
        <v>0</v>
      </c>
      <c r="AM317" s="5">
        <f t="shared" si="220"/>
        <v>1</v>
      </c>
      <c r="AN317" s="5">
        <f t="shared" si="212"/>
        <v>0</v>
      </c>
      <c r="AO317" s="5">
        <f t="shared" si="221"/>
        <v>0</v>
      </c>
      <c r="AP317" s="11" t="s">
        <v>42</v>
      </c>
      <c r="AQ317" s="1">
        <v>1</v>
      </c>
      <c r="AR317" s="5">
        <v>0</v>
      </c>
      <c r="AS317" s="5">
        <v>0</v>
      </c>
      <c r="AT317" s="5">
        <v>0</v>
      </c>
      <c r="AU317" s="5">
        <v>1</v>
      </c>
      <c r="AV317" s="5">
        <f t="shared" si="202"/>
        <v>0</v>
      </c>
      <c r="AW317" s="5">
        <f t="shared" si="203"/>
        <v>0</v>
      </c>
      <c r="AX317" s="5">
        <f t="shared" si="204"/>
        <v>1</v>
      </c>
      <c r="AY317" s="1">
        <f t="shared" si="227"/>
        <v>0</v>
      </c>
      <c r="AZ317" s="1">
        <f t="shared" si="228"/>
        <v>0</v>
      </c>
      <c r="BA317" s="1">
        <f t="shared" si="229"/>
        <v>0</v>
      </c>
      <c r="BB317" s="5">
        <v>0</v>
      </c>
      <c r="BC317" s="5">
        <v>0</v>
      </c>
      <c r="BD317" s="5">
        <v>1</v>
      </c>
      <c r="BE317" s="5">
        <f t="shared" si="230"/>
        <v>0</v>
      </c>
      <c r="BF317" s="5">
        <v>0</v>
      </c>
      <c r="BG317" s="5">
        <f t="shared" si="235"/>
        <v>0</v>
      </c>
      <c r="BH317" s="5">
        <f t="shared" si="235"/>
        <v>0</v>
      </c>
      <c r="BI317" s="5">
        <f t="shared" si="235"/>
        <v>0</v>
      </c>
      <c r="BJ317" s="5">
        <f t="shared" si="235"/>
        <v>0</v>
      </c>
      <c r="BK317" s="5">
        <f t="shared" si="235"/>
        <v>0</v>
      </c>
      <c r="BL317" s="5">
        <f t="shared" si="235"/>
        <v>0</v>
      </c>
      <c r="BM317" s="5">
        <f t="shared" si="235"/>
        <v>0</v>
      </c>
      <c r="BN317" s="5">
        <f t="shared" si="235"/>
        <v>0</v>
      </c>
      <c r="BO317" s="5">
        <f t="shared" si="234"/>
        <v>0</v>
      </c>
      <c r="BP317" s="5">
        <f t="shared" si="234"/>
        <v>0</v>
      </c>
      <c r="BQ317" s="5">
        <f t="shared" si="234"/>
        <v>0</v>
      </c>
      <c r="BR317" s="5">
        <f t="shared" si="234"/>
        <v>0</v>
      </c>
      <c r="BS317" s="5">
        <f t="shared" si="234"/>
        <v>0</v>
      </c>
      <c r="BT317" s="5">
        <f t="shared" si="234"/>
        <v>0</v>
      </c>
      <c r="BU317" s="5">
        <f t="shared" si="234"/>
        <v>0</v>
      </c>
      <c r="BV317" s="5">
        <f t="shared" si="234"/>
        <v>0</v>
      </c>
      <c r="BW317" s="5">
        <f t="shared" si="234"/>
        <v>0</v>
      </c>
      <c r="BX317" s="5">
        <f t="shared" si="234"/>
        <v>0</v>
      </c>
      <c r="BY317" s="5">
        <f t="shared" si="234"/>
        <v>0</v>
      </c>
      <c r="BZ317" s="5">
        <f t="shared" si="234"/>
        <v>0</v>
      </c>
      <c r="CA317" s="5">
        <f t="shared" si="234"/>
        <v>1</v>
      </c>
      <c r="CB317" s="5">
        <f t="shared" si="234"/>
        <v>0</v>
      </c>
      <c r="CC317" s="5">
        <f t="shared" si="234"/>
        <v>0</v>
      </c>
      <c r="CD317" s="5">
        <f t="shared" si="236"/>
        <v>0</v>
      </c>
      <c r="CE317" s="5">
        <f t="shared" si="236"/>
        <v>0</v>
      </c>
    </row>
    <row r="318" spans="3:83" x14ac:dyDescent="0.2">
      <c r="C318" s="1">
        <f>Growth!D323</f>
        <v>0</v>
      </c>
      <c r="D318" s="5" t="b">
        <f t="shared" si="207"/>
        <v>0</v>
      </c>
      <c r="E318" s="5">
        <v>2011</v>
      </c>
      <c r="F318" s="5">
        <f ca="1">LOOKUP($E318,frequence!$A$2:$A$35,frequence!L$2:L$35)</f>
        <v>33.053542446246631</v>
      </c>
      <c r="G318" s="5">
        <f ca="1">LOOKUP($E318,frequence!$A$2:$A$35,frequence!K$2:K$35)</f>
        <v>2.1388579511305732</v>
      </c>
      <c r="H318" s="5">
        <f ca="1">LOOKUP($E318,frequence!$A$2:$A$35,frequence!M$2:M$35)</f>
        <v>182.11948132765423</v>
      </c>
      <c r="I318" s="5">
        <v>2010</v>
      </c>
      <c r="J318" s="7">
        <f>LOOKUP(I318,CPI!A$69:A$103,CPI!O$69:O$103)</f>
        <v>1</v>
      </c>
      <c r="K318" s="5">
        <v>2010</v>
      </c>
      <c r="L318" s="7">
        <f t="shared" ca="1" si="208"/>
        <v>1</v>
      </c>
      <c r="M318" s="7">
        <f t="shared" si="200"/>
        <v>8.252164502164502E-3</v>
      </c>
      <c r="N318" s="14">
        <f>0.01/7.392</f>
        <v>1.3528138528138528E-3</v>
      </c>
      <c r="O318" s="1">
        <f ca="1">P318*J318*(1+Growth!G$6)^(2010-K318)</f>
        <v>99</v>
      </c>
      <c r="P318" s="3">
        <v>99</v>
      </c>
      <c r="Q318" s="2">
        <f t="shared" si="148"/>
        <v>99</v>
      </c>
      <c r="R318" s="21">
        <f t="shared" ca="1" si="209"/>
        <v>9801</v>
      </c>
      <c r="X318" s="2">
        <f t="shared" si="214"/>
        <v>99</v>
      </c>
      <c r="AC318" s="1">
        <f t="shared" si="222"/>
        <v>6.1</v>
      </c>
      <c r="AD318" s="5">
        <v>0</v>
      </c>
      <c r="AE318" s="5">
        <v>0</v>
      </c>
      <c r="AF318" s="5">
        <v>1</v>
      </c>
      <c r="AG318" s="5">
        <v>1</v>
      </c>
      <c r="AH318" s="5">
        <v>1</v>
      </c>
      <c r="AI318" s="3">
        <f t="shared" si="201"/>
        <v>3.1</v>
      </c>
      <c r="AJ318" s="5">
        <f t="shared" si="219"/>
        <v>0</v>
      </c>
      <c r="AK318" s="5">
        <f t="shared" si="210"/>
        <v>0</v>
      </c>
      <c r="AL318" s="5">
        <f t="shared" si="211"/>
        <v>0</v>
      </c>
      <c r="AM318" s="5">
        <f t="shared" si="220"/>
        <v>1</v>
      </c>
      <c r="AN318" s="5">
        <f t="shared" si="212"/>
        <v>0</v>
      </c>
      <c r="AO318" s="5">
        <f t="shared" si="221"/>
        <v>0</v>
      </c>
      <c r="AP318" s="11" t="s">
        <v>42</v>
      </c>
      <c r="AQ318" s="1">
        <v>1</v>
      </c>
      <c r="AR318" s="5">
        <v>0</v>
      </c>
      <c r="AS318" s="5">
        <v>0</v>
      </c>
      <c r="AT318" s="5">
        <v>0</v>
      </c>
      <c r="AU318" s="5">
        <v>1</v>
      </c>
      <c r="AV318" s="5">
        <f t="shared" si="202"/>
        <v>0</v>
      </c>
      <c r="AW318" s="5">
        <f t="shared" si="203"/>
        <v>0</v>
      </c>
      <c r="AX318" s="5">
        <f t="shared" si="204"/>
        <v>1</v>
      </c>
      <c r="AY318" s="1">
        <f t="shared" si="227"/>
        <v>0</v>
      </c>
      <c r="AZ318" s="1">
        <f t="shared" si="228"/>
        <v>0</v>
      </c>
      <c r="BA318" s="1">
        <f t="shared" si="229"/>
        <v>0</v>
      </c>
      <c r="BB318" s="5">
        <v>0</v>
      </c>
      <c r="BC318" s="5">
        <v>0</v>
      </c>
      <c r="BD318" s="5">
        <v>1</v>
      </c>
      <c r="BE318" s="5">
        <f t="shared" si="230"/>
        <v>0</v>
      </c>
      <c r="BF318" s="5">
        <v>0</v>
      </c>
      <c r="BG318" s="5">
        <f t="shared" si="235"/>
        <v>0</v>
      </c>
      <c r="BH318" s="5">
        <f t="shared" si="235"/>
        <v>0</v>
      </c>
      <c r="BI318" s="5">
        <f t="shared" si="235"/>
        <v>0</v>
      </c>
      <c r="BJ318" s="5">
        <f t="shared" si="235"/>
        <v>0</v>
      </c>
      <c r="BK318" s="5">
        <f t="shared" si="235"/>
        <v>0</v>
      </c>
      <c r="BL318" s="5">
        <f t="shared" si="235"/>
        <v>0</v>
      </c>
      <c r="BM318" s="5">
        <f t="shared" si="235"/>
        <v>0</v>
      </c>
      <c r="BN318" s="5">
        <f t="shared" si="235"/>
        <v>0</v>
      </c>
      <c r="BO318" s="5">
        <f t="shared" si="234"/>
        <v>0</v>
      </c>
      <c r="BP318" s="5">
        <f t="shared" si="234"/>
        <v>0</v>
      </c>
      <c r="BQ318" s="5">
        <f t="shared" si="234"/>
        <v>0</v>
      </c>
      <c r="BR318" s="5">
        <f t="shared" si="234"/>
        <v>0</v>
      </c>
      <c r="BS318" s="5">
        <f t="shared" si="234"/>
        <v>0</v>
      </c>
      <c r="BT318" s="5">
        <f t="shared" si="234"/>
        <v>0</v>
      </c>
      <c r="BU318" s="5">
        <f t="shared" si="234"/>
        <v>0</v>
      </c>
      <c r="BV318" s="5">
        <f t="shared" si="234"/>
        <v>0</v>
      </c>
      <c r="BW318" s="5">
        <f t="shared" si="234"/>
        <v>0</v>
      </c>
      <c r="BX318" s="5">
        <f t="shared" si="234"/>
        <v>0</v>
      </c>
      <c r="BY318" s="5">
        <f t="shared" si="234"/>
        <v>0</v>
      </c>
      <c r="BZ318" s="5">
        <f t="shared" si="234"/>
        <v>0</v>
      </c>
      <c r="CA318" s="5">
        <f t="shared" si="234"/>
        <v>1</v>
      </c>
      <c r="CB318" s="5">
        <f t="shared" si="234"/>
        <v>0</v>
      </c>
      <c r="CC318" s="5">
        <f t="shared" si="234"/>
        <v>0</v>
      </c>
      <c r="CD318" s="5">
        <f t="shared" si="236"/>
        <v>0</v>
      </c>
      <c r="CE318" s="5">
        <f t="shared" si="236"/>
        <v>0</v>
      </c>
    </row>
    <row r="319" spans="3:83" x14ac:dyDescent="0.2">
      <c r="C319" s="1">
        <f>Growth!D324</f>
        <v>0</v>
      </c>
      <c r="D319" s="5" t="b">
        <f t="shared" si="207"/>
        <v>0</v>
      </c>
      <c r="E319" s="5">
        <v>2011</v>
      </c>
      <c r="F319" s="5">
        <f ca="1">LOOKUP($E319,frequence!$A$2:$A$35,frequence!L$2:L$35)</f>
        <v>33.053542446246631</v>
      </c>
      <c r="G319" s="5">
        <f ca="1">LOOKUP($E319,frequence!$A$2:$A$35,frequence!K$2:K$35)</f>
        <v>2.1388579511305732</v>
      </c>
      <c r="H319" s="5">
        <f ca="1">LOOKUP($E319,frequence!$A$2:$A$35,frequence!M$2:M$35)</f>
        <v>182.11948132765423</v>
      </c>
      <c r="I319" s="5">
        <v>2010</v>
      </c>
      <c r="J319" s="7">
        <f>LOOKUP(I319,CPI!A$69:A$103,CPI!O$69:O$103)</f>
        <v>1</v>
      </c>
      <c r="K319" s="5">
        <v>2010</v>
      </c>
      <c r="L319" s="7">
        <f t="shared" ca="1" si="208"/>
        <v>1</v>
      </c>
      <c r="M319" s="7">
        <f t="shared" si="200"/>
        <v>8.252164502164502E-4</v>
      </c>
      <c r="N319" s="14">
        <f>0.001/7.392</f>
        <v>1.3528138528138528E-4</v>
      </c>
      <c r="O319" s="1">
        <f ca="1">P319*J319*(1+Growth!G$6)^(2010-K319)</f>
        <v>131</v>
      </c>
      <c r="P319" s="3">
        <v>131</v>
      </c>
      <c r="Q319" s="2">
        <f t="shared" si="148"/>
        <v>131</v>
      </c>
      <c r="R319" s="21">
        <f t="shared" ca="1" si="209"/>
        <v>17161</v>
      </c>
      <c r="X319" s="2">
        <f t="shared" si="214"/>
        <v>131</v>
      </c>
      <c r="AC319" s="1">
        <f t="shared" si="222"/>
        <v>6.1</v>
      </c>
      <c r="AD319" s="5">
        <v>0</v>
      </c>
      <c r="AE319" s="5">
        <v>0</v>
      </c>
      <c r="AF319" s="5">
        <v>1</v>
      </c>
      <c r="AG319" s="5">
        <v>1</v>
      </c>
      <c r="AH319" s="5">
        <v>1</v>
      </c>
      <c r="AI319" s="3">
        <f t="shared" si="201"/>
        <v>3.1</v>
      </c>
      <c r="AJ319" s="5">
        <f t="shared" si="219"/>
        <v>0</v>
      </c>
      <c r="AK319" s="5">
        <f t="shared" si="210"/>
        <v>0</v>
      </c>
      <c r="AL319" s="5">
        <f t="shared" si="211"/>
        <v>0</v>
      </c>
      <c r="AM319" s="5">
        <f t="shared" si="220"/>
        <v>1</v>
      </c>
      <c r="AN319" s="5">
        <f t="shared" si="212"/>
        <v>0</v>
      </c>
      <c r="AO319" s="5">
        <f t="shared" si="221"/>
        <v>0</v>
      </c>
      <c r="AP319" s="11" t="s">
        <v>42</v>
      </c>
      <c r="AQ319" s="1">
        <v>1</v>
      </c>
      <c r="AR319" s="5">
        <v>0</v>
      </c>
      <c r="AS319" s="5">
        <v>0</v>
      </c>
      <c r="AT319" s="5">
        <v>0</v>
      </c>
      <c r="AU319" s="5">
        <v>1</v>
      </c>
      <c r="AV319" s="5">
        <f t="shared" si="202"/>
        <v>0</v>
      </c>
      <c r="AW319" s="5">
        <f t="shared" si="203"/>
        <v>0</v>
      </c>
      <c r="AX319" s="5">
        <f t="shared" si="204"/>
        <v>1</v>
      </c>
      <c r="AY319" s="1">
        <f t="shared" si="227"/>
        <v>0</v>
      </c>
      <c r="AZ319" s="1">
        <f t="shared" si="228"/>
        <v>0</v>
      </c>
      <c r="BA319" s="1">
        <f t="shared" si="229"/>
        <v>0</v>
      </c>
      <c r="BB319" s="5">
        <v>0</v>
      </c>
      <c r="BC319" s="5">
        <v>0</v>
      </c>
      <c r="BD319" s="5">
        <v>1</v>
      </c>
      <c r="BE319" s="5">
        <f t="shared" si="230"/>
        <v>0</v>
      </c>
      <c r="BF319" s="5">
        <v>0</v>
      </c>
      <c r="BG319" s="5">
        <f t="shared" si="235"/>
        <v>0</v>
      </c>
      <c r="BH319" s="5">
        <f t="shared" si="235"/>
        <v>0</v>
      </c>
      <c r="BI319" s="5">
        <f t="shared" si="235"/>
        <v>0</v>
      </c>
      <c r="BJ319" s="5">
        <f t="shared" si="235"/>
        <v>0</v>
      </c>
      <c r="BK319" s="5">
        <f t="shared" si="235"/>
        <v>0</v>
      </c>
      <c r="BL319" s="5">
        <f t="shared" si="235"/>
        <v>0</v>
      </c>
      <c r="BM319" s="5">
        <f t="shared" si="235"/>
        <v>0</v>
      </c>
      <c r="BN319" s="5">
        <f t="shared" si="235"/>
        <v>0</v>
      </c>
      <c r="BO319" s="5">
        <f t="shared" si="234"/>
        <v>0</v>
      </c>
      <c r="BP319" s="5">
        <f t="shared" si="234"/>
        <v>0</v>
      </c>
      <c r="BQ319" s="5">
        <f t="shared" si="234"/>
        <v>0</v>
      </c>
      <c r="BR319" s="5">
        <f t="shared" si="234"/>
        <v>0</v>
      </c>
      <c r="BS319" s="5">
        <f t="shared" si="234"/>
        <v>0</v>
      </c>
      <c r="BT319" s="5">
        <f t="shared" si="234"/>
        <v>0</v>
      </c>
      <c r="BU319" s="5">
        <f t="shared" si="234"/>
        <v>0</v>
      </c>
      <c r="BV319" s="5">
        <f t="shared" si="234"/>
        <v>0</v>
      </c>
      <c r="BW319" s="5">
        <f t="shared" si="234"/>
        <v>0</v>
      </c>
      <c r="BX319" s="5">
        <f t="shared" si="234"/>
        <v>0</v>
      </c>
      <c r="BY319" s="5">
        <f t="shared" si="234"/>
        <v>0</v>
      </c>
      <c r="BZ319" s="5">
        <f t="shared" si="234"/>
        <v>0</v>
      </c>
      <c r="CA319" s="5">
        <f t="shared" si="234"/>
        <v>1</v>
      </c>
      <c r="CB319" s="5">
        <f t="shared" si="234"/>
        <v>0</v>
      </c>
      <c r="CC319" s="5">
        <f t="shared" si="234"/>
        <v>0</v>
      </c>
      <c r="CD319" s="5">
        <f t="shared" si="236"/>
        <v>0</v>
      </c>
      <c r="CE319" s="5">
        <f t="shared" si="236"/>
        <v>0</v>
      </c>
    </row>
    <row r="320" spans="3:83" x14ac:dyDescent="0.2">
      <c r="C320" s="1">
        <f>Growth!D325</f>
        <v>0</v>
      </c>
      <c r="D320" s="5" t="b">
        <f t="shared" si="207"/>
        <v>0</v>
      </c>
      <c r="E320" s="5">
        <v>2011</v>
      </c>
      <c r="F320" s="5">
        <f ca="1">LOOKUP($E320,frequence!$A$2:$A$35,frequence!L$2:L$35)</f>
        <v>33.053542446246631</v>
      </c>
      <c r="G320" s="5">
        <f ca="1">LOOKUP($E320,frequence!$A$2:$A$35,frequence!K$2:K$35)</f>
        <v>2.1388579511305732</v>
      </c>
      <c r="H320" s="5">
        <f ca="1">LOOKUP($E320,frequence!$A$2:$A$35,frequence!M$2:M$35)</f>
        <v>182.11948132765423</v>
      </c>
      <c r="I320" s="5">
        <v>2010</v>
      </c>
      <c r="J320" s="7">
        <f>LOOKUP(I320,CPI!A$69:A$103,CPI!O$69:O$103)</f>
        <v>1</v>
      </c>
      <c r="K320" s="5">
        <v>2010</v>
      </c>
      <c r="L320" s="7">
        <f t="shared" ca="1" si="208"/>
        <v>1</v>
      </c>
      <c r="M320" s="7">
        <f t="shared" si="200"/>
        <v>8.252164502164501E-2</v>
      </c>
      <c r="N320" s="14">
        <f>0.1/7.392</f>
        <v>1.3528138528138528E-2</v>
      </c>
      <c r="O320" s="1">
        <f ca="1">P320*J320*(1+Growth!G$6)^(2010-K320)</f>
        <v>145</v>
      </c>
      <c r="P320" s="3">
        <v>145</v>
      </c>
      <c r="Q320" s="2">
        <f t="shared" si="148"/>
        <v>145</v>
      </c>
      <c r="R320" s="21">
        <f t="shared" ca="1" si="209"/>
        <v>21025</v>
      </c>
      <c r="X320" s="2">
        <f t="shared" si="214"/>
        <v>145</v>
      </c>
      <c r="AC320" s="1">
        <f t="shared" si="222"/>
        <v>6.1</v>
      </c>
      <c r="AD320" s="5">
        <v>0</v>
      </c>
      <c r="AE320" s="5">
        <v>0</v>
      </c>
      <c r="AF320" s="5">
        <v>1</v>
      </c>
      <c r="AG320" s="5">
        <v>1</v>
      </c>
      <c r="AH320" s="5">
        <v>1</v>
      </c>
      <c r="AI320" s="3">
        <f t="shared" si="201"/>
        <v>3.1</v>
      </c>
      <c r="AJ320" s="5">
        <f t="shared" si="219"/>
        <v>0</v>
      </c>
      <c r="AK320" s="5">
        <f t="shared" si="210"/>
        <v>0</v>
      </c>
      <c r="AL320" s="5">
        <f t="shared" si="211"/>
        <v>0</v>
      </c>
      <c r="AM320" s="5">
        <f t="shared" si="220"/>
        <v>1</v>
      </c>
      <c r="AN320" s="5">
        <f t="shared" si="212"/>
        <v>0</v>
      </c>
      <c r="AO320" s="5">
        <f t="shared" si="221"/>
        <v>0</v>
      </c>
      <c r="AP320" s="11" t="s">
        <v>42</v>
      </c>
      <c r="AQ320" s="1">
        <v>1</v>
      </c>
      <c r="AR320" s="5">
        <v>0</v>
      </c>
      <c r="AS320" s="5">
        <v>0</v>
      </c>
      <c r="AT320" s="5">
        <v>0</v>
      </c>
      <c r="AU320" s="5">
        <v>1</v>
      </c>
      <c r="AV320" s="5">
        <f t="shared" si="202"/>
        <v>0</v>
      </c>
      <c r="AW320" s="5">
        <f t="shared" si="203"/>
        <v>0</v>
      </c>
      <c r="AX320" s="5">
        <f t="shared" si="204"/>
        <v>1</v>
      </c>
      <c r="AY320" s="1">
        <f t="shared" si="227"/>
        <v>0</v>
      </c>
      <c r="AZ320" s="1">
        <f t="shared" si="228"/>
        <v>0</v>
      </c>
      <c r="BA320" s="1">
        <f t="shared" si="229"/>
        <v>0</v>
      </c>
      <c r="BB320" s="5">
        <v>0</v>
      </c>
      <c r="BC320" s="5">
        <v>0</v>
      </c>
      <c r="BD320" s="5">
        <v>1</v>
      </c>
      <c r="BE320" s="5">
        <f t="shared" si="230"/>
        <v>0</v>
      </c>
      <c r="BF320" s="5">
        <v>0</v>
      </c>
      <c r="BG320" s="5">
        <f t="shared" si="235"/>
        <v>0</v>
      </c>
      <c r="BH320" s="5">
        <f t="shared" si="235"/>
        <v>0</v>
      </c>
      <c r="BI320" s="5">
        <f t="shared" si="235"/>
        <v>0</v>
      </c>
      <c r="BJ320" s="5">
        <f t="shared" si="235"/>
        <v>0</v>
      </c>
      <c r="BK320" s="5">
        <f t="shared" si="235"/>
        <v>0</v>
      </c>
      <c r="BL320" s="5">
        <f t="shared" si="235"/>
        <v>0</v>
      </c>
      <c r="BM320" s="5">
        <f t="shared" si="235"/>
        <v>0</v>
      </c>
      <c r="BN320" s="5">
        <f t="shared" si="235"/>
        <v>0</v>
      </c>
      <c r="BO320" s="5">
        <f t="shared" si="234"/>
        <v>0</v>
      </c>
      <c r="BP320" s="5">
        <f t="shared" si="234"/>
        <v>0</v>
      </c>
      <c r="BQ320" s="5">
        <f t="shared" si="234"/>
        <v>0</v>
      </c>
      <c r="BR320" s="5">
        <f t="shared" si="234"/>
        <v>0</v>
      </c>
      <c r="BS320" s="5">
        <f t="shared" si="234"/>
        <v>0</v>
      </c>
      <c r="BT320" s="5">
        <f t="shared" si="234"/>
        <v>0</v>
      </c>
      <c r="BU320" s="5">
        <f t="shared" si="234"/>
        <v>0</v>
      </c>
      <c r="BV320" s="5">
        <f t="shared" si="234"/>
        <v>0</v>
      </c>
      <c r="BW320" s="5">
        <f t="shared" si="234"/>
        <v>0</v>
      </c>
      <c r="BX320" s="5">
        <f t="shared" si="234"/>
        <v>0</v>
      </c>
      <c r="BY320" s="5">
        <f t="shared" si="234"/>
        <v>0</v>
      </c>
      <c r="BZ320" s="5">
        <f t="shared" si="234"/>
        <v>0</v>
      </c>
      <c r="CA320" s="5">
        <f t="shared" si="234"/>
        <v>1</v>
      </c>
      <c r="CB320" s="5">
        <f t="shared" si="234"/>
        <v>0</v>
      </c>
      <c r="CC320" s="5">
        <f t="shared" si="234"/>
        <v>0</v>
      </c>
      <c r="CD320" s="5">
        <f t="shared" si="236"/>
        <v>0</v>
      </c>
      <c r="CE320" s="5">
        <f t="shared" si="236"/>
        <v>0</v>
      </c>
    </row>
    <row r="321" spans="3:83" x14ac:dyDescent="0.2">
      <c r="C321" s="1">
        <f>Growth!D326</f>
        <v>0</v>
      </c>
      <c r="D321" s="5" t="b">
        <f t="shared" si="207"/>
        <v>0</v>
      </c>
      <c r="E321" s="5">
        <v>2011</v>
      </c>
      <c r="F321" s="5">
        <f ca="1">LOOKUP($E321,frequence!$A$2:$A$35,frequence!L$2:L$35)</f>
        <v>33.053542446246631</v>
      </c>
      <c r="G321" s="5">
        <f ca="1">LOOKUP($E321,frequence!$A$2:$A$35,frequence!K$2:K$35)</f>
        <v>2.1388579511305732</v>
      </c>
      <c r="H321" s="5">
        <f ca="1">LOOKUP($E321,frequence!$A$2:$A$35,frequence!M$2:M$35)</f>
        <v>182.11948132765423</v>
      </c>
      <c r="I321" s="5">
        <v>2010</v>
      </c>
      <c r="J321" s="7">
        <f>LOOKUP(I321,CPI!A$69:A$103,CPI!O$69:O$103)</f>
        <v>1</v>
      </c>
      <c r="K321" s="5">
        <v>2010</v>
      </c>
      <c r="L321" s="7">
        <f t="shared" ca="1" si="208"/>
        <v>1</v>
      </c>
      <c r="M321" s="7">
        <f t="shared" si="200"/>
        <v>8.252164502164502E-3</v>
      </c>
      <c r="N321" s="14">
        <f>0.01/7.392</f>
        <v>1.3528138528138528E-3</v>
      </c>
      <c r="O321" s="1">
        <f ca="1">P321*J321*(1+Growth!G$6)^(2010-K321)</f>
        <v>236</v>
      </c>
      <c r="P321" s="3">
        <v>236</v>
      </c>
      <c r="Q321" s="2">
        <f t="shared" si="148"/>
        <v>236</v>
      </c>
      <c r="R321" s="21">
        <f t="shared" ca="1" si="209"/>
        <v>55696</v>
      </c>
      <c r="X321" s="2">
        <f t="shared" si="214"/>
        <v>236</v>
      </c>
      <c r="AC321" s="1">
        <f t="shared" si="222"/>
        <v>6.1</v>
      </c>
      <c r="AD321" s="5">
        <v>0</v>
      </c>
      <c r="AE321" s="5">
        <v>0</v>
      </c>
      <c r="AF321" s="5">
        <v>1</v>
      </c>
      <c r="AG321" s="5">
        <v>1</v>
      </c>
      <c r="AH321" s="5">
        <v>1</v>
      </c>
      <c r="AI321" s="3">
        <f t="shared" si="201"/>
        <v>3.1</v>
      </c>
      <c r="AJ321" s="5">
        <f t="shared" si="219"/>
        <v>0</v>
      </c>
      <c r="AK321" s="5">
        <f t="shared" si="210"/>
        <v>0</v>
      </c>
      <c r="AL321" s="5">
        <f t="shared" si="211"/>
        <v>0</v>
      </c>
      <c r="AM321" s="5">
        <f t="shared" si="220"/>
        <v>1</v>
      </c>
      <c r="AN321" s="5">
        <f t="shared" si="212"/>
        <v>0</v>
      </c>
      <c r="AO321" s="5">
        <f t="shared" si="221"/>
        <v>0</v>
      </c>
      <c r="AP321" s="11" t="s">
        <v>42</v>
      </c>
      <c r="AQ321" s="1">
        <v>1</v>
      </c>
      <c r="AR321" s="5">
        <v>0</v>
      </c>
      <c r="AS321" s="5">
        <v>0</v>
      </c>
      <c r="AT321" s="5">
        <v>0</v>
      </c>
      <c r="AU321" s="5">
        <v>1</v>
      </c>
      <c r="AV321" s="5">
        <f t="shared" si="202"/>
        <v>0</v>
      </c>
      <c r="AW321" s="5">
        <f t="shared" si="203"/>
        <v>0</v>
      </c>
      <c r="AX321" s="5">
        <f t="shared" si="204"/>
        <v>1</v>
      </c>
      <c r="AY321" s="1">
        <f t="shared" si="227"/>
        <v>0</v>
      </c>
      <c r="AZ321" s="1">
        <f t="shared" si="228"/>
        <v>0</v>
      </c>
      <c r="BA321" s="1">
        <f t="shared" si="229"/>
        <v>0</v>
      </c>
      <c r="BB321" s="5">
        <v>0</v>
      </c>
      <c r="BC321" s="5">
        <v>0</v>
      </c>
      <c r="BD321" s="5">
        <v>1</v>
      </c>
      <c r="BE321" s="5">
        <f t="shared" si="230"/>
        <v>0</v>
      </c>
      <c r="BF321" s="5">
        <v>0</v>
      </c>
      <c r="BG321" s="5">
        <f t="shared" si="235"/>
        <v>0</v>
      </c>
      <c r="BH321" s="5">
        <f t="shared" si="235"/>
        <v>0</v>
      </c>
      <c r="BI321" s="5">
        <f t="shared" si="235"/>
        <v>0</v>
      </c>
      <c r="BJ321" s="5">
        <f t="shared" si="235"/>
        <v>0</v>
      </c>
      <c r="BK321" s="5">
        <f t="shared" si="235"/>
        <v>0</v>
      </c>
      <c r="BL321" s="5">
        <f t="shared" si="235"/>
        <v>0</v>
      </c>
      <c r="BM321" s="5">
        <f t="shared" si="235"/>
        <v>0</v>
      </c>
      <c r="BN321" s="5">
        <f t="shared" si="235"/>
        <v>0</v>
      </c>
      <c r="BO321" s="5">
        <f t="shared" si="234"/>
        <v>0</v>
      </c>
      <c r="BP321" s="5">
        <f t="shared" si="234"/>
        <v>0</v>
      </c>
      <c r="BQ321" s="5">
        <f t="shared" si="234"/>
        <v>0</v>
      </c>
      <c r="BR321" s="5">
        <f t="shared" si="234"/>
        <v>0</v>
      </c>
      <c r="BS321" s="5">
        <f t="shared" si="234"/>
        <v>0</v>
      </c>
      <c r="BT321" s="5">
        <f t="shared" si="234"/>
        <v>0</v>
      </c>
      <c r="BU321" s="5">
        <f t="shared" si="234"/>
        <v>0</v>
      </c>
      <c r="BV321" s="5">
        <f t="shared" si="234"/>
        <v>0</v>
      </c>
      <c r="BW321" s="5">
        <f t="shared" si="234"/>
        <v>0</v>
      </c>
      <c r="BX321" s="5">
        <f t="shared" si="234"/>
        <v>0</v>
      </c>
      <c r="BY321" s="5">
        <f t="shared" si="234"/>
        <v>0</v>
      </c>
      <c r="BZ321" s="5">
        <f t="shared" si="234"/>
        <v>0</v>
      </c>
      <c r="CA321" s="5">
        <f t="shared" si="234"/>
        <v>1</v>
      </c>
      <c r="CB321" s="5">
        <f t="shared" si="234"/>
        <v>0</v>
      </c>
      <c r="CC321" s="5">
        <f t="shared" si="234"/>
        <v>0</v>
      </c>
      <c r="CD321" s="5">
        <f t="shared" si="236"/>
        <v>0</v>
      </c>
      <c r="CE321" s="5">
        <f t="shared" si="236"/>
        <v>0</v>
      </c>
    </row>
    <row r="322" spans="3:83" x14ac:dyDescent="0.2">
      <c r="C322" s="1">
        <f>Growth!D327</f>
        <v>0</v>
      </c>
      <c r="D322" s="5" t="b">
        <f t="shared" si="207"/>
        <v>0</v>
      </c>
      <c r="E322" s="5">
        <v>2011</v>
      </c>
      <c r="F322" s="5">
        <f ca="1">LOOKUP($E322,frequence!$A$2:$A$35,frequence!L$2:L$35)</f>
        <v>33.053542446246631</v>
      </c>
      <c r="G322" s="5">
        <f ca="1">LOOKUP($E322,frequence!$A$2:$A$35,frequence!K$2:K$35)</f>
        <v>2.1388579511305732</v>
      </c>
      <c r="H322" s="5">
        <f ca="1">LOOKUP($E322,frequence!$A$2:$A$35,frequence!M$2:M$35)</f>
        <v>182.11948132765423</v>
      </c>
      <c r="I322" s="5">
        <v>2010</v>
      </c>
      <c r="J322" s="7">
        <f>LOOKUP(I322,CPI!A$69:A$103,CPI!O$69:O$103)</f>
        <v>1</v>
      </c>
      <c r="K322" s="5">
        <v>2010</v>
      </c>
      <c r="L322" s="7">
        <f t="shared" ca="1" si="208"/>
        <v>1</v>
      </c>
      <c r="M322" s="7">
        <f t="shared" si="200"/>
        <v>8.252164502164502E-4</v>
      </c>
      <c r="N322" s="14">
        <f>0.001/7.392</f>
        <v>1.3528138528138528E-4</v>
      </c>
      <c r="O322" s="1">
        <f ca="1">P322*J322*(1+Growth!G$6)^(2010-K322)</f>
        <v>265</v>
      </c>
      <c r="P322" s="3">
        <v>265</v>
      </c>
      <c r="Q322" s="2">
        <f t="shared" si="148"/>
        <v>265</v>
      </c>
      <c r="R322" s="21">
        <f t="shared" ca="1" si="209"/>
        <v>70225</v>
      </c>
      <c r="X322" s="2">
        <f t="shared" si="214"/>
        <v>265</v>
      </c>
      <c r="AC322" s="1">
        <f t="shared" si="222"/>
        <v>6.1</v>
      </c>
      <c r="AD322" s="5">
        <v>0</v>
      </c>
      <c r="AE322" s="5">
        <v>0</v>
      </c>
      <c r="AF322" s="5">
        <v>1</v>
      </c>
      <c r="AG322" s="5">
        <v>1</v>
      </c>
      <c r="AH322" s="5">
        <v>1</v>
      </c>
      <c r="AI322" s="3">
        <f t="shared" si="201"/>
        <v>3.1</v>
      </c>
      <c r="AJ322" s="5">
        <f t="shared" si="219"/>
        <v>0</v>
      </c>
      <c r="AK322" s="5">
        <f t="shared" si="210"/>
        <v>0</v>
      </c>
      <c r="AL322" s="5">
        <f t="shared" si="211"/>
        <v>0</v>
      </c>
      <c r="AM322" s="5">
        <f t="shared" si="220"/>
        <v>1</v>
      </c>
      <c r="AN322" s="5">
        <f t="shared" si="212"/>
        <v>0</v>
      </c>
      <c r="AO322" s="5">
        <f t="shared" si="221"/>
        <v>0</v>
      </c>
      <c r="AP322" s="11" t="s">
        <v>42</v>
      </c>
      <c r="AQ322" s="1">
        <v>1</v>
      </c>
      <c r="AR322" s="5">
        <v>0</v>
      </c>
      <c r="AS322" s="5">
        <v>0</v>
      </c>
      <c r="AT322" s="5">
        <v>0</v>
      </c>
      <c r="AU322" s="5">
        <v>1</v>
      </c>
      <c r="AV322" s="5">
        <f t="shared" si="202"/>
        <v>0</v>
      </c>
      <c r="AW322" s="5">
        <f t="shared" si="203"/>
        <v>0</v>
      </c>
      <c r="AX322" s="5">
        <f t="shared" si="204"/>
        <v>1</v>
      </c>
      <c r="AY322" s="1">
        <f t="shared" si="227"/>
        <v>0</v>
      </c>
      <c r="AZ322" s="1">
        <f t="shared" si="228"/>
        <v>0</v>
      </c>
      <c r="BA322" s="1">
        <f t="shared" si="229"/>
        <v>0</v>
      </c>
      <c r="BB322" s="5">
        <v>0</v>
      </c>
      <c r="BC322" s="5">
        <v>0</v>
      </c>
      <c r="BD322" s="5">
        <v>1</v>
      </c>
      <c r="BE322" s="5">
        <f t="shared" si="230"/>
        <v>0</v>
      </c>
      <c r="BF322" s="5">
        <v>0</v>
      </c>
      <c r="BG322" s="5">
        <f t="shared" si="235"/>
        <v>0</v>
      </c>
      <c r="BH322" s="5">
        <f t="shared" si="235"/>
        <v>0</v>
      </c>
      <c r="BI322" s="5">
        <f t="shared" si="235"/>
        <v>0</v>
      </c>
      <c r="BJ322" s="5">
        <f t="shared" si="235"/>
        <v>0</v>
      </c>
      <c r="BK322" s="5">
        <f t="shared" si="235"/>
        <v>0</v>
      </c>
      <c r="BL322" s="5">
        <f t="shared" si="235"/>
        <v>0</v>
      </c>
      <c r="BM322" s="5">
        <f t="shared" si="235"/>
        <v>0</v>
      </c>
      <c r="BN322" s="5">
        <f t="shared" si="235"/>
        <v>0</v>
      </c>
      <c r="BO322" s="5">
        <f t="shared" si="234"/>
        <v>0</v>
      </c>
      <c r="BP322" s="5">
        <f t="shared" si="234"/>
        <v>0</v>
      </c>
      <c r="BQ322" s="5">
        <f t="shared" si="234"/>
        <v>0</v>
      </c>
      <c r="BR322" s="5">
        <f t="shared" si="234"/>
        <v>0</v>
      </c>
      <c r="BS322" s="5">
        <f t="shared" si="234"/>
        <v>0</v>
      </c>
      <c r="BT322" s="5">
        <f t="shared" si="234"/>
        <v>0</v>
      </c>
      <c r="BU322" s="5">
        <f t="shared" si="234"/>
        <v>0</v>
      </c>
      <c r="BV322" s="5">
        <f t="shared" si="234"/>
        <v>0</v>
      </c>
      <c r="BW322" s="5">
        <f t="shared" si="234"/>
        <v>0</v>
      </c>
      <c r="BX322" s="5">
        <f t="shared" si="234"/>
        <v>0</v>
      </c>
      <c r="BY322" s="5">
        <f t="shared" si="234"/>
        <v>0</v>
      </c>
      <c r="BZ322" s="5">
        <f t="shared" si="234"/>
        <v>0</v>
      </c>
      <c r="CA322" s="5">
        <f t="shared" si="234"/>
        <v>1</v>
      </c>
      <c r="CB322" s="5">
        <f t="shared" si="234"/>
        <v>0</v>
      </c>
      <c r="CC322" s="5">
        <f t="shared" si="234"/>
        <v>0</v>
      </c>
      <c r="CD322" s="5">
        <f t="shared" si="236"/>
        <v>0</v>
      </c>
      <c r="CE322" s="5">
        <f t="shared" si="236"/>
        <v>0</v>
      </c>
    </row>
    <row r="323" spans="3:83" x14ac:dyDescent="0.2">
      <c r="C323" s="1">
        <f>Growth!D328</f>
        <v>0</v>
      </c>
      <c r="D323" s="5" t="b">
        <f t="shared" si="207"/>
        <v>0</v>
      </c>
      <c r="E323" s="5">
        <v>2011</v>
      </c>
      <c r="F323" s="5">
        <f ca="1">LOOKUP($E323,frequence!$A$2:$A$35,frequence!L$2:L$35)</f>
        <v>33.053542446246631</v>
      </c>
      <c r="G323" s="5">
        <f ca="1">LOOKUP($E323,frequence!$A$2:$A$35,frequence!K$2:K$35)</f>
        <v>2.1388579511305732</v>
      </c>
      <c r="H323" s="5">
        <f ca="1">LOOKUP($E323,frequence!$A$2:$A$35,frequence!M$2:M$35)</f>
        <v>182.11948132765423</v>
      </c>
      <c r="I323" s="5">
        <v>2010</v>
      </c>
      <c r="J323" s="7">
        <f>LOOKUP(I323,CPI!A$69:A$103,CPI!O$69:O$103)</f>
        <v>1</v>
      </c>
      <c r="K323" s="5">
        <v>2010</v>
      </c>
      <c r="L323" s="7">
        <f t="shared" ca="1" si="208"/>
        <v>1</v>
      </c>
      <c r="M323" s="7">
        <f t="shared" si="200"/>
        <v>0.82521645021645018</v>
      </c>
      <c r="N323" s="14">
        <f>1/7.392</f>
        <v>0.13528138528138528</v>
      </c>
      <c r="O323" s="1">
        <f ca="1">P323*J323*(1+Growth!G$6)^(2010-K323)</f>
        <v>8</v>
      </c>
      <c r="P323" s="3">
        <v>8</v>
      </c>
      <c r="Q323" s="2">
        <f t="shared" si="148"/>
        <v>8</v>
      </c>
      <c r="R323" s="21">
        <f t="shared" ca="1" si="209"/>
        <v>64</v>
      </c>
      <c r="X323" s="2">
        <f t="shared" si="214"/>
        <v>8</v>
      </c>
      <c r="AC323" s="1">
        <f t="shared" si="222"/>
        <v>6.1</v>
      </c>
      <c r="AD323" s="5">
        <v>0</v>
      </c>
      <c r="AE323" s="5">
        <v>0</v>
      </c>
      <c r="AF323" s="5">
        <v>1</v>
      </c>
      <c r="AG323" s="5">
        <v>1</v>
      </c>
      <c r="AH323" s="5">
        <v>1</v>
      </c>
      <c r="AI323" s="3">
        <f t="shared" si="201"/>
        <v>3.1</v>
      </c>
      <c r="AJ323" s="5">
        <f t="shared" si="219"/>
        <v>1</v>
      </c>
      <c r="AK323" s="5">
        <f t="shared" si="210"/>
        <v>0</v>
      </c>
      <c r="AL323" s="5">
        <f t="shared" si="211"/>
        <v>0</v>
      </c>
      <c r="AM323" s="5">
        <f t="shared" si="220"/>
        <v>0</v>
      </c>
      <c r="AN323" s="5">
        <f t="shared" si="212"/>
        <v>0</v>
      </c>
      <c r="AO323" s="5">
        <f t="shared" si="221"/>
        <v>0</v>
      </c>
      <c r="AP323" s="11" t="s">
        <v>42</v>
      </c>
      <c r="AQ323" s="1">
        <v>3</v>
      </c>
      <c r="AR323" s="5">
        <v>0</v>
      </c>
      <c r="AS323" s="5">
        <v>0</v>
      </c>
      <c r="AT323" s="5">
        <v>1</v>
      </c>
      <c r="AU323" s="5">
        <v>1</v>
      </c>
      <c r="AV323" s="5">
        <f t="shared" si="202"/>
        <v>0</v>
      </c>
      <c r="AW323" s="5">
        <f t="shared" si="203"/>
        <v>0</v>
      </c>
      <c r="AX323" s="5">
        <f t="shared" si="204"/>
        <v>1</v>
      </c>
      <c r="AY323" s="1">
        <f t="shared" si="227"/>
        <v>0</v>
      </c>
      <c r="AZ323" s="1">
        <f t="shared" si="228"/>
        <v>0</v>
      </c>
      <c r="BA323" s="1">
        <f t="shared" si="229"/>
        <v>0</v>
      </c>
      <c r="BB323" s="5">
        <v>0</v>
      </c>
      <c r="BC323" s="5">
        <v>0</v>
      </c>
      <c r="BD323" s="5">
        <v>1</v>
      </c>
      <c r="BE323" s="5">
        <f t="shared" si="230"/>
        <v>0</v>
      </c>
      <c r="BF323" s="5">
        <v>0</v>
      </c>
      <c r="BG323" s="5">
        <f t="shared" si="235"/>
        <v>0</v>
      </c>
      <c r="BH323" s="5">
        <f t="shared" si="235"/>
        <v>0</v>
      </c>
      <c r="BI323" s="5">
        <f t="shared" si="235"/>
        <v>0</v>
      </c>
      <c r="BJ323" s="5">
        <f t="shared" si="235"/>
        <v>0</v>
      </c>
      <c r="BK323" s="5">
        <f t="shared" si="235"/>
        <v>0</v>
      </c>
      <c r="BL323" s="5">
        <f t="shared" si="235"/>
        <v>0</v>
      </c>
      <c r="BM323" s="5">
        <f t="shared" si="235"/>
        <v>0</v>
      </c>
      <c r="BN323" s="5">
        <f t="shared" si="235"/>
        <v>0</v>
      </c>
      <c r="BO323" s="5">
        <f t="shared" si="234"/>
        <v>0</v>
      </c>
      <c r="BP323" s="5">
        <f t="shared" si="234"/>
        <v>0</v>
      </c>
      <c r="BQ323" s="5">
        <f t="shared" si="234"/>
        <v>0</v>
      </c>
      <c r="BR323" s="5">
        <f t="shared" si="234"/>
        <v>0</v>
      </c>
      <c r="BS323" s="5">
        <f t="shared" si="234"/>
        <v>0</v>
      </c>
      <c r="BT323" s="5">
        <f t="shared" si="234"/>
        <v>0</v>
      </c>
      <c r="BU323" s="5">
        <f t="shared" si="234"/>
        <v>0</v>
      </c>
      <c r="BV323" s="5">
        <f t="shared" si="234"/>
        <v>0</v>
      </c>
      <c r="BW323" s="5">
        <f t="shared" si="234"/>
        <v>0</v>
      </c>
      <c r="BX323" s="5">
        <f t="shared" si="234"/>
        <v>0</v>
      </c>
      <c r="BY323" s="5">
        <f t="shared" si="234"/>
        <v>0</v>
      </c>
      <c r="BZ323" s="5">
        <f t="shared" si="234"/>
        <v>0</v>
      </c>
      <c r="CA323" s="5">
        <f t="shared" si="234"/>
        <v>1</v>
      </c>
      <c r="CB323" s="5">
        <f t="shared" si="234"/>
        <v>0</v>
      </c>
      <c r="CC323" s="5">
        <f t="shared" si="234"/>
        <v>0</v>
      </c>
      <c r="CD323" s="5">
        <f t="shared" si="236"/>
        <v>0</v>
      </c>
      <c r="CE323" s="5">
        <f t="shared" si="236"/>
        <v>0</v>
      </c>
    </row>
    <row r="324" spans="3:83" x14ac:dyDescent="0.2">
      <c r="C324" s="1">
        <f>Growth!D329</f>
        <v>0</v>
      </c>
      <c r="D324" s="5" t="b">
        <f t="shared" si="207"/>
        <v>0</v>
      </c>
      <c r="E324" s="5">
        <v>2011</v>
      </c>
      <c r="F324" s="5">
        <f ca="1">LOOKUP($E324,frequence!$A$2:$A$35,frequence!L$2:L$35)</f>
        <v>33.053542446246631</v>
      </c>
      <c r="G324" s="5">
        <f ca="1">LOOKUP($E324,frequence!$A$2:$A$35,frequence!K$2:K$35)</f>
        <v>2.1388579511305732</v>
      </c>
      <c r="H324" s="5">
        <f ca="1">LOOKUP($E324,frequence!$A$2:$A$35,frequence!M$2:M$35)</f>
        <v>182.11948132765423</v>
      </c>
      <c r="I324" s="5">
        <v>2010</v>
      </c>
      <c r="J324" s="7">
        <f>LOOKUP(I324,CPI!A$69:A$103,CPI!O$69:O$103)</f>
        <v>1</v>
      </c>
      <c r="K324" s="5">
        <v>2010</v>
      </c>
      <c r="L324" s="7">
        <f t="shared" ca="1" si="208"/>
        <v>1</v>
      </c>
      <c r="M324" s="7">
        <f t="shared" ref="M324:M338" si="237">N324*AC324</f>
        <v>8.252164502164502E-3</v>
      </c>
      <c r="N324" s="14">
        <f>0.01/7.392</f>
        <v>1.3528138528138528E-3</v>
      </c>
      <c r="O324" s="1">
        <f ca="1">P324*J324*(1+Growth!G$6)^(2010-K324)</f>
        <v>8</v>
      </c>
      <c r="P324" s="3">
        <v>8</v>
      </c>
      <c r="Q324" s="2">
        <f t="shared" si="148"/>
        <v>8</v>
      </c>
      <c r="R324" s="21">
        <f t="shared" ca="1" si="209"/>
        <v>64</v>
      </c>
      <c r="X324" s="2">
        <f t="shared" si="214"/>
        <v>8</v>
      </c>
      <c r="AC324" s="1">
        <f t="shared" si="222"/>
        <v>6.1</v>
      </c>
      <c r="AD324" s="5">
        <v>0</v>
      </c>
      <c r="AE324" s="5">
        <v>0</v>
      </c>
      <c r="AF324" s="5">
        <v>1</v>
      </c>
      <c r="AG324" s="5">
        <v>1</v>
      </c>
      <c r="AH324" s="5">
        <v>1</v>
      </c>
      <c r="AI324" s="3">
        <f t="shared" ref="AI324:AI387" si="238">(E324-1980)/10</f>
        <v>3.1</v>
      </c>
      <c r="AJ324" s="5">
        <f t="shared" si="219"/>
        <v>1</v>
      </c>
      <c r="AK324" s="5">
        <f t="shared" si="210"/>
        <v>0</v>
      </c>
      <c r="AL324" s="5">
        <f t="shared" si="211"/>
        <v>0</v>
      </c>
      <c r="AM324" s="5">
        <f t="shared" si="220"/>
        <v>0</v>
      </c>
      <c r="AN324" s="5">
        <f t="shared" si="212"/>
        <v>0</v>
      </c>
      <c r="AO324" s="5">
        <f t="shared" si="221"/>
        <v>0</v>
      </c>
      <c r="AP324" s="11" t="s">
        <v>42</v>
      </c>
      <c r="AQ324" s="1">
        <v>3</v>
      </c>
      <c r="AR324" s="5">
        <v>0</v>
      </c>
      <c r="AS324" s="5">
        <v>0</v>
      </c>
      <c r="AT324" s="5">
        <v>1</v>
      </c>
      <c r="AU324" s="5">
        <v>1</v>
      </c>
      <c r="AV324" s="5">
        <f t="shared" ref="AV324:AV380" si="239">IF(E324&lt;1996,1,0)</f>
        <v>0</v>
      </c>
      <c r="AW324" s="5">
        <f t="shared" ref="AW324:AW380" si="240">IF(E324&lt;2002,IF(E324&gt;1995,1,0),0)</f>
        <v>0</v>
      </c>
      <c r="AX324" s="5">
        <f t="shared" ref="AX324:AX380" si="241">IF(E324&gt;2001,1,0)</f>
        <v>1</v>
      </c>
      <c r="AY324" s="1">
        <f t="shared" si="227"/>
        <v>0</v>
      </c>
      <c r="AZ324" s="1">
        <f t="shared" si="228"/>
        <v>0</v>
      </c>
      <c r="BA324" s="1">
        <f t="shared" si="229"/>
        <v>0</v>
      </c>
      <c r="BB324" s="5">
        <v>0</v>
      </c>
      <c r="BC324" s="5">
        <v>0</v>
      </c>
      <c r="BD324" s="5">
        <v>1</v>
      </c>
      <c r="BE324" s="5">
        <f t="shared" si="230"/>
        <v>0</v>
      </c>
      <c r="BF324" s="5">
        <v>0</v>
      </c>
      <c r="BG324" s="5">
        <f t="shared" si="235"/>
        <v>0</v>
      </c>
      <c r="BH324" s="5">
        <f t="shared" si="235"/>
        <v>0</v>
      </c>
      <c r="BI324" s="5">
        <f t="shared" si="235"/>
        <v>0</v>
      </c>
      <c r="BJ324" s="5">
        <f t="shared" si="235"/>
        <v>0</v>
      </c>
      <c r="BK324" s="5">
        <f t="shared" si="235"/>
        <v>0</v>
      </c>
      <c r="BL324" s="5">
        <f t="shared" si="235"/>
        <v>0</v>
      </c>
      <c r="BM324" s="5">
        <f t="shared" si="235"/>
        <v>0</v>
      </c>
      <c r="BN324" s="5">
        <f t="shared" ref="BN324:CB339" si="242">IF($E324=BN$2,1,0)</f>
        <v>0</v>
      </c>
      <c r="BO324" s="5">
        <f t="shared" si="242"/>
        <v>0</v>
      </c>
      <c r="BP324" s="5">
        <f t="shared" si="242"/>
        <v>0</v>
      </c>
      <c r="BQ324" s="5">
        <f t="shared" si="242"/>
        <v>0</v>
      </c>
      <c r="BR324" s="5">
        <f t="shared" si="242"/>
        <v>0</v>
      </c>
      <c r="BS324" s="5">
        <f t="shared" si="242"/>
        <v>0</v>
      </c>
      <c r="BT324" s="5">
        <f t="shared" si="242"/>
        <v>0</v>
      </c>
      <c r="BU324" s="5">
        <f t="shared" si="242"/>
        <v>0</v>
      </c>
      <c r="BV324" s="5">
        <f t="shared" si="242"/>
        <v>0</v>
      </c>
      <c r="BW324" s="5">
        <f t="shared" si="242"/>
        <v>0</v>
      </c>
      <c r="BX324" s="5">
        <f t="shared" si="242"/>
        <v>0</v>
      </c>
      <c r="BY324" s="5">
        <f t="shared" si="242"/>
        <v>0</v>
      </c>
      <c r="BZ324" s="5">
        <f t="shared" si="242"/>
        <v>0</v>
      </c>
      <c r="CA324" s="5">
        <f t="shared" si="242"/>
        <v>1</v>
      </c>
      <c r="CB324" s="5">
        <f t="shared" si="242"/>
        <v>0</v>
      </c>
      <c r="CC324" s="5">
        <f t="shared" ref="CC324:CE343" si="243">IF($E324=CC$2,1,0)</f>
        <v>0</v>
      </c>
      <c r="CD324" s="5">
        <f t="shared" si="236"/>
        <v>0</v>
      </c>
      <c r="CE324" s="5">
        <f t="shared" si="236"/>
        <v>0</v>
      </c>
    </row>
    <row r="325" spans="3:83" x14ac:dyDescent="0.2">
      <c r="C325" s="1">
        <f>Growth!D330</f>
        <v>0</v>
      </c>
      <c r="D325" s="5" t="b">
        <f t="shared" ref="D325:D388" si="244">IF(B325&gt;0,E325)</f>
        <v>0</v>
      </c>
      <c r="E325" s="5">
        <v>2011</v>
      </c>
      <c r="F325" s="5">
        <f ca="1">LOOKUP($E325,frequence!$A$2:$A$35,frequence!L$2:L$35)</f>
        <v>33.053542446246631</v>
      </c>
      <c r="G325" s="5">
        <f ca="1">LOOKUP($E325,frequence!$A$2:$A$35,frequence!K$2:K$35)</f>
        <v>2.1388579511305732</v>
      </c>
      <c r="H325" s="5">
        <f ca="1">LOOKUP($E325,frequence!$A$2:$A$35,frequence!M$2:M$35)</f>
        <v>182.11948132765423</v>
      </c>
      <c r="I325" s="5">
        <v>2010</v>
      </c>
      <c r="J325" s="7">
        <f>LOOKUP(I325,CPI!A$69:A$103,CPI!O$69:O$103)</f>
        <v>1</v>
      </c>
      <c r="K325" s="5">
        <v>2010</v>
      </c>
      <c r="L325" s="7">
        <f t="shared" ref="L325:L388" ca="1" si="245">IF(O325&lt;L$1,1,IF(O325&gt;L$2,0,1-(O325-L$1)/(L$2-L$1)))</f>
        <v>1</v>
      </c>
      <c r="M325" s="7">
        <f t="shared" si="237"/>
        <v>8.252164502164501E-2</v>
      </c>
      <c r="N325" s="14">
        <f>0.1/7.392</f>
        <v>1.3528138528138528E-2</v>
      </c>
      <c r="O325" s="1">
        <f ca="1">P325*J325*(1+Growth!G$6)^(2010-K325)</f>
        <v>8</v>
      </c>
      <c r="P325" s="3">
        <v>8</v>
      </c>
      <c r="Q325" s="2">
        <f t="shared" si="148"/>
        <v>8</v>
      </c>
      <c r="R325" s="21">
        <f t="shared" ref="R325:R388" ca="1" si="246">O325*O325</f>
        <v>64</v>
      </c>
      <c r="X325" s="2">
        <f t="shared" si="214"/>
        <v>8</v>
      </c>
      <c r="AC325" s="1">
        <f t="shared" si="222"/>
        <v>6.1</v>
      </c>
      <c r="AD325" s="5">
        <v>0</v>
      </c>
      <c r="AE325" s="5">
        <v>0</v>
      </c>
      <c r="AF325" s="5">
        <v>1</v>
      </c>
      <c r="AG325" s="5">
        <v>1</v>
      </c>
      <c r="AH325" s="5">
        <v>1</v>
      </c>
      <c r="AI325" s="3">
        <f t="shared" si="238"/>
        <v>3.1</v>
      </c>
      <c r="AJ325" s="5">
        <f t="shared" si="219"/>
        <v>1</v>
      </c>
      <c r="AK325" s="5">
        <f t="shared" ref="AK325:AK388" si="247">IF($AQ325=2,1,0)</f>
        <v>0</v>
      </c>
      <c r="AL325" s="5">
        <f t="shared" ref="AL325:AL388" si="248">IF($AQ325=1.5,1,0)</f>
        <v>0</v>
      </c>
      <c r="AM325" s="5">
        <f t="shared" si="220"/>
        <v>0</v>
      </c>
      <c r="AN325" s="5">
        <f t="shared" ref="AN325:AN388" si="249">IF($AQ325=0.1,1,0)</f>
        <v>0</v>
      </c>
      <c r="AO325" s="5">
        <f t="shared" si="221"/>
        <v>0</v>
      </c>
      <c r="AP325" s="11" t="s">
        <v>42</v>
      </c>
      <c r="AQ325" s="1">
        <v>3</v>
      </c>
      <c r="AR325" s="5">
        <v>0</v>
      </c>
      <c r="AS325" s="5">
        <v>0</v>
      </c>
      <c r="AT325" s="5">
        <v>1</v>
      </c>
      <c r="AU325" s="5">
        <v>1</v>
      </c>
      <c r="AV325" s="5">
        <f t="shared" si="239"/>
        <v>0</v>
      </c>
      <c r="AW325" s="5">
        <f t="shared" si="240"/>
        <v>0</v>
      </c>
      <c r="AX325" s="5">
        <f t="shared" si="241"/>
        <v>1</v>
      </c>
      <c r="AY325" s="1">
        <f t="shared" si="227"/>
        <v>0</v>
      </c>
      <c r="AZ325" s="1">
        <f t="shared" si="228"/>
        <v>0</v>
      </c>
      <c r="BA325" s="1">
        <f t="shared" si="229"/>
        <v>0</v>
      </c>
      <c r="BB325" s="5">
        <v>0</v>
      </c>
      <c r="BC325" s="5">
        <v>0</v>
      </c>
      <c r="BD325" s="5">
        <v>1</v>
      </c>
      <c r="BE325" s="5">
        <f t="shared" si="230"/>
        <v>0</v>
      </c>
      <c r="BF325" s="5">
        <v>0</v>
      </c>
      <c r="BG325" s="5">
        <f t="shared" ref="BG325:BN340" si="250">IF($E325=BG$2,1,0)</f>
        <v>0</v>
      </c>
      <c r="BH325" s="5">
        <f t="shared" si="250"/>
        <v>0</v>
      </c>
      <c r="BI325" s="5">
        <f t="shared" si="250"/>
        <v>0</v>
      </c>
      <c r="BJ325" s="5">
        <f t="shared" si="250"/>
        <v>0</v>
      </c>
      <c r="BK325" s="5">
        <f t="shared" si="250"/>
        <v>0</v>
      </c>
      <c r="BL325" s="5">
        <f t="shared" si="250"/>
        <v>0</v>
      </c>
      <c r="BM325" s="5">
        <f t="shared" si="250"/>
        <v>0</v>
      </c>
      <c r="BN325" s="5">
        <f t="shared" si="242"/>
        <v>0</v>
      </c>
      <c r="BO325" s="5">
        <f t="shared" si="242"/>
        <v>0</v>
      </c>
      <c r="BP325" s="5">
        <f t="shared" si="242"/>
        <v>0</v>
      </c>
      <c r="BQ325" s="5">
        <f t="shared" si="242"/>
        <v>0</v>
      </c>
      <c r="BR325" s="5">
        <f t="shared" si="242"/>
        <v>0</v>
      </c>
      <c r="BS325" s="5">
        <f t="shared" si="242"/>
        <v>0</v>
      </c>
      <c r="BT325" s="5">
        <f t="shared" si="242"/>
        <v>0</v>
      </c>
      <c r="BU325" s="5">
        <f t="shared" si="242"/>
        <v>0</v>
      </c>
      <c r="BV325" s="5">
        <f t="shared" si="242"/>
        <v>0</v>
      </c>
      <c r="BW325" s="5">
        <f t="shared" si="242"/>
        <v>0</v>
      </c>
      <c r="BX325" s="5">
        <f t="shared" si="242"/>
        <v>0</v>
      </c>
      <c r="BY325" s="5">
        <f t="shared" si="242"/>
        <v>0</v>
      </c>
      <c r="BZ325" s="5">
        <f t="shared" si="242"/>
        <v>0</v>
      </c>
      <c r="CA325" s="5">
        <f t="shared" si="242"/>
        <v>1</v>
      </c>
      <c r="CB325" s="5">
        <f t="shared" si="242"/>
        <v>0</v>
      </c>
      <c r="CC325" s="5">
        <f t="shared" si="243"/>
        <v>0</v>
      </c>
      <c r="CD325" s="5">
        <f t="shared" si="236"/>
        <v>0</v>
      </c>
      <c r="CE325" s="5">
        <f t="shared" si="236"/>
        <v>0</v>
      </c>
    </row>
    <row r="326" spans="3:83" x14ac:dyDescent="0.2">
      <c r="C326" s="1">
        <f>Growth!D331</f>
        <v>0</v>
      </c>
      <c r="D326" s="5" t="b">
        <f t="shared" si="244"/>
        <v>0</v>
      </c>
      <c r="E326" s="5">
        <v>2011</v>
      </c>
      <c r="F326" s="5">
        <f ca="1">LOOKUP($E326,frequence!$A$2:$A$35,frequence!L$2:L$35)</f>
        <v>33.053542446246631</v>
      </c>
      <c r="G326" s="5">
        <f ca="1">LOOKUP($E326,frequence!$A$2:$A$35,frequence!K$2:K$35)</f>
        <v>2.1388579511305732</v>
      </c>
      <c r="H326" s="5">
        <f ca="1">LOOKUP($E326,frequence!$A$2:$A$35,frequence!M$2:M$35)</f>
        <v>182.11948132765423</v>
      </c>
      <c r="I326" s="5">
        <v>2010</v>
      </c>
      <c r="J326" s="7">
        <f>LOOKUP(I326,CPI!A$69:A$103,CPI!O$69:O$103)</f>
        <v>1</v>
      </c>
      <c r="K326" s="5">
        <v>2010</v>
      </c>
      <c r="L326" s="7">
        <f t="shared" ca="1" si="245"/>
        <v>1</v>
      </c>
      <c r="M326" s="7">
        <f t="shared" si="237"/>
        <v>8.252164502164502E-3</v>
      </c>
      <c r="N326" s="14">
        <f>0.01/7.392</f>
        <v>1.3528138528138528E-3</v>
      </c>
      <c r="O326" s="1">
        <f ca="1">P326*J326*(1+Growth!G$6)^(2010-K326)</f>
        <v>11</v>
      </c>
      <c r="P326" s="3">
        <v>11</v>
      </c>
      <c r="Q326" s="2">
        <f t="shared" si="148"/>
        <v>11</v>
      </c>
      <c r="R326" s="21">
        <f t="shared" ca="1" si="246"/>
        <v>121</v>
      </c>
      <c r="X326" s="2">
        <f t="shared" si="214"/>
        <v>11</v>
      </c>
      <c r="AC326" s="1">
        <f t="shared" si="222"/>
        <v>6.1</v>
      </c>
      <c r="AD326" s="5">
        <v>0</v>
      </c>
      <c r="AE326" s="5">
        <v>0</v>
      </c>
      <c r="AF326" s="5">
        <v>1</v>
      </c>
      <c r="AG326" s="5">
        <v>1</v>
      </c>
      <c r="AH326" s="5">
        <v>1</v>
      </c>
      <c r="AI326" s="3">
        <f t="shared" si="238"/>
        <v>3.1</v>
      </c>
      <c r="AJ326" s="5">
        <f t="shared" si="219"/>
        <v>1</v>
      </c>
      <c r="AK326" s="5">
        <f t="shared" si="247"/>
        <v>0</v>
      </c>
      <c r="AL326" s="5">
        <f t="shared" si="248"/>
        <v>0</v>
      </c>
      <c r="AM326" s="5">
        <f t="shared" si="220"/>
        <v>0</v>
      </c>
      <c r="AN326" s="5">
        <f t="shared" si="249"/>
        <v>0</v>
      </c>
      <c r="AO326" s="5">
        <f t="shared" si="221"/>
        <v>0</v>
      </c>
      <c r="AP326" s="11" t="s">
        <v>42</v>
      </c>
      <c r="AQ326" s="1">
        <v>3</v>
      </c>
      <c r="AR326" s="5">
        <v>0</v>
      </c>
      <c r="AS326" s="5">
        <v>0</v>
      </c>
      <c r="AT326" s="5">
        <v>1</v>
      </c>
      <c r="AU326" s="5">
        <v>1</v>
      </c>
      <c r="AV326" s="5">
        <f t="shared" si="239"/>
        <v>0</v>
      </c>
      <c r="AW326" s="5">
        <f t="shared" si="240"/>
        <v>0</v>
      </c>
      <c r="AX326" s="5">
        <f t="shared" si="241"/>
        <v>1</v>
      </c>
      <c r="AY326" s="1">
        <f t="shared" si="227"/>
        <v>0</v>
      </c>
      <c r="AZ326" s="1">
        <f t="shared" si="228"/>
        <v>0</v>
      </c>
      <c r="BA326" s="1">
        <f t="shared" si="229"/>
        <v>0</v>
      </c>
      <c r="BB326" s="5">
        <v>0</v>
      </c>
      <c r="BC326" s="5">
        <v>0</v>
      </c>
      <c r="BD326" s="5">
        <v>1</v>
      </c>
      <c r="BE326" s="5">
        <f t="shared" si="230"/>
        <v>0</v>
      </c>
      <c r="BF326" s="5">
        <v>0</v>
      </c>
      <c r="BG326" s="5">
        <f t="shared" si="250"/>
        <v>0</v>
      </c>
      <c r="BH326" s="5">
        <f t="shared" si="250"/>
        <v>0</v>
      </c>
      <c r="BI326" s="5">
        <f t="shared" si="250"/>
        <v>0</v>
      </c>
      <c r="BJ326" s="5">
        <f t="shared" si="250"/>
        <v>0</v>
      </c>
      <c r="BK326" s="5">
        <f t="shared" si="250"/>
        <v>0</v>
      </c>
      <c r="BL326" s="5">
        <f t="shared" si="250"/>
        <v>0</v>
      </c>
      <c r="BM326" s="5">
        <f t="shared" si="250"/>
        <v>0</v>
      </c>
      <c r="BN326" s="5">
        <f t="shared" si="242"/>
        <v>0</v>
      </c>
      <c r="BO326" s="5">
        <f t="shared" si="242"/>
        <v>0</v>
      </c>
      <c r="BP326" s="5">
        <f t="shared" si="242"/>
        <v>0</v>
      </c>
      <c r="BQ326" s="5">
        <f t="shared" si="242"/>
        <v>0</v>
      </c>
      <c r="BR326" s="5">
        <f t="shared" si="242"/>
        <v>0</v>
      </c>
      <c r="BS326" s="5">
        <f t="shared" si="242"/>
        <v>0</v>
      </c>
      <c r="BT326" s="5">
        <f t="shared" si="242"/>
        <v>0</v>
      </c>
      <c r="BU326" s="5">
        <f t="shared" si="242"/>
        <v>0</v>
      </c>
      <c r="BV326" s="5">
        <f t="shared" si="242"/>
        <v>0</v>
      </c>
      <c r="BW326" s="5">
        <f t="shared" si="242"/>
        <v>0</v>
      </c>
      <c r="BX326" s="5">
        <f t="shared" si="242"/>
        <v>0</v>
      </c>
      <c r="BY326" s="5">
        <f t="shared" si="242"/>
        <v>0</v>
      </c>
      <c r="BZ326" s="5">
        <f t="shared" si="242"/>
        <v>0</v>
      </c>
      <c r="CA326" s="5">
        <f t="shared" si="242"/>
        <v>1</v>
      </c>
      <c r="CB326" s="5">
        <f t="shared" si="242"/>
        <v>0</v>
      </c>
      <c r="CC326" s="5">
        <f t="shared" si="243"/>
        <v>0</v>
      </c>
      <c r="CD326" s="5">
        <f t="shared" si="236"/>
        <v>0</v>
      </c>
      <c r="CE326" s="5">
        <f t="shared" si="236"/>
        <v>0</v>
      </c>
    </row>
    <row r="327" spans="3:83" x14ac:dyDescent="0.2">
      <c r="C327" s="1">
        <f>Growth!D332</f>
        <v>0</v>
      </c>
      <c r="D327" s="5" t="b">
        <f t="shared" si="244"/>
        <v>0</v>
      </c>
      <c r="E327" s="5">
        <v>2011</v>
      </c>
      <c r="F327" s="5">
        <f ca="1">LOOKUP($E327,frequence!$A$2:$A$35,frequence!L$2:L$35)</f>
        <v>33.053542446246631</v>
      </c>
      <c r="G327" s="5">
        <f ca="1">LOOKUP($E327,frequence!$A$2:$A$35,frequence!K$2:K$35)</f>
        <v>2.1388579511305732</v>
      </c>
      <c r="H327" s="5">
        <f ca="1">LOOKUP($E327,frequence!$A$2:$A$35,frequence!M$2:M$35)</f>
        <v>182.11948132765423</v>
      </c>
      <c r="I327" s="5">
        <v>2010</v>
      </c>
      <c r="J327" s="7">
        <f>LOOKUP(I327,CPI!A$69:A$103,CPI!O$69:O$103)</f>
        <v>1</v>
      </c>
      <c r="K327" s="5">
        <v>2010</v>
      </c>
      <c r="L327" s="7">
        <f t="shared" ca="1" si="245"/>
        <v>1</v>
      </c>
      <c r="M327" s="7">
        <f t="shared" si="237"/>
        <v>8.252164502164502E-4</v>
      </c>
      <c r="N327" s="14">
        <f>0.001/7.392</f>
        <v>1.3528138528138528E-4</v>
      </c>
      <c r="O327" s="1">
        <f ca="1">P327*J327*(1+Growth!G$6)^(2010-K327)</f>
        <v>15</v>
      </c>
      <c r="P327" s="3">
        <v>15</v>
      </c>
      <c r="Q327" s="2">
        <f t="shared" si="148"/>
        <v>15</v>
      </c>
      <c r="R327" s="21">
        <f t="shared" ca="1" si="246"/>
        <v>225</v>
      </c>
      <c r="X327" s="2">
        <f t="shared" si="214"/>
        <v>15</v>
      </c>
      <c r="AC327" s="1">
        <f t="shared" si="222"/>
        <v>6.1</v>
      </c>
      <c r="AD327" s="5">
        <v>0</v>
      </c>
      <c r="AE327" s="5">
        <v>0</v>
      </c>
      <c r="AF327" s="5">
        <v>1</v>
      </c>
      <c r="AG327" s="5">
        <v>1</v>
      </c>
      <c r="AH327" s="5">
        <v>1</v>
      </c>
      <c r="AI327" s="3">
        <f t="shared" si="238"/>
        <v>3.1</v>
      </c>
      <c r="AJ327" s="5">
        <f t="shared" si="219"/>
        <v>1</v>
      </c>
      <c r="AK327" s="5">
        <f t="shared" si="247"/>
        <v>0</v>
      </c>
      <c r="AL327" s="5">
        <f t="shared" si="248"/>
        <v>0</v>
      </c>
      <c r="AM327" s="5">
        <f t="shared" si="220"/>
        <v>0</v>
      </c>
      <c r="AN327" s="5">
        <f t="shared" si="249"/>
        <v>0</v>
      </c>
      <c r="AO327" s="5">
        <f t="shared" si="221"/>
        <v>0</v>
      </c>
      <c r="AP327" s="11" t="s">
        <v>42</v>
      </c>
      <c r="AQ327" s="1">
        <v>3</v>
      </c>
      <c r="AR327" s="5">
        <v>0</v>
      </c>
      <c r="AS327" s="5">
        <v>0</v>
      </c>
      <c r="AT327" s="5">
        <v>1</v>
      </c>
      <c r="AU327" s="5">
        <v>1</v>
      </c>
      <c r="AV327" s="5">
        <f t="shared" si="239"/>
        <v>0</v>
      </c>
      <c r="AW327" s="5">
        <f t="shared" si="240"/>
        <v>0</v>
      </c>
      <c r="AX327" s="5">
        <f t="shared" si="241"/>
        <v>1</v>
      </c>
      <c r="AY327" s="1">
        <f t="shared" si="227"/>
        <v>0</v>
      </c>
      <c r="AZ327" s="1">
        <f t="shared" si="228"/>
        <v>0</v>
      </c>
      <c r="BA327" s="1">
        <f t="shared" si="229"/>
        <v>0</v>
      </c>
      <c r="BB327" s="5">
        <v>0</v>
      </c>
      <c r="BC327" s="5">
        <v>0</v>
      </c>
      <c r="BD327" s="5">
        <v>1</v>
      </c>
      <c r="BE327" s="5">
        <f t="shared" si="230"/>
        <v>0</v>
      </c>
      <c r="BF327" s="5">
        <v>0</v>
      </c>
      <c r="BG327" s="5">
        <f t="shared" si="250"/>
        <v>0</v>
      </c>
      <c r="BH327" s="5">
        <f t="shared" si="250"/>
        <v>0</v>
      </c>
      <c r="BI327" s="5">
        <f t="shared" si="250"/>
        <v>0</v>
      </c>
      <c r="BJ327" s="5">
        <f t="shared" si="250"/>
        <v>0</v>
      </c>
      <c r="BK327" s="5">
        <f t="shared" si="250"/>
        <v>0</v>
      </c>
      <c r="BL327" s="5">
        <f t="shared" si="250"/>
        <v>0</v>
      </c>
      <c r="BM327" s="5">
        <f t="shared" si="250"/>
        <v>0</v>
      </c>
      <c r="BN327" s="5">
        <f t="shared" si="242"/>
        <v>0</v>
      </c>
      <c r="BO327" s="5">
        <f t="shared" si="242"/>
        <v>0</v>
      </c>
      <c r="BP327" s="5">
        <f t="shared" si="242"/>
        <v>0</v>
      </c>
      <c r="BQ327" s="5">
        <f t="shared" si="242"/>
        <v>0</v>
      </c>
      <c r="BR327" s="5">
        <f t="shared" si="242"/>
        <v>0</v>
      </c>
      <c r="BS327" s="5">
        <f t="shared" si="242"/>
        <v>0</v>
      </c>
      <c r="BT327" s="5">
        <f t="shared" si="242"/>
        <v>0</v>
      </c>
      <c r="BU327" s="5">
        <f t="shared" si="242"/>
        <v>0</v>
      </c>
      <c r="BV327" s="5">
        <f t="shared" si="242"/>
        <v>0</v>
      </c>
      <c r="BW327" s="5">
        <f t="shared" si="242"/>
        <v>0</v>
      </c>
      <c r="BX327" s="5">
        <f t="shared" si="242"/>
        <v>0</v>
      </c>
      <c r="BY327" s="5">
        <f t="shared" si="242"/>
        <v>0</v>
      </c>
      <c r="BZ327" s="5">
        <f t="shared" si="242"/>
        <v>0</v>
      </c>
      <c r="CA327" s="5">
        <f t="shared" si="242"/>
        <v>1</v>
      </c>
      <c r="CB327" s="5">
        <f t="shared" si="242"/>
        <v>0</v>
      </c>
      <c r="CC327" s="5">
        <f t="shared" si="243"/>
        <v>0</v>
      </c>
      <c r="CD327" s="5">
        <f t="shared" si="236"/>
        <v>0</v>
      </c>
      <c r="CE327" s="5">
        <f t="shared" si="236"/>
        <v>0</v>
      </c>
    </row>
    <row r="328" spans="3:83" x14ac:dyDescent="0.2">
      <c r="C328" s="1">
        <f>Growth!D333</f>
        <v>0</v>
      </c>
      <c r="D328" s="5" t="b">
        <f t="shared" si="244"/>
        <v>0</v>
      </c>
      <c r="E328" s="5">
        <v>2011</v>
      </c>
      <c r="F328" s="5">
        <f ca="1">LOOKUP($E328,frequence!$A$2:$A$35,frequence!L$2:L$35)</f>
        <v>33.053542446246631</v>
      </c>
      <c r="G328" s="5">
        <f ca="1">LOOKUP($E328,frequence!$A$2:$A$35,frequence!K$2:K$35)</f>
        <v>2.1388579511305732</v>
      </c>
      <c r="H328" s="5">
        <f ca="1">LOOKUP($E328,frequence!$A$2:$A$35,frequence!M$2:M$35)</f>
        <v>182.11948132765423</v>
      </c>
      <c r="I328" s="5">
        <v>2010</v>
      </c>
      <c r="J328" s="7">
        <f>LOOKUP(I328,CPI!A$69:A$103,CPI!O$69:O$103)</f>
        <v>1</v>
      </c>
      <c r="K328" s="5">
        <v>2010</v>
      </c>
      <c r="L328" s="7">
        <f t="shared" ca="1" si="245"/>
        <v>1</v>
      </c>
      <c r="M328" s="7">
        <f t="shared" si="237"/>
        <v>8.252164502164501E-2</v>
      </c>
      <c r="N328" s="14">
        <f>0.1/7.392</f>
        <v>1.3528138528138528E-2</v>
      </c>
      <c r="O328" s="1">
        <f ca="1">P328*J328*(1+Growth!G$6)^(2010-K328)</f>
        <v>12</v>
      </c>
      <c r="P328" s="3">
        <v>12</v>
      </c>
      <c r="Q328" s="2">
        <f t="shared" si="148"/>
        <v>12</v>
      </c>
      <c r="R328" s="21">
        <f t="shared" ca="1" si="246"/>
        <v>144</v>
      </c>
      <c r="X328" s="2">
        <f t="shared" si="214"/>
        <v>12</v>
      </c>
      <c r="AC328" s="1">
        <f t="shared" si="222"/>
        <v>6.1</v>
      </c>
      <c r="AD328" s="5">
        <v>0</v>
      </c>
      <c r="AE328" s="5">
        <v>0</v>
      </c>
      <c r="AF328" s="5">
        <v>1</v>
      </c>
      <c r="AG328" s="5">
        <v>1</v>
      </c>
      <c r="AH328" s="5">
        <v>1</v>
      </c>
      <c r="AI328" s="3">
        <f t="shared" si="238"/>
        <v>3.1</v>
      </c>
      <c r="AJ328" s="5">
        <f t="shared" si="219"/>
        <v>1</v>
      </c>
      <c r="AK328" s="5">
        <f t="shared" si="247"/>
        <v>0</v>
      </c>
      <c r="AL328" s="5">
        <f t="shared" si="248"/>
        <v>0</v>
      </c>
      <c r="AM328" s="5">
        <f t="shared" si="220"/>
        <v>0</v>
      </c>
      <c r="AN328" s="5">
        <f t="shared" si="249"/>
        <v>0</v>
      </c>
      <c r="AO328" s="5">
        <f t="shared" si="221"/>
        <v>0</v>
      </c>
      <c r="AP328" s="11" t="s">
        <v>42</v>
      </c>
      <c r="AQ328" s="1">
        <v>3</v>
      </c>
      <c r="AR328" s="5">
        <v>0</v>
      </c>
      <c r="AS328" s="5">
        <v>0</v>
      </c>
      <c r="AT328" s="5">
        <v>1</v>
      </c>
      <c r="AU328" s="5">
        <v>1</v>
      </c>
      <c r="AV328" s="5">
        <f t="shared" si="239"/>
        <v>0</v>
      </c>
      <c r="AW328" s="5">
        <f t="shared" si="240"/>
        <v>0</v>
      </c>
      <c r="AX328" s="5">
        <f t="shared" si="241"/>
        <v>1</v>
      </c>
      <c r="AY328" s="1">
        <f t="shared" si="227"/>
        <v>0</v>
      </c>
      <c r="AZ328" s="1">
        <f t="shared" si="228"/>
        <v>0</v>
      </c>
      <c r="BA328" s="1">
        <f t="shared" si="229"/>
        <v>0</v>
      </c>
      <c r="BB328" s="5">
        <v>0</v>
      </c>
      <c r="BC328" s="5">
        <v>0</v>
      </c>
      <c r="BD328" s="5">
        <v>1</v>
      </c>
      <c r="BE328" s="5">
        <f t="shared" si="230"/>
        <v>0</v>
      </c>
      <c r="BF328" s="5">
        <v>0</v>
      </c>
      <c r="BG328" s="5">
        <f t="shared" si="250"/>
        <v>0</v>
      </c>
      <c r="BH328" s="5">
        <f t="shared" si="250"/>
        <v>0</v>
      </c>
      <c r="BI328" s="5">
        <f t="shared" si="250"/>
        <v>0</v>
      </c>
      <c r="BJ328" s="5">
        <f t="shared" si="250"/>
        <v>0</v>
      </c>
      <c r="BK328" s="5">
        <f t="shared" si="250"/>
        <v>0</v>
      </c>
      <c r="BL328" s="5">
        <f t="shared" si="250"/>
        <v>0</v>
      </c>
      <c r="BM328" s="5">
        <f t="shared" si="250"/>
        <v>0</v>
      </c>
      <c r="BN328" s="5">
        <f t="shared" si="242"/>
        <v>0</v>
      </c>
      <c r="BO328" s="5">
        <f t="shared" si="242"/>
        <v>0</v>
      </c>
      <c r="BP328" s="5">
        <f t="shared" si="242"/>
        <v>0</v>
      </c>
      <c r="BQ328" s="5">
        <f t="shared" si="242"/>
        <v>0</v>
      </c>
      <c r="BR328" s="5">
        <f t="shared" si="242"/>
        <v>0</v>
      </c>
      <c r="BS328" s="5">
        <f t="shared" si="242"/>
        <v>0</v>
      </c>
      <c r="BT328" s="5">
        <f t="shared" si="242"/>
        <v>0</v>
      </c>
      <c r="BU328" s="5">
        <f t="shared" si="242"/>
        <v>0</v>
      </c>
      <c r="BV328" s="5">
        <f t="shared" si="242"/>
        <v>0</v>
      </c>
      <c r="BW328" s="5">
        <f t="shared" si="242"/>
        <v>0</v>
      </c>
      <c r="BX328" s="5">
        <f t="shared" si="242"/>
        <v>0</v>
      </c>
      <c r="BY328" s="5">
        <f t="shared" si="242"/>
        <v>0</v>
      </c>
      <c r="BZ328" s="5">
        <f t="shared" si="242"/>
        <v>0</v>
      </c>
      <c r="CA328" s="5">
        <f t="shared" si="242"/>
        <v>1</v>
      </c>
      <c r="CB328" s="5">
        <f t="shared" si="242"/>
        <v>0</v>
      </c>
      <c r="CC328" s="5">
        <f t="shared" si="243"/>
        <v>0</v>
      </c>
      <c r="CD328" s="5">
        <f t="shared" si="236"/>
        <v>0</v>
      </c>
      <c r="CE328" s="5">
        <f t="shared" si="236"/>
        <v>0</v>
      </c>
    </row>
    <row r="329" spans="3:83" x14ac:dyDescent="0.2">
      <c r="C329" s="1">
        <f>Growth!D334</f>
        <v>0</v>
      </c>
      <c r="D329" s="5" t="b">
        <f t="shared" si="244"/>
        <v>0</v>
      </c>
      <c r="E329" s="5">
        <v>2011</v>
      </c>
      <c r="F329" s="5">
        <f ca="1">LOOKUP($E329,frequence!$A$2:$A$35,frequence!L$2:L$35)</f>
        <v>33.053542446246631</v>
      </c>
      <c r="G329" s="5">
        <f ca="1">LOOKUP($E329,frequence!$A$2:$A$35,frequence!K$2:K$35)</f>
        <v>2.1388579511305732</v>
      </c>
      <c r="H329" s="5">
        <f ca="1">LOOKUP($E329,frequence!$A$2:$A$35,frequence!M$2:M$35)</f>
        <v>182.11948132765423</v>
      </c>
      <c r="I329" s="5">
        <v>2010</v>
      </c>
      <c r="J329" s="7">
        <f>LOOKUP(I329,CPI!A$69:A$103,CPI!O$69:O$103)</f>
        <v>1</v>
      </c>
      <c r="K329" s="5">
        <v>2010</v>
      </c>
      <c r="L329" s="7">
        <f t="shared" ca="1" si="245"/>
        <v>1</v>
      </c>
      <c r="M329" s="7">
        <f t="shared" si="237"/>
        <v>8.252164502164502E-3</v>
      </c>
      <c r="N329" s="14">
        <f>0.01/7.392</f>
        <v>1.3528138528138528E-3</v>
      </c>
      <c r="O329" s="1">
        <f ca="1">P329*J329*(1+Growth!G$6)^(2010-K329)</f>
        <v>18</v>
      </c>
      <c r="P329" s="3">
        <v>18</v>
      </c>
      <c r="Q329" s="2">
        <f t="shared" si="148"/>
        <v>18</v>
      </c>
      <c r="R329" s="21">
        <f t="shared" ca="1" si="246"/>
        <v>324</v>
      </c>
      <c r="X329" s="2">
        <f t="shared" si="214"/>
        <v>18</v>
      </c>
      <c r="AC329" s="1">
        <f t="shared" si="222"/>
        <v>6.1</v>
      </c>
      <c r="AD329" s="5">
        <v>0</v>
      </c>
      <c r="AE329" s="5">
        <v>0</v>
      </c>
      <c r="AF329" s="5">
        <v>1</v>
      </c>
      <c r="AG329" s="5">
        <v>1</v>
      </c>
      <c r="AH329" s="5">
        <v>1</v>
      </c>
      <c r="AI329" s="3">
        <f t="shared" si="238"/>
        <v>3.1</v>
      </c>
      <c r="AJ329" s="5">
        <f t="shared" si="219"/>
        <v>1</v>
      </c>
      <c r="AK329" s="5">
        <f t="shared" si="247"/>
        <v>0</v>
      </c>
      <c r="AL329" s="5">
        <f t="shared" si="248"/>
        <v>0</v>
      </c>
      <c r="AM329" s="5">
        <f t="shared" si="220"/>
        <v>0</v>
      </c>
      <c r="AN329" s="5">
        <f t="shared" si="249"/>
        <v>0</v>
      </c>
      <c r="AO329" s="5">
        <f t="shared" si="221"/>
        <v>0</v>
      </c>
      <c r="AP329" s="11" t="s">
        <v>42</v>
      </c>
      <c r="AQ329" s="1">
        <v>3</v>
      </c>
      <c r="AR329" s="5">
        <v>0</v>
      </c>
      <c r="AS329" s="5">
        <v>0</v>
      </c>
      <c r="AT329" s="5">
        <v>1</v>
      </c>
      <c r="AU329" s="5">
        <v>1</v>
      </c>
      <c r="AV329" s="5">
        <f t="shared" si="239"/>
        <v>0</v>
      </c>
      <c r="AW329" s="5">
        <f t="shared" si="240"/>
        <v>0</v>
      </c>
      <c r="AX329" s="5">
        <f t="shared" si="241"/>
        <v>1</v>
      </c>
      <c r="AY329" s="1">
        <f t="shared" si="227"/>
        <v>0</v>
      </c>
      <c r="AZ329" s="1">
        <f t="shared" si="228"/>
        <v>0</v>
      </c>
      <c r="BA329" s="1">
        <f t="shared" si="229"/>
        <v>0</v>
      </c>
      <c r="BB329" s="5">
        <v>0</v>
      </c>
      <c r="BC329" s="5">
        <v>0</v>
      </c>
      <c r="BD329" s="5">
        <v>1</v>
      </c>
      <c r="BE329" s="5">
        <f t="shared" si="230"/>
        <v>0</v>
      </c>
      <c r="BF329" s="5">
        <v>0</v>
      </c>
      <c r="BG329" s="5">
        <f t="shared" si="250"/>
        <v>0</v>
      </c>
      <c r="BH329" s="5">
        <f t="shared" si="250"/>
        <v>0</v>
      </c>
      <c r="BI329" s="5">
        <f t="shared" si="250"/>
        <v>0</v>
      </c>
      <c r="BJ329" s="5">
        <f t="shared" si="250"/>
        <v>0</v>
      </c>
      <c r="BK329" s="5">
        <f t="shared" si="250"/>
        <v>0</v>
      </c>
      <c r="BL329" s="5">
        <f t="shared" si="250"/>
        <v>0</v>
      </c>
      <c r="BM329" s="5">
        <f t="shared" si="250"/>
        <v>0</v>
      </c>
      <c r="BN329" s="5">
        <f t="shared" si="242"/>
        <v>0</v>
      </c>
      <c r="BO329" s="5">
        <f t="shared" si="242"/>
        <v>0</v>
      </c>
      <c r="BP329" s="5">
        <f t="shared" si="242"/>
        <v>0</v>
      </c>
      <c r="BQ329" s="5">
        <f t="shared" si="242"/>
        <v>0</v>
      </c>
      <c r="BR329" s="5">
        <f t="shared" si="242"/>
        <v>0</v>
      </c>
      <c r="BS329" s="5">
        <f t="shared" si="242"/>
        <v>0</v>
      </c>
      <c r="BT329" s="5">
        <f t="shared" si="242"/>
        <v>0</v>
      </c>
      <c r="BU329" s="5">
        <f t="shared" si="242"/>
        <v>0</v>
      </c>
      <c r="BV329" s="5">
        <f t="shared" si="242"/>
        <v>0</v>
      </c>
      <c r="BW329" s="5">
        <f t="shared" si="242"/>
        <v>0</v>
      </c>
      <c r="BX329" s="5">
        <f t="shared" si="242"/>
        <v>0</v>
      </c>
      <c r="BY329" s="5">
        <f t="shared" si="242"/>
        <v>0</v>
      </c>
      <c r="BZ329" s="5">
        <f t="shared" si="242"/>
        <v>0</v>
      </c>
      <c r="CA329" s="5">
        <f t="shared" si="242"/>
        <v>1</v>
      </c>
      <c r="CB329" s="5">
        <f t="shared" si="242"/>
        <v>0</v>
      </c>
      <c r="CC329" s="5">
        <f t="shared" si="243"/>
        <v>0</v>
      </c>
      <c r="CD329" s="5">
        <f t="shared" si="236"/>
        <v>0</v>
      </c>
      <c r="CE329" s="5">
        <f t="shared" si="236"/>
        <v>0</v>
      </c>
    </row>
    <row r="330" spans="3:83" x14ac:dyDescent="0.2">
      <c r="C330" s="1">
        <f>Growth!D335</f>
        <v>0</v>
      </c>
      <c r="D330" s="5" t="b">
        <f t="shared" si="244"/>
        <v>0</v>
      </c>
      <c r="E330" s="5">
        <v>2011</v>
      </c>
      <c r="F330" s="5">
        <f ca="1">LOOKUP($E330,frequence!$A$2:$A$35,frequence!L$2:L$35)</f>
        <v>33.053542446246631</v>
      </c>
      <c r="G330" s="5">
        <f ca="1">LOOKUP($E330,frequence!$A$2:$A$35,frequence!K$2:K$35)</f>
        <v>2.1388579511305732</v>
      </c>
      <c r="H330" s="5">
        <f ca="1">LOOKUP($E330,frequence!$A$2:$A$35,frequence!M$2:M$35)</f>
        <v>182.11948132765423</v>
      </c>
      <c r="I330" s="5">
        <v>2010</v>
      </c>
      <c r="J330" s="7">
        <f>LOOKUP(I330,CPI!A$69:A$103,CPI!O$69:O$103)</f>
        <v>1</v>
      </c>
      <c r="K330" s="5">
        <v>2010</v>
      </c>
      <c r="L330" s="7">
        <f t="shared" ca="1" si="245"/>
        <v>1</v>
      </c>
      <c r="M330" s="7">
        <f t="shared" si="237"/>
        <v>8.252164502164502E-4</v>
      </c>
      <c r="N330" s="14">
        <f>0.001/7.392</f>
        <v>1.3528138528138528E-4</v>
      </c>
      <c r="O330" s="1">
        <f ca="1">P330*J330*(1+Growth!G$6)^(2010-K330)</f>
        <v>19</v>
      </c>
      <c r="P330" s="3">
        <v>19</v>
      </c>
      <c r="Q330" s="2">
        <f t="shared" si="148"/>
        <v>19</v>
      </c>
      <c r="R330" s="21">
        <f t="shared" ca="1" si="246"/>
        <v>361</v>
      </c>
      <c r="X330" s="2">
        <f t="shared" si="214"/>
        <v>19</v>
      </c>
      <c r="AC330" s="1">
        <f t="shared" si="222"/>
        <v>6.1</v>
      </c>
      <c r="AD330" s="5">
        <v>0</v>
      </c>
      <c r="AE330" s="5">
        <v>0</v>
      </c>
      <c r="AF330" s="5">
        <v>1</v>
      </c>
      <c r="AG330" s="5">
        <v>1</v>
      </c>
      <c r="AH330" s="5">
        <v>1</v>
      </c>
      <c r="AI330" s="3">
        <f t="shared" si="238"/>
        <v>3.1</v>
      </c>
      <c r="AJ330" s="5">
        <f t="shared" si="219"/>
        <v>1</v>
      </c>
      <c r="AK330" s="5">
        <f t="shared" si="247"/>
        <v>0</v>
      </c>
      <c r="AL330" s="5">
        <f t="shared" si="248"/>
        <v>0</v>
      </c>
      <c r="AM330" s="5">
        <f t="shared" si="220"/>
        <v>0</v>
      </c>
      <c r="AN330" s="5">
        <f t="shared" si="249"/>
        <v>0</v>
      </c>
      <c r="AO330" s="5">
        <f t="shared" si="221"/>
        <v>0</v>
      </c>
      <c r="AP330" s="11" t="s">
        <v>42</v>
      </c>
      <c r="AQ330" s="1">
        <v>3</v>
      </c>
      <c r="AR330" s="5">
        <v>0</v>
      </c>
      <c r="AS330" s="5">
        <v>0</v>
      </c>
      <c r="AT330" s="5">
        <v>1</v>
      </c>
      <c r="AU330" s="5">
        <v>1</v>
      </c>
      <c r="AV330" s="5">
        <f t="shared" si="239"/>
        <v>0</v>
      </c>
      <c r="AW330" s="5">
        <f t="shared" si="240"/>
        <v>0</v>
      </c>
      <c r="AX330" s="5">
        <f t="shared" si="241"/>
        <v>1</v>
      </c>
      <c r="AY330" s="1">
        <f t="shared" si="227"/>
        <v>0</v>
      </c>
      <c r="AZ330" s="1">
        <f t="shared" si="228"/>
        <v>0</v>
      </c>
      <c r="BA330" s="1">
        <f t="shared" si="229"/>
        <v>0</v>
      </c>
      <c r="BB330" s="5">
        <v>0</v>
      </c>
      <c r="BC330" s="5">
        <v>0</v>
      </c>
      <c r="BD330" s="5">
        <v>1</v>
      </c>
      <c r="BE330" s="5">
        <f t="shared" si="230"/>
        <v>0</v>
      </c>
      <c r="BF330" s="5">
        <v>0</v>
      </c>
      <c r="BG330" s="5">
        <f t="shared" si="250"/>
        <v>0</v>
      </c>
      <c r="BH330" s="5">
        <f t="shared" si="250"/>
        <v>0</v>
      </c>
      <c r="BI330" s="5">
        <f t="shared" si="250"/>
        <v>0</v>
      </c>
      <c r="BJ330" s="5">
        <f t="shared" si="250"/>
        <v>0</v>
      </c>
      <c r="BK330" s="5">
        <f t="shared" si="250"/>
        <v>0</v>
      </c>
      <c r="BL330" s="5">
        <f t="shared" si="250"/>
        <v>0</v>
      </c>
      <c r="BM330" s="5">
        <f t="shared" si="250"/>
        <v>0</v>
      </c>
      <c r="BN330" s="5">
        <f t="shared" si="242"/>
        <v>0</v>
      </c>
      <c r="BO330" s="5">
        <f t="shared" si="242"/>
        <v>0</v>
      </c>
      <c r="BP330" s="5">
        <f t="shared" si="242"/>
        <v>0</v>
      </c>
      <c r="BQ330" s="5">
        <f t="shared" si="242"/>
        <v>0</v>
      </c>
      <c r="BR330" s="5">
        <f t="shared" si="242"/>
        <v>0</v>
      </c>
      <c r="BS330" s="5">
        <f t="shared" si="242"/>
        <v>0</v>
      </c>
      <c r="BT330" s="5">
        <f t="shared" si="242"/>
        <v>0</v>
      </c>
      <c r="BU330" s="5">
        <f t="shared" si="242"/>
        <v>0</v>
      </c>
      <c r="BV330" s="5">
        <f t="shared" si="242"/>
        <v>0</v>
      </c>
      <c r="BW330" s="5">
        <f t="shared" si="242"/>
        <v>0</v>
      </c>
      <c r="BX330" s="5">
        <f t="shared" si="242"/>
        <v>0</v>
      </c>
      <c r="BY330" s="5">
        <f t="shared" si="242"/>
        <v>0</v>
      </c>
      <c r="BZ330" s="5">
        <f t="shared" si="242"/>
        <v>0</v>
      </c>
      <c r="CA330" s="5">
        <f t="shared" si="242"/>
        <v>1</v>
      </c>
      <c r="CB330" s="5">
        <f t="shared" si="242"/>
        <v>0</v>
      </c>
      <c r="CC330" s="5">
        <f t="shared" si="243"/>
        <v>0</v>
      </c>
      <c r="CD330" s="5">
        <f t="shared" si="236"/>
        <v>0</v>
      </c>
      <c r="CE330" s="5">
        <f t="shared" si="236"/>
        <v>0</v>
      </c>
    </row>
    <row r="331" spans="3:83" x14ac:dyDescent="0.2">
      <c r="C331" s="1">
        <f>Growth!D336</f>
        <v>0</v>
      </c>
      <c r="D331" s="5" t="b">
        <f t="shared" si="244"/>
        <v>0</v>
      </c>
      <c r="E331" s="5">
        <v>2011</v>
      </c>
      <c r="F331" s="5">
        <f ca="1">LOOKUP($E331,frequence!$A$2:$A$35,frequence!L$2:L$35)</f>
        <v>33.053542446246631</v>
      </c>
      <c r="G331" s="5">
        <f ca="1">LOOKUP($E331,frequence!$A$2:$A$35,frequence!K$2:K$35)</f>
        <v>2.1388579511305732</v>
      </c>
      <c r="H331" s="5">
        <f ca="1">LOOKUP($E331,frequence!$A$2:$A$35,frequence!M$2:M$35)</f>
        <v>182.11948132765423</v>
      </c>
      <c r="I331" s="5">
        <v>2010</v>
      </c>
      <c r="J331" s="7">
        <f>LOOKUP(I331,CPI!A$69:A$103,CPI!O$69:O$103)</f>
        <v>1</v>
      </c>
      <c r="K331" s="5">
        <v>2010</v>
      </c>
      <c r="L331" s="7">
        <f t="shared" ca="1" si="245"/>
        <v>1</v>
      </c>
      <c r="M331" s="7">
        <f t="shared" si="237"/>
        <v>0.82521645021645018</v>
      </c>
      <c r="N331" s="14">
        <f>1/7.392</f>
        <v>0.13528138528138528</v>
      </c>
      <c r="O331" s="1">
        <f ca="1">P331*J331*(1+Growth!G$6)^(2010-K331)</f>
        <v>5</v>
      </c>
      <c r="P331" s="3">
        <v>5</v>
      </c>
      <c r="Q331" s="2">
        <f t="shared" si="148"/>
        <v>5</v>
      </c>
      <c r="R331" s="21">
        <f t="shared" ca="1" si="246"/>
        <v>25</v>
      </c>
      <c r="X331" s="2">
        <f t="shared" si="214"/>
        <v>5</v>
      </c>
      <c r="AC331" s="1">
        <f t="shared" si="222"/>
        <v>6.1</v>
      </c>
      <c r="AD331" s="5">
        <v>0</v>
      </c>
      <c r="AE331" s="5">
        <v>0</v>
      </c>
      <c r="AF331" s="5">
        <v>1</v>
      </c>
      <c r="AG331" s="5">
        <v>1</v>
      </c>
      <c r="AH331" s="5">
        <v>1</v>
      </c>
      <c r="AI331" s="3">
        <f t="shared" si="238"/>
        <v>3.1</v>
      </c>
      <c r="AJ331" s="5">
        <f t="shared" si="219"/>
        <v>1</v>
      </c>
      <c r="AK331" s="5">
        <f t="shared" si="247"/>
        <v>0</v>
      </c>
      <c r="AL331" s="5">
        <f t="shared" si="248"/>
        <v>0</v>
      </c>
      <c r="AM331" s="5">
        <f t="shared" si="220"/>
        <v>0</v>
      </c>
      <c r="AN331" s="5">
        <f t="shared" si="249"/>
        <v>0</v>
      </c>
      <c r="AO331" s="5">
        <f t="shared" si="221"/>
        <v>0</v>
      </c>
      <c r="AP331" s="11" t="s">
        <v>42</v>
      </c>
      <c r="AQ331" s="1">
        <v>3</v>
      </c>
      <c r="AR331" s="5">
        <v>0</v>
      </c>
      <c r="AS331" s="5">
        <v>0</v>
      </c>
      <c r="AT331" s="5">
        <v>0</v>
      </c>
      <c r="AU331" s="5">
        <v>1</v>
      </c>
      <c r="AV331" s="5">
        <f t="shared" si="239"/>
        <v>0</v>
      </c>
      <c r="AW331" s="5">
        <f t="shared" si="240"/>
        <v>0</v>
      </c>
      <c r="AX331" s="5">
        <f t="shared" si="241"/>
        <v>1</v>
      </c>
      <c r="AY331" s="1">
        <f t="shared" si="227"/>
        <v>0</v>
      </c>
      <c r="AZ331" s="1">
        <f t="shared" si="228"/>
        <v>0</v>
      </c>
      <c r="BA331" s="1">
        <f t="shared" si="229"/>
        <v>0</v>
      </c>
      <c r="BB331" s="5">
        <v>0</v>
      </c>
      <c r="BC331" s="5">
        <v>0</v>
      </c>
      <c r="BD331" s="5">
        <v>1</v>
      </c>
      <c r="BE331" s="5">
        <f t="shared" si="230"/>
        <v>0</v>
      </c>
      <c r="BF331" s="5">
        <v>0</v>
      </c>
      <c r="BG331" s="5">
        <f t="shared" si="250"/>
        <v>0</v>
      </c>
      <c r="BH331" s="5">
        <f t="shared" si="250"/>
        <v>0</v>
      </c>
      <c r="BI331" s="5">
        <f t="shared" si="250"/>
        <v>0</v>
      </c>
      <c r="BJ331" s="5">
        <f t="shared" si="250"/>
        <v>0</v>
      </c>
      <c r="BK331" s="5">
        <f t="shared" si="250"/>
        <v>0</v>
      </c>
      <c r="BL331" s="5">
        <f t="shared" si="250"/>
        <v>0</v>
      </c>
      <c r="BM331" s="5">
        <f t="shared" si="250"/>
        <v>0</v>
      </c>
      <c r="BN331" s="5">
        <f t="shared" si="242"/>
        <v>0</v>
      </c>
      <c r="BO331" s="5">
        <f t="shared" si="242"/>
        <v>0</v>
      </c>
      <c r="BP331" s="5">
        <f t="shared" si="242"/>
        <v>0</v>
      </c>
      <c r="BQ331" s="5">
        <f t="shared" si="242"/>
        <v>0</v>
      </c>
      <c r="BR331" s="5">
        <f t="shared" si="242"/>
        <v>0</v>
      </c>
      <c r="BS331" s="5">
        <f t="shared" si="242"/>
        <v>0</v>
      </c>
      <c r="BT331" s="5">
        <f t="shared" si="242"/>
        <v>0</v>
      </c>
      <c r="BU331" s="5">
        <f t="shared" si="242"/>
        <v>0</v>
      </c>
      <c r="BV331" s="5">
        <f t="shared" si="242"/>
        <v>0</v>
      </c>
      <c r="BW331" s="5">
        <f t="shared" si="242"/>
        <v>0</v>
      </c>
      <c r="BX331" s="5">
        <f t="shared" si="242"/>
        <v>0</v>
      </c>
      <c r="BY331" s="5">
        <f t="shared" si="242"/>
        <v>0</v>
      </c>
      <c r="BZ331" s="5">
        <f t="shared" si="242"/>
        <v>0</v>
      </c>
      <c r="CA331" s="5">
        <f t="shared" si="242"/>
        <v>1</v>
      </c>
      <c r="CB331" s="5">
        <f t="shared" si="242"/>
        <v>0</v>
      </c>
      <c r="CC331" s="5">
        <f t="shared" si="243"/>
        <v>0</v>
      </c>
      <c r="CD331" s="5">
        <f t="shared" si="236"/>
        <v>0</v>
      </c>
      <c r="CE331" s="5">
        <f t="shared" si="236"/>
        <v>0</v>
      </c>
    </row>
    <row r="332" spans="3:83" x14ac:dyDescent="0.2">
      <c r="C332" s="1">
        <f>Growth!D337</f>
        <v>0</v>
      </c>
      <c r="D332" s="5" t="b">
        <f t="shared" si="244"/>
        <v>0</v>
      </c>
      <c r="E332" s="5">
        <v>2011</v>
      </c>
      <c r="F332" s="5">
        <f ca="1">LOOKUP($E332,frequence!$A$2:$A$35,frequence!L$2:L$35)</f>
        <v>33.053542446246631</v>
      </c>
      <c r="G332" s="5">
        <f ca="1">LOOKUP($E332,frequence!$A$2:$A$35,frequence!K$2:K$35)</f>
        <v>2.1388579511305732</v>
      </c>
      <c r="H332" s="5">
        <f ca="1">LOOKUP($E332,frequence!$A$2:$A$35,frequence!M$2:M$35)</f>
        <v>182.11948132765423</v>
      </c>
      <c r="I332" s="5">
        <v>2010</v>
      </c>
      <c r="J332" s="7">
        <f>LOOKUP(I332,CPI!A$69:A$103,CPI!O$69:O$103)</f>
        <v>1</v>
      </c>
      <c r="K332" s="5">
        <v>2010</v>
      </c>
      <c r="L332" s="7">
        <f t="shared" ca="1" si="245"/>
        <v>1</v>
      </c>
      <c r="M332" s="7">
        <f t="shared" si="237"/>
        <v>8.252164502164502E-3</v>
      </c>
      <c r="N332" s="14">
        <f>0.01/7.392</f>
        <v>1.3528138528138528E-3</v>
      </c>
      <c r="O332" s="1">
        <f ca="1">P332*J332*(1+Growth!G$6)^(2010-K332)</f>
        <v>4</v>
      </c>
      <c r="P332" s="3">
        <v>4</v>
      </c>
      <c r="Q332" s="2">
        <f t="shared" si="148"/>
        <v>4</v>
      </c>
      <c r="R332" s="21">
        <f t="shared" ca="1" si="246"/>
        <v>16</v>
      </c>
      <c r="X332" s="2">
        <f t="shared" ref="X332:X395" si="251">P332</f>
        <v>4</v>
      </c>
      <c r="AC332" s="1">
        <f t="shared" si="222"/>
        <v>6.1</v>
      </c>
      <c r="AD332" s="5">
        <v>0</v>
      </c>
      <c r="AE332" s="5">
        <v>0</v>
      </c>
      <c r="AF332" s="5">
        <v>1</v>
      </c>
      <c r="AG332" s="5">
        <v>1</v>
      </c>
      <c r="AH332" s="5">
        <v>1</v>
      </c>
      <c r="AI332" s="3">
        <f t="shared" si="238"/>
        <v>3.1</v>
      </c>
      <c r="AJ332" s="5">
        <f t="shared" si="219"/>
        <v>1</v>
      </c>
      <c r="AK332" s="5">
        <f t="shared" si="247"/>
        <v>0</v>
      </c>
      <c r="AL332" s="5">
        <f t="shared" si="248"/>
        <v>0</v>
      </c>
      <c r="AM332" s="5">
        <f t="shared" si="220"/>
        <v>0</v>
      </c>
      <c r="AN332" s="5">
        <f t="shared" si="249"/>
        <v>0</v>
      </c>
      <c r="AO332" s="5">
        <f t="shared" si="221"/>
        <v>0</v>
      </c>
      <c r="AP332" s="11" t="s">
        <v>42</v>
      </c>
      <c r="AQ332" s="1">
        <v>3</v>
      </c>
      <c r="AR332" s="5">
        <v>0</v>
      </c>
      <c r="AS332" s="5">
        <v>0</v>
      </c>
      <c r="AT332" s="5">
        <v>0</v>
      </c>
      <c r="AU332" s="5">
        <v>1</v>
      </c>
      <c r="AV332" s="5">
        <f t="shared" si="239"/>
        <v>0</v>
      </c>
      <c r="AW332" s="5">
        <f t="shared" si="240"/>
        <v>0</v>
      </c>
      <c r="AX332" s="5">
        <f t="shared" si="241"/>
        <v>1</v>
      </c>
      <c r="AY332" s="1">
        <f t="shared" si="227"/>
        <v>0</v>
      </c>
      <c r="AZ332" s="1">
        <f t="shared" si="228"/>
        <v>0</v>
      </c>
      <c r="BA332" s="1">
        <f t="shared" si="229"/>
        <v>0</v>
      </c>
      <c r="BB332" s="5">
        <v>0</v>
      </c>
      <c r="BC332" s="5">
        <v>0</v>
      </c>
      <c r="BD332" s="5">
        <v>1</v>
      </c>
      <c r="BE332" s="5">
        <f t="shared" si="230"/>
        <v>0</v>
      </c>
      <c r="BF332" s="5">
        <v>0</v>
      </c>
      <c r="BG332" s="5">
        <f t="shared" si="250"/>
        <v>0</v>
      </c>
      <c r="BH332" s="5">
        <f t="shared" si="250"/>
        <v>0</v>
      </c>
      <c r="BI332" s="5">
        <f t="shared" si="250"/>
        <v>0</v>
      </c>
      <c r="BJ332" s="5">
        <f t="shared" si="250"/>
        <v>0</v>
      </c>
      <c r="BK332" s="5">
        <f t="shared" si="250"/>
        <v>0</v>
      </c>
      <c r="BL332" s="5">
        <f t="shared" si="250"/>
        <v>0</v>
      </c>
      <c r="BM332" s="5">
        <f t="shared" si="250"/>
        <v>0</v>
      </c>
      <c r="BN332" s="5">
        <f t="shared" si="242"/>
        <v>0</v>
      </c>
      <c r="BO332" s="5">
        <f t="shared" si="242"/>
        <v>0</v>
      </c>
      <c r="BP332" s="5">
        <f t="shared" si="242"/>
        <v>0</v>
      </c>
      <c r="BQ332" s="5">
        <f t="shared" si="242"/>
        <v>0</v>
      </c>
      <c r="BR332" s="5">
        <f t="shared" si="242"/>
        <v>0</v>
      </c>
      <c r="BS332" s="5">
        <f t="shared" si="242"/>
        <v>0</v>
      </c>
      <c r="BT332" s="5">
        <f t="shared" si="242"/>
        <v>0</v>
      </c>
      <c r="BU332" s="5">
        <f t="shared" si="242"/>
        <v>0</v>
      </c>
      <c r="BV332" s="5">
        <f t="shared" si="242"/>
        <v>0</v>
      </c>
      <c r="BW332" s="5">
        <f t="shared" si="242"/>
        <v>0</v>
      </c>
      <c r="BX332" s="5">
        <f t="shared" si="242"/>
        <v>0</v>
      </c>
      <c r="BY332" s="5">
        <f t="shared" si="242"/>
        <v>0</v>
      </c>
      <c r="BZ332" s="5">
        <f t="shared" si="242"/>
        <v>0</v>
      </c>
      <c r="CA332" s="5">
        <f t="shared" si="242"/>
        <v>1</v>
      </c>
      <c r="CB332" s="5">
        <f t="shared" si="242"/>
        <v>0</v>
      </c>
      <c r="CC332" s="5">
        <f t="shared" si="243"/>
        <v>0</v>
      </c>
      <c r="CD332" s="5">
        <f t="shared" si="236"/>
        <v>0</v>
      </c>
      <c r="CE332" s="5">
        <f t="shared" si="236"/>
        <v>0</v>
      </c>
    </row>
    <row r="333" spans="3:83" x14ac:dyDescent="0.2">
      <c r="C333" s="1">
        <f>Growth!D338</f>
        <v>0</v>
      </c>
      <c r="D333" s="5" t="b">
        <f t="shared" si="244"/>
        <v>0</v>
      </c>
      <c r="E333" s="5">
        <v>2011</v>
      </c>
      <c r="F333" s="5">
        <f ca="1">LOOKUP($E333,frequence!$A$2:$A$35,frequence!L$2:L$35)</f>
        <v>33.053542446246631</v>
      </c>
      <c r="G333" s="5">
        <f ca="1">LOOKUP($E333,frequence!$A$2:$A$35,frequence!K$2:K$35)</f>
        <v>2.1388579511305732</v>
      </c>
      <c r="H333" s="5">
        <f ca="1">LOOKUP($E333,frequence!$A$2:$A$35,frequence!M$2:M$35)</f>
        <v>182.11948132765423</v>
      </c>
      <c r="I333" s="5">
        <v>2010</v>
      </c>
      <c r="J333" s="7">
        <f>LOOKUP(I333,CPI!A$69:A$103,CPI!O$69:O$103)</f>
        <v>1</v>
      </c>
      <c r="K333" s="5">
        <v>2010</v>
      </c>
      <c r="L333" s="7">
        <f t="shared" ca="1" si="245"/>
        <v>1</v>
      </c>
      <c r="M333" s="7">
        <f t="shared" si="237"/>
        <v>8.252164502164501E-2</v>
      </c>
      <c r="N333" s="14">
        <f>0.1/7.392</f>
        <v>1.3528138528138528E-2</v>
      </c>
      <c r="O333" s="1">
        <f ca="1">P333*J333*(1+Growth!G$6)^(2010-K333)</f>
        <v>5</v>
      </c>
      <c r="P333" s="3">
        <v>5</v>
      </c>
      <c r="Q333" s="2">
        <f t="shared" si="148"/>
        <v>5</v>
      </c>
      <c r="R333" s="21">
        <f t="shared" ca="1" si="246"/>
        <v>25</v>
      </c>
      <c r="X333" s="2">
        <f t="shared" si="251"/>
        <v>5</v>
      </c>
      <c r="AC333" s="1">
        <f t="shared" si="222"/>
        <v>6.1</v>
      </c>
      <c r="AD333" s="5">
        <v>0</v>
      </c>
      <c r="AE333" s="5">
        <v>0</v>
      </c>
      <c r="AF333" s="5">
        <v>1</v>
      </c>
      <c r="AG333" s="5">
        <v>1</v>
      </c>
      <c r="AH333" s="5">
        <v>1</v>
      </c>
      <c r="AI333" s="3">
        <f t="shared" si="238"/>
        <v>3.1</v>
      </c>
      <c r="AJ333" s="5">
        <f t="shared" si="219"/>
        <v>1</v>
      </c>
      <c r="AK333" s="5">
        <f t="shared" si="247"/>
        <v>0</v>
      </c>
      <c r="AL333" s="5">
        <f t="shared" si="248"/>
        <v>0</v>
      </c>
      <c r="AM333" s="5">
        <f t="shared" si="220"/>
        <v>0</v>
      </c>
      <c r="AN333" s="5">
        <f t="shared" si="249"/>
        <v>0</v>
      </c>
      <c r="AO333" s="5">
        <f t="shared" si="221"/>
        <v>0</v>
      </c>
      <c r="AP333" s="11" t="s">
        <v>42</v>
      </c>
      <c r="AQ333" s="1">
        <v>3</v>
      </c>
      <c r="AR333" s="5">
        <v>0</v>
      </c>
      <c r="AS333" s="5">
        <v>0</v>
      </c>
      <c r="AT333" s="5">
        <v>0</v>
      </c>
      <c r="AU333" s="5">
        <v>1</v>
      </c>
      <c r="AV333" s="5">
        <f t="shared" si="239"/>
        <v>0</v>
      </c>
      <c r="AW333" s="5">
        <f t="shared" si="240"/>
        <v>0</v>
      </c>
      <c r="AX333" s="5">
        <f t="shared" si="241"/>
        <v>1</v>
      </c>
      <c r="AY333" s="1">
        <f t="shared" si="227"/>
        <v>0</v>
      </c>
      <c r="AZ333" s="1">
        <f t="shared" si="228"/>
        <v>0</v>
      </c>
      <c r="BA333" s="1">
        <f t="shared" si="229"/>
        <v>0</v>
      </c>
      <c r="BB333" s="5">
        <v>0</v>
      </c>
      <c r="BC333" s="5">
        <v>0</v>
      </c>
      <c r="BD333" s="5">
        <v>1</v>
      </c>
      <c r="BE333" s="5">
        <f t="shared" si="230"/>
        <v>0</v>
      </c>
      <c r="BF333" s="5">
        <v>0</v>
      </c>
      <c r="BG333" s="5">
        <f t="shared" si="250"/>
        <v>0</v>
      </c>
      <c r="BH333" s="5">
        <f t="shared" si="250"/>
        <v>0</v>
      </c>
      <c r="BI333" s="5">
        <f t="shared" si="250"/>
        <v>0</v>
      </c>
      <c r="BJ333" s="5">
        <f t="shared" si="250"/>
        <v>0</v>
      </c>
      <c r="BK333" s="5">
        <f t="shared" si="250"/>
        <v>0</v>
      </c>
      <c r="BL333" s="5">
        <f t="shared" si="250"/>
        <v>0</v>
      </c>
      <c r="BM333" s="5">
        <f t="shared" si="250"/>
        <v>0</v>
      </c>
      <c r="BN333" s="5">
        <f t="shared" si="242"/>
        <v>0</v>
      </c>
      <c r="BO333" s="5">
        <f t="shared" si="242"/>
        <v>0</v>
      </c>
      <c r="BP333" s="5">
        <f t="shared" si="242"/>
        <v>0</v>
      </c>
      <c r="BQ333" s="5">
        <f t="shared" si="242"/>
        <v>0</v>
      </c>
      <c r="BR333" s="5">
        <f t="shared" si="242"/>
        <v>0</v>
      </c>
      <c r="BS333" s="5">
        <f t="shared" si="242"/>
        <v>0</v>
      </c>
      <c r="BT333" s="5">
        <f t="shared" si="242"/>
        <v>0</v>
      </c>
      <c r="BU333" s="5">
        <f t="shared" si="242"/>
        <v>0</v>
      </c>
      <c r="BV333" s="5">
        <f t="shared" si="242"/>
        <v>0</v>
      </c>
      <c r="BW333" s="5">
        <f t="shared" si="242"/>
        <v>0</v>
      </c>
      <c r="BX333" s="5">
        <f t="shared" si="242"/>
        <v>0</v>
      </c>
      <c r="BY333" s="5">
        <f t="shared" si="242"/>
        <v>0</v>
      </c>
      <c r="BZ333" s="5">
        <f t="shared" si="242"/>
        <v>0</v>
      </c>
      <c r="CA333" s="5">
        <f t="shared" si="242"/>
        <v>1</v>
      </c>
      <c r="CB333" s="5">
        <f t="shared" si="242"/>
        <v>0</v>
      </c>
      <c r="CC333" s="5">
        <f t="shared" si="243"/>
        <v>0</v>
      </c>
      <c r="CD333" s="5">
        <f t="shared" si="236"/>
        <v>0</v>
      </c>
      <c r="CE333" s="5">
        <f t="shared" si="236"/>
        <v>0</v>
      </c>
    </row>
    <row r="334" spans="3:83" x14ac:dyDescent="0.2">
      <c r="C334" s="1">
        <f>Growth!D339</f>
        <v>0</v>
      </c>
      <c r="D334" s="5" t="b">
        <f t="shared" si="244"/>
        <v>0</v>
      </c>
      <c r="E334" s="5">
        <v>2011</v>
      </c>
      <c r="F334" s="5">
        <f ca="1">LOOKUP($E334,frequence!$A$2:$A$35,frequence!L$2:L$35)</f>
        <v>33.053542446246631</v>
      </c>
      <c r="G334" s="5">
        <f ca="1">LOOKUP($E334,frequence!$A$2:$A$35,frequence!K$2:K$35)</f>
        <v>2.1388579511305732</v>
      </c>
      <c r="H334" s="5">
        <f ca="1">LOOKUP($E334,frequence!$A$2:$A$35,frequence!M$2:M$35)</f>
        <v>182.11948132765423</v>
      </c>
      <c r="I334" s="5">
        <v>2010</v>
      </c>
      <c r="J334" s="7">
        <f>LOOKUP(I334,CPI!A$69:A$103,CPI!O$69:O$103)</f>
        <v>1</v>
      </c>
      <c r="K334" s="5">
        <v>2010</v>
      </c>
      <c r="L334" s="7">
        <f t="shared" ca="1" si="245"/>
        <v>1</v>
      </c>
      <c r="M334" s="7">
        <f t="shared" si="237"/>
        <v>8.252164502164502E-3</v>
      </c>
      <c r="N334" s="14">
        <f>0.01/7.392</f>
        <v>1.3528138528138528E-3</v>
      </c>
      <c r="O334" s="1">
        <f ca="1">P334*J334*(1+Growth!G$6)^(2010-K334)</f>
        <v>6</v>
      </c>
      <c r="P334" s="3">
        <v>6</v>
      </c>
      <c r="Q334" s="2">
        <f t="shared" si="148"/>
        <v>6</v>
      </c>
      <c r="R334" s="21">
        <f t="shared" ca="1" si="246"/>
        <v>36</v>
      </c>
      <c r="X334" s="2">
        <f t="shared" si="251"/>
        <v>6</v>
      </c>
      <c r="AC334" s="1">
        <f t="shared" si="222"/>
        <v>6.1</v>
      </c>
      <c r="AD334" s="5">
        <v>0</v>
      </c>
      <c r="AE334" s="5">
        <v>0</v>
      </c>
      <c r="AF334" s="5">
        <v>1</v>
      </c>
      <c r="AG334" s="5">
        <v>1</v>
      </c>
      <c r="AH334" s="5">
        <v>1</v>
      </c>
      <c r="AI334" s="3">
        <f t="shared" si="238"/>
        <v>3.1</v>
      </c>
      <c r="AJ334" s="5">
        <f t="shared" si="219"/>
        <v>1</v>
      </c>
      <c r="AK334" s="5">
        <f t="shared" si="247"/>
        <v>0</v>
      </c>
      <c r="AL334" s="5">
        <f t="shared" si="248"/>
        <v>0</v>
      </c>
      <c r="AM334" s="5">
        <f t="shared" si="220"/>
        <v>0</v>
      </c>
      <c r="AN334" s="5">
        <f t="shared" si="249"/>
        <v>0</v>
      </c>
      <c r="AO334" s="5">
        <f t="shared" si="221"/>
        <v>0</v>
      </c>
      <c r="AP334" s="11" t="s">
        <v>42</v>
      </c>
      <c r="AQ334" s="1">
        <v>3</v>
      </c>
      <c r="AR334" s="5">
        <v>0</v>
      </c>
      <c r="AS334" s="5">
        <v>0</v>
      </c>
      <c r="AT334" s="5">
        <v>0</v>
      </c>
      <c r="AU334" s="5">
        <v>1</v>
      </c>
      <c r="AV334" s="5">
        <f t="shared" si="239"/>
        <v>0</v>
      </c>
      <c r="AW334" s="5">
        <f t="shared" si="240"/>
        <v>0</v>
      </c>
      <c r="AX334" s="5">
        <f t="shared" si="241"/>
        <v>1</v>
      </c>
      <c r="AY334" s="1">
        <f t="shared" si="227"/>
        <v>0</v>
      </c>
      <c r="AZ334" s="1">
        <f t="shared" si="228"/>
        <v>0</v>
      </c>
      <c r="BA334" s="1">
        <f t="shared" si="229"/>
        <v>0</v>
      </c>
      <c r="BB334" s="5">
        <v>0</v>
      </c>
      <c r="BC334" s="5">
        <v>0</v>
      </c>
      <c r="BD334" s="5">
        <v>1</v>
      </c>
      <c r="BE334" s="5">
        <f t="shared" si="230"/>
        <v>0</v>
      </c>
      <c r="BF334" s="5">
        <v>0</v>
      </c>
      <c r="BG334" s="5">
        <f t="shared" si="250"/>
        <v>0</v>
      </c>
      <c r="BH334" s="5">
        <f t="shared" si="250"/>
        <v>0</v>
      </c>
      <c r="BI334" s="5">
        <f t="shared" si="250"/>
        <v>0</v>
      </c>
      <c r="BJ334" s="5">
        <f t="shared" si="250"/>
        <v>0</v>
      </c>
      <c r="BK334" s="5">
        <f t="shared" si="250"/>
        <v>0</v>
      </c>
      <c r="BL334" s="5">
        <f t="shared" si="250"/>
        <v>0</v>
      </c>
      <c r="BM334" s="5">
        <f t="shared" si="250"/>
        <v>0</v>
      </c>
      <c r="BN334" s="5">
        <f t="shared" si="242"/>
        <v>0</v>
      </c>
      <c r="BO334" s="5">
        <f t="shared" si="242"/>
        <v>0</v>
      </c>
      <c r="BP334" s="5">
        <f t="shared" si="242"/>
        <v>0</v>
      </c>
      <c r="BQ334" s="5">
        <f t="shared" si="242"/>
        <v>0</v>
      </c>
      <c r="BR334" s="5">
        <f t="shared" si="242"/>
        <v>0</v>
      </c>
      <c r="BS334" s="5">
        <f t="shared" si="242"/>
        <v>0</v>
      </c>
      <c r="BT334" s="5">
        <f t="shared" si="242"/>
        <v>0</v>
      </c>
      <c r="BU334" s="5">
        <f t="shared" si="242"/>
        <v>0</v>
      </c>
      <c r="BV334" s="5">
        <f t="shared" si="242"/>
        <v>0</v>
      </c>
      <c r="BW334" s="5">
        <f t="shared" si="242"/>
        <v>0</v>
      </c>
      <c r="BX334" s="5">
        <f t="shared" si="242"/>
        <v>0</v>
      </c>
      <c r="BY334" s="5">
        <f t="shared" si="242"/>
        <v>0</v>
      </c>
      <c r="BZ334" s="5">
        <f t="shared" si="242"/>
        <v>0</v>
      </c>
      <c r="CA334" s="5">
        <f t="shared" si="242"/>
        <v>1</v>
      </c>
      <c r="CB334" s="5">
        <f t="shared" si="242"/>
        <v>0</v>
      </c>
      <c r="CC334" s="5">
        <f t="shared" si="243"/>
        <v>0</v>
      </c>
      <c r="CD334" s="5">
        <f t="shared" si="236"/>
        <v>0</v>
      </c>
      <c r="CE334" s="5">
        <f t="shared" si="236"/>
        <v>0</v>
      </c>
    </row>
    <row r="335" spans="3:83" x14ac:dyDescent="0.2">
      <c r="C335" s="1">
        <f>Growth!D340</f>
        <v>0</v>
      </c>
      <c r="D335" s="5" t="b">
        <f t="shared" si="244"/>
        <v>0</v>
      </c>
      <c r="E335" s="5">
        <v>2011</v>
      </c>
      <c r="F335" s="5">
        <f ca="1">LOOKUP($E335,frequence!$A$2:$A$35,frequence!L$2:L$35)</f>
        <v>33.053542446246631</v>
      </c>
      <c r="G335" s="5">
        <f ca="1">LOOKUP($E335,frequence!$A$2:$A$35,frequence!K$2:K$35)</f>
        <v>2.1388579511305732</v>
      </c>
      <c r="H335" s="5">
        <f ca="1">LOOKUP($E335,frequence!$A$2:$A$35,frequence!M$2:M$35)</f>
        <v>182.11948132765423</v>
      </c>
      <c r="I335" s="5">
        <v>2010</v>
      </c>
      <c r="J335" s="7">
        <f>LOOKUP(I335,CPI!A$69:A$103,CPI!O$69:O$103)</f>
        <v>1</v>
      </c>
      <c r="K335" s="5">
        <v>2010</v>
      </c>
      <c r="L335" s="7">
        <f t="shared" ca="1" si="245"/>
        <v>1</v>
      </c>
      <c r="M335" s="7">
        <f t="shared" si="237"/>
        <v>8.252164502164502E-4</v>
      </c>
      <c r="N335" s="14">
        <f>0.001/7.392</f>
        <v>1.3528138528138528E-4</v>
      </c>
      <c r="O335" s="1">
        <f ca="1">P335*J335*(1+Growth!G$6)^(2010-K335)</f>
        <v>10</v>
      </c>
      <c r="P335" s="3">
        <v>10</v>
      </c>
      <c r="Q335" s="2">
        <f t="shared" ref="Q335:Q338" si="252">P335</f>
        <v>10</v>
      </c>
      <c r="R335" s="21">
        <f t="shared" ca="1" si="246"/>
        <v>100</v>
      </c>
      <c r="X335" s="2">
        <f t="shared" si="251"/>
        <v>10</v>
      </c>
      <c r="AC335" s="1">
        <f t="shared" si="222"/>
        <v>6.1</v>
      </c>
      <c r="AD335" s="5">
        <v>0</v>
      </c>
      <c r="AE335" s="5">
        <v>0</v>
      </c>
      <c r="AF335" s="5">
        <v>1</v>
      </c>
      <c r="AG335" s="5">
        <v>1</v>
      </c>
      <c r="AH335" s="5">
        <v>1</v>
      </c>
      <c r="AI335" s="3">
        <f t="shared" si="238"/>
        <v>3.1</v>
      </c>
      <c r="AJ335" s="5">
        <f t="shared" si="219"/>
        <v>1</v>
      </c>
      <c r="AK335" s="5">
        <f t="shared" si="247"/>
        <v>0</v>
      </c>
      <c r="AL335" s="5">
        <f t="shared" si="248"/>
        <v>0</v>
      </c>
      <c r="AM335" s="5">
        <f t="shared" si="220"/>
        <v>0</v>
      </c>
      <c r="AN335" s="5">
        <f t="shared" si="249"/>
        <v>0</v>
      </c>
      <c r="AO335" s="5">
        <f t="shared" si="221"/>
        <v>0</v>
      </c>
      <c r="AP335" s="11" t="s">
        <v>42</v>
      </c>
      <c r="AQ335" s="1">
        <v>3</v>
      </c>
      <c r="AR335" s="5">
        <v>0</v>
      </c>
      <c r="AS335" s="5">
        <v>0</v>
      </c>
      <c r="AT335" s="5">
        <v>0</v>
      </c>
      <c r="AU335" s="5">
        <v>1</v>
      </c>
      <c r="AV335" s="5">
        <f t="shared" si="239"/>
        <v>0</v>
      </c>
      <c r="AW335" s="5">
        <f t="shared" si="240"/>
        <v>0</v>
      </c>
      <c r="AX335" s="5">
        <f t="shared" si="241"/>
        <v>1</v>
      </c>
      <c r="AY335" s="1">
        <f t="shared" si="227"/>
        <v>0</v>
      </c>
      <c r="AZ335" s="1">
        <f t="shared" si="228"/>
        <v>0</v>
      </c>
      <c r="BA335" s="1">
        <f t="shared" si="229"/>
        <v>0</v>
      </c>
      <c r="BB335" s="5">
        <v>0</v>
      </c>
      <c r="BC335" s="5">
        <v>0</v>
      </c>
      <c r="BD335" s="5">
        <v>1</v>
      </c>
      <c r="BE335" s="5">
        <f t="shared" si="230"/>
        <v>0</v>
      </c>
      <c r="BF335" s="5">
        <v>0</v>
      </c>
      <c r="BG335" s="5">
        <f t="shared" si="250"/>
        <v>0</v>
      </c>
      <c r="BH335" s="5">
        <f t="shared" si="250"/>
        <v>0</v>
      </c>
      <c r="BI335" s="5">
        <f t="shared" si="250"/>
        <v>0</v>
      </c>
      <c r="BJ335" s="5">
        <f t="shared" si="250"/>
        <v>0</v>
      </c>
      <c r="BK335" s="5">
        <f t="shared" si="250"/>
        <v>0</v>
      </c>
      <c r="BL335" s="5">
        <f t="shared" si="250"/>
        <v>0</v>
      </c>
      <c r="BM335" s="5">
        <f t="shared" si="250"/>
        <v>0</v>
      </c>
      <c r="BN335" s="5">
        <f t="shared" si="242"/>
        <v>0</v>
      </c>
      <c r="BO335" s="5">
        <f t="shared" si="242"/>
        <v>0</v>
      </c>
      <c r="BP335" s="5">
        <f t="shared" si="242"/>
        <v>0</v>
      </c>
      <c r="BQ335" s="5">
        <f t="shared" si="242"/>
        <v>0</v>
      </c>
      <c r="BR335" s="5">
        <f t="shared" si="242"/>
        <v>0</v>
      </c>
      <c r="BS335" s="5">
        <f t="shared" si="242"/>
        <v>0</v>
      </c>
      <c r="BT335" s="5">
        <f t="shared" si="242"/>
        <v>0</v>
      </c>
      <c r="BU335" s="5">
        <f t="shared" si="242"/>
        <v>0</v>
      </c>
      <c r="BV335" s="5">
        <f t="shared" si="242"/>
        <v>0</v>
      </c>
      <c r="BW335" s="5">
        <f t="shared" si="242"/>
        <v>0</v>
      </c>
      <c r="BX335" s="5">
        <f t="shared" si="242"/>
        <v>0</v>
      </c>
      <c r="BY335" s="5">
        <f t="shared" si="242"/>
        <v>0</v>
      </c>
      <c r="BZ335" s="5">
        <f t="shared" si="242"/>
        <v>0</v>
      </c>
      <c r="CA335" s="5">
        <f t="shared" si="242"/>
        <v>1</v>
      </c>
      <c r="CB335" s="5">
        <f t="shared" si="242"/>
        <v>0</v>
      </c>
      <c r="CC335" s="5">
        <f t="shared" si="243"/>
        <v>0</v>
      </c>
      <c r="CD335" s="5">
        <f t="shared" si="243"/>
        <v>0</v>
      </c>
      <c r="CE335" s="5">
        <f t="shared" si="243"/>
        <v>0</v>
      </c>
    </row>
    <row r="336" spans="3:83" x14ac:dyDescent="0.2">
      <c r="C336" s="1">
        <f>Growth!D341</f>
        <v>0</v>
      </c>
      <c r="D336" s="5" t="b">
        <f t="shared" si="244"/>
        <v>0</v>
      </c>
      <c r="E336" s="5">
        <v>2011</v>
      </c>
      <c r="F336" s="5">
        <f ca="1">LOOKUP($E336,frequence!$A$2:$A$35,frequence!L$2:L$35)</f>
        <v>33.053542446246631</v>
      </c>
      <c r="G336" s="5">
        <f ca="1">LOOKUP($E336,frequence!$A$2:$A$35,frequence!K$2:K$35)</f>
        <v>2.1388579511305732</v>
      </c>
      <c r="H336" s="5">
        <f ca="1">LOOKUP($E336,frequence!$A$2:$A$35,frequence!M$2:M$35)</f>
        <v>182.11948132765423</v>
      </c>
      <c r="I336" s="5">
        <v>2010</v>
      </c>
      <c r="J336" s="7">
        <f>LOOKUP(I336,CPI!A$69:A$103,CPI!O$69:O$103)</f>
        <v>1</v>
      </c>
      <c r="K336" s="5">
        <v>2010</v>
      </c>
      <c r="L336" s="7">
        <f t="shared" ca="1" si="245"/>
        <v>1</v>
      </c>
      <c r="M336" s="7">
        <f t="shared" si="237"/>
        <v>8.252164502164501E-2</v>
      </c>
      <c r="N336" s="14">
        <f>0.1/7.392</f>
        <v>1.3528138528138528E-2</v>
      </c>
      <c r="O336" s="1">
        <f ca="1">P336*J336*(1+Growth!G$6)^(2010-K336)</f>
        <v>9</v>
      </c>
      <c r="P336" s="3">
        <v>9</v>
      </c>
      <c r="Q336" s="2">
        <f t="shared" si="252"/>
        <v>9</v>
      </c>
      <c r="R336" s="21">
        <f t="shared" ca="1" si="246"/>
        <v>81</v>
      </c>
      <c r="X336" s="2">
        <f t="shared" si="251"/>
        <v>9</v>
      </c>
      <c r="AC336" s="1">
        <f t="shared" si="222"/>
        <v>6.1</v>
      </c>
      <c r="AD336" s="5">
        <v>0</v>
      </c>
      <c r="AE336" s="5">
        <v>0</v>
      </c>
      <c r="AF336" s="5">
        <v>1</v>
      </c>
      <c r="AG336" s="5">
        <v>1</v>
      </c>
      <c r="AH336" s="5">
        <v>1</v>
      </c>
      <c r="AI336" s="3">
        <f t="shared" si="238"/>
        <v>3.1</v>
      </c>
      <c r="AJ336" s="5">
        <f t="shared" si="219"/>
        <v>1</v>
      </c>
      <c r="AK336" s="5">
        <f t="shared" si="247"/>
        <v>0</v>
      </c>
      <c r="AL336" s="5">
        <f t="shared" si="248"/>
        <v>0</v>
      </c>
      <c r="AM336" s="5">
        <f t="shared" si="220"/>
        <v>0</v>
      </c>
      <c r="AN336" s="5">
        <f t="shared" si="249"/>
        <v>0</v>
      </c>
      <c r="AO336" s="5">
        <f t="shared" si="221"/>
        <v>0</v>
      </c>
      <c r="AP336" s="11" t="s">
        <v>42</v>
      </c>
      <c r="AQ336" s="1">
        <v>3</v>
      </c>
      <c r="AR336" s="5">
        <v>0</v>
      </c>
      <c r="AS336" s="5">
        <v>0</v>
      </c>
      <c r="AT336" s="5">
        <v>0</v>
      </c>
      <c r="AU336" s="5">
        <v>1</v>
      </c>
      <c r="AV336" s="5">
        <f t="shared" si="239"/>
        <v>0</v>
      </c>
      <c r="AW336" s="5">
        <f t="shared" si="240"/>
        <v>0</v>
      </c>
      <c r="AX336" s="5">
        <f t="shared" si="241"/>
        <v>1</v>
      </c>
      <c r="AY336" s="1">
        <f t="shared" si="227"/>
        <v>0</v>
      </c>
      <c r="AZ336" s="1">
        <f t="shared" si="228"/>
        <v>0</v>
      </c>
      <c r="BA336" s="1">
        <f t="shared" si="229"/>
        <v>0</v>
      </c>
      <c r="BB336" s="5">
        <v>0</v>
      </c>
      <c r="BC336" s="5">
        <v>0</v>
      </c>
      <c r="BD336" s="5">
        <v>1</v>
      </c>
      <c r="BE336" s="5">
        <f t="shared" si="230"/>
        <v>0</v>
      </c>
      <c r="BF336" s="5">
        <v>0</v>
      </c>
      <c r="BG336" s="5">
        <f t="shared" si="250"/>
        <v>0</v>
      </c>
      <c r="BH336" s="5">
        <f t="shared" si="250"/>
        <v>0</v>
      </c>
      <c r="BI336" s="5">
        <f t="shared" si="250"/>
        <v>0</v>
      </c>
      <c r="BJ336" s="5">
        <f t="shared" si="250"/>
        <v>0</v>
      </c>
      <c r="BK336" s="5">
        <f t="shared" si="250"/>
        <v>0</v>
      </c>
      <c r="BL336" s="5">
        <f t="shared" si="250"/>
        <v>0</v>
      </c>
      <c r="BM336" s="5">
        <f t="shared" si="250"/>
        <v>0</v>
      </c>
      <c r="BN336" s="5">
        <f t="shared" si="242"/>
        <v>0</v>
      </c>
      <c r="BO336" s="5">
        <f t="shared" si="242"/>
        <v>0</v>
      </c>
      <c r="BP336" s="5">
        <f t="shared" si="242"/>
        <v>0</v>
      </c>
      <c r="BQ336" s="5">
        <f t="shared" si="242"/>
        <v>0</v>
      </c>
      <c r="BR336" s="5">
        <f t="shared" si="242"/>
        <v>0</v>
      </c>
      <c r="BS336" s="5">
        <f t="shared" si="242"/>
        <v>0</v>
      </c>
      <c r="BT336" s="5">
        <f t="shared" si="242"/>
        <v>0</v>
      </c>
      <c r="BU336" s="5">
        <f t="shared" si="242"/>
        <v>0</v>
      </c>
      <c r="BV336" s="5">
        <f t="shared" si="242"/>
        <v>0</v>
      </c>
      <c r="BW336" s="5">
        <f t="shared" si="242"/>
        <v>0</v>
      </c>
      <c r="BX336" s="5">
        <f t="shared" si="242"/>
        <v>0</v>
      </c>
      <c r="BY336" s="5">
        <f t="shared" si="242"/>
        <v>0</v>
      </c>
      <c r="BZ336" s="5">
        <f t="shared" si="242"/>
        <v>0</v>
      </c>
      <c r="CA336" s="5">
        <f t="shared" si="242"/>
        <v>1</v>
      </c>
      <c r="CB336" s="5">
        <f t="shared" si="242"/>
        <v>0</v>
      </c>
      <c r="CC336" s="5">
        <f t="shared" si="243"/>
        <v>0</v>
      </c>
      <c r="CD336" s="5">
        <f t="shared" si="243"/>
        <v>0</v>
      </c>
      <c r="CE336" s="5">
        <f t="shared" si="243"/>
        <v>0</v>
      </c>
    </row>
    <row r="337" spans="1:83" x14ac:dyDescent="0.2">
      <c r="C337" s="1">
        <f>Growth!D342</f>
        <v>0</v>
      </c>
      <c r="D337" s="5" t="b">
        <f t="shared" si="244"/>
        <v>0</v>
      </c>
      <c r="E337" s="5">
        <v>2011</v>
      </c>
      <c r="F337" s="5">
        <f ca="1">LOOKUP($E337,frequence!$A$2:$A$35,frequence!L$2:L$35)</f>
        <v>33.053542446246631</v>
      </c>
      <c r="G337" s="5">
        <f ca="1">LOOKUP($E337,frequence!$A$2:$A$35,frequence!K$2:K$35)</f>
        <v>2.1388579511305732</v>
      </c>
      <c r="H337" s="5">
        <f ca="1">LOOKUP($E337,frequence!$A$2:$A$35,frequence!M$2:M$35)</f>
        <v>182.11948132765423</v>
      </c>
      <c r="I337" s="5">
        <v>2010</v>
      </c>
      <c r="J337" s="7">
        <f>LOOKUP(I337,CPI!A$69:A$103,CPI!O$69:O$103)</f>
        <v>1</v>
      </c>
      <c r="K337" s="5">
        <v>2010</v>
      </c>
      <c r="L337" s="7">
        <f t="shared" ca="1" si="245"/>
        <v>1</v>
      </c>
      <c r="M337" s="7">
        <f t="shared" si="237"/>
        <v>8.252164502164502E-3</v>
      </c>
      <c r="N337" s="14">
        <f>0.01/7.392</f>
        <v>1.3528138528138528E-3</v>
      </c>
      <c r="O337" s="1">
        <f ca="1">P337*J337*(1+Growth!G$6)^(2010-K337)</f>
        <v>14</v>
      </c>
      <c r="P337" s="3">
        <v>14</v>
      </c>
      <c r="Q337" s="2">
        <f t="shared" si="252"/>
        <v>14</v>
      </c>
      <c r="R337" s="21">
        <f t="shared" ca="1" si="246"/>
        <v>196</v>
      </c>
      <c r="X337" s="2">
        <f t="shared" si="251"/>
        <v>14</v>
      </c>
      <c r="AC337" s="1">
        <f t="shared" si="222"/>
        <v>6.1</v>
      </c>
      <c r="AD337" s="5">
        <v>0</v>
      </c>
      <c r="AE337" s="5">
        <v>0</v>
      </c>
      <c r="AF337" s="5">
        <v>1</v>
      </c>
      <c r="AG337" s="5">
        <v>1</v>
      </c>
      <c r="AH337" s="5">
        <v>1</v>
      </c>
      <c r="AI337" s="3">
        <f t="shared" si="238"/>
        <v>3.1</v>
      </c>
      <c r="AJ337" s="5">
        <f t="shared" si="219"/>
        <v>1</v>
      </c>
      <c r="AK337" s="5">
        <f t="shared" si="247"/>
        <v>0</v>
      </c>
      <c r="AL337" s="5">
        <f t="shared" si="248"/>
        <v>0</v>
      </c>
      <c r="AM337" s="5">
        <f t="shared" si="220"/>
        <v>0</v>
      </c>
      <c r="AN337" s="5">
        <f t="shared" si="249"/>
        <v>0</v>
      </c>
      <c r="AO337" s="5">
        <f t="shared" si="221"/>
        <v>0</v>
      </c>
      <c r="AP337" s="11" t="s">
        <v>42</v>
      </c>
      <c r="AQ337" s="1">
        <v>3</v>
      </c>
      <c r="AR337" s="5">
        <v>0</v>
      </c>
      <c r="AS337" s="5">
        <v>0</v>
      </c>
      <c r="AT337" s="5">
        <v>0</v>
      </c>
      <c r="AU337" s="5">
        <v>1</v>
      </c>
      <c r="AV337" s="5">
        <f t="shared" si="239"/>
        <v>0</v>
      </c>
      <c r="AW337" s="5">
        <f t="shared" si="240"/>
        <v>0</v>
      </c>
      <c r="AX337" s="5">
        <f t="shared" si="241"/>
        <v>1</v>
      </c>
      <c r="AY337" s="1">
        <f t="shared" si="227"/>
        <v>0</v>
      </c>
      <c r="AZ337" s="1">
        <f t="shared" si="228"/>
        <v>0</v>
      </c>
      <c r="BA337" s="1">
        <f t="shared" si="229"/>
        <v>0</v>
      </c>
      <c r="BB337" s="5">
        <v>0</v>
      </c>
      <c r="BC337" s="5">
        <v>0</v>
      </c>
      <c r="BD337" s="5">
        <v>1</v>
      </c>
      <c r="BE337" s="5">
        <f t="shared" si="230"/>
        <v>0</v>
      </c>
      <c r="BF337" s="5">
        <v>0</v>
      </c>
      <c r="BG337" s="5">
        <f t="shared" si="250"/>
        <v>0</v>
      </c>
      <c r="BH337" s="5">
        <f t="shared" si="250"/>
        <v>0</v>
      </c>
      <c r="BI337" s="5">
        <f t="shared" si="250"/>
        <v>0</v>
      </c>
      <c r="BJ337" s="5">
        <f t="shared" si="250"/>
        <v>0</v>
      </c>
      <c r="BK337" s="5">
        <f t="shared" si="250"/>
        <v>0</v>
      </c>
      <c r="BL337" s="5">
        <f t="shared" si="250"/>
        <v>0</v>
      </c>
      <c r="BM337" s="5">
        <f t="shared" si="250"/>
        <v>0</v>
      </c>
      <c r="BN337" s="5">
        <f t="shared" si="242"/>
        <v>0</v>
      </c>
      <c r="BO337" s="5">
        <f t="shared" si="242"/>
        <v>0</v>
      </c>
      <c r="BP337" s="5">
        <f t="shared" si="242"/>
        <v>0</v>
      </c>
      <c r="BQ337" s="5">
        <f t="shared" si="242"/>
        <v>0</v>
      </c>
      <c r="BR337" s="5">
        <f t="shared" si="242"/>
        <v>0</v>
      </c>
      <c r="BS337" s="5">
        <f t="shared" si="242"/>
        <v>0</v>
      </c>
      <c r="BT337" s="5">
        <f t="shared" si="242"/>
        <v>0</v>
      </c>
      <c r="BU337" s="5">
        <f t="shared" si="242"/>
        <v>0</v>
      </c>
      <c r="BV337" s="5">
        <f t="shared" si="242"/>
        <v>0</v>
      </c>
      <c r="BW337" s="5">
        <f t="shared" si="242"/>
        <v>0</v>
      </c>
      <c r="BX337" s="5">
        <f t="shared" si="242"/>
        <v>0</v>
      </c>
      <c r="BY337" s="5">
        <f t="shared" si="242"/>
        <v>0</v>
      </c>
      <c r="BZ337" s="5">
        <f t="shared" si="242"/>
        <v>0</v>
      </c>
      <c r="CA337" s="5">
        <f t="shared" si="242"/>
        <v>1</v>
      </c>
      <c r="CB337" s="5">
        <f t="shared" si="242"/>
        <v>0</v>
      </c>
      <c r="CC337" s="5">
        <f t="shared" si="243"/>
        <v>0</v>
      </c>
      <c r="CD337" s="5">
        <f t="shared" si="243"/>
        <v>0</v>
      </c>
      <c r="CE337" s="5">
        <f t="shared" si="243"/>
        <v>0</v>
      </c>
    </row>
    <row r="338" spans="1:83" x14ac:dyDescent="0.2">
      <c r="C338" s="1">
        <f>Growth!D343</f>
        <v>0</v>
      </c>
      <c r="D338" s="5" t="b">
        <f t="shared" si="244"/>
        <v>0</v>
      </c>
      <c r="E338" s="5">
        <v>2011</v>
      </c>
      <c r="F338" s="5">
        <f ca="1">LOOKUP($E338,frequence!$A$2:$A$35,frequence!L$2:L$35)</f>
        <v>33.053542446246631</v>
      </c>
      <c r="G338" s="5">
        <f ca="1">LOOKUP($E338,frequence!$A$2:$A$35,frequence!K$2:K$35)</f>
        <v>2.1388579511305732</v>
      </c>
      <c r="H338" s="5">
        <f ca="1">LOOKUP($E338,frequence!$A$2:$A$35,frequence!M$2:M$35)</f>
        <v>182.11948132765423</v>
      </c>
      <c r="I338" s="5">
        <v>2010</v>
      </c>
      <c r="J338" s="7">
        <f>LOOKUP(I338,CPI!A$69:A$103,CPI!O$69:O$103)</f>
        <v>1</v>
      </c>
      <c r="K338" s="5">
        <v>2010</v>
      </c>
      <c r="L338" s="7">
        <f t="shared" ca="1" si="245"/>
        <v>1</v>
      </c>
      <c r="M338" s="7">
        <f t="shared" si="237"/>
        <v>8.252164502164502E-4</v>
      </c>
      <c r="N338" s="14">
        <f>0.001/7.392</f>
        <v>1.3528138528138528E-4</v>
      </c>
      <c r="O338" s="1">
        <f ca="1">P338*J338*(1+Growth!G$6)^(2010-K338)</f>
        <v>15</v>
      </c>
      <c r="P338" s="3">
        <v>15</v>
      </c>
      <c r="Q338" s="2">
        <f t="shared" si="252"/>
        <v>15</v>
      </c>
      <c r="R338" s="21">
        <f t="shared" ca="1" si="246"/>
        <v>225</v>
      </c>
      <c r="X338" s="2">
        <f t="shared" si="251"/>
        <v>15</v>
      </c>
      <c r="AC338" s="1">
        <f t="shared" si="222"/>
        <v>6.1</v>
      </c>
      <c r="AD338" s="5">
        <v>0</v>
      </c>
      <c r="AE338" s="5">
        <v>0</v>
      </c>
      <c r="AF338" s="5">
        <v>1</v>
      </c>
      <c r="AG338" s="5">
        <v>1</v>
      </c>
      <c r="AH338" s="5">
        <v>1</v>
      </c>
      <c r="AI338" s="3">
        <f t="shared" si="238"/>
        <v>3.1</v>
      </c>
      <c r="AJ338" s="5">
        <f t="shared" si="219"/>
        <v>1</v>
      </c>
      <c r="AK338" s="5">
        <f t="shared" si="247"/>
        <v>0</v>
      </c>
      <c r="AL338" s="5">
        <f t="shared" si="248"/>
        <v>0</v>
      </c>
      <c r="AM338" s="5">
        <f t="shared" si="220"/>
        <v>0</v>
      </c>
      <c r="AN338" s="5">
        <f t="shared" si="249"/>
        <v>0</v>
      </c>
      <c r="AO338" s="5">
        <f t="shared" si="221"/>
        <v>0</v>
      </c>
      <c r="AP338" s="11" t="s">
        <v>42</v>
      </c>
      <c r="AQ338" s="1">
        <v>3</v>
      </c>
      <c r="AR338" s="5">
        <v>0</v>
      </c>
      <c r="AS338" s="5">
        <v>0</v>
      </c>
      <c r="AT338" s="5">
        <v>0</v>
      </c>
      <c r="AU338" s="5">
        <v>1</v>
      </c>
      <c r="AV338" s="5">
        <f t="shared" si="239"/>
        <v>0</v>
      </c>
      <c r="AW338" s="5">
        <f t="shared" si="240"/>
        <v>0</v>
      </c>
      <c r="AX338" s="5">
        <f t="shared" si="241"/>
        <v>1</v>
      </c>
      <c r="AY338" s="1">
        <f t="shared" si="227"/>
        <v>0</v>
      </c>
      <c r="AZ338" s="1">
        <f t="shared" si="228"/>
        <v>0</v>
      </c>
      <c r="BA338" s="1">
        <f t="shared" si="229"/>
        <v>0</v>
      </c>
      <c r="BB338" s="5">
        <v>0</v>
      </c>
      <c r="BC338" s="5">
        <v>0</v>
      </c>
      <c r="BD338" s="5">
        <v>1</v>
      </c>
      <c r="BE338" s="5">
        <f t="shared" si="230"/>
        <v>0</v>
      </c>
      <c r="BF338" s="5">
        <v>0</v>
      </c>
      <c r="BG338" s="5">
        <f t="shared" si="250"/>
        <v>0</v>
      </c>
      <c r="BH338" s="5">
        <f t="shared" si="250"/>
        <v>0</v>
      </c>
      <c r="BI338" s="5">
        <f t="shared" si="250"/>
        <v>0</v>
      </c>
      <c r="BJ338" s="5">
        <f t="shared" si="250"/>
        <v>0</v>
      </c>
      <c r="BK338" s="5">
        <f t="shared" si="250"/>
        <v>0</v>
      </c>
      <c r="BL338" s="5">
        <f t="shared" si="250"/>
        <v>0</v>
      </c>
      <c r="BM338" s="5">
        <f t="shared" si="250"/>
        <v>0</v>
      </c>
      <c r="BN338" s="5">
        <f t="shared" si="242"/>
        <v>0</v>
      </c>
      <c r="BO338" s="5">
        <f t="shared" si="242"/>
        <v>0</v>
      </c>
      <c r="BP338" s="5">
        <f t="shared" si="242"/>
        <v>0</v>
      </c>
      <c r="BQ338" s="5">
        <f t="shared" si="242"/>
        <v>0</v>
      </c>
      <c r="BR338" s="5">
        <f t="shared" si="242"/>
        <v>0</v>
      </c>
      <c r="BS338" s="5">
        <f t="shared" si="242"/>
        <v>0</v>
      </c>
      <c r="BT338" s="5">
        <f t="shared" si="242"/>
        <v>0</v>
      </c>
      <c r="BU338" s="5">
        <f t="shared" si="242"/>
        <v>0</v>
      </c>
      <c r="BV338" s="5">
        <f t="shared" si="242"/>
        <v>0</v>
      </c>
      <c r="BW338" s="5">
        <f t="shared" si="242"/>
        <v>0</v>
      </c>
      <c r="BX338" s="5">
        <f t="shared" si="242"/>
        <v>0</v>
      </c>
      <c r="BY338" s="5">
        <f t="shared" si="242"/>
        <v>0</v>
      </c>
      <c r="BZ338" s="5">
        <f t="shared" si="242"/>
        <v>0</v>
      </c>
      <c r="CA338" s="5">
        <f t="shared" si="242"/>
        <v>1</v>
      </c>
      <c r="CB338" s="5">
        <f t="shared" si="242"/>
        <v>0</v>
      </c>
      <c r="CC338" s="5">
        <f t="shared" si="243"/>
        <v>0</v>
      </c>
      <c r="CD338" s="5">
        <f t="shared" si="243"/>
        <v>0</v>
      </c>
      <c r="CE338" s="5">
        <f t="shared" si="243"/>
        <v>0</v>
      </c>
    </row>
    <row r="339" spans="1:83" x14ac:dyDescent="0.2">
      <c r="A339" s="1" t="s">
        <v>45</v>
      </c>
      <c r="B339" s="11" t="s">
        <v>150</v>
      </c>
      <c r="C339" s="1">
        <f>Growth!D344</f>
        <v>0</v>
      </c>
      <c r="D339" s="5">
        <f t="shared" si="244"/>
        <v>2006</v>
      </c>
      <c r="E339" s="5">
        <v>2006</v>
      </c>
      <c r="F339" s="5">
        <f ca="1">LOOKUP($E339,frequence!$A$2:$A$35,frequence!L$2:L$35)</f>
        <v>71.097990738484512</v>
      </c>
      <c r="G339" s="5">
        <f ca="1">LOOKUP($E339,frequence!$A$2:$A$35,frequence!K$2:K$35)</f>
        <v>5.2950026937283488</v>
      </c>
      <c r="H339" s="5">
        <f ca="1">LOOKUP($E339,frequence!$A$2:$A$35,frequence!M$2:M$35)</f>
        <v>500.74918436144497</v>
      </c>
      <c r="I339" s="5">
        <v>1995</v>
      </c>
      <c r="J339" s="7">
        <f>LOOKUP(I339,CPI!A$69:A$103,CPI!O$69:O$103)</f>
        <v>1.4308136482939633</v>
      </c>
      <c r="K339" s="5">
        <v>2000</v>
      </c>
      <c r="L339" s="7">
        <f t="shared" ca="1" si="245"/>
        <v>1</v>
      </c>
      <c r="M339" s="7">
        <f t="shared" ref="M339:M402" si="253">N339*AC339</f>
        <v>0.10476190476190475</v>
      </c>
      <c r="N339" s="14">
        <f>2/9/14</f>
        <v>1.5873015873015872E-2</v>
      </c>
      <c r="O339" s="1">
        <f ca="1">P339*J339*(1+Growth!G$6)^(2010-K339)</f>
        <v>96.426658636816384</v>
      </c>
      <c r="P339" s="3">
        <v>58</v>
      </c>
      <c r="Q339" s="2">
        <f t="shared" si="148"/>
        <v>58</v>
      </c>
      <c r="R339" s="21">
        <f t="shared" ca="1" si="246"/>
        <v>9298.1004958611156</v>
      </c>
      <c r="X339" s="2">
        <f t="shared" si="251"/>
        <v>58</v>
      </c>
      <c r="AC339" s="1">
        <f t="shared" si="217"/>
        <v>6.6</v>
      </c>
      <c r="AD339" s="5">
        <v>1</v>
      </c>
      <c r="AE339" s="5">
        <v>0</v>
      </c>
      <c r="AF339" s="5">
        <v>1</v>
      </c>
      <c r="AG339" s="5">
        <v>1</v>
      </c>
      <c r="AH339" s="5">
        <v>1</v>
      </c>
      <c r="AI339" s="3">
        <f t="shared" si="238"/>
        <v>2.6</v>
      </c>
      <c r="AJ339" s="5">
        <f t="shared" si="219"/>
        <v>0</v>
      </c>
      <c r="AK339" s="5">
        <f t="shared" si="247"/>
        <v>0</v>
      </c>
      <c r="AL339" s="5">
        <f t="shared" si="248"/>
        <v>0</v>
      </c>
      <c r="AM339" s="5">
        <f t="shared" si="220"/>
        <v>0</v>
      </c>
      <c r="AN339" s="5">
        <f t="shared" si="249"/>
        <v>0</v>
      </c>
      <c r="AO339" s="5">
        <f t="shared" si="221"/>
        <v>1</v>
      </c>
      <c r="AP339" s="11" t="s">
        <v>42</v>
      </c>
      <c r="AQ339" s="1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f t="shared" si="239"/>
        <v>0</v>
      </c>
      <c r="AW339" s="5">
        <f t="shared" si="240"/>
        <v>0</v>
      </c>
      <c r="AX339" s="5">
        <f t="shared" si="241"/>
        <v>1</v>
      </c>
      <c r="AY339" s="1">
        <f t="shared" si="184"/>
        <v>0</v>
      </c>
      <c r="AZ339" s="1">
        <f t="shared" si="185"/>
        <v>0</v>
      </c>
      <c r="BA339" s="1">
        <f t="shared" si="186"/>
        <v>1</v>
      </c>
      <c r="BB339" s="5">
        <v>0</v>
      </c>
      <c r="BC339" s="5">
        <v>0</v>
      </c>
      <c r="BD339" s="5">
        <v>1</v>
      </c>
      <c r="BE339" s="5">
        <f t="shared" si="196"/>
        <v>0</v>
      </c>
      <c r="BF339" s="5">
        <v>0</v>
      </c>
      <c r="BG339" s="5">
        <f t="shared" si="250"/>
        <v>0</v>
      </c>
      <c r="BH339" s="5">
        <f t="shared" si="250"/>
        <v>0</v>
      </c>
      <c r="BI339" s="5">
        <f t="shared" si="250"/>
        <v>0</v>
      </c>
      <c r="BJ339" s="5">
        <f t="shared" si="250"/>
        <v>0</v>
      </c>
      <c r="BK339" s="5">
        <f t="shared" si="250"/>
        <v>0</v>
      </c>
      <c r="BL339" s="5">
        <f t="shared" si="250"/>
        <v>0</v>
      </c>
      <c r="BM339" s="5">
        <f t="shared" si="250"/>
        <v>0</v>
      </c>
      <c r="BN339" s="5">
        <f t="shared" si="242"/>
        <v>0</v>
      </c>
      <c r="BO339" s="5">
        <f t="shared" si="242"/>
        <v>0</v>
      </c>
      <c r="BP339" s="5">
        <f t="shared" si="242"/>
        <v>0</v>
      </c>
      <c r="BQ339" s="5">
        <f t="shared" si="242"/>
        <v>0</v>
      </c>
      <c r="BR339" s="5">
        <f t="shared" si="242"/>
        <v>0</v>
      </c>
      <c r="BS339" s="5">
        <f t="shared" si="242"/>
        <v>0</v>
      </c>
      <c r="BT339" s="5">
        <f t="shared" si="242"/>
        <v>0</v>
      </c>
      <c r="BU339" s="5">
        <f t="shared" si="242"/>
        <v>0</v>
      </c>
      <c r="BV339" s="5">
        <f t="shared" si="242"/>
        <v>1</v>
      </c>
      <c r="BW339" s="5">
        <f t="shared" si="242"/>
        <v>0</v>
      </c>
      <c r="BX339" s="5">
        <f t="shared" si="242"/>
        <v>0</v>
      </c>
      <c r="BY339" s="5">
        <f t="shared" si="242"/>
        <v>0</v>
      </c>
      <c r="BZ339" s="5">
        <f t="shared" si="242"/>
        <v>0</v>
      </c>
      <c r="CA339" s="5">
        <f t="shared" si="242"/>
        <v>0</v>
      </c>
      <c r="CB339" s="5">
        <f t="shared" ref="CB339:CE358" si="254">IF($E339=CB$2,1,0)</f>
        <v>0</v>
      </c>
      <c r="CC339" s="5">
        <f t="shared" si="243"/>
        <v>0</v>
      </c>
      <c r="CD339" s="5">
        <f t="shared" si="243"/>
        <v>0</v>
      </c>
      <c r="CE339" s="5">
        <f t="shared" si="243"/>
        <v>0</v>
      </c>
    </row>
    <row r="340" spans="1:83" x14ac:dyDescent="0.2">
      <c r="C340" s="1">
        <f>Growth!D345</f>
        <v>0</v>
      </c>
      <c r="D340" s="5" t="b">
        <f t="shared" si="244"/>
        <v>0</v>
      </c>
      <c r="E340" s="5">
        <v>2006</v>
      </c>
      <c r="F340" s="5">
        <f ca="1">LOOKUP($E340,frequence!$A$2:$A$35,frequence!L$2:L$35)</f>
        <v>71.097990738484512</v>
      </c>
      <c r="G340" s="5">
        <f ca="1">LOOKUP($E340,frequence!$A$2:$A$35,frequence!K$2:K$35)</f>
        <v>5.2950026937283488</v>
      </c>
      <c r="H340" s="5">
        <f ca="1">LOOKUP($E340,frequence!$A$2:$A$35,frequence!M$2:M$35)</f>
        <v>500.74918436144497</v>
      </c>
      <c r="I340" s="5">
        <v>1995</v>
      </c>
      <c r="J340" s="7">
        <f>LOOKUP(I340,CPI!A$69:A$103,CPI!O$69:O$103)</f>
        <v>1.4308136482939633</v>
      </c>
      <c r="K340" s="5">
        <v>2000</v>
      </c>
      <c r="L340" s="7">
        <f t="shared" ca="1" si="245"/>
        <v>1</v>
      </c>
      <c r="M340" s="7">
        <f t="shared" si="253"/>
        <v>0.10476190476190475</v>
      </c>
      <c r="N340" s="14">
        <f>2/9/14</f>
        <v>1.5873015873015872E-2</v>
      </c>
      <c r="O340" s="1">
        <f ca="1">P340*J340*(1+Growth!G$6)^(2010-K340)</f>
        <v>18.287814569051381</v>
      </c>
      <c r="P340" s="3">
        <v>11</v>
      </c>
      <c r="Q340" s="2">
        <f t="shared" si="148"/>
        <v>11</v>
      </c>
      <c r="R340" s="21">
        <f t="shared" ca="1" si="246"/>
        <v>334.44416171200794</v>
      </c>
      <c r="X340" s="2">
        <f t="shared" si="251"/>
        <v>11</v>
      </c>
      <c r="AC340" s="1">
        <f t="shared" si="217"/>
        <v>6.6</v>
      </c>
      <c r="AD340" s="5">
        <v>1</v>
      </c>
      <c r="AE340" s="5">
        <v>0</v>
      </c>
      <c r="AF340" s="5">
        <v>1</v>
      </c>
      <c r="AG340" s="5">
        <v>1</v>
      </c>
      <c r="AH340" s="5">
        <v>1</v>
      </c>
      <c r="AI340" s="3">
        <f t="shared" si="238"/>
        <v>2.6</v>
      </c>
      <c r="AJ340" s="5">
        <f t="shared" si="219"/>
        <v>0</v>
      </c>
      <c r="AK340" s="5">
        <f t="shared" si="247"/>
        <v>0</v>
      </c>
      <c r="AL340" s="5">
        <f t="shared" si="248"/>
        <v>0</v>
      </c>
      <c r="AM340" s="5">
        <f t="shared" si="220"/>
        <v>1</v>
      </c>
      <c r="AN340" s="5">
        <f t="shared" si="249"/>
        <v>0</v>
      </c>
      <c r="AO340" s="5">
        <f t="shared" si="221"/>
        <v>0</v>
      </c>
      <c r="AP340" s="11" t="s">
        <v>42</v>
      </c>
      <c r="AQ340" s="1">
        <v>1</v>
      </c>
      <c r="AR340" s="5">
        <v>0</v>
      </c>
      <c r="AS340" s="5">
        <v>0</v>
      </c>
      <c r="AT340" s="5">
        <v>0</v>
      </c>
      <c r="AU340" s="5">
        <v>0</v>
      </c>
      <c r="AV340" s="5">
        <f t="shared" si="239"/>
        <v>0</v>
      </c>
      <c r="AW340" s="5">
        <f t="shared" si="240"/>
        <v>0</v>
      </c>
      <c r="AX340" s="5">
        <f t="shared" si="241"/>
        <v>1</v>
      </c>
      <c r="AY340" s="1">
        <f t="shared" si="184"/>
        <v>0</v>
      </c>
      <c r="AZ340" s="1">
        <f t="shared" si="185"/>
        <v>1</v>
      </c>
      <c r="BA340" s="1">
        <f t="shared" si="186"/>
        <v>0</v>
      </c>
      <c r="BB340" s="5">
        <v>0</v>
      </c>
      <c r="BC340" s="5">
        <v>0</v>
      </c>
      <c r="BD340" s="5">
        <v>1</v>
      </c>
      <c r="BE340" s="5">
        <f t="shared" si="196"/>
        <v>0</v>
      </c>
      <c r="BF340" s="5">
        <v>0</v>
      </c>
      <c r="BG340" s="5">
        <f t="shared" si="250"/>
        <v>0</v>
      </c>
      <c r="BH340" s="5">
        <f t="shared" si="250"/>
        <v>0</v>
      </c>
      <c r="BI340" s="5">
        <f t="shared" si="250"/>
        <v>0</v>
      </c>
      <c r="BJ340" s="5">
        <f t="shared" si="250"/>
        <v>0</v>
      </c>
      <c r="BK340" s="5">
        <f t="shared" si="250"/>
        <v>0</v>
      </c>
      <c r="BL340" s="5">
        <f t="shared" si="250"/>
        <v>0</v>
      </c>
      <c r="BM340" s="5">
        <f t="shared" si="250"/>
        <v>0</v>
      </c>
      <c r="BN340" s="5">
        <f t="shared" si="250"/>
        <v>0</v>
      </c>
      <c r="BO340" s="5">
        <f t="shared" ref="BO340:CA355" si="255">IF($E340=BO$2,1,0)</f>
        <v>0</v>
      </c>
      <c r="BP340" s="5">
        <f t="shared" si="255"/>
        <v>0</v>
      </c>
      <c r="BQ340" s="5">
        <f t="shared" si="255"/>
        <v>0</v>
      </c>
      <c r="BR340" s="5">
        <f t="shared" si="255"/>
        <v>0</v>
      </c>
      <c r="BS340" s="5">
        <f t="shared" si="255"/>
        <v>0</v>
      </c>
      <c r="BT340" s="5">
        <f t="shared" si="255"/>
        <v>0</v>
      </c>
      <c r="BU340" s="5">
        <f t="shared" si="255"/>
        <v>0</v>
      </c>
      <c r="BV340" s="5">
        <f t="shared" si="255"/>
        <v>1</v>
      </c>
      <c r="BW340" s="5">
        <f t="shared" si="255"/>
        <v>0</v>
      </c>
      <c r="BX340" s="5">
        <f t="shared" si="255"/>
        <v>0</v>
      </c>
      <c r="BY340" s="5">
        <f t="shared" si="255"/>
        <v>0</v>
      </c>
      <c r="BZ340" s="5">
        <f t="shared" si="255"/>
        <v>0</v>
      </c>
      <c r="CA340" s="5">
        <f t="shared" si="255"/>
        <v>0</v>
      </c>
      <c r="CB340" s="5">
        <f t="shared" si="254"/>
        <v>0</v>
      </c>
      <c r="CC340" s="5">
        <f t="shared" si="243"/>
        <v>0</v>
      </c>
      <c r="CD340" s="5">
        <f t="shared" si="243"/>
        <v>0</v>
      </c>
      <c r="CE340" s="5">
        <f t="shared" si="243"/>
        <v>0</v>
      </c>
    </row>
    <row r="341" spans="1:83" x14ac:dyDescent="0.2">
      <c r="C341" s="1">
        <f>Growth!D346</f>
        <v>0</v>
      </c>
      <c r="D341" s="5" t="b">
        <f t="shared" si="244"/>
        <v>0</v>
      </c>
      <c r="E341" s="5">
        <v>2006</v>
      </c>
      <c r="F341" s="5">
        <f ca="1">LOOKUP($E341,frequence!$A$2:$A$35,frequence!L$2:L$35)</f>
        <v>71.097990738484512</v>
      </c>
      <c r="G341" s="5">
        <f ca="1">LOOKUP($E341,frequence!$A$2:$A$35,frequence!K$2:K$35)</f>
        <v>5.2950026937283488</v>
      </c>
      <c r="H341" s="5">
        <f ca="1">LOOKUP($E341,frequence!$A$2:$A$35,frequence!M$2:M$35)</f>
        <v>500.74918436144497</v>
      </c>
      <c r="I341" s="5">
        <v>1995</v>
      </c>
      <c r="J341" s="7">
        <f>LOOKUP(I341,CPI!A$69:A$103,CPI!O$69:O$103)</f>
        <v>1.4308136482939633</v>
      </c>
      <c r="K341" s="5">
        <v>2000</v>
      </c>
      <c r="L341" s="7">
        <f t="shared" ca="1" si="245"/>
        <v>1</v>
      </c>
      <c r="M341" s="7">
        <f t="shared" si="253"/>
        <v>0.10476190476190475</v>
      </c>
      <c r="N341" s="14">
        <f>2/9/14</f>
        <v>1.5873015873015872E-2</v>
      </c>
      <c r="O341" s="1">
        <f ca="1">P341*J341*(1+Growth!G$6)^(2010-K341)</f>
        <v>-3.8238157735289251</v>
      </c>
      <c r="P341" s="3">
        <v>-2.2999999999999998</v>
      </c>
      <c r="Q341" s="2">
        <f t="shared" si="148"/>
        <v>-2.2999999999999998</v>
      </c>
      <c r="R341" s="21">
        <f t="shared" ca="1" si="246"/>
        <v>14.621567069888611</v>
      </c>
      <c r="X341" s="2">
        <f t="shared" si="251"/>
        <v>-2.2999999999999998</v>
      </c>
      <c r="AC341" s="1">
        <f t="shared" si="217"/>
        <v>6.6</v>
      </c>
      <c r="AD341" s="5">
        <v>1</v>
      </c>
      <c r="AE341" s="5">
        <v>0</v>
      </c>
      <c r="AF341" s="5">
        <v>1</v>
      </c>
      <c r="AG341" s="5">
        <v>1</v>
      </c>
      <c r="AH341" s="5">
        <v>1</v>
      </c>
      <c r="AI341" s="3">
        <f t="shared" si="238"/>
        <v>2.6</v>
      </c>
      <c r="AJ341" s="5">
        <f t="shared" si="219"/>
        <v>1</v>
      </c>
      <c r="AK341" s="5">
        <f t="shared" si="247"/>
        <v>0</v>
      </c>
      <c r="AL341" s="5">
        <f t="shared" si="248"/>
        <v>0</v>
      </c>
      <c r="AM341" s="5">
        <f t="shared" si="220"/>
        <v>0</v>
      </c>
      <c r="AN341" s="5">
        <f t="shared" si="249"/>
        <v>0</v>
      </c>
      <c r="AO341" s="5">
        <f t="shared" si="221"/>
        <v>0</v>
      </c>
      <c r="AP341" s="11" t="s">
        <v>42</v>
      </c>
      <c r="AQ341" s="1">
        <v>3</v>
      </c>
      <c r="AR341" s="5">
        <v>0</v>
      </c>
      <c r="AS341" s="5">
        <v>0</v>
      </c>
      <c r="AT341" s="5">
        <v>0</v>
      </c>
      <c r="AU341" s="5">
        <v>0</v>
      </c>
      <c r="AV341" s="5">
        <f t="shared" si="239"/>
        <v>0</v>
      </c>
      <c r="AW341" s="5">
        <f t="shared" si="240"/>
        <v>0</v>
      </c>
      <c r="AX341" s="5">
        <f t="shared" si="241"/>
        <v>1</v>
      </c>
      <c r="AY341" s="1">
        <f t="shared" si="184"/>
        <v>1</v>
      </c>
      <c r="AZ341" s="1">
        <f t="shared" si="185"/>
        <v>0</v>
      </c>
      <c r="BA341" s="1">
        <f t="shared" si="186"/>
        <v>0</v>
      </c>
      <c r="BB341" s="5">
        <v>0</v>
      </c>
      <c r="BC341" s="5">
        <v>0</v>
      </c>
      <c r="BD341" s="5">
        <v>1</v>
      </c>
      <c r="BE341" s="5">
        <f t="shared" si="196"/>
        <v>0</v>
      </c>
      <c r="BF341" s="5">
        <v>0</v>
      </c>
      <c r="BG341" s="5">
        <f t="shared" ref="BG341:BN356" si="256">IF($E341=BG$2,1,0)</f>
        <v>0</v>
      </c>
      <c r="BH341" s="5">
        <f t="shared" si="256"/>
        <v>0</v>
      </c>
      <c r="BI341" s="5">
        <f t="shared" si="256"/>
        <v>0</v>
      </c>
      <c r="BJ341" s="5">
        <f t="shared" si="256"/>
        <v>0</v>
      </c>
      <c r="BK341" s="5">
        <f t="shared" si="256"/>
        <v>0</v>
      </c>
      <c r="BL341" s="5">
        <f t="shared" si="256"/>
        <v>0</v>
      </c>
      <c r="BM341" s="5">
        <f t="shared" si="256"/>
        <v>0</v>
      </c>
      <c r="BN341" s="5">
        <f t="shared" si="256"/>
        <v>0</v>
      </c>
      <c r="BO341" s="5">
        <f t="shared" si="255"/>
        <v>0</v>
      </c>
      <c r="BP341" s="5">
        <f t="shared" si="255"/>
        <v>0</v>
      </c>
      <c r="BQ341" s="5">
        <f t="shared" si="255"/>
        <v>0</v>
      </c>
      <c r="BR341" s="5">
        <f t="shared" si="255"/>
        <v>0</v>
      </c>
      <c r="BS341" s="5">
        <f t="shared" si="255"/>
        <v>0</v>
      </c>
      <c r="BT341" s="5">
        <f t="shared" si="255"/>
        <v>0</v>
      </c>
      <c r="BU341" s="5">
        <f t="shared" si="255"/>
        <v>0</v>
      </c>
      <c r="BV341" s="5">
        <f t="shared" si="255"/>
        <v>1</v>
      </c>
      <c r="BW341" s="5">
        <f t="shared" si="255"/>
        <v>0</v>
      </c>
      <c r="BX341" s="5">
        <f t="shared" si="255"/>
        <v>0</v>
      </c>
      <c r="BY341" s="5">
        <f t="shared" si="255"/>
        <v>0</v>
      </c>
      <c r="BZ341" s="5">
        <f t="shared" si="255"/>
        <v>0</v>
      </c>
      <c r="CA341" s="5">
        <f t="shared" si="255"/>
        <v>0</v>
      </c>
      <c r="CB341" s="5">
        <f t="shared" si="254"/>
        <v>0</v>
      </c>
      <c r="CC341" s="5">
        <f t="shared" si="243"/>
        <v>0</v>
      </c>
      <c r="CD341" s="5">
        <f t="shared" si="243"/>
        <v>0</v>
      </c>
      <c r="CE341" s="5">
        <f t="shared" si="243"/>
        <v>0</v>
      </c>
    </row>
    <row r="342" spans="1:83" x14ac:dyDescent="0.2">
      <c r="C342" s="1">
        <f>Growth!D347</f>
        <v>0</v>
      </c>
      <c r="D342" s="5" t="b">
        <f t="shared" si="244"/>
        <v>0</v>
      </c>
      <c r="E342" s="5">
        <v>2006</v>
      </c>
      <c r="F342" s="5">
        <f ca="1">LOOKUP($E342,frequence!$A$2:$A$35,frequence!L$2:L$35)</f>
        <v>71.097990738484512</v>
      </c>
      <c r="G342" s="5">
        <f ca="1">LOOKUP($E342,frequence!$A$2:$A$35,frequence!K$2:K$35)</f>
        <v>5.2950026937283488</v>
      </c>
      <c r="H342" s="5">
        <f ca="1">LOOKUP($E342,frequence!$A$2:$A$35,frequence!M$2:M$35)</f>
        <v>500.74918436144497</v>
      </c>
      <c r="I342" s="5">
        <v>1995</v>
      </c>
      <c r="J342" s="7">
        <f>LOOKUP(I342,CPI!A$69:A$103,CPI!O$69:O$103)</f>
        <v>1.4308136482939633</v>
      </c>
      <c r="K342" s="5">
        <v>2000</v>
      </c>
      <c r="L342" s="7">
        <f t="shared" ca="1" si="245"/>
        <v>1</v>
      </c>
      <c r="M342" s="7">
        <f t="shared" si="253"/>
        <v>0.94285714285714273</v>
      </c>
      <c r="N342" s="14">
        <f>2/14</f>
        <v>0.14285714285714285</v>
      </c>
      <c r="O342" s="1">
        <f ca="1">P342*J342*(1+Growth!G$6)^(2010-K342)</f>
        <v>29.925514749356807</v>
      </c>
      <c r="P342" s="3">
        <v>18</v>
      </c>
      <c r="Q342" s="2">
        <f t="shared" si="148"/>
        <v>18</v>
      </c>
      <c r="R342" s="21">
        <f t="shared" ca="1" si="246"/>
        <v>895.53643301397187</v>
      </c>
      <c r="X342" s="2">
        <f t="shared" si="251"/>
        <v>18</v>
      </c>
      <c r="AC342" s="1">
        <f t="shared" si="217"/>
        <v>6.6</v>
      </c>
      <c r="AD342" s="5">
        <v>1</v>
      </c>
      <c r="AE342" s="5">
        <v>0</v>
      </c>
      <c r="AF342" s="5">
        <v>1</v>
      </c>
      <c r="AG342" s="5">
        <v>1</v>
      </c>
      <c r="AH342" s="5">
        <v>1</v>
      </c>
      <c r="AI342" s="3">
        <f t="shared" si="238"/>
        <v>2.6</v>
      </c>
      <c r="AJ342" s="5">
        <f t="shared" si="219"/>
        <v>0</v>
      </c>
      <c r="AK342" s="5">
        <f t="shared" si="247"/>
        <v>0</v>
      </c>
      <c r="AL342" s="5">
        <f t="shared" si="248"/>
        <v>0</v>
      </c>
      <c r="AM342" s="5">
        <f t="shared" si="220"/>
        <v>0</v>
      </c>
      <c r="AN342" s="5">
        <f t="shared" si="249"/>
        <v>0</v>
      </c>
      <c r="AO342" s="5">
        <f t="shared" si="221"/>
        <v>0</v>
      </c>
      <c r="AP342" s="1" t="s">
        <v>42</v>
      </c>
      <c r="AQ342" s="1" t="s">
        <v>42</v>
      </c>
      <c r="AR342" s="5">
        <v>0</v>
      </c>
      <c r="AS342" s="5">
        <v>0</v>
      </c>
      <c r="AT342" s="5">
        <v>0</v>
      </c>
      <c r="AU342" s="5">
        <v>0</v>
      </c>
      <c r="AV342" s="5">
        <f t="shared" si="239"/>
        <v>0</v>
      </c>
      <c r="AW342" s="5">
        <f t="shared" si="240"/>
        <v>0</v>
      </c>
      <c r="AX342" s="5">
        <f t="shared" si="241"/>
        <v>1</v>
      </c>
      <c r="AY342" s="1">
        <f t="shared" si="184"/>
        <v>0</v>
      </c>
      <c r="AZ342" s="1">
        <f t="shared" si="185"/>
        <v>0</v>
      </c>
      <c r="BA342" s="1">
        <f t="shared" si="186"/>
        <v>0</v>
      </c>
      <c r="BB342" s="5">
        <v>0</v>
      </c>
      <c r="BC342" s="5">
        <v>0</v>
      </c>
      <c r="BD342" s="5">
        <v>1</v>
      </c>
      <c r="BE342" s="5">
        <f t="shared" si="196"/>
        <v>0</v>
      </c>
      <c r="BF342" s="5">
        <v>0</v>
      </c>
      <c r="BG342" s="5">
        <f t="shared" si="256"/>
        <v>0</v>
      </c>
      <c r="BH342" s="5">
        <f t="shared" si="256"/>
        <v>0</v>
      </c>
      <c r="BI342" s="5">
        <f t="shared" si="256"/>
        <v>0</v>
      </c>
      <c r="BJ342" s="5">
        <f t="shared" si="256"/>
        <v>0</v>
      </c>
      <c r="BK342" s="5">
        <f t="shared" si="256"/>
        <v>0</v>
      </c>
      <c r="BL342" s="5">
        <f t="shared" si="256"/>
        <v>0</v>
      </c>
      <c r="BM342" s="5">
        <f t="shared" si="256"/>
        <v>0</v>
      </c>
      <c r="BN342" s="5">
        <f t="shared" si="256"/>
        <v>0</v>
      </c>
      <c r="BO342" s="5">
        <f t="shared" si="255"/>
        <v>0</v>
      </c>
      <c r="BP342" s="5">
        <f t="shared" si="255"/>
        <v>0</v>
      </c>
      <c r="BQ342" s="5">
        <f t="shared" si="255"/>
        <v>0</v>
      </c>
      <c r="BR342" s="5">
        <f t="shared" si="255"/>
        <v>0</v>
      </c>
      <c r="BS342" s="5">
        <f t="shared" si="255"/>
        <v>0</v>
      </c>
      <c r="BT342" s="5">
        <f t="shared" si="255"/>
        <v>0</v>
      </c>
      <c r="BU342" s="5">
        <f t="shared" si="255"/>
        <v>0</v>
      </c>
      <c r="BV342" s="5">
        <f t="shared" si="255"/>
        <v>1</v>
      </c>
      <c r="BW342" s="5">
        <f t="shared" si="255"/>
        <v>0</v>
      </c>
      <c r="BX342" s="5">
        <f t="shared" si="255"/>
        <v>0</v>
      </c>
      <c r="BY342" s="5">
        <f t="shared" si="255"/>
        <v>0</v>
      </c>
      <c r="BZ342" s="5">
        <f t="shared" si="255"/>
        <v>0</v>
      </c>
      <c r="CA342" s="5">
        <f t="shared" si="255"/>
        <v>0</v>
      </c>
      <c r="CB342" s="5">
        <f t="shared" si="254"/>
        <v>0</v>
      </c>
      <c r="CC342" s="5">
        <f t="shared" si="243"/>
        <v>0</v>
      </c>
      <c r="CD342" s="5">
        <f t="shared" si="243"/>
        <v>0</v>
      </c>
      <c r="CE342" s="5">
        <f t="shared" si="243"/>
        <v>0</v>
      </c>
    </row>
    <row r="343" spans="1:83" x14ac:dyDescent="0.2">
      <c r="C343" s="1">
        <f>Growth!D348</f>
        <v>0</v>
      </c>
      <c r="D343" s="5" t="b">
        <f t="shared" si="244"/>
        <v>0</v>
      </c>
      <c r="E343" s="5">
        <v>2006</v>
      </c>
      <c r="F343" s="5">
        <f ca="1">LOOKUP($E343,frequence!$A$2:$A$35,frequence!L$2:L$35)</f>
        <v>71.097990738484512</v>
      </c>
      <c r="G343" s="5">
        <f ca="1">LOOKUP($E343,frequence!$A$2:$A$35,frequence!K$2:K$35)</f>
        <v>5.2950026937283488</v>
      </c>
      <c r="H343" s="5">
        <f ca="1">LOOKUP($E343,frequence!$A$2:$A$35,frequence!M$2:M$35)</f>
        <v>500.74918436144497</v>
      </c>
      <c r="I343" s="5">
        <v>1995</v>
      </c>
      <c r="J343" s="7">
        <f>LOOKUP(I343,CPI!A$69:A$103,CPI!O$69:O$103)</f>
        <v>1.4308136482939633</v>
      </c>
      <c r="K343" s="5">
        <v>2000</v>
      </c>
      <c r="L343" s="7">
        <f t="shared" ca="1" si="245"/>
        <v>1</v>
      </c>
      <c r="M343" s="7">
        <f t="shared" si="253"/>
        <v>5.2380952380952375E-2</v>
      </c>
      <c r="N343" s="14">
        <f>1/9/14</f>
        <v>7.9365079365079361E-3</v>
      </c>
      <c r="O343" s="1">
        <f ca="1">P343*J343*(1+Growth!G$6)^(2010-K343)</f>
        <v>10.972688741430829</v>
      </c>
      <c r="P343" s="3">
        <v>6.6</v>
      </c>
      <c r="Q343" s="2">
        <f t="shared" si="148"/>
        <v>6.6</v>
      </c>
      <c r="R343" s="21">
        <f t="shared" ca="1" si="246"/>
        <v>120.39989821632288</v>
      </c>
      <c r="X343" s="2">
        <f t="shared" si="251"/>
        <v>6.6</v>
      </c>
      <c r="AC343" s="1">
        <f t="shared" si="217"/>
        <v>6.6</v>
      </c>
      <c r="AD343" s="5">
        <v>1</v>
      </c>
      <c r="AE343" s="5">
        <v>0</v>
      </c>
      <c r="AF343" s="5">
        <v>1</v>
      </c>
      <c r="AG343" s="5">
        <v>1</v>
      </c>
      <c r="AH343" s="5">
        <v>1</v>
      </c>
      <c r="AI343" s="3">
        <f t="shared" si="238"/>
        <v>2.6</v>
      </c>
      <c r="AJ343" s="5">
        <f t="shared" ref="AJ343:AJ406" si="257">IF($AQ343=3,1,0)</f>
        <v>0</v>
      </c>
      <c r="AK343" s="5">
        <f t="shared" si="247"/>
        <v>0</v>
      </c>
      <c r="AL343" s="5">
        <f t="shared" si="248"/>
        <v>0</v>
      </c>
      <c r="AM343" s="5">
        <f t="shared" si="220"/>
        <v>0</v>
      </c>
      <c r="AN343" s="5">
        <f t="shared" si="249"/>
        <v>0</v>
      </c>
      <c r="AO343" s="5">
        <f t="shared" si="221"/>
        <v>0</v>
      </c>
      <c r="AP343" s="1">
        <v>3.5</v>
      </c>
      <c r="AQ343" s="1" t="s">
        <v>42</v>
      </c>
      <c r="AR343" s="5">
        <v>0</v>
      </c>
      <c r="AS343" s="5">
        <v>0</v>
      </c>
      <c r="AT343" s="5">
        <v>0</v>
      </c>
      <c r="AU343" s="5">
        <v>0</v>
      </c>
      <c r="AV343" s="5">
        <f t="shared" si="239"/>
        <v>0</v>
      </c>
      <c r="AW343" s="5">
        <f t="shared" si="240"/>
        <v>0</v>
      </c>
      <c r="AX343" s="5">
        <f t="shared" si="241"/>
        <v>1</v>
      </c>
      <c r="AY343" s="1">
        <f t="shared" si="184"/>
        <v>0</v>
      </c>
      <c r="AZ343" s="1">
        <f t="shared" si="185"/>
        <v>0</v>
      </c>
      <c r="BA343" s="1">
        <f t="shared" si="186"/>
        <v>0</v>
      </c>
      <c r="BB343" s="5">
        <v>0</v>
      </c>
      <c r="BC343" s="5">
        <v>0</v>
      </c>
      <c r="BD343" s="5">
        <v>1</v>
      </c>
      <c r="BE343" s="5">
        <f t="shared" si="196"/>
        <v>0</v>
      </c>
      <c r="BF343" s="5">
        <v>0</v>
      </c>
      <c r="BG343" s="5">
        <f t="shared" si="256"/>
        <v>0</v>
      </c>
      <c r="BH343" s="5">
        <f t="shared" si="256"/>
        <v>0</v>
      </c>
      <c r="BI343" s="5">
        <f t="shared" si="256"/>
        <v>0</v>
      </c>
      <c r="BJ343" s="5">
        <f t="shared" si="256"/>
        <v>0</v>
      </c>
      <c r="BK343" s="5">
        <f t="shared" si="256"/>
        <v>0</v>
      </c>
      <c r="BL343" s="5">
        <f t="shared" si="256"/>
        <v>0</v>
      </c>
      <c r="BM343" s="5">
        <f t="shared" si="256"/>
        <v>0</v>
      </c>
      <c r="BN343" s="5">
        <f t="shared" si="256"/>
        <v>0</v>
      </c>
      <c r="BO343" s="5">
        <f t="shared" si="255"/>
        <v>0</v>
      </c>
      <c r="BP343" s="5">
        <f t="shared" si="255"/>
        <v>0</v>
      </c>
      <c r="BQ343" s="5">
        <f t="shared" si="255"/>
        <v>0</v>
      </c>
      <c r="BR343" s="5">
        <f t="shared" si="255"/>
        <v>0</v>
      </c>
      <c r="BS343" s="5">
        <f t="shared" si="255"/>
        <v>0</v>
      </c>
      <c r="BT343" s="5">
        <f t="shared" si="255"/>
        <v>0</v>
      </c>
      <c r="BU343" s="5">
        <f t="shared" si="255"/>
        <v>0</v>
      </c>
      <c r="BV343" s="5">
        <f t="shared" si="255"/>
        <v>1</v>
      </c>
      <c r="BW343" s="5">
        <f t="shared" si="255"/>
        <v>0</v>
      </c>
      <c r="BX343" s="5">
        <f t="shared" si="255"/>
        <v>0</v>
      </c>
      <c r="BY343" s="5">
        <f t="shared" si="255"/>
        <v>0</v>
      </c>
      <c r="BZ343" s="5">
        <f t="shared" si="255"/>
        <v>0</v>
      </c>
      <c r="CA343" s="5">
        <f t="shared" si="255"/>
        <v>0</v>
      </c>
      <c r="CB343" s="5">
        <f t="shared" si="254"/>
        <v>0</v>
      </c>
      <c r="CC343" s="5">
        <f t="shared" si="243"/>
        <v>0</v>
      </c>
      <c r="CD343" s="5">
        <f t="shared" si="243"/>
        <v>0</v>
      </c>
      <c r="CE343" s="5">
        <f t="shared" si="243"/>
        <v>0</v>
      </c>
    </row>
    <row r="344" spans="1:83" x14ac:dyDescent="0.2">
      <c r="C344" s="1">
        <f>Growth!D349</f>
        <v>0</v>
      </c>
      <c r="D344" s="5" t="b">
        <f t="shared" si="244"/>
        <v>0</v>
      </c>
      <c r="E344" s="5">
        <v>2006</v>
      </c>
      <c r="F344" s="5">
        <f ca="1">LOOKUP($E344,frequence!$A$2:$A$35,frequence!L$2:L$35)</f>
        <v>71.097990738484512</v>
      </c>
      <c r="G344" s="5">
        <f ca="1">LOOKUP($E344,frequence!$A$2:$A$35,frequence!K$2:K$35)</f>
        <v>5.2950026937283488</v>
      </c>
      <c r="H344" s="5">
        <f ca="1">LOOKUP($E344,frequence!$A$2:$A$35,frequence!M$2:M$35)</f>
        <v>500.74918436144497</v>
      </c>
      <c r="I344" s="5">
        <v>1995</v>
      </c>
      <c r="J344" s="7">
        <f>LOOKUP(I344,CPI!A$69:A$103,CPI!O$69:O$103)</f>
        <v>1.4308136482939633</v>
      </c>
      <c r="K344" s="5">
        <v>2000</v>
      </c>
      <c r="L344" s="7">
        <f t="shared" ca="1" si="245"/>
        <v>1</v>
      </c>
      <c r="M344" s="7">
        <f t="shared" si="253"/>
        <v>0.94285714285714273</v>
      </c>
      <c r="N344" s="14">
        <f>2/14</f>
        <v>0.14285714285714285</v>
      </c>
      <c r="O344" s="1">
        <f ca="1">P344*J344*(1+Growth!G$6)^(2010-K344)</f>
        <v>146.30251655241105</v>
      </c>
      <c r="P344" s="3">
        <v>88</v>
      </c>
      <c r="Q344" s="2">
        <f t="shared" si="148"/>
        <v>88</v>
      </c>
      <c r="R344" s="21">
        <f t="shared" ca="1" si="246"/>
        <v>21404.426349568508</v>
      </c>
      <c r="X344" s="2">
        <f t="shared" si="251"/>
        <v>88</v>
      </c>
      <c r="AC344" s="1">
        <f t="shared" si="217"/>
        <v>6.6</v>
      </c>
      <c r="AD344" s="5">
        <v>1</v>
      </c>
      <c r="AE344" s="5">
        <v>0</v>
      </c>
      <c r="AF344" s="5">
        <v>1</v>
      </c>
      <c r="AG344" s="5">
        <v>1</v>
      </c>
      <c r="AH344" s="5">
        <v>1</v>
      </c>
      <c r="AI344" s="3">
        <f t="shared" si="238"/>
        <v>2.6</v>
      </c>
      <c r="AJ344" s="5">
        <f t="shared" si="257"/>
        <v>0</v>
      </c>
      <c r="AK344" s="5">
        <f t="shared" si="247"/>
        <v>0</v>
      </c>
      <c r="AL344" s="5">
        <f t="shared" si="248"/>
        <v>0</v>
      </c>
      <c r="AM344" s="5">
        <f t="shared" si="220"/>
        <v>0</v>
      </c>
      <c r="AN344" s="5">
        <f t="shared" si="249"/>
        <v>0</v>
      </c>
      <c r="AO344" s="5">
        <f t="shared" si="221"/>
        <v>0</v>
      </c>
      <c r="AP344" s="1" t="s">
        <v>42</v>
      </c>
      <c r="AQ344" s="1" t="s">
        <v>42</v>
      </c>
      <c r="AR344" s="5">
        <v>0</v>
      </c>
      <c r="AS344" s="5">
        <v>0</v>
      </c>
      <c r="AT344" s="5">
        <v>0</v>
      </c>
      <c r="AU344" s="5">
        <v>0</v>
      </c>
      <c r="AV344" s="5">
        <f t="shared" si="239"/>
        <v>0</v>
      </c>
      <c r="AW344" s="5">
        <f t="shared" si="240"/>
        <v>0</v>
      </c>
      <c r="AX344" s="5">
        <f t="shared" si="241"/>
        <v>1</v>
      </c>
      <c r="AY344" s="1">
        <f t="shared" si="184"/>
        <v>0</v>
      </c>
      <c r="AZ344" s="1">
        <f t="shared" si="185"/>
        <v>0</v>
      </c>
      <c r="BA344" s="1">
        <f t="shared" si="186"/>
        <v>0</v>
      </c>
      <c r="BB344" s="5">
        <v>0</v>
      </c>
      <c r="BC344" s="5">
        <v>0</v>
      </c>
      <c r="BD344" s="5">
        <v>1</v>
      </c>
      <c r="BE344" s="5">
        <f t="shared" si="196"/>
        <v>0</v>
      </c>
      <c r="BF344" s="5">
        <v>0</v>
      </c>
      <c r="BG344" s="5">
        <f t="shared" si="256"/>
        <v>0</v>
      </c>
      <c r="BH344" s="5">
        <f t="shared" si="256"/>
        <v>0</v>
      </c>
      <c r="BI344" s="5">
        <f t="shared" si="256"/>
        <v>0</v>
      </c>
      <c r="BJ344" s="5">
        <f t="shared" si="256"/>
        <v>0</v>
      </c>
      <c r="BK344" s="5">
        <f t="shared" si="256"/>
        <v>0</v>
      </c>
      <c r="BL344" s="5">
        <f t="shared" si="256"/>
        <v>0</v>
      </c>
      <c r="BM344" s="5">
        <f t="shared" si="256"/>
        <v>0</v>
      </c>
      <c r="BN344" s="5">
        <f t="shared" si="256"/>
        <v>0</v>
      </c>
      <c r="BO344" s="5">
        <f t="shared" si="255"/>
        <v>0</v>
      </c>
      <c r="BP344" s="5">
        <f t="shared" si="255"/>
        <v>0</v>
      </c>
      <c r="BQ344" s="5">
        <f t="shared" si="255"/>
        <v>0</v>
      </c>
      <c r="BR344" s="5">
        <f t="shared" si="255"/>
        <v>0</v>
      </c>
      <c r="BS344" s="5">
        <f t="shared" si="255"/>
        <v>0</v>
      </c>
      <c r="BT344" s="5">
        <f t="shared" si="255"/>
        <v>0</v>
      </c>
      <c r="BU344" s="5">
        <f t="shared" si="255"/>
        <v>0</v>
      </c>
      <c r="BV344" s="5">
        <f t="shared" si="255"/>
        <v>1</v>
      </c>
      <c r="BW344" s="5">
        <f t="shared" si="255"/>
        <v>0</v>
      </c>
      <c r="BX344" s="5">
        <f t="shared" si="255"/>
        <v>0</v>
      </c>
      <c r="BY344" s="5">
        <f t="shared" si="255"/>
        <v>0</v>
      </c>
      <c r="BZ344" s="5">
        <f t="shared" si="255"/>
        <v>0</v>
      </c>
      <c r="CA344" s="5">
        <f t="shared" si="255"/>
        <v>0</v>
      </c>
      <c r="CB344" s="5">
        <f t="shared" si="254"/>
        <v>0</v>
      </c>
      <c r="CC344" s="5">
        <f t="shared" si="254"/>
        <v>0</v>
      </c>
      <c r="CD344" s="5">
        <f t="shared" si="254"/>
        <v>0</v>
      </c>
      <c r="CE344" s="5">
        <f t="shared" si="254"/>
        <v>0</v>
      </c>
    </row>
    <row r="345" spans="1:83" x14ac:dyDescent="0.2">
      <c r="C345" s="1">
        <f>Growth!D350</f>
        <v>0</v>
      </c>
      <c r="D345" s="5" t="b">
        <f t="shared" si="244"/>
        <v>0</v>
      </c>
      <c r="E345" s="5">
        <v>2006</v>
      </c>
      <c r="F345" s="5">
        <f ca="1">LOOKUP($E345,frequence!$A$2:$A$35,frequence!L$2:L$35)</f>
        <v>71.097990738484512</v>
      </c>
      <c r="G345" s="5">
        <f ca="1">LOOKUP($E345,frequence!$A$2:$A$35,frequence!K$2:K$35)</f>
        <v>5.2950026937283488</v>
      </c>
      <c r="H345" s="5">
        <f ca="1">LOOKUP($E345,frequence!$A$2:$A$35,frequence!M$2:M$35)</f>
        <v>500.74918436144497</v>
      </c>
      <c r="I345" s="5">
        <v>1995</v>
      </c>
      <c r="J345" s="7">
        <f>LOOKUP(I345,CPI!A$69:A$103,CPI!O$69:O$103)</f>
        <v>1.4308136482939633</v>
      </c>
      <c r="K345" s="5">
        <v>2000</v>
      </c>
      <c r="L345" s="7">
        <f t="shared" ca="1" si="245"/>
        <v>1</v>
      </c>
      <c r="M345" s="7">
        <f t="shared" si="253"/>
        <v>5.2380952380952375E-2</v>
      </c>
      <c r="N345" s="14">
        <f>1/9/14</f>
        <v>7.9365079365079361E-3</v>
      </c>
      <c r="O345" s="1">
        <f ca="1">P345*J345*(1+Growth!G$6)^(2010-K345)</f>
        <v>3.491310054091628</v>
      </c>
      <c r="P345" s="3">
        <v>2.1</v>
      </c>
      <c r="Q345" s="2">
        <f t="shared" si="148"/>
        <v>2.1</v>
      </c>
      <c r="R345" s="21">
        <f t="shared" ca="1" si="246"/>
        <v>12.189245893801287</v>
      </c>
      <c r="X345" s="2">
        <f t="shared" si="251"/>
        <v>2.1</v>
      </c>
      <c r="AC345" s="1">
        <f t="shared" si="217"/>
        <v>6.6</v>
      </c>
      <c r="AD345" s="5">
        <v>1</v>
      </c>
      <c r="AE345" s="5">
        <v>0</v>
      </c>
      <c r="AF345" s="5">
        <v>1</v>
      </c>
      <c r="AG345" s="5">
        <v>1</v>
      </c>
      <c r="AH345" s="5">
        <v>1</v>
      </c>
      <c r="AI345" s="3">
        <f t="shared" si="238"/>
        <v>2.6</v>
      </c>
      <c r="AJ345" s="5">
        <f t="shared" si="257"/>
        <v>0</v>
      </c>
      <c r="AK345" s="5">
        <f t="shared" si="247"/>
        <v>0</v>
      </c>
      <c r="AL345" s="5">
        <f t="shared" si="248"/>
        <v>0</v>
      </c>
      <c r="AM345" s="5">
        <f t="shared" si="220"/>
        <v>0</v>
      </c>
      <c r="AN345" s="5">
        <f t="shared" si="249"/>
        <v>0</v>
      </c>
      <c r="AO345" s="5">
        <f t="shared" si="221"/>
        <v>0</v>
      </c>
      <c r="AP345" s="1">
        <v>4</v>
      </c>
      <c r="AQ345" s="1" t="s">
        <v>42</v>
      </c>
      <c r="AR345" s="5">
        <v>0</v>
      </c>
      <c r="AS345" s="5">
        <v>0</v>
      </c>
      <c r="AT345" s="5">
        <v>0</v>
      </c>
      <c r="AU345" s="5">
        <v>0</v>
      </c>
      <c r="AV345" s="5">
        <f t="shared" si="239"/>
        <v>0</v>
      </c>
      <c r="AW345" s="5">
        <f t="shared" si="240"/>
        <v>0</v>
      </c>
      <c r="AX345" s="5">
        <f t="shared" si="241"/>
        <v>1</v>
      </c>
      <c r="AY345" s="1">
        <f t="shared" si="184"/>
        <v>0</v>
      </c>
      <c r="AZ345" s="1">
        <f t="shared" si="185"/>
        <v>0</v>
      </c>
      <c r="BA345" s="1">
        <f t="shared" si="186"/>
        <v>0</v>
      </c>
      <c r="BB345" s="5">
        <v>0</v>
      </c>
      <c r="BC345" s="5">
        <v>0</v>
      </c>
      <c r="BD345" s="5">
        <v>1</v>
      </c>
      <c r="BE345" s="5">
        <f t="shared" si="196"/>
        <v>0</v>
      </c>
      <c r="BF345" s="5">
        <v>0</v>
      </c>
      <c r="BG345" s="5">
        <f t="shared" si="256"/>
        <v>0</v>
      </c>
      <c r="BH345" s="5">
        <f t="shared" si="256"/>
        <v>0</v>
      </c>
      <c r="BI345" s="5">
        <f t="shared" si="256"/>
        <v>0</v>
      </c>
      <c r="BJ345" s="5">
        <f t="shared" si="256"/>
        <v>0</v>
      </c>
      <c r="BK345" s="5">
        <f t="shared" si="256"/>
        <v>0</v>
      </c>
      <c r="BL345" s="5">
        <f t="shared" si="256"/>
        <v>0</v>
      </c>
      <c r="BM345" s="5">
        <f t="shared" si="256"/>
        <v>0</v>
      </c>
      <c r="BN345" s="5">
        <f t="shared" si="256"/>
        <v>0</v>
      </c>
      <c r="BO345" s="5">
        <f t="shared" si="255"/>
        <v>0</v>
      </c>
      <c r="BP345" s="5">
        <f t="shared" si="255"/>
        <v>0</v>
      </c>
      <c r="BQ345" s="5">
        <f t="shared" si="255"/>
        <v>0</v>
      </c>
      <c r="BR345" s="5">
        <f t="shared" si="255"/>
        <v>0</v>
      </c>
      <c r="BS345" s="5">
        <f t="shared" si="255"/>
        <v>0</v>
      </c>
      <c r="BT345" s="5">
        <f t="shared" si="255"/>
        <v>0</v>
      </c>
      <c r="BU345" s="5">
        <f t="shared" si="255"/>
        <v>0</v>
      </c>
      <c r="BV345" s="5">
        <f t="shared" si="255"/>
        <v>1</v>
      </c>
      <c r="BW345" s="5">
        <f t="shared" si="255"/>
        <v>0</v>
      </c>
      <c r="BX345" s="5">
        <f t="shared" si="255"/>
        <v>0</v>
      </c>
      <c r="BY345" s="5">
        <f t="shared" si="255"/>
        <v>0</v>
      </c>
      <c r="BZ345" s="5">
        <f t="shared" si="255"/>
        <v>0</v>
      </c>
      <c r="CA345" s="5">
        <f t="shared" si="255"/>
        <v>0</v>
      </c>
      <c r="CB345" s="5">
        <f t="shared" si="254"/>
        <v>0</v>
      </c>
      <c r="CC345" s="5">
        <f t="shared" si="254"/>
        <v>0</v>
      </c>
      <c r="CD345" s="5">
        <f t="shared" si="254"/>
        <v>0</v>
      </c>
      <c r="CE345" s="5">
        <f t="shared" si="254"/>
        <v>0</v>
      </c>
    </row>
    <row r="346" spans="1:83" x14ac:dyDescent="0.2">
      <c r="C346" s="1">
        <f>Growth!D351</f>
        <v>0</v>
      </c>
      <c r="D346" s="5" t="b">
        <f t="shared" si="244"/>
        <v>0</v>
      </c>
      <c r="E346" s="5">
        <v>2006</v>
      </c>
      <c r="F346" s="5">
        <f ca="1">LOOKUP($E346,frequence!$A$2:$A$35,frequence!L$2:L$35)</f>
        <v>71.097990738484512</v>
      </c>
      <c r="G346" s="5">
        <f ca="1">LOOKUP($E346,frequence!$A$2:$A$35,frequence!K$2:K$35)</f>
        <v>5.2950026937283488</v>
      </c>
      <c r="H346" s="5">
        <f ca="1">LOOKUP($E346,frequence!$A$2:$A$35,frequence!M$2:M$35)</f>
        <v>500.74918436144497</v>
      </c>
      <c r="I346" s="5">
        <v>1995</v>
      </c>
      <c r="J346" s="7">
        <f>LOOKUP(I346,CPI!A$69:A$103,CPI!O$69:O$103)</f>
        <v>1.4308136482939633</v>
      </c>
      <c r="K346" s="5">
        <v>2000</v>
      </c>
      <c r="L346" s="7">
        <f t="shared" ca="1" si="245"/>
        <v>1</v>
      </c>
      <c r="M346" s="7">
        <f t="shared" si="253"/>
        <v>1.4142857142857141</v>
      </c>
      <c r="N346" s="14">
        <f>3/14</f>
        <v>0.21428571428571427</v>
      </c>
      <c r="O346" s="1">
        <f ca="1">P346*J346*(1+Growth!G$6)^(2010-K346)</f>
        <v>146.30251655241105</v>
      </c>
      <c r="P346" s="3">
        <v>88</v>
      </c>
      <c r="Q346" s="2">
        <f t="shared" si="148"/>
        <v>88</v>
      </c>
      <c r="R346" s="21">
        <f t="shared" ca="1" si="246"/>
        <v>21404.426349568508</v>
      </c>
      <c r="X346" s="2">
        <f t="shared" si="251"/>
        <v>88</v>
      </c>
      <c r="AC346" s="1">
        <f t="shared" si="217"/>
        <v>6.6</v>
      </c>
      <c r="AD346" s="5">
        <v>1</v>
      </c>
      <c r="AE346" s="5">
        <v>0</v>
      </c>
      <c r="AF346" s="5">
        <v>1</v>
      </c>
      <c r="AG346" s="5">
        <v>1</v>
      </c>
      <c r="AH346" s="5">
        <v>1</v>
      </c>
      <c r="AI346" s="3">
        <f t="shared" si="238"/>
        <v>2.6</v>
      </c>
      <c r="AJ346" s="5">
        <f t="shared" si="257"/>
        <v>0</v>
      </c>
      <c r="AK346" s="5">
        <f t="shared" si="247"/>
        <v>0</v>
      </c>
      <c r="AL346" s="5">
        <f t="shared" si="248"/>
        <v>0</v>
      </c>
      <c r="AM346" s="5">
        <f t="shared" ref="AM346:AM409" si="258">IF($AQ346=1,1,0)</f>
        <v>0</v>
      </c>
      <c r="AN346" s="5">
        <f t="shared" si="249"/>
        <v>0</v>
      </c>
      <c r="AO346" s="5">
        <f t="shared" ref="AO346:AO409" si="259">IF($AQ346=0,1,0)</f>
        <v>0</v>
      </c>
      <c r="AP346" s="1" t="s">
        <v>42</v>
      </c>
      <c r="AQ346" s="1" t="s">
        <v>42</v>
      </c>
      <c r="AR346" s="5">
        <v>0</v>
      </c>
      <c r="AS346" s="5">
        <v>0</v>
      </c>
      <c r="AT346" s="5">
        <v>0</v>
      </c>
      <c r="AU346" s="5">
        <v>0</v>
      </c>
      <c r="AV346" s="5">
        <f t="shared" si="239"/>
        <v>0</v>
      </c>
      <c r="AW346" s="5">
        <f t="shared" si="240"/>
        <v>0</v>
      </c>
      <c r="AX346" s="5">
        <f t="shared" si="241"/>
        <v>1</v>
      </c>
      <c r="AY346" s="1">
        <f t="shared" si="184"/>
        <v>0</v>
      </c>
      <c r="AZ346" s="1">
        <f t="shared" si="185"/>
        <v>0</v>
      </c>
      <c r="BA346" s="1">
        <f t="shared" si="186"/>
        <v>0</v>
      </c>
      <c r="BB346" s="5">
        <v>0</v>
      </c>
      <c r="BC346" s="5">
        <v>0</v>
      </c>
      <c r="BD346" s="5">
        <v>1</v>
      </c>
      <c r="BE346" s="5">
        <f t="shared" si="196"/>
        <v>0</v>
      </c>
      <c r="BF346" s="5">
        <v>0</v>
      </c>
      <c r="BG346" s="5">
        <f t="shared" si="256"/>
        <v>0</v>
      </c>
      <c r="BH346" s="5">
        <f t="shared" si="256"/>
        <v>0</v>
      </c>
      <c r="BI346" s="5">
        <f t="shared" si="256"/>
        <v>0</v>
      </c>
      <c r="BJ346" s="5">
        <f t="shared" si="256"/>
        <v>0</v>
      </c>
      <c r="BK346" s="5">
        <f t="shared" si="256"/>
        <v>0</v>
      </c>
      <c r="BL346" s="5">
        <f t="shared" si="256"/>
        <v>0</v>
      </c>
      <c r="BM346" s="5">
        <f t="shared" si="256"/>
        <v>0</v>
      </c>
      <c r="BN346" s="5">
        <f t="shared" si="256"/>
        <v>0</v>
      </c>
      <c r="BO346" s="5">
        <f t="shared" si="255"/>
        <v>0</v>
      </c>
      <c r="BP346" s="5">
        <f t="shared" si="255"/>
        <v>0</v>
      </c>
      <c r="BQ346" s="5">
        <f t="shared" si="255"/>
        <v>0</v>
      </c>
      <c r="BR346" s="5">
        <f t="shared" si="255"/>
        <v>0</v>
      </c>
      <c r="BS346" s="5">
        <f t="shared" si="255"/>
        <v>0</v>
      </c>
      <c r="BT346" s="5">
        <f t="shared" si="255"/>
        <v>0</v>
      </c>
      <c r="BU346" s="5">
        <f t="shared" si="255"/>
        <v>0</v>
      </c>
      <c r="BV346" s="5">
        <f t="shared" si="255"/>
        <v>1</v>
      </c>
      <c r="BW346" s="5">
        <f t="shared" si="255"/>
        <v>0</v>
      </c>
      <c r="BX346" s="5">
        <f t="shared" si="255"/>
        <v>0</v>
      </c>
      <c r="BY346" s="5">
        <f t="shared" si="255"/>
        <v>0</v>
      </c>
      <c r="BZ346" s="5">
        <f t="shared" si="255"/>
        <v>0</v>
      </c>
      <c r="CA346" s="5">
        <f t="shared" si="255"/>
        <v>0</v>
      </c>
      <c r="CB346" s="5">
        <f t="shared" si="254"/>
        <v>0</v>
      </c>
      <c r="CC346" s="5">
        <f t="shared" si="254"/>
        <v>0</v>
      </c>
      <c r="CD346" s="5">
        <f t="shared" si="254"/>
        <v>0</v>
      </c>
      <c r="CE346" s="5">
        <f t="shared" si="254"/>
        <v>0</v>
      </c>
    </row>
    <row r="347" spans="1:83" x14ac:dyDescent="0.2">
      <c r="C347" s="1">
        <f>Growth!D352</f>
        <v>0</v>
      </c>
      <c r="D347" s="5" t="b">
        <f t="shared" si="244"/>
        <v>0</v>
      </c>
      <c r="E347" s="5">
        <v>2006</v>
      </c>
      <c r="F347" s="5">
        <f ca="1">LOOKUP($E347,frequence!$A$2:$A$35,frequence!L$2:L$35)</f>
        <v>71.097990738484512</v>
      </c>
      <c r="G347" s="5">
        <f ca="1">LOOKUP($E347,frequence!$A$2:$A$35,frequence!K$2:K$35)</f>
        <v>5.2950026937283488</v>
      </c>
      <c r="H347" s="5">
        <f ca="1">LOOKUP($E347,frequence!$A$2:$A$35,frequence!M$2:M$35)</f>
        <v>500.74918436144497</v>
      </c>
      <c r="I347" s="5">
        <v>1995</v>
      </c>
      <c r="J347" s="7">
        <f>LOOKUP(I347,CPI!A$69:A$103,CPI!O$69:O$103)</f>
        <v>1.4308136482939633</v>
      </c>
      <c r="K347" s="5">
        <v>2000</v>
      </c>
      <c r="L347" s="7">
        <f t="shared" ca="1" si="245"/>
        <v>1</v>
      </c>
      <c r="M347" s="7">
        <f t="shared" si="253"/>
        <v>5.2380952380952375E-2</v>
      </c>
      <c r="N347" s="14">
        <f>1/9/14</f>
        <v>7.9365079365079361E-3</v>
      </c>
      <c r="O347" s="1">
        <f ca="1">P347*J347*(1+Growth!G$6)^(2010-K347)</f>
        <v>3.491310054091628</v>
      </c>
      <c r="P347" s="3">
        <v>2.1</v>
      </c>
      <c r="Q347" s="2">
        <f t="shared" si="148"/>
        <v>2.1</v>
      </c>
      <c r="R347" s="21">
        <f t="shared" ca="1" si="246"/>
        <v>12.189245893801287</v>
      </c>
      <c r="X347" s="2">
        <f t="shared" si="251"/>
        <v>2.1</v>
      </c>
      <c r="AC347" s="1">
        <f t="shared" si="217"/>
        <v>6.6</v>
      </c>
      <c r="AD347" s="5">
        <v>1</v>
      </c>
      <c r="AE347" s="5">
        <v>0</v>
      </c>
      <c r="AF347" s="5">
        <v>1</v>
      </c>
      <c r="AG347" s="5">
        <v>1</v>
      </c>
      <c r="AH347" s="5">
        <v>1</v>
      </c>
      <c r="AI347" s="3">
        <f t="shared" si="238"/>
        <v>2.6</v>
      </c>
      <c r="AJ347" s="5">
        <f t="shared" si="257"/>
        <v>0</v>
      </c>
      <c r="AK347" s="5">
        <f t="shared" si="247"/>
        <v>0</v>
      </c>
      <c r="AL347" s="5">
        <f t="shared" si="248"/>
        <v>0</v>
      </c>
      <c r="AM347" s="5">
        <f t="shared" si="258"/>
        <v>0</v>
      </c>
      <c r="AN347" s="5">
        <f t="shared" si="249"/>
        <v>0</v>
      </c>
      <c r="AO347" s="5">
        <f t="shared" si="259"/>
        <v>0</v>
      </c>
      <c r="AP347" s="1">
        <v>4</v>
      </c>
      <c r="AQ347" s="1" t="s">
        <v>42</v>
      </c>
      <c r="AR347" s="5">
        <v>0</v>
      </c>
      <c r="AS347" s="5">
        <v>0</v>
      </c>
      <c r="AT347" s="5">
        <v>0</v>
      </c>
      <c r="AU347" s="5">
        <v>0</v>
      </c>
      <c r="AV347" s="5">
        <f t="shared" si="239"/>
        <v>0</v>
      </c>
      <c r="AW347" s="5">
        <f t="shared" si="240"/>
        <v>0</v>
      </c>
      <c r="AX347" s="5">
        <f t="shared" si="241"/>
        <v>1</v>
      </c>
      <c r="AY347" s="1">
        <f t="shared" si="184"/>
        <v>0</v>
      </c>
      <c r="AZ347" s="1">
        <f t="shared" si="185"/>
        <v>0</v>
      </c>
      <c r="BA347" s="1">
        <f t="shared" si="186"/>
        <v>0</v>
      </c>
      <c r="BB347" s="5">
        <v>0</v>
      </c>
      <c r="BC347" s="5">
        <v>0</v>
      </c>
      <c r="BD347" s="5">
        <v>1</v>
      </c>
      <c r="BE347" s="5">
        <f t="shared" si="196"/>
        <v>0</v>
      </c>
      <c r="BF347" s="5">
        <v>0</v>
      </c>
      <c r="BG347" s="5">
        <f t="shared" si="256"/>
        <v>0</v>
      </c>
      <c r="BH347" s="5">
        <f t="shared" si="256"/>
        <v>0</v>
      </c>
      <c r="BI347" s="5">
        <f t="shared" si="256"/>
        <v>0</v>
      </c>
      <c r="BJ347" s="5">
        <f t="shared" si="256"/>
        <v>0</v>
      </c>
      <c r="BK347" s="5">
        <f t="shared" si="256"/>
        <v>0</v>
      </c>
      <c r="BL347" s="5">
        <f t="shared" si="256"/>
        <v>0</v>
      </c>
      <c r="BM347" s="5">
        <f t="shared" si="256"/>
        <v>0</v>
      </c>
      <c r="BN347" s="5">
        <f t="shared" si="256"/>
        <v>0</v>
      </c>
      <c r="BO347" s="5">
        <f t="shared" si="255"/>
        <v>0</v>
      </c>
      <c r="BP347" s="5">
        <f t="shared" si="255"/>
        <v>0</v>
      </c>
      <c r="BQ347" s="5">
        <f t="shared" si="255"/>
        <v>0</v>
      </c>
      <c r="BR347" s="5">
        <f t="shared" si="255"/>
        <v>0</v>
      </c>
      <c r="BS347" s="5">
        <f t="shared" si="255"/>
        <v>0</v>
      </c>
      <c r="BT347" s="5">
        <f t="shared" si="255"/>
        <v>0</v>
      </c>
      <c r="BU347" s="5">
        <f t="shared" si="255"/>
        <v>0</v>
      </c>
      <c r="BV347" s="5">
        <f t="shared" si="255"/>
        <v>1</v>
      </c>
      <c r="BW347" s="5">
        <f t="shared" si="255"/>
        <v>0</v>
      </c>
      <c r="BX347" s="5">
        <f t="shared" si="255"/>
        <v>0</v>
      </c>
      <c r="BY347" s="5">
        <f t="shared" si="255"/>
        <v>0</v>
      </c>
      <c r="BZ347" s="5">
        <f t="shared" si="255"/>
        <v>0</v>
      </c>
      <c r="CA347" s="5">
        <f t="shared" si="255"/>
        <v>0</v>
      </c>
      <c r="CB347" s="5">
        <f t="shared" si="254"/>
        <v>0</v>
      </c>
      <c r="CC347" s="5">
        <f t="shared" si="254"/>
        <v>0</v>
      </c>
      <c r="CD347" s="5">
        <f t="shared" si="254"/>
        <v>0</v>
      </c>
      <c r="CE347" s="5">
        <f t="shared" si="254"/>
        <v>0</v>
      </c>
    </row>
    <row r="348" spans="1:83" x14ac:dyDescent="0.2">
      <c r="C348" s="1">
        <f>Growth!D353</f>
        <v>0</v>
      </c>
      <c r="D348" s="5" t="b">
        <f t="shared" si="244"/>
        <v>0</v>
      </c>
      <c r="E348" s="5">
        <v>2006</v>
      </c>
      <c r="F348" s="5">
        <f ca="1">LOOKUP($E348,frequence!$A$2:$A$35,frequence!L$2:L$35)</f>
        <v>71.097990738484512</v>
      </c>
      <c r="G348" s="5">
        <f ca="1">LOOKUP($E348,frequence!$A$2:$A$35,frequence!K$2:K$35)</f>
        <v>5.2950026937283488</v>
      </c>
      <c r="H348" s="5">
        <f ca="1">LOOKUP($E348,frequence!$A$2:$A$35,frequence!M$2:M$35)</f>
        <v>500.74918436144497</v>
      </c>
      <c r="I348" s="5">
        <v>1995</v>
      </c>
      <c r="J348" s="7">
        <f>LOOKUP(I348,CPI!A$69:A$103,CPI!O$69:O$103)</f>
        <v>1.4308136482939633</v>
      </c>
      <c r="K348" s="5">
        <v>2000</v>
      </c>
      <c r="L348" s="7">
        <f t="shared" ca="1" si="245"/>
        <v>1</v>
      </c>
      <c r="M348" s="7">
        <f t="shared" si="253"/>
        <v>0.23571428571428568</v>
      </c>
      <c r="N348" s="14">
        <f t="shared" ref="N348:N353" si="260">1/2/14</f>
        <v>3.5714285714285712E-2</v>
      </c>
      <c r="O348" s="1">
        <f ca="1">P348*J348*(1+Growth!G$6)^(2010-K348)</f>
        <v>307.56779047950056</v>
      </c>
      <c r="P348" s="3">
        <v>185</v>
      </c>
      <c r="Q348" s="2">
        <f t="shared" si="148"/>
        <v>185</v>
      </c>
      <c r="R348" s="21">
        <f t="shared" ca="1" si="246"/>
        <v>94597.945740441952</v>
      </c>
      <c r="X348" s="2">
        <f t="shared" si="251"/>
        <v>185</v>
      </c>
      <c r="AC348" s="1">
        <f t="shared" si="217"/>
        <v>6.6</v>
      </c>
      <c r="AD348" s="5">
        <v>1</v>
      </c>
      <c r="AE348" s="5">
        <v>0</v>
      </c>
      <c r="AF348" s="5">
        <v>1</v>
      </c>
      <c r="AG348" s="5">
        <v>1</v>
      </c>
      <c r="AH348" s="5">
        <v>1</v>
      </c>
      <c r="AI348" s="3">
        <f t="shared" si="238"/>
        <v>2.6</v>
      </c>
      <c r="AJ348" s="5">
        <f t="shared" si="257"/>
        <v>0</v>
      </c>
      <c r="AK348" s="5">
        <f t="shared" si="247"/>
        <v>0</v>
      </c>
      <c r="AL348" s="5">
        <f t="shared" si="248"/>
        <v>0</v>
      </c>
      <c r="AM348" s="5">
        <f t="shared" si="258"/>
        <v>0</v>
      </c>
      <c r="AN348" s="5">
        <f t="shared" si="249"/>
        <v>0</v>
      </c>
      <c r="AO348" s="5">
        <f t="shared" si="259"/>
        <v>1</v>
      </c>
      <c r="AP348" s="1" t="s">
        <v>42</v>
      </c>
      <c r="AQ348" s="1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f t="shared" si="239"/>
        <v>0</v>
      </c>
      <c r="AW348" s="5">
        <f t="shared" si="240"/>
        <v>0</v>
      </c>
      <c r="AX348" s="5">
        <f t="shared" si="241"/>
        <v>1</v>
      </c>
      <c r="AY348" s="1">
        <f t="shared" si="184"/>
        <v>0</v>
      </c>
      <c r="AZ348" s="1">
        <f t="shared" si="185"/>
        <v>0</v>
      </c>
      <c r="BA348" s="1">
        <f t="shared" si="186"/>
        <v>1</v>
      </c>
      <c r="BB348" s="5">
        <v>0</v>
      </c>
      <c r="BC348" s="5">
        <v>0</v>
      </c>
      <c r="BD348" s="5">
        <v>1</v>
      </c>
      <c r="BE348" s="5">
        <f t="shared" si="196"/>
        <v>0</v>
      </c>
      <c r="BF348" s="5">
        <v>0</v>
      </c>
      <c r="BG348" s="5">
        <f t="shared" si="256"/>
        <v>0</v>
      </c>
      <c r="BH348" s="5">
        <f t="shared" si="256"/>
        <v>0</v>
      </c>
      <c r="BI348" s="5">
        <f t="shared" si="256"/>
        <v>0</v>
      </c>
      <c r="BJ348" s="5">
        <f t="shared" si="256"/>
        <v>0</v>
      </c>
      <c r="BK348" s="5">
        <f t="shared" si="256"/>
        <v>0</v>
      </c>
      <c r="BL348" s="5">
        <f t="shared" si="256"/>
        <v>0</v>
      </c>
      <c r="BM348" s="5">
        <f t="shared" si="256"/>
        <v>0</v>
      </c>
      <c r="BN348" s="5">
        <f t="shared" si="256"/>
        <v>0</v>
      </c>
      <c r="BO348" s="5">
        <f t="shared" si="255"/>
        <v>0</v>
      </c>
      <c r="BP348" s="5">
        <f t="shared" si="255"/>
        <v>0</v>
      </c>
      <c r="BQ348" s="5">
        <f t="shared" si="255"/>
        <v>0</v>
      </c>
      <c r="BR348" s="5">
        <f t="shared" si="255"/>
        <v>0</v>
      </c>
      <c r="BS348" s="5">
        <f t="shared" si="255"/>
        <v>0</v>
      </c>
      <c r="BT348" s="5">
        <f t="shared" si="255"/>
        <v>0</v>
      </c>
      <c r="BU348" s="5">
        <f t="shared" si="255"/>
        <v>0</v>
      </c>
      <c r="BV348" s="5">
        <f t="shared" si="255"/>
        <v>1</v>
      </c>
      <c r="BW348" s="5">
        <f t="shared" si="255"/>
        <v>0</v>
      </c>
      <c r="BX348" s="5">
        <f t="shared" si="255"/>
        <v>0</v>
      </c>
      <c r="BY348" s="5">
        <f t="shared" si="255"/>
        <v>0</v>
      </c>
      <c r="BZ348" s="5">
        <f t="shared" si="255"/>
        <v>0</v>
      </c>
      <c r="CA348" s="5">
        <f t="shared" si="255"/>
        <v>0</v>
      </c>
      <c r="CB348" s="5">
        <f t="shared" si="254"/>
        <v>0</v>
      </c>
      <c r="CC348" s="5">
        <f t="shared" si="254"/>
        <v>0</v>
      </c>
      <c r="CD348" s="5">
        <f t="shared" si="254"/>
        <v>0</v>
      </c>
      <c r="CE348" s="5">
        <f t="shared" si="254"/>
        <v>0</v>
      </c>
    </row>
    <row r="349" spans="1:83" x14ac:dyDescent="0.2">
      <c r="C349" s="1">
        <f>Growth!D354</f>
        <v>0</v>
      </c>
      <c r="D349" s="5" t="b">
        <f t="shared" si="244"/>
        <v>0</v>
      </c>
      <c r="E349" s="5">
        <v>2006</v>
      </c>
      <c r="F349" s="5">
        <f ca="1">LOOKUP($E349,frequence!$A$2:$A$35,frequence!L$2:L$35)</f>
        <v>71.097990738484512</v>
      </c>
      <c r="G349" s="5">
        <f ca="1">LOOKUP($E349,frequence!$A$2:$A$35,frequence!K$2:K$35)</f>
        <v>5.2950026937283488</v>
      </c>
      <c r="H349" s="5">
        <f ca="1">LOOKUP($E349,frequence!$A$2:$A$35,frequence!M$2:M$35)</f>
        <v>500.74918436144497</v>
      </c>
      <c r="I349" s="5">
        <v>1995</v>
      </c>
      <c r="J349" s="7">
        <f>LOOKUP(I349,CPI!A$69:A$103,CPI!O$69:O$103)</f>
        <v>1.4308136482939633</v>
      </c>
      <c r="K349" s="5">
        <v>2000</v>
      </c>
      <c r="L349" s="7">
        <f t="shared" ca="1" si="245"/>
        <v>1</v>
      </c>
      <c r="M349" s="7">
        <f t="shared" si="253"/>
        <v>0.23571428571428568</v>
      </c>
      <c r="N349" s="14">
        <f t="shared" si="260"/>
        <v>3.5714285714285712E-2</v>
      </c>
      <c r="O349" s="1">
        <f ca="1">P349*J349*(1+Growth!G$6)^(2010-K349)</f>
        <v>48.213329318408192</v>
      </c>
      <c r="P349" s="3">
        <v>29</v>
      </c>
      <c r="Q349" s="2">
        <f t="shared" si="148"/>
        <v>29</v>
      </c>
      <c r="R349" s="21">
        <f t="shared" ca="1" si="246"/>
        <v>2324.5251239652789</v>
      </c>
      <c r="X349" s="2">
        <f t="shared" si="251"/>
        <v>29</v>
      </c>
      <c r="AC349" s="1">
        <f t="shared" si="217"/>
        <v>6.6</v>
      </c>
      <c r="AD349" s="5">
        <v>1</v>
      </c>
      <c r="AE349" s="5">
        <v>0</v>
      </c>
      <c r="AF349" s="5">
        <v>1</v>
      </c>
      <c r="AG349" s="5">
        <v>1</v>
      </c>
      <c r="AH349" s="5">
        <v>1</v>
      </c>
      <c r="AI349" s="3">
        <f t="shared" si="238"/>
        <v>2.6</v>
      </c>
      <c r="AJ349" s="5">
        <f t="shared" si="257"/>
        <v>0</v>
      </c>
      <c r="AK349" s="5">
        <f t="shared" si="247"/>
        <v>0</v>
      </c>
      <c r="AL349" s="5">
        <f t="shared" si="248"/>
        <v>0</v>
      </c>
      <c r="AM349" s="5">
        <f t="shared" si="258"/>
        <v>1</v>
      </c>
      <c r="AN349" s="5">
        <f t="shared" si="249"/>
        <v>0</v>
      </c>
      <c r="AO349" s="5">
        <f t="shared" si="259"/>
        <v>0</v>
      </c>
      <c r="AP349" s="1" t="s">
        <v>42</v>
      </c>
      <c r="AQ349" s="1">
        <v>1</v>
      </c>
      <c r="AR349" s="5">
        <v>0</v>
      </c>
      <c r="AS349" s="5">
        <v>0</v>
      </c>
      <c r="AT349" s="5">
        <v>0</v>
      </c>
      <c r="AU349" s="5">
        <v>0</v>
      </c>
      <c r="AV349" s="5">
        <f t="shared" si="239"/>
        <v>0</v>
      </c>
      <c r="AW349" s="5">
        <f t="shared" si="240"/>
        <v>0</v>
      </c>
      <c r="AX349" s="5">
        <f t="shared" si="241"/>
        <v>1</v>
      </c>
      <c r="AY349" s="1">
        <f t="shared" si="184"/>
        <v>0</v>
      </c>
      <c r="AZ349" s="1">
        <f t="shared" si="185"/>
        <v>1</v>
      </c>
      <c r="BA349" s="1">
        <f t="shared" si="186"/>
        <v>0</v>
      </c>
      <c r="BB349" s="5">
        <v>0</v>
      </c>
      <c r="BC349" s="5">
        <v>0</v>
      </c>
      <c r="BD349" s="5">
        <v>1</v>
      </c>
      <c r="BE349" s="5">
        <f t="shared" si="196"/>
        <v>0</v>
      </c>
      <c r="BF349" s="5">
        <v>0</v>
      </c>
      <c r="BG349" s="5">
        <f t="shared" si="256"/>
        <v>0</v>
      </c>
      <c r="BH349" s="5">
        <f t="shared" si="256"/>
        <v>0</v>
      </c>
      <c r="BI349" s="5">
        <f t="shared" si="256"/>
        <v>0</v>
      </c>
      <c r="BJ349" s="5">
        <f t="shared" si="256"/>
        <v>0</v>
      </c>
      <c r="BK349" s="5">
        <f t="shared" si="256"/>
        <v>0</v>
      </c>
      <c r="BL349" s="5">
        <f t="shared" si="256"/>
        <v>0</v>
      </c>
      <c r="BM349" s="5">
        <f t="shared" si="256"/>
        <v>0</v>
      </c>
      <c r="BN349" s="5">
        <f t="shared" si="256"/>
        <v>0</v>
      </c>
      <c r="BO349" s="5">
        <f t="shared" si="255"/>
        <v>0</v>
      </c>
      <c r="BP349" s="5">
        <f t="shared" si="255"/>
        <v>0</v>
      </c>
      <c r="BQ349" s="5">
        <f t="shared" si="255"/>
        <v>0</v>
      </c>
      <c r="BR349" s="5">
        <f t="shared" si="255"/>
        <v>0</v>
      </c>
      <c r="BS349" s="5">
        <f t="shared" si="255"/>
        <v>0</v>
      </c>
      <c r="BT349" s="5">
        <f t="shared" si="255"/>
        <v>0</v>
      </c>
      <c r="BU349" s="5">
        <f t="shared" si="255"/>
        <v>0</v>
      </c>
      <c r="BV349" s="5">
        <f t="shared" si="255"/>
        <v>1</v>
      </c>
      <c r="BW349" s="5">
        <f t="shared" si="255"/>
        <v>0</v>
      </c>
      <c r="BX349" s="5">
        <f t="shared" si="255"/>
        <v>0</v>
      </c>
      <c r="BY349" s="5">
        <f t="shared" si="255"/>
        <v>0</v>
      </c>
      <c r="BZ349" s="5">
        <f t="shared" si="255"/>
        <v>0</v>
      </c>
      <c r="CA349" s="5">
        <f t="shared" si="255"/>
        <v>0</v>
      </c>
      <c r="CB349" s="5">
        <f t="shared" si="254"/>
        <v>0</v>
      </c>
      <c r="CC349" s="5">
        <f t="shared" si="254"/>
        <v>0</v>
      </c>
      <c r="CD349" s="5">
        <f t="shared" si="254"/>
        <v>0</v>
      </c>
      <c r="CE349" s="5">
        <f t="shared" si="254"/>
        <v>0</v>
      </c>
    </row>
    <row r="350" spans="1:83" x14ac:dyDescent="0.2">
      <c r="C350" s="1">
        <f>Growth!D355</f>
        <v>0</v>
      </c>
      <c r="D350" s="5" t="b">
        <f t="shared" si="244"/>
        <v>0</v>
      </c>
      <c r="E350" s="5">
        <v>2006</v>
      </c>
      <c r="F350" s="5">
        <f ca="1">LOOKUP($E350,frequence!$A$2:$A$35,frequence!L$2:L$35)</f>
        <v>71.097990738484512</v>
      </c>
      <c r="G350" s="5">
        <f ca="1">LOOKUP($E350,frequence!$A$2:$A$35,frequence!K$2:K$35)</f>
        <v>5.2950026937283488</v>
      </c>
      <c r="H350" s="5">
        <f ca="1">LOOKUP($E350,frequence!$A$2:$A$35,frequence!M$2:M$35)</f>
        <v>500.74918436144497</v>
      </c>
      <c r="I350" s="5">
        <v>1995</v>
      </c>
      <c r="J350" s="7">
        <f>LOOKUP(I350,CPI!A$69:A$103,CPI!O$69:O$103)</f>
        <v>1.4308136482939633</v>
      </c>
      <c r="K350" s="5">
        <v>2000</v>
      </c>
      <c r="L350" s="7">
        <f t="shared" ca="1" si="245"/>
        <v>1</v>
      </c>
      <c r="M350" s="7">
        <f t="shared" si="253"/>
        <v>0.23571428571428568</v>
      </c>
      <c r="N350" s="14">
        <f t="shared" si="260"/>
        <v>3.5714285714285712E-2</v>
      </c>
      <c r="O350" s="1">
        <f ca="1">P350*J350*(1+Growth!G$6)^(2010-K350)</f>
        <v>-2.1612871763424364</v>
      </c>
      <c r="P350" s="3">
        <v>-1.3</v>
      </c>
      <c r="Q350" s="2">
        <f t="shared" si="148"/>
        <v>-1.3</v>
      </c>
      <c r="R350" s="21">
        <f t="shared" ca="1" si="246"/>
        <v>4.6711622586222621</v>
      </c>
      <c r="X350" s="2">
        <f t="shared" si="251"/>
        <v>-1.3</v>
      </c>
      <c r="AC350" s="1">
        <f t="shared" si="217"/>
        <v>6.6</v>
      </c>
      <c r="AD350" s="5">
        <v>1</v>
      </c>
      <c r="AE350" s="5">
        <v>0</v>
      </c>
      <c r="AF350" s="5">
        <v>1</v>
      </c>
      <c r="AG350" s="5">
        <v>1</v>
      </c>
      <c r="AH350" s="5">
        <v>1</v>
      </c>
      <c r="AI350" s="3">
        <f t="shared" si="238"/>
        <v>2.6</v>
      </c>
      <c r="AJ350" s="5">
        <f t="shared" si="257"/>
        <v>1</v>
      </c>
      <c r="AK350" s="5">
        <f t="shared" si="247"/>
        <v>0</v>
      </c>
      <c r="AL350" s="5">
        <f t="shared" si="248"/>
        <v>0</v>
      </c>
      <c r="AM350" s="5">
        <f t="shared" si="258"/>
        <v>0</v>
      </c>
      <c r="AN350" s="5">
        <f t="shared" si="249"/>
        <v>0</v>
      </c>
      <c r="AO350" s="5">
        <f t="shared" si="259"/>
        <v>0</v>
      </c>
      <c r="AP350" s="1" t="s">
        <v>42</v>
      </c>
      <c r="AQ350" s="1">
        <v>3</v>
      </c>
      <c r="AR350" s="5">
        <v>0</v>
      </c>
      <c r="AS350" s="5">
        <v>0</v>
      </c>
      <c r="AT350" s="5">
        <v>0</v>
      </c>
      <c r="AU350" s="5">
        <v>0</v>
      </c>
      <c r="AV350" s="5">
        <f t="shared" si="239"/>
        <v>0</v>
      </c>
      <c r="AW350" s="5">
        <f t="shared" si="240"/>
        <v>0</v>
      </c>
      <c r="AX350" s="5">
        <f t="shared" si="241"/>
        <v>1</v>
      </c>
      <c r="AY350" s="1">
        <f t="shared" si="184"/>
        <v>1</v>
      </c>
      <c r="AZ350" s="1">
        <f t="shared" si="185"/>
        <v>0</v>
      </c>
      <c r="BA350" s="1">
        <f t="shared" si="186"/>
        <v>0</v>
      </c>
      <c r="BB350" s="5">
        <v>0</v>
      </c>
      <c r="BC350" s="5">
        <v>0</v>
      </c>
      <c r="BD350" s="5">
        <v>1</v>
      </c>
      <c r="BE350" s="5">
        <f t="shared" si="196"/>
        <v>0</v>
      </c>
      <c r="BF350" s="5">
        <v>0</v>
      </c>
      <c r="BG350" s="5">
        <f t="shared" si="256"/>
        <v>0</v>
      </c>
      <c r="BH350" s="5">
        <f t="shared" si="256"/>
        <v>0</v>
      </c>
      <c r="BI350" s="5">
        <f t="shared" si="256"/>
        <v>0</v>
      </c>
      <c r="BJ350" s="5">
        <f t="shared" si="256"/>
        <v>0</v>
      </c>
      <c r="BK350" s="5">
        <f t="shared" si="256"/>
        <v>0</v>
      </c>
      <c r="BL350" s="5">
        <f t="shared" si="256"/>
        <v>0</v>
      </c>
      <c r="BM350" s="5">
        <f t="shared" si="256"/>
        <v>0</v>
      </c>
      <c r="BN350" s="5">
        <f t="shared" si="256"/>
        <v>0</v>
      </c>
      <c r="BO350" s="5">
        <f t="shared" si="255"/>
        <v>0</v>
      </c>
      <c r="BP350" s="5">
        <f t="shared" si="255"/>
        <v>0</v>
      </c>
      <c r="BQ350" s="5">
        <f t="shared" si="255"/>
        <v>0</v>
      </c>
      <c r="BR350" s="5">
        <f t="shared" si="255"/>
        <v>0</v>
      </c>
      <c r="BS350" s="5">
        <f t="shared" si="255"/>
        <v>0</v>
      </c>
      <c r="BT350" s="5">
        <f t="shared" si="255"/>
        <v>0</v>
      </c>
      <c r="BU350" s="5">
        <f t="shared" si="255"/>
        <v>0</v>
      </c>
      <c r="BV350" s="5">
        <f t="shared" si="255"/>
        <v>1</v>
      </c>
      <c r="BW350" s="5">
        <f t="shared" si="255"/>
        <v>0</v>
      </c>
      <c r="BX350" s="5">
        <f t="shared" si="255"/>
        <v>0</v>
      </c>
      <c r="BY350" s="5">
        <f t="shared" si="255"/>
        <v>0</v>
      </c>
      <c r="BZ350" s="5">
        <f t="shared" si="255"/>
        <v>0</v>
      </c>
      <c r="CA350" s="5">
        <f t="shared" si="255"/>
        <v>0</v>
      </c>
      <c r="CB350" s="5">
        <f t="shared" si="254"/>
        <v>0</v>
      </c>
      <c r="CC350" s="5">
        <f t="shared" si="254"/>
        <v>0</v>
      </c>
      <c r="CD350" s="5">
        <f t="shared" si="254"/>
        <v>0</v>
      </c>
      <c r="CE350" s="5">
        <f t="shared" si="254"/>
        <v>0</v>
      </c>
    </row>
    <row r="351" spans="1:83" x14ac:dyDescent="0.2">
      <c r="C351" s="1">
        <f>Growth!D356</f>
        <v>0</v>
      </c>
      <c r="D351" s="5" t="b">
        <f t="shared" si="244"/>
        <v>0</v>
      </c>
      <c r="E351" s="5">
        <v>2006</v>
      </c>
      <c r="F351" s="5">
        <f ca="1">LOOKUP($E351,frequence!$A$2:$A$35,frequence!L$2:L$35)</f>
        <v>71.097990738484512</v>
      </c>
      <c r="G351" s="5">
        <f ca="1">LOOKUP($E351,frequence!$A$2:$A$35,frequence!K$2:K$35)</f>
        <v>5.2950026937283488</v>
      </c>
      <c r="H351" s="5">
        <f ca="1">LOOKUP($E351,frequence!$A$2:$A$35,frequence!M$2:M$35)</f>
        <v>500.74918436144497</v>
      </c>
      <c r="I351" s="5">
        <v>1995</v>
      </c>
      <c r="J351" s="7">
        <f>LOOKUP(I351,CPI!A$69:A$103,CPI!O$69:O$103)</f>
        <v>1.4308136482939633</v>
      </c>
      <c r="K351" s="5">
        <v>2000</v>
      </c>
      <c r="L351" s="7">
        <f t="shared" ca="1" si="245"/>
        <v>1</v>
      </c>
      <c r="M351" s="7">
        <f t="shared" si="253"/>
        <v>0.23571428571428568</v>
      </c>
      <c r="N351" s="14">
        <f t="shared" si="260"/>
        <v>3.5714285714285712E-2</v>
      </c>
      <c r="O351" s="1">
        <f ca="1">P351*J351*(1+Growth!G$6)^(2010-K351)</f>
        <v>141.31493076085158</v>
      </c>
      <c r="P351" s="3">
        <v>85</v>
      </c>
      <c r="Q351" s="2">
        <f t="shared" si="148"/>
        <v>85</v>
      </c>
      <c r="R351" s="21">
        <f t="shared" ca="1" si="246"/>
        <v>19969.909655944277</v>
      </c>
      <c r="X351" s="2">
        <f t="shared" si="251"/>
        <v>85</v>
      </c>
      <c r="AC351" s="1">
        <f t="shared" si="217"/>
        <v>6.6</v>
      </c>
      <c r="AD351" s="5">
        <v>1</v>
      </c>
      <c r="AE351" s="5">
        <v>0</v>
      </c>
      <c r="AF351" s="5">
        <v>1</v>
      </c>
      <c r="AG351" s="5">
        <v>1</v>
      </c>
      <c r="AH351" s="5">
        <v>1</v>
      </c>
      <c r="AI351" s="3">
        <f t="shared" si="238"/>
        <v>2.6</v>
      </c>
      <c r="AJ351" s="5">
        <f t="shared" si="257"/>
        <v>0</v>
      </c>
      <c r="AK351" s="5">
        <f t="shared" si="247"/>
        <v>0</v>
      </c>
      <c r="AL351" s="5">
        <f t="shared" si="248"/>
        <v>0</v>
      </c>
      <c r="AM351" s="5">
        <f t="shared" si="258"/>
        <v>0</v>
      </c>
      <c r="AN351" s="5">
        <f t="shared" si="249"/>
        <v>0</v>
      </c>
      <c r="AO351" s="5">
        <f t="shared" si="259"/>
        <v>1</v>
      </c>
      <c r="AP351" s="1" t="s">
        <v>42</v>
      </c>
      <c r="AQ351" s="1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f t="shared" si="239"/>
        <v>0</v>
      </c>
      <c r="AW351" s="5">
        <f t="shared" si="240"/>
        <v>0</v>
      </c>
      <c r="AX351" s="5">
        <f t="shared" si="241"/>
        <v>1</v>
      </c>
      <c r="AY351" s="1">
        <f t="shared" si="184"/>
        <v>0</v>
      </c>
      <c r="AZ351" s="1">
        <f t="shared" si="185"/>
        <v>0</v>
      </c>
      <c r="BA351" s="1">
        <f t="shared" si="186"/>
        <v>1</v>
      </c>
      <c r="BB351" s="5">
        <v>0</v>
      </c>
      <c r="BC351" s="5">
        <v>0</v>
      </c>
      <c r="BD351" s="5">
        <v>1</v>
      </c>
      <c r="BE351" s="5">
        <f t="shared" si="196"/>
        <v>0</v>
      </c>
      <c r="BF351" s="5">
        <v>0</v>
      </c>
      <c r="BG351" s="5">
        <f t="shared" si="256"/>
        <v>0</v>
      </c>
      <c r="BH351" s="5">
        <f t="shared" si="256"/>
        <v>0</v>
      </c>
      <c r="BI351" s="5">
        <f t="shared" si="256"/>
        <v>0</v>
      </c>
      <c r="BJ351" s="5">
        <f t="shared" si="256"/>
        <v>0</v>
      </c>
      <c r="BK351" s="5">
        <f t="shared" si="256"/>
        <v>0</v>
      </c>
      <c r="BL351" s="5">
        <f t="shared" si="256"/>
        <v>0</v>
      </c>
      <c r="BM351" s="5">
        <f t="shared" si="256"/>
        <v>0</v>
      </c>
      <c r="BN351" s="5">
        <f t="shared" si="256"/>
        <v>0</v>
      </c>
      <c r="BO351" s="5">
        <f t="shared" si="255"/>
        <v>0</v>
      </c>
      <c r="BP351" s="5">
        <f t="shared" si="255"/>
        <v>0</v>
      </c>
      <c r="BQ351" s="5">
        <f t="shared" si="255"/>
        <v>0</v>
      </c>
      <c r="BR351" s="5">
        <f t="shared" si="255"/>
        <v>0</v>
      </c>
      <c r="BS351" s="5">
        <f t="shared" si="255"/>
        <v>0</v>
      </c>
      <c r="BT351" s="5">
        <f t="shared" si="255"/>
        <v>0</v>
      </c>
      <c r="BU351" s="5">
        <f t="shared" si="255"/>
        <v>0</v>
      </c>
      <c r="BV351" s="5">
        <f t="shared" si="255"/>
        <v>1</v>
      </c>
      <c r="BW351" s="5">
        <f t="shared" si="255"/>
        <v>0</v>
      </c>
      <c r="BX351" s="5">
        <f t="shared" si="255"/>
        <v>0</v>
      </c>
      <c r="BY351" s="5">
        <f t="shared" si="255"/>
        <v>0</v>
      </c>
      <c r="BZ351" s="5">
        <f t="shared" si="255"/>
        <v>0</v>
      </c>
      <c r="CA351" s="5">
        <f t="shared" si="255"/>
        <v>0</v>
      </c>
      <c r="CB351" s="5">
        <f t="shared" si="254"/>
        <v>0</v>
      </c>
      <c r="CC351" s="5">
        <f t="shared" si="254"/>
        <v>0</v>
      </c>
      <c r="CD351" s="5">
        <f t="shared" si="254"/>
        <v>0</v>
      </c>
      <c r="CE351" s="5">
        <f t="shared" si="254"/>
        <v>0</v>
      </c>
    </row>
    <row r="352" spans="1:83" x14ac:dyDescent="0.2">
      <c r="C352" s="1">
        <f>Growth!D357</f>
        <v>0</v>
      </c>
      <c r="D352" s="5" t="b">
        <f t="shared" si="244"/>
        <v>0</v>
      </c>
      <c r="E352" s="5">
        <v>2006</v>
      </c>
      <c r="F352" s="5">
        <f ca="1">LOOKUP($E352,frequence!$A$2:$A$35,frequence!L$2:L$35)</f>
        <v>71.097990738484512</v>
      </c>
      <c r="G352" s="5">
        <f ca="1">LOOKUP($E352,frequence!$A$2:$A$35,frequence!K$2:K$35)</f>
        <v>5.2950026937283488</v>
      </c>
      <c r="H352" s="5">
        <f ca="1">LOOKUP($E352,frequence!$A$2:$A$35,frequence!M$2:M$35)</f>
        <v>500.74918436144497</v>
      </c>
      <c r="I352" s="5">
        <v>1995</v>
      </c>
      <c r="J352" s="7">
        <f>LOOKUP(I352,CPI!A$69:A$103,CPI!O$69:O$103)</f>
        <v>1.4308136482939633</v>
      </c>
      <c r="K352" s="5">
        <v>2000</v>
      </c>
      <c r="L352" s="7">
        <f t="shared" ca="1" si="245"/>
        <v>1</v>
      </c>
      <c r="M352" s="7">
        <f t="shared" si="253"/>
        <v>0.23571428571428568</v>
      </c>
      <c r="N352" s="14">
        <f t="shared" si="260"/>
        <v>3.5714285714285712E-2</v>
      </c>
      <c r="O352" s="1">
        <f ca="1">P352*J352*(1+Growth!G$6)^(2010-K352)</f>
        <v>24.93792895779734</v>
      </c>
      <c r="P352" s="3">
        <v>15</v>
      </c>
      <c r="Q352" s="2">
        <f t="shared" si="148"/>
        <v>15</v>
      </c>
      <c r="R352" s="21">
        <f t="shared" ca="1" si="246"/>
        <v>621.90030070414707</v>
      </c>
      <c r="X352" s="2">
        <f t="shared" si="251"/>
        <v>15</v>
      </c>
      <c r="AC352" s="1">
        <f t="shared" si="217"/>
        <v>6.6</v>
      </c>
      <c r="AD352" s="5">
        <v>1</v>
      </c>
      <c r="AE352" s="5">
        <v>0</v>
      </c>
      <c r="AF352" s="5">
        <v>1</v>
      </c>
      <c r="AG352" s="5">
        <v>1</v>
      </c>
      <c r="AH352" s="5">
        <v>1</v>
      </c>
      <c r="AI352" s="3">
        <f t="shared" si="238"/>
        <v>2.6</v>
      </c>
      <c r="AJ352" s="5">
        <f t="shared" si="257"/>
        <v>0</v>
      </c>
      <c r="AK352" s="5">
        <f t="shared" si="247"/>
        <v>0</v>
      </c>
      <c r="AL352" s="5">
        <f t="shared" si="248"/>
        <v>0</v>
      </c>
      <c r="AM352" s="5">
        <f t="shared" si="258"/>
        <v>1</v>
      </c>
      <c r="AN352" s="5">
        <f t="shared" si="249"/>
        <v>0</v>
      </c>
      <c r="AO352" s="5">
        <f t="shared" si="259"/>
        <v>0</v>
      </c>
      <c r="AP352" s="1" t="s">
        <v>42</v>
      </c>
      <c r="AQ352" s="1">
        <v>1</v>
      </c>
      <c r="AR352" s="5">
        <v>0</v>
      </c>
      <c r="AS352" s="5">
        <v>0</v>
      </c>
      <c r="AT352" s="5">
        <v>0</v>
      </c>
      <c r="AU352" s="5">
        <v>0</v>
      </c>
      <c r="AV352" s="5">
        <f t="shared" si="239"/>
        <v>0</v>
      </c>
      <c r="AW352" s="5">
        <f t="shared" si="240"/>
        <v>0</v>
      </c>
      <c r="AX352" s="5">
        <f t="shared" si="241"/>
        <v>1</v>
      </c>
      <c r="AY352" s="1">
        <f t="shared" si="184"/>
        <v>0</v>
      </c>
      <c r="AZ352" s="1">
        <f t="shared" si="185"/>
        <v>1</v>
      </c>
      <c r="BA352" s="1">
        <f t="shared" si="186"/>
        <v>0</v>
      </c>
      <c r="BB352" s="5">
        <v>0</v>
      </c>
      <c r="BC352" s="5">
        <v>0</v>
      </c>
      <c r="BD352" s="5">
        <v>1</v>
      </c>
      <c r="BE352" s="5">
        <f t="shared" si="196"/>
        <v>0</v>
      </c>
      <c r="BF352" s="5">
        <v>0</v>
      </c>
      <c r="BG352" s="5">
        <f t="shared" si="256"/>
        <v>0</v>
      </c>
      <c r="BH352" s="5">
        <f t="shared" si="256"/>
        <v>0</v>
      </c>
      <c r="BI352" s="5">
        <f t="shared" si="256"/>
        <v>0</v>
      </c>
      <c r="BJ352" s="5">
        <f t="shared" si="256"/>
        <v>0</v>
      </c>
      <c r="BK352" s="5">
        <f t="shared" si="256"/>
        <v>0</v>
      </c>
      <c r="BL352" s="5">
        <f t="shared" si="256"/>
        <v>0</v>
      </c>
      <c r="BM352" s="5">
        <f t="shared" si="256"/>
        <v>0</v>
      </c>
      <c r="BN352" s="5">
        <f t="shared" si="256"/>
        <v>0</v>
      </c>
      <c r="BO352" s="5">
        <f t="shared" si="255"/>
        <v>0</v>
      </c>
      <c r="BP352" s="5">
        <f t="shared" si="255"/>
        <v>0</v>
      </c>
      <c r="BQ352" s="5">
        <f t="shared" si="255"/>
        <v>0</v>
      </c>
      <c r="BR352" s="5">
        <f t="shared" si="255"/>
        <v>0</v>
      </c>
      <c r="BS352" s="5">
        <f t="shared" si="255"/>
        <v>0</v>
      </c>
      <c r="BT352" s="5">
        <f t="shared" si="255"/>
        <v>0</v>
      </c>
      <c r="BU352" s="5">
        <f t="shared" si="255"/>
        <v>0</v>
      </c>
      <c r="BV352" s="5">
        <f t="shared" si="255"/>
        <v>1</v>
      </c>
      <c r="BW352" s="5">
        <f t="shared" si="255"/>
        <v>0</v>
      </c>
      <c r="BX352" s="5">
        <f t="shared" si="255"/>
        <v>0</v>
      </c>
      <c r="BY352" s="5">
        <f t="shared" si="255"/>
        <v>0</v>
      </c>
      <c r="BZ352" s="5">
        <f t="shared" si="255"/>
        <v>0</v>
      </c>
      <c r="CA352" s="5">
        <f t="shared" si="255"/>
        <v>0</v>
      </c>
      <c r="CB352" s="5">
        <f t="shared" si="254"/>
        <v>0</v>
      </c>
      <c r="CC352" s="5">
        <f t="shared" si="254"/>
        <v>0</v>
      </c>
      <c r="CD352" s="5">
        <f t="shared" si="254"/>
        <v>0</v>
      </c>
      <c r="CE352" s="5">
        <f t="shared" si="254"/>
        <v>0</v>
      </c>
    </row>
    <row r="353" spans="1:83" x14ac:dyDescent="0.2">
      <c r="C353" s="1">
        <f>Growth!D358</f>
        <v>0</v>
      </c>
      <c r="D353" s="5" t="b">
        <f t="shared" si="244"/>
        <v>0</v>
      </c>
      <c r="E353" s="5">
        <v>2006</v>
      </c>
      <c r="F353" s="5">
        <f ca="1">LOOKUP($E353,frequence!$A$2:$A$35,frequence!L$2:L$35)</f>
        <v>71.097990738484512</v>
      </c>
      <c r="G353" s="5">
        <f ca="1">LOOKUP($E353,frequence!$A$2:$A$35,frequence!K$2:K$35)</f>
        <v>5.2950026937283488</v>
      </c>
      <c r="H353" s="5">
        <f ca="1">LOOKUP($E353,frequence!$A$2:$A$35,frequence!M$2:M$35)</f>
        <v>500.74918436144497</v>
      </c>
      <c r="I353" s="5">
        <v>1995</v>
      </c>
      <c r="J353" s="7">
        <f>LOOKUP(I353,CPI!A$69:A$103,CPI!O$69:O$103)</f>
        <v>1.4308136482939633</v>
      </c>
      <c r="K353" s="5">
        <v>2000</v>
      </c>
      <c r="L353" s="7">
        <f t="shared" ca="1" si="245"/>
        <v>1</v>
      </c>
      <c r="M353" s="7">
        <f t="shared" si="253"/>
        <v>0.23571428571428568</v>
      </c>
      <c r="N353" s="14">
        <f t="shared" si="260"/>
        <v>3.5714285714285712E-2</v>
      </c>
      <c r="O353" s="1">
        <f ca="1">P353*J353*(1+Growth!G$6)^(2010-K353)</f>
        <v>-3.491310054091628</v>
      </c>
      <c r="P353" s="3">
        <v>-2.1</v>
      </c>
      <c r="Q353" s="2">
        <f t="shared" si="148"/>
        <v>-2.1</v>
      </c>
      <c r="R353" s="21">
        <f t="shared" ca="1" si="246"/>
        <v>12.189245893801287</v>
      </c>
      <c r="X353" s="2">
        <f t="shared" si="251"/>
        <v>-2.1</v>
      </c>
      <c r="AC353" s="1">
        <f t="shared" si="217"/>
        <v>6.6</v>
      </c>
      <c r="AD353" s="5">
        <v>1</v>
      </c>
      <c r="AE353" s="5">
        <v>0</v>
      </c>
      <c r="AF353" s="5">
        <v>1</v>
      </c>
      <c r="AG353" s="5">
        <v>1</v>
      </c>
      <c r="AH353" s="5">
        <v>1</v>
      </c>
      <c r="AI353" s="3">
        <f t="shared" si="238"/>
        <v>2.6</v>
      </c>
      <c r="AJ353" s="5">
        <f t="shared" si="257"/>
        <v>1</v>
      </c>
      <c r="AK353" s="5">
        <f t="shared" si="247"/>
        <v>0</v>
      </c>
      <c r="AL353" s="5">
        <f t="shared" si="248"/>
        <v>0</v>
      </c>
      <c r="AM353" s="5">
        <f t="shared" si="258"/>
        <v>0</v>
      </c>
      <c r="AN353" s="5">
        <f t="shared" si="249"/>
        <v>0</v>
      </c>
      <c r="AO353" s="5">
        <f t="shared" si="259"/>
        <v>0</v>
      </c>
      <c r="AP353" s="1" t="s">
        <v>42</v>
      </c>
      <c r="AQ353" s="1">
        <v>3</v>
      </c>
      <c r="AR353" s="5">
        <v>0</v>
      </c>
      <c r="AS353" s="5">
        <v>0</v>
      </c>
      <c r="AT353" s="5">
        <v>0</v>
      </c>
      <c r="AU353" s="5">
        <v>0</v>
      </c>
      <c r="AV353" s="5">
        <f t="shared" si="239"/>
        <v>0</v>
      </c>
      <c r="AW353" s="5">
        <f t="shared" si="240"/>
        <v>0</v>
      </c>
      <c r="AX353" s="5">
        <f t="shared" si="241"/>
        <v>1</v>
      </c>
      <c r="AY353" s="1">
        <f t="shared" si="184"/>
        <v>1</v>
      </c>
      <c r="AZ353" s="1">
        <f t="shared" si="185"/>
        <v>0</v>
      </c>
      <c r="BA353" s="1">
        <f t="shared" si="186"/>
        <v>0</v>
      </c>
      <c r="BB353" s="5">
        <v>0</v>
      </c>
      <c r="BC353" s="5">
        <v>0</v>
      </c>
      <c r="BD353" s="5">
        <v>1</v>
      </c>
      <c r="BE353" s="5">
        <f t="shared" si="196"/>
        <v>0</v>
      </c>
      <c r="BF353" s="5">
        <v>0</v>
      </c>
      <c r="BG353" s="5">
        <f t="shared" si="256"/>
        <v>0</v>
      </c>
      <c r="BH353" s="5">
        <f t="shared" si="256"/>
        <v>0</v>
      </c>
      <c r="BI353" s="5">
        <f t="shared" si="256"/>
        <v>0</v>
      </c>
      <c r="BJ353" s="5">
        <f t="shared" si="256"/>
        <v>0</v>
      </c>
      <c r="BK353" s="5">
        <f t="shared" si="256"/>
        <v>0</v>
      </c>
      <c r="BL353" s="5">
        <f t="shared" si="256"/>
        <v>0</v>
      </c>
      <c r="BM353" s="5">
        <f t="shared" si="256"/>
        <v>0</v>
      </c>
      <c r="BN353" s="5">
        <f t="shared" si="256"/>
        <v>0</v>
      </c>
      <c r="BO353" s="5">
        <f t="shared" si="255"/>
        <v>0</v>
      </c>
      <c r="BP353" s="5">
        <f t="shared" si="255"/>
        <v>0</v>
      </c>
      <c r="BQ353" s="5">
        <f t="shared" si="255"/>
        <v>0</v>
      </c>
      <c r="BR353" s="5">
        <f t="shared" si="255"/>
        <v>0</v>
      </c>
      <c r="BS353" s="5">
        <f t="shared" si="255"/>
        <v>0</v>
      </c>
      <c r="BT353" s="5">
        <f t="shared" si="255"/>
        <v>0</v>
      </c>
      <c r="BU353" s="5">
        <f t="shared" si="255"/>
        <v>0</v>
      </c>
      <c r="BV353" s="5">
        <f t="shared" si="255"/>
        <v>1</v>
      </c>
      <c r="BW353" s="5">
        <f t="shared" si="255"/>
        <v>0</v>
      </c>
      <c r="BX353" s="5">
        <f t="shared" si="255"/>
        <v>0</v>
      </c>
      <c r="BY353" s="5">
        <f t="shared" si="255"/>
        <v>0</v>
      </c>
      <c r="BZ353" s="5">
        <f t="shared" si="255"/>
        <v>0</v>
      </c>
      <c r="CA353" s="5">
        <f t="shared" si="255"/>
        <v>0</v>
      </c>
      <c r="CB353" s="5">
        <f t="shared" si="254"/>
        <v>0</v>
      </c>
      <c r="CC353" s="5">
        <f t="shared" si="254"/>
        <v>0</v>
      </c>
      <c r="CD353" s="5">
        <f t="shared" si="254"/>
        <v>0</v>
      </c>
      <c r="CE353" s="5">
        <f t="shared" si="254"/>
        <v>0</v>
      </c>
    </row>
    <row r="354" spans="1:83" x14ac:dyDescent="0.2">
      <c r="C354" s="1">
        <f>Growth!D359</f>
        <v>0</v>
      </c>
      <c r="D354" s="5" t="b">
        <f t="shared" si="244"/>
        <v>0</v>
      </c>
      <c r="E354" s="5">
        <v>2006</v>
      </c>
      <c r="F354" s="5">
        <f ca="1">LOOKUP($E354,frequence!$A$2:$A$35,frequence!L$2:L$35)</f>
        <v>71.097990738484512</v>
      </c>
      <c r="G354" s="5">
        <f ca="1">LOOKUP($E354,frequence!$A$2:$A$35,frequence!K$2:K$35)</f>
        <v>5.2950026937283488</v>
      </c>
      <c r="H354" s="5">
        <f ca="1">LOOKUP($E354,frequence!$A$2:$A$35,frequence!M$2:M$35)</f>
        <v>500.74918436144497</v>
      </c>
      <c r="I354" s="5">
        <v>1995</v>
      </c>
      <c r="J354" s="7">
        <f>LOOKUP(I354,CPI!A$69:A$103,CPI!O$69:O$103)</f>
        <v>1.4308136482939633</v>
      </c>
      <c r="K354" s="5">
        <v>2000</v>
      </c>
      <c r="L354" s="7">
        <f t="shared" ca="1" si="245"/>
        <v>1</v>
      </c>
      <c r="M354" s="7">
        <f t="shared" si="253"/>
        <v>1.4142857142857141</v>
      </c>
      <c r="N354" s="14">
        <f>3/14</f>
        <v>0.21428571428571427</v>
      </c>
      <c r="O354" s="1">
        <f ca="1">P354*J354*(1+Growth!G$6)^(2010-K354)</f>
        <v>58.188500901527128</v>
      </c>
      <c r="P354" s="3">
        <v>35</v>
      </c>
      <c r="Q354" s="2">
        <f t="shared" si="148"/>
        <v>35</v>
      </c>
      <c r="R354" s="21">
        <f t="shared" ca="1" si="246"/>
        <v>3385.9016371670232</v>
      </c>
      <c r="X354" s="2">
        <f t="shared" si="251"/>
        <v>35</v>
      </c>
      <c r="AC354" s="1">
        <f t="shared" si="217"/>
        <v>6.6</v>
      </c>
      <c r="AD354" s="5">
        <v>1</v>
      </c>
      <c r="AE354" s="5">
        <v>0</v>
      </c>
      <c r="AF354" s="5">
        <v>1</v>
      </c>
      <c r="AG354" s="5">
        <v>1</v>
      </c>
      <c r="AH354" s="5">
        <v>1</v>
      </c>
      <c r="AI354" s="3">
        <f t="shared" si="238"/>
        <v>2.6</v>
      </c>
      <c r="AJ354" s="5">
        <f t="shared" si="257"/>
        <v>0</v>
      </c>
      <c r="AK354" s="5">
        <f t="shared" si="247"/>
        <v>0</v>
      </c>
      <c r="AL354" s="5">
        <f t="shared" si="248"/>
        <v>0</v>
      </c>
      <c r="AM354" s="5">
        <f t="shared" si="258"/>
        <v>0</v>
      </c>
      <c r="AN354" s="5">
        <f t="shared" si="249"/>
        <v>0</v>
      </c>
      <c r="AO354" s="5">
        <f t="shared" si="259"/>
        <v>0</v>
      </c>
      <c r="AP354" s="1" t="s">
        <v>42</v>
      </c>
      <c r="AQ354" s="1" t="s">
        <v>42</v>
      </c>
      <c r="AR354" s="5">
        <v>0</v>
      </c>
      <c r="AS354" s="5">
        <v>0</v>
      </c>
      <c r="AT354" s="5">
        <v>0</v>
      </c>
      <c r="AU354" s="5">
        <v>0</v>
      </c>
      <c r="AV354" s="5">
        <f t="shared" si="239"/>
        <v>0</v>
      </c>
      <c r="AW354" s="5">
        <f t="shared" si="240"/>
        <v>0</v>
      </c>
      <c r="AX354" s="5">
        <f t="shared" si="241"/>
        <v>1</v>
      </c>
      <c r="AY354" s="1">
        <f t="shared" si="184"/>
        <v>0</v>
      </c>
      <c r="AZ354" s="1">
        <f t="shared" si="185"/>
        <v>0</v>
      </c>
      <c r="BA354" s="1">
        <f t="shared" si="186"/>
        <v>0</v>
      </c>
      <c r="BB354" s="5">
        <v>0</v>
      </c>
      <c r="BC354" s="5">
        <v>0</v>
      </c>
      <c r="BD354" s="5">
        <v>1</v>
      </c>
      <c r="BE354" s="5">
        <f t="shared" si="196"/>
        <v>0</v>
      </c>
      <c r="BF354" s="5">
        <v>0</v>
      </c>
      <c r="BG354" s="5">
        <f t="shared" si="256"/>
        <v>0</v>
      </c>
      <c r="BH354" s="5">
        <f t="shared" si="256"/>
        <v>0</v>
      </c>
      <c r="BI354" s="5">
        <f t="shared" si="256"/>
        <v>0</v>
      </c>
      <c r="BJ354" s="5">
        <f t="shared" si="256"/>
        <v>0</v>
      </c>
      <c r="BK354" s="5">
        <f t="shared" si="256"/>
        <v>0</v>
      </c>
      <c r="BL354" s="5">
        <f t="shared" si="256"/>
        <v>0</v>
      </c>
      <c r="BM354" s="5">
        <f t="shared" si="256"/>
        <v>0</v>
      </c>
      <c r="BN354" s="5">
        <f t="shared" si="256"/>
        <v>0</v>
      </c>
      <c r="BO354" s="5">
        <f t="shared" si="255"/>
        <v>0</v>
      </c>
      <c r="BP354" s="5">
        <f t="shared" si="255"/>
        <v>0</v>
      </c>
      <c r="BQ354" s="5">
        <f t="shared" si="255"/>
        <v>0</v>
      </c>
      <c r="BR354" s="5">
        <f t="shared" si="255"/>
        <v>0</v>
      </c>
      <c r="BS354" s="5">
        <f t="shared" si="255"/>
        <v>0</v>
      </c>
      <c r="BT354" s="5">
        <f t="shared" si="255"/>
        <v>0</v>
      </c>
      <c r="BU354" s="5">
        <f t="shared" si="255"/>
        <v>0</v>
      </c>
      <c r="BV354" s="5">
        <f t="shared" si="255"/>
        <v>1</v>
      </c>
      <c r="BW354" s="5">
        <f t="shared" si="255"/>
        <v>0</v>
      </c>
      <c r="BX354" s="5">
        <f t="shared" si="255"/>
        <v>0</v>
      </c>
      <c r="BY354" s="5">
        <f t="shared" si="255"/>
        <v>0</v>
      </c>
      <c r="BZ354" s="5">
        <f t="shared" si="255"/>
        <v>0</v>
      </c>
      <c r="CA354" s="5">
        <f t="shared" si="255"/>
        <v>0</v>
      </c>
      <c r="CB354" s="5">
        <f t="shared" si="254"/>
        <v>0</v>
      </c>
      <c r="CC354" s="5">
        <f t="shared" si="254"/>
        <v>0</v>
      </c>
      <c r="CD354" s="5">
        <f t="shared" si="254"/>
        <v>0</v>
      </c>
      <c r="CE354" s="5">
        <f t="shared" si="254"/>
        <v>0</v>
      </c>
    </row>
    <row r="355" spans="1:83" x14ac:dyDescent="0.2">
      <c r="A355" s="1" t="s">
        <v>51</v>
      </c>
      <c r="B355" s="11" t="s">
        <v>103</v>
      </c>
      <c r="C355" s="1">
        <f>Growth!D360</f>
        <v>0.2</v>
      </c>
      <c r="D355" s="5">
        <f t="shared" si="244"/>
        <v>2006</v>
      </c>
      <c r="E355" s="5">
        <v>2006</v>
      </c>
      <c r="F355" s="5">
        <f ca="1">LOOKUP($E355,frequence!$A$2:$A$35,frequence!L$2:L$35)</f>
        <v>71.097990738484512</v>
      </c>
      <c r="G355" s="5">
        <f ca="1">LOOKUP($E355,frequence!$A$2:$A$35,frequence!K$2:K$35)</f>
        <v>5.2950026937283488</v>
      </c>
      <c r="H355" s="5">
        <f ca="1">LOOKUP($E355,frequence!$A$2:$A$35,frequence!M$2:M$35)</f>
        <v>500.74918436144497</v>
      </c>
      <c r="I355" s="5">
        <v>2000</v>
      </c>
      <c r="J355" s="7">
        <f>LOOKUP(I355,CPI!A$69:A$103,CPI!O$69:O$103)</f>
        <v>1.2662950058072011</v>
      </c>
      <c r="K355" s="5">
        <v>2000</v>
      </c>
      <c r="L355" s="7">
        <f t="shared" ca="1" si="245"/>
        <v>1</v>
      </c>
      <c r="M355" s="7">
        <f t="shared" si="253"/>
        <v>1.1199999999999999</v>
      </c>
      <c r="N355" s="14">
        <v>0.2</v>
      </c>
      <c r="O355" s="1">
        <f ca="1">P355*J355*(1+Growth!G$6)^(2010-K355)</f>
        <v>27.955968676034839</v>
      </c>
      <c r="P355" s="2">
        <f t="shared" ref="P355:P371" si="261">Q355</f>
        <v>19</v>
      </c>
      <c r="Q355" s="3">
        <v>19</v>
      </c>
      <c r="R355" s="21">
        <f t="shared" ca="1" si="246"/>
        <v>781.53618461544113</v>
      </c>
      <c r="U355" s="1">
        <v>5</v>
      </c>
      <c r="X355" s="2">
        <f t="shared" si="251"/>
        <v>19</v>
      </c>
      <c r="AA355" s="1">
        <v>49</v>
      </c>
      <c r="AC355" s="1">
        <f t="shared" si="217"/>
        <v>5.6</v>
      </c>
      <c r="AD355" s="5">
        <v>1</v>
      </c>
      <c r="AE355" s="5">
        <v>0</v>
      </c>
      <c r="AF355" s="5">
        <v>1</v>
      </c>
      <c r="AG355" s="5">
        <v>0</v>
      </c>
      <c r="AH355" s="5">
        <v>1</v>
      </c>
      <c r="AI355" s="3">
        <f t="shared" si="238"/>
        <v>2.6</v>
      </c>
      <c r="AJ355" s="5">
        <f t="shared" si="257"/>
        <v>1</v>
      </c>
      <c r="AK355" s="5">
        <f t="shared" si="247"/>
        <v>0</v>
      </c>
      <c r="AL355" s="5">
        <f t="shared" si="248"/>
        <v>0</v>
      </c>
      <c r="AM355" s="5">
        <f t="shared" si="258"/>
        <v>0</v>
      </c>
      <c r="AN355" s="5">
        <f t="shared" si="249"/>
        <v>0</v>
      </c>
      <c r="AO355" s="5">
        <f t="shared" si="259"/>
        <v>0</v>
      </c>
      <c r="AP355" s="11" t="s">
        <v>42</v>
      </c>
      <c r="AQ355" s="1">
        <v>3</v>
      </c>
      <c r="AR355" s="5">
        <v>0</v>
      </c>
      <c r="AS355" s="5">
        <v>0</v>
      </c>
      <c r="AT355" s="5">
        <v>1</v>
      </c>
      <c r="AU355" s="5">
        <v>0</v>
      </c>
      <c r="AV355" s="5">
        <f t="shared" si="239"/>
        <v>0</v>
      </c>
      <c r="AW355" s="5">
        <f t="shared" si="240"/>
        <v>0</v>
      </c>
      <c r="AX355" s="5">
        <f t="shared" si="241"/>
        <v>1</v>
      </c>
      <c r="AY355" s="1">
        <f t="shared" si="184"/>
        <v>1</v>
      </c>
      <c r="AZ355" s="1">
        <f t="shared" si="185"/>
        <v>0</v>
      </c>
      <c r="BA355" s="1">
        <f t="shared" si="186"/>
        <v>0</v>
      </c>
      <c r="BB355" s="5">
        <v>1</v>
      </c>
      <c r="BC355" s="5">
        <v>0</v>
      </c>
      <c r="BD355" s="5">
        <v>0</v>
      </c>
      <c r="BE355" s="5">
        <f t="shared" si="196"/>
        <v>0</v>
      </c>
      <c r="BF355" s="5">
        <v>0</v>
      </c>
      <c r="BG355" s="5">
        <f t="shared" si="256"/>
        <v>0</v>
      </c>
      <c r="BH355" s="5">
        <f t="shared" si="256"/>
        <v>0</v>
      </c>
      <c r="BI355" s="5">
        <f t="shared" si="256"/>
        <v>0</v>
      </c>
      <c r="BJ355" s="5">
        <f t="shared" si="256"/>
        <v>0</v>
      </c>
      <c r="BK355" s="5">
        <f t="shared" si="256"/>
        <v>0</v>
      </c>
      <c r="BL355" s="5">
        <f t="shared" si="256"/>
        <v>0</v>
      </c>
      <c r="BM355" s="5">
        <f t="shared" si="256"/>
        <v>0</v>
      </c>
      <c r="BN355" s="5">
        <f t="shared" si="256"/>
        <v>0</v>
      </c>
      <c r="BO355" s="5">
        <f t="shared" si="255"/>
        <v>0</v>
      </c>
      <c r="BP355" s="5">
        <f t="shared" si="255"/>
        <v>0</v>
      </c>
      <c r="BQ355" s="5">
        <f t="shared" si="255"/>
        <v>0</v>
      </c>
      <c r="BR355" s="5">
        <f t="shared" si="255"/>
        <v>0</v>
      </c>
      <c r="BS355" s="5">
        <f t="shared" si="255"/>
        <v>0</v>
      </c>
      <c r="BT355" s="5">
        <f t="shared" si="255"/>
        <v>0</v>
      </c>
      <c r="BU355" s="5">
        <f t="shared" si="255"/>
        <v>0</v>
      </c>
      <c r="BV355" s="5">
        <f t="shared" si="255"/>
        <v>1</v>
      </c>
      <c r="BW355" s="5">
        <f t="shared" si="255"/>
        <v>0</v>
      </c>
      <c r="BX355" s="5">
        <f t="shared" si="255"/>
        <v>0</v>
      </c>
      <c r="BY355" s="5">
        <f t="shared" si="255"/>
        <v>0</v>
      </c>
      <c r="BZ355" s="5">
        <f t="shared" si="255"/>
        <v>0</v>
      </c>
      <c r="CA355" s="5">
        <f t="shared" si="255"/>
        <v>0</v>
      </c>
      <c r="CB355" s="5">
        <f t="shared" si="254"/>
        <v>0</v>
      </c>
      <c r="CC355" s="5">
        <f t="shared" si="254"/>
        <v>0</v>
      </c>
      <c r="CD355" s="5">
        <f t="shared" si="254"/>
        <v>0</v>
      </c>
      <c r="CE355" s="5">
        <f t="shared" si="254"/>
        <v>0</v>
      </c>
    </row>
    <row r="356" spans="1:83" x14ac:dyDescent="0.2">
      <c r="C356" s="1">
        <f>Growth!D361</f>
        <v>0.2</v>
      </c>
      <c r="D356" s="5" t="b">
        <f t="shared" si="244"/>
        <v>0</v>
      </c>
      <c r="E356" s="5">
        <v>2006</v>
      </c>
      <c r="F356" s="5">
        <f ca="1">LOOKUP($E356,frequence!$A$2:$A$35,frequence!L$2:L$35)</f>
        <v>71.097990738484512</v>
      </c>
      <c r="G356" s="5">
        <f ca="1">LOOKUP($E356,frequence!$A$2:$A$35,frequence!K$2:K$35)</f>
        <v>5.2950026937283488</v>
      </c>
      <c r="H356" s="5">
        <f ca="1">LOOKUP($E356,frequence!$A$2:$A$35,frequence!M$2:M$35)</f>
        <v>500.74918436144497</v>
      </c>
      <c r="I356" s="5">
        <v>2000</v>
      </c>
      <c r="J356" s="7">
        <f>LOOKUP(I356,CPI!A$69:A$103,CPI!O$69:O$103)</f>
        <v>1.2662950058072011</v>
      </c>
      <c r="K356" s="5">
        <v>2000</v>
      </c>
      <c r="L356" s="7">
        <f t="shared" ca="1" si="245"/>
        <v>1</v>
      </c>
      <c r="M356" s="7">
        <f t="shared" si="253"/>
        <v>1.1199999999999999</v>
      </c>
      <c r="N356" s="14">
        <v>0.2</v>
      </c>
      <c r="O356" s="1">
        <f ca="1">P356*J356*(1+Growth!G$6)^(2010-K356)</f>
        <v>20.599134813920408</v>
      </c>
      <c r="P356" s="2">
        <f t="shared" si="261"/>
        <v>14</v>
      </c>
      <c r="Q356" s="3">
        <v>14</v>
      </c>
      <c r="R356" s="21">
        <f t="shared" ca="1" si="246"/>
        <v>424.32435508206777</v>
      </c>
      <c r="U356" s="1">
        <v>3</v>
      </c>
      <c r="X356" s="2">
        <f t="shared" si="251"/>
        <v>14</v>
      </c>
      <c r="AA356" s="1">
        <v>41</v>
      </c>
      <c r="AC356" s="1">
        <f t="shared" si="217"/>
        <v>5.6</v>
      </c>
      <c r="AD356" s="5">
        <v>1</v>
      </c>
      <c r="AE356" s="5">
        <v>0</v>
      </c>
      <c r="AF356" s="5">
        <v>1</v>
      </c>
      <c r="AG356" s="5">
        <v>0</v>
      </c>
      <c r="AH356" s="5">
        <v>1</v>
      </c>
      <c r="AI356" s="3">
        <f t="shared" si="238"/>
        <v>2.6</v>
      </c>
      <c r="AJ356" s="5">
        <f t="shared" si="257"/>
        <v>1</v>
      </c>
      <c r="AK356" s="5">
        <f t="shared" si="247"/>
        <v>0</v>
      </c>
      <c r="AL356" s="5">
        <f t="shared" si="248"/>
        <v>0</v>
      </c>
      <c r="AM356" s="5">
        <f t="shared" si="258"/>
        <v>0</v>
      </c>
      <c r="AN356" s="5">
        <f t="shared" si="249"/>
        <v>0</v>
      </c>
      <c r="AO356" s="5">
        <f t="shared" si="259"/>
        <v>0</v>
      </c>
      <c r="AP356" s="11" t="s">
        <v>42</v>
      </c>
      <c r="AQ356" s="1">
        <v>3</v>
      </c>
      <c r="AR356" s="5">
        <v>0</v>
      </c>
      <c r="AS356" s="5">
        <v>0</v>
      </c>
      <c r="AT356" s="5">
        <v>1</v>
      </c>
      <c r="AU356" s="5">
        <v>0</v>
      </c>
      <c r="AV356" s="5">
        <f t="shared" si="239"/>
        <v>0</v>
      </c>
      <c r="AW356" s="5">
        <f t="shared" si="240"/>
        <v>0</v>
      </c>
      <c r="AX356" s="5">
        <f t="shared" si="241"/>
        <v>1</v>
      </c>
      <c r="AY356" s="1">
        <f t="shared" ref="AY356:AY419" si="262">AJ356*$AD356*(1-$AV356)*(1-$AR356)</f>
        <v>1</v>
      </c>
      <c r="AZ356" s="1">
        <f t="shared" ref="AZ356:AZ419" si="263">AM356*$AD356*(1-$AV356)*(1-$AR356)</f>
        <v>0</v>
      </c>
      <c r="BA356" s="1">
        <f t="shared" ref="BA356:BA419" si="264">AO356*$AD356*(1-$AV356)*(1-$AR356)</f>
        <v>0</v>
      </c>
      <c r="BB356" s="5">
        <v>1</v>
      </c>
      <c r="BC356" s="5">
        <v>0</v>
      </c>
      <c r="BD356" s="5">
        <v>0</v>
      </c>
      <c r="BE356" s="5">
        <f t="shared" si="196"/>
        <v>0</v>
      </c>
      <c r="BF356" s="5">
        <v>0</v>
      </c>
      <c r="BG356" s="5">
        <f t="shared" si="256"/>
        <v>0</v>
      </c>
      <c r="BH356" s="5">
        <f t="shared" si="256"/>
        <v>0</v>
      </c>
      <c r="BI356" s="5">
        <f t="shared" si="256"/>
        <v>0</v>
      </c>
      <c r="BJ356" s="5">
        <f t="shared" si="256"/>
        <v>0</v>
      </c>
      <c r="BK356" s="5">
        <f t="shared" si="256"/>
        <v>0</v>
      </c>
      <c r="BL356" s="5">
        <f t="shared" si="256"/>
        <v>0</v>
      </c>
      <c r="BM356" s="5">
        <f t="shared" si="256"/>
        <v>0</v>
      </c>
      <c r="BN356" s="5">
        <f t="shared" ref="BN356:CB371" si="265">IF($E356=BN$2,1,0)</f>
        <v>0</v>
      </c>
      <c r="BO356" s="5">
        <f t="shared" si="265"/>
        <v>0</v>
      </c>
      <c r="BP356" s="5">
        <f t="shared" si="265"/>
        <v>0</v>
      </c>
      <c r="BQ356" s="5">
        <f t="shared" si="265"/>
        <v>0</v>
      </c>
      <c r="BR356" s="5">
        <f t="shared" si="265"/>
        <v>0</v>
      </c>
      <c r="BS356" s="5">
        <f t="shared" si="265"/>
        <v>0</v>
      </c>
      <c r="BT356" s="5">
        <f t="shared" si="265"/>
        <v>0</v>
      </c>
      <c r="BU356" s="5">
        <f t="shared" si="265"/>
        <v>0</v>
      </c>
      <c r="BV356" s="5">
        <f t="shared" si="265"/>
        <v>1</v>
      </c>
      <c r="BW356" s="5">
        <f t="shared" si="265"/>
        <v>0</v>
      </c>
      <c r="BX356" s="5">
        <f t="shared" si="265"/>
        <v>0</v>
      </c>
      <c r="BY356" s="5">
        <f t="shared" si="265"/>
        <v>0</v>
      </c>
      <c r="BZ356" s="5">
        <f t="shared" si="265"/>
        <v>0</v>
      </c>
      <c r="CA356" s="5">
        <f t="shared" si="265"/>
        <v>0</v>
      </c>
      <c r="CB356" s="5">
        <f t="shared" si="254"/>
        <v>0</v>
      </c>
      <c r="CC356" s="5">
        <f t="shared" si="254"/>
        <v>0</v>
      </c>
      <c r="CD356" s="5">
        <f t="shared" si="254"/>
        <v>0</v>
      </c>
      <c r="CE356" s="5">
        <f t="shared" si="254"/>
        <v>0</v>
      </c>
    </row>
    <row r="357" spans="1:83" x14ac:dyDescent="0.2">
      <c r="C357" s="1">
        <f>Growth!D362</f>
        <v>0</v>
      </c>
      <c r="D357" s="5" t="b">
        <f t="shared" si="244"/>
        <v>0</v>
      </c>
      <c r="E357" s="5">
        <v>2006</v>
      </c>
      <c r="F357" s="5">
        <f ca="1">LOOKUP($E357,frequence!$A$2:$A$35,frequence!L$2:L$35)</f>
        <v>71.097990738484512</v>
      </c>
      <c r="G357" s="5">
        <f ca="1">LOOKUP($E357,frequence!$A$2:$A$35,frequence!K$2:K$35)</f>
        <v>5.2950026937283488</v>
      </c>
      <c r="H357" s="5">
        <f ca="1">LOOKUP($E357,frequence!$A$2:$A$35,frequence!M$2:M$35)</f>
        <v>500.74918436144497</v>
      </c>
      <c r="I357" s="5">
        <v>2000</v>
      </c>
      <c r="J357" s="7">
        <f>LOOKUP(I357,CPI!A$69:A$103,CPI!O$69:O$103)</f>
        <v>1.2662950058072011</v>
      </c>
      <c r="K357" s="5">
        <v>2000</v>
      </c>
      <c r="L357" s="7">
        <f t="shared" ca="1" si="245"/>
        <v>1</v>
      </c>
      <c r="M357" s="7">
        <f t="shared" si="253"/>
        <v>0.55999999999999994</v>
      </c>
      <c r="N357" s="14">
        <v>0.1</v>
      </c>
      <c r="O357" s="1">
        <f ca="1">P357*J357*(1+Growth!G$6)^(2010-K357)</f>
        <v>69.154238303875658</v>
      </c>
      <c r="P357" s="2">
        <f t="shared" si="261"/>
        <v>47</v>
      </c>
      <c r="Q357" s="3">
        <v>47</v>
      </c>
      <c r="R357" s="21">
        <f t="shared" ca="1" si="246"/>
        <v>4782.308675389223</v>
      </c>
      <c r="X357" s="2">
        <f t="shared" si="251"/>
        <v>47</v>
      </c>
      <c r="AC357" s="1">
        <f t="shared" ref="AC357:AC362" si="266">SUM(AD357:AI357)</f>
        <v>5.6</v>
      </c>
      <c r="AD357" s="5">
        <v>1</v>
      </c>
      <c r="AE357" s="5">
        <v>0</v>
      </c>
      <c r="AF357" s="5">
        <v>1</v>
      </c>
      <c r="AG357" s="5">
        <v>0</v>
      </c>
      <c r="AH357" s="5">
        <v>1</v>
      </c>
      <c r="AI357" s="3">
        <f t="shared" si="238"/>
        <v>2.6</v>
      </c>
      <c r="AJ357" s="5">
        <f t="shared" si="257"/>
        <v>0</v>
      </c>
      <c r="AK357" s="5">
        <f t="shared" si="247"/>
        <v>1</v>
      </c>
      <c r="AL357" s="5">
        <f t="shared" si="248"/>
        <v>0</v>
      </c>
      <c r="AM357" s="5">
        <f t="shared" si="258"/>
        <v>0</v>
      </c>
      <c r="AN357" s="5">
        <f t="shared" si="249"/>
        <v>0</v>
      </c>
      <c r="AO357" s="5">
        <f t="shared" si="259"/>
        <v>0</v>
      </c>
      <c r="AP357" s="11" t="s">
        <v>42</v>
      </c>
      <c r="AQ357" s="1">
        <v>2</v>
      </c>
      <c r="AR357" s="5">
        <v>0</v>
      </c>
      <c r="AS357" s="5">
        <v>0</v>
      </c>
      <c r="AT357" s="5">
        <v>1</v>
      </c>
      <c r="AU357" s="5">
        <v>0</v>
      </c>
      <c r="AV357" s="5">
        <f t="shared" si="239"/>
        <v>0</v>
      </c>
      <c r="AW357" s="5">
        <f t="shared" si="240"/>
        <v>0</v>
      </c>
      <c r="AX357" s="5">
        <f t="shared" si="241"/>
        <v>1</v>
      </c>
      <c r="AY357" s="1">
        <f t="shared" si="262"/>
        <v>0</v>
      </c>
      <c r="AZ357" s="1">
        <f t="shared" si="263"/>
        <v>0</v>
      </c>
      <c r="BA357" s="1">
        <f t="shared" si="264"/>
        <v>0</v>
      </c>
      <c r="BB357" s="5">
        <v>1</v>
      </c>
      <c r="BC357" s="5">
        <v>0</v>
      </c>
      <c r="BD357" s="5">
        <v>0</v>
      </c>
      <c r="BE357" s="5">
        <f t="shared" ref="BE357:BE376" si="267">1-SUM(BB357:BD357)</f>
        <v>0</v>
      </c>
      <c r="BF357" s="5">
        <v>0</v>
      </c>
      <c r="BG357" s="5">
        <f t="shared" ref="BG357:BN372" si="268">IF($E357=BG$2,1,0)</f>
        <v>0</v>
      </c>
      <c r="BH357" s="5">
        <f t="shared" si="268"/>
        <v>0</v>
      </c>
      <c r="BI357" s="5">
        <f t="shared" si="268"/>
        <v>0</v>
      </c>
      <c r="BJ357" s="5">
        <f t="shared" si="268"/>
        <v>0</v>
      </c>
      <c r="BK357" s="5">
        <f t="shared" si="268"/>
        <v>0</v>
      </c>
      <c r="BL357" s="5">
        <f t="shared" si="268"/>
        <v>0</v>
      </c>
      <c r="BM357" s="5">
        <f t="shared" si="268"/>
        <v>0</v>
      </c>
      <c r="BN357" s="5">
        <f t="shared" si="265"/>
        <v>0</v>
      </c>
      <c r="BO357" s="5">
        <f t="shared" si="265"/>
        <v>0</v>
      </c>
      <c r="BP357" s="5">
        <f t="shared" si="265"/>
        <v>0</v>
      </c>
      <c r="BQ357" s="5">
        <f t="shared" si="265"/>
        <v>0</v>
      </c>
      <c r="BR357" s="5">
        <f t="shared" si="265"/>
        <v>0</v>
      </c>
      <c r="BS357" s="5">
        <f t="shared" si="265"/>
        <v>0</v>
      </c>
      <c r="BT357" s="5">
        <f t="shared" si="265"/>
        <v>0</v>
      </c>
      <c r="BU357" s="5">
        <f t="shared" si="265"/>
        <v>0</v>
      </c>
      <c r="BV357" s="5">
        <f t="shared" si="265"/>
        <v>1</v>
      </c>
      <c r="BW357" s="5">
        <f t="shared" si="265"/>
        <v>0</v>
      </c>
      <c r="BX357" s="5">
        <f t="shared" si="265"/>
        <v>0</v>
      </c>
      <c r="BY357" s="5">
        <f t="shared" si="265"/>
        <v>0</v>
      </c>
      <c r="BZ357" s="5">
        <f t="shared" si="265"/>
        <v>0</v>
      </c>
      <c r="CA357" s="5">
        <f t="shared" si="265"/>
        <v>0</v>
      </c>
      <c r="CB357" s="5">
        <f t="shared" si="254"/>
        <v>0</v>
      </c>
      <c r="CC357" s="5">
        <f t="shared" si="254"/>
        <v>0</v>
      </c>
      <c r="CD357" s="5">
        <f t="shared" si="254"/>
        <v>0</v>
      </c>
      <c r="CE357" s="5">
        <f t="shared" si="254"/>
        <v>0</v>
      </c>
    </row>
    <row r="358" spans="1:83" x14ac:dyDescent="0.2">
      <c r="C358" s="1">
        <f>Growth!D363</f>
        <v>0</v>
      </c>
      <c r="D358" s="5" t="b">
        <f t="shared" si="244"/>
        <v>0</v>
      </c>
      <c r="E358" s="5">
        <v>2006</v>
      </c>
      <c r="F358" s="5">
        <f ca="1">LOOKUP($E358,frequence!$A$2:$A$35,frequence!L$2:L$35)</f>
        <v>71.097990738484512</v>
      </c>
      <c r="G358" s="5">
        <f ca="1">LOOKUP($E358,frequence!$A$2:$A$35,frequence!K$2:K$35)</f>
        <v>5.2950026937283488</v>
      </c>
      <c r="H358" s="5">
        <f ca="1">LOOKUP($E358,frequence!$A$2:$A$35,frequence!M$2:M$35)</f>
        <v>500.74918436144497</v>
      </c>
      <c r="I358" s="5">
        <v>2000</v>
      </c>
      <c r="J358" s="7">
        <f>LOOKUP(I358,CPI!A$69:A$103,CPI!O$69:O$103)</f>
        <v>1.2662950058072011</v>
      </c>
      <c r="K358" s="5">
        <v>2000</v>
      </c>
      <c r="L358" s="7">
        <f t="shared" ca="1" si="245"/>
        <v>1</v>
      </c>
      <c r="M358" s="7">
        <f t="shared" si="253"/>
        <v>0.55999999999999994</v>
      </c>
      <c r="N358" s="14">
        <v>0.1</v>
      </c>
      <c r="O358" s="1">
        <f ca="1">P358*J358*(1+Growth!G$6)^(2010-K358)</f>
        <v>213.34818200131849</v>
      </c>
      <c r="P358" s="2">
        <f t="shared" si="261"/>
        <v>145</v>
      </c>
      <c r="Q358" s="3">
        <v>145</v>
      </c>
      <c r="R358" s="21">
        <f t="shared" ca="1" si="246"/>
        <v>45517.446763267719</v>
      </c>
      <c r="X358" s="2">
        <f t="shared" si="251"/>
        <v>145</v>
      </c>
      <c r="AC358" s="1">
        <f t="shared" si="266"/>
        <v>5.6</v>
      </c>
      <c r="AD358" s="5">
        <v>1</v>
      </c>
      <c r="AE358" s="5">
        <v>0</v>
      </c>
      <c r="AF358" s="5">
        <v>1</v>
      </c>
      <c r="AG358" s="5">
        <v>0</v>
      </c>
      <c r="AH358" s="5">
        <v>1</v>
      </c>
      <c r="AI358" s="3">
        <f t="shared" si="238"/>
        <v>2.6</v>
      </c>
      <c r="AJ358" s="5">
        <f t="shared" si="257"/>
        <v>0</v>
      </c>
      <c r="AK358" s="5">
        <f t="shared" si="247"/>
        <v>0</v>
      </c>
      <c r="AL358" s="5">
        <f t="shared" si="248"/>
        <v>0</v>
      </c>
      <c r="AM358" s="5">
        <f t="shared" si="258"/>
        <v>1</v>
      </c>
      <c r="AN358" s="5">
        <f t="shared" si="249"/>
        <v>0</v>
      </c>
      <c r="AO358" s="5">
        <f t="shared" si="259"/>
        <v>0</v>
      </c>
      <c r="AP358" s="11" t="s">
        <v>42</v>
      </c>
      <c r="AQ358" s="1">
        <v>1</v>
      </c>
      <c r="AR358" s="5">
        <v>0</v>
      </c>
      <c r="AS358" s="5">
        <v>0</v>
      </c>
      <c r="AT358" s="5">
        <v>1</v>
      </c>
      <c r="AU358" s="5">
        <v>0</v>
      </c>
      <c r="AV358" s="5">
        <f t="shared" si="239"/>
        <v>0</v>
      </c>
      <c r="AW358" s="5">
        <f t="shared" si="240"/>
        <v>0</v>
      </c>
      <c r="AX358" s="5">
        <f t="shared" si="241"/>
        <v>1</v>
      </c>
      <c r="AY358" s="1">
        <f t="shared" si="262"/>
        <v>0</v>
      </c>
      <c r="AZ358" s="1">
        <f t="shared" si="263"/>
        <v>1</v>
      </c>
      <c r="BA358" s="1">
        <f t="shared" si="264"/>
        <v>0</v>
      </c>
      <c r="BB358" s="5">
        <v>1</v>
      </c>
      <c r="BC358" s="5">
        <v>0</v>
      </c>
      <c r="BD358" s="5">
        <v>0</v>
      </c>
      <c r="BE358" s="5">
        <f t="shared" si="267"/>
        <v>0</v>
      </c>
      <c r="BF358" s="5">
        <v>0</v>
      </c>
      <c r="BG358" s="5">
        <f t="shared" si="268"/>
        <v>0</v>
      </c>
      <c r="BH358" s="5">
        <f t="shared" si="268"/>
        <v>0</v>
      </c>
      <c r="BI358" s="5">
        <f t="shared" si="268"/>
        <v>0</v>
      </c>
      <c r="BJ358" s="5">
        <f t="shared" si="268"/>
        <v>0</v>
      </c>
      <c r="BK358" s="5">
        <f t="shared" si="268"/>
        <v>0</v>
      </c>
      <c r="BL358" s="5">
        <f t="shared" si="268"/>
        <v>0</v>
      </c>
      <c r="BM358" s="5">
        <f t="shared" si="268"/>
        <v>0</v>
      </c>
      <c r="BN358" s="5">
        <f t="shared" si="265"/>
        <v>0</v>
      </c>
      <c r="BO358" s="5">
        <f t="shared" si="265"/>
        <v>0</v>
      </c>
      <c r="BP358" s="5">
        <f t="shared" si="265"/>
        <v>0</v>
      </c>
      <c r="BQ358" s="5">
        <f t="shared" si="265"/>
        <v>0</v>
      </c>
      <c r="BR358" s="5">
        <f t="shared" si="265"/>
        <v>0</v>
      </c>
      <c r="BS358" s="5">
        <f t="shared" si="265"/>
        <v>0</v>
      </c>
      <c r="BT358" s="5">
        <f t="shared" si="265"/>
        <v>0</v>
      </c>
      <c r="BU358" s="5">
        <f t="shared" si="265"/>
        <v>0</v>
      </c>
      <c r="BV358" s="5">
        <f t="shared" si="265"/>
        <v>1</v>
      </c>
      <c r="BW358" s="5">
        <f t="shared" si="265"/>
        <v>0</v>
      </c>
      <c r="BX358" s="5">
        <f t="shared" si="265"/>
        <v>0</v>
      </c>
      <c r="BY358" s="5">
        <f t="shared" si="265"/>
        <v>0</v>
      </c>
      <c r="BZ358" s="5">
        <f t="shared" si="265"/>
        <v>0</v>
      </c>
      <c r="CA358" s="5">
        <f t="shared" si="265"/>
        <v>0</v>
      </c>
      <c r="CB358" s="5">
        <f t="shared" si="254"/>
        <v>0</v>
      </c>
      <c r="CC358" s="5">
        <f t="shared" si="254"/>
        <v>0</v>
      </c>
      <c r="CD358" s="5">
        <f t="shared" si="254"/>
        <v>0</v>
      </c>
      <c r="CE358" s="5">
        <f t="shared" si="254"/>
        <v>0</v>
      </c>
    </row>
    <row r="359" spans="1:83" x14ac:dyDescent="0.2">
      <c r="C359" s="1">
        <f>Growth!D364</f>
        <v>0</v>
      </c>
      <c r="D359" s="5" t="b">
        <f t="shared" si="244"/>
        <v>0</v>
      </c>
      <c r="E359" s="5">
        <v>2006</v>
      </c>
      <c r="F359" s="5">
        <f ca="1">LOOKUP($E359,frequence!$A$2:$A$35,frequence!L$2:L$35)</f>
        <v>71.097990738484512</v>
      </c>
      <c r="G359" s="5">
        <f ca="1">LOOKUP($E359,frequence!$A$2:$A$35,frequence!K$2:K$35)</f>
        <v>5.2950026937283488</v>
      </c>
      <c r="H359" s="5">
        <f ca="1">LOOKUP($E359,frequence!$A$2:$A$35,frequence!M$2:M$35)</f>
        <v>500.74918436144497</v>
      </c>
      <c r="I359" s="5">
        <v>2000</v>
      </c>
      <c r="J359" s="7">
        <f>LOOKUP(I359,CPI!A$69:A$103,CPI!O$69:O$103)</f>
        <v>1.2662950058072011</v>
      </c>
      <c r="K359" s="5">
        <v>2000</v>
      </c>
      <c r="L359" s="7">
        <f t="shared" ca="1" si="245"/>
        <v>1</v>
      </c>
      <c r="M359" s="7">
        <f t="shared" si="253"/>
        <v>0.55999999999999994</v>
      </c>
      <c r="N359" s="14">
        <v>0.1</v>
      </c>
      <c r="O359" s="1">
        <f ca="1">P359*J359*(1+Growth!G$6)^(2010-K359)</f>
        <v>44.141003172686588</v>
      </c>
      <c r="P359" s="2">
        <f t="shared" si="261"/>
        <v>30</v>
      </c>
      <c r="Q359" s="3">
        <v>30</v>
      </c>
      <c r="R359" s="21">
        <f t="shared" ca="1" si="246"/>
        <v>1948.4281610911275</v>
      </c>
      <c r="X359" s="2">
        <f t="shared" si="251"/>
        <v>30</v>
      </c>
      <c r="AC359" s="1">
        <f t="shared" si="266"/>
        <v>5.6</v>
      </c>
      <c r="AD359" s="5">
        <v>1</v>
      </c>
      <c r="AE359" s="5">
        <v>0</v>
      </c>
      <c r="AF359" s="5">
        <v>1</v>
      </c>
      <c r="AG359" s="5">
        <v>0</v>
      </c>
      <c r="AH359" s="5">
        <v>1</v>
      </c>
      <c r="AI359" s="3">
        <f t="shared" si="238"/>
        <v>2.6</v>
      </c>
      <c r="AJ359" s="5">
        <f t="shared" si="257"/>
        <v>0</v>
      </c>
      <c r="AK359" s="5">
        <f t="shared" si="247"/>
        <v>1</v>
      </c>
      <c r="AL359" s="5">
        <f t="shared" si="248"/>
        <v>0</v>
      </c>
      <c r="AM359" s="5">
        <f t="shared" si="258"/>
        <v>0</v>
      </c>
      <c r="AN359" s="5">
        <f t="shared" si="249"/>
        <v>0</v>
      </c>
      <c r="AO359" s="5">
        <f t="shared" si="259"/>
        <v>0</v>
      </c>
      <c r="AP359" s="11" t="s">
        <v>42</v>
      </c>
      <c r="AQ359" s="1">
        <v>2</v>
      </c>
      <c r="AR359" s="5">
        <v>0</v>
      </c>
      <c r="AS359" s="5">
        <v>0</v>
      </c>
      <c r="AT359" s="5">
        <v>1</v>
      </c>
      <c r="AU359" s="5">
        <v>0</v>
      </c>
      <c r="AV359" s="5">
        <f t="shared" si="239"/>
        <v>0</v>
      </c>
      <c r="AW359" s="5">
        <f t="shared" si="240"/>
        <v>0</v>
      </c>
      <c r="AX359" s="5">
        <f t="shared" si="241"/>
        <v>1</v>
      </c>
      <c r="AY359" s="1">
        <f t="shared" si="262"/>
        <v>0</v>
      </c>
      <c r="AZ359" s="1">
        <f t="shared" si="263"/>
        <v>0</v>
      </c>
      <c r="BA359" s="1">
        <f t="shared" si="264"/>
        <v>0</v>
      </c>
      <c r="BB359" s="5">
        <v>1</v>
      </c>
      <c r="BC359" s="5">
        <v>0</v>
      </c>
      <c r="BD359" s="5">
        <v>0</v>
      </c>
      <c r="BE359" s="5">
        <f t="shared" si="267"/>
        <v>0</v>
      </c>
      <c r="BF359" s="5">
        <v>0</v>
      </c>
      <c r="BG359" s="5">
        <f t="shared" si="268"/>
        <v>0</v>
      </c>
      <c r="BH359" s="5">
        <f t="shared" si="268"/>
        <v>0</v>
      </c>
      <c r="BI359" s="5">
        <f t="shared" si="268"/>
        <v>0</v>
      </c>
      <c r="BJ359" s="5">
        <f t="shared" si="268"/>
        <v>0</v>
      </c>
      <c r="BK359" s="5">
        <f t="shared" si="268"/>
        <v>0</v>
      </c>
      <c r="BL359" s="5">
        <f t="shared" si="268"/>
        <v>0</v>
      </c>
      <c r="BM359" s="5">
        <f t="shared" si="268"/>
        <v>0</v>
      </c>
      <c r="BN359" s="5">
        <f t="shared" si="265"/>
        <v>0</v>
      </c>
      <c r="BO359" s="5">
        <f t="shared" si="265"/>
        <v>0</v>
      </c>
      <c r="BP359" s="5">
        <f t="shared" si="265"/>
        <v>0</v>
      </c>
      <c r="BQ359" s="5">
        <f t="shared" si="265"/>
        <v>0</v>
      </c>
      <c r="BR359" s="5">
        <f t="shared" si="265"/>
        <v>0</v>
      </c>
      <c r="BS359" s="5">
        <f t="shared" si="265"/>
        <v>0</v>
      </c>
      <c r="BT359" s="5">
        <f t="shared" si="265"/>
        <v>0</v>
      </c>
      <c r="BU359" s="5">
        <f t="shared" si="265"/>
        <v>0</v>
      </c>
      <c r="BV359" s="5">
        <f t="shared" si="265"/>
        <v>1</v>
      </c>
      <c r="BW359" s="5">
        <f t="shared" si="265"/>
        <v>0</v>
      </c>
      <c r="BX359" s="5">
        <f t="shared" si="265"/>
        <v>0</v>
      </c>
      <c r="BY359" s="5">
        <f t="shared" si="265"/>
        <v>0</v>
      </c>
      <c r="BZ359" s="5">
        <f t="shared" si="265"/>
        <v>0</v>
      </c>
      <c r="CA359" s="5">
        <f t="shared" si="265"/>
        <v>0</v>
      </c>
      <c r="CB359" s="5">
        <f t="shared" si="265"/>
        <v>0</v>
      </c>
      <c r="CC359" s="5">
        <f t="shared" ref="CC359:CE378" si="269">IF($E359=CC$2,1,0)</f>
        <v>0</v>
      </c>
      <c r="CD359" s="5">
        <f t="shared" si="269"/>
        <v>0</v>
      </c>
      <c r="CE359" s="5">
        <f t="shared" si="269"/>
        <v>0</v>
      </c>
    </row>
    <row r="360" spans="1:83" x14ac:dyDescent="0.2">
      <c r="C360" s="1">
        <f>Growth!D365</f>
        <v>0</v>
      </c>
      <c r="D360" s="5" t="b">
        <f t="shared" si="244"/>
        <v>0</v>
      </c>
      <c r="E360" s="5">
        <v>2006</v>
      </c>
      <c r="F360" s="5">
        <f ca="1">LOOKUP($E360,frequence!$A$2:$A$35,frequence!L$2:L$35)</f>
        <v>71.097990738484512</v>
      </c>
      <c r="G360" s="5">
        <f ca="1">LOOKUP($E360,frequence!$A$2:$A$35,frequence!K$2:K$35)</f>
        <v>5.2950026937283488</v>
      </c>
      <c r="H360" s="5">
        <f ca="1">LOOKUP($E360,frequence!$A$2:$A$35,frequence!M$2:M$35)</f>
        <v>500.74918436144497</v>
      </c>
      <c r="I360" s="5">
        <v>2000</v>
      </c>
      <c r="J360" s="7">
        <f>LOOKUP(I360,CPI!A$69:A$103,CPI!O$69:O$103)</f>
        <v>1.2662950058072011</v>
      </c>
      <c r="K360" s="5">
        <v>2000</v>
      </c>
      <c r="L360" s="7">
        <f t="shared" ca="1" si="245"/>
        <v>1</v>
      </c>
      <c r="M360" s="7">
        <f t="shared" si="253"/>
        <v>0.55999999999999994</v>
      </c>
      <c r="N360" s="14">
        <v>0.1</v>
      </c>
      <c r="O360" s="1">
        <f ca="1">P360*J360*(1+Growth!G$6)^(2010-K360)</f>
        <v>133.89437629048265</v>
      </c>
      <c r="P360" s="2">
        <f t="shared" si="261"/>
        <v>91</v>
      </c>
      <c r="Q360" s="3">
        <v>91</v>
      </c>
      <c r="R360" s="21">
        <f t="shared" ca="1" si="246"/>
        <v>17927.704002217364</v>
      </c>
      <c r="X360" s="2">
        <f t="shared" si="251"/>
        <v>91</v>
      </c>
      <c r="AC360" s="1">
        <f t="shared" si="266"/>
        <v>5.6</v>
      </c>
      <c r="AD360" s="5">
        <v>1</v>
      </c>
      <c r="AE360" s="5">
        <v>0</v>
      </c>
      <c r="AF360" s="5">
        <v>1</v>
      </c>
      <c r="AG360" s="5">
        <v>0</v>
      </c>
      <c r="AH360" s="5">
        <v>1</v>
      </c>
      <c r="AI360" s="3">
        <f t="shared" si="238"/>
        <v>2.6</v>
      </c>
      <c r="AJ360" s="5">
        <f t="shared" si="257"/>
        <v>0</v>
      </c>
      <c r="AK360" s="5">
        <f t="shared" si="247"/>
        <v>0</v>
      </c>
      <c r="AL360" s="5">
        <f t="shared" si="248"/>
        <v>0</v>
      </c>
      <c r="AM360" s="5">
        <f t="shared" si="258"/>
        <v>1</v>
      </c>
      <c r="AN360" s="5">
        <f t="shared" si="249"/>
        <v>0</v>
      </c>
      <c r="AO360" s="5">
        <f t="shared" si="259"/>
        <v>0</v>
      </c>
      <c r="AP360" s="11" t="s">
        <v>42</v>
      </c>
      <c r="AQ360" s="1">
        <v>1</v>
      </c>
      <c r="AR360" s="5">
        <v>0</v>
      </c>
      <c r="AS360" s="5">
        <v>0</v>
      </c>
      <c r="AT360" s="5">
        <v>1</v>
      </c>
      <c r="AU360" s="5">
        <v>0</v>
      </c>
      <c r="AV360" s="5">
        <f t="shared" si="239"/>
        <v>0</v>
      </c>
      <c r="AW360" s="5">
        <f t="shared" si="240"/>
        <v>0</v>
      </c>
      <c r="AX360" s="5">
        <f t="shared" si="241"/>
        <v>1</v>
      </c>
      <c r="AY360" s="1">
        <f t="shared" si="262"/>
        <v>0</v>
      </c>
      <c r="AZ360" s="1">
        <f t="shared" si="263"/>
        <v>1</v>
      </c>
      <c r="BA360" s="1">
        <f t="shared" si="264"/>
        <v>0</v>
      </c>
      <c r="BB360" s="5">
        <v>1</v>
      </c>
      <c r="BC360" s="5">
        <v>0</v>
      </c>
      <c r="BD360" s="5">
        <v>0</v>
      </c>
      <c r="BE360" s="5">
        <f t="shared" si="267"/>
        <v>0</v>
      </c>
      <c r="BF360" s="5">
        <v>0</v>
      </c>
      <c r="BG360" s="5">
        <f t="shared" si="268"/>
        <v>0</v>
      </c>
      <c r="BH360" s="5">
        <f t="shared" si="268"/>
        <v>0</v>
      </c>
      <c r="BI360" s="5">
        <f t="shared" si="268"/>
        <v>0</v>
      </c>
      <c r="BJ360" s="5">
        <f t="shared" si="268"/>
        <v>0</v>
      </c>
      <c r="BK360" s="5">
        <f t="shared" si="268"/>
        <v>0</v>
      </c>
      <c r="BL360" s="5">
        <f t="shared" si="268"/>
        <v>0</v>
      </c>
      <c r="BM360" s="5">
        <f t="shared" si="268"/>
        <v>0</v>
      </c>
      <c r="BN360" s="5">
        <f t="shared" si="265"/>
        <v>0</v>
      </c>
      <c r="BO360" s="5">
        <f t="shared" si="265"/>
        <v>0</v>
      </c>
      <c r="BP360" s="5">
        <f t="shared" si="265"/>
        <v>0</v>
      </c>
      <c r="BQ360" s="5">
        <f t="shared" si="265"/>
        <v>0</v>
      </c>
      <c r="BR360" s="5">
        <f t="shared" si="265"/>
        <v>0</v>
      </c>
      <c r="BS360" s="5">
        <f t="shared" si="265"/>
        <v>0</v>
      </c>
      <c r="BT360" s="5">
        <f t="shared" si="265"/>
        <v>0</v>
      </c>
      <c r="BU360" s="5">
        <f t="shared" si="265"/>
        <v>0</v>
      </c>
      <c r="BV360" s="5">
        <f t="shared" si="265"/>
        <v>1</v>
      </c>
      <c r="BW360" s="5">
        <f t="shared" si="265"/>
        <v>0</v>
      </c>
      <c r="BX360" s="5">
        <f t="shared" si="265"/>
        <v>0</v>
      </c>
      <c r="BY360" s="5">
        <f t="shared" si="265"/>
        <v>0</v>
      </c>
      <c r="BZ360" s="5">
        <f t="shared" si="265"/>
        <v>0</v>
      </c>
      <c r="CA360" s="5">
        <f t="shared" si="265"/>
        <v>0</v>
      </c>
      <c r="CB360" s="5">
        <f t="shared" si="265"/>
        <v>0</v>
      </c>
      <c r="CC360" s="5">
        <f t="shared" si="269"/>
        <v>0</v>
      </c>
      <c r="CD360" s="5">
        <f t="shared" si="269"/>
        <v>0</v>
      </c>
      <c r="CE360" s="5">
        <f t="shared" si="269"/>
        <v>0</v>
      </c>
    </row>
    <row r="361" spans="1:83" x14ac:dyDescent="0.2">
      <c r="C361" s="1">
        <f>Growth!D366</f>
        <v>0</v>
      </c>
      <c r="D361" s="5" t="b">
        <f t="shared" si="244"/>
        <v>0</v>
      </c>
      <c r="E361" s="5">
        <v>2006</v>
      </c>
      <c r="F361" s="5">
        <f ca="1">LOOKUP($E361,frequence!$A$2:$A$35,frequence!L$2:L$35)</f>
        <v>71.097990738484512</v>
      </c>
      <c r="G361" s="5">
        <f ca="1">LOOKUP($E361,frequence!$A$2:$A$35,frequence!K$2:K$35)</f>
        <v>5.2950026937283488</v>
      </c>
      <c r="H361" s="5">
        <f ca="1">LOOKUP($E361,frequence!$A$2:$A$35,frequence!M$2:M$35)</f>
        <v>500.74918436144497</v>
      </c>
      <c r="I361" s="5">
        <v>2000</v>
      </c>
      <c r="J361" s="7">
        <f>LOOKUP(I361,CPI!A$69:A$103,CPI!O$69:O$103)</f>
        <v>1.2662950058072011</v>
      </c>
      <c r="K361" s="5">
        <v>2000</v>
      </c>
      <c r="L361" s="7">
        <f t="shared" ca="1" si="245"/>
        <v>1</v>
      </c>
      <c r="M361" s="7">
        <f t="shared" si="253"/>
        <v>0.55999999999999994</v>
      </c>
      <c r="N361" s="14">
        <v>0.1</v>
      </c>
      <c r="O361" s="1">
        <f ca="1">P361*J361*(1+Growth!G$6)^(2010-K361)</f>
        <v>42.669636400263698</v>
      </c>
      <c r="P361" s="2">
        <f t="shared" si="261"/>
        <v>29</v>
      </c>
      <c r="Q361" s="3">
        <v>29</v>
      </c>
      <c r="R361" s="21">
        <f t="shared" ca="1" si="246"/>
        <v>1820.6978705307088</v>
      </c>
      <c r="X361" s="2">
        <f t="shared" si="251"/>
        <v>29</v>
      </c>
      <c r="AC361" s="1">
        <f t="shared" si="266"/>
        <v>5.6</v>
      </c>
      <c r="AD361" s="5">
        <v>1</v>
      </c>
      <c r="AE361" s="5">
        <v>0</v>
      </c>
      <c r="AF361" s="5">
        <v>1</v>
      </c>
      <c r="AG361" s="5">
        <v>0</v>
      </c>
      <c r="AH361" s="5">
        <v>1</v>
      </c>
      <c r="AI361" s="3">
        <f t="shared" si="238"/>
        <v>2.6</v>
      </c>
      <c r="AJ361" s="5">
        <f t="shared" si="257"/>
        <v>1</v>
      </c>
      <c r="AK361" s="5">
        <f t="shared" si="247"/>
        <v>0</v>
      </c>
      <c r="AL361" s="5">
        <f t="shared" si="248"/>
        <v>0</v>
      </c>
      <c r="AM361" s="5">
        <f t="shared" si="258"/>
        <v>0</v>
      </c>
      <c r="AN361" s="5">
        <f t="shared" si="249"/>
        <v>0</v>
      </c>
      <c r="AO361" s="5">
        <f t="shared" si="259"/>
        <v>0</v>
      </c>
      <c r="AP361" s="11" t="s">
        <v>42</v>
      </c>
      <c r="AQ361" s="1">
        <v>3</v>
      </c>
      <c r="AR361" s="5">
        <v>0</v>
      </c>
      <c r="AS361" s="5">
        <v>0</v>
      </c>
      <c r="AT361" s="5">
        <v>1</v>
      </c>
      <c r="AU361" s="5">
        <v>0</v>
      </c>
      <c r="AV361" s="5">
        <f t="shared" si="239"/>
        <v>0</v>
      </c>
      <c r="AW361" s="5">
        <f t="shared" si="240"/>
        <v>0</v>
      </c>
      <c r="AX361" s="5">
        <f t="shared" si="241"/>
        <v>1</v>
      </c>
      <c r="AY361" s="1">
        <f t="shared" si="262"/>
        <v>1</v>
      </c>
      <c r="AZ361" s="1">
        <f t="shared" si="263"/>
        <v>0</v>
      </c>
      <c r="BA361" s="1">
        <f t="shared" si="264"/>
        <v>0</v>
      </c>
      <c r="BB361" s="5">
        <v>1</v>
      </c>
      <c r="BC361" s="5">
        <v>0</v>
      </c>
      <c r="BD361" s="5">
        <v>0</v>
      </c>
      <c r="BE361" s="5">
        <f t="shared" si="267"/>
        <v>0</v>
      </c>
      <c r="BF361" s="5">
        <v>0</v>
      </c>
      <c r="BG361" s="5">
        <f t="shared" si="268"/>
        <v>0</v>
      </c>
      <c r="BH361" s="5">
        <f t="shared" si="268"/>
        <v>0</v>
      </c>
      <c r="BI361" s="5">
        <f t="shared" si="268"/>
        <v>0</v>
      </c>
      <c r="BJ361" s="5">
        <f t="shared" si="268"/>
        <v>0</v>
      </c>
      <c r="BK361" s="5">
        <f t="shared" si="268"/>
        <v>0</v>
      </c>
      <c r="BL361" s="5">
        <f t="shared" si="268"/>
        <v>0</v>
      </c>
      <c r="BM361" s="5">
        <f t="shared" si="268"/>
        <v>0</v>
      </c>
      <c r="BN361" s="5">
        <f t="shared" si="265"/>
        <v>0</v>
      </c>
      <c r="BO361" s="5">
        <f t="shared" si="265"/>
        <v>0</v>
      </c>
      <c r="BP361" s="5">
        <f t="shared" si="265"/>
        <v>0</v>
      </c>
      <c r="BQ361" s="5">
        <f t="shared" si="265"/>
        <v>0</v>
      </c>
      <c r="BR361" s="5">
        <f t="shared" si="265"/>
        <v>0</v>
      </c>
      <c r="BS361" s="5">
        <f t="shared" si="265"/>
        <v>0</v>
      </c>
      <c r="BT361" s="5">
        <f t="shared" si="265"/>
        <v>0</v>
      </c>
      <c r="BU361" s="5">
        <f t="shared" si="265"/>
        <v>0</v>
      </c>
      <c r="BV361" s="5">
        <f t="shared" si="265"/>
        <v>1</v>
      </c>
      <c r="BW361" s="5">
        <f t="shared" si="265"/>
        <v>0</v>
      </c>
      <c r="BX361" s="5">
        <f t="shared" si="265"/>
        <v>0</v>
      </c>
      <c r="BY361" s="5">
        <f t="shared" si="265"/>
        <v>0</v>
      </c>
      <c r="BZ361" s="5">
        <f t="shared" si="265"/>
        <v>0</v>
      </c>
      <c r="CA361" s="5">
        <f t="shared" si="265"/>
        <v>0</v>
      </c>
      <c r="CB361" s="5">
        <f t="shared" si="265"/>
        <v>0</v>
      </c>
      <c r="CC361" s="5">
        <f t="shared" si="269"/>
        <v>0</v>
      </c>
      <c r="CD361" s="5">
        <f t="shared" si="269"/>
        <v>0</v>
      </c>
      <c r="CE361" s="5">
        <f t="shared" si="269"/>
        <v>0</v>
      </c>
    </row>
    <row r="362" spans="1:83" x14ac:dyDescent="0.2">
      <c r="C362" s="1">
        <f>Growth!D367</f>
        <v>0</v>
      </c>
      <c r="D362" s="5" t="b">
        <f t="shared" si="244"/>
        <v>0</v>
      </c>
      <c r="E362" s="5">
        <v>2006</v>
      </c>
      <c r="F362" s="5">
        <f ca="1">LOOKUP($E362,frequence!$A$2:$A$35,frequence!L$2:L$35)</f>
        <v>71.097990738484512</v>
      </c>
      <c r="G362" s="5">
        <f ca="1">LOOKUP($E362,frequence!$A$2:$A$35,frequence!K$2:K$35)</f>
        <v>5.2950026937283488</v>
      </c>
      <c r="H362" s="5">
        <f ca="1">LOOKUP($E362,frequence!$A$2:$A$35,frequence!M$2:M$35)</f>
        <v>500.74918436144497</v>
      </c>
      <c r="I362" s="5">
        <v>2000</v>
      </c>
      <c r="J362" s="7">
        <f>LOOKUP(I362,CPI!A$69:A$103,CPI!O$69:O$103)</f>
        <v>1.2662950058072011</v>
      </c>
      <c r="K362" s="5">
        <v>2000</v>
      </c>
      <c r="L362" s="7">
        <f t="shared" ca="1" si="245"/>
        <v>1</v>
      </c>
      <c r="M362" s="7">
        <f t="shared" si="253"/>
        <v>0.55999999999999994</v>
      </c>
      <c r="N362" s="14">
        <v>0.1</v>
      </c>
      <c r="O362" s="1">
        <f ca="1">P362*J362*(1+Growth!G$6)^(2010-K362)</f>
        <v>30.898702220880612</v>
      </c>
      <c r="P362" s="2">
        <f t="shared" si="261"/>
        <v>21</v>
      </c>
      <c r="Q362" s="3">
        <v>21</v>
      </c>
      <c r="R362" s="21">
        <f t="shared" ca="1" si="246"/>
        <v>954.72979893465242</v>
      </c>
      <c r="X362" s="2">
        <f t="shared" si="251"/>
        <v>21</v>
      </c>
      <c r="AC362" s="1">
        <f t="shared" si="266"/>
        <v>5.6</v>
      </c>
      <c r="AD362" s="5">
        <v>1</v>
      </c>
      <c r="AE362" s="5">
        <v>0</v>
      </c>
      <c r="AF362" s="5">
        <v>1</v>
      </c>
      <c r="AG362" s="5">
        <v>0</v>
      </c>
      <c r="AH362" s="5">
        <v>1</v>
      </c>
      <c r="AI362" s="3">
        <f t="shared" si="238"/>
        <v>2.6</v>
      </c>
      <c r="AJ362" s="5">
        <f t="shared" si="257"/>
        <v>1</v>
      </c>
      <c r="AK362" s="5">
        <f t="shared" si="247"/>
        <v>0</v>
      </c>
      <c r="AL362" s="5">
        <f t="shared" si="248"/>
        <v>0</v>
      </c>
      <c r="AM362" s="5">
        <f t="shared" si="258"/>
        <v>0</v>
      </c>
      <c r="AN362" s="5">
        <f t="shared" si="249"/>
        <v>0</v>
      </c>
      <c r="AO362" s="5">
        <f t="shared" si="259"/>
        <v>0</v>
      </c>
      <c r="AP362" s="11" t="s">
        <v>42</v>
      </c>
      <c r="AQ362" s="1">
        <v>3</v>
      </c>
      <c r="AR362" s="5">
        <v>0</v>
      </c>
      <c r="AS362" s="5">
        <v>0</v>
      </c>
      <c r="AT362" s="5">
        <v>1</v>
      </c>
      <c r="AU362" s="5">
        <v>0</v>
      </c>
      <c r="AV362" s="5">
        <f t="shared" si="239"/>
        <v>0</v>
      </c>
      <c r="AW362" s="5">
        <f t="shared" si="240"/>
        <v>0</v>
      </c>
      <c r="AX362" s="5">
        <f t="shared" si="241"/>
        <v>1</v>
      </c>
      <c r="AY362" s="1">
        <f t="shared" si="262"/>
        <v>1</v>
      </c>
      <c r="AZ362" s="1">
        <f t="shared" si="263"/>
        <v>0</v>
      </c>
      <c r="BA362" s="1">
        <f t="shared" si="264"/>
        <v>0</v>
      </c>
      <c r="BB362" s="5">
        <v>1</v>
      </c>
      <c r="BC362" s="5">
        <v>0</v>
      </c>
      <c r="BD362" s="5">
        <v>0</v>
      </c>
      <c r="BE362" s="5">
        <f t="shared" si="267"/>
        <v>0</v>
      </c>
      <c r="BF362" s="5">
        <v>0</v>
      </c>
      <c r="BG362" s="5">
        <f t="shared" si="268"/>
        <v>0</v>
      </c>
      <c r="BH362" s="5">
        <f t="shared" si="268"/>
        <v>0</v>
      </c>
      <c r="BI362" s="5">
        <f t="shared" si="268"/>
        <v>0</v>
      </c>
      <c r="BJ362" s="5">
        <f t="shared" si="268"/>
        <v>0</v>
      </c>
      <c r="BK362" s="5">
        <f t="shared" si="268"/>
        <v>0</v>
      </c>
      <c r="BL362" s="5">
        <f t="shared" si="268"/>
        <v>0</v>
      </c>
      <c r="BM362" s="5">
        <f t="shared" si="268"/>
        <v>0</v>
      </c>
      <c r="BN362" s="5">
        <f t="shared" si="265"/>
        <v>0</v>
      </c>
      <c r="BO362" s="5">
        <f t="shared" si="265"/>
        <v>0</v>
      </c>
      <c r="BP362" s="5">
        <f t="shared" si="265"/>
        <v>0</v>
      </c>
      <c r="BQ362" s="5">
        <f t="shared" si="265"/>
        <v>0</v>
      </c>
      <c r="BR362" s="5">
        <f t="shared" si="265"/>
        <v>0</v>
      </c>
      <c r="BS362" s="5">
        <f t="shared" si="265"/>
        <v>0</v>
      </c>
      <c r="BT362" s="5">
        <f t="shared" si="265"/>
        <v>0</v>
      </c>
      <c r="BU362" s="5">
        <f t="shared" si="265"/>
        <v>0</v>
      </c>
      <c r="BV362" s="5">
        <f t="shared" si="265"/>
        <v>1</v>
      </c>
      <c r="BW362" s="5">
        <f t="shared" si="265"/>
        <v>0</v>
      </c>
      <c r="BX362" s="5">
        <f t="shared" si="265"/>
        <v>0</v>
      </c>
      <c r="BY362" s="5">
        <f t="shared" si="265"/>
        <v>0</v>
      </c>
      <c r="BZ362" s="5">
        <f t="shared" si="265"/>
        <v>0</v>
      </c>
      <c r="CA362" s="5">
        <f t="shared" si="265"/>
        <v>0</v>
      </c>
      <c r="CB362" s="5">
        <f t="shared" si="265"/>
        <v>0</v>
      </c>
      <c r="CC362" s="5">
        <f t="shared" si="269"/>
        <v>0</v>
      </c>
      <c r="CD362" s="5">
        <f t="shared" si="269"/>
        <v>0</v>
      </c>
      <c r="CE362" s="5">
        <f t="shared" si="269"/>
        <v>0</v>
      </c>
    </row>
    <row r="363" spans="1:83" x14ac:dyDescent="0.2">
      <c r="A363" s="1" t="s">
        <v>50</v>
      </c>
      <c r="B363" s="11" t="s">
        <v>105</v>
      </c>
      <c r="C363" s="1">
        <f>Growth!D368</f>
        <v>0</v>
      </c>
      <c r="D363" s="5">
        <f t="shared" si="244"/>
        <v>2006</v>
      </c>
      <c r="E363" s="5">
        <v>2006</v>
      </c>
      <c r="F363" s="5">
        <f ca="1">LOOKUP($E363,frequence!$A$2:$A$35,frequence!L$2:L$35)</f>
        <v>71.097990738484512</v>
      </c>
      <c r="G363" s="5">
        <f ca="1">LOOKUP($E363,frequence!$A$2:$A$35,frequence!K$2:K$35)</f>
        <v>5.2950026937283488</v>
      </c>
      <c r="H363" s="5">
        <f ca="1">LOOKUP($E363,frequence!$A$2:$A$35,frequence!M$2:M$35)</f>
        <v>500.74918436144497</v>
      </c>
      <c r="I363" s="5">
        <v>2000</v>
      </c>
      <c r="J363" s="7">
        <f>LOOKUP(I363,CPI!A$69:A$103,CPI!O$69:O$103)</f>
        <v>1.2662950058072011</v>
      </c>
      <c r="K363" s="5">
        <v>2000</v>
      </c>
      <c r="L363" s="7">
        <f t="shared" ca="1" si="245"/>
        <v>1</v>
      </c>
      <c r="M363" s="7">
        <f t="shared" si="253"/>
        <v>5.6</v>
      </c>
      <c r="N363" s="14">
        <v>1</v>
      </c>
      <c r="O363" s="1">
        <f ca="1">P363*J363*(1+Growth!G$6)^(2010-K363)</f>
        <v>27.955968676034839</v>
      </c>
      <c r="P363" s="2">
        <f t="shared" si="261"/>
        <v>19</v>
      </c>
      <c r="Q363" s="3">
        <v>19</v>
      </c>
      <c r="R363" s="21">
        <f t="shared" ca="1" si="246"/>
        <v>781.53618461544113</v>
      </c>
      <c r="U363" s="1">
        <v>4</v>
      </c>
      <c r="X363" s="2">
        <f t="shared" si="251"/>
        <v>19</v>
      </c>
      <c r="AA363" s="1">
        <v>51</v>
      </c>
      <c r="AC363" s="1">
        <f t="shared" ref="AC363:AC384" si="270">SUM(AD363:AI363)</f>
        <v>5.6</v>
      </c>
      <c r="AD363" s="5">
        <v>1</v>
      </c>
      <c r="AE363" s="5">
        <v>0</v>
      </c>
      <c r="AF363" s="5">
        <v>1</v>
      </c>
      <c r="AG363" s="5">
        <v>0</v>
      </c>
      <c r="AH363" s="5">
        <v>1</v>
      </c>
      <c r="AI363" s="3">
        <f t="shared" si="238"/>
        <v>2.6</v>
      </c>
      <c r="AJ363" s="5">
        <f t="shared" si="257"/>
        <v>1</v>
      </c>
      <c r="AK363" s="5">
        <f t="shared" si="247"/>
        <v>0</v>
      </c>
      <c r="AL363" s="5">
        <f t="shared" si="248"/>
        <v>0</v>
      </c>
      <c r="AM363" s="5">
        <f t="shared" si="258"/>
        <v>0</v>
      </c>
      <c r="AN363" s="5">
        <f t="shared" si="249"/>
        <v>0</v>
      </c>
      <c r="AO363" s="5">
        <f t="shared" si="259"/>
        <v>0</v>
      </c>
      <c r="AP363" s="11" t="s">
        <v>42</v>
      </c>
      <c r="AQ363" s="1">
        <v>3</v>
      </c>
      <c r="AR363" s="5">
        <v>0</v>
      </c>
      <c r="AS363" s="5">
        <v>0</v>
      </c>
      <c r="AT363" s="5">
        <v>1</v>
      </c>
      <c r="AU363" s="5">
        <v>0</v>
      </c>
      <c r="AV363" s="5">
        <f t="shared" si="239"/>
        <v>0</v>
      </c>
      <c r="AW363" s="5">
        <f t="shared" si="240"/>
        <v>0</v>
      </c>
      <c r="AX363" s="5">
        <f t="shared" si="241"/>
        <v>1</v>
      </c>
      <c r="AY363" s="1">
        <f t="shared" si="262"/>
        <v>1</v>
      </c>
      <c r="AZ363" s="1">
        <f t="shared" si="263"/>
        <v>0</v>
      </c>
      <c r="BA363" s="1">
        <f t="shared" si="264"/>
        <v>0</v>
      </c>
      <c r="BB363" s="5">
        <v>1</v>
      </c>
      <c r="BC363" s="5">
        <v>0</v>
      </c>
      <c r="BD363" s="5">
        <v>0</v>
      </c>
      <c r="BE363" s="5">
        <f t="shared" si="267"/>
        <v>0</v>
      </c>
      <c r="BF363" s="5">
        <v>0</v>
      </c>
      <c r="BG363" s="5">
        <f t="shared" si="268"/>
        <v>0</v>
      </c>
      <c r="BH363" s="5">
        <f t="shared" si="268"/>
        <v>0</v>
      </c>
      <c r="BI363" s="5">
        <f t="shared" si="268"/>
        <v>0</v>
      </c>
      <c r="BJ363" s="5">
        <f t="shared" si="268"/>
        <v>0</v>
      </c>
      <c r="BK363" s="5">
        <f t="shared" si="268"/>
        <v>0</v>
      </c>
      <c r="BL363" s="5">
        <f t="shared" si="268"/>
        <v>0</v>
      </c>
      <c r="BM363" s="5">
        <f t="shared" si="268"/>
        <v>0</v>
      </c>
      <c r="BN363" s="5">
        <f t="shared" si="265"/>
        <v>0</v>
      </c>
      <c r="BO363" s="5">
        <f t="shared" si="265"/>
        <v>0</v>
      </c>
      <c r="BP363" s="5">
        <f t="shared" si="265"/>
        <v>0</v>
      </c>
      <c r="BQ363" s="5">
        <f t="shared" si="265"/>
        <v>0</v>
      </c>
      <c r="BR363" s="5">
        <f t="shared" si="265"/>
        <v>0</v>
      </c>
      <c r="BS363" s="5">
        <f t="shared" si="265"/>
        <v>0</v>
      </c>
      <c r="BT363" s="5">
        <f t="shared" si="265"/>
        <v>0</v>
      </c>
      <c r="BU363" s="5">
        <f t="shared" si="265"/>
        <v>0</v>
      </c>
      <c r="BV363" s="5">
        <f t="shared" si="265"/>
        <v>1</v>
      </c>
      <c r="BW363" s="5">
        <f t="shared" si="265"/>
        <v>0</v>
      </c>
      <c r="BX363" s="5">
        <f t="shared" si="265"/>
        <v>0</v>
      </c>
      <c r="BY363" s="5">
        <f t="shared" si="265"/>
        <v>0</v>
      </c>
      <c r="BZ363" s="5">
        <f t="shared" si="265"/>
        <v>0</v>
      </c>
      <c r="CA363" s="5">
        <f t="shared" si="265"/>
        <v>0</v>
      </c>
      <c r="CB363" s="5">
        <f t="shared" si="265"/>
        <v>0</v>
      </c>
      <c r="CC363" s="5">
        <f t="shared" si="269"/>
        <v>0</v>
      </c>
      <c r="CD363" s="5">
        <f t="shared" si="269"/>
        <v>0</v>
      </c>
      <c r="CE363" s="5">
        <f t="shared" si="269"/>
        <v>0</v>
      </c>
    </row>
    <row r="364" spans="1:83" x14ac:dyDescent="0.2">
      <c r="A364" s="1" t="s">
        <v>50</v>
      </c>
      <c r="B364" s="11" t="s">
        <v>107</v>
      </c>
      <c r="C364" s="1">
        <f>Growth!D369</f>
        <v>0</v>
      </c>
      <c r="D364" s="5">
        <f t="shared" si="244"/>
        <v>2005</v>
      </c>
      <c r="E364" s="5">
        <v>2005</v>
      </c>
      <c r="F364" s="5">
        <f ca="1">LOOKUP($E364,frequence!$A$2:$A$35,frequence!L$2:L$35)</f>
        <v>72.06588395020114</v>
      </c>
      <c r="G364" s="5">
        <f ca="1">LOOKUP($E364,frequence!$A$2:$A$35,frequence!K$2:K$35)</f>
        <v>5.2330043573314997</v>
      </c>
      <c r="H364" s="5">
        <f ca="1">LOOKUP($E364,frequence!$A$2:$A$35,frequence!M$2:M$35)</f>
        <v>523.86420294178538</v>
      </c>
      <c r="I364" s="5">
        <v>2000</v>
      </c>
      <c r="J364" s="7">
        <f>LOOKUP(I364,CPI!A$69:A$103,CPI!O$69:O$103)</f>
        <v>1.2662950058072011</v>
      </c>
      <c r="K364" s="5">
        <v>2000</v>
      </c>
      <c r="L364" s="7">
        <f t="shared" ca="1" si="245"/>
        <v>1</v>
      </c>
      <c r="M364" s="7">
        <f t="shared" si="253"/>
        <v>0.75</v>
      </c>
      <c r="N364" s="14">
        <v>0.16666666666666666</v>
      </c>
      <c r="O364" s="1">
        <f ca="1">P364*J364*(1+Growth!G$6)^(2010-K364)</f>
        <v>63.268771214184113</v>
      </c>
      <c r="P364" s="2">
        <f t="shared" si="261"/>
        <v>43</v>
      </c>
      <c r="Q364" s="3">
        <v>43</v>
      </c>
      <c r="R364" s="21">
        <f t="shared" ca="1" si="246"/>
        <v>4002.9374109527721</v>
      </c>
      <c r="U364" s="1">
        <v>10</v>
      </c>
      <c r="X364" s="2">
        <f t="shared" si="251"/>
        <v>43</v>
      </c>
      <c r="AA364" s="1">
        <v>124</v>
      </c>
      <c r="AC364" s="1">
        <f t="shared" si="270"/>
        <v>4.5</v>
      </c>
      <c r="AD364" s="5">
        <v>0</v>
      </c>
      <c r="AE364" s="5">
        <v>0</v>
      </c>
      <c r="AF364" s="5">
        <v>1</v>
      </c>
      <c r="AG364" s="5">
        <v>0</v>
      </c>
      <c r="AH364" s="5">
        <v>1</v>
      </c>
      <c r="AI364" s="3">
        <f t="shared" si="238"/>
        <v>2.5</v>
      </c>
      <c r="AJ364" s="5">
        <f t="shared" si="257"/>
        <v>1</v>
      </c>
      <c r="AK364" s="5">
        <f t="shared" si="247"/>
        <v>0</v>
      </c>
      <c r="AL364" s="5">
        <f t="shared" si="248"/>
        <v>0</v>
      </c>
      <c r="AM364" s="5">
        <f t="shared" si="258"/>
        <v>0</v>
      </c>
      <c r="AN364" s="5">
        <f t="shared" si="249"/>
        <v>0</v>
      </c>
      <c r="AO364" s="5">
        <f t="shared" si="259"/>
        <v>0</v>
      </c>
      <c r="AP364" s="11" t="s">
        <v>42</v>
      </c>
      <c r="AQ364" s="1">
        <v>3</v>
      </c>
      <c r="AR364" s="5">
        <v>1</v>
      </c>
      <c r="AS364" s="5">
        <v>1</v>
      </c>
      <c r="AT364" s="5">
        <v>1</v>
      </c>
      <c r="AU364" s="5">
        <v>0</v>
      </c>
      <c r="AV364" s="5">
        <f t="shared" si="239"/>
        <v>0</v>
      </c>
      <c r="AW364" s="5">
        <f t="shared" si="240"/>
        <v>0</v>
      </c>
      <c r="AX364" s="5">
        <f t="shared" si="241"/>
        <v>1</v>
      </c>
      <c r="AY364" s="1">
        <f t="shared" si="262"/>
        <v>0</v>
      </c>
      <c r="AZ364" s="1">
        <f t="shared" si="263"/>
        <v>0</v>
      </c>
      <c r="BA364" s="1">
        <f t="shared" si="264"/>
        <v>0</v>
      </c>
      <c r="BB364" s="5">
        <v>1</v>
      </c>
      <c r="BC364" s="5">
        <v>0</v>
      </c>
      <c r="BD364" s="5">
        <v>0</v>
      </c>
      <c r="BE364" s="5">
        <f t="shared" si="267"/>
        <v>0</v>
      </c>
      <c r="BF364" s="5">
        <v>0</v>
      </c>
      <c r="BG364" s="5">
        <f t="shared" si="268"/>
        <v>0</v>
      </c>
      <c r="BH364" s="5">
        <f t="shared" si="268"/>
        <v>0</v>
      </c>
      <c r="BI364" s="5">
        <f t="shared" si="268"/>
        <v>0</v>
      </c>
      <c r="BJ364" s="5">
        <f t="shared" si="268"/>
        <v>0</v>
      </c>
      <c r="BK364" s="5">
        <f t="shared" si="268"/>
        <v>0</v>
      </c>
      <c r="BL364" s="5">
        <f t="shared" si="268"/>
        <v>0</v>
      </c>
      <c r="BM364" s="5">
        <f t="shared" si="268"/>
        <v>0</v>
      </c>
      <c r="BN364" s="5">
        <f t="shared" si="265"/>
        <v>0</v>
      </c>
      <c r="BO364" s="5">
        <f t="shared" si="265"/>
        <v>0</v>
      </c>
      <c r="BP364" s="5">
        <f t="shared" si="265"/>
        <v>0</v>
      </c>
      <c r="BQ364" s="5">
        <f t="shared" si="265"/>
        <v>0</v>
      </c>
      <c r="BR364" s="5">
        <f t="shared" si="265"/>
        <v>0</v>
      </c>
      <c r="BS364" s="5">
        <f t="shared" si="265"/>
        <v>0</v>
      </c>
      <c r="BT364" s="5">
        <f t="shared" si="265"/>
        <v>0</v>
      </c>
      <c r="BU364" s="5">
        <f t="shared" si="265"/>
        <v>1</v>
      </c>
      <c r="BV364" s="5">
        <f t="shared" si="265"/>
        <v>0</v>
      </c>
      <c r="BW364" s="5">
        <f t="shared" si="265"/>
        <v>0</v>
      </c>
      <c r="BX364" s="5">
        <f t="shared" si="265"/>
        <v>0</v>
      </c>
      <c r="BY364" s="5">
        <f t="shared" si="265"/>
        <v>0</v>
      </c>
      <c r="BZ364" s="5">
        <f t="shared" si="265"/>
        <v>0</v>
      </c>
      <c r="CA364" s="5">
        <f t="shared" si="265"/>
        <v>0</v>
      </c>
      <c r="CB364" s="5">
        <f t="shared" si="265"/>
        <v>0</v>
      </c>
      <c r="CC364" s="5">
        <f t="shared" si="269"/>
        <v>0</v>
      </c>
      <c r="CD364" s="5">
        <f t="shared" si="269"/>
        <v>0</v>
      </c>
      <c r="CE364" s="5">
        <f t="shared" si="269"/>
        <v>0</v>
      </c>
    </row>
    <row r="365" spans="1:83" x14ac:dyDescent="0.2">
      <c r="C365" s="1">
        <f>Growth!D370</f>
        <v>0</v>
      </c>
      <c r="D365" s="5" t="b">
        <f t="shared" si="244"/>
        <v>0</v>
      </c>
      <c r="E365" s="5">
        <v>2005</v>
      </c>
      <c r="F365" s="5">
        <f ca="1">LOOKUP($E365,frequence!$A$2:$A$35,frequence!L$2:L$35)</f>
        <v>72.06588395020114</v>
      </c>
      <c r="G365" s="5">
        <f ca="1">LOOKUP($E365,frequence!$A$2:$A$35,frequence!K$2:K$35)</f>
        <v>5.2330043573314997</v>
      </c>
      <c r="H365" s="5">
        <f ca="1">LOOKUP($E365,frequence!$A$2:$A$35,frequence!M$2:M$35)</f>
        <v>523.86420294178538</v>
      </c>
      <c r="I365" s="5">
        <v>2000</v>
      </c>
      <c r="J365" s="7">
        <f>LOOKUP(I365,CPI!A$69:A$103,CPI!O$69:O$103)</f>
        <v>1.2662950058072011</v>
      </c>
      <c r="K365" s="5">
        <v>2000</v>
      </c>
      <c r="L365" s="7">
        <f t="shared" ca="1" si="245"/>
        <v>1</v>
      </c>
      <c r="M365" s="7">
        <f t="shared" si="253"/>
        <v>0.75</v>
      </c>
      <c r="N365" s="14">
        <v>0.16666666666666666</v>
      </c>
      <c r="O365" s="1">
        <f ca="1">P365*J365*(1+Growth!G$6)^(2010-K365)</f>
        <v>51.497837034801016</v>
      </c>
      <c r="P365" s="2">
        <f t="shared" si="261"/>
        <v>35</v>
      </c>
      <c r="Q365" s="3">
        <v>35</v>
      </c>
      <c r="R365" s="21">
        <f t="shared" ca="1" si="246"/>
        <v>2652.0272192629232</v>
      </c>
      <c r="U365" s="1">
        <v>8</v>
      </c>
      <c r="X365" s="2">
        <f t="shared" si="251"/>
        <v>35</v>
      </c>
      <c r="AA365" s="1">
        <v>104</v>
      </c>
      <c r="AC365" s="1">
        <f t="shared" si="270"/>
        <v>4.5</v>
      </c>
      <c r="AD365" s="5">
        <v>0</v>
      </c>
      <c r="AE365" s="5">
        <v>0</v>
      </c>
      <c r="AF365" s="5">
        <v>1</v>
      </c>
      <c r="AG365" s="5">
        <v>0</v>
      </c>
      <c r="AH365" s="5">
        <v>1</v>
      </c>
      <c r="AI365" s="3">
        <f t="shared" si="238"/>
        <v>2.5</v>
      </c>
      <c r="AJ365" s="5">
        <f t="shared" si="257"/>
        <v>1</v>
      </c>
      <c r="AK365" s="5">
        <f t="shared" si="247"/>
        <v>0</v>
      </c>
      <c r="AL365" s="5">
        <f t="shared" si="248"/>
        <v>0</v>
      </c>
      <c r="AM365" s="5">
        <f t="shared" si="258"/>
        <v>0</v>
      </c>
      <c r="AN365" s="5">
        <f t="shared" si="249"/>
        <v>0</v>
      </c>
      <c r="AO365" s="5">
        <f t="shared" si="259"/>
        <v>0</v>
      </c>
      <c r="AP365" s="11" t="s">
        <v>42</v>
      </c>
      <c r="AQ365" s="1">
        <v>3</v>
      </c>
      <c r="AR365" s="5">
        <v>1</v>
      </c>
      <c r="AS365" s="5">
        <v>1</v>
      </c>
      <c r="AT365" s="5">
        <v>1</v>
      </c>
      <c r="AU365" s="5">
        <v>0</v>
      </c>
      <c r="AV365" s="5">
        <f t="shared" si="239"/>
        <v>0</v>
      </c>
      <c r="AW365" s="5">
        <f t="shared" si="240"/>
        <v>0</v>
      </c>
      <c r="AX365" s="5">
        <f t="shared" si="241"/>
        <v>1</v>
      </c>
      <c r="AY365" s="1">
        <f t="shared" si="262"/>
        <v>0</v>
      </c>
      <c r="AZ365" s="1">
        <f t="shared" si="263"/>
        <v>0</v>
      </c>
      <c r="BA365" s="1">
        <f t="shared" si="264"/>
        <v>0</v>
      </c>
      <c r="BB365" s="5">
        <v>1</v>
      </c>
      <c r="BC365" s="5">
        <v>0</v>
      </c>
      <c r="BD365" s="5">
        <v>0</v>
      </c>
      <c r="BE365" s="5">
        <f t="shared" si="267"/>
        <v>0</v>
      </c>
      <c r="BF365" s="5">
        <v>0</v>
      </c>
      <c r="BG365" s="5">
        <f t="shared" si="268"/>
        <v>0</v>
      </c>
      <c r="BH365" s="5">
        <f t="shared" si="268"/>
        <v>0</v>
      </c>
      <c r="BI365" s="5">
        <f t="shared" si="268"/>
        <v>0</v>
      </c>
      <c r="BJ365" s="5">
        <f t="shared" si="268"/>
        <v>0</v>
      </c>
      <c r="BK365" s="5">
        <f t="shared" si="268"/>
        <v>0</v>
      </c>
      <c r="BL365" s="5">
        <f t="shared" si="268"/>
        <v>0</v>
      </c>
      <c r="BM365" s="5">
        <f t="shared" si="268"/>
        <v>0</v>
      </c>
      <c r="BN365" s="5">
        <f t="shared" si="265"/>
        <v>0</v>
      </c>
      <c r="BO365" s="5">
        <f t="shared" si="265"/>
        <v>0</v>
      </c>
      <c r="BP365" s="5">
        <f t="shared" si="265"/>
        <v>0</v>
      </c>
      <c r="BQ365" s="5">
        <f t="shared" si="265"/>
        <v>0</v>
      </c>
      <c r="BR365" s="5">
        <f t="shared" si="265"/>
        <v>0</v>
      </c>
      <c r="BS365" s="5">
        <f t="shared" si="265"/>
        <v>0</v>
      </c>
      <c r="BT365" s="5">
        <f t="shared" si="265"/>
        <v>0</v>
      </c>
      <c r="BU365" s="5">
        <f t="shared" si="265"/>
        <v>1</v>
      </c>
      <c r="BV365" s="5">
        <f t="shared" si="265"/>
        <v>0</v>
      </c>
      <c r="BW365" s="5">
        <f t="shared" si="265"/>
        <v>0</v>
      </c>
      <c r="BX365" s="5">
        <f t="shared" si="265"/>
        <v>0</v>
      </c>
      <c r="BY365" s="5">
        <f t="shared" si="265"/>
        <v>0</v>
      </c>
      <c r="BZ365" s="5">
        <f t="shared" si="265"/>
        <v>0</v>
      </c>
      <c r="CA365" s="5">
        <f t="shared" si="265"/>
        <v>0</v>
      </c>
      <c r="CB365" s="5">
        <f t="shared" si="265"/>
        <v>0</v>
      </c>
      <c r="CC365" s="5">
        <f t="shared" si="269"/>
        <v>0</v>
      </c>
      <c r="CD365" s="5">
        <f t="shared" si="269"/>
        <v>0</v>
      </c>
      <c r="CE365" s="5">
        <f t="shared" si="269"/>
        <v>0</v>
      </c>
    </row>
    <row r="366" spans="1:83" x14ac:dyDescent="0.2">
      <c r="C366" s="1">
        <f>Growth!D371</f>
        <v>0</v>
      </c>
      <c r="D366" s="5" t="b">
        <f t="shared" si="244"/>
        <v>0</v>
      </c>
      <c r="E366" s="5">
        <v>2005</v>
      </c>
      <c r="F366" s="5">
        <f ca="1">LOOKUP($E366,frequence!$A$2:$A$35,frequence!L$2:L$35)</f>
        <v>72.06588395020114</v>
      </c>
      <c r="G366" s="5">
        <f ca="1">LOOKUP($E366,frequence!$A$2:$A$35,frequence!K$2:K$35)</f>
        <v>5.2330043573314997</v>
      </c>
      <c r="H366" s="5">
        <f ca="1">LOOKUP($E366,frequence!$A$2:$A$35,frequence!M$2:M$35)</f>
        <v>523.86420294178538</v>
      </c>
      <c r="I366" s="5">
        <v>2000</v>
      </c>
      <c r="J366" s="7">
        <f>LOOKUP(I366,CPI!A$69:A$103,CPI!O$69:O$103)</f>
        <v>1.2662950058072011</v>
      </c>
      <c r="K366" s="5">
        <v>2000</v>
      </c>
      <c r="L366" s="7">
        <f t="shared" ca="1" si="245"/>
        <v>1</v>
      </c>
      <c r="M366" s="7">
        <f t="shared" si="253"/>
        <v>0.75</v>
      </c>
      <c r="N366" s="14">
        <v>0.16666666666666666</v>
      </c>
      <c r="O366" s="1">
        <f ca="1">P366*J366*(1+Growth!G$6)^(2010-K366)</f>
        <v>45.612369945109471</v>
      </c>
      <c r="P366" s="2">
        <f t="shared" si="261"/>
        <v>31</v>
      </c>
      <c r="Q366" s="3">
        <v>31</v>
      </c>
      <c r="R366" s="21">
        <f t="shared" ca="1" si="246"/>
        <v>2080.4882920095256</v>
      </c>
      <c r="U366" s="1">
        <v>8</v>
      </c>
      <c r="X366" s="2">
        <f t="shared" si="251"/>
        <v>31</v>
      </c>
      <c r="AA366" s="1">
        <v>92</v>
      </c>
      <c r="AC366" s="1">
        <f t="shared" si="270"/>
        <v>4.5</v>
      </c>
      <c r="AD366" s="5">
        <v>0</v>
      </c>
      <c r="AE366" s="5">
        <v>0</v>
      </c>
      <c r="AF366" s="5">
        <v>1</v>
      </c>
      <c r="AG366" s="5">
        <v>0</v>
      </c>
      <c r="AH366" s="5">
        <v>1</v>
      </c>
      <c r="AI366" s="3">
        <f t="shared" si="238"/>
        <v>2.5</v>
      </c>
      <c r="AJ366" s="5">
        <f t="shared" si="257"/>
        <v>1</v>
      </c>
      <c r="AK366" s="5">
        <f t="shared" si="247"/>
        <v>0</v>
      </c>
      <c r="AL366" s="5">
        <f t="shared" si="248"/>
        <v>0</v>
      </c>
      <c r="AM366" s="5">
        <f t="shared" si="258"/>
        <v>0</v>
      </c>
      <c r="AN366" s="5">
        <f t="shared" si="249"/>
        <v>0</v>
      </c>
      <c r="AO366" s="5">
        <f t="shared" si="259"/>
        <v>0</v>
      </c>
      <c r="AP366" s="11" t="s">
        <v>42</v>
      </c>
      <c r="AQ366" s="1">
        <v>3</v>
      </c>
      <c r="AR366" s="5">
        <v>0</v>
      </c>
      <c r="AS366" s="5">
        <v>1</v>
      </c>
      <c r="AT366" s="5">
        <v>1</v>
      </c>
      <c r="AU366" s="5">
        <v>0</v>
      </c>
      <c r="AV366" s="5">
        <f t="shared" si="239"/>
        <v>0</v>
      </c>
      <c r="AW366" s="5">
        <f t="shared" si="240"/>
        <v>0</v>
      </c>
      <c r="AX366" s="5">
        <f t="shared" si="241"/>
        <v>1</v>
      </c>
      <c r="AY366" s="1">
        <f t="shared" si="262"/>
        <v>0</v>
      </c>
      <c r="AZ366" s="1">
        <f t="shared" si="263"/>
        <v>0</v>
      </c>
      <c r="BA366" s="1">
        <f t="shared" si="264"/>
        <v>0</v>
      </c>
      <c r="BB366" s="5">
        <v>1</v>
      </c>
      <c r="BC366" s="5">
        <v>0</v>
      </c>
      <c r="BD366" s="5">
        <v>0</v>
      </c>
      <c r="BE366" s="5">
        <f t="shared" si="267"/>
        <v>0</v>
      </c>
      <c r="BF366" s="5">
        <v>0</v>
      </c>
      <c r="BG366" s="5">
        <f t="shared" si="268"/>
        <v>0</v>
      </c>
      <c r="BH366" s="5">
        <f t="shared" si="268"/>
        <v>0</v>
      </c>
      <c r="BI366" s="5">
        <f t="shared" si="268"/>
        <v>0</v>
      </c>
      <c r="BJ366" s="5">
        <f t="shared" si="268"/>
        <v>0</v>
      </c>
      <c r="BK366" s="5">
        <f t="shared" si="268"/>
        <v>0</v>
      </c>
      <c r="BL366" s="5">
        <f t="shared" si="268"/>
        <v>0</v>
      </c>
      <c r="BM366" s="5">
        <f t="shared" si="268"/>
        <v>0</v>
      </c>
      <c r="BN366" s="5">
        <f t="shared" si="265"/>
        <v>0</v>
      </c>
      <c r="BO366" s="5">
        <f t="shared" si="265"/>
        <v>0</v>
      </c>
      <c r="BP366" s="5">
        <f t="shared" si="265"/>
        <v>0</v>
      </c>
      <c r="BQ366" s="5">
        <f t="shared" si="265"/>
        <v>0</v>
      </c>
      <c r="BR366" s="5">
        <f t="shared" si="265"/>
        <v>0</v>
      </c>
      <c r="BS366" s="5">
        <f t="shared" si="265"/>
        <v>0</v>
      </c>
      <c r="BT366" s="5">
        <f t="shared" si="265"/>
        <v>0</v>
      </c>
      <c r="BU366" s="5">
        <f t="shared" si="265"/>
        <v>1</v>
      </c>
      <c r="BV366" s="5">
        <f t="shared" si="265"/>
        <v>0</v>
      </c>
      <c r="BW366" s="5">
        <f t="shared" si="265"/>
        <v>0</v>
      </c>
      <c r="BX366" s="5">
        <f t="shared" si="265"/>
        <v>0</v>
      </c>
      <c r="BY366" s="5">
        <f t="shared" si="265"/>
        <v>0</v>
      </c>
      <c r="BZ366" s="5">
        <f t="shared" si="265"/>
        <v>0</v>
      </c>
      <c r="CA366" s="5">
        <f t="shared" si="265"/>
        <v>0</v>
      </c>
      <c r="CB366" s="5">
        <f t="shared" si="265"/>
        <v>0</v>
      </c>
      <c r="CC366" s="5">
        <f t="shared" si="269"/>
        <v>0</v>
      </c>
      <c r="CD366" s="5">
        <f t="shared" si="269"/>
        <v>0</v>
      </c>
      <c r="CE366" s="5">
        <f t="shared" si="269"/>
        <v>0</v>
      </c>
    </row>
    <row r="367" spans="1:83" x14ac:dyDescent="0.2">
      <c r="C367" s="1">
        <f>Growth!D372</f>
        <v>0</v>
      </c>
      <c r="D367" s="5" t="b">
        <f t="shared" si="244"/>
        <v>0</v>
      </c>
      <c r="E367" s="5">
        <v>2005</v>
      </c>
      <c r="F367" s="5">
        <f ca="1">LOOKUP($E367,frequence!$A$2:$A$35,frequence!L$2:L$35)</f>
        <v>72.06588395020114</v>
      </c>
      <c r="G367" s="5">
        <f ca="1">LOOKUP($E367,frequence!$A$2:$A$35,frequence!K$2:K$35)</f>
        <v>5.2330043573314997</v>
      </c>
      <c r="H367" s="5">
        <f ca="1">LOOKUP($E367,frequence!$A$2:$A$35,frequence!M$2:M$35)</f>
        <v>523.86420294178538</v>
      </c>
      <c r="I367" s="5">
        <v>2000</v>
      </c>
      <c r="J367" s="7">
        <f>LOOKUP(I367,CPI!A$69:A$103,CPI!O$69:O$103)</f>
        <v>1.2662950058072011</v>
      </c>
      <c r="K367" s="5">
        <v>2000</v>
      </c>
      <c r="L367" s="7">
        <f t="shared" ca="1" si="245"/>
        <v>1</v>
      </c>
      <c r="M367" s="7">
        <f t="shared" si="253"/>
        <v>0.75</v>
      </c>
      <c r="N367" s="14">
        <v>0.16666666666666666</v>
      </c>
      <c r="O367" s="1">
        <f ca="1">P367*J367*(1+Growth!G$6)^(2010-K367)</f>
        <v>67.682871531452776</v>
      </c>
      <c r="P367" s="2">
        <f t="shared" si="261"/>
        <v>46</v>
      </c>
      <c r="Q367" s="3">
        <v>46</v>
      </c>
      <c r="R367" s="21">
        <f t="shared" ca="1" si="246"/>
        <v>4580.9710987431408</v>
      </c>
      <c r="U367" s="1">
        <v>10</v>
      </c>
      <c r="X367" s="2">
        <f t="shared" si="251"/>
        <v>46</v>
      </c>
      <c r="AA367" s="1">
        <v>118</v>
      </c>
      <c r="AC367" s="1">
        <f t="shared" si="270"/>
        <v>4.5</v>
      </c>
      <c r="AD367" s="5">
        <v>0</v>
      </c>
      <c r="AE367" s="5">
        <v>0</v>
      </c>
      <c r="AF367" s="5">
        <v>1</v>
      </c>
      <c r="AG367" s="5">
        <v>0</v>
      </c>
      <c r="AH367" s="5">
        <v>1</v>
      </c>
      <c r="AI367" s="3">
        <f t="shared" si="238"/>
        <v>2.5</v>
      </c>
      <c r="AJ367" s="5">
        <f t="shared" si="257"/>
        <v>1</v>
      </c>
      <c r="AK367" s="5">
        <f t="shared" si="247"/>
        <v>0</v>
      </c>
      <c r="AL367" s="5">
        <f t="shared" si="248"/>
        <v>0</v>
      </c>
      <c r="AM367" s="5">
        <f t="shared" si="258"/>
        <v>0</v>
      </c>
      <c r="AN367" s="5">
        <f t="shared" si="249"/>
        <v>0</v>
      </c>
      <c r="AO367" s="5">
        <f t="shared" si="259"/>
        <v>0</v>
      </c>
      <c r="AP367" s="11" t="s">
        <v>42</v>
      </c>
      <c r="AQ367" s="1">
        <v>3</v>
      </c>
      <c r="AR367" s="5">
        <v>1</v>
      </c>
      <c r="AS367" s="5">
        <v>1</v>
      </c>
      <c r="AT367" s="5">
        <v>1</v>
      </c>
      <c r="AU367" s="5">
        <v>0</v>
      </c>
      <c r="AV367" s="5">
        <f t="shared" si="239"/>
        <v>0</v>
      </c>
      <c r="AW367" s="5">
        <f t="shared" si="240"/>
        <v>0</v>
      </c>
      <c r="AX367" s="5">
        <f t="shared" si="241"/>
        <v>1</v>
      </c>
      <c r="AY367" s="1">
        <f t="shared" si="262"/>
        <v>0</v>
      </c>
      <c r="AZ367" s="1">
        <f t="shared" si="263"/>
        <v>0</v>
      </c>
      <c r="BA367" s="1">
        <f t="shared" si="264"/>
        <v>0</v>
      </c>
      <c r="BB367" s="5">
        <v>1</v>
      </c>
      <c r="BC367" s="5">
        <v>0</v>
      </c>
      <c r="BD367" s="5">
        <v>0</v>
      </c>
      <c r="BE367" s="5">
        <f t="shared" si="267"/>
        <v>0</v>
      </c>
      <c r="BF367" s="5">
        <v>0</v>
      </c>
      <c r="BG367" s="5">
        <f t="shared" si="268"/>
        <v>0</v>
      </c>
      <c r="BH367" s="5">
        <f t="shared" si="268"/>
        <v>0</v>
      </c>
      <c r="BI367" s="5">
        <f t="shared" si="268"/>
        <v>0</v>
      </c>
      <c r="BJ367" s="5">
        <f t="shared" si="268"/>
        <v>0</v>
      </c>
      <c r="BK367" s="5">
        <f t="shared" si="268"/>
        <v>0</v>
      </c>
      <c r="BL367" s="5">
        <f t="shared" si="268"/>
        <v>0</v>
      </c>
      <c r="BM367" s="5">
        <f t="shared" si="268"/>
        <v>0</v>
      </c>
      <c r="BN367" s="5">
        <f t="shared" si="265"/>
        <v>0</v>
      </c>
      <c r="BO367" s="5">
        <f t="shared" si="265"/>
        <v>0</v>
      </c>
      <c r="BP367" s="5">
        <f t="shared" si="265"/>
        <v>0</v>
      </c>
      <c r="BQ367" s="5">
        <f t="shared" si="265"/>
        <v>0</v>
      </c>
      <c r="BR367" s="5">
        <f t="shared" si="265"/>
        <v>0</v>
      </c>
      <c r="BS367" s="5">
        <f t="shared" si="265"/>
        <v>0</v>
      </c>
      <c r="BT367" s="5">
        <f t="shared" si="265"/>
        <v>0</v>
      </c>
      <c r="BU367" s="5">
        <f t="shared" si="265"/>
        <v>1</v>
      </c>
      <c r="BV367" s="5">
        <f t="shared" si="265"/>
        <v>0</v>
      </c>
      <c r="BW367" s="5">
        <f t="shared" si="265"/>
        <v>0</v>
      </c>
      <c r="BX367" s="5">
        <f t="shared" si="265"/>
        <v>0</v>
      </c>
      <c r="BY367" s="5">
        <f t="shared" si="265"/>
        <v>0</v>
      </c>
      <c r="BZ367" s="5">
        <f t="shared" si="265"/>
        <v>0</v>
      </c>
      <c r="CA367" s="5">
        <f t="shared" si="265"/>
        <v>0</v>
      </c>
      <c r="CB367" s="5">
        <f t="shared" si="265"/>
        <v>0</v>
      </c>
      <c r="CC367" s="5">
        <f t="shared" si="269"/>
        <v>0</v>
      </c>
      <c r="CD367" s="5">
        <f t="shared" si="269"/>
        <v>0</v>
      </c>
      <c r="CE367" s="5">
        <f t="shared" si="269"/>
        <v>0</v>
      </c>
    </row>
    <row r="368" spans="1:83" x14ac:dyDescent="0.2">
      <c r="C368" s="1">
        <f>Growth!D373</f>
        <v>0</v>
      </c>
      <c r="D368" s="5" t="b">
        <f t="shared" si="244"/>
        <v>0</v>
      </c>
      <c r="E368" s="5">
        <v>2005</v>
      </c>
      <c r="F368" s="5">
        <f ca="1">LOOKUP($E368,frequence!$A$2:$A$35,frequence!L$2:L$35)</f>
        <v>72.06588395020114</v>
      </c>
      <c r="G368" s="5">
        <f ca="1">LOOKUP($E368,frequence!$A$2:$A$35,frequence!K$2:K$35)</f>
        <v>5.2330043573314997</v>
      </c>
      <c r="H368" s="5">
        <f ca="1">LOOKUP($E368,frequence!$A$2:$A$35,frequence!M$2:M$35)</f>
        <v>523.86420294178538</v>
      </c>
      <c r="I368" s="5">
        <v>2000</v>
      </c>
      <c r="J368" s="7">
        <f>LOOKUP(I368,CPI!A$69:A$103,CPI!O$69:O$103)</f>
        <v>1.2662950058072011</v>
      </c>
      <c r="K368" s="5">
        <v>2000</v>
      </c>
      <c r="L368" s="7">
        <f t="shared" ca="1" si="245"/>
        <v>1</v>
      </c>
      <c r="M368" s="7">
        <f t="shared" si="253"/>
        <v>0.75</v>
      </c>
      <c r="N368" s="14">
        <v>0.16666666666666666</v>
      </c>
      <c r="O368" s="1">
        <f ca="1">P368*J368*(1+Growth!G$6)^(2010-K368)</f>
        <v>54.440570579646788</v>
      </c>
      <c r="P368" s="2">
        <f t="shared" si="261"/>
        <v>37</v>
      </c>
      <c r="Q368" s="3">
        <v>37</v>
      </c>
      <c r="R368" s="21">
        <f t="shared" ca="1" si="246"/>
        <v>2963.7757250375034</v>
      </c>
      <c r="U368" s="1">
        <v>9</v>
      </c>
      <c r="X368" s="2">
        <f t="shared" si="251"/>
        <v>37</v>
      </c>
      <c r="AA368" s="1">
        <v>104</v>
      </c>
      <c r="AC368" s="1">
        <f t="shared" si="270"/>
        <v>4.5</v>
      </c>
      <c r="AD368" s="5">
        <v>0</v>
      </c>
      <c r="AE368" s="5">
        <v>0</v>
      </c>
      <c r="AF368" s="5">
        <v>1</v>
      </c>
      <c r="AG368" s="5">
        <v>0</v>
      </c>
      <c r="AH368" s="5">
        <v>1</v>
      </c>
      <c r="AI368" s="3">
        <f t="shared" si="238"/>
        <v>2.5</v>
      </c>
      <c r="AJ368" s="5">
        <f t="shared" si="257"/>
        <v>1</v>
      </c>
      <c r="AK368" s="5">
        <f t="shared" si="247"/>
        <v>0</v>
      </c>
      <c r="AL368" s="5">
        <f t="shared" si="248"/>
        <v>0</v>
      </c>
      <c r="AM368" s="5">
        <f t="shared" si="258"/>
        <v>0</v>
      </c>
      <c r="AN368" s="5">
        <f t="shared" si="249"/>
        <v>0</v>
      </c>
      <c r="AO368" s="5">
        <f t="shared" si="259"/>
        <v>0</v>
      </c>
      <c r="AP368" s="11" t="s">
        <v>42</v>
      </c>
      <c r="AQ368" s="1">
        <v>3</v>
      </c>
      <c r="AR368" s="5">
        <v>1</v>
      </c>
      <c r="AS368" s="5">
        <v>1</v>
      </c>
      <c r="AT368" s="5">
        <v>1</v>
      </c>
      <c r="AU368" s="5">
        <v>0</v>
      </c>
      <c r="AV368" s="5">
        <f t="shared" si="239"/>
        <v>0</v>
      </c>
      <c r="AW368" s="5">
        <f t="shared" si="240"/>
        <v>0</v>
      </c>
      <c r="AX368" s="5">
        <f t="shared" si="241"/>
        <v>1</v>
      </c>
      <c r="AY368" s="1">
        <f t="shared" si="262"/>
        <v>0</v>
      </c>
      <c r="AZ368" s="1">
        <f t="shared" si="263"/>
        <v>0</v>
      </c>
      <c r="BA368" s="1">
        <f t="shared" si="264"/>
        <v>0</v>
      </c>
      <c r="BB368" s="5">
        <v>1</v>
      </c>
      <c r="BC368" s="5">
        <v>0</v>
      </c>
      <c r="BD368" s="5">
        <v>0</v>
      </c>
      <c r="BE368" s="5">
        <f t="shared" si="267"/>
        <v>0</v>
      </c>
      <c r="BF368" s="5">
        <v>0</v>
      </c>
      <c r="BG368" s="5">
        <f t="shared" si="268"/>
        <v>0</v>
      </c>
      <c r="BH368" s="5">
        <f t="shared" si="268"/>
        <v>0</v>
      </c>
      <c r="BI368" s="5">
        <f t="shared" si="268"/>
        <v>0</v>
      </c>
      <c r="BJ368" s="5">
        <f t="shared" si="268"/>
        <v>0</v>
      </c>
      <c r="BK368" s="5">
        <f t="shared" si="268"/>
        <v>0</v>
      </c>
      <c r="BL368" s="5">
        <f t="shared" si="268"/>
        <v>0</v>
      </c>
      <c r="BM368" s="5">
        <f t="shared" si="268"/>
        <v>0</v>
      </c>
      <c r="BN368" s="5">
        <f t="shared" si="265"/>
        <v>0</v>
      </c>
      <c r="BO368" s="5">
        <f t="shared" si="265"/>
        <v>0</v>
      </c>
      <c r="BP368" s="5">
        <f t="shared" si="265"/>
        <v>0</v>
      </c>
      <c r="BQ368" s="5">
        <f t="shared" si="265"/>
        <v>0</v>
      </c>
      <c r="BR368" s="5">
        <f t="shared" si="265"/>
        <v>0</v>
      </c>
      <c r="BS368" s="5">
        <f t="shared" si="265"/>
        <v>0</v>
      </c>
      <c r="BT368" s="5">
        <f t="shared" si="265"/>
        <v>0</v>
      </c>
      <c r="BU368" s="5">
        <f t="shared" si="265"/>
        <v>1</v>
      </c>
      <c r="BV368" s="5">
        <f t="shared" si="265"/>
        <v>0</v>
      </c>
      <c r="BW368" s="5">
        <f t="shared" si="265"/>
        <v>0</v>
      </c>
      <c r="BX368" s="5">
        <f t="shared" si="265"/>
        <v>0</v>
      </c>
      <c r="BY368" s="5">
        <f t="shared" si="265"/>
        <v>0</v>
      </c>
      <c r="BZ368" s="5">
        <f t="shared" si="265"/>
        <v>0</v>
      </c>
      <c r="CA368" s="5">
        <f t="shared" si="265"/>
        <v>0</v>
      </c>
      <c r="CB368" s="5">
        <f t="shared" si="265"/>
        <v>0</v>
      </c>
      <c r="CC368" s="5">
        <f t="shared" si="269"/>
        <v>0</v>
      </c>
      <c r="CD368" s="5">
        <f t="shared" si="269"/>
        <v>0</v>
      </c>
      <c r="CE368" s="5">
        <f t="shared" si="269"/>
        <v>0</v>
      </c>
    </row>
    <row r="369" spans="1:83" x14ac:dyDescent="0.2">
      <c r="C369" s="1">
        <f>Growth!D374</f>
        <v>0</v>
      </c>
      <c r="D369" s="5" t="b">
        <f t="shared" si="244"/>
        <v>0</v>
      </c>
      <c r="E369" s="5">
        <v>2005</v>
      </c>
      <c r="F369" s="5">
        <f ca="1">LOOKUP($E369,frequence!$A$2:$A$35,frequence!L$2:L$35)</f>
        <v>72.06588395020114</v>
      </c>
      <c r="G369" s="5">
        <f ca="1">LOOKUP($E369,frequence!$A$2:$A$35,frequence!K$2:K$35)</f>
        <v>5.2330043573314997</v>
      </c>
      <c r="H369" s="5">
        <f ca="1">LOOKUP($E369,frequence!$A$2:$A$35,frequence!M$2:M$35)</f>
        <v>523.86420294178538</v>
      </c>
      <c r="I369" s="5">
        <v>2000</v>
      </c>
      <c r="J369" s="7">
        <f>LOOKUP(I369,CPI!A$69:A$103,CPI!O$69:O$103)</f>
        <v>1.2662950058072011</v>
      </c>
      <c r="K369" s="5">
        <v>2000</v>
      </c>
      <c r="L369" s="7">
        <f t="shared" ca="1" si="245"/>
        <v>1</v>
      </c>
      <c r="M369" s="7">
        <f t="shared" si="253"/>
        <v>0.75</v>
      </c>
      <c r="N369" s="14">
        <v>0.16666666666666666</v>
      </c>
      <c r="O369" s="1">
        <f ca="1">P369*J369*(1+Growth!G$6)^(2010-K369)</f>
        <v>47.083736717532361</v>
      </c>
      <c r="P369" s="2">
        <f t="shared" si="261"/>
        <v>32</v>
      </c>
      <c r="Q369" s="3">
        <v>32</v>
      </c>
      <c r="R369" s="21">
        <f t="shared" ca="1" si="246"/>
        <v>2216.8782632859052</v>
      </c>
      <c r="U369" s="1">
        <v>8</v>
      </c>
      <c r="X369" s="2">
        <f t="shared" si="251"/>
        <v>32</v>
      </c>
      <c r="AA369" s="1">
        <v>90</v>
      </c>
      <c r="AC369" s="1">
        <f t="shared" si="270"/>
        <v>4.5</v>
      </c>
      <c r="AD369" s="5">
        <v>0</v>
      </c>
      <c r="AE369" s="5">
        <v>0</v>
      </c>
      <c r="AF369" s="5">
        <v>1</v>
      </c>
      <c r="AG369" s="5">
        <v>0</v>
      </c>
      <c r="AH369" s="5">
        <v>1</v>
      </c>
      <c r="AI369" s="3">
        <f t="shared" si="238"/>
        <v>2.5</v>
      </c>
      <c r="AJ369" s="5">
        <f t="shared" si="257"/>
        <v>1</v>
      </c>
      <c r="AK369" s="5">
        <f t="shared" si="247"/>
        <v>0</v>
      </c>
      <c r="AL369" s="5">
        <f t="shared" si="248"/>
        <v>0</v>
      </c>
      <c r="AM369" s="5">
        <f t="shared" si="258"/>
        <v>0</v>
      </c>
      <c r="AN369" s="5">
        <f t="shared" si="249"/>
        <v>0</v>
      </c>
      <c r="AO369" s="5">
        <f t="shared" si="259"/>
        <v>0</v>
      </c>
      <c r="AP369" s="11" t="s">
        <v>42</v>
      </c>
      <c r="AQ369" s="1">
        <v>3</v>
      </c>
      <c r="AR369" s="5">
        <v>0</v>
      </c>
      <c r="AS369" s="5">
        <v>1</v>
      </c>
      <c r="AT369" s="5">
        <v>1</v>
      </c>
      <c r="AU369" s="5">
        <v>0</v>
      </c>
      <c r="AV369" s="5">
        <f t="shared" si="239"/>
        <v>0</v>
      </c>
      <c r="AW369" s="5">
        <f t="shared" si="240"/>
        <v>0</v>
      </c>
      <c r="AX369" s="5">
        <f t="shared" si="241"/>
        <v>1</v>
      </c>
      <c r="AY369" s="1">
        <f t="shared" si="262"/>
        <v>0</v>
      </c>
      <c r="AZ369" s="1">
        <f t="shared" si="263"/>
        <v>0</v>
      </c>
      <c r="BA369" s="1">
        <f t="shared" si="264"/>
        <v>0</v>
      </c>
      <c r="BB369" s="5">
        <v>1</v>
      </c>
      <c r="BC369" s="5">
        <v>0</v>
      </c>
      <c r="BD369" s="5">
        <v>0</v>
      </c>
      <c r="BE369" s="5">
        <f t="shared" si="267"/>
        <v>0</v>
      </c>
      <c r="BF369" s="5">
        <v>0</v>
      </c>
      <c r="BG369" s="5">
        <f t="shared" si="268"/>
        <v>0</v>
      </c>
      <c r="BH369" s="5">
        <f t="shared" si="268"/>
        <v>0</v>
      </c>
      <c r="BI369" s="5">
        <f t="shared" si="268"/>
        <v>0</v>
      </c>
      <c r="BJ369" s="5">
        <f t="shared" si="268"/>
        <v>0</v>
      </c>
      <c r="BK369" s="5">
        <f t="shared" si="268"/>
        <v>0</v>
      </c>
      <c r="BL369" s="5">
        <f t="shared" si="268"/>
        <v>0</v>
      </c>
      <c r="BM369" s="5">
        <f t="shared" si="268"/>
        <v>0</v>
      </c>
      <c r="BN369" s="5">
        <f t="shared" si="265"/>
        <v>0</v>
      </c>
      <c r="BO369" s="5">
        <f t="shared" si="265"/>
        <v>0</v>
      </c>
      <c r="BP369" s="5">
        <f t="shared" si="265"/>
        <v>0</v>
      </c>
      <c r="BQ369" s="5">
        <f t="shared" si="265"/>
        <v>0</v>
      </c>
      <c r="BR369" s="5">
        <f t="shared" si="265"/>
        <v>0</v>
      </c>
      <c r="BS369" s="5">
        <f t="shared" si="265"/>
        <v>0</v>
      </c>
      <c r="BT369" s="5">
        <f t="shared" si="265"/>
        <v>0</v>
      </c>
      <c r="BU369" s="5">
        <f t="shared" si="265"/>
        <v>1</v>
      </c>
      <c r="BV369" s="5">
        <f t="shared" si="265"/>
        <v>0</v>
      </c>
      <c r="BW369" s="5">
        <f t="shared" si="265"/>
        <v>0</v>
      </c>
      <c r="BX369" s="5">
        <f t="shared" si="265"/>
        <v>0</v>
      </c>
      <c r="BY369" s="5">
        <f t="shared" si="265"/>
        <v>0</v>
      </c>
      <c r="BZ369" s="5">
        <f t="shared" si="265"/>
        <v>0</v>
      </c>
      <c r="CA369" s="5">
        <f t="shared" si="265"/>
        <v>0</v>
      </c>
      <c r="CB369" s="5">
        <f t="shared" si="265"/>
        <v>0</v>
      </c>
      <c r="CC369" s="5">
        <f t="shared" si="269"/>
        <v>0</v>
      </c>
      <c r="CD369" s="5">
        <f t="shared" si="269"/>
        <v>0</v>
      </c>
      <c r="CE369" s="5">
        <f t="shared" si="269"/>
        <v>0</v>
      </c>
    </row>
    <row r="370" spans="1:83" x14ac:dyDescent="0.2">
      <c r="A370" s="1" t="s">
        <v>50</v>
      </c>
      <c r="B370" s="11" t="s">
        <v>104</v>
      </c>
      <c r="C370" s="1">
        <f>Growth!D375</f>
        <v>0</v>
      </c>
      <c r="D370" s="5">
        <f t="shared" si="244"/>
        <v>2006</v>
      </c>
      <c r="E370" s="5">
        <v>2006</v>
      </c>
      <c r="F370" s="5">
        <f ca="1">LOOKUP($E370,frequence!$A$2:$A$35,frequence!L$2:L$35)</f>
        <v>71.097990738484512</v>
      </c>
      <c r="G370" s="5">
        <f ca="1">LOOKUP($E370,frequence!$A$2:$A$35,frequence!K$2:K$35)</f>
        <v>5.2950026937283488</v>
      </c>
      <c r="H370" s="5">
        <f ca="1">LOOKUP($E370,frequence!$A$2:$A$35,frequence!M$2:M$35)</f>
        <v>500.74918436144497</v>
      </c>
      <c r="I370" s="5">
        <v>2000</v>
      </c>
      <c r="J370" s="7">
        <f>LOOKUP(I370,CPI!A$69:A$103,CPI!O$69:O$103)</f>
        <v>1.2662950058072011</v>
      </c>
      <c r="K370" s="5">
        <v>2000</v>
      </c>
      <c r="L370" s="7">
        <f t="shared" ca="1" si="245"/>
        <v>1</v>
      </c>
      <c r="M370" s="7">
        <f t="shared" si="253"/>
        <v>5.6</v>
      </c>
      <c r="N370" s="14">
        <v>1</v>
      </c>
      <c r="O370" s="1">
        <f ca="1">P370*J370*(1+Growth!G$6)^(2010-K370)</f>
        <v>27.955968676034839</v>
      </c>
      <c r="P370" s="2">
        <f t="shared" si="261"/>
        <v>19</v>
      </c>
      <c r="Q370" s="3">
        <v>19</v>
      </c>
      <c r="R370" s="21">
        <f t="shared" ca="1" si="246"/>
        <v>781.53618461544113</v>
      </c>
      <c r="U370" s="1">
        <v>4</v>
      </c>
      <c r="X370" s="2">
        <f t="shared" si="251"/>
        <v>19</v>
      </c>
      <c r="AA370" s="1">
        <v>51</v>
      </c>
      <c r="AC370" s="1">
        <f t="shared" si="270"/>
        <v>5.6</v>
      </c>
      <c r="AD370" s="5">
        <v>1</v>
      </c>
      <c r="AE370" s="5">
        <v>0</v>
      </c>
      <c r="AF370" s="5">
        <v>1</v>
      </c>
      <c r="AG370" s="5">
        <v>0</v>
      </c>
      <c r="AH370" s="5">
        <v>1</v>
      </c>
      <c r="AI370" s="3">
        <f t="shared" si="238"/>
        <v>2.6</v>
      </c>
      <c r="AJ370" s="5">
        <f t="shared" si="257"/>
        <v>1</v>
      </c>
      <c r="AK370" s="5">
        <f t="shared" si="247"/>
        <v>0</v>
      </c>
      <c r="AL370" s="5">
        <f t="shared" si="248"/>
        <v>0</v>
      </c>
      <c r="AM370" s="5">
        <f t="shared" si="258"/>
        <v>0</v>
      </c>
      <c r="AN370" s="5">
        <f t="shared" si="249"/>
        <v>0</v>
      </c>
      <c r="AO370" s="5">
        <f t="shared" si="259"/>
        <v>0</v>
      </c>
      <c r="AP370" s="11" t="s">
        <v>42</v>
      </c>
      <c r="AQ370" s="1">
        <v>3</v>
      </c>
      <c r="AR370" s="5">
        <v>0</v>
      </c>
      <c r="AS370" s="5">
        <v>0</v>
      </c>
      <c r="AT370" s="5">
        <v>1</v>
      </c>
      <c r="AU370" s="5">
        <v>0</v>
      </c>
      <c r="AV370" s="5">
        <f t="shared" si="239"/>
        <v>0</v>
      </c>
      <c r="AW370" s="5">
        <f t="shared" si="240"/>
        <v>0</v>
      </c>
      <c r="AX370" s="5">
        <f t="shared" si="241"/>
        <v>1</v>
      </c>
      <c r="AY370" s="1">
        <f t="shared" si="262"/>
        <v>1</v>
      </c>
      <c r="AZ370" s="1">
        <f t="shared" si="263"/>
        <v>0</v>
      </c>
      <c r="BA370" s="1">
        <f t="shared" si="264"/>
        <v>0</v>
      </c>
      <c r="BB370" s="5">
        <v>1</v>
      </c>
      <c r="BC370" s="5">
        <v>0</v>
      </c>
      <c r="BD370" s="5">
        <v>0</v>
      </c>
      <c r="BE370" s="5">
        <f t="shared" si="267"/>
        <v>0</v>
      </c>
      <c r="BF370" s="5">
        <v>0</v>
      </c>
      <c r="BG370" s="5">
        <f t="shared" si="268"/>
        <v>0</v>
      </c>
      <c r="BH370" s="5">
        <f t="shared" si="268"/>
        <v>0</v>
      </c>
      <c r="BI370" s="5">
        <f t="shared" si="268"/>
        <v>0</v>
      </c>
      <c r="BJ370" s="5">
        <f t="shared" si="268"/>
        <v>0</v>
      </c>
      <c r="BK370" s="5">
        <f t="shared" si="268"/>
        <v>0</v>
      </c>
      <c r="BL370" s="5">
        <f t="shared" si="268"/>
        <v>0</v>
      </c>
      <c r="BM370" s="5">
        <f t="shared" si="268"/>
        <v>0</v>
      </c>
      <c r="BN370" s="5">
        <f t="shared" si="265"/>
        <v>0</v>
      </c>
      <c r="BO370" s="5">
        <f t="shared" si="265"/>
        <v>0</v>
      </c>
      <c r="BP370" s="5">
        <f t="shared" si="265"/>
        <v>0</v>
      </c>
      <c r="BQ370" s="5">
        <f t="shared" si="265"/>
        <v>0</v>
      </c>
      <c r="BR370" s="5">
        <f t="shared" si="265"/>
        <v>0</v>
      </c>
      <c r="BS370" s="5">
        <f t="shared" si="265"/>
        <v>0</v>
      </c>
      <c r="BT370" s="5">
        <f t="shared" si="265"/>
        <v>0</v>
      </c>
      <c r="BU370" s="5">
        <f t="shared" si="265"/>
        <v>0</v>
      </c>
      <c r="BV370" s="5">
        <f t="shared" si="265"/>
        <v>1</v>
      </c>
      <c r="BW370" s="5">
        <f t="shared" si="265"/>
        <v>0</v>
      </c>
      <c r="BX370" s="5">
        <f t="shared" si="265"/>
        <v>0</v>
      </c>
      <c r="BY370" s="5">
        <f t="shared" si="265"/>
        <v>0</v>
      </c>
      <c r="BZ370" s="5">
        <f t="shared" si="265"/>
        <v>0</v>
      </c>
      <c r="CA370" s="5">
        <f t="shared" si="265"/>
        <v>0</v>
      </c>
      <c r="CB370" s="5">
        <f t="shared" si="265"/>
        <v>0</v>
      </c>
      <c r="CC370" s="5">
        <f t="shared" si="269"/>
        <v>0</v>
      </c>
      <c r="CD370" s="5">
        <f t="shared" si="269"/>
        <v>0</v>
      </c>
      <c r="CE370" s="5">
        <f t="shared" si="269"/>
        <v>0</v>
      </c>
    </row>
    <row r="371" spans="1:83" x14ac:dyDescent="0.2">
      <c r="A371" s="1" t="s">
        <v>50</v>
      </c>
      <c r="B371" s="11" t="s">
        <v>106</v>
      </c>
      <c r="C371" s="1">
        <f>Growth!D376</f>
        <v>0</v>
      </c>
      <c r="D371" s="5">
        <f t="shared" si="244"/>
        <v>2005</v>
      </c>
      <c r="E371" s="5">
        <v>2005</v>
      </c>
      <c r="F371" s="5">
        <f ca="1">LOOKUP($E371,frequence!$A$2:$A$35,frequence!L$2:L$35)</f>
        <v>72.06588395020114</v>
      </c>
      <c r="G371" s="5">
        <f ca="1">LOOKUP($E371,frequence!$A$2:$A$35,frequence!K$2:K$35)</f>
        <v>5.2330043573314997</v>
      </c>
      <c r="H371" s="5">
        <f ca="1">LOOKUP($E371,frequence!$A$2:$A$35,frequence!M$2:M$35)</f>
        <v>523.86420294178538</v>
      </c>
      <c r="I371" s="5">
        <v>2000</v>
      </c>
      <c r="J371" s="7">
        <f>LOOKUP(I371,CPI!A$69:A$103,CPI!O$69:O$103)</f>
        <v>1.2662950058072011</v>
      </c>
      <c r="K371" s="5">
        <v>2000</v>
      </c>
      <c r="L371" s="7">
        <f t="shared" ca="1" si="245"/>
        <v>1</v>
      </c>
      <c r="M371" s="7">
        <f t="shared" si="253"/>
        <v>5.5</v>
      </c>
      <c r="N371" s="14">
        <v>1</v>
      </c>
      <c r="O371" s="1">
        <f ca="1">P371*J371*(1+Growth!G$6)^(2010-K371)</f>
        <v>30.898702220880612</v>
      </c>
      <c r="P371" s="2">
        <f t="shared" si="261"/>
        <v>21</v>
      </c>
      <c r="Q371" s="3">
        <v>21</v>
      </c>
      <c r="R371" s="21">
        <f t="shared" ca="1" si="246"/>
        <v>954.72979893465242</v>
      </c>
      <c r="U371" s="1">
        <v>10</v>
      </c>
      <c r="X371" s="2">
        <f t="shared" si="251"/>
        <v>21</v>
      </c>
      <c r="AA371" s="1">
        <v>48</v>
      </c>
      <c r="AC371" s="1">
        <f t="shared" si="270"/>
        <v>5.5</v>
      </c>
      <c r="AD371" s="5">
        <v>1</v>
      </c>
      <c r="AE371" s="5">
        <v>0</v>
      </c>
      <c r="AF371" s="5">
        <v>1</v>
      </c>
      <c r="AG371" s="5">
        <v>0</v>
      </c>
      <c r="AH371" s="5">
        <v>1</v>
      </c>
      <c r="AI371" s="3">
        <f t="shared" si="238"/>
        <v>2.5</v>
      </c>
      <c r="AJ371" s="5">
        <f t="shared" si="257"/>
        <v>1</v>
      </c>
      <c r="AK371" s="5">
        <f t="shared" si="247"/>
        <v>0</v>
      </c>
      <c r="AL371" s="5">
        <f t="shared" si="248"/>
        <v>0</v>
      </c>
      <c r="AM371" s="5">
        <f t="shared" si="258"/>
        <v>0</v>
      </c>
      <c r="AN371" s="5">
        <f t="shared" si="249"/>
        <v>0</v>
      </c>
      <c r="AO371" s="5">
        <f t="shared" si="259"/>
        <v>0</v>
      </c>
      <c r="AP371" s="11" t="s">
        <v>42</v>
      </c>
      <c r="AQ371" s="1">
        <v>3</v>
      </c>
      <c r="AR371" s="5">
        <v>0</v>
      </c>
      <c r="AS371" s="5">
        <v>0</v>
      </c>
      <c r="AT371" s="5">
        <v>1</v>
      </c>
      <c r="AU371" s="5">
        <v>0</v>
      </c>
      <c r="AV371" s="5">
        <f t="shared" si="239"/>
        <v>0</v>
      </c>
      <c r="AW371" s="5">
        <f t="shared" si="240"/>
        <v>0</v>
      </c>
      <c r="AX371" s="5">
        <f t="shared" si="241"/>
        <v>1</v>
      </c>
      <c r="AY371" s="1">
        <f t="shared" si="262"/>
        <v>1</v>
      </c>
      <c r="AZ371" s="1">
        <f t="shared" si="263"/>
        <v>0</v>
      </c>
      <c r="BA371" s="1">
        <f t="shared" si="264"/>
        <v>0</v>
      </c>
      <c r="BB371" s="5">
        <v>1</v>
      </c>
      <c r="BC371" s="5">
        <v>0</v>
      </c>
      <c r="BD371" s="5">
        <v>0</v>
      </c>
      <c r="BE371" s="5">
        <f t="shared" si="267"/>
        <v>0</v>
      </c>
      <c r="BF371" s="5">
        <v>0</v>
      </c>
      <c r="BG371" s="5">
        <f t="shared" si="268"/>
        <v>0</v>
      </c>
      <c r="BH371" s="5">
        <f t="shared" si="268"/>
        <v>0</v>
      </c>
      <c r="BI371" s="5">
        <f t="shared" si="268"/>
        <v>0</v>
      </c>
      <c r="BJ371" s="5">
        <f t="shared" si="268"/>
        <v>0</v>
      </c>
      <c r="BK371" s="5">
        <f t="shared" si="268"/>
        <v>0</v>
      </c>
      <c r="BL371" s="5">
        <f t="shared" si="268"/>
        <v>0</v>
      </c>
      <c r="BM371" s="5">
        <f t="shared" si="268"/>
        <v>0</v>
      </c>
      <c r="BN371" s="5">
        <f t="shared" si="265"/>
        <v>0</v>
      </c>
      <c r="BO371" s="5">
        <f t="shared" si="265"/>
        <v>0</v>
      </c>
      <c r="BP371" s="5">
        <f t="shared" si="265"/>
        <v>0</v>
      </c>
      <c r="BQ371" s="5">
        <f t="shared" si="265"/>
        <v>0</v>
      </c>
      <c r="BR371" s="5">
        <f t="shared" si="265"/>
        <v>0</v>
      </c>
      <c r="BS371" s="5">
        <f t="shared" si="265"/>
        <v>0</v>
      </c>
      <c r="BT371" s="5">
        <f t="shared" si="265"/>
        <v>0</v>
      </c>
      <c r="BU371" s="5">
        <f t="shared" si="265"/>
        <v>1</v>
      </c>
      <c r="BV371" s="5">
        <f t="shared" si="265"/>
        <v>0</v>
      </c>
      <c r="BW371" s="5">
        <f t="shared" si="265"/>
        <v>0</v>
      </c>
      <c r="BX371" s="5">
        <f t="shared" si="265"/>
        <v>0</v>
      </c>
      <c r="BY371" s="5">
        <f t="shared" si="265"/>
        <v>0</v>
      </c>
      <c r="BZ371" s="5">
        <f t="shared" si="265"/>
        <v>0</v>
      </c>
      <c r="CA371" s="5">
        <f t="shared" si="265"/>
        <v>0</v>
      </c>
      <c r="CB371" s="5">
        <f t="shared" si="265"/>
        <v>0</v>
      </c>
      <c r="CC371" s="5">
        <f t="shared" si="269"/>
        <v>0</v>
      </c>
      <c r="CD371" s="5">
        <f t="shared" si="269"/>
        <v>0</v>
      </c>
      <c r="CE371" s="5">
        <f t="shared" si="269"/>
        <v>0</v>
      </c>
    </row>
    <row r="372" spans="1:83" x14ac:dyDescent="0.2">
      <c r="A372" s="1" t="s">
        <v>26</v>
      </c>
      <c r="B372" s="11" t="s">
        <v>148</v>
      </c>
      <c r="C372" s="1">
        <f>Growth!D377</f>
        <v>0</v>
      </c>
      <c r="D372" s="5">
        <f t="shared" si="244"/>
        <v>2005</v>
      </c>
      <c r="E372" s="5">
        <v>2005</v>
      </c>
      <c r="F372" s="5">
        <f ca="1">LOOKUP($E372,frequence!$A$2:$A$35,frequence!L$2:L$35)</f>
        <v>72.06588395020114</v>
      </c>
      <c r="G372" s="5">
        <f ca="1">LOOKUP($E372,frequence!$A$2:$A$35,frequence!K$2:K$35)</f>
        <v>5.2330043573314997</v>
      </c>
      <c r="H372" s="5">
        <f ca="1">LOOKUP($E372,frequence!$A$2:$A$35,frequence!M$2:M$35)</f>
        <v>523.86420294178538</v>
      </c>
      <c r="I372" s="5">
        <f>I204</f>
        <v>2000</v>
      </c>
      <c r="J372" s="7">
        <f>LOOKUP(I372,CPI!A$69:A$103,CPI!O$69:O$103)</f>
        <v>1.2662950058072011</v>
      </c>
      <c r="K372" s="5">
        <f>K204</f>
        <v>2000</v>
      </c>
      <c r="L372" s="7">
        <f t="shared" ca="1" si="245"/>
        <v>1</v>
      </c>
      <c r="M372" s="7">
        <f t="shared" si="253"/>
        <v>2.5</v>
      </c>
      <c r="N372" s="14">
        <v>1</v>
      </c>
      <c r="O372" s="1">
        <f ca="1">P372*J372*(1+Growth!G$6)^(2010-K372)</f>
        <v>74.671863700461486</v>
      </c>
      <c r="P372" s="3">
        <f>P204/2</f>
        <v>50.75</v>
      </c>
      <c r="Q372" s="2">
        <f t="shared" si="148"/>
        <v>50.75</v>
      </c>
      <c r="R372" s="21">
        <f t="shared" ca="1" si="246"/>
        <v>5575.8872285002981</v>
      </c>
      <c r="X372" s="2">
        <f t="shared" si="251"/>
        <v>50.75</v>
      </c>
      <c r="AC372" s="1">
        <f t="shared" si="270"/>
        <v>2.5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3">
        <f t="shared" si="238"/>
        <v>2.5</v>
      </c>
      <c r="AJ372" s="5">
        <f t="shared" si="257"/>
        <v>0</v>
      </c>
      <c r="AK372" s="5">
        <f t="shared" si="247"/>
        <v>0</v>
      </c>
      <c r="AL372" s="5">
        <f t="shared" si="248"/>
        <v>0</v>
      </c>
      <c r="AM372" s="5">
        <f t="shared" si="258"/>
        <v>0</v>
      </c>
      <c r="AN372" s="5">
        <f t="shared" si="249"/>
        <v>0</v>
      </c>
      <c r="AO372" s="5">
        <f t="shared" si="259"/>
        <v>0</v>
      </c>
      <c r="AP372" s="1" t="s">
        <v>42</v>
      </c>
      <c r="AQ372" s="1" t="s">
        <v>42</v>
      </c>
      <c r="AR372" s="5">
        <v>1</v>
      </c>
      <c r="AS372" s="5">
        <v>0</v>
      </c>
      <c r="AT372" s="5">
        <v>0</v>
      </c>
      <c r="AU372" s="5">
        <v>0</v>
      </c>
      <c r="AV372" s="5">
        <f t="shared" si="239"/>
        <v>0</v>
      </c>
      <c r="AW372" s="5">
        <f t="shared" si="240"/>
        <v>0</v>
      </c>
      <c r="AX372" s="5">
        <f t="shared" si="241"/>
        <v>1</v>
      </c>
      <c r="AY372" s="1">
        <f t="shared" si="262"/>
        <v>0</v>
      </c>
      <c r="AZ372" s="1">
        <f t="shared" si="263"/>
        <v>0</v>
      </c>
      <c r="BA372" s="1">
        <f t="shared" si="264"/>
        <v>0</v>
      </c>
      <c r="BB372" s="5">
        <v>0</v>
      </c>
      <c r="BC372" s="5">
        <v>0</v>
      </c>
      <c r="BD372" s="5">
        <v>0</v>
      </c>
      <c r="BE372" s="5">
        <f t="shared" si="267"/>
        <v>1</v>
      </c>
      <c r="BF372" s="5">
        <v>0</v>
      </c>
      <c r="BG372" s="5">
        <f t="shared" si="268"/>
        <v>0</v>
      </c>
      <c r="BH372" s="5">
        <f t="shared" si="268"/>
        <v>0</v>
      </c>
      <c r="BI372" s="5">
        <f t="shared" si="268"/>
        <v>0</v>
      </c>
      <c r="BJ372" s="5">
        <f t="shared" si="268"/>
        <v>0</v>
      </c>
      <c r="BK372" s="5">
        <f t="shared" si="268"/>
        <v>0</v>
      </c>
      <c r="BL372" s="5">
        <f t="shared" si="268"/>
        <v>0</v>
      </c>
      <c r="BM372" s="5">
        <f t="shared" si="268"/>
        <v>0</v>
      </c>
      <c r="BN372" s="5">
        <f t="shared" si="268"/>
        <v>0</v>
      </c>
      <c r="BO372" s="5">
        <f t="shared" ref="BO372:CC387" si="271">IF($E372=BO$2,1,0)</f>
        <v>0</v>
      </c>
      <c r="BP372" s="5">
        <f t="shared" si="271"/>
        <v>0</v>
      </c>
      <c r="BQ372" s="5">
        <f t="shared" si="271"/>
        <v>0</v>
      </c>
      <c r="BR372" s="5">
        <f t="shared" si="271"/>
        <v>0</v>
      </c>
      <c r="BS372" s="5">
        <f t="shared" si="271"/>
        <v>0</v>
      </c>
      <c r="BT372" s="5">
        <f t="shared" si="271"/>
        <v>0</v>
      </c>
      <c r="BU372" s="5">
        <f t="shared" si="271"/>
        <v>1</v>
      </c>
      <c r="BV372" s="5">
        <f t="shared" si="271"/>
        <v>0</v>
      </c>
      <c r="BW372" s="5">
        <f t="shared" si="271"/>
        <v>0</v>
      </c>
      <c r="BX372" s="5">
        <f t="shared" si="271"/>
        <v>0</v>
      </c>
      <c r="BY372" s="5">
        <f t="shared" si="271"/>
        <v>0</v>
      </c>
      <c r="BZ372" s="5">
        <f t="shared" si="271"/>
        <v>0</v>
      </c>
      <c r="CA372" s="5">
        <f t="shared" si="271"/>
        <v>0</v>
      </c>
      <c r="CB372" s="5">
        <f t="shared" si="271"/>
        <v>0</v>
      </c>
      <c r="CC372" s="5">
        <f t="shared" si="269"/>
        <v>0</v>
      </c>
      <c r="CD372" s="5">
        <f t="shared" si="269"/>
        <v>0</v>
      </c>
      <c r="CE372" s="5">
        <f t="shared" si="269"/>
        <v>0</v>
      </c>
    </row>
    <row r="373" spans="1:83" x14ac:dyDescent="0.2">
      <c r="A373" s="1" t="s">
        <v>52</v>
      </c>
      <c r="B373" s="11" t="s">
        <v>175</v>
      </c>
      <c r="C373" s="1">
        <f>Growth!D378</f>
        <v>0</v>
      </c>
      <c r="D373" s="5">
        <f t="shared" si="244"/>
        <v>2006</v>
      </c>
      <c r="E373" s="5">
        <v>2006</v>
      </c>
      <c r="F373" s="5">
        <f ca="1">LOOKUP($E373,frequence!$A$2:$A$35,frequence!L$2:L$35)</f>
        <v>71.097990738484512</v>
      </c>
      <c r="G373" s="5">
        <f ca="1">LOOKUP($E373,frequence!$A$2:$A$35,frequence!K$2:K$35)</f>
        <v>5.2950026937283488</v>
      </c>
      <c r="H373" s="5">
        <f ca="1">LOOKUP($E373,frequence!$A$2:$A$35,frequence!M$2:M$35)</f>
        <v>500.74918436144497</v>
      </c>
      <c r="I373" s="18">
        <v>2000</v>
      </c>
      <c r="J373" s="7">
        <f>LOOKUP(I373,CPI!A$69:A$103,CPI!O$69:O$103)</f>
        <v>1.2662950058072011</v>
      </c>
      <c r="K373" s="18">
        <v>2000</v>
      </c>
      <c r="L373" s="7">
        <f t="shared" ca="1" si="245"/>
        <v>1</v>
      </c>
      <c r="M373" s="7">
        <f t="shared" si="253"/>
        <v>4.5999999999999996</v>
      </c>
      <c r="N373" s="14">
        <v>1</v>
      </c>
      <c r="O373" s="1">
        <f ca="1">P373*J373*(1+Growth!G$6)^(2010-K373)</f>
        <v>462.00916654078628</v>
      </c>
      <c r="P373" s="3">
        <v>314</v>
      </c>
      <c r="Q373" s="2">
        <f t="shared" si="148"/>
        <v>314</v>
      </c>
      <c r="R373" s="21">
        <f t="shared" ca="1" si="246"/>
        <v>213452.46996771201</v>
      </c>
      <c r="X373" s="2">
        <f t="shared" si="251"/>
        <v>314</v>
      </c>
      <c r="AC373" s="1">
        <f t="shared" si="270"/>
        <v>4.5999999999999996</v>
      </c>
      <c r="AD373" s="5">
        <v>0</v>
      </c>
      <c r="AE373" s="5">
        <v>0</v>
      </c>
      <c r="AF373" s="5">
        <v>1</v>
      </c>
      <c r="AG373" s="5">
        <v>0</v>
      </c>
      <c r="AH373" s="5">
        <v>1</v>
      </c>
      <c r="AI373" s="3">
        <f t="shared" si="238"/>
        <v>2.6</v>
      </c>
      <c r="AJ373" s="5">
        <f t="shared" si="257"/>
        <v>0</v>
      </c>
      <c r="AK373" s="5">
        <f t="shared" si="247"/>
        <v>0</v>
      </c>
      <c r="AL373" s="5">
        <f t="shared" si="248"/>
        <v>0</v>
      </c>
      <c r="AM373" s="5">
        <f t="shared" si="258"/>
        <v>0</v>
      </c>
      <c r="AN373" s="5">
        <f t="shared" si="249"/>
        <v>0</v>
      </c>
      <c r="AO373" s="5">
        <f t="shared" si="259"/>
        <v>1</v>
      </c>
      <c r="AP373" s="1" t="s">
        <v>42</v>
      </c>
      <c r="AQ373" s="1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f t="shared" si="239"/>
        <v>0</v>
      </c>
      <c r="AW373" s="5">
        <f t="shared" si="240"/>
        <v>0</v>
      </c>
      <c r="AX373" s="5">
        <f t="shared" si="241"/>
        <v>1</v>
      </c>
      <c r="AY373" s="1">
        <f t="shared" si="262"/>
        <v>0</v>
      </c>
      <c r="AZ373" s="1">
        <f t="shared" si="263"/>
        <v>0</v>
      </c>
      <c r="BA373" s="1">
        <f t="shared" si="264"/>
        <v>0</v>
      </c>
      <c r="BB373" s="5">
        <v>0</v>
      </c>
      <c r="BC373" s="5">
        <v>0</v>
      </c>
      <c r="BD373" s="5">
        <v>0</v>
      </c>
      <c r="BE373" s="5">
        <f t="shared" si="267"/>
        <v>1</v>
      </c>
      <c r="BF373" s="5">
        <v>0</v>
      </c>
      <c r="BG373" s="5">
        <f t="shared" ref="BG373:BN388" si="272">IF($E373=BG$2,1,0)</f>
        <v>0</v>
      </c>
      <c r="BH373" s="5">
        <f t="shared" si="272"/>
        <v>0</v>
      </c>
      <c r="BI373" s="5">
        <f t="shared" si="272"/>
        <v>0</v>
      </c>
      <c r="BJ373" s="5">
        <f t="shared" si="272"/>
        <v>0</v>
      </c>
      <c r="BK373" s="5">
        <f t="shared" si="272"/>
        <v>0</v>
      </c>
      <c r="BL373" s="5">
        <f t="shared" si="272"/>
        <v>0</v>
      </c>
      <c r="BM373" s="5">
        <f t="shared" si="272"/>
        <v>0</v>
      </c>
      <c r="BN373" s="5">
        <f t="shared" si="272"/>
        <v>0</v>
      </c>
      <c r="BO373" s="5">
        <f t="shared" si="271"/>
        <v>0</v>
      </c>
      <c r="BP373" s="5">
        <f t="shared" si="271"/>
        <v>0</v>
      </c>
      <c r="BQ373" s="5">
        <f t="shared" si="271"/>
        <v>0</v>
      </c>
      <c r="BR373" s="5">
        <f t="shared" si="271"/>
        <v>0</v>
      </c>
      <c r="BS373" s="5">
        <f t="shared" si="271"/>
        <v>0</v>
      </c>
      <c r="BT373" s="5">
        <f t="shared" si="271"/>
        <v>0</v>
      </c>
      <c r="BU373" s="5">
        <f t="shared" si="271"/>
        <v>0</v>
      </c>
      <c r="BV373" s="5">
        <f t="shared" si="271"/>
        <v>1</v>
      </c>
      <c r="BW373" s="5">
        <f t="shared" si="271"/>
        <v>0</v>
      </c>
      <c r="BX373" s="5">
        <f t="shared" si="271"/>
        <v>0</v>
      </c>
      <c r="BY373" s="5">
        <f t="shared" si="271"/>
        <v>0</v>
      </c>
      <c r="BZ373" s="5">
        <f t="shared" si="271"/>
        <v>0</v>
      </c>
      <c r="CA373" s="5">
        <f t="shared" si="271"/>
        <v>0</v>
      </c>
      <c r="CB373" s="5">
        <f t="shared" si="271"/>
        <v>0</v>
      </c>
      <c r="CC373" s="5">
        <f t="shared" si="269"/>
        <v>0</v>
      </c>
      <c r="CD373" s="5">
        <f t="shared" si="269"/>
        <v>0</v>
      </c>
      <c r="CE373" s="5">
        <f t="shared" si="269"/>
        <v>0</v>
      </c>
    </row>
    <row r="374" spans="1:83" x14ac:dyDescent="0.2">
      <c r="A374" s="1" t="s">
        <v>58</v>
      </c>
      <c r="B374" s="11" t="s">
        <v>147</v>
      </c>
      <c r="C374" s="1">
        <f>Growth!D379</f>
        <v>0</v>
      </c>
      <c r="D374" s="5">
        <f t="shared" si="244"/>
        <v>2007</v>
      </c>
      <c r="E374" s="5">
        <v>2007</v>
      </c>
      <c r="F374" s="5">
        <f ca="1">LOOKUP($E374,frequence!$A$2:$A$35,frequence!L$2:L$35)</f>
        <v>36.860454946312331</v>
      </c>
      <c r="G374" s="5">
        <f ca="1">LOOKUP($E374,frequence!$A$2:$A$35,frequence!K$2:K$35)</f>
        <v>2.9581860189791218</v>
      </c>
      <c r="H374" s="5">
        <f ca="1">LOOKUP($E374,frequence!$A$2:$A$35,frequence!M$2:M$35)</f>
        <v>220.46463902820841</v>
      </c>
      <c r="I374" s="18">
        <v>2000</v>
      </c>
      <c r="J374" s="7">
        <f>LOOKUP(I374,CPI!A$69:A$103,CPI!O$69:O$103)</f>
        <v>1.2662950058072011</v>
      </c>
      <c r="K374" s="18">
        <v>2000</v>
      </c>
      <c r="L374" s="7">
        <f t="shared" ca="1" si="245"/>
        <v>1</v>
      </c>
      <c r="M374" s="7">
        <f t="shared" si="253"/>
        <v>2.85</v>
      </c>
      <c r="N374" s="14">
        <v>0.5</v>
      </c>
      <c r="O374" s="1">
        <f ca="1">P374*J374*(1+Growth!G$6)^(2010-K374)</f>
        <v>134.87528747209791</v>
      </c>
      <c r="P374" s="3">
        <f>25*44/12</f>
        <v>91.666666666666671</v>
      </c>
      <c r="Q374" s="2">
        <f t="shared" si="148"/>
        <v>91.666666666666671</v>
      </c>
      <c r="R374" s="21">
        <f t="shared" ca="1" si="246"/>
        <v>18191.343170681052</v>
      </c>
      <c r="X374" s="2">
        <f t="shared" si="251"/>
        <v>91.666666666666671</v>
      </c>
      <c r="AC374" s="1">
        <f t="shared" si="270"/>
        <v>5.7</v>
      </c>
      <c r="AD374" s="5">
        <v>1</v>
      </c>
      <c r="AE374" s="5">
        <v>0</v>
      </c>
      <c r="AF374" s="5">
        <v>1</v>
      </c>
      <c r="AG374" s="5">
        <v>0</v>
      </c>
      <c r="AH374" s="5">
        <v>1</v>
      </c>
      <c r="AI374" s="3">
        <f t="shared" si="238"/>
        <v>2.7</v>
      </c>
      <c r="AJ374" s="5">
        <f t="shared" si="257"/>
        <v>0</v>
      </c>
      <c r="AK374" s="5">
        <f t="shared" si="247"/>
        <v>0</v>
      </c>
      <c r="AL374" s="5">
        <f t="shared" si="248"/>
        <v>0</v>
      </c>
      <c r="AM374" s="5">
        <f t="shared" si="258"/>
        <v>0</v>
      </c>
      <c r="AN374" s="5">
        <f t="shared" si="249"/>
        <v>0</v>
      </c>
      <c r="AO374" s="5">
        <f t="shared" si="259"/>
        <v>1</v>
      </c>
      <c r="AP374" s="11" t="s">
        <v>42</v>
      </c>
      <c r="AQ374" s="1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f t="shared" si="239"/>
        <v>0</v>
      </c>
      <c r="AW374" s="5">
        <f t="shared" si="240"/>
        <v>0</v>
      </c>
      <c r="AX374" s="5">
        <f t="shared" si="241"/>
        <v>1</v>
      </c>
      <c r="AY374" s="1">
        <f t="shared" si="262"/>
        <v>0</v>
      </c>
      <c r="AZ374" s="1">
        <f t="shared" si="263"/>
        <v>0</v>
      </c>
      <c r="BA374" s="1">
        <f t="shared" si="264"/>
        <v>1</v>
      </c>
      <c r="BB374" s="5">
        <v>0</v>
      </c>
      <c r="BC374" s="5">
        <v>0</v>
      </c>
      <c r="BD374" s="5">
        <v>0</v>
      </c>
      <c r="BE374" s="5">
        <f t="shared" si="267"/>
        <v>1</v>
      </c>
      <c r="BF374" s="5">
        <v>1</v>
      </c>
      <c r="BG374" s="5">
        <f t="shared" si="272"/>
        <v>0</v>
      </c>
      <c r="BH374" s="5">
        <f t="shared" si="272"/>
        <v>0</v>
      </c>
      <c r="BI374" s="5">
        <f t="shared" si="272"/>
        <v>0</v>
      </c>
      <c r="BJ374" s="5">
        <f t="shared" si="272"/>
        <v>0</v>
      </c>
      <c r="BK374" s="5">
        <f t="shared" si="272"/>
        <v>0</v>
      </c>
      <c r="BL374" s="5">
        <f t="shared" si="272"/>
        <v>0</v>
      </c>
      <c r="BM374" s="5">
        <f t="shared" si="272"/>
        <v>0</v>
      </c>
      <c r="BN374" s="5">
        <f t="shared" si="272"/>
        <v>0</v>
      </c>
      <c r="BO374" s="5">
        <f t="shared" si="271"/>
        <v>0</v>
      </c>
      <c r="BP374" s="5">
        <f t="shared" si="271"/>
        <v>0</v>
      </c>
      <c r="BQ374" s="5">
        <f t="shared" si="271"/>
        <v>0</v>
      </c>
      <c r="BR374" s="5">
        <f t="shared" si="271"/>
        <v>0</v>
      </c>
      <c r="BS374" s="5">
        <f t="shared" si="271"/>
        <v>0</v>
      </c>
      <c r="BT374" s="5">
        <f t="shared" si="271"/>
        <v>0</v>
      </c>
      <c r="BU374" s="5">
        <f t="shared" si="271"/>
        <v>0</v>
      </c>
      <c r="BV374" s="5">
        <f t="shared" si="271"/>
        <v>0</v>
      </c>
      <c r="BW374" s="5">
        <f t="shared" si="271"/>
        <v>1</v>
      </c>
      <c r="BX374" s="5">
        <f t="shared" si="271"/>
        <v>0</v>
      </c>
      <c r="BY374" s="5">
        <f t="shared" si="271"/>
        <v>0</v>
      </c>
      <c r="BZ374" s="5">
        <f t="shared" si="271"/>
        <v>0</v>
      </c>
      <c r="CA374" s="5">
        <f t="shared" si="271"/>
        <v>0</v>
      </c>
      <c r="CB374" s="5">
        <f t="shared" si="271"/>
        <v>0</v>
      </c>
      <c r="CC374" s="5">
        <f t="shared" si="269"/>
        <v>0</v>
      </c>
      <c r="CD374" s="5">
        <f t="shared" si="269"/>
        <v>0</v>
      </c>
      <c r="CE374" s="5">
        <f t="shared" si="269"/>
        <v>0</v>
      </c>
    </row>
    <row r="375" spans="1:83" x14ac:dyDescent="0.2">
      <c r="C375" s="1">
        <f>Growth!D380</f>
        <v>0</v>
      </c>
      <c r="D375" s="5" t="b">
        <f t="shared" si="244"/>
        <v>0</v>
      </c>
      <c r="E375" s="5">
        <v>2007</v>
      </c>
      <c r="F375" s="5">
        <f ca="1">LOOKUP($E375,frequence!$A$2:$A$35,frequence!L$2:L$35)</f>
        <v>36.860454946312331</v>
      </c>
      <c r="G375" s="5">
        <f ca="1">LOOKUP($E375,frequence!$A$2:$A$35,frequence!K$2:K$35)</f>
        <v>2.9581860189791218</v>
      </c>
      <c r="H375" s="5">
        <f ca="1">LOOKUP($E375,frequence!$A$2:$A$35,frequence!M$2:M$35)</f>
        <v>220.46463902820841</v>
      </c>
      <c r="I375" s="18">
        <v>2000</v>
      </c>
      <c r="J375" s="7">
        <f>LOOKUP(I375,CPI!A$69:A$103,CPI!O$69:O$103)</f>
        <v>1.2662950058072011</v>
      </c>
      <c r="K375" s="18">
        <v>2000</v>
      </c>
      <c r="L375" s="7">
        <f t="shared" ca="1" si="245"/>
        <v>1</v>
      </c>
      <c r="M375" s="7">
        <f t="shared" si="253"/>
        <v>2.85</v>
      </c>
      <c r="N375" s="14">
        <v>0.5</v>
      </c>
      <c r="O375" s="1">
        <f ca="1">P375*J375*(1+Growth!G$6)^(2010-K375)</f>
        <v>161.8503449665175</v>
      </c>
      <c r="P375" s="3">
        <f>30*44/12</f>
        <v>110</v>
      </c>
      <c r="Q375" s="2">
        <f t="shared" si="148"/>
        <v>110</v>
      </c>
      <c r="R375" s="21">
        <f t="shared" ca="1" si="246"/>
        <v>26195.534165780715</v>
      </c>
      <c r="X375" s="2">
        <f t="shared" si="251"/>
        <v>110</v>
      </c>
      <c r="AC375" s="1">
        <f t="shared" si="270"/>
        <v>5.7</v>
      </c>
      <c r="AD375" s="5">
        <v>1</v>
      </c>
      <c r="AE375" s="5">
        <v>0</v>
      </c>
      <c r="AF375" s="5">
        <v>1</v>
      </c>
      <c r="AG375" s="5">
        <v>0</v>
      </c>
      <c r="AH375" s="5">
        <v>1</v>
      </c>
      <c r="AI375" s="3">
        <f t="shared" si="238"/>
        <v>2.7</v>
      </c>
      <c r="AJ375" s="5">
        <f t="shared" si="257"/>
        <v>0</v>
      </c>
      <c r="AK375" s="5">
        <f t="shared" si="247"/>
        <v>0</v>
      </c>
      <c r="AL375" s="5">
        <f t="shared" si="248"/>
        <v>0</v>
      </c>
      <c r="AM375" s="5">
        <f t="shared" si="258"/>
        <v>0</v>
      </c>
      <c r="AN375" s="5">
        <f t="shared" si="249"/>
        <v>0</v>
      </c>
      <c r="AO375" s="5">
        <f t="shared" si="259"/>
        <v>1</v>
      </c>
      <c r="AP375" s="11" t="s">
        <v>42</v>
      </c>
      <c r="AQ375" s="1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f t="shared" si="239"/>
        <v>0</v>
      </c>
      <c r="AW375" s="5">
        <f t="shared" si="240"/>
        <v>0</v>
      </c>
      <c r="AX375" s="5">
        <f t="shared" si="241"/>
        <v>1</v>
      </c>
      <c r="AY375" s="1">
        <f t="shared" si="262"/>
        <v>0</v>
      </c>
      <c r="AZ375" s="1">
        <f t="shared" si="263"/>
        <v>0</v>
      </c>
      <c r="BA375" s="1">
        <f t="shared" si="264"/>
        <v>1</v>
      </c>
      <c r="BB375" s="5">
        <v>0</v>
      </c>
      <c r="BC375" s="5">
        <v>0</v>
      </c>
      <c r="BD375" s="5">
        <v>0</v>
      </c>
      <c r="BE375" s="5">
        <f t="shared" si="267"/>
        <v>1</v>
      </c>
      <c r="BF375" s="5">
        <v>1</v>
      </c>
      <c r="BG375" s="5">
        <f t="shared" si="272"/>
        <v>0</v>
      </c>
      <c r="BH375" s="5">
        <f t="shared" si="272"/>
        <v>0</v>
      </c>
      <c r="BI375" s="5">
        <f t="shared" si="272"/>
        <v>0</v>
      </c>
      <c r="BJ375" s="5">
        <f t="shared" si="272"/>
        <v>0</v>
      </c>
      <c r="BK375" s="5">
        <f t="shared" si="272"/>
        <v>0</v>
      </c>
      <c r="BL375" s="5">
        <f t="shared" si="272"/>
        <v>0</v>
      </c>
      <c r="BM375" s="5">
        <f t="shared" si="272"/>
        <v>0</v>
      </c>
      <c r="BN375" s="5">
        <f t="shared" si="272"/>
        <v>0</v>
      </c>
      <c r="BO375" s="5">
        <f t="shared" si="271"/>
        <v>0</v>
      </c>
      <c r="BP375" s="5">
        <f t="shared" si="271"/>
        <v>0</v>
      </c>
      <c r="BQ375" s="5">
        <f t="shared" si="271"/>
        <v>0</v>
      </c>
      <c r="BR375" s="5">
        <f t="shared" si="271"/>
        <v>0</v>
      </c>
      <c r="BS375" s="5">
        <f t="shared" si="271"/>
        <v>0</v>
      </c>
      <c r="BT375" s="5">
        <f t="shared" si="271"/>
        <v>0</v>
      </c>
      <c r="BU375" s="5">
        <f t="shared" si="271"/>
        <v>0</v>
      </c>
      <c r="BV375" s="5">
        <f t="shared" si="271"/>
        <v>0</v>
      </c>
      <c r="BW375" s="5">
        <f t="shared" si="271"/>
        <v>1</v>
      </c>
      <c r="BX375" s="5">
        <f t="shared" si="271"/>
        <v>0</v>
      </c>
      <c r="BY375" s="5">
        <f t="shared" si="271"/>
        <v>0</v>
      </c>
      <c r="BZ375" s="5">
        <f t="shared" si="271"/>
        <v>0</v>
      </c>
      <c r="CA375" s="5">
        <f t="shared" si="271"/>
        <v>0</v>
      </c>
      <c r="CB375" s="5">
        <f t="shared" si="271"/>
        <v>0</v>
      </c>
      <c r="CC375" s="5">
        <f t="shared" si="269"/>
        <v>0</v>
      </c>
      <c r="CD375" s="5">
        <f t="shared" si="269"/>
        <v>0</v>
      </c>
      <c r="CE375" s="5">
        <f t="shared" si="269"/>
        <v>0</v>
      </c>
    </row>
    <row r="376" spans="1:83" x14ac:dyDescent="0.2">
      <c r="A376" s="1" t="s">
        <v>20</v>
      </c>
      <c r="B376" s="1" t="s">
        <v>78</v>
      </c>
      <c r="C376" s="1">
        <f>Growth!D381</f>
        <v>0</v>
      </c>
      <c r="D376" s="5">
        <f t="shared" si="244"/>
        <v>2008</v>
      </c>
      <c r="E376" s="5">
        <v>2008</v>
      </c>
      <c r="F376" s="5">
        <f ca="1">LOOKUP($E376,frequence!$A$2:$A$35,frequence!L$2:L$35)</f>
        <v>38.010308287591222</v>
      </c>
      <c r="G376" s="5">
        <f ca="1">LOOKUP($E376,frequence!$A$2:$A$35,frequence!K$2:K$35)</f>
        <v>2.9831825211457392</v>
      </c>
      <c r="H376" s="5">
        <f ca="1">LOOKUP($E376,frequence!$A$2:$A$35,frequence!M$2:M$35)</f>
        <v>219.75327049269208</v>
      </c>
      <c r="I376" s="5">
        <v>2005</v>
      </c>
      <c r="J376" s="7">
        <f>LOOKUP(I376,CPI!A$69:A$103,CPI!O$69:O$103)</f>
        <v>1.1165181771633383</v>
      </c>
      <c r="K376" s="5">
        <v>2005</v>
      </c>
      <c r="L376" s="7">
        <f t="shared" ca="1" si="245"/>
        <v>1</v>
      </c>
      <c r="M376" s="7">
        <f t="shared" si="253"/>
        <v>1.1599999999999999</v>
      </c>
      <c r="N376" s="14">
        <v>0.2</v>
      </c>
      <c r="O376" s="1">
        <f ca="1">P376*J376*(1+Growth!G$6)^(2010-K376)</f>
        <v>33.819341167042261</v>
      </c>
      <c r="P376" s="3">
        <v>28.1</v>
      </c>
      <c r="Q376" s="2">
        <f t="shared" si="148"/>
        <v>28.1</v>
      </c>
      <c r="R376" s="21">
        <f t="shared" ca="1" si="246"/>
        <v>1143.7478369727994</v>
      </c>
      <c r="X376" s="2">
        <f t="shared" si="251"/>
        <v>28.1</v>
      </c>
      <c r="AC376" s="1">
        <f t="shared" si="270"/>
        <v>5.8</v>
      </c>
      <c r="AD376" s="5">
        <v>0</v>
      </c>
      <c r="AE376" s="5">
        <v>1</v>
      </c>
      <c r="AF376" s="5">
        <v>1</v>
      </c>
      <c r="AG376" s="5">
        <v>0</v>
      </c>
      <c r="AH376" s="5">
        <v>1</v>
      </c>
      <c r="AI376" s="3">
        <f t="shared" si="238"/>
        <v>2.8</v>
      </c>
      <c r="AJ376" s="5">
        <f t="shared" si="257"/>
        <v>1</v>
      </c>
      <c r="AK376" s="5">
        <f t="shared" si="247"/>
        <v>0</v>
      </c>
      <c r="AL376" s="5">
        <f t="shared" si="248"/>
        <v>0</v>
      </c>
      <c r="AM376" s="5">
        <f t="shared" si="258"/>
        <v>0</v>
      </c>
      <c r="AN376" s="5">
        <f t="shared" si="249"/>
        <v>0</v>
      </c>
      <c r="AO376" s="5">
        <f t="shared" si="259"/>
        <v>0</v>
      </c>
      <c r="AP376" s="11" t="s">
        <v>42</v>
      </c>
      <c r="AQ376" s="1">
        <v>3</v>
      </c>
      <c r="AR376" s="5">
        <v>0</v>
      </c>
      <c r="AS376" s="5">
        <v>0</v>
      </c>
      <c r="AT376" s="5">
        <v>0</v>
      </c>
      <c r="AU376" s="5">
        <v>0</v>
      </c>
      <c r="AV376" s="5">
        <f t="shared" si="239"/>
        <v>0</v>
      </c>
      <c r="AW376" s="5">
        <f t="shared" si="240"/>
        <v>0</v>
      </c>
      <c r="AX376" s="5">
        <f t="shared" si="241"/>
        <v>1</v>
      </c>
      <c r="AY376" s="1">
        <f t="shared" si="262"/>
        <v>0</v>
      </c>
      <c r="AZ376" s="1">
        <f t="shared" si="263"/>
        <v>0</v>
      </c>
      <c r="BA376" s="1">
        <f t="shared" si="264"/>
        <v>0</v>
      </c>
      <c r="BB376" s="5">
        <v>0</v>
      </c>
      <c r="BC376" s="5">
        <v>1</v>
      </c>
      <c r="BD376" s="5">
        <v>0</v>
      </c>
      <c r="BE376" s="5">
        <f t="shared" si="267"/>
        <v>0</v>
      </c>
      <c r="BF376" s="5">
        <v>0</v>
      </c>
      <c r="BG376" s="5">
        <f t="shared" si="272"/>
        <v>0</v>
      </c>
      <c r="BH376" s="5">
        <f t="shared" si="272"/>
        <v>0</v>
      </c>
      <c r="BI376" s="5">
        <f t="shared" si="272"/>
        <v>0</v>
      </c>
      <c r="BJ376" s="5">
        <f t="shared" si="272"/>
        <v>0</v>
      </c>
      <c r="BK376" s="5">
        <f t="shared" si="272"/>
        <v>0</v>
      </c>
      <c r="BL376" s="5">
        <f t="shared" si="272"/>
        <v>0</v>
      </c>
      <c r="BM376" s="5">
        <f t="shared" si="272"/>
        <v>0</v>
      </c>
      <c r="BN376" s="5">
        <f t="shared" si="272"/>
        <v>0</v>
      </c>
      <c r="BO376" s="5">
        <f t="shared" si="271"/>
        <v>0</v>
      </c>
      <c r="BP376" s="5">
        <f t="shared" si="271"/>
        <v>0</v>
      </c>
      <c r="BQ376" s="5">
        <f t="shared" si="271"/>
        <v>0</v>
      </c>
      <c r="BR376" s="5">
        <f t="shared" si="271"/>
        <v>0</v>
      </c>
      <c r="BS376" s="5">
        <f t="shared" si="271"/>
        <v>0</v>
      </c>
      <c r="BT376" s="5">
        <f t="shared" si="271"/>
        <v>0</v>
      </c>
      <c r="BU376" s="5">
        <f t="shared" si="271"/>
        <v>0</v>
      </c>
      <c r="BV376" s="5">
        <f t="shared" si="271"/>
        <v>0</v>
      </c>
      <c r="BW376" s="5">
        <f t="shared" si="271"/>
        <v>0</v>
      </c>
      <c r="BX376" s="5">
        <f t="shared" si="271"/>
        <v>1</v>
      </c>
      <c r="BY376" s="5">
        <f t="shared" si="271"/>
        <v>0</v>
      </c>
      <c r="BZ376" s="5">
        <f t="shared" si="271"/>
        <v>0</v>
      </c>
      <c r="CA376" s="5">
        <f t="shared" si="271"/>
        <v>0</v>
      </c>
      <c r="CB376" s="5">
        <f t="shared" si="271"/>
        <v>0</v>
      </c>
      <c r="CC376" s="5">
        <f t="shared" si="269"/>
        <v>0</v>
      </c>
      <c r="CD376" s="5">
        <f t="shared" si="269"/>
        <v>0</v>
      </c>
      <c r="CE376" s="5">
        <f t="shared" si="269"/>
        <v>0</v>
      </c>
    </row>
    <row r="377" spans="1:83" x14ac:dyDescent="0.2">
      <c r="C377" s="1">
        <f>Growth!D382</f>
        <v>1</v>
      </c>
      <c r="D377" s="5" t="b">
        <f t="shared" si="244"/>
        <v>0</v>
      </c>
      <c r="E377" s="5">
        <v>2008</v>
      </c>
      <c r="F377" s="5">
        <f ca="1">LOOKUP($E377,frequence!$A$2:$A$35,frequence!L$2:L$35)</f>
        <v>38.010308287591222</v>
      </c>
      <c r="G377" s="5">
        <f ca="1">LOOKUP($E377,frequence!$A$2:$A$35,frequence!K$2:K$35)</f>
        <v>2.9831825211457392</v>
      </c>
      <c r="H377" s="5">
        <f ca="1">LOOKUP($E377,frequence!$A$2:$A$35,frequence!M$2:M$35)</f>
        <v>219.75327049269208</v>
      </c>
      <c r="I377" s="5">
        <v>2005</v>
      </c>
      <c r="J377" s="7">
        <f>LOOKUP(I377,CPI!A$69:A$103,CPI!O$69:O$103)</f>
        <v>1.1165181771633383</v>
      </c>
      <c r="K377" s="5">
        <v>2005</v>
      </c>
      <c r="L377" s="7">
        <f t="shared" ca="1" si="245"/>
        <v>1</v>
      </c>
      <c r="M377" s="7">
        <f t="shared" si="253"/>
        <v>4.0599999999999996</v>
      </c>
      <c r="N377" s="14">
        <v>0.7</v>
      </c>
      <c r="O377" s="1">
        <f ca="1">P377*J377*(1+Growth!G$6)^(2010-K377)</f>
        <v>32.856512948763474</v>
      </c>
      <c r="P377" s="3">
        <v>27.3</v>
      </c>
      <c r="Q377" s="2">
        <f t="shared" si="148"/>
        <v>27.3</v>
      </c>
      <c r="R377" s="21">
        <f t="shared" ca="1" si="246"/>
        <v>1079.5504431522618</v>
      </c>
      <c r="X377" s="2">
        <f t="shared" si="251"/>
        <v>27.3</v>
      </c>
      <c r="AC377" s="1">
        <f t="shared" si="270"/>
        <v>5.8</v>
      </c>
      <c r="AD377" s="5">
        <v>0</v>
      </c>
      <c r="AE377" s="5">
        <v>1</v>
      </c>
      <c r="AF377" s="5">
        <v>1</v>
      </c>
      <c r="AG377" s="5">
        <v>0</v>
      </c>
      <c r="AH377" s="5">
        <v>1</v>
      </c>
      <c r="AI377" s="3">
        <f t="shared" si="238"/>
        <v>2.8</v>
      </c>
      <c r="AJ377" s="5">
        <f t="shared" si="257"/>
        <v>1</v>
      </c>
      <c r="AK377" s="5">
        <f t="shared" si="247"/>
        <v>0</v>
      </c>
      <c r="AL377" s="5">
        <f t="shared" si="248"/>
        <v>0</v>
      </c>
      <c r="AM377" s="5">
        <f t="shared" si="258"/>
        <v>0</v>
      </c>
      <c r="AN377" s="5">
        <f t="shared" si="249"/>
        <v>0</v>
      </c>
      <c r="AO377" s="5">
        <f t="shared" si="259"/>
        <v>0</v>
      </c>
      <c r="AP377" s="11" t="s">
        <v>42</v>
      </c>
      <c r="AQ377" s="1">
        <v>3</v>
      </c>
      <c r="AR377" s="5">
        <v>0</v>
      </c>
      <c r="AS377" s="5">
        <v>0</v>
      </c>
      <c r="AT377" s="5">
        <v>0</v>
      </c>
      <c r="AU377" s="5">
        <v>0</v>
      </c>
      <c r="AV377" s="5">
        <f t="shared" si="239"/>
        <v>0</v>
      </c>
      <c r="AW377" s="5">
        <f t="shared" si="240"/>
        <v>0</v>
      </c>
      <c r="AX377" s="5">
        <f t="shared" si="241"/>
        <v>1</v>
      </c>
      <c r="AY377" s="1">
        <f t="shared" si="262"/>
        <v>0</v>
      </c>
      <c r="AZ377" s="1">
        <f t="shared" si="263"/>
        <v>0</v>
      </c>
      <c r="BA377" s="1">
        <f t="shared" si="264"/>
        <v>0</v>
      </c>
      <c r="BB377" s="5">
        <v>0</v>
      </c>
      <c r="BC377" s="5">
        <v>1</v>
      </c>
      <c r="BD377" s="5">
        <v>0</v>
      </c>
      <c r="BE377" s="5">
        <v>0</v>
      </c>
      <c r="BF377" s="5">
        <v>1</v>
      </c>
      <c r="BG377" s="5">
        <f t="shared" si="272"/>
        <v>0</v>
      </c>
      <c r="BH377" s="5">
        <f t="shared" si="272"/>
        <v>0</v>
      </c>
      <c r="BI377" s="5">
        <f t="shared" si="272"/>
        <v>0</v>
      </c>
      <c r="BJ377" s="5">
        <f t="shared" si="272"/>
        <v>0</v>
      </c>
      <c r="BK377" s="5">
        <f t="shared" si="272"/>
        <v>0</v>
      </c>
      <c r="BL377" s="5">
        <f t="shared" si="272"/>
        <v>0</v>
      </c>
      <c r="BM377" s="5">
        <f t="shared" si="272"/>
        <v>0</v>
      </c>
      <c r="BN377" s="5">
        <f t="shared" si="272"/>
        <v>0</v>
      </c>
      <c r="BO377" s="5">
        <f t="shared" si="271"/>
        <v>0</v>
      </c>
      <c r="BP377" s="5">
        <f t="shared" si="271"/>
        <v>0</v>
      </c>
      <c r="BQ377" s="5">
        <f t="shared" si="271"/>
        <v>0</v>
      </c>
      <c r="BR377" s="5">
        <f t="shared" si="271"/>
        <v>0</v>
      </c>
      <c r="BS377" s="5">
        <f t="shared" si="271"/>
        <v>0</v>
      </c>
      <c r="BT377" s="5">
        <f t="shared" si="271"/>
        <v>0</v>
      </c>
      <c r="BU377" s="5">
        <f t="shared" si="271"/>
        <v>0</v>
      </c>
      <c r="BV377" s="5">
        <f t="shared" si="271"/>
        <v>0</v>
      </c>
      <c r="BW377" s="5">
        <f t="shared" si="271"/>
        <v>0</v>
      </c>
      <c r="BX377" s="5">
        <f t="shared" si="271"/>
        <v>1</v>
      </c>
      <c r="BY377" s="5">
        <f t="shared" si="271"/>
        <v>0</v>
      </c>
      <c r="BZ377" s="5">
        <f t="shared" si="271"/>
        <v>0</v>
      </c>
      <c r="CA377" s="5">
        <f t="shared" si="271"/>
        <v>0</v>
      </c>
      <c r="CB377" s="5">
        <f t="shared" si="271"/>
        <v>0</v>
      </c>
      <c r="CC377" s="5">
        <f t="shared" si="269"/>
        <v>0</v>
      </c>
      <c r="CD377" s="5">
        <f t="shared" si="269"/>
        <v>0</v>
      </c>
      <c r="CE377" s="5">
        <f t="shared" si="269"/>
        <v>0</v>
      </c>
    </row>
    <row r="378" spans="1:83" x14ac:dyDescent="0.2">
      <c r="C378" s="1">
        <f>Growth!D383</f>
        <v>0</v>
      </c>
      <c r="D378" s="5" t="b">
        <f t="shared" si="244"/>
        <v>0</v>
      </c>
      <c r="E378" s="5">
        <v>2008</v>
      </c>
      <c r="F378" s="5">
        <f ca="1">LOOKUP($E378,frequence!$A$2:$A$35,frequence!L$2:L$35)</f>
        <v>38.010308287591222</v>
      </c>
      <c r="G378" s="5">
        <f ca="1">LOOKUP($E378,frequence!$A$2:$A$35,frequence!K$2:K$35)</f>
        <v>2.9831825211457392</v>
      </c>
      <c r="H378" s="5">
        <f ca="1">LOOKUP($E378,frequence!$A$2:$A$35,frequence!M$2:M$35)</f>
        <v>219.75327049269208</v>
      </c>
      <c r="I378" s="5">
        <v>2005</v>
      </c>
      <c r="J378" s="7">
        <f>LOOKUP(I378,CPI!A$69:A$103,CPI!O$69:O$103)</f>
        <v>1.1165181771633383</v>
      </c>
      <c r="K378" s="5">
        <v>2005</v>
      </c>
      <c r="L378" s="7">
        <f t="shared" ca="1" si="245"/>
        <v>1</v>
      </c>
      <c r="M378" s="7">
        <f t="shared" si="253"/>
        <v>5.7999999999999996E-2</v>
      </c>
      <c r="N378" s="14">
        <v>0.01</v>
      </c>
      <c r="O378" s="1">
        <f ca="1">P378*J378*(1+Growth!G$6)^(2010-K378)</f>
        <v>272.23967871832593</v>
      </c>
      <c r="P378" s="3">
        <f>27.3*348/42</f>
        <v>226.2</v>
      </c>
      <c r="Q378" s="2">
        <f t="shared" si="148"/>
        <v>226.2</v>
      </c>
      <c r="R378" s="21">
        <f t="shared" ca="1" si="246"/>
        <v>74114.442668657328</v>
      </c>
      <c r="X378" s="2">
        <f t="shared" si="251"/>
        <v>226.2</v>
      </c>
      <c r="AC378" s="1">
        <f t="shared" si="270"/>
        <v>5.8</v>
      </c>
      <c r="AD378" s="5">
        <v>0</v>
      </c>
      <c r="AE378" s="5">
        <v>1</v>
      </c>
      <c r="AF378" s="5">
        <v>1</v>
      </c>
      <c r="AG378" s="5">
        <v>0</v>
      </c>
      <c r="AH378" s="5">
        <v>1</v>
      </c>
      <c r="AI378" s="3">
        <f t="shared" si="238"/>
        <v>2.8</v>
      </c>
      <c r="AJ378" s="5">
        <f t="shared" si="257"/>
        <v>0</v>
      </c>
      <c r="AK378" s="5">
        <f t="shared" si="247"/>
        <v>0</v>
      </c>
      <c r="AL378" s="5">
        <f t="shared" si="248"/>
        <v>0</v>
      </c>
      <c r="AM378" s="5">
        <f t="shared" si="258"/>
        <v>0</v>
      </c>
      <c r="AN378" s="5">
        <f t="shared" si="249"/>
        <v>0</v>
      </c>
      <c r="AO378" s="5">
        <f t="shared" si="259"/>
        <v>1</v>
      </c>
      <c r="AP378" s="11" t="s">
        <v>42</v>
      </c>
      <c r="AQ378" s="1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f t="shared" si="239"/>
        <v>0</v>
      </c>
      <c r="AW378" s="5">
        <f t="shared" si="240"/>
        <v>0</v>
      </c>
      <c r="AX378" s="5">
        <f t="shared" si="241"/>
        <v>1</v>
      </c>
      <c r="AY378" s="1">
        <f t="shared" si="262"/>
        <v>0</v>
      </c>
      <c r="AZ378" s="1">
        <f t="shared" si="263"/>
        <v>0</v>
      </c>
      <c r="BA378" s="1">
        <f t="shared" si="264"/>
        <v>0</v>
      </c>
      <c r="BB378" s="5">
        <v>0</v>
      </c>
      <c r="BC378" s="5">
        <v>1</v>
      </c>
      <c r="BD378" s="5">
        <v>0</v>
      </c>
      <c r="BE378" s="5">
        <v>0</v>
      </c>
      <c r="BF378" s="5">
        <v>1</v>
      </c>
      <c r="BG378" s="5">
        <f t="shared" si="272"/>
        <v>0</v>
      </c>
      <c r="BH378" s="5">
        <f t="shared" si="272"/>
        <v>0</v>
      </c>
      <c r="BI378" s="5">
        <f t="shared" si="272"/>
        <v>0</v>
      </c>
      <c r="BJ378" s="5">
        <f t="shared" si="272"/>
        <v>0</v>
      </c>
      <c r="BK378" s="5">
        <f t="shared" si="272"/>
        <v>0</v>
      </c>
      <c r="BL378" s="5">
        <f t="shared" si="272"/>
        <v>0</v>
      </c>
      <c r="BM378" s="5">
        <f t="shared" si="272"/>
        <v>0</v>
      </c>
      <c r="BN378" s="5">
        <f t="shared" si="272"/>
        <v>0</v>
      </c>
      <c r="BO378" s="5">
        <f t="shared" si="271"/>
        <v>0</v>
      </c>
      <c r="BP378" s="5">
        <f t="shared" si="271"/>
        <v>0</v>
      </c>
      <c r="BQ378" s="5">
        <f t="shared" si="271"/>
        <v>0</v>
      </c>
      <c r="BR378" s="5">
        <f t="shared" si="271"/>
        <v>0</v>
      </c>
      <c r="BS378" s="5">
        <f t="shared" si="271"/>
        <v>0</v>
      </c>
      <c r="BT378" s="5">
        <f t="shared" si="271"/>
        <v>0</v>
      </c>
      <c r="BU378" s="5">
        <f t="shared" si="271"/>
        <v>0</v>
      </c>
      <c r="BV378" s="5">
        <f t="shared" si="271"/>
        <v>0</v>
      </c>
      <c r="BW378" s="5">
        <f t="shared" si="271"/>
        <v>0</v>
      </c>
      <c r="BX378" s="5">
        <f t="shared" si="271"/>
        <v>1</v>
      </c>
      <c r="BY378" s="5">
        <f t="shared" si="271"/>
        <v>0</v>
      </c>
      <c r="BZ378" s="5">
        <f t="shared" si="271"/>
        <v>0</v>
      </c>
      <c r="CA378" s="5">
        <f t="shared" si="271"/>
        <v>0</v>
      </c>
      <c r="CB378" s="5">
        <f t="shared" si="271"/>
        <v>0</v>
      </c>
      <c r="CC378" s="5">
        <f t="shared" si="269"/>
        <v>0</v>
      </c>
      <c r="CD378" s="5">
        <f t="shared" si="269"/>
        <v>0</v>
      </c>
      <c r="CE378" s="5">
        <f t="shared" si="269"/>
        <v>0</v>
      </c>
    </row>
    <row r="379" spans="1:83" x14ac:dyDescent="0.2">
      <c r="C379" s="1">
        <f>Growth!D384</f>
        <v>0</v>
      </c>
      <c r="D379" s="5" t="b">
        <f t="shared" si="244"/>
        <v>0</v>
      </c>
      <c r="E379" s="5">
        <v>2008</v>
      </c>
      <c r="F379" s="5">
        <f ca="1">LOOKUP($E379,frequence!$A$2:$A$35,frequence!L$2:L$35)</f>
        <v>38.010308287591222</v>
      </c>
      <c r="G379" s="5">
        <f ca="1">LOOKUP($E379,frequence!$A$2:$A$35,frequence!K$2:K$35)</f>
        <v>2.9831825211457392</v>
      </c>
      <c r="H379" s="5">
        <f ca="1">LOOKUP($E379,frequence!$A$2:$A$35,frequence!M$2:M$35)</f>
        <v>219.75327049269208</v>
      </c>
      <c r="I379" s="5">
        <v>2005</v>
      </c>
      <c r="J379" s="7">
        <f>LOOKUP(I379,CPI!A$69:A$103,CPI!O$69:O$103)</f>
        <v>1.1165181771633383</v>
      </c>
      <c r="K379" s="5">
        <v>2005</v>
      </c>
      <c r="L379" s="7">
        <f t="shared" ca="1" si="245"/>
        <v>1</v>
      </c>
      <c r="M379" s="7">
        <f t="shared" si="253"/>
        <v>0.52200000000000002</v>
      </c>
      <c r="N379" s="14">
        <v>0.09</v>
      </c>
      <c r="O379" s="1">
        <f ca="1">P379*J379*(1+Growth!G$6)^(2010-K379)</f>
        <v>33.638810876114988</v>
      </c>
      <c r="P379" s="3">
        <f>27.3*43/42</f>
        <v>27.950000000000003</v>
      </c>
      <c r="Q379" s="2">
        <f t="shared" si="148"/>
        <v>27.950000000000003</v>
      </c>
      <c r="R379" s="21">
        <f t="shared" ca="1" si="246"/>
        <v>1131.5695971590319</v>
      </c>
      <c r="X379" s="2">
        <f t="shared" si="251"/>
        <v>27.950000000000003</v>
      </c>
      <c r="AC379" s="1">
        <f t="shared" si="270"/>
        <v>5.8</v>
      </c>
      <c r="AD379" s="5">
        <v>0</v>
      </c>
      <c r="AE379" s="5">
        <v>1</v>
      </c>
      <c r="AF379" s="5">
        <v>1</v>
      </c>
      <c r="AG379" s="5">
        <v>0</v>
      </c>
      <c r="AH379" s="5">
        <v>1</v>
      </c>
      <c r="AI379" s="3">
        <f t="shared" si="238"/>
        <v>2.8</v>
      </c>
      <c r="AJ379" s="5">
        <f t="shared" si="257"/>
        <v>0</v>
      </c>
      <c r="AK379" s="5">
        <f t="shared" si="247"/>
        <v>0</v>
      </c>
      <c r="AL379" s="5">
        <f t="shared" si="248"/>
        <v>0</v>
      </c>
      <c r="AM379" s="5">
        <f t="shared" si="258"/>
        <v>0</v>
      </c>
      <c r="AN379" s="5">
        <f t="shared" si="249"/>
        <v>0</v>
      </c>
      <c r="AO379" s="5">
        <f t="shared" si="259"/>
        <v>1</v>
      </c>
      <c r="AP379" s="11" t="s">
        <v>42</v>
      </c>
      <c r="AQ379" s="1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f t="shared" si="239"/>
        <v>0</v>
      </c>
      <c r="AW379" s="5">
        <f t="shared" si="240"/>
        <v>0</v>
      </c>
      <c r="AX379" s="5">
        <f t="shared" si="241"/>
        <v>1</v>
      </c>
      <c r="AY379" s="1">
        <f t="shared" si="262"/>
        <v>0</v>
      </c>
      <c r="AZ379" s="1">
        <f t="shared" si="263"/>
        <v>0</v>
      </c>
      <c r="BA379" s="1">
        <f t="shared" si="264"/>
        <v>0</v>
      </c>
      <c r="BB379" s="5">
        <v>0</v>
      </c>
      <c r="BC379" s="5">
        <v>1</v>
      </c>
      <c r="BD379" s="5">
        <v>0</v>
      </c>
      <c r="BE379" s="5">
        <v>0</v>
      </c>
      <c r="BF379" s="5">
        <v>1</v>
      </c>
      <c r="BG379" s="5">
        <f t="shared" si="272"/>
        <v>0</v>
      </c>
      <c r="BH379" s="5">
        <f t="shared" si="272"/>
        <v>0</v>
      </c>
      <c r="BI379" s="5">
        <f t="shared" si="272"/>
        <v>0</v>
      </c>
      <c r="BJ379" s="5">
        <f t="shared" si="272"/>
        <v>0</v>
      </c>
      <c r="BK379" s="5">
        <f t="shared" si="272"/>
        <v>0</v>
      </c>
      <c r="BL379" s="5">
        <f t="shared" si="272"/>
        <v>0</v>
      </c>
      <c r="BM379" s="5">
        <f t="shared" si="272"/>
        <v>0</v>
      </c>
      <c r="BN379" s="5">
        <f t="shared" si="272"/>
        <v>0</v>
      </c>
      <c r="BO379" s="5">
        <f t="shared" si="271"/>
        <v>0</v>
      </c>
      <c r="BP379" s="5">
        <f t="shared" si="271"/>
        <v>0</v>
      </c>
      <c r="BQ379" s="5">
        <f t="shared" si="271"/>
        <v>0</v>
      </c>
      <c r="BR379" s="5">
        <f t="shared" si="271"/>
        <v>0</v>
      </c>
      <c r="BS379" s="5">
        <f t="shared" si="271"/>
        <v>0</v>
      </c>
      <c r="BT379" s="5">
        <f t="shared" si="271"/>
        <v>0</v>
      </c>
      <c r="BU379" s="5">
        <f t="shared" si="271"/>
        <v>0</v>
      </c>
      <c r="BV379" s="5">
        <f t="shared" si="271"/>
        <v>0</v>
      </c>
      <c r="BW379" s="5">
        <f t="shared" si="271"/>
        <v>0</v>
      </c>
      <c r="BX379" s="5">
        <f t="shared" si="271"/>
        <v>1</v>
      </c>
      <c r="BY379" s="5">
        <f t="shared" si="271"/>
        <v>0</v>
      </c>
      <c r="BZ379" s="5">
        <f t="shared" si="271"/>
        <v>0</v>
      </c>
      <c r="CA379" s="5">
        <f t="shared" si="271"/>
        <v>0</v>
      </c>
      <c r="CB379" s="5">
        <f t="shared" si="271"/>
        <v>0</v>
      </c>
      <c r="CC379" s="5">
        <f t="shared" si="271"/>
        <v>0</v>
      </c>
      <c r="CD379" s="5">
        <f t="shared" ref="CD379:CE398" si="273">IF($E379=CD$2,1,0)</f>
        <v>0</v>
      </c>
      <c r="CE379" s="5">
        <f t="shared" si="273"/>
        <v>0</v>
      </c>
    </row>
    <row r="380" spans="1:83" x14ac:dyDescent="0.2">
      <c r="A380" s="1" t="s">
        <v>50</v>
      </c>
      <c r="B380" s="11" t="s">
        <v>108</v>
      </c>
      <c r="C380" s="1">
        <f>Growth!D385</f>
        <v>0</v>
      </c>
      <c r="D380" s="5">
        <f t="shared" si="244"/>
        <v>2008</v>
      </c>
      <c r="E380" s="5">
        <v>2008</v>
      </c>
      <c r="F380" s="5">
        <f ca="1">LOOKUP($E380,frequence!$A$2:$A$35,frequence!L$2:L$35)</f>
        <v>38.010308287591222</v>
      </c>
      <c r="G380" s="5">
        <f ca="1">LOOKUP($E380,frequence!$A$2:$A$35,frequence!K$2:K$35)</f>
        <v>2.9831825211457392</v>
      </c>
      <c r="H380" s="5">
        <f ca="1">LOOKUP($E380,frequence!$A$2:$A$35,frequence!M$2:M$35)</f>
        <v>219.75327049269208</v>
      </c>
      <c r="I380" s="5">
        <v>2000</v>
      </c>
      <c r="J380" s="7">
        <f>LOOKUP(I380,CPI!A$69:A$103,CPI!O$69:O$103)</f>
        <v>1.2662950058072011</v>
      </c>
      <c r="K380" s="5">
        <v>2000</v>
      </c>
      <c r="L380" s="7">
        <f t="shared" ca="1" si="245"/>
        <v>1</v>
      </c>
      <c r="M380" s="7">
        <f t="shared" si="253"/>
        <v>1.1599999999999999</v>
      </c>
      <c r="N380" s="14">
        <v>0.2</v>
      </c>
      <c r="O380" s="1">
        <f ca="1">P380*J380*(1+Growth!G$6)^(2010-K380)</f>
        <v>20.599134813920408</v>
      </c>
      <c r="P380" s="2">
        <f>Q380</f>
        <v>14</v>
      </c>
      <c r="Q380" s="3">
        <v>14</v>
      </c>
      <c r="R380" s="21">
        <f t="shared" ca="1" si="246"/>
        <v>424.32435508206777</v>
      </c>
      <c r="U380" s="1">
        <v>3</v>
      </c>
      <c r="X380" s="2">
        <f t="shared" si="251"/>
        <v>14</v>
      </c>
      <c r="AA380" s="1">
        <v>41</v>
      </c>
      <c r="AC380" s="1">
        <f t="shared" si="270"/>
        <v>5.8</v>
      </c>
      <c r="AD380" s="5">
        <v>1</v>
      </c>
      <c r="AE380" s="5">
        <v>0</v>
      </c>
      <c r="AF380" s="5">
        <v>1</v>
      </c>
      <c r="AG380" s="5">
        <v>0</v>
      </c>
      <c r="AH380" s="5">
        <v>1</v>
      </c>
      <c r="AI380" s="3">
        <f t="shared" si="238"/>
        <v>2.8</v>
      </c>
      <c r="AJ380" s="5">
        <f t="shared" si="257"/>
        <v>1</v>
      </c>
      <c r="AK380" s="5">
        <f t="shared" si="247"/>
        <v>0</v>
      </c>
      <c r="AL380" s="5">
        <f t="shared" si="248"/>
        <v>0</v>
      </c>
      <c r="AM380" s="5">
        <f t="shared" si="258"/>
        <v>0</v>
      </c>
      <c r="AN380" s="5">
        <f t="shared" si="249"/>
        <v>0</v>
      </c>
      <c r="AO380" s="5">
        <f t="shared" si="259"/>
        <v>0</v>
      </c>
      <c r="AP380" s="11" t="s">
        <v>42</v>
      </c>
      <c r="AQ380" s="1">
        <v>3</v>
      </c>
      <c r="AR380" s="5">
        <v>0</v>
      </c>
      <c r="AS380" s="5">
        <v>0</v>
      </c>
      <c r="AT380" s="5">
        <v>1</v>
      </c>
      <c r="AU380" s="5">
        <v>0</v>
      </c>
      <c r="AV380" s="5">
        <f t="shared" si="239"/>
        <v>0</v>
      </c>
      <c r="AW380" s="5">
        <f t="shared" si="240"/>
        <v>0</v>
      </c>
      <c r="AX380" s="5">
        <f t="shared" si="241"/>
        <v>1</v>
      </c>
      <c r="AY380" s="1">
        <f t="shared" si="262"/>
        <v>1</v>
      </c>
      <c r="AZ380" s="1">
        <f t="shared" si="263"/>
        <v>0</v>
      </c>
      <c r="BA380" s="1">
        <f t="shared" si="264"/>
        <v>0</v>
      </c>
      <c r="BB380" s="5">
        <v>1</v>
      </c>
      <c r="BC380" s="5">
        <v>0</v>
      </c>
      <c r="BD380" s="5">
        <v>0</v>
      </c>
      <c r="BE380" s="5">
        <f>1-SUM(BB380:BD380)</f>
        <v>0</v>
      </c>
      <c r="BF380" s="5">
        <v>0</v>
      </c>
      <c r="BG380" s="5">
        <f t="shared" si="272"/>
        <v>0</v>
      </c>
      <c r="BH380" s="5">
        <f t="shared" si="272"/>
        <v>0</v>
      </c>
      <c r="BI380" s="5">
        <f t="shared" si="272"/>
        <v>0</v>
      </c>
      <c r="BJ380" s="5">
        <f t="shared" si="272"/>
        <v>0</v>
      </c>
      <c r="BK380" s="5">
        <f t="shared" si="272"/>
        <v>0</v>
      </c>
      <c r="BL380" s="5">
        <f t="shared" si="272"/>
        <v>0</v>
      </c>
      <c r="BM380" s="5">
        <f t="shared" si="272"/>
        <v>0</v>
      </c>
      <c r="BN380" s="5">
        <f t="shared" si="272"/>
        <v>0</v>
      </c>
      <c r="BO380" s="5">
        <f t="shared" si="271"/>
        <v>0</v>
      </c>
      <c r="BP380" s="5">
        <f t="shared" si="271"/>
        <v>0</v>
      </c>
      <c r="BQ380" s="5">
        <f t="shared" si="271"/>
        <v>0</v>
      </c>
      <c r="BR380" s="5">
        <f t="shared" si="271"/>
        <v>0</v>
      </c>
      <c r="BS380" s="5">
        <f t="shared" si="271"/>
        <v>0</v>
      </c>
      <c r="BT380" s="5">
        <f t="shared" si="271"/>
        <v>0</v>
      </c>
      <c r="BU380" s="5">
        <f t="shared" si="271"/>
        <v>0</v>
      </c>
      <c r="BV380" s="5">
        <f t="shared" si="271"/>
        <v>0</v>
      </c>
      <c r="BW380" s="5">
        <f t="shared" si="271"/>
        <v>0</v>
      </c>
      <c r="BX380" s="5">
        <f t="shared" si="271"/>
        <v>1</v>
      </c>
      <c r="BY380" s="5">
        <f t="shared" si="271"/>
        <v>0</v>
      </c>
      <c r="BZ380" s="5">
        <f t="shared" si="271"/>
        <v>0</v>
      </c>
      <c r="CA380" s="5">
        <f t="shared" si="271"/>
        <v>0</v>
      </c>
      <c r="CB380" s="5">
        <f t="shared" si="271"/>
        <v>0</v>
      </c>
      <c r="CC380" s="5">
        <f t="shared" si="271"/>
        <v>0</v>
      </c>
      <c r="CD380" s="5">
        <f t="shared" si="273"/>
        <v>0</v>
      </c>
      <c r="CE380" s="5">
        <f t="shared" si="273"/>
        <v>0</v>
      </c>
    </row>
    <row r="381" spans="1:83" x14ac:dyDescent="0.2">
      <c r="C381" s="1">
        <f>Growth!D386</f>
        <v>0</v>
      </c>
      <c r="D381" s="5" t="b">
        <f t="shared" si="244"/>
        <v>0</v>
      </c>
      <c r="E381" s="5">
        <v>2008</v>
      </c>
      <c r="F381" s="5">
        <f ca="1">LOOKUP($E381,frequence!$A$2:$A$35,frequence!L$2:L$35)</f>
        <v>38.010308287591222</v>
      </c>
      <c r="G381" s="5">
        <f ca="1">LOOKUP($E381,frequence!$A$2:$A$35,frequence!K$2:K$35)</f>
        <v>2.9831825211457392</v>
      </c>
      <c r="H381" s="5">
        <f ca="1">LOOKUP($E381,frequence!$A$2:$A$35,frequence!M$2:M$35)</f>
        <v>219.75327049269208</v>
      </c>
      <c r="I381" s="5">
        <v>2000</v>
      </c>
      <c r="J381" s="7">
        <f>LOOKUP(I381,CPI!A$69:A$103,CPI!O$69:O$103)</f>
        <v>1.2662950058072011</v>
      </c>
      <c r="K381" s="5">
        <v>2000</v>
      </c>
      <c r="L381" s="7">
        <f t="shared" ca="1" si="245"/>
        <v>1</v>
      </c>
      <c r="M381" s="7">
        <f t="shared" si="253"/>
        <v>1.1599999999999999</v>
      </c>
      <c r="N381" s="14">
        <v>0.2</v>
      </c>
      <c r="O381" s="1">
        <f ca="1">P381*J381*(1+Growth!G$6)^(2010-K381)</f>
        <v>19.127768041497522</v>
      </c>
      <c r="P381" s="2">
        <f>Q381</f>
        <v>13</v>
      </c>
      <c r="Q381" s="3">
        <v>13</v>
      </c>
      <c r="R381" s="21">
        <f t="shared" ca="1" si="246"/>
        <v>365.87151024933394</v>
      </c>
      <c r="U381" s="1">
        <v>3</v>
      </c>
      <c r="X381" s="2">
        <f t="shared" si="251"/>
        <v>13</v>
      </c>
      <c r="AA381" s="1">
        <v>37</v>
      </c>
      <c r="AC381" s="1">
        <f t="shared" si="270"/>
        <v>5.8</v>
      </c>
      <c r="AD381" s="5">
        <v>1</v>
      </c>
      <c r="AE381" s="5">
        <v>0</v>
      </c>
      <c r="AF381" s="5">
        <v>1</v>
      </c>
      <c r="AG381" s="5">
        <v>0</v>
      </c>
      <c r="AH381" s="5">
        <v>1</v>
      </c>
      <c r="AI381" s="3">
        <f t="shared" si="238"/>
        <v>2.8</v>
      </c>
      <c r="AJ381" s="5">
        <f t="shared" si="257"/>
        <v>1</v>
      </c>
      <c r="AK381" s="5">
        <f t="shared" si="247"/>
        <v>0</v>
      </c>
      <c r="AL381" s="5">
        <f t="shared" si="248"/>
        <v>0</v>
      </c>
      <c r="AM381" s="5">
        <f t="shared" si="258"/>
        <v>0</v>
      </c>
      <c r="AN381" s="5">
        <f t="shared" si="249"/>
        <v>0</v>
      </c>
      <c r="AO381" s="5">
        <f t="shared" si="259"/>
        <v>0</v>
      </c>
      <c r="AP381" s="11" t="s">
        <v>42</v>
      </c>
      <c r="AQ381" s="1">
        <v>3</v>
      </c>
      <c r="AR381" s="5">
        <v>0</v>
      </c>
      <c r="AS381" s="5">
        <v>0</v>
      </c>
      <c r="AT381" s="5">
        <v>1</v>
      </c>
      <c r="AU381" s="5">
        <v>0</v>
      </c>
      <c r="AV381" s="5">
        <v>0</v>
      </c>
      <c r="AW381" s="5">
        <v>0</v>
      </c>
      <c r="AX381" s="5">
        <v>1</v>
      </c>
      <c r="AY381" s="1">
        <f t="shared" si="262"/>
        <v>1</v>
      </c>
      <c r="AZ381" s="1">
        <f t="shared" si="263"/>
        <v>0</v>
      </c>
      <c r="BA381" s="1">
        <f t="shared" si="264"/>
        <v>0</v>
      </c>
      <c r="BB381" s="5">
        <v>1</v>
      </c>
      <c r="BC381" s="5">
        <v>0</v>
      </c>
      <c r="BD381" s="5">
        <v>0</v>
      </c>
      <c r="BE381" s="5">
        <f>1-SUM(BB381:BD381)</f>
        <v>0</v>
      </c>
      <c r="BF381" s="5">
        <v>0</v>
      </c>
      <c r="BG381" s="5">
        <f t="shared" si="272"/>
        <v>0</v>
      </c>
      <c r="BH381" s="5">
        <f t="shared" si="272"/>
        <v>0</v>
      </c>
      <c r="BI381" s="5">
        <f t="shared" si="272"/>
        <v>0</v>
      </c>
      <c r="BJ381" s="5">
        <f t="shared" si="272"/>
        <v>0</v>
      </c>
      <c r="BK381" s="5">
        <f t="shared" si="272"/>
        <v>0</v>
      </c>
      <c r="BL381" s="5">
        <f t="shared" si="272"/>
        <v>0</v>
      </c>
      <c r="BM381" s="5">
        <f t="shared" si="272"/>
        <v>0</v>
      </c>
      <c r="BN381" s="5">
        <f t="shared" si="272"/>
        <v>0</v>
      </c>
      <c r="BO381" s="5">
        <f t="shared" si="271"/>
        <v>0</v>
      </c>
      <c r="BP381" s="5">
        <f t="shared" si="271"/>
        <v>0</v>
      </c>
      <c r="BQ381" s="5">
        <f t="shared" si="271"/>
        <v>0</v>
      </c>
      <c r="BR381" s="5">
        <f t="shared" si="271"/>
        <v>0</v>
      </c>
      <c r="BS381" s="5">
        <f t="shared" si="271"/>
        <v>0</v>
      </c>
      <c r="BT381" s="5">
        <f t="shared" si="271"/>
        <v>0</v>
      </c>
      <c r="BU381" s="5">
        <f t="shared" si="271"/>
        <v>0</v>
      </c>
      <c r="BV381" s="5">
        <f t="shared" si="271"/>
        <v>0</v>
      </c>
      <c r="BW381" s="5">
        <f t="shared" si="271"/>
        <v>0</v>
      </c>
      <c r="BX381" s="5">
        <f t="shared" si="271"/>
        <v>1</v>
      </c>
      <c r="BY381" s="5">
        <f t="shared" si="271"/>
        <v>0</v>
      </c>
      <c r="BZ381" s="5">
        <f t="shared" si="271"/>
        <v>0</v>
      </c>
      <c r="CA381" s="5">
        <f t="shared" si="271"/>
        <v>0</v>
      </c>
      <c r="CB381" s="5">
        <f t="shared" si="271"/>
        <v>0</v>
      </c>
      <c r="CC381" s="5">
        <f t="shared" si="271"/>
        <v>0</v>
      </c>
      <c r="CD381" s="5">
        <f t="shared" si="273"/>
        <v>0</v>
      </c>
      <c r="CE381" s="5">
        <f t="shared" si="273"/>
        <v>0</v>
      </c>
    </row>
    <row r="382" spans="1:83" x14ac:dyDescent="0.2">
      <c r="C382" s="1">
        <f>Growth!D387</f>
        <v>0</v>
      </c>
      <c r="D382" s="5" t="b">
        <f t="shared" si="244"/>
        <v>0</v>
      </c>
      <c r="E382" s="5">
        <v>2008</v>
      </c>
      <c r="F382" s="5">
        <f ca="1">LOOKUP($E382,frequence!$A$2:$A$35,frequence!L$2:L$35)</f>
        <v>38.010308287591222</v>
      </c>
      <c r="G382" s="5">
        <f ca="1">LOOKUP($E382,frequence!$A$2:$A$35,frequence!K$2:K$35)</f>
        <v>2.9831825211457392</v>
      </c>
      <c r="H382" s="5">
        <f ca="1">LOOKUP($E382,frequence!$A$2:$A$35,frequence!M$2:M$35)</f>
        <v>219.75327049269208</v>
      </c>
      <c r="I382" s="5">
        <v>2000</v>
      </c>
      <c r="J382" s="7">
        <f>LOOKUP(I382,CPI!A$69:A$103,CPI!O$69:O$103)</f>
        <v>1.2662950058072011</v>
      </c>
      <c r="K382" s="5">
        <v>2000</v>
      </c>
      <c r="L382" s="7">
        <f t="shared" ca="1" si="245"/>
        <v>1</v>
      </c>
      <c r="M382" s="7">
        <f t="shared" si="253"/>
        <v>1.1599999999999999</v>
      </c>
      <c r="N382" s="14">
        <v>0.2</v>
      </c>
      <c r="O382" s="1">
        <f ca="1">P382*J382*(1+Growth!G$6)^(2010-K382)</f>
        <v>19.127768041497522</v>
      </c>
      <c r="P382" s="2">
        <f>Q382</f>
        <v>13</v>
      </c>
      <c r="Q382" s="3">
        <v>13</v>
      </c>
      <c r="R382" s="21">
        <f t="shared" ca="1" si="246"/>
        <v>365.87151024933394</v>
      </c>
      <c r="U382" s="1">
        <v>2</v>
      </c>
      <c r="X382" s="2">
        <f t="shared" si="251"/>
        <v>13</v>
      </c>
      <c r="AA382" s="1">
        <v>43</v>
      </c>
      <c r="AC382" s="1">
        <f t="shared" si="270"/>
        <v>5.8</v>
      </c>
      <c r="AD382" s="5">
        <v>1</v>
      </c>
      <c r="AE382" s="5">
        <v>0</v>
      </c>
      <c r="AF382" s="5">
        <v>1</v>
      </c>
      <c r="AG382" s="5">
        <v>0</v>
      </c>
      <c r="AH382" s="5">
        <v>1</v>
      </c>
      <c r="AI382" s="3">
        <f t="shared" si="238"/>
        <v>2.8</v>
      </c>
      <c r="AJ382" s="5">
        <f t="shared" si="257"/>
        <v>1</v>
      </c>
      <c r="AK382" s="5">
        <f t="shared" si="247"/>
        <v>0</v>
      </c>
      <c r="AL382" s="5">
        <f t="shared" si="248"/>
        <v>0</v>
      </c>
      <c r="AM382" s="5">
        <f t="shared" si="258"/>
        <v>0</v>
      </c>
      <c r="AN382" s="5">
        <f t="shared" si="249"/>
        <v>0</v>
      </c>
      <c r="AO382" s="5">
        <f t="shared" si="259"/>
        <v>0</v>
      </c>
      <c r="AP382" s="11" t="s">
        <v>42</v>
      </c>
      <c r="AQ382" s="1">
        <v>3</v>
      </c>
      <c r="AR382" s="5">
        <v>0</v>
      </c>
      <c r="AS382" s="5">
        <v>0</v>
      </c>
      <c r="AT382" s="5">
        <v>1</v>
      </c>
      <c r="AU382" s="5">
        <v>0</v>
      </c>
      <c r="AV382" s="5">
        <v>0</v>
      </c>
      <c r="AW382" s="5">
        <v>0</v>
      </c>
      <c r="AX382" s="5">
        <v>1</v>
      </c>
      <c r="AY382" s="1">
        <f t="shared" si="262"/>
        <v>1</v>
      </c>
      <c r="AZ382" s="1">
        <f t="shared" si="263"/>
        <v>0</v>
      </c>
      <c r="BA382" s="1">
        <f t="shared" si="264"/>
        <v>0</v>
      </c>
      <c r="BB382" s="5">
        <v>1</v>
      </c>
      <c r="BC382" s="5">
        <v>0</v>
      </c>
      <c r="BD382" s="5">
        <v>0</v>
      </c>
      <c r="BE382" s="5">
        <f>1-SUM(BB382:BD382)</f>
        <v>0</v>
      </c>
      <c r="BF382" s="5">
        <v>0</v>
      </c>
      <c r="BG382" s="5">
        <f t="shared" si="272"/>
        <v>0</v>
      </c>
      <c r="BH382" s="5">
        <f t="shared" si="272"/>
        <v>0</v>
      </c>
      <c r="BI382" s="5">
        <f t="shared" si="272"/>
        <v>0</v>
      </c>
      <c r="BJ382" s="5">
        <f t="shared" si="272"/>
        <v>0</v>
      </c>
      <c r="BK382" s="5">
        <f t="shared" si="272"/>
        <v>0</v>
      </c>
      <c r="BL382" s="5">
        <f t="shared" si="272"/>
        <v>0</v>
      </c>
      <c r="BM382" s="5">
        <f t="shared" si="272"/>
        <v>0</v>
      </c>
      <c r="BN382" s="5">
        <f t="shared" si="272"/>
        <v>0</v>
      </c>
      <c r="BO382" s="5">
        <f t="shared" si="271"/>
        <v>0</v>
      </c>
      <c r="BP382" s="5">
        <f t="shared" si="271"/>
        <v>0</v>
      </c>
      <c r="BQ382" s="5">
        <f t="shared" si="271"/>
        <v>0</v>
      </c>
      <c r="BR382" s="5">
        <f t="shared" si="271"/>
        <v>0</v>
      </c>
      <c r="BS382" s="5">
        <f t="shared" si="271"/>
        <v>0</v>
      </c>
      <c r="BT382" s="5">
        <f t="shared" si="271"/>
        <v>0</v>
      </c>
      <c r="BU382" s="5">
        <f t="shared" si="271"/>
        <v>0</v>
      </c>
      <c r="BV382" s="5">
        <f t="shared" si="271"/>
        <v>0</v>
      </c>
      <c r="BW382" s="5">
        <f t="shared" si="271"/>
        <v>0</v>
      </c>
      <c r="BX382" s="5">
        <f t="shared" si="271"/>
        <v>1</v>
      </c>
      <c r="BY382" s="5">
        <f t="shared" si="271"/>
        <v>0</v>
      </c>
      <c r="BZ382" s="5">
        <f t="shared" si="271"/>
        <v>0</v>
      </c>
      <c r="CA382" s="5">
        <f t="shared" si="271"/>
        <v>0</v>
      </c>
      <c r="CB382" s="5">
        <f t="shared" si="271"/>
        <v>0</v>
      </c>
      <c r="CC382" s="5">
        <f t="shared" si="271"/>
        <v>0</v>
      </c>
      <c r="CD382" s="5">
        <f t="shared" si="273"/>
        <v>0</v>
      </c>
      <c r="CE382" s="5">
        <f t="shared" si="273"/>
        <v>0</v>
      </c>
    </row>
    <row r="383" spans="1:83" x14ac:dyDescent="0.2">
      <c r="C383" s="1">
        <f>Growth!D388</f>
        <v>0</v>
      </c>
      <c r="D383" s="5" t="b">
        <f t="shared" si="244"/>
        <v>0</v>
      </c>
      <c r="E383" s="5">
        <v>2008</v>
      </c>
      <c r="F383" s="5">
        <f ca="1">LOOKUP($E383,frequence!$A$2:$A$35,frequence!L$2:L$35)</f>
        <v>38.010308287591222</v>
      </c>
      <c r="G383" s="5">
        <f ca="1">LOOKUP($E383,frequence!$A$2:$A$35,frequence!K$2:K$35)</f>
        <v>2.9831825211457392</v>
      </c>
      <c r="H383" s="5">
        <f ca="1">LOOKUP($E383,frequence!$A$2:$A$35,frequence!M$2:M$35)</f>
        <v>219.75327049269208</v>
      </c>
      <c r="I383" s="5">
        <v>2000</v>
      </c>
      <c r="J383" s="7">
        <f>LOOKUP(I383,CPI!A$69:A$103,CPI!O$69:O$103)</f>
        <v>1.2662950058072011</v>
      </c>
      <c r="K383" s="5">
        <v>2000</v>
      </c>
      <c r="L383" s="7">
        <f t="shared" ca="1" si="245"/>
        <v>1</v>
      </c>
      <c r="M383" s="7">
        <f t="shared" si="253"/>
        <v>1.1599999999999999</v>
      </c>
      <c r="N383" s="14">
        <v>0.2</v>
      </c>
      <c r="O383" s="1">
        <f ca="1">P383*J383*(1+Growth!G$6)^(2010-K383)</f>
        <v>19.127768041497522</v>
      </c>
      <c r="P383" s="2">
        <f>Q383</f>
        <v>13</v>
      </c>
      <c r="Q383" s="3">
        <v>13</v>
      </c>
      <c r="R383" s="21">
        <f t="shared" ca="1" si="246"/>
        <v>365.87151024933394</v>
      </c>
      <c r="U383" s="1">
        <v>2</v>
      </c>
      <c r="X383" s="2">
        <f t="shared" si="251"/>
        <v>13</v>
      </c>
      <c r="AA383" s="1">
        <v>37</v>
      </c>
      <c r="AC383" s="1">
        <f t="shared" si="270"/>
        <v>5.8</v>
      </c>
      <c r="AD383" s="5">
        <v>1</v>
      </c>
      <c r="AE383" s="5">
        <v>0</v>
      </c>
      <c r="AF383" s="5">
        <v>1</v>
      </c>
      <c r="AG383" s="5">
        <v>0</v>
      </c>
      <c r="AH383" s="5">
        <v>1</v>
      </c>
      <c r="AI383" s="3">
        <f t="shared" si="238"/>
        <v>2.8</v>
      </c>
      <c r="AJ383" s="5">
        <f t="shared" si="257"/>
        <v>1</v>
      </c>
      <c r="AK383" s="5">
        <f t="shared" si="247"/>
        <v>0</v>
      </c>
      <c r="AL383" s="5">
        <f t="shared" si="248"/>
        <v>0</v>
      </c>
      <c r="AM383" s="5">
        <f t="shared" si="258"/>
        <v>0</v>
      </c>
      <c r="AN383" s="5">
        <f t="shared" si="249"/>
        <v>0</v>
      </c>
      <c r="AO383" s="5">
        <f t="shared" si="259"/>
        <v>0</v>
      </c>
      <c r="AP383" s="11" t="s">
        <v>42</v>
      </c>
      <c r="AQ383" s="1">
        <v>3</v>
      </c>
      <c r="AR383" s="5">
        <v>0</v>
      </c>
      <c r="AS383" s="5">
        <v>0</v>
      </c>
      <c r="AT383" s="5">
        <v>1</v>
      </c>
      <c r="AU383" s="5">
        <v>0</v>
      </c>
      <c r="AV383" s="5">
        <v>0</v>
      </c>
      <c r="AW383" s="5">
        <v>0</v>
      </c>
      <c r="AX383" s="5">
        <v>1</v>
      </c>
      <c r="AY383" s="1">
        <f t="shared" si="262"/>
        <v>1</v>
      </c>
      <c r="AZ383" s="1">
        <f t="shared" si="263"/>
        <v>0</v>
      </c>
      <c r="BA383" s="1">
        <f t="shared" si="264"/>
        <v>0</v>
      </c>
      <c r="BB383" s="5">
        <v>1</v>
      </c>
      <c r="BC383" s="5">
        <v>0</v>
      </c>
      <c r="BD383" s="5">
        <v>0</v>
      </c>
      <c r="BE383" s="5">
        <f>1-SUM(BB383:BD383)</f>
        <v>0</v>
      </c>
      <c r="BF383" s="5">
        <v>0</v>
      </c>
      <c r="BG383" s="5">
        <f t="shared" si="272"/>
        <v>0</v>
      </c>
      <c r="BH383" s="5">
        <f t="shared" si="272"/>
        <v>0</v>
      </c>
      <c r="BI383" s="5">
        <f t="shared" si="272"/>
        <v>0</v>
      </c>
      <c r="BJ383" s="5">
        <f t="shared" si="272"/>
        <v>0</v>
      </c>
      <c r="BK383" s="5">
        <f t="shared" si="272"/>
        <v>0</v>
      </c>
      <c r="BL383" s="5">
        <f t="shared" si="272"/>
        <v>0</v>
      </c>
      <c r="BM383" s="5">
        <f t="shared" si="272"/>
        <v>0</v>
      </c>
      <c r="BN383" s="5">
        <f t="shared" si="272"/>
        <v>0</v>
      </c>
      <c r="BO383" s="5">
        <f t="shared" si="271"/>
        <v>0</v>
      </c>
      <c r="BP383" s="5">
        <f t="shared" si="271"/>
        <v>0</v>
      </c>
      <c r="BQ383" s="5">
        <f t="shared" si="271"/>
        <v>0</v>
      </c>
      <c r="BR383" s="5">
        <f t="shared" si="271"/>
        <v>0</v>
      </c>
      <c r="BS383" s="5">
        <f t="shared" si="271"/>
        <v>0</v>
      </c>
      <c r="BT383" s="5">
        <f t="shared" si="271"/>
        <v>0</v>
      </c>
      <c r="BU383" s="5">
        <f t="shared" si="271"/>
        <v>0</v>
      </c>
      <c r="BV383" s="5">
        <f t="shared" si="271"/>
        <v>0</v>
      </c>
      <c r="BW383" s="5">
        <f t="shared" si="271"/>
        <v>0</v>
      </c>
      <c r="BX383" s="5">
        <f t="shared" si="271"/>
        <v>1</v>
      </c>
      <c r="BY383" s="5">
        <f t="shared" si="271"/>
        <v>0</v>
      </c>
      <c r="BZ383" s="5">
        <f t="shared" si="271"/>
        <v>0</v>
      </c>
      <c r="CA383" s="5">
        <f t="shared" si="271"/>
        <v>0</v>
      </c>
      <c r="CB383" s="5">
        <f t="shared" si="271"/>
        <v>0</v>
      </c>
      <c r="CC383" s="5">
        <f t="shared" si="271"/>
        <v>0</v>
      </c>
      <c r="CD383" s="5">
        <f t="shared" si="273"/>
        <v>0</v>
      </c>
      <c r="CE383" s="5">
        <f t="shared" si="273"/>
        <v>0</v>
      </c>
    </row>
    <row r="384" spans="1:83" x14ac:dyDescent="0.2">
      <c r="C384" s="1">
        <f>Growth!D389</f>
        <v>1</v>
      </c>
      <c r="D384" s="5" t="b">
        <f t="shared" si="244"/>
        <v>0</v>
      </c>
      <c r="E384" s="5">
        <v>2008</v>
      </c>
      <c r="F384" s="5">
        <f ca="1">LOOKUP($E384,frequence!$A$2:$A$35,frequence!L$2:L$35)</f>
        <v>38.010308287591222</v>
      </c>
      <c r="G384" s="5">
        <f ca="1">LOOKUP($E384,frequence!$A$2:$A$35,frequence!K$2:K$35)</f>
        <v>2.9831825211457392</v>
      </c>
      <c r="H384" s="5">
        <f ca="1">LOOKUP($E384,frequence!$A$2:$A$35,frequence!M$2:M$35)</f>
        <v>219.75327049269208</v>
      </c>
      <c r="I384" s="5">
        <v>2000</v>
      </c>
      <c r="J384" s="7">
        <f>LOOKUP(I384,CPI!A$69:A$103,CPI!O$69:O$103)</f>
        <v>1.2662950058072011</v>
      </c>
      <c r="K384" s="5">
        <v>2000</v>
      </c>
      <c r="L384" s="7">
        <f t="shared" ca="1" si="245"/>
        <v>1</v>
      </c>
      <c r="M384" s="7">
        <f t="shared" si="253"/>
        <v>1.1599999999999999</v>
      </c>
      <c r="N384" s="14">
        <v>0.2</v>
      </c>
      <c r="O384" s="1">
        <f ca="1">P384*J384*(1+Growth!G$6)^(2010-K384)</f>
        <v>17.656401269074635</v>
      </c>
      <c r="P384" s="2">
        <f t="shared" ref="P384:P394" si="274">Q384</f>
        <v>12</v>
      </c>
      <c r="Q384" s="3">
        <v>12</v>
      </c>
      <c r="R384" s="21">
        <f t="shared" ca="1" si="246"/>
        <v>311.74850577458039</v>
      </c>
      <c r="U384" s="1">
        <v>2</v>
      </c>
      <c r="X384" s="2">
        <f t="shared" si="251"/>
        <v>12</v>
      </c>
      <c r="AA384" s="1">
        <v>35</v>
      </c>
      <c r="AC384" s="1">
        <f t="shared" si="270"/>
        <v>5.8</v>
      </c>
      <c r="AD384" s="5">
        <v>1</v>
      </c>
      <c r="AE384" s="5">
        <v>0</v>
      </c>
      <c r="AF384" s="5">
        <v>1</v>
      </c>
      <c r="AG384" s="5">
        <v>0</v>
      </c>
      <c r="AH384" s="5">
        <v>1</v>
      </c>
      <c r="AI384" s="3">
        <f t="shared" si="238"/>
        <v>2.8</v>
      </c>
      <c r="AJ384" s="5">
        <f t="shared" si="257"/>
        <v>1</v>
      </c>
      <c r="AK384" s="5">
        <f t="shared" si="247"/>
        <v>0</v>
      </c>
      <c r="AL384" s="5">
        <f t="shared" si="248"/>
        <v>0</v>
      </c>
      <c r="AM384" s="5">
        <f t="shared" si="258"/>
        <v>0</v>
      </c>
      <c r="AN384" s="5">
        <f t="shared" si="249"/>
        <v>0</v>
      </c>
      <c r="AO384" s="5">
        <f t="shared" si="259"/>
        <v>0</v>
      </c>
      <c r="AP384" s="11" t="s">
        <v>42</v>
      </c>
      <c r="AQ384" s="1">
        <v>3</v>
      </c>
      <c r="AR384" s="5">
        <v>0</v>
      </c>
      <c r="AS384" s="5">
        <v>0</v>
      </c>
      <c r="AT384" s="5">
        <v>1</v>
      </c>
      <c r="AU384" s="5">
        <v>0</v>
      </c>
      <c r="AV384" s="5">
        <v>0</v>
      </c>
      <c r="AW384" s="5">
        <v>0</v>
      </c>
      <c r="AX384" s="5">
        <v>1</v>
      </c>
      <c r="AY384" s="1">
        <f t="shared" si="262"/>
        <v>1</v>
      </c>
      <c r="AZ384" s="1">
        <f t="shared" si="263"/>
        <v>0</v>
      </c>
      <c r="BA384" s="1">
        <f t="shared" si="264"/>
        <v>0</v>
      </c>
      <c r="BB384" s="5">
        <v>1</v>
      </c>
      <c r="BC384" s="5">
        <v>0</v>
      </c>
      <c r="BD384" s="5">
        <v>0</v>
      </c>
      <c r="BE384" s="5">
        <f>1-SUM(BB384:BD384)</f>
        <v>0</v>
      </c>
      <c r="BF384" s="5">
        <v>1</v>
      </c>
      <c r="BG384" s="5">
        <f t="shared" si="272"/>
        <v>0</v>
      </c>
      <c r="BH384" s="5">
        <f t="shared" si="272"/>
        <v>0</v>
      </c>
      <c r="BI384" s="5">
        <f t="shared" si="272"/>
        <v>0</v>
      </c>
      <c r="BJ384" s="5">
        <f t="shared" si="272"/>
        <v>0</v>
      </c>
      <c r="BK384" s="5">
        <f t="shared" si="272"/>
        <v>0</v>
      </c>
      <c r="BL384" s="5">
        <f t="shared" si="272"/>
        <v>0</v>
      </c>
      <c r="BM384" s="5">
        <f t="shared" si="272"/>
        <v>0</v>
      </c>
      <c r="BN384" s="5">
        <f t="shared" si="272"/>
        <v>0</v>
      </c>
      <c r="BO384" s="5">
        <f t="shared" si="271"/>
        <v>0</v>
      </c>
      <c r="BP384" s="5">
        <f t="shared" si="271"/>
        <v>0</v>
      </c>
      <c r="BQ384" s="5">
        <f t="shared" si="271"/>
        <v>0</v>
      </c>
      <c r="BR384" s="5">
        <f t="shared" si="271"/>
        <v>0</v>
      </c>
      <c r="BS384" s="5">
        <f t="shared" si="271"/>
        <v>0</v>
      </c>
      <c r="BT384" s="5">
        <f t="shared" si="271"/>
        <v>0</v>
      </c>
      <c r="BU384" s="5">
        <f t="shared" si="271"/>
        <v>0</v>
      </c>
      <c r="BV384" s="5">
        <f t="shared" si="271"/>
        <v>0</v>
      </c>
      <c r="BW384" s="5">
        <f t="shared" si="271"/>
        <v>0</v>
      </c>
      <c r="BX384" s="5">
        <f t="shared" si="271"/>
        <v>1</v>
      </c>
      <c r="BY384" s="5">
        <f t="shared" si="271"/>
        <v>0</v>
      </c>
      <c r="BZ384" s="5">
        <f t="shared" si="271"/>
        <v>0</v>
      </c>
      <c r="CA384" s="5">
        <f t="shared" si="271"/>
        <v>0</v>
      </c>
      <c r="CB384" s="5">
        <f t="shared" si="271"/>
        <v>0</v>
      </c>
      <c r="CC384" s="5">
        <f t="shared" si="271"/>
        <v>0</v>
      </c>
      <c r="CD384" s="5">
        <f t="shared" si="273"/>
        <v>0</v>
      </c>
      <c r="CE384" s="5">
        <f t="shared" si="273"/>
        <v>0</v>
      </c>
    </row>
    <row r="385" spans="1:83" x14ac:dyDescent="0.2">
      <c r="A385" s="1" t="s">
        <v>50</v>
      </c>
      <c r="B385" s="11" t="s">
        <v>109</v>
      </c>
      <c r="C385" s="1">
        <f>Growth!D390</f>
        <v>0</v>
      </c>
      <c r="D385" s="5">
        <f t="shared" si="244"/>
        <v>2008</v>
      </c>
      <c r="E385" s="5">
        <v>2008</v>
      </c>
      <c r="F385" s="5">
        <f ca="1">LOOKUP($E385,frequence!$A$2:$A$35,frequence!L$2:L$35)</f>
        <v>38.010308287591222</v>
      </c>
      <c r="G385" s="5">
        <f ca="1">LOOKUP($E385,frequence!$A$2:$A$35,frequence!K$2:K$35)</f>
        <v>2.9831825211457392</v>
      </c>
      <c r="H385" s="5">
        <f ca="1">LOOKUP($E385,frequence!$A$2:$A$35,frequence!M$2:M$35)</f>
        <v>219.75327049269208</v>
      </c>
      <c r="I385" s="5">
        <v>2000</v>
      </c>
      <c r="J385" s="7">
        <f>LOOKUP(I385,CPI!A$69:A$103,CPI!O$69:O$103)</f>
        <v>1.2662950058072011</v>
      </c>
      <c r="K385" s="5">
        <v>2000</v>
      </c>
      <c r="L385" s="7">
        <f t="shared" ca="1" si="245"/>
        <v>1</v>
      </c>
      <c r="M385" s="7">
        <f t="shared" si="253"/>
        <v>0.57999999999999996</v>
      </c>
      <c r="N385" s="14">
        <v>0.1</v>
      </c>
      <c r="O385" s="1">
        <f ca="1">P385*J385*(1+Growth!G$6)^(2010-K385)</f>
        <v>23.54186835876618</v>
      </c>
      <c r="P385" s="2">
        <f t="shared" si="274"/>
        <v>16</v>
      </c>
      <c r="Q385" s="3">
        <v>16</v>
      </c>
      <c r="R385" s="21">
        <f t="shared" ca="1" si="246"/>
        <v>554.21956582147629</v>
      </c>
      <c r="U385" s="1">
        <v>4</v>
      </c>
      <c r="X385" s="2">
        <f t="shared" si="251"/>
        <v>16</v>
      </c>
      <c r="AA385" s="1">
        <v>44</v>
      </c>
      <c r="AC385" s="1">
        <f t="shared" ref="AC385:AC400" si="275">SUM(AD385:AI385)</f>
        <v>5.8</v>
      </c>
      <c r="AD385" s="5">
        <v>1</v>
      </c>
      <c r="AE385" s="5">
        <v>0</v>
      </c>
      <c r="AF385" s="5">
        <v>1</v>
      </c>
      <c r="AG385" s="5">
        <v>0</v>
      </c>
      <c r="AH385" s="5">
        <v>1</v>
      </c>
      <c r="AI385" s="3">
        <f t="shared" si="238"/>
        <v>2.8</v>
      </c>
      <c r="AJ385" s="5">
        <f t="shared" si="257"/>
        <v>1</v>
      </c>
      <c r="AK385" s="5">
        <f t="shared" si="247"/>
        <v>0</v>
      </c>
      <c r="AL385" s="5">
        <f t="shared" si="248"/>
        <v>0</v>
      </c>
      <c r="AM385" s="5">
        <f t="shared" si="258"/>
        <v>0</v>
      </c>
      <c r="AN385" s="5">
        <f t="shared" si="249"/>
        <v>0</v>
      </c>
      <c r="AO385" s="5">
        <f t="shared" si="259"/>
        <v>0</v>
      </c>
      <c r="AP385" s="11" t="s">
        <v>42</v>
      </c>
      <c r="AQ385" s="1">
        <v>3</v>
      </c>
      <c r="AR385" s="5">
        <v>0</v>
      </c>
      <c r="AS385" s="5">
        <v>1</v>
      </c>
      <c r="AT385" s="5">
        <v>1</v>
      </c>
      <c r="AU385" s="5">
        <v>0</v>
      </c>
      <c r="AV385" s="5">
        <v>0</v>
      </c>
      <c r="AW385" s="5">
        <v>0</v>
      </c>
      <c r="AX385" s="5">
        <v>1</v>
      </c>
      <c r="AY385" s="1">
        <f t="shared" si="262"/>
        <v>1</v>
      </c>
      <c r="AZ385" s="1">
        <f t="shared" si="263"/>
        <v>0</v>
      </c>
      <c r="BA385" s="1">
        <f t="shared" si="264"/>
        <v>0</v>
      </c>
      <c r="BB385" s="5">
        <v>1</v>
      </c>
      <c r="BC385" s="5">
        <v>0</v>
      </c>
      <c r="BD385" s="5">
        <v>0</v>
      </c>
      <c r="BE385" s="5">
        <f t="shared" ref="BE385:BE399" si="276">1-SUM(BB385:BD385)</f>
        <v>0</v>
      </c>
      <c r="BF385" s="5">
        <v>0</v>
      </c>
      <c r="BG385" s="5">
        <f t="shared" si="272"/>
        <v>0</v>
      </c>
      <c r="BH385" s="5">
        <f t="shared" si="272"/>
        <v>0</v>
      </c>
      <c r="BI385" s="5">
        <f t="shared" si="272"/>
        <v>0</v>
      </c>
      <c r="BJ385" s="5">
        <f t="shared" si="272"/>
        <v>0</v>
      </c>
      <c r="BK385" s="5">
        <f t="shared" si="272"/>
        <v>0</v>
      </c>
      <c r="BL385" s="5">
        <f t="shared" si="272"/>
        <v>0</v>
      </c>
      <c r="BM385" s="5">
        <f t="shared" si="272"/>
        <v>0</v>
      </c>
      <c r="BN385" s="5">
        <f t="shared" si="272"/>
        <v>0</v>
      </c>
      <c r="BO385" s="5">
        <f t="shared" si="271"/>
        <v>0</v>
      </c>
      <c r="BP385" s="5">
        <f t="shared" si="271"/>
        <v>0</v>
      </c>
      <c r="BQ385" s="5">
        <f t="shared" si="271"/>
        <v>0</v>
      </c>
      <c r="BR385" s="5">
        <f t="shared" si="271"/>
        <v>0</v>
      </c>
      <c r="BS385" s="5">
        <f t="shared" si="271"/>
        <v>0</v>
      </c>
      <c r="BT385" s="5">
        <f t="shared" si="271"/>
        <v>0</v>
      </c>
      <c r="BU385" s="5">
        <f t="shared" si="271"/>
        <v>0</v>
      </c>
      <c r="BV385" s="5">
        <f t="shared" si="271"/>
        <v>0</v>
      </c>
      <c r="BW385" s="5">
        <f t="shared" si="271"/>
        <v>0</v>
      </c>
      <c r="BX385" s="5">
        <f t="shared" si="271"/>
        <v>1</v>
      </c>
      <c r="BY385" s="5">
        <f t="shared" si="271"/>
        <v>0</v>
      </c>
      <c r="BZ385" s="5">
        <f t="shared" si="271"/>
        <v>0</v>
      </c>
      <c r="CA385" s="5">
        <f t="shared" si="271"/>
        <v>0</v>
      </c>
      <c r="CB385" s="5">
        <f t="shared" si="271"/>
        <v>0</v>
      </c>
      <c r="CC385" s="5">
        <f t="shared" si="271"/>
        <v>0</v>
      </c>
      <c r="CD385" s="5">
        <f t="shared" si="273"/>
        <v>0</v>
      </c>
      <c r="CE385" s="5">
        <f t="shared" si="273"/>
        <v>0</v>
      </c>
    </row>
    <row r="386" spans="1:83" x14ac:dyDescent="0.2">
      <c r="C386" s="1">
        <f>Growth!D391</f>
        <v>0</v>
      </c>
      <c r="D386" s="5" t="b">
        <f t="shared" si="244"/>
        <v>0</v>
      </c>
      <c r="E386" s="5">
        <v>2008</v>
      </c>
      <c r="F386" s="5">
        <f ca="1">LOOKUP($E386,frequence!$A$2:$A$35,frequence!L$2:L$35)</f>
        <v>38.010308287591222</v>
      </c>
      <c r="G386" s="5">
        <f ca="1">LOOKUP($E386,frequence!$A$2:$A$35,frequence!K$2:K$35)</f>
        <v>2.9831825211457392</v>
      </c>
      <c r="H386" s="5">
        <f ca="1">LOOKUP($E386,frequence!$A$2:$A$35,frequence!M$2:M$35)</f>
        <v>219.75327049269208</v>
      </c>
      <c r="I386" s="5">
        <v>2000</v>
      </c>
      <c r="J386" s="7">
        <f>LOOKUP(I386,CPI!A$69:A$103,CPI!O$69:O$103)</f>
        <v>1.2662950058072011</v>
      </c>
      <c r="K386" s="5">
        <v>2000</v>
      </c>
      <c r="L386" s="7">
        <f t="shared" ca="1" si="245"/>
        <v>1</v>
      </c>
      <c r="M386" s="7">
        <f t="shared" si="253"/>
        <v>0.57999999999999996</v>
      </c>
      <c r="N386" s="14">
        <v>0.1</v>
      </c>
      <c r="O386" s="1">
        <f ca="1">P386*J386*(1+Growth!G$6)^(2010-K386)</f>
        <v>85.339272800527397</v>
      </c>
      <c r="P386" s="2">
        <f t="shared" si="274"/>
        <v>58</v>
      </c>
      <c r="Q386" s="3">
        <v>58</v>
      </c>
      <c r="R386" s="21">
        <f t="shared" ca="1" si="246"/>
        <v>7282.7914821228351</v>
      </c>
      <c r="U386" s="1">
        <v>13</v>
      </c>
      <c r="X386" s="2">
        <f t="shared" si="251"/>
        <v>58</v>
      </c>
      <c r="AA386" s="1">
        <v>156</v>
      </c>
      <c r="AC386" s="1">
        <f t="shared" si="275"/>
        <v>5.8</v>
      </c>
      <c r="AD386" s="5">
        <v>1</v>
      </c>
      <c r="AE386" s="5">
        <v>0</v>
      </c>
      <c r="AF386" s="5">
        <v>1</v>
      </c>
      <c r="AG386" s="5">
        <v>0</v>
      </c>
      <c r="AH386" s="5">
        <v>1</v>
      </c>
      <c r="AI386" s="3">
        <f t="shared" si="238"/>
        <v>2.8</v>
      </c>
      <c r="AJ386" s="5">
        <f t="shared" si="257"/>
        <v>0</v>
      </c>
      <c r="AK386" s="5">
        <f t="shared" si="247"/>
        <v>0</v>
      </c>
      <c r="AL386" s="5">
        <f t="shared" si="248"/>
        <v>0</v>
      </c>
      <c r="AM386" s="5">
        <f t="shared" si="258"/>
        <v>1</v>
      </c>
      <c r="AN386" s="5">
        <f t="shared" si="249"/>
        <v>0</v>
      </c>
      <c r="AO386" s="5">
        <f t="shared" si="259"/>
        <v>0</v>
      </c>
      <c r="AP386" s="1">
        <v>3</v>
      </c>
      <c r="AQ386" s="1">
        <v>1</v>
      </c>
      <c r="AR386" s="5">
        <v>0</v>
      </c>
      <c r="AS386" s="5">
        <v>1</v>
      </c>
      <c r="AT386" s="5">
        <v>1</v>
      </c>
      <c r="AU386" s="5">
        <v>0</v>
      </c>
      <c r="AV386" s="5">
        <v>0</v>
      </c>
      <c r="AW386" s="5">
        <v>0</v>
      </c>
      <c r="AX386" s="5">
        <v>1</v>
      </c>
      <c r="AY386" s="1">
        <f t="shared" si="262"/>
        <v>0</v>
      </c>
      <c r="AZ386" s="1">
        <f t="shared" si="263"/>
        <v>1</v>
      </c>
      <c r="BA386" s="1">
        <f t="shared" si="264"/>
        <v>0</v>
      </c>
      <c r="BB386" s="5">
        <v>1</v>
      </c>
      <c r="BC386" s="5">
        <v>0</v>
      </c>
      <c r="BD386" s="5">
        <v>0</v>
      </c>
      <c r="BE386" s="5">
        <f t="shared" si="276"/>
        <v>0</v>
      </c>
      <c r="BF386" s="5">
        <v>0</v>
      </c>
      <c r="BG386" s="5">
        <f t="shared" si="272"/>
        <v>0</v>
      </c>
      <c r="BH386" s="5">
        <f t="shared" si="272"/>
        <v>0</v>
      </c>
      <c r="BI386" s="5">
        <f t="shared" si="272"/>
        <v>0</v>
      </c>
      <c r="BJ386" s="5">
        <f t="shared" si="272"/>
        <v>0</v>
      </c>
      <c r="BK386" s="5">
        <f t="shared" si="272"/>
        <v>0</v>
      </c>
      <c r="BL386" s="5">
        <f t="shared" si="272"/>
        <v>0</v>
      </c>
      <c r="BM386" s="5">
        <f t="shared" si="272"/>
        <v>0</v>
      </c>
      <c r="BN386" s="5">
        <f t="shared" si="272"/>
        <v>0</v>
      </c>
      <c r="BO386" s="5">
        <f t="shared" si="271"/>
        <v>0</v>
      </c>
      <c r="BP386" s="5">
        <f t="shared" si="271"/>
        <v>0</v>
      </c>
      <c r="BQ386" s="5">
        <f t="shared" si="271"/>
        <v>0</v>
      </c>
      <c r="BR386" s="5">
        <f t="shared" si="271"/>
        <v>0</v>
      </c>
      <c r="BS386" s="5">
        <f t="shared" si="271"/>
        <v>0</v>
      </c>
      <c r="BT386" s="5">
        <f t="shared" si="271"/>
        <v>0</v>
      </c>
      <c r="BU386" s="5">
        <f t="shared" si="271"/>
        <v>0</v>
      </c>
      <c r="BV386" s="5">
        <f t="shared" si="271"/>
        <v>0</v>
      </c>
      <c r="BW386" s="5">
        <f t="shared" si="271"/>
        <v>0</v>
      </c>
      <c r="BX386" s="5">
        <f t="shared" si="271"/>
        <v>1</v>
      </c>
      <c r="BY386" s="5">
        <f t="shared" si="271"/>
        <v>0</v>
      </c>
      <c r="BZ386" s="5">
        <f t="shared" si="271"/>
        <v>0</v>
      </c>
      <c r="CA386" s="5">
        <f t="shared" si="271"/>
        <v>0</v>
      </c>
      <c r="CB386" s="5">
        <f t="shared" si="271"/>
        <v>0</v>
      </c>
      <c r="CC386" s="5">
        <f t="shared" si="271"/>
        <v>0</v>
      </c>
      <c r="CD386" s="5">
        <f t="shared" si="273"/>
        <v>0</v>
      </c>
      <c r="CE386" s="5">
        <f t="shared" si="273"/>
        <v>0</v>
      </c>
    </row>
    <row r="387" spans="1:83" x14ac:dyDescent="0.2">
      <c r="C387" s="1">
        <f>Growth!D392</f>
        <v>0</v>
      </c>
      <c r="D387" s="5" t="b">
        <f t="shared" si="244"/>
        <v>0</v>
      </c>
      <c r="E387" s="5">
        <v>2008</v>
      </c>
      <c r="F387" s="5">
        <f ca="1">LOOKUP($E387,frequence!$A$2:$A$35,frequence!L$2:L$35)</f>
        <v>38.010308287591222</v>
      </c>
      <c r="G387" s="5">
        <f ca="1">LOOKUP($E387,frequence!$A$2:$A$35,frequence!K$2:K$35)</f>
        <v>2.9831825211457392</v>
      </c>
      <c r="H387" s="5">
        <f ca="1">LOOKUP($E387,frequence!$A$2:$A$35,frequence!M$2:M$35)</f>
        <v>219.75327049269208</v>
      </c>
      <c r="I387" s="5">
        <v>2000</v>
      </c>
      <c r="J387" s="7">
        <f>LOOKUP(I387,CPI!A$69:A$103,CPI!O$69:O$103)</f>
        <v>1.2662950058072011</v>
      </c>
      <c r="K387" s="5">
        <v>2000</v>
      </c>
      <c r="L387" s="7">
        <f t="shared" ca="1" si="245"/>
        <v>1</v>
      </c>
      <c r="M387" s="7">
        <f t="shared" si="253"/>
        <v>0.57999999999999996</v>
      </c>
      <c r="N387" s="14">
        <v>0.1</v>
      </c>
      <c r="O387" s="1">
        <f ca="1">P387*J387*(1+Growth!G$6)^(2010-K387)</f>
        <v>114.76660824898512</v>
      </c>
      <c r="P387" s="2">
        <f t="shared" si="274"/>
        <v>78</v>
      </c>
      <c r="Q387" s="3">
        <v>78</v>
      </c>
      <c r="R387" s="21">
        <f t="shared" ca="1" si="246"/>
        <v>13171.374368976019</v>
      </c>
      <c r="U387" s="1">
        <v>18</v>
      </c>
      <c r="X387" s="2">
        <f t="shared" si="251"/>
        <v>78</v>
      </c>
      <c r="AA387" s="1">
        <v>220</v>
      </c>
      <c r="AC387" s="1">
        <f t="shared" si="275"/>
        <v>5.8</v>
      </c>
      <c r="AD387" s="5">
        <v>1</v>
      </c>
      <c r="AE387" s="5">
        <v>0</v>
      </c>
      <c r="AF387" s="5">
        <v>1</v>
      </c>
      <c r="AG387" s="5">
        <v>0</v>
      </c>
      <c r="AH387" s="5">
        <v>1</v>
      </c>
      <c r="AI387" s="3">
        <f t="shared" si="238"/>
        <v>2.8</v>
      </c>
      <c r="AJ387" s="5">
        <f t="shared" si="257"/>
        <v>0</v>
      </c>
      <c r="AK387" s="5">
        <f t="shared" si="247"/>
        <v>0</v>
      </c>
      <c r="AL387" s="5">
        <f t="shared" si="248"/>
        <v>0</v>
      </c>
      <c r="AM387" s="5">
        <f t="shared" si="258"/>
        <v>1</v>
      </c>
      <c r="AN387" s="5">
        <f t="shared" si="249"/>
        <v>0</v>
      </c>
      <c r="AO387" s="5">
        <f t="shared" si="259"/>
        <v>0</v>
      </c>
      <c r="AP387" s="1">
        <v>3</v>
      </c>
      <c r="AQ387" s="1">
        <v>1</v>
      </c>
      <c r="AR387" s="5">
        <v>1</v>
      </c>
      <c r="AS387" s="5">
        <v>1</v>
      </c>
      <c r="AT387" s="5">
        <v>1</v>
      </c>
      <c r="AU387" s="5">
        <v>0</v>
      </c>
      <c r="AV387" s="5">
        <v>0</v>
      </c>
      <c r="AW387" s="5">
        <v>0</v>
      </c>
      <c r="AX387" s="5">
        <v>1</v>
      </c>
      <c r="AY387" s="1">
        <f t="shared" si="262"/>
        <v>0</v>
      </c>
      <c r="AZ387" s="1">
        <f t="shared" si="263"/>
        <v>0</v>
      </c>
      <c r="BA387" s="1">
        <f t="shared" si="264"/>
        <v>0</v>
      </c>
      <c r="BB387" s="5">
        <v>1</v>
      </c>
      <c r="BC387" s="5">
        <v>0</v>
      </c>
      <c r="BD387" s="5">
        <v>0</v>
      </c>
      <c r="BE387" s="5">
        <f t="shared" si="276"/>
        <v>0</v>
      </c>
      <c r="BF387" s="5">
        <v>0</v>
      </c>
      <c r="BG387" s="5">
        <f t="shared" si="272"/>
        <v>0</v>
      </c>
      <c r="BH387" s="5">
        <f t="shared" si="272"/>
        <v>0</v>
      </c>
      <c r="BI387" s="5">
        <f t="shared" si="272"/>
        <v>0</v>
      </c>
      <c r="BJ387" s="5">
        <f t="shared" si="272"/>
        <v>0</v>
      </c>
      <c r="BK387" s="5">
        <f t="shared" si="272"/>
        <v>0</v>
      </c>
      <c r="BL387" s="5">
        <f t="shared" si="272"/>
        <v>0</v>
      </c>
      <c r="BM387" s="5">
        <f t="shared" si="272"/>
        <v>0</v>
      </c>
      <c r="BN387" s="5">
        <f t="shared" si="272"/>
        <v>0</v>
      </c>
      <c r="BO387" s="5">
        <f t="shared" si="271"/>
        <v>0</v>
      </c>
      <c r="BP387" s="5">
        <f t="shared" si="271"/>
        <v>0</v>
      </c>
      <c r="BQ387" s="5">
        <f t="shared" si="271"/>
        <v>0</v>
      </c>
      <c r="BR387" s="5">
        <f t="shared" si="271"/>
        <v>0</v>
      </c>
      <c r="BS387" s="5">
        <f t="shared" si="271"/>
        <v>0</v>
      </c>
      <c r="BT387" s="5">
        <f t="shared" si="271"/>
        <v>0</v>
      </c>
      <c r="BU387" s="5">
        <f t="shared" si="271"/>
        <v>0</v>
      </c>
      <c r="BV387" s="5">
        <f t="shared" si="271"/>
        <v>0</v>
      </c>
      <c r="BW387" s="5">
        <f t="shared" si="271"/>
        <v>0</v>
      </c>
      <c r="BX387" s="5">
        <f t="shared" si="271"/>
        <v>1</v>
      </c>
      <c r="BY387" s="5">
        <f t="shared" si="271"/>
        <v>0</v>
      </c>
      <c r="BZ387" s="5">
        <f t="shared" si="271"/>
        <v>0</v>
      </c>
      <c r="CA387" s="5">
        <f t="shared" si="271"/>
        <v>0</v>
      </c>
      <c r="CB387" s="5">
        <f t="shared" si="271"/>
        <v>0</v>
      </c>
      <c r="CC387" s="5">
        <f t="shared" si="271"/>
        <v>0</v>
      </c>
      <c r="CD387" s="5">
        <f t="shared" si="273"/>
        <v>0</v>
      </c>
      <c r="CE387" s="5">
        <f t="shared" si="273"/>
        <v>0</v>
      </c>
    </row>
    <row r="388" spans="1:83" x14ac:dyDescent="0.2">
      <c r="C388" s="1">
        <f>Growth!D393</f>
        <v>0</v>
      </c>
      <c r="D388" s="5" t="b">
        <f t="shared" si="244"/>
        <v>0</v>
      </c>
      <c r="E388" s="5">
        <v>2008</v>
      </c>
      <c r="F388" s="5">
        <f ca="1">LOOKUP($E388,frequence!$A$2:$A$35,frequence!L$2:L$35)</f>
        <v>38.010308287591222</v>
      </c>
      <c r="G388" s="5">
        <f ca="1">LOOKUP($E388,frequence!$A$2:$A$35,frequence!K$2:K$35)</f>
        <v>2.9831825211457392</v>
      </c>
      <c r="H388" s="5">
        <f ca="1">LOOKUP($E388,frequence!$A$2:$A$35,frequence!M$2:M$35)</f>
        <v>219.75327049269208</v>
      </c>
      <c r="I388" s="5">
        <v>2000</v>
      </c>
      <c r="J388" s="7">
        <f>LOOKUP(I388,CPI!A$69:A$103,CPI!O$69:O$103)</f>
        <v>1.2662950058072011</v>
      </c>
      <c r="K388" s="5">
        <v>2000</v>
      </c>
      <c r="L388" s="7">
        <f t="shared" ca="1" si="245"/>
        <v>1</v>
      </c>
      <c r="M388" s="7">
        <f t="shared" si="253"/>
        <v>0.57999999999999996</v>
      </c>
      <c r="N388" s="14">
        <v>0.1</v>
      </c>
      <c r="O388" s="1">
        <f ca="1">P388*J388*(1+Growth!G$6)^(2010-K388)</f>
        <v>95.63884020748759</v>
      </c>
      <c r="P388" s="2">
        <f t="shared" si="274"/>
        <v>65</v>
      </c>
      <c r="Q388" s="3">
        <v>65</v>
      </c>
      <c r="R388" s="21">
        <f t="shared" ca="1" si="246"/>
        <v>9146.7877562333451</v>
      </c>
      <c r="U388" s="1">
        <v>15</v>
      </c>
      <c r="X388" s="2">
        <f t="shared" si="251"/>
        <v>65</v>
      </c>
      <c r="AA388" s="1">
        <v>184</v>
      </c>
      <c r="AC388" s="1">
        <f t="shared" si="275"/>
        <v>5.8</v>
      </c>
      <c r="AD388" s="5">
        <v>1</v>
      </c>
      <c r="AE388" s="5">
        <v>0</v>
      </c>
      <c r="AF388" s="5">
        <v>1</v>
      </c>
      <c r="AG388" s="5">
        <v>0</v>
      </c>
      <c r="AH388" s="5">
        <v>1</v>
      </c>
      <c r="AI388" s="3">
        <f t="shared" ref="AI388:AI451" si="277">(E388-1980)/10</f>
        <v>2.8</v>
      </c>
      <c r="AJ388" s="5">
        <f t="shared" si="257"/>
        <v>0</v>
      </c>
      <c r="AK388" s="5">
        <f t="shared" si="247"/>
        <v>0</v>
      </c>
      <c r="AL388" s="5">
        <f t="shared" si="248"/>
        <v>0</v>
      </c>
      <c r="AM388" s="5">
        <f t="shared" si="258"/>
        <v>1</v>
      </c>
      <c r="AN388" s="5">
        <f t="shared" si="249"/>
        <v>0</v>
      </c>
      <c r="AO388" s="5">
        <f t="shared" si="259"/>
        <v>0</v>
      </c>
      <c r="AP388" s="1">
        <v>3</v>
      </c>
      <c r="AQ388" s="1">
        <v>1</v>
      </c>
      <c r="AR388" s="5">
        <v>1</v>
      </c>
      <c r="AS388" s="5">
        <v>1</v>
      </c>
      <c r="AT388" s="5">
        <v>1</v>
      </c>
      <c r="AU388" s="5">
        <v>0</v>
      </c>
      <c r="AV388" s="5">
        <v>0</v>
      </c>
      <c r="AW388" s="5">
        <v>0</v>
      </c>
      <c r="AX388" s="5">
        <v>1</v>
      </c>
      <c r="AY388" s="1">
        <f t="shared" si="262"/>
        <v>0</v>
      </c>
      <c r="AZ388" s="1">
        <f t="shared" si="263"/>
        <v>0</v>
      </c>
      <c r="BA388" s="1">
        <f t="shared" si="264"/>
        <v>0</v>
      </c>
      <c r="BB388" s="5">
        <v>1</v>
      </c>
      <c r="BC388" s="5">
        <v>0</v>
      </c>
      <c r="BD388" s="5">
        <v>0</v>
      </c>
      <c r="BE388" s="5">
        <f t="shared" si="276"/>
        <v>0</v>
      </c>
      <c r="BF388" s="5">
        <v>0</v>
      </c>
      <c r="BG388" s="5">
        <f t="shared" si="272"/>
        <v>0</v>
      </c>
      <c r="BH388" s="5">
        <f t="shared" si="272"/>
        <v>0</v>
      </c>
      <c r="BI388" s="5">
        <f t="shared" si="272"/>
        <v>0</v>
      </c>
      <c r="BJ388" s="5">
        <f t="shared" si="272"/>
        <v>0</v>
      </c>
      <c r="BK388" s="5">
        <f t="shared" si="272"/>
        <v>0</v>
      </c>
      <c r="BL388" s="5">
        <f t="shared" si="272"/>
        <v>0</v>
      </c>
      <c r="BM388" s="5">
        <f t="shared" si="272"/>
        <v>0</v>
      </c>
      <c r="BN388" s="5">
        <f t="shared" ref="BN388:CB403" si="278">IF($E388=BN$2,1,0)</f>
        <v>0</v>
      </c>
      <c r="BO388" s="5">
        <f t="shared" si="278"/>
        <v>0</v>
      </c>
      <c r="BP388" s="5">
        <f t="shared" si="278"/>
        <v>0</v>
      </c>
      <c r="BQ388" s="5">
        <f t="shared" si="278"/>
        <v>0</v>
      </c>
      <c r="BR388" s="5">
        <f t="shared" si="278"/>
        <v>0</v>
      </c>
      <c r="BS388" s="5">
        <f t="shared" si="278"/>
        <v>0</v>
      </c>
      <c r="BT388" s="5">
        <f t="shared" si="278"/>
        <v>0</v>
      </c>
      <c r="BU388" s="5">
        <f t="shared" si="278"/>
        <v>0</v>
      </c>
      <c r="BV388" s="5">
        <f t="shared" si="278"/>
        <v>0</v>
      </c>
      <c r="BW388" s="5">
        <f t="shared" si="278"/>
        <v>0</v>
      </c>
      <c r="BX388" s="5">
        <f t="shared" si="278"/>
        <v>1</v>
      </c>
      <c r="BY388" s="5">
        <f t="shared" si="278"/>
        <v>0</v>
      </c>
      <c r="BZ388" s="5">
        <f t="shared" si="278"/>
        <v>0</v>
      </c>
      <c r="CA388" s="5">
        <f t="shared" si="278"/>
        <v>0</v>
      </c>
      <c r="CB388" s="5">
        <f t="shared" si="278"/>
        <v>0</v>
      </c>
      <c r="CC388" s="5">
        <f t="shared" ref="CC388:CE407" si="279">IF($E388=CC$2,1,0)</f>
        <v>0</v>
      </c>
      <c r="CD388" s="5">
        <f t="shared" si="273"/>
        <v>0</v>
      </c>
      <c r="CE388" s="5">
        <f t="shared" si="273"/>
        <v>0</v>
      </c>
    </row>
    <row r="389" spans="1:83" x14ac:dyDescent="0.2">
      <c r="C389" s="1">
        <f>Growth!D394</f>
        <v>0</v>
      </c>
      <c r="D389" s="5" t="b">
        <f t="shared" ref="D389:D452" si="280">IF(B389&gt;0,E389)</f>
        <v>0</v>
      </c>
      <c r="E389" s="5">
        <v>2008</v>
      </c>
      <c r="F389" s="5">
        <f ca="1">LOOKUP($E389,frequence!$A$2:$A$35,frequence!L$2:L$35)</f>
        <v>38.010308287591222</v>
      </c>
      <c r="G389" s="5">
        <f ca="1">LOOKUP($E389,frequence!$A$2:$A$35,frequence!K$2:K$35)</f>
        <v>2.9831825211457392</v>
      </c>
      <c r="H389" s="5">
        <f ca="1">LOOKUP($E389,frequence!$A$2:$A$35,frequence!M$2:M$35)</f>
        <v>219.75327049269208</v>
      </c>
      <c r="I389" s="5">
        <v>2000</v>
      </c>
      <c r="J389" s="7">
        <f>LOOKUP(I389,CPI!A$69:A$103,CPI!O$69:O$103)</f>
        <v>1.2662950058072011</v>
      </c>
      <c r="K389" s="5">
        <v>2000</v>
      </c>
      <c r="L389" s="7">
        <f t="shared" ref="L389:L452" ca="1" si="281">IF(O389&lt;L$1,1,IF(O389&gt;L$2,0,1-(O389-L$1)/(L$2-L$1)))</f>
        <v>1</v>
      </c>
      <c r="M389" s="7">
        <f t="shared" si="253"/>
        <v>0.57999999999999996</v>
      </c>
      <c r="N389" s="14">
        <v>0.1</v>
      </c>
      <c r="O389" s="1">
        <f ca="1">P389*J389*(1+Growth!G$6)^(2010-K389)</f>
        <v>36.784169310572153</v>
      </c>
      <c r="P389" s="2">
        <f t="shared" si="274"/>
        <v>25</v>
      </c>
      <c r="Q389" s="3">
        <v>25</v>
      </c>
      <c r="R389" s="21">
        <f t="shared" ref="R389:R452" ca="1" si="282">O389*O389</f>
        <v>1353.0751118688383</v>
      </c>
      <c r="U389" s="1">
        <v>7</v>
      </c>
      <c r="X389" s="2">
        <f t="shared" si="251"/>
        <v>25</v>
      </c>
      <c r="AA389" s="1">
        <v>62</v>
      </c>
      <c r="AC389" s="1">
        <f t="shared" si="275"/>
        <v>5.8</v>
      </c>
      <c r="AD389" s="5">
        <v>1</v>
      </c>
      <c r="AE389" s="5">
        <v>0</v>
      </c>
      <c r="AF389" s="5">
        <v>1</v>
      </c>
      <c r="AG389" s="5">
        <v>0</v>
      </c>
      <c r="AH389" s="5">
        <v>1</v>
      </c>
      <c r="AI389" s="3">
        <f t="shared" si="277"/>
        <v>2.8</v>
      </c>
      <c r="AJ389" s="5">
        <f t="shared" si="257"/>
        <v>0</v>
      </c>
      <c r="AK389" s="5">
        <f t="shared" ref="AK389:AK452" si="283">IF($AQ389=2,1,0)</f>
        <v>1</v>
      </c>
      <c r="AL389" s="5">
        <f t="shared" ref="AL389:AL452" si="284">IF($AQ389=1.5,1,0)</f>
        <v>0</v>
      </c>
      <c r="AM389" s="5">
        <f t="shared" si="258"/>
        <v>0</v>
      </c>
      <c r="AN389" s="5">
        <f t="shared" ref="AN389:AN452" si="285">IF($AQ389=0.1,1,0)</f>
        <v>0</v>
      </c>
      <c r="AO389" s="5">
        <f t="shared" si="259"/>
        <v>0</v>
      </c>
      <c r="AP389" s="11" t="s">
        <v>42</v>
      </c>
      <c r="AQ389" s="1">
        <v>2</v>
      </c>
      <c r="AR389" s="5">
        <v>1</v>
      </c>
      <c r="AS389" s="5">
        <v>1</v>
      </c>
      <c r="AT389" s="5">
        <v>1</v>
      </c>
      <c r="AU389" s="5">
        <v>0</v>
      </c>
      <c r="AV389" s="5">
        <v>0</v>
      </c>
      <c r="AW389" s="5">
        <v>0</v>
      </c>
      <c r="AX389" s="5">
        <v>1</v>
      </c>
      <c r="AY389" s="1">
        <f t="shared" si="262"/>
        <v>0</v>
      </c>
      <c r="AZ389" s="1">
        <f t="shared" si="263"/>
        <v>0</v>
      </c>
      <c r="BA389" s="1">
        <f t="shared" si="264"/>
        <v>0</v>
      </c>
      <c r="BB389" s="5">
        <v>1</v>
      </c>
      <c r="BC389" s="5">
        <v>0</v>
      </c>
      <c r="BD389" s="5">
        <v>0</v>
      </c>
      <c r="BE389" s="5">
        <f t="shared" si="276"/>
        <v>0</v>
      </c>
      <c r="BF389" s="5">
        <v>0</v>
      </c>
      <c r="BG389" s="5">
        <f t="shared" ref="BG389:BN404" si="286">IF($E389=BG$2,1,0)</f>
        <v>0</v>
      </c>
      <c r="BH389" s="5">
        <f t="shared" si="286"/>
        <v>0</v>
      </c>
      <c r="BI389" s="5">
        <f t="shared" si="286"/>
        <v>0</v>
      </c>
      <c r="BJ389" s="5">
        <f t="shared" si="286"/>
        <v>0</v>
      </c>
      <c r="BK389" s="5">
        <f t="shared" si="286"/>
        <v>0</v>
      </c>
      <c r="BL389" s="5">
        <f t="shared" si="286"/>
        <v>0</v>
      </c>
      <c r="BM389" s="5">
        <f t="shared" si="286"/>
        <v>0</v>
      </c>
      <c r="BN389" s="5">
        <f t="shared" si="278"/>
        <v>0</v>
      </c>
      <c r="BO389" s="5">
        <f t="shared" si="278"/>
        <v>0</v>
      </c>
      <c r="BP389" s="5">
        <f t="shared" si="278"/>
        <v>0</v>
      </c>
      <c r="BQ389" s="5">
        <f t="shared" si="278"/>
        <v>0</v>
      </c>
      <c r="BR389" s="5">
        <f t="shared" si="278"/>
        <v>0</v>
      </c>
      <c r="BS389" s="5">
        <f t="shared" si="278"/>
        <v>0</v>
      </c>
      <c r="BT389" s="5">
        <f t="shared" si="278"/>
        <v>0</v>
      </c>
      <c r="BU389" s="5">
        <f t="shared" si="278"/>
        <v>0</v>
      </c>
      <c r="BV389" s="5">
        <f t="shared" si="278"/>
        <v>0</v>
      </c>
      <c r="BW389" s="5">
        <f t="shared" si="278"/>
        <v>0</v>
      </c>
      <c r="BX389" s="5">
        <f t="shared" si="278"/>
        <v>1</v>
      </c>
      <c r="BY389" s="5">
        <f t="shared" si="278"/>
        <v>0</v>
      </c>
      <c r="BZ389" s="5">
        <f t="shared" si="278"/>
        <v>0</v>
      </c>
      <c r="CA389" s="5">
        <f t="shared" si="278"/>
        <v>0</v>
      </c>
      <c r="CB389" s="5">
        <f t="shared" si="278"/>
        <v>0</v>
      </c>
      <c r="CC389" s="5">
        <f t="shared" si="279"/>
        <v>0</v>
      </c>
      <c r="CD389" s="5">
        <f t="shared" si="273"/>
        <v>0</v>
      </c>
      <c r="CE389" s="5">
        <f t="shared" si="273"/>
        <v>0</v>
      </c>
    </row>
    <row r="390" spans="1:83" x14ac:dyDescent="0.2">
      <c r="C390" s="1">
        <f>Growth!D395</f>
        <v>0</v>
      </c>
      <c r="D390" s="5" t="b">
        <f t="shared" si="280"/>
        <v>0</v>
      </c>
      <c r="E390" s="5">
        <v>2008</v>
      </c>
      <c r="F390" s="5">
        <f ca="1">LOOKUP($E390,frequence!$A$2:$A$35,frequence!L$2:L$35)</f>
        <v>38.010308287591222</v>
      </c>
      <c r="G390" s="5">
        <f ca="1">LOOKUP($E390,frequence!$A$2:$A$35,frequence!K$2:K$35)</f>
        <v>2.9831825211457392</v>
      </c>
      <c r="H390" s="5">
        <f ca="1">LOOKUP($E390,frequence!$A$2:$A$35,frequence!M$2:M$35)</f>
        <v>219.75327049269208</v>
      </c>
      <c r="I390" s="5">
        <v>2000</v>
      </c>
      <c r="J390" s="7">
        <f>LOOKUP(I390,CPI!A$69:A$103,CPI!O$69:O$103)</f>
        <v>1.2662950058072011</v>
      </c>
      <c r="K390" s="5">
        <v>2000</v>
      </c>
      <c r="L390" s="7">
        <f t="shared" ca="1" si="281"/>
        <v>1</v>
      </c>
      <c r="M390" s="7">
        <f t="shared" si="253"/>
        <v>0.57999999999999996</v>
      </c>
      <c r="N390" s="14">
        <v>0.1</v>
      </c>
      <c r="O390" s="1">
        <f ca="1">P390*J390*(1+Growth!G$6)^(2010-K390)</f>
        <v>101.52430729717915</v>
      </c>
      <c r="P390" s="2">
        <f t="shared" si="274"/>
        <v>69</v>
      </c>
      <c r="Q390" s="3">
        <v>69</v>
      </c>
      <c r="R390" s="21">
        <f t="shared" ca="1" si="282"/>
        <v>10307.184972172063</v>
      </c>
      <c r="U390" s="1">
        <v>15</v>
      </c>
      <c r="X390" s="2">
        <f t="shared" si="251"/>
        <v>69</v>
      </c>
      <c r="AA390" s="1">
        <v>193</v>
      </c>
      <c r="AC390" s="1">
        <f t="shared" si="275"/>
        <v>5.8</v>
      </c>
      <c r="AD390" s="5">
        <v>1</v>
      </c>
      <c r="AE390" s="5">
        <v>0</v>
      </c>
      <c r="AF390" s="5">
        <v>1</v>
      </c>
      <c r="AG390" s="5">
        <v>0</v>
      </c>
      <c r="AH390" s="5">
        <v>1</v>
      </c>
      <c r="AI390" s="3">
        <f t="shared" si="277"/>
        <v>2.8</v>
      </c>
      <c r="AJ390" s="5">
        <f t="shared" si="257"/>
        <v>0</v>
      </c>
      <c r="AK390" s="5">
        <f t="shared" si="283"/>
        <v>0</v>
      </c>
      <c r="AL390" s="5">
        <f t="shared" si="284"/>
        <v>0</v>
      </c>
      <c r="AM390" s="5">
        <f t="shared" si="258"/>
        <v>1</v>
      </c>
      <c r="AN390" s="5">
        <f t="shared" si="285"/>
        <v>0</v>
      </c>
      <c r="AO390" s="5">
        <f t="shared" si="259"/>
        <v>0</v>
      </c>
      <c r="AP390" s="11" t="s">
        <v>42</v>
      </c>
      <c r="AQ390" s="1">
        <v>1</v>
      </c>
      <c r="AR390" s="5">
        <v>1</v>
      </c>
      <c r="AS390" s="5">
        <v>1</v>
      </c>
      <c r="AT390" s="5">
        <v>1</v>
      </c>
      <c r="AU390" s="5">
        <v>0</v>
      </c>
      <c r="AV390" s="5">
        <v>0</v>
      </c>
      <c r="AW390" s="5">
        <v>0</v>
      </c>
      <c r="AX390" s="5">
        <v>1</v>
      </c>
      <c r="AY390" s="1">
        <f t="shared" si="262"/>
        <v>0</v>
      </c>
      <c r="AZ390" s="1">
        <f t="shared" si="263"/>
        <v>0</v>
      </c>
      <c r="BA390" s="1">
        <f t="shared" si="264"/>
        <v>0</v>
      </c>
      <c r="BB390" s="5">
        <v>1</v>
      </c>
      <c r="BC390" s="5">
        <v>0</v>
      </c>
      <c r="BD390" s="5">
        <v>0</v>
      </c>
      <c r="BE390" s="5">
        <f t="shared" si="276"/>
        <v>0</v>
      </c>
      <c r="BF390" s="5">
        <v>0</v>
      </c>
      <c r="BG390" s="5">
        <f t="shared" si="286"/>
        <v>0</v>
      </c>
      <c r="BH390" s="5">
        <f t="shared" si="286"/>
        <v>0</v>
      </c>
      <c r="BI390" s="5">
        <f t="shared" si="286"/>
        <v>0</v>
      </c>
      <c r="BJ390" s="5">
        <f t="shared" si="286"/>
        <v>0</v>
      </c>
      <c r="BK390" s="5">
        <f t="shared" si="286"/>
        <v>0</v>
      </c>
      <c r="BL390" s="5">
        <f t="shared" si="286"/>
        <v>0</v>
      </c>
      <c r="BM390" s="5">
        <f t="shared" si="286"/>
        <v>0</v>
      </c>
      <c r="BN390" s="5">
        <f t="shared" si="278"/>
        <v>0</v>
      </c>
      <c r="BO390" s="5">
        <f t="shared" si="278"/>
        <v>0</v>
      </c>
      <c r="BP390" s="5">
        <f t="shared" si="278"/>
        <v>0</v>
      </c>
      <c r="BQ390" s="5">
        <f t="shared" si="278"/>
        <v>0</v>
      </c>
      <c r="BR390" s="5">
        <f t="shared" si="278"/>
        <v>0</v>
      </c>
      <c r="BS390" s="5">
        <f t="shared" si="278"/>
        <v>0</v>
      </c>
      <c r="BT390" s="5">
        <f t="shared" si="278"/>
        <v>0</v>
      </c>
      <c r="BU390" s="5">
        <f t="shared" si="278"/>
        <v>0</v>
      </c>
      <c r="BV390" s="5">
        <f t="shared" si="278"/>
        <v>0</v>
      </c>
      <c r="BW390" s="5">
        <f t="shared" si="278"/>
        <v>0</v>
      </c>
      <c r="BX390" s="5">
        <f t="shared" si="278"/>
        <v>1</v>
      </c>
      <c r="BY390" s="5">
        <f t="shared" si="278"/>
        <v>0</v>
      </c>
      <c r="BZ390" s="5">
        <f t="shared" si="278"/>
        <v>0</v>
      </c>
      <c r="CA390" s="5">
        <f t="shared" si="278"/>
        <v>0</v>
      </c>
      <c r="CB390" s="5">
        <f t="shared" si="278"/>
        <v>0</v>
      </c>
      <c r="CC390" s="5">
        <f t="shared" si="279"/>
        <v>0</v>
      </c>
      <c r="CD390" s="5">
        <f t="shared" si="273"/>
        <v>0</v>
      </c>
      <c r="CE390" s="5">
        <f t="shared" si="273"/>
        <v>0</v>
      </c>
    </row>
    <row r="391" spans="1:83" x14ac:dyDescent="0.2">
      <c r="C391" s="1">
        <f>Growth!D396</f>
        <v>0</v>
      </c>
      <c r="D391" s="5" t="b">
        <f t="shared" si="280"/>
        <v>0</v>
      </c>
      <c r="E391" s="5">
        <v>2008</v>
      </c>
      <c r="F391" s="5">
        <f ca="1">LOOKUP($E391,frequence!$A$2:$A$35,frequence!L$2:L$35)</f>
        <v>38.010308287591222</v>
      </c>
      <c r="G391" s="5">
        <f ca="1">LOOKUP($E391,frequence!$A$2:$A$35,frequence!K$2:K$35)</f>
        <v>2.9831825211457392</v>
      </c>
      <c r="H391" s="5">
        <f ca="1">LOOKUP($E391,frequence!$A$2:$A$35,frequence!M$2:M$35)</f>
        <v>219.75327049269208</v>
      </c>
      <c r="I391" s="5">
        <v>2000</v>
      </c>
      <c r="J391" s="7">
        <f>LOOKUP(I391,CPI!A$69:A$103,CPI!O$69:O$103)</f>
        <v>1.2662950058072011</v>
      </c>
      <c r="K391" s="5">
        <v>2000</v>
      </c>
      <c r="L391" s="7">
        <f t="shared" ca="1" si="281"/>
        <v>1</v>
      </c>
      <c r="M391" s="7">
        <f t="shared" si="253"/>
        <v>0.57999999999999996</v>
      </c>
      <c r="N391" s="14">
        <v>0.1</v>
      </c>
      <c r="O391" s="1">
        <f ca="1">P391*J391*(1+Growth!G$6)^(2010-K391)</f>
        <v>91.224739890218942</v>
      </c>
      <c r="P391" s="2">
        <f t="shared" si="274"/>
        <v>62</v>
      </c>
      <c r="Q391" s="3">
        <v>62</v>
      </c>
      <c r="R391" s="21">
        <f t="shared" ca="1" si="282"/>
        <v>8321.9531680381024</v>
      </c>
      <c r="U391" s="1">
        <v>14</v>
      </c>
      <c r="X391" s="2">
        <f t="shared" si="251"/>
        <v>62</v>
      </c>
      <c r="AA391" s="1">
        <v>189</v>
      </c>
      <c r="AC391" s="1">
        <f t="shared" si="275"/>
        <v>5.8</v>
      </c>
      <c r="AD391" s="5">
        <v>1</v>
      </c>
      <c r="AE391" s="5">
        <v>0</v>
      </c>
      <c r="AF391" s="5">
        <v>1</v>
      </c>
      <c r="AG391" s="5">
        <v>0</v>
      </c>
      <c r="AH391" s="5">
        <v>1</v>
      </c>
      <c r="AI391" s="3">
        <f t="shared" si="277"/>
        <v>2.8</v>
      </c>
      <c r="AJ391" s="5">
        <f t="shared" si="257"/>
        <v>0</v>
      </c>
      <c r="AK391" s="5">
        <f t="shared" si="283"/>
        <v>1</v>
      </c>
      <c r="AL391" s="5">
        <f t="shared" si="284"/>
        <v>0</v>
      </c>
      <c r="AM391" s="5">
        <f t="shared" si="258"/>
        <v>0</v>
      </c>
      <c r="AN391" s="5">
        <f t="shared" si="285"/>
        <v>0</v>
      </c>
      <c r="AO391" s="5">
        <f t="shared" si="259"/>
        <v>0</v>
      </c>
      <c r="AP391" s="11" t="s">
        <v>42</v>
      </c>
      <c r="AQ391" s="1">
        <v>2</v>
      </c>
      <c r="AR391" s="5">
        <v>1</v>
      </c>
      <c r="AS391" s="5">
        <v>1</v>
      </c>
      <c r="AT391" s="5">
        <v>1</v>
      </c>
      <c r="AU391" s="5">
        <v>0</v>
      </c>
      <c r="AV391" s="5">
        <v>0</v>
      </c>
      <c r="AW391" s="5">
        <v>0</v>
      </c>
      <c r="AX391" s="5">
        <v>1</v>
      </c>
      <c r="AY391" s="1">
        <f t="shared" si="262"/>
        <v>0</v>
      </c>
      <c r="AZ391" s="1">
        <f t="shared" si="263"/>
        <v>0</v>
      </c>
      <c r="BA391" s="1">
        <f t="shared" si="264"/>
        <v>0</v>
      </c>
      <c r="BB391" s="5">
        <v>1</v>
      </c>
      <c r="BC391" s="5">
        <v>0</v>
      </c>
      <c r="BD391" s="5">
        <v>0</v>
      </c>
      <c r="BE391" s="5">
        <f t="shared" si="276"/>
        <v>0</v>
      </c>
      <c r="BF391" s="5">
        <v>0</v>
      </c>
      <c r="BG391" s="5">
        <f t="shared" si="286"/>
        <v>0</v>
      </c>
      <c r="BH391" s="5">
        <f t="shared" si="286"/>
        <v>0</v>
      </c>
      <c r="BI391" s="5">
        <f t="shared" si="286"/>
        <v>0</v>
      </c>
      <c r="BJ391" s="5">
        <f t="shared" si="286"/>
        <v>0</v>
      </c>
      <c r="BK391" s="5">
        <f t="shared" si="286"/>
        <v>0</v>
      </c>
      <c r="BL391" s="5">
        <f t="shared" si="286"/>
        <v>0</v>
      </c>
      <c r="BM391" s="5">
        <f t="shared" si="286"/>
        <v>0</v>
      </c>
      <c r="BN391" s="5">
        <f t="shared" si="278"/>
        <v>0</v>
      </c>
      <c r="BO391" s="5">
        <f t="shared" si="278"/>
        <v>0</v>
      </c>
      <c r="BP391" s="5">
        <f t="shared" si="278"/>
        <v>0</v>
      </c>
      <c r="BQ391" s="5">
        <f t="shared" si="278"/>
        <v>0</v>
      </c>
      <c r="BR391" s="5">
        <f t="shared" si="278"/>
        <v>0</v>
      </c>
      <c r="BS391" s="5">
        <f t="shared" si="278"/>
        <v>0</v>
      </c>
      <c r="BT391" s="5">
        <f t="shared" si="278"/>
        <v>0</v>
      </c>
      <c r="BU391" s="5">
        <f t="shared" si="278"/>
        <v>0</v>
      </c>
      <c r="BV391" s="5">
        <f t="shared" si="278"/>
        <v>0</v>
      </c>
      <c r="BW391" s="5">
        <f t="shared" si="278"/>
        <v>0</v>
      </c>
      <c r="BX391" s="5">
        <f t="shared" si="278"/>
        <v>1</v>
      </c>
      <c r="BY391" s="5">
        <f t="shared" si="278"/>
        <v>0</v>
      </c>
      <c r="BZ391" s="5">
        <f t="shared" si="278"/>
        <v>0</v>
      </c>
      <c r="CA391" s="5">
        <f t="shared" si="278"/>
        <v>0</v>
      </c>
      <c r="CB391" s="5">
        <f t="shared" si="278"/>
        <v>0</v>
      </c>
      <c r="CC391" s="5">
        <f t="shared" si="279"/>
        <v>0</v>
      </c>
      <c r="CD391" s="5">
        <f t="shared" si="273"/>
        <v>0</v>
      </c>
      <c r="CE391" s="5">
        <f t="shared" si="273"/>
        <v>0</v>
      </c>
    </row>
    <row r="392" spans="1:83" x14ac:dyDescent="0.2">
      <c r="C392" s="1">
        <f>Growth!D397</f>
        <v>0</v>
      </c>
      <c r="D392" s="5" t="b">
        <f t="shared" si="280"/>
        <v>0</v>
      </c>
      <c r="E392" s="5">
        <v>2008</v>
      </c>
      <c r="F392" s="5">
        <f ca="1">LOOKUP($E392,frequence!$A$2:$A$35,frequence!L$2:L$35)</f>
        <v>38.010308287591222</v>
      </c>
      <c r="G392" s="5">
        <f ca="1">LOOKUP($E392,frequence!$A$2:$A$35,frequence!K$2:K$35)</f>
        <v>2.9831825211457392</v>
      </c>
      <c r="H392" s="5">
        <f ca="1">LOOKUP($E392,frequence!$A$2:$A$35,frequence!M$2:M$35)</f>
        <v>219.75327049269208</v>
      </c>
      <c r="I392" s="5">
        <v>2000</v>
      </c>
      <c r="J392" s="7">
        <f>LOOKUP(I392,CPI!A$69:A$103,CPI!O$69:O$103)</f>
        <v>1.2662950058072011</v>
      </c>
      <c r="K392" s="5">
        <v>2000</v>
      </c>
      <c r="L392" s="7">
        <f t="shared" ca="1" si="281"/>
        <v>1</v>
      </c>
      <c r="M392" s="7">
        <f t="shared" si="253"/>
        <v>0.57999999999999996</v>
      </c>
      <c r="N392" s="14">
        <v>0.1</v>
      </c>
      <c r="O392" s="1">
        <f ca="1">P392*J392*(1+Growth!G$6)^(2010-K392)</f>
        <v>301.63018834669168</v>
      </c>
      <c r="P392" s="2">
        <f t="shared" si="274"/>
        <v>205</v>
      </c>
      <c r="Q392" s="3">
        <v>205</v>
      </c>
      <c r="R392" s="21">
        <f t="shared" ca="1" si="282"/>
        <v>90980.770522060702</v>
      </c>
      <c r="U392" s="1">
        <v>42</v>
      </c>
      <c r="X392" s="2">
        <f t="shared" si="251"/>
        <v>205</v>
      </c>
      <c r="AA392" s="1">
        <v>597</v>
      </c>
      <c r="AC392" s="1">
        <f t="shared" si="275"/>
        <v>5.8</v>
      </c>
      <c r="AD392" s="5">
        <v>1</v>
      </c>
      <c r="AE392" s="5">
        <v>0</v>
      </c>
      <c r="AF392" s="5">
        <v>1</v>
      </c>
      <c r="AG392" s="5">
        <v>0</v>
      </c>
      <c r="AH392" s="5">
        <v>1</v>
      </c>
      <c r="AI392" s="3">
        <f t="shared" si="277"/>
        <v>2.8</v>
      </c>
      <c r="AJ392" s="5">
        <f t="shared" si="257"/>
        <v>0</v>
      </c>
      <c r="AK392" s="5">
        <f t="shared" si="283"/>
        <v>0</v>
      </c>
      <c r="AL392" s="5">
        <f t="shared" si="284"/>
        <v>0</v>
      </c>
      <c r="AM392" s="5">
        <f t="shared" si="258"/>
        <v>1</v>
      </c>
      <c r="AN392" s="5">
        <f t="shared" si="285"/>
        <v>0</v>
      </c>
      <c r="AO392" s="5">
        <f t="shared" si="259"/>
        <v>0</v>
      </c>
      <c r="AP392" s="11" t="s">
        <v>42</v>
      </c>
      <c r="AQ392" s="1">
        <v>1</v>
      </c>
      <c r="AR392" s="5">
        <v>1</v>
      </c>
      <c r="AS392" s="5">
        <v>1</v>
      </c>
      <c r="AT392" s="5">
        <v>1</v>
      </c>
      <c r="AU392" s="5">
        <v>0</v>
      </c>
      <c r="AV392" s="5">
        <v>0</v>
      </c>
      <c r="AW392" s="5">
        <v>0</v>
      </c>
      <c r="AX392" s="5">
        <v>1</v>
      </c>
      <c r="AY392" s="1">
        <f t="shared" si="262"/>
        <v>0</v>
      </c>
      <c r="AZ392" s="1">
        <f t="shared" si="263"/>
        <v>0</v>
      </c>
      <c r="BA392" s="1">
        <f t="shared" si="264"/>
        <v>0</v>
      </c>
      <c r="BB392" s="5">
        <v>1</v>
      </c>
      <c r="BC392" s="5">
        <v>0</v>
      </c>
      <c r="BD392" s="5">
        <v>0</v>
      </c>
      <c r="BE392" s="5">
        <f t="shared" si="276"/>
        <v>0</v>
      </c>
      <c r="BF392" s="5">
        <v>0</v>
      </c>
      <c r="BG392" s="5">
        <f t="shared" si="286"/>
        <v>0</v>
      </c>
      <c r="BH392" s="5">
        <f t="shared" si="286"/>
        <v>0</v>
      </c>
      <c r="BI392" s="5">
        <f t="shared" si="286"/>
        <v>0</v>
      </c>
      <c r="BJ392" s="5">
        <f t="shared" si="286"/>
        <v>0</v>
      </c>
      <c r="BK392" s="5">
        <f t="shared" si="286"/>
        <v>0</v>
      </c>
      <c r="BL392" s="5">
        <f t="shared" si="286"/>
        <v>0</v>
      </c>
      <c r="BM392" s="5">
        <f t="shared" si="286"/>
        <v>0</v>
      </c>
      <c r="BN392" s="5">
        <f t="shared" si="278"/>
        <v>0</v>
      </c>
      <c r="BO392" s="5">
        <f t="shared" si="278"/>
        <v>0</v>
      </c>
      <c r="BP392" s="5">
        <f t="shared" si="278"/>
        <v>0</v>
      </c>
      <c r="BQ392" s="5">
        <f t="shared" si="278"/>
        <v>0</v>
      </c>
      <c r="BR392" s="5">
        <f t="shared" si="278"/>
        <v>0</v>
      </c>
      <c r="BS392" s="5">
        <f t="shared" si="278"/>
        <v>0</v>
      </c>
      <c r="BT392" s="5">
        <f t="shared" si="278"/>
        <v>0</v>
      </c>
      <c r="BU392" s="5">
        <f t="shared" si="278"/>
        <v>0</v>
      </c>
      <c r="BV392" s="5">
        <f t="shared" si="278"/>
        <v>0</v>
      </c>
      <c r="BW392" s="5">
        <f t="shared" si="278"/>
        <v>0</v>
      </c>
      <c r="BX392" s="5">
        <f t="shared" si="278"/>
        <v>1</v>
      </c>
      <c r="BY392" s="5">
        <f t="shared" si="278"/>
        <v>0</v>
      </c>
      <c r="BZ392" s="5">
        <f t="shared" si="278"/>
        <v>0</v>
      </c>
      <c r="CA392" s="5">
        <f t="shared" si="278"/>
        <v>0</v>
      </c>
      <c r="CB392" s="5">
        <f t="shared" si="278"/>
        <v>0</v>
      </c>
      <c r="CC392" s="5">
        <f t="shared" si="279"/>
        <v>0</v>
      </c>
      <c r="CD392" s="5">
        <f t="shared" si="273"/>
        <v>0</v>
      </c>
      <c r="CE392" s="5">
        <f t="shared" si="273"/>
        <v>0</v>
      </c>
    </row>
    <row r="393" spans="1:83" x14ac:dyDescent="0.2">
      <c r="C393" s="1">
        <f>Growth!D398</f>
        <v>0</v>
      </c>
      <c r="D393" s="5" t="b">
        <f t="shared" si="280"/>
        <v>0</v>
      </c>
      <c r="E393" s="5">
        <v>2008</v>
      </c>
      <c r="F393" s="5">
        <f ca="1">LOOKUP($E393,frequence!$A$2:$A$35,frequence!L$2:L$35)</f>
        <v>38.010308287591222</v>
      </c>
      <c r="G393" s="5">
        <f ca="1">LOOKUP($E393,frequence!$A$2:$A$35,frequence!K$2:K$35)</f>
        <v>2.9831825211457392</v>
      </c>
      <c r="H393" s="5">
        <f ca="1">LOOKUP($E393,frequence!$A$2:$A$35,frequence!M$2:M$35)</f>
        <v>219.75327049269208</v>
      </c>
      <c r="I393" s="5">
        <v>2000</v>
      </c>
      <c r="J393" s="7">
        <f>LOOKUP(I393,CPI!A$69:A$103,CPI!O$69:O$103)</f>
        <v>1.2662950058072011</v>
      </c>
      <c r="K393" s="5">
        <v>2000</v>
      </c>
      <c r="L393" s="7">
        <f t="shared" ca="1" si="281"/>
        <v>1</v>
      </c>
      <c r="M393" s="7">
        <f t="shared" si="253"/>
        <v>0.57999999999999996</v>
      </c>
      <c r="N393" s="14">
        <v>0.1</v>
      </c>
      <c r="O393" s="1">
        <f ca="1">P393*J393*(1+Growth!G$6)^(2010-K393)</f>
        <v>297.21608802942302</v>
      </c>
      <c r="P393" s="2">
        <f t="shared" si="274"/>
        <v>202</v>
      </c>
      <c r="Q393" s="3">
        <v>202</v>
      </c>
      <c r="R393" s="21">
        <f t="shared" ca="1" si="282"/>
        <v>88337.402983513733</v>
      </c>
      <c r="U393" s="1">
        <v>40</v>
      </c>
      <c r="X393" s="2">
        <f t="shared" si="251"/>
        <v>202</v>
      </c>
      <c r="AA393" s="1">
        <v>628</v>
      </c>
      <c r="AC393" s="1">
        <f t="shared" si="275"/>
        <v>5.8</v>
      </c>
      <c r="AD393" s="5">
        <v>1</v>
      </c>
      <c r="AE393" s="5">
        <v>0</v>
      </c>
      <c r="AF393" s="5">
        <v>1</v>
      </c>
      <c r="AG393" s="5">
        <v>0</v>
      </c>
      <c r="AH393" s="5">
        <v>1</v>
      </c>
      <c r="AI393" s="3">
        <f t="shared" si="277"/>
        <v>2.8</v>
      </c>
      <c r="AJ393" s="5">
        <f t="shared" si="257"/>
        <v>0</v>
      </c>
      <c r="AK393" s="5">
        <f t="shared" si="283"/>
        <v>1</v>
      </c>
      <c r="AL393" s="5">
        <f t="shared" si="284"/>
        <v>0</v>
      </c>
      <c r="AM393" s="5">
        <f t="shared" si="258"/>
        <v>0</v>
      </c>
      <c r="AN393" s="5">
        <f t="shared" si="285"/>
        <v>0</v>
      </c>
      <c r="AO393" s="5">
        <f t="shared" si="259"/>
        <v>0</v>
      </c>
      <c r="AP393" s="11" t="s">
        <v>42</v>
      </c>
      <c r="AQ393" s="1">
        <v>2</v>
      </c>
      <c r="AR393" s="5">
        <v>0</v>
      </c>
      <c r="AS393" s="5">
        <v>1</v>
      </c>
      <c r="AT393" s="5">
        <v>1</v>
      </c>
      <c r="AU393" s="5">
        <v>0</v>
      </c>
      <c r="AV393" s="5">
        <v>0</v>
      </c>
      <c r="AW393" s="5">
        <v>0</v>
      </c>
      <c r="AX393" s="5">
        <v>1</v>
      </c>
      <c r="AY393" s="1">
        <f t="shared" si="262"/>
        <v>0</v>
      </c>
      <c r="AZ393" s="1">
        <f t="shared" si="263"/>
        <v>0</v>
      </c>
      <c r="BA393" s="1">
        <f t="shared" si="264"/>
        <v>0</v>
      </c>
      <c r="BB393" s="5">
        <v>1</v>
      </c>
      <c r="BC393" s="5">
        <v>0</v>
      </c>
      <c r="BD393" s="5">
        <v>0</v>
      </c>
      <c r="BE393" s="5">
        <f t="shared" si="276"/>
        <v>0</v>
      </c>
      <c r="BF393" s="5">
        <v>0</v>
      </c>
      <c r="BG393" s="5">
        <f t="shared" si="286"/>
        <v>0</v>
      </c>
      <c r="BH393" s="5">
        <f t="shared" si="286"/>
        <v>0</v>
      </c>
      <c r="BI393" s="5">
        <f t="shared" si="286"/>
        <v>0</v>
      </c>
      <c r="BJ393" s="5">
        <f t="shared" si="286"/>
        <v>0</v>
      </c>
      <c r="BK393" s="5">
        <f t="shared" si="286"/>
        <v>0</v>
      </c>
      <c r="BL393" s="5">
        <f t="shared" si="286"/>
        <v>0</v>
      </c>
      <c r="BM393" s="5">
        <f t="shared" si="286"/>
        <v>0</v>
      </c>
      <c r="BN393" s="5">
        <f t="shared" si="278"/>
        <v>0</v>
      </c>
      <c r="BO393" s="5">
        <f t="shared" si="278"/>
        <v>0</v>
      </c>
      <c r="BP393" s="5">
        <f t="shared" si="278"/>
        <v>0</v>
      </c>
      <c r="BQ393" s="5">
        <f t="shared" si="278"/>
        <v>0</v>
      </c>
      <c r="BR393" s="5">
        <f t="shared" si="278"/>
        <v>0</v>
      </c>
      <c r="BS393" s="5">
        <f t="shared" si="278"/>
        <v>0</v>
      </c>
      <c r="BT393" s="5">
        <f t="shared" si="278"/>
        <v>0</v>
      </c>
      <c r="BU393" s="5">
        <f t="shared" si="278"/>
        <v>0</v>
      </c>
      <c r="BV393" s="5">
        <f t="shared" si="278"/>
        <v>0</v>
      </c>
      <c r="BW393" s="5">
        <f t="shared" si="278"/>
        <v>0</v>
      </c>
      <c r="BX393" s="5">
        <f t="shared" si="278"/>
        <v>1</v>
      </c>
      <c r="BY393" s="5">
        <f t="shared" si="278"/>
        <v>0</v>
      </c>
      <c r="BZ393" s="5">
        <f t="shared" si="278"/>
        <v>0</v>
      </c>
      <c r="CA393" s="5">
        <f t="shared" si="278"/>
        <v>0</v>
      </c>
      <c r="CB393" s="5">
        <f t="shared" si="278"/>
        <v>0</v>
      </c>
      <c r="CC393" s="5">
        <f t="shared" si="279"/>
        <v>0</v>
      </c>
      <c r="CD393" s="5">
        <f t="shared" si="273"/>
        <v>0</v>
      </c>
      <c r="CE393" s="5">
        <f t="shared" si="273"/>
        <v>0</v>
      </c>
    </row>
    <row r="394" spans="1:83" x14ac:dyDescent="0.2">
      <c r="C394" s="1">
        <f>Growth!D399</f>
        <v>0</v>
      </c>
      <c r="D394" s="5" t="b">
        <f t="shared" si="280"/>
        <v>0</v>
      </c>
      <c r="E394" s="5">
        <v>2008</v>
      </c>
      <c r="F394" s="5">
        <f ca="1">LOOKUP($E394,frequence!$A$2:$A$35,frequence!L$2:L$35)</f>
        <v>38.010308287591222</v>
      </c>
      <c r="G394" s="5">
        <f ca="1">LOOKUP($E394,frequence!$A$2:$A$35,frequence!K$2:K$35)</f>
        <v>2.9831825211457392</v>
      </c>
      <c r="H394" s="5">
        <f ca="1">LOOKUP($E394,frequence!$A$2:$A$35,frequence!M$2:M$35)</f>
        <v>219.75327049269208</v>
      </c>
      <c r="I394" s="5">
        <v>2000</v>
      </c>
      <c r="J394" s="7">
        <f>LOOKUP(I394,CPI!A$69:A$103,CPI!O$69:O$103)</f>
        <v>1.2662950058072011</v>
      </c>
      <c r="K394" s="5">
        <v>2000</v>
      </c>
      <c r="L394" s="7">
        <f t="shared" ca="1" si="281"/>
        <v>0.99106106243772429</v>
      </c>
      <c r="M394" s="7">
        <f t="shared" si="253"/>
        <v>0.57999999999999996</v>
      </c>
      <c r="N394" s="14">
        <v>0.1</v>
      </c>
      <c r="O394" s="1">
        <f ca="1">P394*J394*(1+Growth!G$6)^(2010-K394)</f>
        <v>1199.1639195246523</v>
      </c>
      <c r="P394" s="2">
        <f t="shared" si="274"/>
        <v>815</v>
      </c>
      <c r="Q394" s="3">
        <v>815</v>
      </c>
      <c r="R394" s="21">
        <f t="shared" ca="1" si="282"/>
        <v>1437994.1058897269</v>
      </c>
      <c r="U394" s="1">
        <v>145</v>
      </c>
      <c r="X394" s="2">
        <f t="shared" si="251"/>
        <v>815</v>
      </c>
      <c r="AA394" s="1">
        <v>237</v>
      </c>
      <c r="AC394" s="1">
        <f t="shared" si="275"/>
        <v>5.8</v>
      </c>
      <c r="AD394" s="5">
        <v>1</v>
      </c>
      <c r="AE394" s="5">
        <v>0</v>
      </c>
      <c r="AF394" s="5">
        <v>1</v>
      </c>
      <c r="AG394" s="5">
        <v>0</v>
      </c>
      <c r="AH394" s="5">
        <v>1</v>
      </c>
      <c r="AI394" s="3">
        <f t="shared" si="277"/>
        <v>2.8</v>
      </c>
      <c r="AJ394" s="5">
        <f t="shared" si="257"/>
        <v>0</v>
      </c>
      <c r="AK394" s="5">
        <f t="shared" si="283"/>
        <v>0</v>
      </c>
      <c r="AL394" s="5">
        <f t="shared" si="284"/>
        <v>0</v>
      </c>
      <c r="AM394" s="5">
        <f t="shared" si="258"/>
        <v>1</v>
      </c>
      <c r="AN394" s="5">
        <f t="shared" si="285"/>
        <v>0</v>
      </c>
      <c r="AO394" s="5">
        <f t="shared" si="259"/>
        <v>0</v>
      </c>
      <c r="AP394" s="11" t="s">
        <v>42</v>
      </c>
      <c r="AQ394" s="1">
        <v>1</v>
      </c>
      <c r="AR394" s="5">
        <v>0</v>
      </c>
      <c r="AS394" s="5">
        <v>1</v>
      </c>
      <c r="AT394" s="5">
        <v>1</v>
      </c>
      <c r="AU394" s="5">
        <v>0</v>
      </c>
      <c r="AV394" s="5">
        <v>0</v>
      </c>
      <c r="AW394" s="5">
        <v>0</v>
      </c>
      <c r="AX394" s="5">
        <v>1</v>
      </c>
      <c r="AY394" s="1">
        <f t="shared" si="262"/>
        <v>0</v>
      </c>
      <c r="AZ394" s="1">
        <f t="shared" si="263"/>
        <v>1</v>
      </c>
      <c r="BA394" s="1">
        <f t="shared" si="264"/>
        <v>0</v>
      </c>
      <c r="BB394" s="5">
        <v>1</v>
      </c>
      <c r="BC394" s="5">
        <v>0</v>
      </c>
      <c r="BD394" s="5">
        <v>0</v>
      </c>
      <c r="BE394" s="5">
        <f t="shared" si="276"/>
        <v>0</v>
      </c>
      <c r="BF394" s="5">
        <v>0</v>
      </c>
      <c r="BG394" s="5">
        <f t="shared" si="286"/>
        <v>0</v>
      </c>
      <c r="BH394" s="5">
        <f t="shared" si="286"/>
        <v>0</v>
      </c>
      <c r="BI394" s="5">
        <f t="shared" si="286"/>
        <v>0</v>
      </c>
      <c r="BJ394" s="5">
        <f t="shared" si="286"/>
        <v>0</v>
      </c>
      <c r="BK394" s="5">
        <f t="shared" si="286"/>
        <v>0</v>
      </c>
      <c r="BL394" s="5">
        <f t="shared" si="286"/>
        <v>0</v>
      </c>
      <c r="BM394" s="5">
        <f t="shared" si="286"/>
        <v>0</v>
      </c>
      <c r="BN394" s="5">
        <f t="shared" si="278"/>
        <v>0</v>
      </c>
      <c r="BO394" s="5">
        <f t="shared" si="278"/>
        <v>0</v>
      </c>
      <c r="BP394" s="5">
        <f t="shared" si="278"/>
        <v>0</v>
      </c>
      <c r="BQ394" s="5">
        <f t="shared" si="278"/>
        <v>0</v>
      </c>
      <c r="BR394" s="5">
        <f t="shared" si="278"/>
        <v>0</v>
      </c>
      <c r="BS394" s="5">
        <f t="shared" si="278"/>
        <v>0</v>
      </c>
      <c r="BT394" s="5">
        <f t="shared" si="278"/>
        <v>0</v>
      </c>
      <c r="BU394" s="5">
        <f t="shared" si="278"/>
        <v>0</v>
      </c>
      <c r="BV394" s="5">
        <f t="shared" si="278"/>
        <v>0</v>
      </c>
      <c r="BW394" s="5">
        <f t="shared" si="278"/>
        <v>0</v>
      </c>
      <c r="BX394" s="5">
        <f t="shared" si="278"/>
        <v>1</v>
      </c>
      <c r="BY394" s="5">
        <f t="shared" si="278"/>
        <v>0</v>
      </c>
      <c r="BZ394" s="5">
        <f t="shared" si="278"/>
        <v>0</v>
      </c>
      <c r="CA394" s="5">
        <f t="shared" si="278"/>
        <v>0</v>
      </c>
      <c r="CB394" s="5">
        <f t="shared" si="278"/>
        <v>0</v>
      </c>
      <c r="CC394" s="5">
        <f t="shared" si="279"/>
        <v>0</v>
      </c>
      <c r="CD394" s="5">
        <f t="shared" si="273"/>
        <v>0</v>
      </c>
      <c r="CE394" s="5">
        <f t="shared" si="273"/>
        <v>0</v>
      </c>
    </row>
    <row r="395" spans="1:83" x14ac:dyDescent="0.2">
      <c r="A395" s="1" t="s">
        <v>62</v>
      </c>
      <c r="B395" s="11" t="s">
        <v>146</v>
      </c>
      <c r="C395" s="1">
        <f>Growth!D400</f>
        <v>0</v>
      </c>
      <c r="D395" s="5">
        <f t="shared" si="280"/>
        <v>2010</v>
      </c>
      <c r="E395" s="5">
        <v>2010</v>
      </c>
      <c r="F395" s="5">
        <f ca="1">LOOKUP($E395,frequence!$A$2:$A$35,frequence!L$2:L$35)</f>
        <v>33.819341167042261</v>
      </c>
      <c r="G395" s="5">
        <f ca="1">LOOKUP($E395,frequence!$A$2:$A$35,frequence!K$2:K$35)</f>
        <v>1.4741694560324998</v>
      </c>
      <c r="H395" s="5">
        <f ca="1">LOOKUP($E395,frequence!$A$2:$A$35,frequence!M$2:M$35)</f>
        <v>191.46239168394251</v>
      </c>
      <c r="I395" s="5">
        <v>2000</v>
      </c>
      <c r="J395" s="7">
        <f>LOOKUP(I395,CPI!A$69:A$103,CPI!O$69:O$103)</f>
        <v>1.2662950058072011</v>
      </c>
      <c r="K395" s="5">
        <v>2010</v>
      </c>
      <c r="L395" s="7">
        <f t="shared" ca="1" si="281"/>
        <v>1</v>
      </c>
      <c r="M395" s="7">
        <f t="shared" si="253"/>
        <v>0.5</v>
      </c>
      <c r="N395" s="14">
        <v>0.1</v>
      </c>
      <c r="O395" s="1">
        <f ca="1">P395*J395*(1+Growth!G$6)^(2010-K395)</f>
        <v>60.36006194347658</v>
      </c>
      <c r="P395" s="3">
        <f>13*44/12</f>
        <v>47.666666666666664</v>
      </c>
      <c r="Q395" s="2">
        <f t="shared" si="148"/>
        <v>47.666666666666664</v>
      </c>
      <c r="R395" s="21">
        <f t="shared" ca="1" si="282"/>
        <v>3643.3370778203298</v>
      </c>
      <c r="X395" s="2">
        <f t="shared" si="251"/>
        <v>47.666666666666664</v>
      </c>
      <c r="AC395" s="1">
        <f t="shared" si="275"/>
        <v>5</v>
      </c>
      <c r="AD395" s="5">
        <v>0</v>
      </c>
      <c r="AE395" s="5">
        <v>0</v>
      </c>
      <c r="AF395" s="5">
        <v>1</v>
      </c>
      <c r="AG395" s="5">
        <v>0</v>
      </c>
      <c r="AH395" s="5">
        <v>1</v>
      </c>
      <c r="AI395" s="3">
        <f t="shared" si="277"/>
        <v>3</v>
      </c>
      <c r="AJ395" s="5">
        <f t="shared" si="257"/>
        <v>0</v>
      </c>
      <c r="AK395" s="5">
        <f t="shared" si="283"/>
        <v>0</v>
      </c>
      <c r="AL395" s="5">
        <f t="shared" si="284"/>
        <v>0</v>
      </c>
      <c r="AM395" s="5">
        <f t="shared" si="258"/>
        <v>0</v>
      </c>
      <c r="AN395" s="5">
        <f t="shared" si="285"/>
        <v>0</v>
      </c>
      <c r="AO395" s="5">
        <f t="shared" si="259"/>
        <v>0</v>
      </c>
      <c r="AP395" s="11" t="s">
        <v>42</v>
      </c>
      <c r="AQ395" s="1" t="s">
        <v>42</v>
      </c>
      <c r="AR395" s="5">
        <v>0</v>
      </c>
      <c r="AS395" s="5">
        <v>0</v>
      </c>
      <c r="AT395" s="5">
        <v>0</v>
      </c>
      <c r="AU395" s="5">
        <v>1</v>
      </c>
      <c r="AV395" s="5">
        <v>0</v>
      </c>
      <c r="AW395" s="5">
        <v>0</v>
      </c>
      <c r="AX395" s="5">
        <v>1</v>
      </c>
      <c r="AY395" s="1">
        <f t="shared" si="262"/>
        <v>0</v>
      </c>
      <c r="AZ395" s="1">
        <f t="shared" si="263"/>
        <v>0</v>
      </c>
      <c r="BA395" s="1">
        <f t="shared" si="264"/>
        <v>0</v>
      </c>
      <c r="BB395" s="5">
        <v>0</v>
      </c>
      <c r="BC395" s="5">
        <v>0</v>
      </c>
      <c r="BD395" s="5">
        <v>0</v>
      </c>
      <c r="BE395" s="5">
        <f t="shared" si="276"/>
        <v>1</v>
      </c>
      <c r="BF395" s="5">
        <v>0</v>
      </c>
      <c r="BG395" s="5">
        <f t="shared" si="286"/>
        <v>0</v>
      </c>
      <c r="BH395" s="5">
        <f t="shared" si="286"/>
        <v>0</v>
      </c>
      <c r="BI395" s="5">
        <f t="shared" si="286"/>
        <v>0</v>
      </c>
      <c r="BJ395" s="5">
        <f t="shared" si="286"/>
        <v>0</v>
      </c>
      <c r="BK395" s="5">
        <f t="shared" si="286"/>
        <v>0</v>
      </c>
      <c r="BL395" s="5">
        <f t="shared" si="286"/>
        <v>0</v>
      </c>
      <c r="BM395" s="5">
        <f t="shared" si="286"/>
        <v>0</v>
      </c>
      <c r="BN395" s="5">
        <f t="shared" si="278"/>
        <v>0</v>
      </c>
      <c r="BO395" s="5">
        <f t="shared" si="278"/>
        <v>0</v>
      </c>
      <c r="BP395" s="5">
        <f t="shared" si="278"/>
        <v>0</v>
      </c>
      <c r="BQ395" s="5">
        <f t="shared" si="278"/>
        <v>0</v>
      </c>
      <c r="BR395" s="5">
        <f t="shared" si="278"/>
        <v>0</v>
      </c>
      <c r="BS395" s="5">
        <f t="shared" si="278"/>
        <v>0</v>
      </c>
      <c r="BT395" s="5">
        <f t="shared" si="278"/>
        <v>0</v>
      </c>
      <c r="BU395" s="5">
        <f t="shared" si="278"/>
        <v>0</v>
      </c>
      <c r="BV395" s="5">
        <f t="shared" si="278"/>
        <v>0</v>
      </c>
      <c r="BW395" s="5">
        <f t="shared" si="278"/>
        <v>0</v>
      </c>
      <c r="BX395" s="5">
        <f t="shared" si="278"/>
        <v>0</v>
      </c>
      <c r="BY395" s="5">
        <f t="shared" si="278"/>
        <v>0</v>
      </c>
      <c r="BZ395" s="5">
        <f t="shared" si="278"/>
        <v>1</v>
      </c>
      <c r="CA395" s="5">
        <f t="shared" si="278"/>
        <v>0</v>
      </c>
      <c r="CB395" s="5">
        <f t="shared" si="278"/>
        <v>0</v>
      </c>
      <c r="CC395" s="5">
        <f t="shared" si="279"/>
        <v>0</v>
      </c>
      <c r="CD395" s="5">
        <f t="shared" si="273"/>
        <v>0</v>
      </c>
      <c r="CE395" s="5">
        <f t="shared" si="273"/>
        <v>0</v>
      </c>
    </row>
    <row r="396" spans="1:83" x14ac:dyDescent="0.2">
      <c r="C396" s="1">
        <f>Growth!D401</f>
        <v>0</v>
      </c>
      <c r="D396" s="5" t="b">
        <f t="shared" si="280"/>
        <v>0</v>
      </c>
      <c r="E396" s="5">
        <v>2010</v>
      </c>
      <c r="F396" s="5">
        <f ca="1">LOOKUP($E396,frequence!$A$2:$A$35,frequence!L$2:L$35)</f>
        <v>33.819341167042261</v>
      </c>
      <c r="G396" s="5">
        <f ca="1">LOOKUP($E396,frequence!$A$2:$A$35,frequence!K$2:K$35)</f>
        <v>1.4741694560324998</v>
      </c>
      <c r="H396" s="5">
        <f ca="1">LOOKUP($E396,frequence!$A$2:$A$35,frequence!M$2:M$35)</f>
        <v>191.46239168394251</v>
      </c>
      <c r="I396" s="5">
        <v>2000</v>
      </c>
      <c r="J396" s="7">
        <f>LOOKUP(I396,CPI!A$69:A$103,CPI!O$69:O$103)</f>
        <v>1.2662950058072011</v>
      </c>
      <c r="K396" s="5">
        <v>2010</v>
      </c>
      <c r="L396" s="7">
        <f t="shared" ca="1" si="281"/>
        <v>1</v>
      </c>
      <c r="M396" s="7">
        <f t="shared" si="253"/>
        <v>4</v>
      </c>
      <c r="N396" s="14">
        <v>0.8</v>
      </c>
      <c r="O396" s="1">
        <f ca="1">P396*J396*(1+Growth!G$6)^(2010-K396)</f>
        <v>88.218552071235024</v>
      </c>
      <c r="P396" s="3">
        <f>19*44/12</f>
        <v>69.666666666666671</v>
      </c>
      <c r="Q396" s="2">
        <f t="shared" si="148"/>
        <v>69.666666666666671</v>
      </c>
      <c r="R396" s="21">
        <f t="shared" ca="1" si="282"/>
        <v>7782.5129295452052</v>
      </c>
      <c r="X396" s="2">
        <f t="shared" ref="X396:X459" si="287">P396</f>
        <v>69.666666666666671</v>
      </c>
      <c r="AC396" s="1">
        <f t="shared" si="275"/>
        <v>5</v>
      </c>
      <c r="AD396" s="5">
        <v>0</v>
      </c>
      <c r="AE396" s="5">
        <v>0</v>
      </c>
      <c r="AF396" s="5">
        <v>1</v>
      </c>
      <c r="AG396" s="5">
        <v>0</v>
      </c>
      <c r="AH396" s="5">
        <v>1</v>
      </c>
      <c r="AI396" s="3">
        <f t="shared" si="277"/>
        <v>3</v>
      </c>
      <c r="AJ396" s="5">
        <f t="shared" si="257"/>
        <v>0</v>
      </c>
      <c r="AK396" s="5">
        <f t="shared" si="283"/>
        <v>0</v>
      </c>
      <c r="AL396" s="5">
        <f t="shared" si="284"/>
        <v>0</v>
      </c>
      <c r="AM396" s="5">
        <f t="shared" si="258"/>
        <v>0</v>
      </c>
      <c r="AN396" s="5">
        <f t="shared" si="285"/>
        <v>0</v>
      </c>
      <c r="AO396" s="5">
        <f t="shared" si="259"/>
        <v>0</v>
      </c>
      <c r="AP396" s="11" t="s">
        <v>42</v>
      </c>
      <c r="AQ396" s="1" t="s">
        <v>42</v>
      </c>
      <c r="AR396" s="5">
        <v>0</v>
      </c>
      <c r="AS396" s="5">
        <v>0</v>
      </c>
      <c r="AT396" s="5">
        <v>1</v>
      </c>
      <c r="AU396" s="5">
        <v>1</v>
      </c>
      <c r="AV396" s="5">
        <v>0</v>
      </c>
      <c r="AW396" s="5">
        <v>0</v>
      </c>
      <c r="AX396" s="5">
        <v>1</v>
      </c>
      <c r="AY396" s="1">
        <f t="shared" si="262"/>
        <v>0</v>
      </c>
      <c r="AZ396" s="1">
        <f t="shared" si="263"/>
        <v>0</v>
      </c>
      <c r="BA396" s="1">
        <f t="shared" si="264"/>
        <v>0</v>
      </c>
      <c r="BB396" s="5">
        <v>0</v>
      </c>
      <c r="BC396" s="5">
        <v>0</v>
      </c>
      <c r="BD396" s="5">
        <v>0</v>
      </c>
      <c r="BE396" s="5">
        <f t="shared" si="276"/>
        <v>1</v>
      </c>
      <c r="BF396" s="5">
        <v>0</v>
      </c>
      <c r="BG396" s="5">
        <f t="shared" si="286"/>
        <v>0</v>
      </c>
      <c r="BH396" s="5">
        <f t="shared" si="286"/>
        <v>0</v>
      </c>
      <c r="BI396" s="5">
        <f t="shared" si="286"/>
        <v>0</v>
      </c>
      <c r="BJ396" s="5">
        <f t="shared" si="286"/>
        <v>0</v>
      </c>
      <c r="BK396" s="5">
        <f t="shared" si="286"/>
        <v>0</v>
      </c>
      <c r="BL396" s="5">
        <f t="shared" si="286"/>
        <v>0</v>
      </c>
      <c r="BM396" s="5">
        <f t="shared" si="286"/>
        <v>0</v>
      </c>
      <c r="BN396" s="5">
        <f t="shared" si="278"/>
        <v>0</v>
      </c>
      <c r="BO396" s="5">
        <f t="shared" si="278"/>
        <v>0</v>
      </c>
      <c r="BP396" s="5">
        <f t="shared" si="278"/>
        <v>0</v>
      </c>
      <c r="BQ396" s="5">
        <f t="shared" si="278"/>
        <v>0</v>
      </c>
      <c r="BR396" s="5">
        <f t="shared" si="278"/>
        <v>0</v>
      </c>
      <c r="BS396" s="5">
        <f t="shared" si="278"/>
        <v>0</v>
      </c>
      <c r="BT396" s="5">
        <f t="shared" si="278"/>
        <v>0</v>
      </c>
      <c r="BU396" s="5">
        <f t="shared" si="278"/>
        <v>0</v>
      </c>
      <c r="BV396" s="5">
        <f t="shared" si="278"/>
        <v>0</v>
      </c>
      <c r="BW396" s="5">
        <f t="shared" si="278"/>
        <v>0</v>
      </c>
      <c r="BX396" s="5">
        <f t="shared" si="278"/>
        <v>0</v>
      </c>
      <c r="BY396" s="5">
        <f t="shared" si="278"/>
        <v>0</v>
      </c>
      <c r="BZ396" s="5">
        <f t="shared" si="278"/>
        <v>1</v>
      </c>
      <c r="CA396" s="5">
        <f t="shared" si="278"/>
        <v>0</v>
      </c>
      <c r="CB396" s="5">
        <f t="shared" si="278"/>
        <v>0</v>
      </c>
      <c r="CC396" s="5">
        <f t="shared" si="279"/>
        <v>0</v>
      </c>
      <c r="CD396" s="5">
        <f t="shared" si="273"/>
        <v>0</v>
      </c>
      <c r="CE396" s="5">
        <f t="shared" si="273"/>
        <v>0</v>
      </c>
    </row>
    <row r="397" spans="1:83" x14ac:dyDescent="0.2">
      <c r="C397" s="1">
        <f>Growth!D402</f>
        <v>0</v>
      </c>
      <c r="D397" s="5" t="b">
        <f t="shared" si="280"/>
        <v>0</v>
      </c>
      <c r="E397" s="5">
        <v>2010</v>
      </c>
      <c r="F397" s="5">
        <f ca="1">LOOKUP($E397,frequence!$A$2:$A$35,frequence!L$2:L$35)</f>
        <v>33.819341167042261</v>
      </c>
      <c r="G397" s="5">
        <f ca="1">LOOKUP($E397,frequence!$A$2:$A$35,frequence!K$2:K$35)</f>
        <v>1.4741694560324998</v>
      </c>
      <c r="H397" s="5">
        <f ca="1">LOOKUP($E397,frequence!$A$2:$A$35,frequence!M$2:M$35)</f>
        <v>191.46239168394251</v>
      </c>
      <c r="I397" s="5">
        <v>2000</v>
      </c>
      <c r="J397" s="7">
        <f>LOOKUP(I397,CPI!A$69:A$103,CPI!O$69:O$103)</f>
        <v>1.2662950058072011</v>
      </c>
      <c r="K397" s="5">
        <v>2010</v>
      </c>
      <c r="L397" s="7">
        <f t="shared" ca="1" si="281"/>
        <v>1</v>
      </c>
      <c r="M397" s="7">
        <f t="shared" si="253"/>
        <v>0.5</v>
      </c>
      <c r="N397" s="14">
        <v>0.1</v>
      </c>
      <c r="O397" s="1">
        <f ca="1">P397*J397*(1+Growth!G$6)^(2010-K397)</f>
        <v>213.58175764614791</v>
      </c>
      <c r="P397" s="3">
        <f>46*44/12</f>
        <v>168.66666666666666</v>
      </c>
      <c r="Q397" s="2">
        <f t="shared" si="148"/>
        <v>168.66666666666666</v>
      </c>
      <c r="R397" s="21">
        <f t="shared" ca="1" si="282"/>
        <v>45617.16719921786</v>
      </c>
      <c r="X397" s="2">
        <f t="shared" si="287"/>
        <v>168.66666666666666</v>
      </c>
      <c r="AC397" s="1">
        <f t="shared" si="275"/>
        <v>5</v>
      </c>
      <c r="AD397" s="5">
        <v>0</v>
      </c>
      <c r="AE397" s="5">
        <v>0</v>
      </c>
      <c r="AF397" s="5">
        <v>1</v>
      </c>
      <c r="AG397" s="5">
        <v>0</v>
      </c>
      <c r="AH397" s="5">
        <v>1</v>
      </c>
      <c r="AI397" s="3">
        <f t="shared" si="277"/>
        <v>3</v>
      </c>
      <c r="AJ397" s="5">
        <f t="shared" si="257"/>
        <v>0</v>
      </c>
      <c r="AK397" s="5">
        <f t="shared" si="283"/>
        <v>0</v>
      </c>
      <c r="AL397" s="5">
        <f t="shared" si="284"/>
        <v>0</v>
      </c>
      <c r="AM397" s="5">
        <f t="shared" si="258"/>
        <v>0</v>
      </c>
      <c r="AN397" s="5">
        <f t="shared" si="285"/>
        <v>0</v>
      </c>
      <c r="AO397" s="5">
        <f t="shared" si="259"/>
        <v>0</v>
      </c>
      <c r="AP397" s="11" t="s">
        <v>42</v>
      </c>
      <c r="AQ397" s="1" t="s">
        <v>42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1</v>
      </c>
      <c r="AY397" s="1">
        <f t="shared" si="262"/>
        <v>0</v>
      </c>
      <c r="AZ397" s="1">
        <f t="shared" si="263"/>
        <v>0</v>
      </c>
      <c r="BA397" s="1">
        <f t="shared" si="264"/>
        <v>0</v>
      </c>
      <c r="BB397" s="5">
        <v>0</v>
      </c>
      <c r="BC397" s="5">
        <v>0</v>
      </c>
      <c r="BD397" s="5">
        <v>0</v>
      </c>
      <c r="BE397" s="5">
        <f t="shared" si="276"/>
        <v>1</v>
      </c>
      <c r="BF397" s="5">
        <v>0</v>
      </c>
      <c r="BG397" s="5">
        <f t="shared" si="286"/>
        <v>0</v>
      </c>
      <c r="BH397" s="5">
        <f t="shared" si="286"/>
        <v>0</v>
      </c>
      <c r="BI397" s="5">
        <f t="shared" si="286"/>
        <v>0</v>
      </c>
      <c r="BJ397" s="5">
        <f t="shared" si="286"/>
        <v>0</v>
      </c>
      <c r="BK397" s="5">
        <f t="shared" si="286"/>
        <v>0</v>
      </c>
      <c r="BL397" s="5">
        <f t="shared" si="286"/>
        <v>0</v>
      </c>
      <c r="BM397" s="5">
        <f t="shared" si="286"/>
        <v>0</v>
      </c>
      <c r="BN397" s="5">
        <f t="shared" si="278"/>
        <v>0</v>
      </c>
      <c r="BO397" s="5">
        <f t="shared" si="278"/>
        <v>0</v>
      </c>
      <c r="BP397" s="5">
        <f t="shared" si="278"/>
        <v>0</v>
      </c>
      <c r="BQ397" s="5">
        <f t="shared" si="278"/>
        <v>0</v>
      </c>
      <c r="BR397" s="5">
        <f t="shared" si="278"/>
        <v>0</v>
      </c>
      <c r="BS397" s="5">
        <f t="shared" si="278"/>
        <v>0</v>
      </c>
      <c r="BT397" s="5">
        <f t="shared" si="278"/>
        <v>0</v>
      </c>
      <c r="BU397" s="5">
        <f t="shared" si="278"/>
        <v>0</v>
      </c>
      <c r="BV397" s="5">
        <f t="shared" si="278"/>
        <v>0</v>
      </c>
      <c r="BW397" s="5">
        <f t="shared" si="278"/>
        <v>0</v>
      </c>
      <c r="BX397" s="5">
        <f t="shared" si="278"/>
        <v>0</v>
      </c>
      <c r="BY397" s="5">
        <f t="shared" si="278"/>
        <v>0</v>
      </c>
      <c r="BZ397" s="5">
        <f t="shared" si="278"/>
        <v>1</v>
      </c>
      <c r="CA397" s="5">
        <f t="shared" si="278"/>
        <v>0</v>
      </c>
      <c r="CB397" s="5">
        <f t="shared" si="278"/>
        <v>0</v>
      </c>
      <c r="CC397" s="5">
        <f t="shared" si="279"/>
        <v>0</v>
      </c>
      <c r="CD397" s="5">
        <f t="shared" si="273"/>
        <v>0</v>
      </c>
      <c r="CE397" s="5">
        <f t="shared" si="273"/>
        <v>0</v>
      </c>
    </row>
    <row r="398" spans="1:83" x14ac:dyDescent="0.2">
      <c r="A398" s="1" t="s">
        <v>61</v>
      </c>
      <c r="B398" s="11" t="s">
        <v>145</v>
      </c>
      <c r="C398" s="1">
        <f>Growth!D403</f>
        <v>1</v>
      </c>
      <c r="D398" s="5">
        <f t="shared" si="280"/>
        <v>2010</v>
      </c>
      <c r="E398" s="5">
        <v>2010</v>
      </c>
      <c r="F398" s="5">
        <f ca="1">LOOKUP($E398,frequence!$A$2:$A$35,frequence!L$2:L$35)</f>
        <v>33.819341167042261</v>
      </c>
      <c r="G398" s="5">
        <f ca="1">LOOKUP($E398,frequence!$A$2:$A$35,frequence!K$2:K$35)</f>
        <v>1.4741694560324998</v>
      </c>
      <c r="H398" s="5">
        <f ca="1">LOOKUP($E398,frequence!$A$2:$A$35,frequence!M$2:M$35)</f>
        <v>191.46239168394251</v>
      </c>
      <c r="I398" s="18">
        <v>2005</v>
      </c>
      <c r="J398" s="7">
        <f>LOOKUP(I398,CPI!A$69:A$103,CPI!O$69:O$103)</f>
        <v>1.1165181771633383</v>
      </c>
      <c r="K398" s="5">
        <v>2010</v>
      </c>
      <c r="L398" s="7">
        <f t="shared" ca="1" si="281"/>
        <v>1</v>
      </c>
      <c r="M398" s="7">
        <f t="shared" si="253"/>
        <v>5</v>
      </c>
      <c r="N398" s="14">
        <v>1</v>
      </c>
      <c r="O398" s="1">
        <f ca="1">P398*J398*(1+Growth!G$6)^(2010-K398)</f>
        <v>29.598896876600101</v>
      </c>
      <c r="P398" s="11">
        <f>7.23*44/12</f>
        <v>26.51</v>
      </c>
      <c r="Q398" s="2">
        <f t="shared" si="148"/>
        <v>26.51</v>
      </c>
      <c r="R398" s="21">
        <f t="shared" ca="1" si="282"/>
        <v>876.09469631160721</v>
      </c>
      <c r="X398" s="2">
        <f t="shared" si="287"/>
        <v>26.51</v>
      </c>
      <c r="AC398" s="1">
        <f t="shared" si="275"/>
        <v>5</v>
      </c>
      <c r="AD398" s="5">
        <v>0</v>
      </c>
      <c r="AE398" s="5">
        <v>0</v>
      </c>
      <c r="AF398" s="5">
        <v>1</v>
      </c>
      <c r="AG398" s="5">
        <v>0</v>
      </c>
      <c r="AH398" s="5">
        <v>1</v>
      </c>
      <c r="AI398" s="3">
        <f t="shared" si="277"/>
        <v>3</v>
      </c>
      <c r="AJ398" s="5">
        <f t="shared" si="257"/>
        <v>1</v>
      </c>
      <c r="AK398" s="5">
        <f t="shared" si="283"/>
        <v>0</v>
      </c>
      <c r="AL398" s="5">
        <f t="shared" si="284"/>
        <v>0</v>
      </c>
      <c r="AM398" s="5">
        <f t="shared" si="258"/>
        <v>0</v>
      </c>
      <c r="AN398" s="5">
        <f t="shared" si="285"/>
        <v>0</v>
      </c>
      <c r="AO398" s="5">
        <f t="shared" si="259"/>
        <v>0</v>
      </c>
      <c r="AP398" s="1">
        <v>5</v>
      </c>
      <c r="AQ398" s="1">
        <v>3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1</v>
      </c>
      <c r="AY398" s="1">
        <f t="shared" si="262"/>
        <v>0</v>
      </c>
      <c r="AZ398" s="1">
        <f t="shared" si="263"/>
        <v>0</v>
      </c>
      <c r="BA398" s="1">
        <f t="shared" si="264"/>
        <v>0</v>
      </c>
      <c r="BB398" s="5">
        <v>0</v>
      </c>
      <c r="BC398" s="5">
        <v>0</v>
      </c>
      <c r="BD398" s="5">
        <v>0</v>
      </c>
      <c r="BE398" s="5">
        <f t="shared" si="276"/>
        <v>1</v>
      </c>
      <c r="BF398" s="5">
        <v>0</v>
      </c>
      <c r="BG398" s="5">
        <f t="shared" si="286"/>
        <v>0</v>
      </c>
      <c r="BH398" s="5">
        <f t="shared" si="286"/>
        <v>0</v>
      </c>
      <c r="BI398" s="5">
        <f t="shared" si="286"/>
        <v>0</v>
      </c>
      <c r="BJ398" s="5">
        <f t="shared" si="286"/>
        <v>0</v>
      </c>
      <c r="BK398" s="5">
        <f t="shared" si="286"/>
        <v>0</v>
      </c>
      <c r="BL398" s="5">
        <f t="shared" si="286"/>
        <v>0</v>
      </c>
      <c r="BM398" s="5">
        <f t="shared" si="286"/>
        <v>0</v>
      </c>
      <c r="BN398" s="5">
        <f t="shared" si="278"/>
        <v>0</v>
      </c>
      <c r="BO398" s="5">
        <f t="shared" si="278"/>
        <v>0</v>
      </c>
      <c r="BP398" s="5">
        <f t="shared" si="278"/>
        <v>0</v>
      </c>
      <c r="BQ398" s="5">
        <f t="shared" si="278"/>
        <v>0</v>
      </c>
      <c r="BR398" s="5">
        <f t="shared" si="278"/>
        <v>0</v>
      </c>
      <c r="BS398" s="5">
        <f t="shared" si="278"/>
        <v>0</v>
      </c>
      <c r="BT398" s="5">
        <f t="shared" si="278"/>
        <v>0</v>
      </c>
      <c r="BU398" s="5">
        <f t="shared" si="278"/>
        <v>0</v>
      </c>
      <c r="BV398" s="5">
        <f t="shared" si="278"/>
        <v>0</v>
      </c>
      <c r="BW398" s="5">
        <f t="shared" si="278"/>
        <v>0</v>
      </c>
      <c r="BX398" s="5">
        <f t="shared" si="278"/>
        <v>0</v>
      </c>
      <c r="BY398" s="5">
        <f t="shared" si="278"/>
        <v>0</v>
      </c>
      <c r="BZ398" s="5">
        <f t="shared" si="278"/>
        <v>1</v>
      </c>
      <c r="CA398" s="5">
        <f t="shared" si="278"/>
        <v>0</v>
      </c>
      <c r="CB398" s="5">
        <f t="shared" si="278"/>
        <v>0</v>
      </c>
      <c r="CC398" s="5">
        <f t="shared" si="279"/>
        <v>0</v>
      </c>
      <c r="CD398" s="5">
        <f t="shared" si="273"/>
        <v>0</v>
      </c>
      <c r="CE398" s="5">
        <f t="shared" si="273"/>
        <v>0</v>
      </c>
    </row>
    <row r="399" spans="1:83" x14ac:dyDescent="0.2">
      <c r="A399" s="1" t="s">
        <v>0</v>
      </c>
      <c r="B399" s="11" t="s">
        <v>144</v>
      </c>
      <c r="C399" s="1">
        <f>Growth!D404</f>
        <v>0</v>
      </c>
      <c r="D399" s="5">
        <f t="shared" si="280"/>
        <v>2010</v>
      </c>
      <c r="E399" s="5">
        <v>2010</v>
      </c>
      <c r="F399" s="5">
        <f ca="1">LOOKUP($E399,frequence!$A$2:$A$35,frequence!L$2:L$35)</f>
        <v>33.819341167042261</v>
      </c>
      <c r="G399" s="5">
        <f ca="1">LOOKUP($E399,frequence!$A$2:$A$35,frequence!K$2:K$35)</f>
        <v>1.4741694560324998</v>
      </c>
      <c r="H399" s="5">
        <f ca="1">LOOKUP($E399,frequence!$A$2:$A$35,frequence!M$2:M$35)</f>
        <v>191.46239168394251</v>
      </c>
      <c r="I399" s="5">
        <v>1995</v>
      </c>
      <c r="J399" s="7">
        <f>LOOKUP(I399,CPI!A$69:A$103,CPI!O$69:O$103)</f>
        <v>1.4308136482939633</v>
      </c>
      <c r="K399" s="5">
        <v>2010</v>
      </c>
      <c r="L399" s="7">
        <f t="shared" ca="1" si="281"/>
        <v>1</v>
      </c>
      <c r="M399" s="7">
        <f t="shared" si="253"/>
        <v>6</v>
      </c>
      <c r="N399" s="14">
        <v>1</v>
      </c>
      <c r="O399" s="1">
        <f ca="1">P399*J399*(1+Growth!G$6)^(2010-K399)</f>
        <v>2.8616272965879266</v>
      </c>
      <c r="P399" s="3">
        <v>2</v>
      </c>
      <c r="Q399" s="2">
        <f t="shared" si="148"/>
        <v>2</v>
      </c>
      <c r="R399" s="21">
        <f t="shared" ca="1" si="282"/>
        <v>8.188910784577125</v>
      </c>
      <c r="X399" s="2">
        <f t="shared" si="287"/>
        <v>2</v>
      </c>
      <c r="AC399" s="1">
        <f t="shared" si="275"/>
        <v>6</v>
      </c>
      <c r="AD399" s="5">
        <v>0</v>
      </c>
      <c r="AE399" s="5">
        <v>0</v>
      </c>
      <c r="AF399" s="5">
        <v>1</v>
      </c>
      <c r="AG399" s="5">
        <v>1</v>
      </c>
      <c r="AH399" s="5">
        <v>1</v>
      </c>
      <c r="AI399" s="3">
        <f t="shared" si="277"/>
        <v>3</v>
      </c>
      <c r="AJ399" s="5">
        <f t="shared" si="257"/>
        <v>1</v>
      </c>
      <c r="AK399" s="5">
        <f t="shared" si="283"/>
        <v>0</v>
      </c>
      <c r="AL399" s="5">
        <f t="shared" si="284"/>
        <v>0</v>
      </c>
      <c r="AM399" s="5">
        <f t="shared" si="258"/>
        <v>0</v>
      </c>
      <c r="AN399" s="5">
        <f t="shared" si="285"/>
        <v>0</v>
      </c>
      <c r="AO399" s="5">
        <f t="shared" si="259"/>
        <v>0</v>
      </c>
      <c r="AP399" s="11" t="s">
        <v>42</v>
      </c>
      <c r="AQ399" s="1">
        <v>3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1</v>
      </c>
      <c r="AY399" s="1">
        <f t="shared" si="262"/>
        <v>0</v>
      </c>
      <c r="AZ399" s="1">
        <f t="shared" si="263"/>
        <v>0</v>
      </c>
      <c r="BA399" s="1">
        <f t="shared" si="264"/>
        <v>0</v>
      </c>
      <c r="BB399" s="5">
        <v>0</v>
      </c>
      <c r="BC399" s="5">
        <v>0</v>
      </c>
      <c r="BD399" s="5">
        <v>1</v>
      </c>
      <c r="BE399" s="5">
        <f t="shared" si="276"/>
        <v>0</v>
      </c>
      <c r="BF399" s="5">
        <v>0</v>
      </c>
      <c r="BG399" s="5">
        <f t="shared" si="286"/>
        <v>0</v>
      </c>
      <c r="BH399" s="5">
        <f t="shared" si="286"/>
        <v>0</v>
      </c>
      <c r="BI399" s="5">
        <f t="shared" si="286"/>
        <v>0</v>
      </c>
      <c r="BJ399" s="5">
        <f t="shared" si="286"/>
        <v>0</v>
      </c>
      <c r="BK399" s="5">
        <f t="shared" si="286"/>
        <v>0</v>
      </c>
      <c r="BL399" s="5">
        <f t="shared" si="286"/>
        <v>0</v>
      </c>
      <c r="BM399" s="5">
        <f t="shared" si="286"/>
        <v>0</v>
      </c>
      <c r="BN399" s="5">
        <f t="shared" si="278"/>
        <v>0</v>
      </c>
      <c r="BO399" s="5">
        <f t="shared" si="278"/>
        <v>0</v>
      </c>
      <c r="BP399" s="5">
        <f t="shared" si="278"/>
        <v>0</v>
      </c>
      <c r="BQ399" s="5">
        <f t="shared" si="278"/>
        <v>0</v>
      </c>
      <c r="BR399" s="5">
        <f t="shared" si="278"/>
        <v>0</v>
      </c>
      <c r="BS399" s="5">
        <f t="shared" si="278"/>
        <v>0</v>
      </c>
      <c r="BT399" s="5">
        <f t="shared" si="278"/>
        <v>0</v>
      </c>
      <c r="BU399" s="5">
        <f t="shared" si="278"/>
        <v>0</v>
      </c>
      <c r="BV399" s="5">
        <f t="shared" si="278"/>
        <v>0</v>
      </c>
      <c r="BW399" s="5">
        <f t="shared" si="278"/>
        <v>0</v>
      </c>
      <c r="BX399" s="5">
        <f t="shared" si="278"/>
        <v>0</v>
      </c>
      <c r="BY399" s="5">
        <f t="shared" si="278"/>
        <v>0</v>
      </c>
      <c r="BZ399" s="5">
        <f t="shared" si="278"/>
        <v>1</v>
      </c>
      <c r="CA399" s="5">
        <f t="shared" si="278"/>
        <v>0</v>
      </c>
      <c r="CB399" s="5">
        <f t="shared" si="278"/>
        <v>0</v>
      </c>
      <c r="CC399" s="5">
        <f t="shared" si="279"/>
        <v>0</v>
      </c>
      <c r="CD399" s="5">
        <f t="shared" si="279"/>
        <v>0</v>
      </c>
      <c r="CE399" s="5">
        <f t="shared" si="279"/>
        <v>0</v>
      </c>
    </row>
    <row r="400" spans="1:83" x14ac:dyDescent="0.2">
      <c r="A400" s="1" t="s">
        <v>63</v>
      </c>
      <c r="B400" s="11" t="s">
        <v>142</v>
      </c>
      <c r="C400" s="1">
        <f>Growth!D405</f>
        <v>0</v>
      </c>
      <c r="D400" s="5">
        <f t="shared" si="280"/>
        <v>2009</v>
      </c>
      <c r="E400" s="5">
        <v>2009</v>
      </c>
      <c r="F400" s="5">
        <f ca="1">LOOKUP($E400,frequence!$A$2:$A$35,frequence!L$2:L$35)</f>
        <v>37.435381616951773</v>
      </c>
      <c r="G400" s="5">
        <f ca="1">LOOKUP($E400,frequence!$A$2:$A$35,frequence!K$2:K$35)</f>
        <v>3.3073014644850907</v>
      </c>
      <c r="H400" s="5">
        <f ca="1">LOOKUP($E400,frequence!$A$2:$A$35,frequence!M$2:M$35)</f>
        <v>226.95522031937912</v>
      </c>
      <c r="I400" s="5">
        <v>1995</v>
      </c>
      <c r="J400" s="7">
        <f>LOOKUP(I400,CPI!A$69:A$103,CPI!O$69:O$103)</f>
        <v>1.4308136482939633</v>
      </c>
      <c r="K400" s="18">
        <v>2010</v>
      </c>
      <c r="L400" s="7">
        <f t="shared" ca="1" si="281"/>
        <v>1</v>
      </c>
      <c r="M400" s="7">
        <f t="shared" si="253"/>
        <v>0.20909090909090911</v>
      </c>
      <c r="N400" s="14">
        <f>1/33</f>
        <v>3.0303030303030304E-2</v>
      </c>
      <c r="O400" s="1">
        <f ca="1">P400*J400*(1+Growth!G$6)^(2010-K400)</f>
        <v>71.969926509186351</v>
      </c>
      <c r="P400" s="7">
        <v>50.3</v>
      </c>
      <c r="Q400" s="2">
        <f t="shared" si="148"/>
        <v>50.3</v>
      </c>
      <c r="R400" s="21">
        <f t="shared" ca="1" si="282"/>
        <v>5179.6703217376844</v>
      </c>
      <c r="X400" s="2">
        <f t="shared" si="287"/>
        <v>50.3</v>
      </c>
      <c r="AC400" s="1">
        <f t="shared" si="275"/>
        <v>6.9</v>
      </c>
      <c r="AD400" s="5">
        <v>1</v>
      </c>
      <c r="AE400" s="5">
        <v>0</v>
      </c>
      <c r="AF400" s="5">
        <v>1</v>
      </c>
      <c r="AG400" s="5">
        <v>1</v>
      </c>
      <c r="AH400" s="5">
        <v>1</v>
      </c>
      <c r="AI400" s="3">
        <f t="shared" si="277"/>
        <v>2.9</v>
      </c>
      <c r="AJ400" s="5">
        <f t="shared" si="257"/>
        <v>0</v>
      </c>
      <c r="AK400" s="5">
        <f t="shared" si="283"/>
        <v>0</v>
      </c>
      <c r="AL400" s="5">
        <f t="shared" si="284"/>
        <v>0</v>
      </c>
      <c r="AM400" s="5">
        <f t="shared" si="258"/>
        <v>0</v>
      </c>
      <c r="AN400" s="5">
        <f t="shared" si="285"/>
        <v>0</v>
      </c>
      <c r="AO400" s="5">
        <f t="shared" si="259"/>
        <v>1</v>
      </c>
      <c r="AP400" s="11" t="s">
        <v>42</v>
      </c>
      <c r="AQ400" s="1">
        <v>0</v>
      </c>
      <c r="AR400" s="5">
        <v>1</v>
      </c>
      <c r="AS400" s="5">
        <v>1</v>
      </c>
      <c r="AT400" s="5">
        <v>0</v>
      </c>
      <c r="AU400" s="5">
        <v>0</v>
      </c>
      <c r="AV400" s="5">
        <v>0</v>
      </c>
      <c r="AW400" s="5">
        <v>0</v>
      </c>
      <c r="AX400" s="5">
        <v>1</v>
      </c>
      <c r="AY400" s="1">
        <f t="shared" si="262"/>
        <v>0</v>
      </c>
      <c r="AZ400" s="1">
        <f t="shared" si="263"/>
        <v>0</v>
      </c>
      <c r="BA400" s="1">
        <f t="shared" si="264"/>
        <v>0</v>
      </c>
      <c r="BB400" s="5">
        <v>0</v>
      </c>
      <c r="BC400" s="5">
        <v>0</v>
      </c>
      <c r="BD400" s="5">
        <v>1</v>
      </c>
      <c r="BE400" s="5">
        <f t="shared" ref="BE400:BE432" si="288">1-SUM(BB400:BD400)</f>
        <v>0</v>
      </c>
      <c r="BF400" s="5">
        <v>0</v>
      </c>
      <c r="BG400" s="5">
        <f t="shared" si="286"/>
        <v>0</v>
      </c>
      <c r="BH400" s="5">
        <f t="shared" si="286"/>
        <v>0</v>
      </c>
      <c r="BI400" s="5">
        <f t="shared" si="286"/>
        <v>0</v>
      </c>
      <c r="BJ400" s="5">
        <f t="shared" si="286"/>
        <v>0</v>
      </c>
      <c r="BK400" s="5">
        <f t="shared" si="286"/>
        <v>0</v>
      </c>
      <c r="BL400" s="5">
        <f t="shared" si="286"/>
        <v>0</v>
      </c>
      <c r="BM400" s="5">
        <f t="shared" si="286"/>
        <v>0</v>
      </c>
      <c r="BN400" s="5">
        <f t="shared" si="278"/>
        <v>0</v>
      </c>
      <c r="BO400" s="5">
        <f t="shared" si="278"/>
        <v>0</v>
      </c>
      <c r="BP400" s="5">
        <f t="shared" si="278"/>
        <v>0</v>
      </c>
      <c r="BQ400" s="5">
        <f t="shared" si="278"/>
        <v>0</v>
      </c>
      <c r="BR400" s="5">
        <f t="shared" si="278"/>
        <v>0</v>
      </c>
      <c r="BS400" s="5">
        <f t="shared" si="278"/>
        <v>0</v>
      </c>
      <c r="BT400" s="5">
        <f t="shared" si="278"/>
        <v>0</v>
      </c>
      <c r="BU400" s="5">
        <f t="shared" si="278"/>
        <v>0</v>
      </c>
      <c r="BV400" s="5">
        <f t="shared" si="278"/>
        <v>0</v>
      </c>
      <c r="BW400" s="5">
        <f t="shared" si="278"/>
        <v>0</v>
      </c>
      <c r="BX400" s="5">
        <f t="shared" si="278"/>
        <v>0</v>
      </c>
      <c r="BY400" s="5">
        <f t="shared" si="278"/>
        <v>1</v>
      </c>
      <c r="BZ400" s="5">
        <f t="shared" si="278"/>
        <v>0</v>
      </c>
      <c r="CA400" s="5">
        <f t="shared" si="278"/>
        <v>0</v>
      </c>
      <c r="CB400" s="5">
        <f t="shared" si="278"/>
        <v>0</v>
      </c>
      <c r="CC400" s="5">
        <f t="shared" si="279"/>
        <v>0</v>
      </c>
      <c r="CD400" s="5">
        <f t="shared" si="279"/>
        <v>0</v>
      </c>
      <c r="CE400" s="5">
        <f t="shared" si="279"/>
        <v>0</v>
      </c>
    </row>
    <row r="401" spans="3:83" x14ac:dyDescent="0.2">
      <c r="C401" s="1">
        <f>Growth!D406</f>
        <v>0</v>
      </c>
      <c r="D401" s="5" t="b">
        <f t="shared" si="280"/>
        <v>0</v>
      </c>
      <c r="E401" s="5">
        <v>2009</v>
      </c>
      <c r="F401" s="5">
        <f ca="1">LOOKUP($E401,frequence!$A$2:$A$35,frequence!L$2:L$35)</f>
        <v>37.435381616951773</v>
      </c>
      <c r="G401" s="5">
        <f ca="1">LOOKUP($E401,frequence!$A$2:$A$35,frequence!K$2:K$35)</f>
        <v>3.3073014644850907</v>
      </c>
      <c r="H401" s="5">
        <f ca="1">LOOKUP($E401,frequence!$A$2:$A$35,frequence!M$2:M$35)</f>
        <v>226.95522031937912</v>
      </c>
      <c r="I401" s="5">
        <v>1995</v>
      </c>
      <c r="J401" s="7">
        <f>LOOKUP(I401,CPI!A$69:A$103,CPI!O$69:O$103)</f>
        <v>1.4308136482939633</v>
      </c>
      <c r="K401" s="18">
        <v>2010</v>
      </c>
      <c r="L401" s="7">
        <f t="shared" ca="1" si="281"/>
        <v>1</v>
      </c>
      <c r="M401" s="7">
        <f t="shared" si="253"/>
        <v>0.20909090909090911</v>
      </c>
      <c r="N401" s="14">
        <f t="shared" ref="N401:N432" si="289">1/33</f>
        <v>3.0303030303030304E-2</v>
      </c>
      <c r="O401" s="1">
        <f ca="1">P401*J401*(1+Growth!G$6)^(2010-K401)</f>
        <v>12.591160104986878</v>
      </c>
      <c r="P401" s="7">
        <v>8.8000000000000007</v>
      </c>
      <c r="Q401" s="2">
        <f t="shared" si="148"/>
        <v>8.8000000000000007</v>
      </c>
      <c r="R401" s="21">
        <f t="shared" ca="1" si="282"/>
        <v>158.53731278941316</v>
      </c>
      <c r="X401" s="2">
        <f t="shared" si="287"/>
        <v>8.8000000000000007</v>
      </c>
      <c r="AC401" s="1">
        <f t="shared" ref="AC401:AC432" si="290">SUM(AD401:AI401)</f>
        <v>6.9</v>
      </c>
      <c r="AD401" s="5">
        <v>1</v>
      </c>
      <c r="AE401" s="5">
        <v>0</v>
      </c>
      <c r="AF401" s="5">
        <v>1</v>
      </c>
      <c r="AG401" s="5">
        <v>1</v>
      </c>
      <c r="AH401" s="5">
        <v>1</v>
      </c>
      <c r="AI401" s="3">
        <f t="shared" si="277"/>
        <v>2.9</v>
      </c>
      <c r="AJ401" s="5">
        <f t="shared" si="257"/>
        <v>0</v>
      </c>
      <c r="AK401" s="5">
        <f t="shared" si="283"/>
        <v>0</v>
      </c>
      <c r="AL401" s="5">
        <f t="shared" si="284"/>
        <v>0</v>
      </c>
      <c r="AM401" s="5">
        <f t="shared" si="258"/>
        <v>1</v>
      </c>
      <c r="AN401" s="5">
        <f t="shared" si="285"/>
        <v>0</v>
      </c>
      <c r="AO401" s="5">
        <f t="shared" si="259"/>
        <v>0</v>
      </c>
      <c r="AP401" s="11" t="s">
        <v>42</v>
      </c>
      <c r="AQ401" s="1">
        <v>1</v>
      </c>
      <c r="AR401" s="5">
        <v>1</v>
      </c>
      <c r="AS401" s="5">
        <v>1</v>
      </c>
      <c r="AT401" s="5">
        <v>0</v>
      </c>
      <c r="AU401" s="5">
        <v>0</v>
      </c>
      <c r="AV401" s="5">
        <v>0</v>
      </c>
      <c r="AW401" s="5">
        <v>0</v>
      </c>
      <c r="AX401" s="5">
        <v>1</v>
      </c>
      <c r="AY401" s="1">
        <f t="shared" si="262"/>
        <v>0</v>
      </c>
      <c r="AZ401" s="1">
        <f t="shared" si="263"/>
        <v>0</v>
      </c>
      <c r="BA401" s="1">
        <f t="shared" si="264"/>
        <v>0</v>
      </c>
      <c r="BB401" s="5">
        <v>0</v>
      </c>
      <c r="BC401" s="5">
        <v>0</v>
      </c>
      <c r="BD401" s="5">
        <v>1</v>
      </c>
      <c r="BE401" s="5">
        <f t="shared" si="288"/>
        <v>0</v>
      </c>
      <c r="BF401" s="5">
        <v>0</v>
      </c>
      <c r="BG401" s="5">
        <f t="shared" si="286"/>
        <v>0</v>
      </c>
      <c r="BH401" s="5">
        <f t="shared" si="286"/>
        <v>0</v>
      </c>
      <c r="BI401" s="5">
        <f t="shared" si="286"/>
        <v>0</v>
      </c>
      <c r="BJ401" s="5">
        <f t="shared" si="286"/>
        <v>0</v>
      </c>
      <c r="BK401" s="5">
        <f t="shared" si="286"/>
        <v>0</v>
      </c>
      <c r="BL401" s="5">
        <f t="shared" si="286"/>
        <v>0</v>
      </c>
      <c r="BM401" s="5">
        <f t="shared" si="286"/>
        <v>0</v>
      </c>
      <c r="BN401" s="5">
        <f t="shared" si="278"/>
        <v>0</v>
      </c>
      <c r="BO401" s="5">
        <f t="shared" si="278"/>
        <v>0</v>
      </c>
      <c r="BP401" s="5">
        <f t="shared" si="278"/>
        <v>0</v>
      </c>
      <c r="BQ401" s="5">
        <f t="shared" si="278"/>
        <v>0</v>
      </c>
      <c r="BR401" s="5">
        <f t="shared" si="278"/>
        <v>0</v>
      </c>
      <c r="BS401" s="5">
        <f t="shared" si="278"/>
        <v>0</v>
      </c>
      <c r="BT401" s="5">
        <f t="shared" si="278"/>
        <v>0</v>
      </c>
      <c r="BU401" s="5">
        <f t="shared" si="278"/>
        <v>0</v>
      </c>
      <c r="BV401" s="5">
        <f t="shared" si="278"/>
        <v>0</v>
      </c>
      <c r="BW401" s="5">
        <f t="shared" si="278"/>
        <v>0</v>
      </c>
      <c r="BX401" s="5">
        <f t="shared" si="278"/>
        <v>0</v>
      </c>
      <c r="BY401" s="5">
        <f t="shared" si="278"/>
        <v>1</v>
      </c>
      <c r="BZ401" s="5">
        <f t="shared" si="278"/>
        <v>0</v>
      </c>
      <c r="CA401" s="5">
        <f t="shared" si="278"/>
        <v>0</v>
      </c>
      <c r="CB401" s="5">
        <f t="shared" si="278"/>
        <v>0</v>
      </c>
      <c r="CC401" s="5">
        <f t="shared" si="279"/>
        <v>0</v>
      </c>
      <c r="CD401" s="5">
        <f t="shared" si="279"/>
        <v>0</v>
      </c>
      <c r="CE401" s="5">
        <f t="shared" si="279"/>
        <v>0</v>
      </c>
    </row>
    <row r="402" spans="3:83" x14ac:dyDescent="0.2">
      <c r="C402" s="1">
        <f>Growth!D407</f>
        <v>0</v>
      </c>
      <c r="D402" s="5" t="b">
        <f t="shared" si="280"/>
        <v>0</v>
      </c>
      <c r="E402" s="5">
        <v>2009</v>
      </c>
      <c r="F402" s="5">
        <f ca="1">LOOKUP($E402,frequence!$A$2:$A$35,frequence!L$2:L$35)</f>
        <v>37.435381616951773</v>
      </c>
      <c r="G402" s="5">
        <f ca="1">LOOKUP($E402,frequence!$A$2:$A$35,frequence!K$2:K$35)</f>
        <v>3.3073014644850907</v>
      </c>
      <c r="H402" s="5">
        <f ca="1">LOOKUP($E402,frequence!$A$2:$A$35,frequence!M$2:M$35)</f>
        <v>226.95522031937912</v>
      </c>
      <c r="I402" s="5">
        <v>1995</v>
      </c>
      <c r="J402" s="7">
        <f>LOOKUP(I402,CPI!A$69:A$103,CPI!O$69:O$103)</f>
        <v>1.4308136482939633</v>
      </c>
      <c r="K402" s="18">
        <v>2010</v>
      </c>
      <c r="L402" s="7">
        <f t="shared" ca="1" si="281"/>
        <v>1</v>
      </c>
      <c r="M402" s="7">
        <f t="shared" si="253"/>
        <v>0.20909090909090911</v>
      </c>
      <c r="N402" s="14">
        <f t="shared" si="289"/>
        <v>3.0303030303030304E-2</v>
      </c>
      <c r="O402" s="1">
        <f ca="1">P402*J402*(1+Growth!G$6)^(2010-K402)</f>
        <v>-8.4418005249343846</v>
      </c>
      <c r="P402" s="7">
        <v>-5.9</v>
      </c>
      <c r="Q402" s="2">
        <f t="shared" si="148"/>
        <v>-5.9</v>
      </c>
      <c r="R402" s="21">
        <f t="shared" ca="1" si="282"/>
        <v>71.263996102782457</v>
      </c>
      <c r="X402" s="2">
        <f t="shared" si="287"/>
        <v>-5.9</v>
      </c>
      <c r="AC402" s="1">
        <f t="shared" si="290"/>
        <v>6.9</v>
      </c>
      <c r="AD402" s="5">
        <v>1</v>
      </c>
      <c r="AE402" s="5">
        <v>0</v>
      </c>
      <c r="AF402" s="5">
        <v>1</v>
      </c>
      <c r="AG402" s="5">
        <v>1</v>
      </c>
      <c r="AH402" s="5">
        <v>1</v>
      </c>
      <c r="AI402" s="3">
        <f t="shared" si="277"/>
        <v>2.9</v>
      </c>
      <c r="AJ402" s="5">
        <f t="shared" si="257"/>
        <v>1</v>
      </c>
      <c r="AK402" s="5">
        <f t="shared" si="283"/>
        <v>0</v>
      </c>
      <c r="AL402" s="5">
        <f t="shared" si="284"/>
        <v>0</v>
      </c>
      <c r="AM402" s="5">
        <f t="shared" si="258"/>
        <v>0</v>
      </c>
      <c r="AN402" s="5">
        <f t="shared" si="285"/>
        <v>0</v>
      </c>
      <c r="AO402" s="5">
        <f t="shared" si="259"/>
        <v>0</v>
      </c>
      <c r="AP402" s="11" t="s">
        <v>42</v>
      </c>
      <c r="AQ402" s="1">
        <v>3</v>
      </c>
      <c r="AR402" s="5">
        <v>1</v>
      </c>
      <c r="AS402" s="5">
        <v>1</v>
      </c>
      <c r="AT402" s="5">
        <v>0</v>
      </c>
      <c r="AU402" s="5">
        <v>0</v>
      </c>
      <c r="AV402" s="5">
        <v>0</v>
      </c>
      <c r="AW402" s="5">
        <v>0</v>
      </c>
      <c r="AX402" s="5">
        <v>1</v>
      </c>
      <c r="AY402" s="1">
        <f t="shared" si="262"/>
        <v>0</v>
      </c>
      <c r="AZ402" s="1">
        <f t="shared" si="263"/>
        <v>0</v>
      </c>
      <c r="BA402" s="1">
        <f t="shared" si="264"/>
        <v>0</v>
      </c>
      <c r="BB402" s="5">
        <v>0</v>
      </c>
      <c r="BC402" s="5">
        <v>0</v>
      </c>
      <c r="BD402" s="5">
        <v>1</v>
      </c>
      <c r="BE402" s="5">
        <f t="shared" si="288"/>
        <v>0</v>
      </c>
      <c r="BF402" s="5">
        <v>0</v>
      </c>
      <c r="BG402" s="5">
        <f t="shared" si="286"/>
        <v>0</v>
      </c>
      <c r="BH402" s="5">
        <f t="shared" si="286"/>
        <v>0</v>
      </c>
      <c r="BI402" s="5">
        <f t="shared" si="286"/>
        <v>0</v>
      </c>
      <c r="BJ402" s="5">
        <f t="shared" si="286"/>
        <v>0</v>
      </c>
      <c r="BK402" s="5">
        <f t="shared" si="286"/>
        <v>0</v>
      </c>
      <c r="BL402" s="5">
        <f t="shared" si="286"/>
        <v>0</v>
      </c>
      <c r="BM402" s="5">
        <f t="shared" si="286"/>
        <v>0</v>
      </c>
      <c r="BN402" s="5">
        <f t="shared" si="278"/>
        <v>0</v>
      </c>
      <c r="BO402" s="5">
        <f t="shared" si="278"/>
        <v>0</v>
      </c>
      <c r="BP402" s="5">
        <f t="shared" si="278"/>
        <v>0</v>
      </c>
      <c r="BQ402" s="5">
        <f t="shared" si="278"/>
        <v>0</v>
      </c>
      <c r="BR402" s="5">
        <f t="shared" si="278"/>
        <v>0</v>
      </c>
      <c r="BS402" s="5">
        <f t="shared" si="278"/>
        <v>0</v>
      </c>
      <c r="BT402" s="5">
        <f t="shared" si="278"/>
        <v>0</v>
      </c>
      <c r="BU402" s="5">
        <f t="shared" si="278"/>
        <v>0</v>
      </c>
      <c r="BV402" s="5">
        <f t="shared" si="278"/>
        <v>0</v>
      </c>
      <c r="BW402" s="5">
        <f t="shared" si="278"/>
        <v>0</v>
      </c>
      <c r="BX402" s="5">
        <f t="shared" si="278"/>
        <v>0</v>
      </c>
      <c r="BY402" s="5">
        <f t="shared" si="278"/>
        <v>1</v>
      </c>
      <c r="BZ402" s="5">
        <f t="shared" si="278"/>
        <v>0</v>
      </c>
      <c r="CA402" s="5">
        <f t="shared" si="278"/>
        <v>0</v>
      </c>
      <c r="CB402" s="5">
        <f t="shared" si="278"/>
        <v>0</v>
      </c>
      <c r="CC402" s="5">
        <f t="shared" si="279"/>
        <v>0</v>
      </c>
      <c r="CD402" s="5">
        <f t="shared" si="279"/>
        <v>0</v>
      </c>
      <c r="CE402" s="5">
        <f t="shared" si="279"/>
        <v>0</v>
      </c>
    </row>
    <row r="403" spans="3:83" x14ac:dyDescent="0.2">
      <c r="C403" s="1">
        <f>Growth!D408</f>
        <v>0</v>
      </c>
      <c r="D403" s="5" t="b">
        <f t="shared" si="280"/>
        <v>0</v>
      </c>
      <c r="E403" s="5">
        <v>2009</v>
      </c>
      <c r="F403" s="5">
        <f ca="1">LOOKUP($E403,frequence!$A$2:$A$35,frequence!L$2:L$35)</f>
        <v>37.435381616951773</v>
      </c>
      <c r="G403" s="5">
        <f ca="1">LOOKUP($E403,frequence!$A$2:$A$35,frequence!K$2:K$35)</f>
        <v>3.3073014644850907</v>
      </c>
      <c r="H403" s="5">
        <f ca="1">LOOKUP($E403,frequence!$A$2:$A$35,frequence!M$2:M$35)</f>
        <v>226.95522031937912</v>
      </c>
      <c r="I403" s="5">
        <v>1995</v>
      </c>
      <c r="J403" s="7">
        <f>LOOKUP(I403,CPI!A$69:A$103,CPI!O$69:O$103)</f>
        <v>1.4308136482939633</v>
      </c>
      <c r="K403" s="18">
        <v>2010</v>
      </c>
      <c r="L403" s="7">
        <f t="shared" ca="1" si="281"/>
        <v>1</v>
      </c>
      <c r="M403" s="7">
        <f t="shared" ref="M403:M466" si="291">N403*AC403</f>
        <v>0.20909090909090911</v>
      </c>
      <c r="N403" s="14">
        <f t="shared" si="289"/>
        <v>3.0303030303030304E-2</v>
      </c>
      <c r="O403" s="1">
        <f ca="1">P403*J403*(1+Growth!G$6)^(2010-K403)</f>
        <v>105.7371286089239</v>
      </c>
      <c r="P403" s="3">
        <v>73.900000000000006</v>
      </c>
      <c r="Q403" s="2">
        <f t="shared" si="148"/>
        <v>73.900000000000006</v>
      </c>
      <c r="R403" s="21">
        <f t="shared" ca="1" si="282"/>
        <v>11180.340366460112</v>
      </c>
      <c r="X403" s="2">
        <f t="shared" si="287"/>
        <v>73.900000000000006</v>
      </c>
      <c r="AC403" s="1">
        <f t="shared" si="290"/>
        <v>6.9</v>
      </c>
      <c r="AD403" s="5">
        <v>1</v>
      </c>
      <c r="AE403" s="5">
        <v>0</v>
      </c>
      <c r="AF403" s="5">
        <v>1</v>
      </c>
      <c r="AG403" s="5">
        <v>1</v>
      </c>
      <c r="AH403" s="5">
        <v>1</v>
      </c>
      <c r="AI403" s="3">
        <f t="shared" si="277"/>
        <v>2.9</v>
      </c>
      <c r="AJ403" s="5">
        <f t="shared" si="257"/>
        <v>0</v>
      </c>
      <c r="AK403" s="5">
        <f t="shared" si="283"/>
        <v>0</v>
      </c>
      <c r="AL403" s="5">
        <f t="shared" si="284"/>
        <v>0</v>
      </c>
      <c r="AM403" s="5">
        <f t="shared" si="258"/>
        <v>0</v>
      </c>
      <c r="AN403" s="5">
        <f t="shared" si="285"/>
        <v>0</v>
      </c>
      <c r="AO403" s="5">
        <f t="shared" si="259"/>
        <v>1</v>
      </c>
      <c r="AP403" s="11" t="s">
        <v>42</v>
      </c>
      <c r="AQ403" s="1">
        <v>0</v>
      </c>
      <c r="AR403" s="5">
        <v>0</v>
      </c>
      <c r="AS403" s="5">
        <v>1</v>
      </c>
      <c r="AT403" s="5">
        <v>0</v>
      </c>
      <c r="AU403" s="5">
        <v>0</v>
      </c>
      <c r="AV403" s="5">
        <v>0</v>
      </c>
      <c r="AW403" s="5">
        <v>0</v>
      </c>
      <c r="AX403" s="5">
        <v>1</v>
      </c>
      <c r="AY403" s="1">
        <f t="shared" si="262"/>
        <v>0</v>
      </c>
      <c r="AZ403" s="1">
        <f t="shared" si="263"/>
        <v>0</v>
      </c>
      <c r="BA403" s="1">
        <f t="shared" si="264"/>
        <v>1</v>
      </c>
      <c r="BB403" s="5">
        <v>0</v>
      </c>
      <c r="BC403" s="5">
        <v>0</v>
      </c>
      <c r="BD403" s="5">
        <v>1</v>
      </c>
      <c r="BE403" s="5">
        <f t="shared" si="288"/>
        <v>0</v>
      </c>
      <c r="BF403" s="5">
        <v>0</v>
      </c>
      <c r="BG403" s="5">
        <f t="shared" si="286"/>
        <v>0</v>
      </c>
      <c r="BH403" s="5">
        <f t="shared" si="286"/>
        <v>0</v>
      </c>
      <c r="BI403" s="5">
        <f t="shared" si="286"/>
        <v>0</v>
      </c>
      <c r="BJ403" s="5">
        <f t="shared" si="286"/>
        <v>0</v>
      </c>
      <c r="BK403" s="5">
        <f t="shared" si="286"/>
        <v>0</v>
      </c>
      <c r="BL403" s="5">
        <f t="shared" si="286"/>
        <v>0</v>
      </c>
      <c r="BM403" s="5">
        <f t="shared" si="286"/>
        <v>0</v>
      </c>
      <c r="BN403" s="5">
        <f t="shared" si="278"/>
        <v>0</v>
      </c>
      <c r="BO403" s="5">
        <f t="shared" si="278"/>
        <v>0</v>
      </c>
      <c r="BP403" s="5">
        <f t="shared" si="278"/>
        <v>0</v>
      </c>
      <c r="BQ403" s="5">
        <f t="shared" si="278"/>
        <v>0</v>
      </c>
      <c r="BR403" s="5">
        <f t="shared" si="278"/>
        <v>0</v>
      </c>
      <c r="BS403" s="5">
        <f t="shared" si="278"/>
        <v>0</v>
      </c>
      <c r="BT403" s="5">
        <f t="shared" si="278"/>
        <v>0</v>
      </c>
      <c r="BU403" s="5">
        <f t="shared" si="278"/>
        <v>0</v>
      </c>
      <c r="BV403" s="5">
        <f t="shared" si="278"/>
        <v>0</v>
      </c>
      <c r="BW403" s="5">
        <f t="shared" si="278"/>
        <v>0</v>
      </c>
      <c r="BX403" s="5">
        <f t="shared" si="278"/>
        <v>0</v>
      </c>
      <c r="BY403" s="5">
        <f t="shared" si="278"/>
        <v>1</v>
      </c>
      <c r="BZ403" s="5">
        <f t="shared" si="278"/>
        <v>0</v>
      </c>
      <c r="CA403" s="5">
        <f t="shared" si="278"/>
        <v>0</v>
      </c>
      <c r="CB403" s="5">
        <f t="shared" ref="CB403:CE422" si="292">IF($E403=CB$2,1,0)</f>
        <v>0</v>
      </c>
      <c r="CC403" s="5">
        <f t="shared" si="279"/>
        <v>0</v>
      </c>
      <c r="CD403" s="5">
        <f t="shared" si="279"/>
        <v>0</v>
      </c>
      <c r="CE403" s="5">
        <f t="shared" si="279"/>
        <v>0</v>
      </c>
    </row>
    <row r="404" spans="3:83" x14ac:dyDescent="0.2">
      <c r="C404" s="1">
        <f>Growth!D409</f>
        <v>0</v>
      </c>
      <c r="D404" s="5" t="b">
        <f t="shared" si="280"/>
        <v>0</v>
      </c>
      <c r="E404" s="5">
        <v>2009</v>
      </c>
      <c r="F404" s="5">
        <f ca="1">LOOKUP($E404,frequence!$A$2:$A$35,frequence!L$2:L$35)</f>
        <v>37.435381616951773</v>
      </c>
      <c r="G404" s="5">
        <f ca="1">LOOKUP($E404,frequence!$A$2:$A$35,frequence!K$2:K$35)</f>
        <v>3.3073014644850907</v>
      </c>
      <c r="H404" s="5">
        <f ca="1">LOOKUP($E404,frequence!$A$2:$A$35,frequence!M$2:M$35)</f>
        <v>226.95522031937912</v>
      </c>
      <c r="I404" s="5">
        <v>1995</v>
      </c>
      <c r="J404" s="7">
        <f>LOOKUP(I404,CPI!A$69:A$103,CPI!O$69:O$103)</f>
        <v>1.4308136482939633</v>
      </c>
      <c r="K404" s="18">
        <v>2010</v>
      </c>
      <c r="L404" s="7">
        <f t="shared" ca="1" si="281"/>
        <v>1</v>
      </c>
      <c r="M404" s="7">
        <f t="shared" si="291"/>
        <v>0.20909090909090911</v>
      </c>
      <c r="N404" s="14">
        <f t="shared" si="289"/>
        <v>3.0303030303030304E-2</v>
      </c>
      <c r="O404" s="1">
        <f ca="1">P404*J404*(1+Growth!G$6)^(2010-K404)</f>
        <v>37.630398950131237</v>
      </c>
      <c r="P404" s="3">
        <v>26.3</v>
      </c>
      <c r="Q404" s="2">
        <f t="shared" si="148"/>
        <v>26.3</v>
      </c>
      <c r="R404" s="21">
        <f t="shared" ca="1" si="282"/>
        <v>1416.0469251460381</v>
      </c>
      <c r="X404" s="2">
        <f t="shared" si="287"/>
        <v>26.3</v>
      </c>
      <c r="AC404" s="1">
        <f t="shared" si="290"/>
        <v>6.9</v>
      </c>
      <c r="AD404" s="5">
        <v>1</v>
      </c>
      <c r="AE404" s="5">
        <v>0</v>
      </c>
      <c r="AF404" s="5">
        <v>1</v>
      </c>
      <c r="AG404" s="5">
        <v>1</v>
      </c>
      <c r="AH404" s="5">
        <v>1</v>
      </c>
      <c r="AI404" s="3">
        <f t="shared" si="277"/>
        <v>2.9</v>
      </c>
      <c r="AJ404" s="5">
        <f t="shared" si="257"/>
        <v>0</v>
      </c>
      <c r="AK404" s="5">
        <f t="shared" si="283"/>
        <v>0</v>
      </c>
      <c r="AL404" s="5">
        <f t="shared" si="284"/>
        <v>0</v>
      </c>
      <c r="AM404" s="5">
        <f t="shared" si="258"/>
        <v>0</v>
      </c>
      <c r="AN404" s="5">
        <f t="shared" si="285"/>
        <v>0</v>
      </c>
      <c r="AO404" s="5">
        <f t="shared" si="259"/>
        <v>1</v>
      </c>
      <c r="AP404" s="11" t="s">
        <v>42</v>
      </c>
      <c r="AQ404" s="1">
        <v>0</v>
      </c>
      <c r="AR404" s="5">
        <v>0</v>
      </c>
      <c r="AS404" s="5">
        <v>1</v>
      </c>
      <c r="AT404" s="5">
        <v>0</v>
      </c>
      <c r="AU404" s="5">
        <v>0</v>
      </c>
      <c r="AV404" s="5">
        <v>0</v>
      </c>
      <c r="AW404" s="5">
        <v>0</v>
      </c>
      <c r="AX404" s="5">
        <v>1</v>
      </c>
      <c r="AY404" s="1">
        <f t="shared" si="262"/>
        <v>0</v>
      </c>
      <c r="AZ404" s="1">
        <f t="shared" si="263"/>
        <v>0</v>
      </c>
      <c r="BA404" s="1">
        <f t="shared" si="264"/>
        <v>1</v>
      </c>
      <c r="BB404" s="5">
        <v>0</v>
      </c>
      <c r="BC404" s="5">
        <v>0</v>
      </c>
      <c r="BD404" s="5">
        <v>1</v>
      </c>
      <c r="BE404" s="5">
        <f t="shared" si="288"/>
        <v>0</v>
      </c>
      <c r="BF404" s="5">
        <v>0</v>
      </c>
      <c r="BG404" s="5">
        <f t="shared" si="286"/>
        <v>0</v>
      </c>
      <c r="BH404" s="5">
        <f t="shared" si="286"/>
        <v>0</v>
      </c>
      <c r="BI404" s="5">
        <f t="shared" si="286"/>
        <v>0</v>
      </c>
      <c r="BJ404" s="5">
        <f t="shared" si="286"/>
        <v>0</v>
      </c>
      <c r="BK404" s="5">
        <f t="shared" si="286"/>
        <v>0</v>
      </c>
      <c r="BL404" s="5">
        <f t="shared" si="286"/>
        <v>0</v>
      </c>
      <c r="BM404" s="5">
        <f t="shared" si="286"/>
        <v>0</v>
      </c>
      <c r="BN404" s="5">
        <f t="shared" si="286"/>
        <v>0</v>
      </c>
      <c r="BO404" s="5">
        <f t="shared" ref="BO404:CA419" si="293">IF($E404=BO$2,1,0)</f>
        <v>0</v>
      </c>
      <c r="BP404" s="5">
        <f t="shared" si="293"/>
        <v>0</v>
      </c>
      <c r="BQ404" s="5">
        <f t="shared" si="293"/>
        <v>0</v>
      </c>
      <c r="BR404" s="5">
        <f t="shared" si="293"/>
        <v>0</v>
      </c>
      <c r="BS404" s="5">
        <f t="shared" si="293"/>
        <v>0</v>
      </c>
      <c r="BT404" s="5">
        <f t="shared" si="293"/>
        <v>0</v>
      </c>
      <c r="BU404" s="5">
        <f t="shared" si="293"/>
        <v>0</v>
      </c>
      <c r="BV404" s="5">
        <f t="shared" si="293"/>
        <v>0</v>
      </c>
      <c r="BW404" s="5">
        <f t="shared" si="293"/>
        <v>0</v>
      </c>
      <c r="BX404" s="5">
        <f t="shared" si="293"/>
        <v>0</v>
      </c>
      <c r="BY404" s="5">
        <f t="shared" si="293"/>
        <v>1</v>
      </c>
      <c r="BZ404" s="5">
        <f t="shared" si="293"/>
        <v>0</v>
      </c>
      <c r="CA404" s="5">
        <f t="shared" si="293"/>
        <v>0</v>
      </c>
      <c r="CB404" s="5">
        <f t="shared" si="292"/>
        <v>0</v>
      </c>
      <c r="CC404" s="5">
        <f t="shared" si="279"/>
        <v>0</v>
      </c>
      <c r="CD404" s="5">
        <f t="shared" si="279"/>
        <v>0</v>
      </c>
      <c r="CE404" s="5">
        <f t="shared" si="279"/>
        <v>0</v>
      </c>
    </row>
    <row r="405" spans="3:83" x14ac:dyDescent="0.2">
      <c r="C405" s="1">
        <f>Growth!D410</f>
        <v>0</v>
      </c>
      <c r="D405" s="5" t="b">
        <f t="shared" si="280"/>
        <v>0</v>
      </c>
      <c r="E405" s="5">
        <v>2009</v>
      </c>
      <c r="F405" s="5">
        <f ca="1">LOOKUP($E405,frequence!$A$2:$A$35,frequence!L$2:L$35)</f>
        <v>37.435381616951773</v>
      </c>
      <c r="G405" s="5">
        <f ca="1">LOOKUP($E405,frequence!$A$2:$A$35,frequence!K$2:K$35)</f>
        <v>3.3073014644850907</v>
      </c>
      <c r="H405" s="5">
        <f ca="1">LOOKUP($E405,frequence!$A$2:$A$35,frequence!M$2:M$35)</f>
        <v>226.95522031937912</v>
      </c>
      <c r="I405" s="5">
        <v>1995</v>
      </c>
      <c r="J405" s="7">
        <f>LOOKUP(I405,CPI!A$69:A$103,CPI!O$69:O$103)</f>
        <v>1.4308136482939633</v>
      </c>
      <c r="K405" s="18">
        <v>2010</v>
      </c>
      <c r="L405" s="7">
        <f t="shared" ca="1" si="281"/>
        <v>1</v>
      </c>
      <c r="M405" s="7">
        <f t="shared" si="291"/>
        <v>0.20909090909090911</v>
      </c>
      <c r="N405" s="14">
        <f t="shared" si="289"/>
        <v>3.0303030303030304E-2</v>
      </c>
      <c r="O405" s="1">
        <f ca="1">P405*J405*(1+Growth!G$6)^(2010-K405)</f>
        <v>159.53572178477691</v>
      </c>
      <c r="P405" s="3">
        <v>111.5</v>
      </c>
      <c r="Q405" s="2">
        <f t="shared" si="148"/>
        <v>111.5</v>
      </c>
      <c r="R405" s="21">
        <f t="shared" ca="1" si="282"/>
        <v>25451.64652538974</v>
      </c>
      <c r="X405" s="2">
        <f t="shared" si="287"/>
        <v>111.5</v>
      </c>
      <c r="AC405" s="1">
        <f t="shared" si="290"/>
        <v>6.9</v>
      </c>
      <c r="AD405" s="5">
        <v>1</v>
      </c>
      <c r="AE405" s="5">
        <v>0</v>
      </c>
      <c r="AF405" s="5">
        <v>1</v>
      </c>
      <c r="AG405" s="5">
        <v>1</v>
      </c>
      <c r="AH405" s="5">
        <v>1</v>
      </c>
      <c r="AI405" s="3">
        <f t="shared" si="277"/>
        <v>2.9</v>
      </c>
      <c r="AJ405" s="5">
        <f t="shared" si="257"/>
        <v>0</v>
      </c>
      <c r="AK405" s="5">
        <f t="shared" si="283"/>
        <v>0</v>
      </c>
      <c r="AL405" s="5">
        <f t="shared" si="284"/>
        <v>0</v>
      </c>
      <c r="AM405" s="5">
        <f t="shared" si="258"/>
        <v>0</v>
      </c>
      <c r="AN405" s="5">
        <f t="shared" si="285"/>
        <v>0</v>
      </c>
      <c r="AO405" s="5">
        <f t="shared" si="259"/>
        <v>1</v>
      </c>
      <c r="AP405" s="11" t="s">
        <v>42</v>
      </c>
      <c r="AQ405" s="1">
        <v>0</v>
      </c>
      <c r="AR405" s="5">
        <v>0</v>
      </c>
      <c r="AS405" s="5">
        <v>1</v>
      </c>
      <c r="AT405" s="5">
        <v>0</v>
      </c>
      <c r="AU405" s="5">
        <v>0</v>
      </c>
      <c r="AV405" s="5">
        <v>0</v>
      </c>
      <c r="AW405" s="5">
        <v>0</v>
      </c>
      <c r="AX405" s="5">
        <v>1</v>
      </c>
      <c r="AY405" s="1">
        <f t="shared" si="262"/>
        <v>0</v>
      </c>
      <c r="AZ405" s="1">
        <f t="shared" si="263"/>
        <v>0</v>
      </c>
      <c r="BA405" s="1">
        <f t="shared" si="264"/>
        <v>1</v>
      </c>
      <c r="BB405" s="5">
        <v>0</v>
      </c>
      <c r="BC405" s="5">
        <v>0</v>
      </c>
      <c r="BD405" s="5">
        <v>1</v>
      </c>
      <c r="BE405" s="5">
        <f t="shared" si="288"/>
        <v>0</v>
      </c>
      <c r="BF405" s="5">
        <v>0</v>
      </c>
      <c r="BG405" s="5">
        <f t="shared" ref="BG405:BN420" si="294">IF($E405=BG$2,1,0)</f>
        <v>0</v>
      </c>
      <c r="BH405" s="5">
        <f t="shared" si="294"/>
        <v>0</v>
      </c>
      <c r="BI405" s="5">
        <f t="shared" si="294"/>
        <v>0</v>
      </c>
      <c r="BJ405" s="5">
        <f t="shared" si="294"/>
        <v>0</v>
      </c>
      <c r="BK405" s="5">
        <f t="shared" si="294"/>
        <v>0</v>
      </c>
      <c r="BL405" s="5">
        <f t="shared" si="294"/>
        <v>0</v>
      </c>
      <c r="BM405" s="5">
        <f t="shared" si="294"/>
        <v>0</v>
      </c>
      <c r="BN405" s="5">
        <f t="shared" si="294"/>
        <v>0</v>
      </c>
      <c r="BO405" s="5">
        <f t="shared" si="293"/>
        <v>0</v>
      </c>
      <c r="BP405" s="5">
        <f t="shared" si="293"/>
        <v>0</v>
      </c>
      <c r="BQ405" s="5">
        <f t="shared" si="293"/>
        <v>0</v>
      </c>
      <c r="BR405" s="5">
        <f t="shared" si="293"/>
        <v>0</v>
      </c>
      <c r="BS405" s="5">
        <f t="shared" si="293"/>
        <v>0</v>
      </c>
      <c r="BT405" s="5">
        <f t="shared" si="293"/>
        <v>0</v>
      </c>
      <c r="BU405" s="5">
        <f t="shared" si="293"/>
        <v>0</v>
      </c>
      <c r="BV405" s="5">
        <f t="shared" si="293"/>
        <v>0</v>
      </c>
      <c r="BW405" s="5">
        <f t="shared" si="293"/>
        <v>0</v>
      </c>
      <c r="BX405" s="5">
        <f t="shared" si="293"/>
        <v>0</v>
      </c>
      <c r="BY405" s="5">
        <f t="shared" si="293"/>
        <v>1</v>
      </c>
      <c r="BZ405" s="5">
        <f t="shared" si="293"/>
        <v>0</v>
      </c>
      <c r="CA405" s="5">
        <f t="shared" si="293"/>
        <v>0</v>
      </c>
      <c r="CB405" s="5">
        <f t="shared" si="292"/>
        <v>0</v>
      </c>
      <c r="CC405" s="5">
        <f t="shared" si="279"/>
        <v>0</v>
      </c>
      <c r="CD405" s="5">
        <f t="shared" si="279"/>
        <v>0</v>
      </c>
      <c r="CE405" s="5">
        <f t="shared" si="279"/>
        <v>0</v>
      </c>
    </row>
    <row r="406" spans="3:83" x14ac:dyDescent="0.2">
      <c r="C406" s="1">
        <f>Growth!D411</f>
        <v>0</v>
      </c>
      <c r="D406" s="5" t="b">
        <f t="shared" si="280"/>
        <v>0</v>
      </c>
      <c r="E406" s="5">
        <v>2009</v>
      </c>
      <c r="F406" s="5">
        <f ca="1">LOOKUP($E406,frequence!$A$2:$A$35,frequence!L$2:L$35)</f>
        <v>37.435381616951773</v>
      </c>
      <c r="G406" s="5">
        <f ca="1">LOOKUP($E406,frequence!$A$2:$A$35,frequence!K$2:K$35)</f>
        <v>3.3073014644850907</v>
      </c>
      <c r="H406" s="5">
        <f ca="1">LOOKUP($E406,frequence!$A$2:$A$35,frequence!M$2:M$35)</f>
        <v>226.95522031937912</v>
      </c>
      <c r="I406" s="5">
        <v>1995</v>
      </c>
      <c r="J406" s="7">
        <f>LOOKUP(I406,CPI!A$69:A$103,CPI!O$69:O$103)</f>
        <v>1.4308136482939633</v>
      </c>
      <c r="K406" s="18">
        <v>2010</v>
      </c>
      <c r="L406" s="7">
        <f t="shared" ca="1" si="281"/>
        <v>1</v>
      </c>
      <c r="M406" s="7">
        <f t="shared" si="291"/>
        <v>0.20909090909090911</v>
      </c>
      <c r="N406" s="14">
        <f t="shared" si="289"/>
        <v>3.0303030303030304E-2</v>
      </c>
      <c r="O406" s="1">
        <f ca="1">P406*J406*(1+Growth!G$6)^(2010-K406)</f>
        <v>18.743658792650919</v>
      </c>
      <c r="P406" s="3">
        <v>13.1</v>
      </c>
      <c r="Q406" s="2">
        <f t="shared" si="148"/>
        <v>13.1</v>
      </c>
      <c r="R406" s="21">
        <f t="shared" ca="1" si="282"/>
        <v>351.3247449353201</v>
      </c>
      <c r="X406" s="2">
        <f t="shared" si="287"/>
        <v>13.1</v>
      </c>
      <c r="AC406" s="1">
        <f t="shared" si="290"/>
        <v>6.9</v>
      </c>
      <c r="AD406" s="5">
        <v>1</v>
      </c>
      <c r="AE406" s="5">
        <v>0</v>
      </c>
      <c r="AF406" s="5">
        <v>1</v>
      </c>
      <c r="AG406" s="5">
        <v>1</v>
      </c>
      <c r="AH406" s="5">
        <v>1</v>
      </c>
      <c r="AI406" s="3">
        <f t="shared" si="277"/>
        <v>2.9</v>
      </c>
      <c r="AJ406" s="5">
        <f t="shared" si="257"/>
        <v>0</v>
      </c>
      <c r="AK406" s="5">
        <f t="shared" si="283"/>
        <v>0</v>
      </c>
      <c r="AL406" s="5">
        <f t="shared" si="284"/>
        <v>0</v>
      </c>
      <c r="AM406" s="5">
        <f t="shared" si="258"/>
        <v>0</v>
      </c>
      <c r="AN406" s="5">
        <f t="shared" si="285"/>
        <v>0</v>
      </c>
      <c r="AO406" s="5">
        <f t="shared" si="259"/>
        <v>1</v>
      </c>
      <c r="AP406" s="11" t="s">
        <v>42</v>
      </c>
      <c r="AQ406" s="1">
        <v>0</v>
      </c>
      <c r="AR406" s="5">
        <v>0</v>
      </c>
      <c r="AS406" s="5">
        <v>1</v>
      </c>
      <c r="AT406" s="5">
        <v>0</v>
      </c>
      <c r="AU406" s="5">
        <v>0</v>
      </c>
      <c r="AV406" s="5">
        <v>0</v>
      </c>
      <c r="AW406" s="5">
        <v>0</v>
      </c>
      <c r="AX406" s="5">
        <v>1</v>
      </c>
      <c r="AY406" s="1">
        <f t="shared" si="262"/>
        <v>0</v>
      </c>
      <c r="AZ406" s="1">
        <f t="shared" si="263"/>
        <v>0</v>
      </c>
      <c r="BA406" s="1">
        <f t="shared" si="264"/>
        <v>1</v>
      </c>
      <c r="BB406" s="5">
        <v>0</v>
      </c>
      <c r="BC406" s="5">
        <v>0</v>
      </c>
      <c r="BD406" s="5">
        <v>1</v>
      </c>
      <c r="BE406" s="5">
        <f t="shared" si="288"/>
        <v>0</v>
      </c>
      <c r="BF406" s="5">
        <v>0</v>
      </c>
      <c r="BG406" s="5">
        <f t="shared" si="294"/>
        <v>0</v>
      </c>
      <c r="BH406" s="5">
        <f t="shared" si="294"/>
        <v>0</v>
      </c>
      <c r="BI406" s="5">
        <f t="shared" si="294"/>
        <v>0</v>
      </c>
      <c r="BJ406" s="5">
        <f t="shared" si="294"/>
        <v>0</v>
      </c>
      <c r="BK406" s="5">
        <f t="shared" si="294"/>
        <v>0</v>
      </c>
      <c r="BL406" s="5">
        <f t="shared" si="294"/>
        <v>0</v>
      </c>
      <c r="BM406" s="5">
        <f t="shared" si="294"/>
        <v>0</v>
      </c>
      <c r="BN406" s="5">
        <f t="shared" si="294"/>
        <v>0</v>
      </c>
      <c r="BO406" s="5">
        <f t="shared" si="293"/>
        <v>0</v>
      </c>
      <c r="BP406" s="5">
        <f t="shared" si="293"/>
        <v>0</v>
      </c>
      <c r="BQ406" s="5">
        <f t="shared" si="293"/>
        <v>0</v>
      </c>
      <c r="BR406" s="5">
        <f t="shared" si="293"/>
        <v>0</v>
      </c>
      <c r="BS406" s="5">
        <f t="shared" si="293"/>
        <v>0</v>
      </c>
      <c r="BT406" s="5">
        <f t="shared" si="293"/>
        <v>0</v>
      </c>
      <c r="BU406" s="5">
        <f t="shared" si="293"/>
        <v>0</v>
      </c>
      <c r="BV406" s="5">
        <f t="shared" si="293"/>
        <v>0</v>
      </c>
      <c r="BW406" s="5">
        <f t="shared" si="293"/>
        <v>0</v>
      </c>
      <c r="BX406" s="5">
        <f t="shared" si="293"/>
        <v>0</v>
      </c>
      <c r="BY406" s="5">
        <f t="shared" si="293"/>
        <v>1</v>
      </c>
      <c r="BZ406" s="5">
        <f t="shared" si="293"/>
        <v>0</v>
      </c>
      <c r="CA406" s="5">
        <f t="shared" si="293"/>
        <v>0</v>
      </c>
      <c r="CB406" s="5">
        <f t="shared" si="292"/>
        <v>0</v>
      </c>
      <c r="CC406" s="5">
        <f t="shared" si="279"/>
        <v>0</v>
      </c>
      <c r="CD406" s="5">
        <f t="shared" si="279"/>
        <v>0</v>
      </c>
      <c r="CE406" s="5">
        <f t="shared" si="279"/>
        <v>0</v>
      </c>
    </row>
    <row r="407" spans="3:83" x14ac:dyDescent="0.2">
      <c r="C407" s="1">
        <f>Growth!D412</f>
        <v>0</v>
      </c>
      <c r="D407" s="5" t="b">
        <f t="shared" si="280"/>
        <v>0</v>
      </c>
      <c r="E407" s="5">
        <v>2009</v>
      </c>
      <c r="F407" s="5">
        <f ca="1">LOOKUP($E407,frequence!$A$2:$A$35,frequence!L$2:L$35)</f>
        <v>37.435381616951773</v>
      </c>
      <c r="G407" s="5">
        <f ca="1">LOOKUP($E407,frequence!$A$2:$A$35,frequence!K$2:K$35)</f>
        <v>3.3073014644850907</v>
      </c>
      <c r="H407" s="5">
        <f ca="1">LOOKUP($E407,frequence!$A$2:$A$35,frequence!M$2:M$35)</f>
        <v>226.95522031937912</v>
      </c>
      <c r="I407" s="5">
        <v>1995</v>
      </c>
      <c r="J407" s="7">
        <f>LOOKUP(I407,CPI!A$69:A$103,CPI!O$69:O$103)</f>
        <v>1.4308136482939633</v>
      </c>
      <c r="K407" s="18">
        <v>2010</v>
      </c>
      <c r="L407" s="7">
        <f t="shared" ca="1" si="281"/>
        <v>1</v>
      </c>
      <c r="M407" s="7">
        <f t="shared" si="291"/>
        <v>0.20909090909090911</v>
      </c>
      <c r="N407" s="14">
        <f t="shared" si="289"/>
        <v>3.0303030303030304E-2</v>
      </c>
      <c r="O407" s="1">
        <f ca="1">P407*J407*(1+Growth!G$6)^(2010-K407)</f>
        <v>99.870792650918631</v>
      </c>
      <c r="P407" s="3">
        <v>69.8</v>
      </c>
      <c r="Q407" s="2">
        <f t="shared" si="148"/>
        <v>69.8</v>
      </c>
      <c r="R407" s="21">
        <f t="shared" ca="1" si="282"/>
        <v>9974.1752247227832</v>
      </c>
      <c r="X407" s="2">
        <f t="shared" si="287"/>
        <v>69.8</v>
      </c>
      <c r="AC407" s="1">
        <f t="shared" si="290"/>
        <v>6.9</v>
      </c>
      <c r="AD407" s="5">
        <v>1</v>
      </c>
      <c r="AE407" s="5">
        <v>0</v>
      </c>
      <c r="AF407" s="5">
        <v>1</v>
      </c>
      <c r="AG407" s="5">
        <v>1</v>
      </c>
      <c r="AH407" s="5">
        <v>1</v>
      </c>
      <c r="AI407" s="3">
        <f t="shared" si="277"/>
        <v>2.9</v>
      </c>
      <c r="AJ407" s="5">
        <f t="shared" ref="AJ407:AJ470" si="295">IF($AQ407=3,1,0)</f>
        <v>0</v>
      </c>
      <c r="AK407" s="5">
        <f t="shared" si="283"/>
        <v>0</v>
      </c>
      <c r="AL407" s="5">
        <f t="shared" si="284"/>
        <v>0</v>
      </c>
      <c r="AM407" s="5">
        <f t="shared" si="258"/>
        <v>0</v>
      </c>
      <c r="AN407" s="5">
        <f t="shared" si="285"/>
        <v>0</v>
      </c>
      <c r="AO407" s="5">
        <f t="shared" si="259"/>
        <v>1</v>
      </c>
      <c r="AP407" s="11" t="s">
        <v>42</v>
      </c>
      <c r="AQ407" s="1">
        <v>0</v>
      </c>
      <c r="AR407" s="5">
        <v>0</v>
      </c>
      <c r="AS407" s="5">
        <v>1</v>
      </c>
      <c r="AT407" s="5">
        <v>0</v>
      </c>
      <c r="AU407" s="5">
        <v>0</v>
      </c>
      <c r="AV407" s="5">
        <v>0</v>
      </c>
      <c r="AW407" s="5">
        <v>0</v>
      </c>
      <c r="AX407" s="5">
        <v>1</v>
      </c>
      <c r="AY407" s="1">
        <f t="shared" si="262"/>
        <v>0</v>
      </c>
      <c r="AZ407" s="1">
        <f t="shared" si="263"/>
        <v>0</v>
      </c>
      <c r="BA407" s="1">
        <f t="shared" si="264"/>
        <v>1</v>
      </c>
      <c r="BB407" s="5">
        <v>0</v>
      </c>
      <c r="BC407" s="5">
        <v>0</v>
      </c>
      <c r="BD407" s="5">
        <v>1</v>
      </c>
      <c r="BE407" s="5">
        <f t="shared" si="288"/>
        <v>0</v>
      </c>
      <c r="BF407" s="5">
        <v>0</v>
      </c>
      <c r="BG407" s="5">
        <f t="shared" si="294"/>
        <v>0</v>
      </c>
      <c r="BH407" s="5">
        <f t="shared" si="294"/>
        <v>0</v>
      </c>
      <c r="BI407" s="5">
        <f t="shared" si="294"/>
        <v>0</v>
      </c>
      <c r="BJ407" s="5">
        <f t="shared" si="294"/>
        <v>0</v>
      </c>
      <c r="BK407" s="5">
        <f t="shared" si="294"/>
        <v>0</v>
      </c>
      <c r="BL407" s="5">
        <f t="shared" si="294"/>
        <v>0</v>
      </c>
      <c r="BM407" s="5">
        <f t="shared" si="294"/>
        <v>0</v>
      </c>
      <c r="BN407" s="5">
        <f t="shared" si="294"/>
        <v>0</v>
      </c>
      <c r="BO407" s="5">
        <f t="shared" si="293"/>
        <v>0</v>
      </c>
      <c r="BP407" s="5">
        <f t="shared" si="293"/>
        <v>0</v>
      </c>
      <c r="BQ407" s="5">
        <f t="shared" si="293"/>
        <v>0</v>
      </c>
      <c r="BR407" s="5">
        <f t="shared" si="293"/>
        <v>0</v>
      </c>
      <c r="BS407" s="5">
        <f t="shared" si="293"/>
        <v>0</v>
      </c>
      <c r="BT407" s="5">
        <f t="shared" si="293"/>
        <v>0</v>
      </c>
      <c r="BU407" s="5">
        <f t="shared" si="293"/>
        <v>0</v>
      </c>
      <c r="BV407" s="5">
        <f t="shared" si="293"/>
        <v>0</v>
      </c>
      <c r="BW407" s="5">
        <f t="shared" si="293"/>
        <v>0</v>
      </c>
      <c r="BX407" s="5">
        <f t="shared" si="293"/>
        <v>0</v>
      </c>
      <c r="BY407" s="5">
        <f t="shared" si="293"/>
        <v>1</v>
      </c>
      <c r="BZ407" s="5">
        <f t="shared" si="293"/>
        <v>0</v>
      </c>
      <c r="CA407" s="5">
        <f t="shared" si="293"/>
        <v>0</v>
      </c>
      <c r="CB407" s="5">
        <f t="shared" si="292"/>
        <v>0</v>
      </c>
      <c r="CC407" s="5">
        <f t="shared" si="279"/>
        <v>0</v>
      </c>
      <c r="CD407" s="5">
        <f t="shared" si="279"/>
        <v>0</v>
      </c>
      <c r="CE407" s="5">
        <f t="shared" si="279"/>
        <v>0</v>
      </c>
    </row>
    <row r="408" spans="3:83" x14ac:dyDescent="0.2">
      <c r="C408" s="1">
        <f>Growth!D413</f>
        <v>0</v>
      </c>
      <c r="D408" s="5" t="b">
        <f t="shared" si="280"/>
        <v>0</v>
      </c>
      <c r="E408" s="5">
        <v>2009</v>
      </c>
      <c r="F408" s="5">
        <f ca="1">LOOKUP($E408,frequence!$A$2:$A$35,frequence!L$2:L$35)</f>
        <v>37.435381616951773</v>
      </c>
      <c r="G408" s="5">
        <f ca="1">LOOKUP($E408,frequence!$A$2:$A$35,frequence!K$2:K$35)</f>
        <v>3.3073014644850907</v>
      </c>
      <c r="H408" s="5">
        <f ca="1">LOOKUP($E408,frequence!$A$2:$A$35,frequence!M$2:M$35)</f>
        <v>226.95522031937912</v>
      </c>
      <c r="I408" s="5">
        <v>1995</v>
      </c>
      <c r="J408" s="7">
        <f>LOOKUP(I408,CPI!A$69:A$103,CPI!O$69:O$103)</f>
        <v>1.4308136482939633</v>
      </c>
      <c r="K408" s="18">
        <v>2010</v>
      </c>
      <c r="L408" s="7">
        <f t="shared" ca="1" si="281"/>
        <v>1</v>
      </c>
      <c r="M408" s="7">
        <f t="shared" si="291"/>
        <v>0.20909090909090911</v>
      </c>
      <c r="N408" s="14">
        <f t="shared" si="289"/>
        <v>3.0303030303030304E-2</v>
      </c>
      <c r="O408" s="1">
        <f ca="1">P408*J408*(1+Growth!G$6)^(2010-K408)</f>
        <v>21.46220472440945</v>
      </c>
      <c r="P408" s="3">
        <v>15</v>
      </c>
      <c r="Q408" s="2">
        <f t="shared" si="148"/>
        <v>15</v>
      </c>
      <c r="R408" s="21">
        <f t="shared" ca="1" si="282"/>
        <v>460.62623163246332</v>
      </c>
      <c r="X408" s="2">
        <f t="shared" si="287"/>
        <v>15</v>
      </c>
      <c r="AC408" s="1">
        <f t="shared" si="290"/>
        <v>6.9</v>
      </c>
      <c r="AD408" s="5">
        <v>1</v>
      </c>
      <c r="AE408" s="5">
        <v>0</v>
      </c>
      <c r="AF408" s="5">
        <v>1</v>
      </c>
      <c r="AG408" s="5">
        <v>1</v>
      </c>
      <c r="AH408" s="5">
        <v>1</v>
      </c>
      <c r="AI408" s="3">
        <f t="shared" si="277"/>
        <v>2.9</v>
      </c>
      <c r="AJ408" s="5">
        <f t="shared" si="295"/>
        <v>0</v>
      </c>
      <c r="AK408" s="5">
        <f t="shared" si="283"/>
        <v>0</v>
      </c>
      <c r="AL408" s="5">
        <f t="shared" si="284"/>
        <v>0</v>
      </c>
      <c r="AM408" s="5">
        <f t="shared" si="258"/>
        <v>1</v>
      </c>
      <c r="AN408" s="5">
        <f t="shared" si="285"/>
        <v>0</v>
      </c>
      <c r="AO408" s="5">
        <f t="shared" si="259"/>
        <v>0</v>
      </c>
      <c r="AP408" s="11" t="s">
        <v>42</v>
      </c>
      <c r="AQ408" s="1">
        <v>1</v>
      </c>
      <c r="AR408" s="5">
        <v>0</v>
      </c>
      <c r="AS408" s="5">
        <v>1</v>
      </c>
      <c r="AT408" s="5">
        <v>0</v>
      </c>
      <c r="AU408" s="5">
        <v>0</v>
      </c>
      <c r="AV408" s="5">
        <v>0</v>
      </c>
      <c r="AW408" s="5">
        <v>0</v>
      </c>
      <c r="AX408" s="5">
        <v>1</v>
      </c>
      <c r="AY408" s="1">
        <f t="shared" si="262"/>
        <v>0</v>
      </c>
      <c r="AZ408" s="1">
        <f t="shared" si="263"/>
        <v>1</v>
      </c>
      <c r="BA408" s="1">
        <f t="shared" si="264"/>
        <v>0</v>
      </c>
      <c r="BB408" s="5">
        <v>0</v>
      </c>
      <c r="BC408" s="5">
        <v>0</v>
      </c>
      <c r="BD408" s="5">
        <v>1</v>
      </c>
      <c r="BE408" s="5">
        <f t="shared" si="288"/>
        <v>0</v>
      </c>
      <c r="BF408" s="5">
        <v>0</v>
      </c>
      <c r="BG408" s="5">
        <f t="shared" si="294"/>
        <v>0</v>
      </c>
      <c r="BH408" s="5">
        <f t="shared" si="294"/>
        <v>0</v>
      </c>
      <c r="BI408" s="5">
        <f t="shared" si="294"/>
        <v>0</v>
      </c>
      <c r="BJ408" s="5">
        <f t="shared" si="294"/>
        <v>0</v>
      </c>
      <c r="BK408" s="5">
        <f t="shared" si="294"/>
        <v>0</v>
      </c>
      <c r="BL408" s="5">
        <f t="shared" si="294"/>
        <v>0</v>
      </c>
      <c r="BM408" s="5">
        <f t="shared" si="294"/>
        <v>0</v>
      </c>
      <c r="BN408" s="5">
        <f t="shared" si="294"/>
        <v>0</v>
      </c>
      <c r="BO408" s="5">
        <f t="shared" si="293"/>
        <v>0</v>
      </c>
      <c r="BP408" s="5">
        <f t="shared" si="293"/>
        <v>0</v>
      </c>
      <c r="BQ408" s="5">
        <f t="shared" si="293"/>
        <v>0</v>
      </c>
      <c r="BR408" s="5">
        <f t="shared" si="293"/>
        <v>0</v>
      </c>
      <c r="BS408" s="5">
        <f t="shared" si="293"/>
        <v>0</v>
      </c>
      <c r="BT408" s="5">
        <f t="shared" si="293"/>
        <v>0</v>
      </c>
      <c r="BU408" s="5">
        <f t="shared" si="293"/>
        <v>0</v>
      </c>
      <c r="BV408" s="5">
        <f t="shared" si="293"/>
        <v>0</v>
      </c>
      <c r="BW408" s="5">
        <f t="shared" si="293"/>
        <v>0</v>
      </c>
      <c r="BX408" s="5">
        <f t="shared" si="293"/>
        <v>0</v>
      </c>
      <c r="BY408" s="5">
        <f t="shared" si="293"/>
        <v>1</v>
      </c>
      <c r="BZ408" s="5">
        <f t="shared" si="293"/>
        <v>0</v>
      </c>
      <c r="CA408" s="5">
        <f t="shared" si="293"/>
        <v>0</v>
      </c>
      <c r="CB408" s="5">
        <f t="shared" si="292"/>
        <v>0</v>
      </c>
      <c r="CC408" s="5">
        <f t="shared" si="292"/>
        <v>0</v>
      </c>
      <c r="CD408" s="5">
        <f t="shared" si="292"/>
        <v>0</v>
      </c>
      <c r="CE408" s="5">
        <f t="shared" si="292"/>
        <v>0</v>
      </c>
    </row>
    <row r="409" spans="3:83" x14ac:dyDescent="0.2">
      <c r="C409" s="1">
        <f>Growth!D414</f>
        <v>0</v>
      </c>
      <c r="D409" s="5" t="b">
        <f t="shared" si="280"/>
        <v>0</v>
      </c>
      <c r="E409" s="5">
        <v>2009</v>
      </c>
      <c r="F409" s="5">
        <f ca="1">LOOKUP($E409,frequence!$A$2:$A$35,frequence!L$2:L$35)</f>
        <v>37.435381616951773</v>
      </c>
      <c r="G409" s="5">
        <f ca="1">LOOKUP($E409,frequence!$A$2:$A$35,frequence!K$2:K$35)</f>
        <v>3.3073014644850907</v>
      </c>
      <c r="H409" s="5">
        <f ca="1">LOOKUP($E409,frequence!$A$2:$A$35,frequence!M$2:M$35)</f>
        <v>226.95522031937912</v>
      </c>
      <c r="I409" s="5">
        <v>1995</v>
      </c>
      <c r="J409" s="7">
        <f>LOOKUP(I409,CPI!A$69:A$103,CPI!O$69:O$103)</f>
        <v>1.4308136482939633</v>
      </c>
      <c r="K409" s="18">
        <v>2010</v>
      </c>
      <c r="L409" s="7">
        <f t="shared" ca="1" si="281"/>
        <v>1</v>
      </c>
      <c r="M409" s="7">
        <f t="shared" si="291"/>
        <v>0.20909090909090911</v>
      </c>
      <c r="N409" s="14">
        <f t="shared" si="289"/>
        <v>3.0303030303030304E-2</v>
      </c>
      <c r="O409" s="1">
        <f ca="1">P409*J409*(1+Growth!G$6)^(2010-K409)</f>
        <v>5.0078477690288716</v>
      </c>
      <c r="P409" s="3">
        <v>3.5</v>
      </c>
      <c r="Q409" s="2">
        <f t="shared" si="148"/>
        <v>3.5</v>
      </c>
      <c r="R409" s="21">
        <f t="shared" ca="1" si="282"/>
        <v>25.078539277767447</v>
      </c>
      <c r="X409" s="2">
        <f t="shared" si="287"/>
        <v>3.5</v>
      </c>
      <c r="AC409" s="1">
        <f t="shared" si="290"/>
        <v>6.9</v>
      </c>
      <c r="AD409" s="5">
        <v>1</v>
      </c>
      <c r="AE409" s="5">
        <v>0</v>
      </c>
      <c r="AF409" s="5">
        <v>1</v>
      </c>
      <c r="AG409" s="5">
        <v>1</v>
      </c>
      <c r="AH409" s="5">
        <v>1</v>
      </c>
      <c r="AI409" s="3">
        <f t="shared" si="277"/>
        <v>2.9</v>
      </c>
      <c r="AJ409" s="5">
        <f t="shared" si="295"/>
        <v>0</v>
      </c>
      <c r="AK409" s="5">
        <f t="shared" si="283"/>
        <v>0</v>
      </c>
      <c r="AL409" s="5">
        <f t="shared" si="284"/>
        <v>0</v>
      </c>
      <c r="AM409" s="5">
        <f t="shared" si="258"/>
        <v>1</v>
      </c>
      <c r="AN409" s="5">
        <f t="shared" si="285"/>
        <v>0</v>
      </c>
      <c r="AO409" s="5">
        <f t="shared" si="259"/>
        <v>0</v>
      </c>
      <c r="AP409" s="11" t="s">
        <v>42</v>
      </c>
      <c r="AQ409" s="1">
        <v>1</v>
      </c>
      <c r="AR409" s="5">
        <v>0</v>
      </c>
      <c r="AS409" s="5">
        <v>1</v>
      </c>
      <c r="AT409" s="5">
        <v>0</v>
      </c>
      <c r="AU409" s="5">
        <v>0</v>
      </c>
      <c r="AV409" s="5">
        <v>0</v>
      </c>
      <c r="AW409" s="5">
        <v>0</v>
      </c>
      <c r="AX409" s="5">
        <v>1</v>
      </c>
      <c r="AY409" s="1">
        <f t="shared" si="262"/>
        <v>0</v>
      </c>
      <c r="AZ409" s="1">
        <f t="shared" si="263"/>
        <v>1</v>
      </c>
      <c r="BA409" s="1">
        <f t="shared" si="264"/>
        <v>0</v>
      </c>
      <c r="BB409" s="5">
        <v>0</v>
      </c>
      <c r="BC409" s="5">
        <v>0</v>
      </c>
      <c r="BD409" s="5">
        <v>1</v>
      </c>
      <c r="BE409" s="5">
        <f t="shared" si="288"/>
        <v>0</v>
      </c>
      <c r="BF409" s="5">
        <v>0</v>
      </c>
      <c r="BG409" s="5">
        <f t="shared" si="294"/>
        <v>0</v>
      </c>
      <c r="BH409" s="5">
        <f t="shared" si="294"/>
        <v>0</v>
      </c>
      <c r="BI409" s="5">
        <f t="shared" si="294"/>
        <v>0</v>
      </c>
      <c r="BJ409" s="5">
        <f t="shared" si="294"/>
        <v>0</v>
      </c>
      <c r="BK409" s="5">
        <f t="shared" si="294"/>
        <v>0</v>
      </c>
      <c r="BL409" s="5">
        <f t="shared" si="294"/>
        <v>0</v>
      </c>
      <c r="BM409" s="5">
        <f t="shared" si="294"/>
        <v>0</v>
      </c>
      <c r="BN409" s="5">
        <f t="shared" si="294"/>
        <v>0</v>
      </c>
      <c r="BO409" s="5">
        <f t="shared" si="293"/>
        <v>0</v>
      </c>
      <c r="BP409" s="5">
        <f t="shared" si="293"/>
        <v>0</v>
      </c>
      <c r="BQ409" s="5">
        <f t="shared" si="293"/>
        <v>0</v>
      </c>
      <c r="BR409" s="5">
        <f t="shared" si="293"/>
        <v>0</v>
      </c>
      <c r="BS409" s="5">
        <f t="shared" si="293"/>
        <v>0</v>
      </c>
      <c r="BT409" s="5">
        <f t="shared" si="293"/>
        <v>0</v>
      </c>
      <c r="BU409" s="5">
        <f t="shared" si="293"/>
        <v>0</v>
      </c>
      <c r="BV409" s="5">
        <f t="shared" si="293"/>
        <v>0</v>
      </c>
      <c r="BW409" s="5">
        <f t="shared" si="293"/>
        <v>0</v>
      </c>
      <c r="BX409" s="5">
        <f t="shared" si="293"/>
        <v>0</v>
      </c>
      <c r="BY409" s="5">
        <f t="shared" si="293"/>
        <v>1</v>
      </c>
      <c r="BZ409" s="5">
        <f t="shared" si="293"/>
        <v>0</v>
      </c>
      <c r="CA409" s="5">
        <f t="shared" si="293"/>
        <v>0</v>
      </c>
      <c r="CB409" s="5">
        <f t="shared" si="292"/>
        <v>0</v>
      </c>
      <c r="CC409" s="5">
        <f t="shared" si="292"/>
        <v>0</v>
      </c>
      <c r="CD409" s="5">
        <f t="shared" si="292"/>
        <v>0</v>
      </c>
      <c r="CE409" s="5">
        <f t="shared" si="292"/>
        <v>0</v>
      </c>
    </row>
    <row r="410" spans="3:83" x14ac:dyDescent="0.2">
      <c r="C410" s="1">
        <f>Growth!D415</f>
        <v>0</v>
      </c>
      <c r="D410" s="5" t="b">
        <f t="shared" si="280"/>
        <v>0</v>
      </c>
      <c r="E410" s="5">
        <v>2009</v>
      </c>
      <c r="F410" s="5">
        <f ca="1">LOOKUP($E410,frequence!$A$2:$A$35,frequence!L$2:L$35)</f>
        <v>37.435381616951773</v>
      </c>
      <c r="G410" s="5">
        <f ca="1">LOOKUP($E410,frequence!$A$2:$A$35,frequence!K$2:K$35)</f>
        <v>3.3073014644850907</v>
      </c>
      <c r="H410" s="5">
        <f ca="1">LOOKUP($E410,frequence!$A$2:$A$35,frequence!M$2:M$35)</f>
        <v>226.95522031937912</v>
      </c>
      <c r="I410" s="5">
        <v>1995</v>
      </c>
      <c r="J410" s="7">
        <f>LOOKUP(I410,CPI!A$69:A$103,CPI!O$69:O$103)</f>
        <v>1.4308136482939633</v>
      </c>
      <c r="K410" s="18">
        <v>2010</v>
      </c>
      <c r="L410" s="7">
        <f t="shared" ca="1" si="281"/>
        <v>1</v>
      </c>
      <c r="M410" s="7">
        <f t="shared" si="291"/>
        <v>0.20909090909090911</v>
      </c>
      <c r="N410" s="14">
        <f t="shared" si="289"/>
        <v>3.0303030303030304E-2</v>
      </c>
      <c r="O410" s="1">
        <f ca="1">P410*J410*(1+Growth!G$6)^(2010-K410)</f>
        <v>31.1917375328084</v>
      </c>
      <c r="P410" s="3">
        <v>21.8</v>
      </c>
      <c r="Q410" s="2">
        <f t="shared" si="148"/>
        <v>21.8</v>
      </c>
      <c r="R410" s="21">
        <f t="shared" ca="1" si="282"/>
        <v>972.9244903156083</v>
      </c>
      <c r="X410" s="2">
        <f t="shared" si="287"/>
        <v>21.8</v>
      </c>
      <c r="AC410" s="1">
        <f t="shared" si="290"/>
        <v>6.9</v>
      </c>
      <c r="AD410" s="5">
        <v>1</v>
      </c>
      <c r="AE410" s="5">
        <v>0</v>
      </c>
      <c r="AF410" s="5">
        <v>1</v>
      </c>
      <c r="AG410" s="5">
        <v>1</v>
      </c>
      <c r="AH410" s="5">
        <v>1</v>
      </c>
      <c r="AI410" s="3">
        <f t="shared" si="277"/>
        <v>2.9</v>
      </c>
      <c r="AJ410" s="5">
        <f t="shared" si="295"/>
        <v>0</v>
      </c>
      <c r="AK410" s="5">
        <f t="shared" si="283"/>
        <v>0</v>
      </c>
      <c r="AL410" s="5">
        <f t="shared" si="284"/>
        <v>0</v>
      </c>
      <c r="AM410" s="5">
        <f t="shared" ref="AM410:AM473" si="296">IF($AQ410=1,1,0)</f>
        <v>1</v>
      </c>
      <c r="AN410" s="5">
        <f t="shared" si="285"/>
        <v>0</v>
      </c>
      <c r="AO410" s="5">
        <f t="shared" ref="AO410:AO473" si="297">IF($AQ410=0,1,0)</f>
        <v>0</v>
      </c>
      <c r="AP410" s="11" t="s">
        <v>42</v>
      </c>
      <c r="AQ410" s="1">
        <v>1</v>
      </c>
      <c r="AR410" s="5">
        <v>0</v>
      </c>
      <c r="AS410" s="5">
        <v>1</v>
      </c>
      <c r="AT410" s="5">
        <v>0</v>
      </c>
      <c r="AU410" s="5">
        <v>0</v>
      </c>
      <c r="AV410" s="5">
        <v>0</v>
      </c>
      <c r="AW410" s="5">
        <v>0</v>
      </c>
      <c r="AX410" s="5">
        <v>1</v>
      </c>
      <c r="AY410" s="1">
        <f t="shared" si="262"/>
        <v>0</v>
      </c>
      <c r="AZ410" s="1">
        <f t="shared" si="263"/>
        <v>1</v>
      </c>
      <c r="BA410" s="1">
        <f t="shared" si="264"/>
        <v>0</v>
      </c>
      <c r="BB410" s="5">
        <v>0</v>
      </c>
      <c r="BC410" s="5">
        <v>0</v>
      </c>
      <c r="BD410" s="5">
        <v>1</v>
      </c>
      <c r="BE410" s="5">
        <f t="shared" si="288"/>
        <v>0</v>
      </c>
      <c r="BF410" s="5">
        <v>0</v>
      </c>
      <c r="BG410" s="5">
        <f t="shared" si="294"/>
        <v>0</v>
      </c>
      <c r="BH410" s="5">
        <f t="shared" si="294"/>
        <v>0</v>
      </c>
      <c r="BI410" s="5">
        <f t="shared" si="294"/>
        <v>0</v>
      </c>
      <c r="BJ410" s="5">
        <f t="shared" si="294"/>
        <v>0</v>
      </c>
      <c r="BK410" s="5">
        <f t="shared" si="294"/>
        <v>0</v>
      </c>
      <c r="BL410" s="5">
        <f t="shared" si="294"/>
        <v>0</v>
      </c>
      <c r="BM410" s="5">
        <f t="shared" si="294"/>
        <v>0</v>
      </c>
      <c r="BN410" s="5">
        <f t="shared" si="294"/>
        <v>0</v>
      </c>
      <c r="BO410" s="5">
        <f t="shared" si="293"/>
        <v>0</v>
      </c>
      <c r="BP410" s="5">
        <f t="shared" si="293"/>
        <v>0</v>
      </c>
      <c r="BQ410" s="5">
        <f t="shared" si="293"/>
        <v>0</v>
      </c>
      <c r="BR410" s="5">
        <f t="shared" si="293"/>
        <v>0</v>
      </c>
      <c r="BS410" s="5">
        <f t="shared" si="293"/>
        <v>0</v>
      </c>
      <c r="BT410" s="5">
        <f t="shared" si="293"/>
        <v>0</v>
      </c>
      <c r="BU410" s="5">
        <f t="shared" si="293"/>
        <v>0</v>
      </c>
      <c r="BV410" s="5">
        <f t="shared" si="293"/>
        <v>0</v>
      </c>
      <c r="BW410" s="5">
        <f t="shared" si="293"/>
        <v>0</v>
      </c>
      <c r="BX410" s="5">
        <f t="shared" si="293"/>
        <v>0</v>
      </c>
      <c r="BY410" s="5">
        <f t="shared" si="293"/>
        <v>1</v>
      </c>
      <c r="BZ410" s="5">
        <f t="shared" si="293"/>
        <v>0</v>
      </c>
      <c r="CA410" s="5">
        <f t="shared" si="293"/>
        <v>0</v>
      </c>
      <c r="CB410" s="5">
        <f t="shared" si="292"/>
        <v>0</v>
      </c>
      <c r="CC410" s="5">
        <f t="shared" si="292"/>
        <v>0</v>
      </c>
      <c r="CD410" s="5">
        <f t="shared" si="292"/>
        <v>0</v>
      </c>
      <c r="CE410" s="5">
        <f t="shared" si="292"/>
        <v>0</v>
      </c>
    </row>
    <row r="411" spans="3:83" x14ac:dyDescent="0.2">
      <c r="C411" s="1">
        <f>Growth!D416</f>
        <v>0</v>
      </c>
      <c r="D411" s="5" t="b">
        <f t="shared" si="280"/>
        <v>0</v>
      </c>
      <c r="E411" s="5">
        <v>2009</v>
      </c>
      <c r="F411" s="5">
        <f ca="1">LOOKUP($E411,frequence!$A$2:$A$35,frequence!L$2:L$35)</f>
        <v>37.435381616951773</v>
      </c>
      <c r="G411" s="5">
        <f ca="1">LOOKUP($E411,frequence!$A$2:$A$35,frequence!K$2:K$35)</f>
        <v>3.3073014644850907</v>
      </c>
      <c r="H411" s="5">
        <f ca="1">LOOKUP($E411,frequence!$A$2:$A$35,frequence!M$2:M$35)</f>
        <v>226.95522031937912</v>
      </c>
      <c r="I411" s="5">
        <v>1995</v>
      </c>
      <c r="J411" s="7">
        <f>LOOKUP(I411,CPI!A$69:A$103,CPI!O$69:O$103)</f>
        <v>1.4308136482939633</v>
      </c>
      <c r="K411" s="18">
        <v>2010</v>
      </c>
      <c r="L411" s="7">
        <f t="shared" ca="1" si="281"/>
        <v>1</v>
      </c>
      <c r="M411" s="7">
        <f t="shared" si="291"/>
        <v>0.20909090909090911</v>
      </c>
      <c r="N411" s="14">
        <f t="shared" si="289"/>
        <v>3.0303030303030304E-2</v>
      </c>
      <c r="O411" s="1">
        <f ca="1">P411*J411*(1+Growth!G$6)^(2010-K411)</f>
        <v>-2.2893018372703415</v>
      </c>
      <c r="P411" s="3">
        <v>-1.6</v>
      </c>
      <c r="Q411" s="2">
        <f t="shared" si="148"/>
        <v>-1.6</v>
      </c>
      <c r="R411" s="21">
        <f t="shared" ca="1" si="282"/>
        <v>5.2409029021293616</v>
      </c>
      <c r="X411" s="2">
        <f t="shared" si="287"/>
        <v>-1.6</v>
      </c>
      <c r="AC411" s="1">
        <f t="shared" si="290"/>
        <v>6.9</v>
      </c>
      <c r="AD411" s="5">
        <v>1</v>
      </c>
      <c r="AE411" s="5">
        <v>0</v>
      </c>
      <c r="AF411" s="5">
        <v>1</v>
      </c>
      <c r="AG411" s="5">
        <v>1</v>
      </c>
      <c r="AH411" s="5">
        <v>1</v>
      </c>
      <c r="AI411" s="3">
        <f t="shared" si="277"/>
        <v>2.9</v>
      </c>
      <c r="AJ411" s="5">
        <f t="shared" si="295"/>
        <v>0</v>
      </c>
      <c r="AK411" s="5">
        <f t="shared" si="283"/>
        <v>0</v>
      </c>
      <c r="AL411" s="5">
        <f t="shared" si="284"/>
        <v>0</v>
      </c>
      <c r="AM411" s="5">
        <f t="shared" si="296"/>
        <v>1</v>
      </c>
      <c r="AN411" s="5">
        <f t="shared" si="285"/>
        <v>0</v>
      </c>
      <c r="AO411" s="5">
        <f t="shared" si="297"/>
        <v>0</v>
      </c>
      <c r="AP411" s="11" t="s">
        <v>42</v>
      </c>
      <c r="AQ411" s="1">
        <v>1</v>
      </c>
      <c r="AR411" s="5">
        <v>0</v>
      </c>
      <c r="AS411" s="5">
        <v>1</v>
      </c>
      <c r="AT411" s="5">
        <v>0</v>
      </c>
      <c r="AU411" s="5">
        <v>0</v>
      </c>
      <c r="AV411" s="5">
        <v>0</v>
      </c>
      <c r="AW411" s="5">
        <v>0</v>
      </c>
      <c r="AX411" s="5">
        <v>1</v>
      </c>
      <c r="AY411" s="1">
        <f t="shared" si="262"/>
        <v>0</v>
      </c>
      <c r="AZ411" s="1">
        <f t="shared" si="263"/>
        <v>1</v>
      </c>
      <c r="BA411" s="1">
        <f t="shared" si="264"/>
        <v>0</v>
      </c>
      <c r="BB411" s="5">
        <v>0</v>
      </c>
      <c r="BC411" s="5">
        <v>0</v>
      </c>
      <c r="BD411" s="5">
        <v>1</v>
      </c>
      <c r="BE411" s="5">
        <f t="shared" si="288"/>
        <v>0</v>
      </c>
      <c r="BF411" s="5">
        <v>0</v>
      </c>
      <c r="BG411" s="5">
        <f t="shared" si="294"/>
        <v>0</v>
      </c>
      <c r="BH411" s="5">
        <f t="shared" si="294"/>
        <v>0</v>
      </c>
      <c r="BI411" s="5">
        <f t="shared" si="294"/>
        <v>0</v>
      </c>
      <c r="BJ411" s="5">
        <f t="shared" si="294"/>
        <v>0</v>
      </c>
      <c r="BK411" s="5">
        <f t="shared" si="294"/>
        <v>0</v>
      </c>
      <c r="BL411" s="5">
        <f t="shared" si="294"/>
        <v>0</v>
      </c>
      <c r="BM411" s="5">
        <f t="shared" si="294"/>
        <v>0</v>
      </c>
      <c r="BN411" s="5">
        <f t="shared" si="294"/>
        <v>0</v>
      </c>
      <c r="BO411" s="5">
        <f t="shared" si="293"/>
        <v>0</v>
      </c>
      <c r="BP411" s="5">
        <f t="shared" si="293"/>
        <v>0</v>
      </c>
      <c r="BQ411" s="5">
        <f t="shared" si="293"/>
        <v>0</v>
      </c>
      <c r="BR411" s="5">
        <f t="shared" si="293"/>
        <v>0</v>
      </c>
      <c r="BS411" s="5">
        <f t="shared" si="293"/>
        <v>0</v>
      </c>
      <c r="BT411" s="5">
        <f t="shared" si="293"/>
        <v>0</v>
      </c>
      <c r="BU411" s="5">
        <f t="shared" si="293"/>
        <v>0</v>
      </c>
      <c r="BV411" s="5">
        <f t="shared" si="293"/>
        <v>0</v>
      </c>
      <c r="BW411" s="5">
        <f t="shared" si="293"/>
        <v>0</v>
      </c>
      <c r="BX411" s="5">
        <f t="shared" si="293"/>
        <v>0</v>
      </c>
      <c r="BY411" s="5">
        <f t="shared" si="293"/>
        <v>1</v>
      </c>
      <c r="BZ411" s="5">
        <f t="shared" si="293"/>
        <v>0</v>
      </c>
      <c r="CA411" s="5">
        <f t="shared" si="293"/>
        <v>0</v>
      </c>
      <c r="CB411" s="5">
        <f t="shared" si="292"/>
        <v>0</v>
      </c>
      <c r="CC411" s="5">
        <f t="shared" si="292"/>
        <v>0</v>
      </c>
      <c r="CD411" s="5">
        <f t="shared" si="292"/>
        <v>0</v>
      </c>
      <c r="CE411" s="5">
        <f t="shared" si="292"/>
        <v>0</v>
      </c>
    </row>
    <row r="412" spans="3:83" x14ac:dyDescent="0.2">
      <c r="C412" s="1">
        <f>Growth!D417</f>
        <v>0</v>
      </c>
      <c r="D412" s="5" t="b">
        <f t="shared" si="280"/>
        <v>0</v>
      </c>
      <c r="E412" s="5">
        <v>2009</v>
      </c>
      <c r="F412" s="5">
        <f ca="1">LOOKUP($E412,frequence!$A$2:$A$35,frequence!L$2:L$35)</f>
        <v>37.435381616951773</v>
      </c>
      <c r="G412" s="5">
        <f ca="1">LOOKUP($E412,frequence!$A$2:$A$35,frequence!K$2:K$35)</f>
        <v>3.3073014644850907</v>
      </c>
      <c r="H412" s="5">
        <f ca="1">LOOKUP($E412,frequence!$A$2:$A$35,frequence!M$2:M$35)</f>
        <v>226.95522031937912</v>
      </c>
      <c r="I412" s="5">
        <v>1995</v>
      </c>
      <c r="J412" s="7">
        <f>LOOKUP(I412,CPI!A$69:A$103,CPI!O$69:O$103)</f>
        <v>1.4308136482939633</v>
      </c>
      <c r="K412" s="18">
        <v>2010</v>
      </c>
      <c r="L412" s="7">
        <f t="shared" ca="1" si="281"/>
        <v>1</v>
      </c>
      <c r="M412" s="7">
        <f t="shared" si="291"/>
        <v>0.20909090909090911</v>
      </c>
      <c r="N412" s="14">
        <f t="shared" si="289"/>
        <v>3.0303030303030304E-2</v>
      </c>
      <c r="O412" s="1">
        <f ca="1">P412*J412*(1+Growth!G$6)^(2010-K412)</f>
        <v>18.171333333333333</v>
      </c>
      <c r="P412" s="3">
        <v>12.7</v>
      </c>
      <c r="Q412" s="2">
        <f t="shared" si="148"/>
        <v>12.7</v>
      </c>
      <c r="R412" s="21">
        <f t="shared" ca="1" si="282"/>
        <v>330.19735511111111</v>
      </c>
      <c r="X412" s="2">
        <f t="shared" si="287"/>
        <v>12.7</v>
      </c>
      <c r="AC412" s="1">
        <f t="shared" si="290"/>
        <v>6.9</v>
      </c>
      <c r="AD412" s="5">
        <v>1</v>
      </c>
      <c r="AE412" s="5">
        <v>0</v>
      </c>
      <c r="AF412" s="5">
        <v>1</v>
      </c>
      <c r="AG412" s="5">
        <v>1</v>
      </c>
      <c r="AH412" s="5">
        <v>1</v>
      </c>
      <c r="AI412" s="3">
        <f t="shared" si="277"/>
        <v>2.9</v>
      </c>
      <c r="AJ412" s="5">
        <f t="shared" si="295"/>
        <v>0</v>
      </c>
      <c r="AK412" s="5">
        <f t="shared" si="283"/>
        <v>0</v>
      </c>
      <c r="AL412" s="5">
        <f t="shared" si="284"/>
        <v>0</v>
      </c>
      <c r="AM412" s="5">
        <f t="shared" si="296"/>
        <v>1</v>
      </c>
      <c r="AN412" s="5">
        <f t="shared" si="285"/>
        <v>0</v>
      </c>
      <c r="AO412" s="5">
        <f t="shared" si="297"/>
        <v>0</v>
      </c>
      <c r="AP412" s="11" t="s">
        <v>42</v>
      </c>
      <c r="AQ412" s="1">
        <v>1</v>
      </c>
      <c r="AR412" s="5">
        <v>0</v>
      </c>
      <c r="AS412" s="5">
        <v>1</v>
      </c>
      <c r="AT412" s="5">
        <v>0</v>
      </c>
      <c r="AU412" s="5">
        <v>0</v>
      </c>
      <c r="AV412" s="5">
        <v>0</v>
      </c>
      <c r="AW412" s="5">
        <v>0</v>
      </c>
      <c r="AX412" s="5">
        <v>1</v>
      </c>
      <c r="AY412" s="1">
        <f t="shared" si="262"/>
        <v>0</v>
      </c>
      <c r="AZ412" s="1">
        <f t="shared" si="263"/>
        <v>1</v>
      </c>
      <c r="BA412" s="1">
        <f t="shared" si="264"/>
        <v>0</v>
      </c>
      <c r="BB412" s="5">
        <v>0</v>
      </c>
      <c r="BC412" s="5">
        <v>0</v>
      </c>
      <c r="BD412" s="5">
        <v>1</v>
      </c>
      <c r="BE412" s="5">
        <f t="shared" si="288"/>
        <v>0</v>
      </c>
      <c r="BF412" s="5">
        <v>0</v>
      </c>
      <c r="BG412" s="5">
        <f t="shared" si="294"/>
        <v>0</v>
      </c>
      <c r="BH412" s="5">
        <f t="shared" si="294"/>
        <v>0</v>
      </c>
      <c r="BI412" s="5">
        <f t="shared" si="294"/>
        <v>0</v>
      </c>
      <c r="BJ412" s="5">
        <f t="shared" si="294"/>
        <v>0</v>
      </c>
      <c r="BK412" s="5">
        <f t="shared" si="294"/>
        <v>0</v>
      </c>
      <c r="BL412" s="5">
        <f t="shared" si="294"/>
        <v>0</v>
      </c>
      <c r="BM412" s="5">
        <f t="shared" si="294"/>
        <v>0</v>
      </c>
      <c r="BN412" s="5">
        <f t="shared" si="294"/>
        <v>0</v>
      </c>
      <c r="BO412" s="5">
        <f t="shared" si="293"/>
        <v>0</v>
      </c>
      <c r="BP412" s="5">
        <f t="shared" si="293"/>
        <v>0</v>
      </c>
      <c r="BQ412" s="5">
        <f t="shared" si="293"/>
        <v>0</v>
      </c>
      <c r="BR412" s="5">
        <f t="shared" si="293"/>
        <v>0</v>
      </c>
      <c r="BS412" s="5">
        <f t="shared" si="293"/>
        <v>0</v>
      </c>
      <c r="BT412" s="5">
        <f t="shared" si="293"/>
        <v>0</v>
      </c>
      <c r="BU412" s="5">
        <f t="shared" si="293"/>
        <v>0</v>
      </c>
      <c r="BV412" s="5">
        <f t="shared" si="293"/>
        <v>0</v>
      </c>
      <c r="BW412" s="5">
        <f t="shared" si="293"/>
        <v>0</v>
      </c>
      <c r="BX412" s="5">
        <f t="shared" si="293"/>
        <v>0</v>
      </c>
      <c r="BY412" s="5">
        <f t="shared" si="293"/>
        <v>1</v>
      </c>
      <c r="BZ412" s="5">
        <f t="shared" si="293"/>
        <v>0</v>
      </c>
      <c r="CA412" s="5">
        <f t="shared" si="293"/>
        <v>0</v>
      </c>
      <c r="CB412" s="5">
        <f t="shared" si="292"/>
        <v>0</v>
      </c>
      <c r="CC412" s="5">
        <f t="shared" si="292"/>
        <v>0</v>
      </c>
      <c r="CD412" s="5">
        <f t="shared" si="292"/>
        <v>0</v>
      </c>
      <c r="CE412" s="5">
        <f t="shared" si="292"/>
        <v>0</v>
      </c>
    </row>
    <row r="413" spans="3:83" x14ac:dyDescent="0.2">
      <c r="C413" s="1">
        <f>Growth!D418</f>
        <v>0</v>
      </c>
      <c r="D413" s="5" t="b">
        <f t="shared" si="280"/>
        <v>0</v>
      </c>
      <c r="E413" s="5">
        <v>2009</v>
      </c>
      <c r="F413" s="5">
        <f ca="1">LOOKUP($E413,frequence!$A$2:$A$35,frequence!L$2:L$35)</f>
        <v>37.435381616951773</v>
      </c>
      <c r="G413" s="5">
        <f ca="1">LOOKUP($E413,frequence!$A$2:$A$35,frequence!K$2:K$35)</f>
        <v>3.3073014644850907</v>
      </c>
      <c r="H413" s="5">
        <f ca="1">LOOKUP($E413,frequence!$A$2:$A$35,frequence!M$2:M$35)</f>
        <v>226.95522031937912</v>
      </c>
      <c r="I413" s="5">
        <v>1995</v>
      </c>
      <c r="J413" s="7">
        <f>LOOKUP(I413,CPI!A$69:A$103,CPI!O$69:O$103)</f>
        <v>1.4308136482939633</v>
      </c>
      <c r="K413" s="18">
        <v>2010</v>
      </c>
      <c r="L413" s="7">
        <f t="shared" ca="1" si="281"/>
        <v>1</v>
      </c>
      <c r="M413" s="7">
        <f t="shared" si="291"/>
        <v>0.20909090909090911</v>
      </c>
      <c r="N413" s="14">
        <f t="shared" si="289"/>
        <v>3.0303030303030304E-2</v>
      </c>
      <c r="O413" s="1">
        <f ca="1">P413*J413*(1+Growth!G$6)^(2010-K413)</f>
        <v>-3.7201154855643046</v>
      </c>
      <c r="P413" s="3">
        <v>-2.6</v>
      </c>
      <c r="Q413" s="2">
        <f t="shared" si="148"/>
        <v>-2.6</v>
      </c>
      <c r="R413" s="21">
        <f t="shared" ca="1" si="282"/>
        <v>13.839259225935342</v>
      </c>
      <c r="X413" s="2">
        <f t="shared" si="287"/>
        <v>-2.6</v>
      </c>
      <c r="AC413" s="1">
        <f t="shared" si="290"/>
        <v>6.9</v>
      </c>
      <c r="AD413" s="5">
        <v>1</v>
      </c>
      <c r="AE413" s="5">
        <v>0</v>
      </c>
      <c r="AF413" s="5">
        <v>1</v>
      </c>
      <c r="AG413" s="5">
        <v>1</v>
      </c>
      <c r="AH413" s="5">
        <v>1</v>
      </c>
      <c r="AI413" s="3">
        <f t="shared" si="277"/>
        <v>2.9</v>
      </c>
      <c r="AJ413" s="5">
        <f t="shared" si="295"/>
        <v>1</v>
      </c>
      <c r="AK413" s="5">
        <f t="shared" si="283"/>
        <v>0</v>
      </c>
      <c r="AL413" s="5">
        <f t="shared" si="284"/>
        <v>0</v>
      </c>
      <c r="AM413" s="5">
        <f t="shared" si="296"/>
        <v>0</v>
      </c>
      <c r="AN413" s="5">
        <f t="shared" si="285"/>
        <v>0</v>
      </c>
      <c r="AO413" s="5">
        <f t="shared" si="297"/>
        <v>0</v>
      </c>
      <c r="AP413" s="11" t="s">
        <v>42</v>
      </c>
      <c r="AQ413" s="1">
        <v>3</v>
      </c>
      <c r="AR413" s="5">
        <v>0</v>
      </c>
      <c r="AS413" s="5">
        <v>1</v>
      </c>
      <c r="AT413" s="5">
        <v>0</v>
      </c>
      <c r="AU413" s="5">
        <v>0</v>
      </c>
      <c r="AV413" s="5">
        <v>0</v>
      </c>
      <c r="AW413" s="5">
        <v>0</v>
      </c>
      <c r="AX413" s="5">
        <v>1</v>
      </c>
      <c r="AY413" s="1">
        <f t="shared" si="262"/>
        <v>1</v>
      </c>
      <c r="AZ413" s="1">
        <f t="shared" si="263"/>
        <v>0</v>
      </c>
      <c r="BA413" s="1">
        <f t="shared" si="264"/>
        <v>0</v>
      </c>
      <c r="BB413" s="5">
        <v>0</v>
      </c>
      <c r="BC413" s="5">
        <v>0</v>
      </c>
      <c r="BD413" s="5">
        <v>1</v>
      </c>
      <c r="BE413" s="5">
        <f t="shared" si="288"/>
        <v>0</v>
      </c>
      <c r="BF413" s="5">
        <v>0</v>
      </c>
      <c r="BG413" s="5">
        <f t="shared" si="294"/>
        <v>0</v>
      </c>
      <c r="BH413" s="5">
        <f t="shared" si="294"/>
        <v>0</v>
      </c>
      <c r="BI413" s="5">
        <f t="shared" si="294"/>
        <v>0</v>
      </c>
      <c r="BJ413" s="5">
        <f t="shared" si="294"/>
        <v>0</v>
      </c>
      <c r="BK413" s="5">
        <f t="shared" si="294"/>
        <v>0</v>
      </c>
      <c r="BL413" s="5">
        <f t="shared" si="294"/>
        <v>0</v>
      </c>
      <c r="BM413" s="5">
        <f t="shared" si="294"/>
        <v>0</v>
      </c>
      <c r="BN413" s="5">
        <f t="shared" si="294"/>
        <v>0</v>
      </c>
      <c r="BO413" s="5">
        <f t="shared" si="293"/>
        <v>0</v>
      </c>
      <c r="BP413" s="5">
        <f t="shared" si="293"/>
        <v>0</v>
      </c>
      <c r="BQ413" s="5">
        <f t="shared" si="293"/>
        <v>0</v>
      </c>
      <c r="BR413" s="5">
        <f t="shared" si="293"/>
        <v>0</v>
      </c>
      <c r="BS413" s="5">
        <f t="shared" si="293"/>
        <v>0</v>
      </c>
      <c r="BT413" s="5">
        <f t="shared" si="293"/>
        <v>0</v>
      </c>
      <c r="BU413" s="5">
        <f t="shared" si="293"/>
        <v>0</v>
      </c>
      <c r="BV413" s="5">
        <f t="shared" si="293"/>
        <v>0</v>
      </c>
      <c r="BW413" s="5">
        <f t="shared" si="293"/>
        <v>0</v>
      </c>
      <c r="BX413" s="5">
        <f t="shared" si="293"/>
        <v>0</v>
      </c>
      <c r="BY413" s="5">
        <f t="shared" si="293"/>
        <v>1</v>
      </c>
      <c r="BZ413" s="5">
        <f t="shared" si="293"/>
        <v>0</v>
      </c>
      <c r="CA413" s="5">
        <f t="shared" si="293"/>
        <v>0</v>
      </c>
      <c r="CB413" s="5">
        <f t="shared" si="292"/>
        <v>0</v>
      </c>
      <c r="CC413" s="5">
        <f t="shared" si="292"/>
        <v>0</v>
      </c>
      <c r="CD413" s="5">
        <f t="shared" si="292"/>
        <v>0</v>
      </c>
      <c r="CE413" s="5">
        <f t="shared" si="292"/>
        <v>0</v>
      </c>
    </row>
    <row r="414" spans="3:83" x14ac:dyDescent="0.2">
      <c r="C414" s="1">
        <f>Growth!D419</f>
        <v>0</v>
      </c>
      <c r="D414" s="5" t="b">
        <f t="shared" si="280"/>
        <v>0</v>
      </c>
      <c r="E414" s="5">
        <v>2009</v>
      </c>
      <c r="F414" s="5">
        <f ca="1">LOOKUP($E414,frequence!$A$2:$A$35,frequence!L$2:L$35)</f>
        <v>37.435381616951773</v>
      </c>
      <c r="G414" s="5">
        <f ca="1">LOOKUP($E414,frequence!$A$2:$A$35,frequence!K$2:K$35)</f>
        <v>3.3073014644850907</v>
      </c>
      <c r="H414" s="5">
        <f ca="1">LOOKUP($E414,frequence!$A$2:$A$35,frequence!M$2:M$35)</f>
        <v>226.95522031937912</v>
      </c>
      <c r="I414" s="5">
        <v>1995</v>
      </c>
      <c r="J414" s="7">
        <f>LOOKUP(I414,CPI!A$69:A$103,CPI!O$69:O$103)</f>
        <v>1.4308136482939633</v>
      </c>
      <c r="K414" s="18">
        <v>2010</v>
      </c>
      <c r="L414" s="7">
        <f t="shared" ca="1" si="281"/>
        <v>1</v>
      </c>
      <c r="M414" s="7">
        <f t="shared" si="291"/>
        <v>0.20909090909090911</v>
      </c>
      <c r="N414" s="14">
        <f t="shared" si="289"/>
        <v>3.0303030303030304E-2</v>
      </c>
      <c r="O414" s="1">
        <f ca="1">P414*J414*(1+Growth!G$6)^(2010-K414)</f>
        <v>-5.4370918635170602</v>
      </c>
      <c r="P414" s="3">
        <v>-3.8</v>
      </c>
      <c r="Q414" s="2">
        <f t="shared" si="148"/>
        <v>-3.8</v>
      </c>
      <c r="R414" s="21">
        <f t="shared" ca="1" si="282"/>
        <v>29.561967932323419</v>
      </c>
      <c r="X414" s="2">
        <f t="shared" si="287"/>
        <v>-3.8</v>
      </c>
      <c r="AC414" s="1">
        <f t="shared" si="290"/>
        <v>6.9</v>
      </c>
      <c r="AD414" s="5">
        <v>1</v>
      </c>
      <c r="AE414" s="5">
        <v>0</v>
      </c>
      <c r="AF414" s="5">
        <v>1</v>
      </c>
      <c r="AG414" s="5">
        <v>1</v>
      </c>
      <c r="AH414" s="5">
        <v>1</v>
      </c>
      <c r="AI414" s="3">
        <f t="shared" si="277"/>
        <v>2.9</v>
      </c>
      <c r="AJ414" s="5">
        <f t="shared" si="295"/>
        <v>1</v>
      </c>
      <c r="AK414" s="5">
        <f t="shared" si="283"/>
        <v>0</v>
      </c>
      <c r="AL414" s="5">
        <f t="shared" si="284"/>
        <v>0</v>
      </c>
      <c r="AM414" s="5">
        <f t="shared" si="296"/>
        <v>0</v>
      </c>
      <c r="AN414" s="5">
        <f t="shared" si="285"/>
        <v>0</v>
      </c>
      <c r="AO414" s="5">
        <f t="shared" si="297"/>
        <v>0</v>
      </c>
      <c r="AP414" s="11" t="s">
        <v>42</v>
      </c>
      <c r="AQ414" s="1">
        <v>3</v>
      </c>
      <c r="AR414" s="5">
        <v>0</v>
      </c>
      <c r="AS414" s="5">
        <v>1</v>
      </c>
      <c r="AT414" s="5">
        <v>0</v>
      </c>
      <c r="AU414" s="5">
        <v>0</v>
      </c>
      <c r="AV414" s="5">
        <v>0</v>
      </c>
      <c r="AW414" s="5">
        <v>0</v>
      </c>
      <c r="AX414" s="5">
        <v>1</v>
      </c>
      <c r="AY414" s="1">
        <f t="shared" si="262"/>
        <v>1</v>
      </c>
      <c r="AZ414" s="1">
        <f t="shared" si="263"/>
        <v>0</v>
      </c>
      <c r="BA414" s="1">
        <f t="shared" si="264"/>
        <v>0</v>
      </c>
      <c r="BB414" s="5">
        <v>0</v>
      </c>
      <c r="BC414" s="5">
        <v>0</v>
      </c>
      <c r="BD414" s="5">
        <v>1</v>
      </c>
      <c r="BE414" s="5">
        <f t="shared" si="288"/>
        <v>0</v>
      </c>
      <c r="BF414" s="5">
        <v>0</v>
      </c>
      <c r="BG414" s="5">
        <f t="shared" si="294"/>
        <v>0</v>
      </c>
      <c r="BH414" s="5">
        <f t="shared" si="294"/>
        <v>0</v>
      </c>
      <c r="BI414" s="5">
        <f t="shared" si="294"/>
        <v>0</v>
      </c>
      <c r="BJ414" s="5">
        <f t="shared" si="294"/>
        <v>0</v>
      </c>
      <c r="BK414" s="5">
        <f t="shared" si="294"/>
        <v>0</v>
      </c>
      <c r="BL414" s="5">
        <f t="shared" si="294"/>
        <v>0</v>
      </c>
      <c r="BM414" s="5">
        <f t="shared" si="294"/>
        <v>0</v>
      </c>
      <c r="BN414" s="5">
        <f t="shared" si="294"/>
        <v>0</v>
      </c>
      <c r="BO414" s="5">
        <f t="shared" si="293"/>
        <v>0</v>
      </c>
      <c r="BP414" s="5">
        <f t="shared" si="293"/>
        <v>0</v>
      </c>
      <c r="BQ414" s="5">
        <f t="shared" si="293"/>
        <v>0</v>
      </c>
      <c r="BR414" s="5">
        <f t="shared" si="293"/>
        <v>0</v>
      </c>
      <c r="BS414" s="5">
        <f t="shared" si="293"/>
        <v>0</v>
      </c>
      <c r="BT414" s="5">
        <f t="shared" si="293"/>
        <v>0</v>
      </c>
      <c r="BU414" s="5">
        <f t="shared" si="293"/>
        <v>0</v>
      </c>
      <c r="BV414" s="5">
        <f t="shared" si="293"/>
        <v>0</v>
      </c>
      <c r="BW414" s="5">
        <f t="shared" si="293"/>
        <v>0</v>
      </c>
      <c r="BX414" s="5">
        <f t="shared" si="293"/>
        <v>0</v>
      </c>
      <c r="BY414" s="5">
        <f t="shared" si="293"/>
        <v>1</v>
      </c>
      <c r="BZ414" s="5">
        <f t="shared" si="293"/>
        <v>0</v>
      </c>
      <c r="CA414" s="5">
        <f t="shared" si="293"/>
        <v>0</v>
      </c>
      <c r="CB414" s="5">
        <f t="shared" si="292"/>
        <v>0</v>
      </c>
      <c r="CC414" s="5">
        <f t="shared" si="292"/>
        <v>0</v>
      </c>
      <c r="CD414" s="5">
        <f t="shared" si="292"/>
        <v>0</v>
      </c>
      <c r="CE414" s="5">
        <f t="shared" si="292"/>
        <v>0</v>
      </c>
    </row>
    <row r="415" spans="3:83" x14ac:dyDescent="0.2">
      <c r="C415" s="1">
        <f>Growth!D420</f>
        <v>0</v>
      </c>
      <c r="D415" s="5" t="b">
        <f t="shared" si="280"/>
        <v>0</v>
      </c>
      <c r="E415" s="5">
        <v>2009</v>
      </c>
      <c r="F415" s="5">
        <f ca="1">LOOKUP($E415,frequence!$A$2:$A$35,frequence!L$2:L$35)</f>
        <v>37.435381616951773</v>
      </c>
      <c r="G415" s="5">
        <f ca="1">LOOKUP($E415,frequence!$A$2:$A$35,frequence!K$2:K$35)</f>
        <v>3.3073014644850907</v>
      </c>
      <c r="H415" s="5">
        <f ca="1">LOOKUP($E415,frequence!$A$2:$A$35,frequence!M$2:M$35)</f>
        <v>226.95522031937912</v>
      </c>
      <c r="I415" s="5">
        <v>1995</v>
      </c>
      <c r="J415" s="7">
        <f>LOOKUP(I415,CPI!A$69:A$103,CPI!O$69:O$103)</f>
        <v>1.4308136482939633</v>
      </c>
      <c r="K415" s="18">
        <v>2010</v>
      </c>
      <c r="L415" s="7">
        <f t="shared" ca="1" si="281"/>
        <v>1</v>
      </c>
      <c r="M415" s="7">
        <f t="shared" si="291"/>
        <v>0.20909090909090911</v>
      </c>
      <c r="N415" s="14">
        <f t="shared" si="289"/>
        <v>3.0303030303030304E-2</v>
      </c>
      <c r="O415" s="1">
        <f ca="1">P415*J415*(1+Growth!G$6)^(2010-K415)</f>
        <v>-3.4339527559055116</v>
      </c>
      <c r="P415" s="3">
        <v>-2.4</v>
      </c>
      <c r="Q415" s="2">
        <f t="shared" si="148"/>
        <v>-2.4</v>
      </c>
      <c r="R415" s="21">
        <f t="shared" ca="1" si="282"/>
        <v>11.792031529791059</v>
      </c>
      <c r="X415" s="2">
        <f t="shared" si="287"/>
        <v>-2.4</v>
      </c>
      <c r="AC415" s="1">
        <f t="shared" si="290"/>
        <v>6.9</v>
      </c>
      <c r="AD415" s="5">
        <v>1</v>
      </c>
      <c r="AE415" s="5">
        <v>0</v>
      </c>
      <c r="AF415" s="5">
        <v>1</v>
      </c>
      <c r="AG415" s="5">
        <v>1</v>
      </c>
      <c r="AH415" s="5">
        <v>1</v>
      </c>
      <c r="AI415" s="3">
        <f t="shared" si="277"/>
        <v>2.9</v>
      </c>
      <c r="AJ415" s="5">
        <f t="shared" si="295"/>
        <v>1</v>
      </c>
      <c r="AK415" s="5">
        <f t="shared" si="283"/>
        <v>0</v>
      </c>
      <c r="AL415" s="5">
        <f t="shared" si="284"/>
        <v>0</v>
      </c>
      <c r="AM415" s="5">
        <f t="shared" si="296"/>
        <v>0</v>
      </c>
      <c r="AN415" s="5">
        <f t="shared" si="285"/>
        <v>0</v>
      </c>
      <c r="AO415" s="5">
        <f t="shared" si="297"/>
        <v>0</v>
      </c>
      <c r="AP415" s="11" t="s">
        <v>42</v>
      </c>
      <c r="AQ415" s="1">
        <v>3</v>
      </c>
      <c r="AR415" s="5">
        <v>0</v>
      </c>
      <c r="AS415" s="5">
        <v>1</v>
      </c>
      <c r="AT415" s="5">
        <v>0</v>
      </c>
      <c r="AU415" s="5">
        <v>0</v>
      </c>
      <c r="AV415" s="5">
        <v>0</v>
      </c>
      <c r="AW415" s="5">
        <v>0</v>
      </c>
      <c r="AX415" s="5">
        <v>1</v>
      </c>
      <c r="AY415" s="1">
        <f t="shared" si="262"/>
        <v>1</v>
      </c>
      <c r="AZ415" s="1">
        <f t="shared" si="263"/>
        <v>0</v>
      </c>
      <c r="BA415" s="1">
        <f t="shared" si="264"/>
        <v>0</v>
      </c>
      <c r="BB415" s="5">
        <v>0</v>
      </c>
      <c r="BC415" s="5">
        <v>0</v>
      </c>
      <c r="BD415" s="5">
        <v>1</v>
      </c>
      <c r="BE415" s="5">
        <f t="shared" si="288"/>
        <v>0</v>
      </c>
      <c r="BF415" s="5">
        <v>0</v>
      </c>
      <c r="BG415" s="5">
        <f t="shared" si="294"/>
        <v>0</v>
      </c>
      <c r="BH415" s="5">
        <f t="shared" si="294"/>
        <v>0</v>
      </c>
      <c r="BI415" s="5">
        <f t="shared" si="294"/>
        <v>0</v>
      </c>
      <c r="BJ415" s="5">
        <f t="shared" si="294"/>
        <v>0</v>
      </c>
      <c r="BK415" s="5">
        <f t="shared" si="294"/>
        <v>0</v>
      </c>
      <c r="BL415" s="5">
        <f t="shared" si="294"/>
        <v>0</v>
      </c>
      <c r="BM415" s="5">
        <f t="shared" si="294"/>
        <v>0</v>
      </c>
      <c r="BN415" s="5">
        <f t="shared" si="294"/>
        <v>0</v>
      </c>
      <c r="BO415" s="5">
        <f t="shared" si="293"/>
        <v>0</v>
      </c>
      <c r="BP415" s="5">
        <f t="shared" si="293"/>
        <v>0</v>
      </c>
      <c r="BQ415" s="5">
        <f t="shared" si="293"/>
        <v>0</v>
      </c>
      <c r="BR415" s="5">
        <f t="shared" si="293"/>
        <v>0</v>
      </c>
      <c r="BS415" s="5">
        <f t="shared" si="293"/>
        <v>0</v>
      </c>
      <c r="BT415" s="5">
        <f t="shared" si="293"/>
        <v>0</v>
      </c>
      <c r="BU415" s="5">
        <f t="shared" si="293"/>
        <v>0</v>
      </c>
      <c r="BV415" s="5">
        <f t="shared" si="293"/>
        <v>0</v>
      </c>
      <c r="BW415" s="5">
        <f t="shared" si="293"/>
        <v>0</v>
      </c>
      <c r="BX415" s="5">
        <f t="shared" si="293"/>
        <v>0</v>
      </c>
      <c r="BY415" s="5">
        <f t="shared" si="293"/>
        <v>1</v>
      </c>
      <c r="BZ415" s="5">
        <f t="shared" si="293"/>
        <v>0</v>
      </c>
      <c r="CA415" s="5">
        <f t="shared" si="293"/>
        <v>0</v>
      </c>
      <c r="CB415" s="5">
        <f t="shared" si="292"/>
        <v>0</v>
      </c>
      <c r="CC415" s="5">
        <f t="shared" si="292"/>
        <v>0</v>
      </c>
      <c r="CD415" s="5">
        <f t="shared" si="292"/>
        <v>0</v>
      </c>
      <c r="CE415" s="5">
        <f t="shared" si="292"/>
        <v>0</v>
      </c>
    </row>
    <row r="416" spans="3:83" x14ac:dyDescent="0.2">
      <c r="C416" s="1">
        <f>Growth!D421</f>
        <v>0</v>
      </c>
      <c r="D416" s="5" t="b">
        <f t="shared" si="280"/>
        <v>0</v>
      </c>
      <c r="E416" s="5">
        <v>2009</v>
      </c>
      <c r="F416" s="5">
        <f ca="1">LOOKUP($E416,frequence!$A$2:$A$35,frequence!L$2:L$35)</f>
        <v>37.435381616951773</v>
      </c>
      <c r="G416" s="5">
        <f ca="1">LOOKUP($E416,frequence!$A$2:$A$35,frequence!K$2:K$35)</f>
        <v>3.3073014644850907</v>
      </c>
      <c r="H416" s="5">
        <f ca="1">LOOKUP($E416,frequence!$A$2:$A$35,frequence!M$2:M$35)</f>
        <v>226.95522031937912</v>
      </c>
      <c r="I416" s="5">
        <v>1995</v>
      </c>
      <c r="J416" s="7">
        <f>LOOKUP(I416,CPI!A$69:A$103,CPI!O$69:O$103)</f>
        <v>1.4308136482939633</v>
      </c>
      <c r="K416" s="18">
        <v>2010</v>
      </c>
      <c r="L416" s="7">
        <f t="shared" ca="1" si="281"/>
        <v>1</v>
      </c>
      <c r="M416" s="7">
        <f t="shared" si="291"/>
        <v>0.20909090909090911</v>
      </c>
      <c r="N416" s="14">
        <f t="shared" si="289"/>
        <v>3.0303030303030304E-2</v>
      </c>
      <c r="O416" s="1">
        <f ca="1">P416*J416*(1+Growth!G$6)^(2010-K416)</f>
        <v>-7.5833123359580048</v>
      </c>
      <c r="P416" s="3">
        <v>-5.3</v>
      </c>
      <c r="Q416" s="2">
        <f t="shared" si="148"/>
        <v>-5.3</v>
      </c>
      <c r="R416" s="21">
        <f t="shared" ca="1" si="282"/>
        <v>57.506625984692853</v>
      </c>
      <c r="X416" s="2">
        <f t="shared" si="287"/>
        <v>-5.3</v>
      </c>
      <c r="AC416" s="1">
        <f t="shared" si="290"/>
        <v>6.9</v>
      </c>
      <c r="AD416" s="5">
        <v>1</v>
      </c>
      <c r="AE416" s="5">
        <v>0</v>
      </c>
      <c r="AF416" s="5">
        <v>1</v>
      </c>
      <c r="AG416" s="5">
        <v>1</v>
      </c>
      <c r="AH416" s="5">
        <v>1</v>
      </c>
      <c r="AI416" s="3">
        <f t="shared" si="277"/>
        <v>2.9</v>
      </c>
      <c r="AJ416" s="5">
        <f t="shared" si="295"/>
        <v>1</v>
      </c>
      <c r="AK416" s="5">
        <f t="shared" si="283"/>
        <v>0</v>
      </c>
      <c r="AL416" s="5">
        <f t="shared" si="284"/>
        <v>0</v>
      </c>
      <c r="AM416" s="5">
        <f t="shared" si="296"/>
        <v>0</v>
      </c>
      <c r="AN416" s="5">
        <f t="shared" si="285"/>
        <v>0</v>
      </c>
      <c r="AO416" s="5">
        <f t="shared" si="297"/>
        <v>0</v>
      </c>
      <c r="AP416" s="11" t="s">
        <v>42</v>
      </c>
      <c r="AQ416" s="1">
        <v>3</v>
      </c>
      <c r="AR416" s="5">
        <v>0</v>
      </c>
      <c r="AS416" s="5">
        <v>1</v>
      </c>
      <c r="AT416" s="5">
        <v>0</v>
      </c>
      <c r="AU416" s="5">
        <v>0</v>
      </c>
      <c r="AV416" s="5">
        <v>0</v>
      </c>
      <c r="AW416" s="5">
        <v>0</v>
      </c>
      <c r="AX416" s="5">
        <v>1</v>
      </c>
      <c r="AY416" s="1">
        <f t="shared" si="262"/>
        <v>1</v>
      </c>
      <c r="AZ416" s="1">
        <f t="shared" si="263"/>
        <v>0</v>
      </c>
      <c r="BA416" s="1">
        <f t="shared" si="264"/>
        <v>0</v>
      </c>
      <c r="BB416" s="5">
        <v>0</v>
      </c>
      <c r="BC416" s="5">
        <v>0</v>
      </c>
      <c r="BD416" s="5">
        <v>1</v>
      </c>
      <c r="BE416" s="5">
        <f t="shared" si="288"/>
        <v>0</v>
      </c>
      <c r="BF416" s="5">
        <v>0</v>
      </c>
      <c r="BG416" s="5">
        <f t="shared" si="294"/>
        <v>0</v>
      </c>
      <c r="BH416" s="5">
        <f t="shared" si="294"/>
        <v>0</v>
      </c>
      <c r="BI416" s="5">
        <f t="shared" si="294"/>
        <v>0</v>
      </c>
      <c r="BJ416" s="5">
        <f t="shared" si="294"/>
        <v>0</v>
      </c>
      <c r="BK416" s="5">
        <f t="shared" si="294"/>
        <v>0</v>
      </c>
      <c r="BL416" s="5">
        <f t="shared" si="294"/>
        <v>0</v>
      </c>
      <c r="BM416" s="5">
        <f t="shared" si="294"/>
        <v>0</v>
      </c>
      <c r="BN416" s="5">
        <f t="shared" si="294"/>
        <v>0</v>
      </c>
      <c r="BO416" s="5">
        <f t="shared" si="293"/>
        <v>0</v>
      </c>
      <c r="BP416" s="5">
        <f t="shared" si="293"/>
        <v>0</v>
      </c>
      <c r="BQ416" s="5">
        <f t="shared" si="293"/>
        <v>0</v>
      </c>
      <c r="BR416" s="5">
        <f t="shared" si="293"/>
        <v>0</v>
      </c>
      <c r="BS416" s="5">
        <f t="shared" si="293"/>
        <v>0</v>
      </c>
      <c r="BT416" s="5">
        <f t="shared" si="293"/>
        <v>0</v>
      </c>
      <c r="BU416" s="5">
        <f t="shared" si="293"/>
        <v>0</v>
      </c>
      <c r="BV416" s="5">
        <f t="shared" si="293"/>
        <v>0</v>
      </c>
      <c r="BW416" s="5">
        <f t="shared" si="293"/>
        <v>0</v>
      </c>
      <c r="BX416" s="5">
        <f t="shared" si="293"/>
        <v>0</v>
      </c>
      <c r="BY416" s="5">
        <f t="shared" si="293"/>
        <v>1</v>
      </c>
      <c r="BZ416" s="5">
        <f t="shared" si="293"/>
        <v>0</v>
      </c>
      <c r="CA416" s="5">
        <f t="shared" si="293"/>
        <v>0</v>
      </c>
      <c r="CB416" s="5">
        <f t="shared" si="292"/>
        <v>0</v>
      </c>
      <c r="CC416" s="5">
        <f t="shared" si="292"/>
        <v>0</v>
      </c>
      <c r="CD416" s="5">
        <f t="shared" si="292"/>
        <v>0</v>
      </c>
      <c r="CE416" s="5">
        <f t="shared" si="292"/>
        <v>0</v>
      </c>
    </row>
    <row r="417" spans="3:83" x14ac:dyDescent="0.2">
      <c r="C417" s="1">
        <f>Growth!D422</f>
        <v>0</v>
      </c>
      <c r="D417" s="5" t="b">
        <f t="shared" si="280"/>
        <v>0</v>
      </c>
      <c r="E417" s="5">
        <v>2009</v>
      </c>
      <c r="F417" s="5">
        <f ca="1">LOOKUP($E417,frequence!$A$2:$A$35,frequence!L$2:L$35)</f>
        <v>37.435381616951773</v>
      </c>
      <c r="G417" s="5">
        <f ca="1">LOOKUP($E417,frequence!$A$2:$A$35,frequence!K$2:K$35)</f>
        <v>3.3073014644850907</v>
      </c>
      <c r="H417" s="5">
        <f ca="1">LOOKUP($E417,frequence!$A$2:$A$35,frequence!M$2:M$35)</f>
        <v>226.95522031937912</v>
      </c>
      <c r="I417" s="5">
        <v>1995</v>
      </c>
      <c r="J417" s="7">
        <f>LOOKUP(I417,CPI!A$69:A$103,CPI!O$69:O$103)</f>
        <v>1.4308136482939633</v>
      </c>
      <c r="K417" s="18">
        <v>2010</v>
      </c>
      <c r="L417" s="7">
        <f t="shared" ca="1" si="281"/>
        <v>1</v>
      </c>
      <c r="M417" s="7">
        <f t="shared" si="291"/>
        <v>0.20909090909090911</v>
      </c>
      <c r="N417" s="14">
        <f t="shared" si="289"/>
        <v>3.0303030303030304E-2</v>
      </c>
      <c r="O417" s="1">
        <f ca="1">P417*J417*(1+Growth!G$6)^(2010-K417)</f>
        <v>-4.4355223097112866</v>
      </c>
      <c r="P417" s="3">
        <v>-3.1</v>
      </c>
      <c r="Q417" s="2">
        <f t="shared" si="148"/>
        <v>-3.1</v>
      </c>
      <c r="R417" s="21">
        <f t="shared" ca="1" si="282"/>
        <v>19.673858159946548</v>
      </c>
      <c r="X417" s="2">
        <f t="shared" si="287"/>
        <v>-3.1</v>
      </c>
      <c r="AC417" s="1">
        <f t="shared" si="290"/>
        <v>6.9</v>
      </c>
      <c r="AD417" s="5">
        <v>1</v>
      </c>
      <c r="AE417" s="5">
        <v>0</v>
      </c>
      <c r="AF417" s="5">
        <v>1</v>
      </c>
      <c r="AG417" s="5">
        <v>1</v>
      </c>
      <c r="AH417" s="5">
        <v>1</v>
      </c>
      <c r="AI417" s="3">
        <f t="shared" si="277"/>
        <v>2.9</v>
      </c>
      <c r="AJ417" s="5">
        <f t="shared" si="295"/>
        <v>1</v>
      </c>
      <c r="AK417" s="5">
        <f t="shared" si="283"/>
        <v>0</v>
      </c>
      <c r="AL417" s="5">
        <f t="shared" si="284"/>
        <v>0</v>
      </c>
      <c r="AM417" s="5">
        <f t="shared" si="296"/>
        <v>0</v>
      </c>
      <c r="AN417" s="5">
        <f t="shared" si="285"/>
        <v>0</v>
      </c>
      <c r="AO417" s="5">
        <f t="shared" si="297"/>
        <v>0</v>
      </c>
      <c r="AP417" s="11" t="s">
        <v>42</v>
      </c>
      <c r="AQ417" s="1">
        <v>3</v>
      </c>
      <c r="AR417" s="5">
        <v>0</v>
      </c>
      <c r="AS417" s="5">
        <v>1</v>
      </c>
      <c r="AT417" s="5">
        <v>0</v>
      </c>
      <c r="AU417" s="5">
        <v>0</v>
      </c>
      <c r="AV417" s="5">
        <v>0</v>
      </c>
      <c r="AW417" s="5">
        <v>0</v>
      </c>
      <c r="AX417" s="5">
        <v>1</v>
      </c>
      <c r="AY417" s="1">
        <f t="shared" si="262"/>
        <v>1</v>
      </c>
      <c r="AZ417" s="1">
        <f t="shared" si="263"/>
        <v>0</v>
      </c>
      <c r="BA417" s="1">
        <f t="shared" si="264"/>
        <v>0</v>
      </c>
      <c r="BB417" s="5">
        <v>0</v>
      </c>
      <c r="BC417" s="5">
        <v>0</v>
      </c>
      <c r="BD417" s="5">
        <v>1</v>
      </c>
      <c r="BE417" s="5">
        <f t="shared" si="288"/>
        <v>0</v>
      </c>
      <c r="BF417" s="5">
        <v>0</v>
      </c>
      <c r="BG417" s="5">
        <f t="shared" si="294"/>
        <v>0</v>
      </c>
      <c r="BH417" s="5">
        <f t="shared" si="294"/>
        <v>0</v>
      </c>
      <c r="BI417" s="5">
        <f t="shared" si="294"/>
        <v>0</v>
      </c>
      <c r="BJ417" s="5">
        <f t="shared" si="294"/>
        <v>0</v>
      </c>
      <c r="BK417" s="5">
        <f t="shared" si="294"/>
        <v>0</v>
      </c>
      <c r="BL417" s="5">
        <f t="shared" si="294"/>
        <v>0</v>
      </c>
      <c r="BM417" s="5">
        <f t="shared" si="294"/>
        <v>0</v>
      </c>
      <c r="BN417" s="5">
        <f t="shared" si="294"/>
        <v>0</v>
      </c>
      <c r="BO417" s="5">
        <f t="shared" si="293"/>
        <v>0</v>
      </c>
      <c r="BP417" s="5">
        <f t="shared" si="293"/>
        <v>0</v>
      </c>
      <c r="BQ417" s="5">
        <f t="shared" si="293"/>
        <v>0</v>
      </c>
      <c r="BR417" s="5">
        <f t="shared" si="293"/>
        <v>0</v>
      </c>
      <c r="BS417" s="5">
        <f t="shared" si="293"/>
        <v>0</v>
      </c>
      <c r="BT417" s="5">
        <f t="shared" si="293"/>
        <v>0</v>
      </c>
      <c r="BU417" s="5">
        <f t="shared" si="293"/>
        <v>0</v>
      </c>
      <c r="BV417" s="5">
        <f t="shared" si="293"/>
        <v>0</v>
      </c>
      <c r="BW417" s="5">
        <f t="shared" si="293"/>
        <v>0</v>
      </c>
      <c r="BX417" s="5">
        <f t="shared" si="293"/>
        <v>0</v>
      </c>
      <c r="BY417" s="5">
        <f t="shared" si="293"/>
        <v>1</v>
      </c>
      <c r="BZ417" s="5">
        <f t="shared" si="293"/>
        <v>0</v>
      </c>
      <c r="CA417" s="5">
        <f t="shared" si="293"/>
        <v>0</v>
      </c>
      <c r="CB417" s="5">
        <f t="shared" si="292"/>
        <v>0</v>
      </c>
      <c r="CC417" s="5">
        <f t="shared" si="292"/>
        <v>0</v>
      </c>
      <c r="CD417" s="5">
        <f t="shared" si="292"/>
        <v>0</v>
      </c>
      <c r="CE417" s="5">
        <f t="shared" si="292"/>
        <v>0</v>
      </c>
    </row>
    <row r="418" spans="3:83" x14ac:dyDescent="0.2">
      <c r="C418" s="1">
        <f>Growth!D423</f>
        <v>0</v>
      </c>
      <c r="D418" s="5" t="b">
        <f t="shared" si="280"/>
        <v>0</v>
      </c>
      <c r="E418" s="5">
        <v>2009</v>
      </c>
      <c r="F418" s="5">
        <f ca="1">LOOKUP($E418,frequence!$A$2:$A$35,frequence!L$2:L$35)</f>
        <v>37.435381616951773</v>
      </c>
      <c r="G418" s="5">
        <f ca="1">LOOKUP($E418,frequence!$A$2:$A$35,frequence!K$2:K$35)</f>
        <v>3.3073014644850907</v>
      </c>
      <c r="H418" s="5">
        <f ca="1">LOOKUP($E418,frequence!$A$2:$A$35,frequence!M$2:M$35)</f>
        <v>226.95522031937912</v>
      </c>
      <c r="I418" s="5">
        <v>1995</v>
      </c>
      <c r="J418" s="7">
        <f>LOOKUP(I418,CPI!A$69:A$103,CPI!O$69:O$103)</f>
        <v>1.4308136482939633</v>
      </c>
      <c r="K418" s="18">
        <v>2010</v>
      </c>
      <c r="L418" s="7">
        <f t="shared" ca="1" si="281"/>
        <v>1</v>
      </c>
      <c r="M418" s="7">
        <f t="shared" si="291"/>
        <v>0.20909090909090911</v>
      </c>
      <c r="N418" s="14">
        <f t="shared" si="289"/>
        <v>3.0303030303030304E-2</v>
      </c>
      <c r="O418" s="1">
        <f ca="1">P418*J418*(1+Growth!G$6)^(2010-K418)</f>
        <v>105.1648031496063</v>
      </c>
      <c r="P418" s="3">
        <v>73.5</v>
      </c>
      <c r="Q418" s="2">
        <f t="shared" si="148"/>
        <v>73.5</v>
      </c>
      <c r="R418" s="21">
        <f t="shared" ca="1" si="282"/>
        <v>11059.635821495443</v>
      </c>
      <c r="X418" s="2">
        <f t="shared" si="287"/>
        <v>73.5</v>
      </c>
      <c r="AC418" s="1">
        <f t="shared" si="290"/>
        <v>6.9</v>
      </c>
      <c r="AD418" s="5">
        <v>1</v>
      </c>
      <c r="AE418" s="5">
        <v>0</v>
      </c>
      <c r="AF418" s="5">
        <v>1</v>
      </c>
      <c r="AG418" s="5">
        <v>1</v>
      </c>
      <c r="AH418" s="5">
        <v>1</v>
      </c>
      <c r="AI418" s="3">
        <f t="shared" si="277"/>
        <v>2.9</v>
      </c>
      <c r="AJ418" s="5">
        <f t="shared" si="295"/>
        <v>0</v>
      </c>
      <c r="AK418" s="5">
        <f t="shared" si="283"/>
        <v>0</v>
      </c>
      <c r="AL418" s="5">
        <f t="shared" si="284"/>
        <v>0</v>
      </c>
      <c r="AM418" s="5">
        <f t="shared" si="296"/>
        <v>0</v>
      </c>
      <c r="AN418" s="5">
        <f t="shared" si="285"/>
        <v>0</v>
      </c>
      <c r="AO418" s="5">
        <f t="shared" si="297"/>
        <v>1</v>
      </c>
      <c r="AP418" s="11" t="s">
        <v>42</v>
      </c>
      <c r="AQ418" s="1">
        <v>0</v>
      </c>
      <c r="AR418" s="5">
        <v>1</v>
      </c>
      <c r="AS418" s="5">
        <v>1</v>
      </c>
      <c r="AT418" s="5">
        <v>0</v>
      </c>
      <c r="AU418" s="5">
        <v>0</v>
      </c>
      <c r="AV418" s="5">
        <v>0</v>
      </c>
      <c r="AW418" s="5">
        <v>0</v>
      </c>
      <c r="AX418" s="5">
        <v>1</v>
      </c>
      <c r="AY418" s="1">
        <f t="shared" si="262"/>
        <v>0</v>
      </c>
      <c r="AZ418" s="1">
        <f t="shared" si="263"/>
        <v>0</v>
      </c>
      <c r="BA418" s="1">
        <f t="shared" si="264"/>
        <v>0</v>
      </c>
      <c r="BB418" s="5">
        <v>0</v>
      </c>
      <c r="BC418" s="5">
        <v>0</v>
      </c>
      <c r="BD418" s="5">
        <v>1</v>
      </c>
      <c r="BE418" s="5">
        <f t="shared" si="288"/>
        <v>0</v>
      </c>
      <c r="BF418" s="5">
        <v>0</v>
      </c>
      <c r="BG418" s="5">
        <f t="shared" si="294"/>
        <v>0</v>
      </c>
      <c r="BH418" s="5">
        <f t="shared" si="294"/>
        <v>0</v>
      </c>
      <c r="BI418" s="5">
        <f t="shared" si="294"/>
        <v>0</v>
      </c>
      <c r="BJ418" s="5">
        <f t="shared" si="294"/>
        <v>0</v>
      </c>
      <c r="BK418" s="5">
        <f t="shared" si="294"/>
        <v>0</v>
      </c>
      <c r="BL418" s="5">
        <f t="shared" si="294"/>
        <v>0</v>
      </c>
      <c r="BM418" s="5">
        <f t="shared" si="294"/>
        <v>0</v>
      </c>
      <c r="BN418" s="5">
        <f t="shared" si="294"/>
        <v>0</v>
      </c>
      <c r="BO418" s="5">
        <f t="shared" si="293"/>
        <v>0</v>
      </c>
      <c r="BP418" s="5">
        <f t="shared" si="293"/>
        <v>0</v>
      </c>
      <c r="BQ418" s="5">
        <f t="shared" si="293"/>
        <v>0</v>
      </c>
      <c r="BR418" s="5">
        <f t="shared" si="293"/>
        <v>0</v>
      </c>
      <c r="BS418" s="5">
        <f t="shared" si="293"/>
        <v>0</v>
      </c>
      <c r="BT418" s="5">
        <f t="shared" si="293"/>
        <v>0</v>
      </c>
      <c r="BU418" s="5">
        <f t="shared" si="293"/>
        <v>0</v>
      </c>
      <c r="BV418" s="5">
        <f t="shared" si="293"/>
        <v>0</v>
      </c>
      <c r="BW418" s="5">
        <f t="shared" si="293"/>
        <v>0</v>
      </c>
      <c r="BX418" s="5">
        <f t="shared" si="293"/>
        <v>0</v>
      </c>
      <c r="BY418" s="5">
        <f t="shared" si="293"/>
        <v>1</v>
      </c>
      <c r="BZ418" s="5">
        <f t="shared" si="293"/>
        <v>0</v>
      </c>
      <c r="CA418" s="5">
        <f t="shared" si="293"/>
        <v>0</v>
      </c>
      <c r="CB418" s="5">
        <f t="shared" si="292"/>
        <v>0</v>
      </c>
      <c r="CC418" s="5">
        <f t="shared" si="292"/>
        <v>0</v>
      </c>
      <c r="CD418" s="5">
        <f t="shared" si="292"/>
        <v>0</v>
      </c>
      <c r="CE418" s="5">
        <f t="shared" si="292"/>
        <v>0</v>
      </c>
    </row>
    <row r="419" spans="3:83" x14ac:dyDescent="0.2">
      <c r="C419" s="1">
        <f>Growth!D424</f>
        <v>0</v>
      </c>
      <c r="D419" s="5" t="b">
        <f t="shared" si="280"/>
        <v>0</v>
      </c>
      <c r="E419" s="5">
        <v>2009</v>
      </c>
      <c r="F419" s="5">
        <f ca="1">LOOKUP($E419,frequence!$A$2:$A$35,frequence!L$2:L$35)</f>
        <v>37.435381616951773</v>
      </c>
      <c r="G419" s="5">
        <f ca="1">LOOKUP($E419,frequence!$A$2:$A$35,frequence!K$2:K$35)</f>
        <v>3.3073014644850907</v>
      </c>
      <c r="H419" s="5">
        <f ca="1">LOOKUP($E419,frequence!$A$2:$A$35,frequence!M$2:M$35)</f>
        <v>226.95522031937912</v>
      </c>
      <c r="I419" s="5">
        <v>1995</v>
      </c>
      <c r="J419" s="7">
        <f>LOOKUP(I419,CPI!A$69:A$103,CPI!O$69:O$103)</f>
        <v>1.4308136482939633</v>
      </c>
      <c r="K419" s="18">
        <v>2010</v>
      </c>
      <c r="L419" s="7">
        <f t="shared" ca="1" si="281"/>
        <v>1</v>
      </c>
      <c r="M419" s="7">
        <f t="shared" si="291"/>
        <v>0.20909090909090911</v>
      </c>
      <c r="N419" s="14">
        <f t="shared" si="289"/>
        <v>3.0303030303030304E-2</v>
      </c>
      <c r="O419" s="1">
        <f ca="1">P419*J419*(1+Growth!G$6)^(2010-K419)</f>
        <v>37.487317585301838</v>
      </c>
      <c r="P419" s="3">
        <v>26.2</v>
      </c>
      <c r="Q419" s="2">
        <f t="shared" si="148"/>
        <v>26.2</v>
      </c>
      <c r="R419" s="21">
        <f t="shared" ca="1" si="282"/>
        <v>1405.2989797412804</v>
      </c>
      <c r="X419" s="2">
        <f t="shared" si="287"/>
        <v>26.2</v>
      </c>
      <c r="AC419" s="1">
        <f t="shared" si="290"/>
        <v>6.9</v>
      </c>
      <c r="AD419" s="5">
        <v>1</v>
      </c>
      <c r="AE419" s="5">
        <v>0</v>
      </c>
      <c r="AF419" s="5">
        <v>1</v>
      </c>
      <c r="AG419" s="5">
        <v>1</v>
      </c>
      <c r="AH419" s="5">
        <v>1</v>
      </c>
      <c r="AI419" s="3">
        <f t="shared" si="277"/>
        <v>2.9</v>
      </c>
      <c r="AJ419" s="5">
        <f t="shared" si="295"/>
        <v>0</v>
      </c>
      <c r="AK419" s="5">
        <f t="shared" si="283"/>
        <v>0</v>
      </c>
      <c r="AL419" s="5">
        <f t="shared" si="284"/>
        <v>0</v>
      </c>
      <c r="AM419" s="5">
        <f t="shared" si="296"/>
        <v>0</v>
      </c>
      <c r="AN419" s="5">
        <f t="shared" si="285"/>
        <v>0</v>
      </c>
      <c r="AO419" s="5">
        <f t="shared" si="297"/>
        <v>1</v>
      </c>
      <c r="AP419" s="11" t="s">
        <v>42</v>
      </c>
      <c r="AQ419" s="1">
        <v>0</v>
      </c>
      <c r="AR419" s="5">
        <v>1</v>
      </c>
      <c r="AS419" s="5">
        <v>1</v>
      </c>
      <c r="AT419" s="5">
        <v>0</v>
      </c>
      <c r="AU419" s="5">
        <v>0</v>
      </c>
      <c r="AV419" s="5">
        <v>0</v>
      </c>
      <c r="AW419" s="5">
        <v>0</v>
      </c>
      <c r="AX419" s="5">
        <v>1</v>
      </c>
      <c r="AY419" s="1">
        <f t="shared" si="262"/>
        <v>0</v>
      </c>
      <c r="AZ419" s="1">
        <f t="shared" si="263"/>
        <v>0</v>
      </c>
      <c r="BA419" s="1">
        <f t="shared" si="264"/>
        <v>0</v>
      </c>
      <c r="BB419" s="5">
        <v>0</v>
      </c>
      <c r="BC419" s="5">
        <v>0</v>
      </c>
      <c r="BD419" s="5">
        <v>1</v>
      </c>
      <c r="BE419" s="5">
        <f t="shared" si="288"/>
        <v>0</v>
      </c>
      <c r="BF419" s="5">
        <v>0</v>
      </c>
      <c r="BG419" s="5">
        <f t="shared" si="294"/>
        <v>0</v>
      </c>
      <c r="BH419" s="5">
        <f t="shared" si="294"/>
        <v>0</v>
      </c>
      <c r="BI419" s="5">
        <f t="shared" si="294"/>
        <v>0</v>
      </c>
      <c r="BJ419" s="5">
        <f t="shared" si="294"/>
        <v>0</v>
      </c>
      <c r="BK419" s="5">
        <f t="shared" si="294"/>
        <v>0</v>
      </c>
      <c r="BL419" s="5">
        <f t="shared" si="294"/>
        <v>0</v>
      </c>
      <c r="BM419" s="5">
        <f t="shared" si="294"/>
        <v>0</v>
      </c>
      <c r="BN419" s="5">
        <f t="shared" si="294"/>
        <v>0</v>
      </c>
      <c r="BO419" s="5">
        <f t="shared" si="293"/>
        <v>0</v>
      </c>
      <c r="BP419" s="5">
        <f t="shared" si="293"/>
        <v>0</v>
      </c>
      <c r="BQ419" s="5">
        <f t="shared" si="293"/>
        <v>0</v>
      </c>
      <c r="BR419" s="5">
        <f t="shared" si="293"/>
        <v>0</v>
      </c>
      <c r="BS419" s="5">
        <f t="shared" si="293"/>
        <v>0</v>
      </c>
      <c r="BT419" s="5">
        <f t="shared" si="293"/>
        <v>0</v>
      </c>
      <c r="BU419" s="5">
        <f t="shared" si="293"/>
        <v>0</v>
      </c>
      <c r="BV419" s="5">
        <f t="shared" si="293"/>
        <v>0</v>
      </c>
      <c r="BW419" s="5">
        <f t="shared" si="293"/>
        <v>0</v>
      </c>
      <c r="BX419" s="5">
        <f t="shared" si="293"/>
        <v>0</v>
      </c>
      <c r="BY419" s="5">
        <f t="shared" si="293"/>
        <v>1</v>
      </c>
      <c r="BZ419" s="5">
        <f t="shared" si="293"/>
        <v>0</v>
      </c>
      <c r="CA419" s="5">
        <f t="shared" si="293"/>
        <v>0</v>
      </c>
      <c r="CB419" s="5">
        <f t="shared" si="292"/>
        <v>0</v>
      </c>
      <c r="CC419" s="5">
        <f t="shared" si="292"/>
        <v>0</v>
      </c>
      <c r="CD419" s="5">
        <f t="shared" si="292"/>
        <v>0</v>
      </c>
      <c r="CE419" s="5">
        <f t="shared" si="292"/>
        <v>0</v>
      </c>
    </row>
    <row r="420" spans="3:83" x14ac:dyDescent="0.2">
      <c r="C420" s="1">
        <f>Growth!D425</f>
        <v>0</v>
      </c>
      <c r="D420" s="5" t="b">
        <f t="shared" si="280"/>
        <v>0</v>
      </c>
      <c r="E420" s="5">
        <v>2009</v>
      </c>
      <c r="F420" s="5">
        <f ca="1">LOOKUP($E420,frequence!$A$2:$A$35,frequence!L$2:L$35)</f>
        <v>37.435381616951773</v>
      </c>
      <c r="G420" s="5">
        <f ca="1">LOOKUP($E420,frequence!$A$2:$A$35,frequence!K$2:K$35)</f>
        <v>3.3073014644850907</v>
      </c>
      <c r="H420" s="5">
        <f ca="1">LOOKUP($E420,frequence!$A$2:$A$35,frequence!M$2:M$35)</f>
        <v>226.95522031937912</v>
      </c>
      <c r="I420" s="5">
        <v>1995</v>
      </c>
      <c r="J420" s="7">
        <f>LOOKUP(I420,CPI!A$69:A$103,CPI!O$69:O$103)</f>
        <v>1.4308136482939633</v>
      </c>
      <c r="K420" s="18">
        <v>2010</v>
      </c>
      <c r="L420" s="7">
        <f t="shared" ca="1" si="281"/>
        <v>1</v>
      </c>
      <c r="M420" s="7">
        <f t="shared" si="291"/>
        <v>0.20909090909090911</v>
      </c>
      <c r="N420" s="14">
        <f t="shared" si="289"/>
        <v>3.0303030303030304E-2</v>
      </c>
      <c r="O420" s="1">
        <f ca="1">P420*J420*(1+Growth!G$6)^(2010-K420)</f>
        <v>184.00263517060367</v>
      </c>
      <c r="P420" s="3">
        <v>128.6</v>
      </c>
      <c r="Q420" s="2">
        <f t="shared" si="148"/>
        <v>128.6</v>
      </c>
      <c r="R420" s="21">
        <f t="shared" ca="1" si="282"/>
        <v>33856.969749726275</v>
      </c>
      <c r="X420" s="2">
        <f t="shared" si="287"/>
        <v>128.6</v>
      </c>
      <c r="AC420" s="1">
        <f t="shared" si="290"/>
        <v>6.9</v>
      </c>
      <c r="AD420" s="5">
        <v>1</v>
      </c>
      <c r="AE420" s="5">
        <v>0</v>
      </c>
      <c r="AF420" s="5">
        <v>1</v>
      </c>
      <c r="AG420" s="5">
        <v>1</v>
      </c>
      <c r="AH420" s="5">
        <v>1</v>
      </c>
      <c r="AI420" s="3">
        <f t="shared" si="277"/>
        <v>2.9</v>
      </c>
      <c r="AJ420" s="5">
        <f t="shared" si="295"/>
        <v>0</v>
      </c>
      <c r="AK420" s="5">
        <f t="shared" si="283"/>
        <v>0</v>
      </c>
      <c r="AL420" s="5">
        <f t="shared" si="284"/>
        <v>0</v>
      </c>
      <c r="AM420" s="5">
        <f t="shared" si="296"/>
        <v>0</v>
      </c>
      <c r="AN420" s="5">
        <f t="shared" si="285"/>
        <v>0</v>
      </c>
      <c r="AO420" s="5">
        <f t="shared" si="297"/>
        <v>1</v>
      </c>
      <c r="AP420" s="11" t="s">
        <v>42</v>
      </c>
      <c r="AQ420" s="1">
        <v>0</v>
      </c>
      <c r="AR420" s="5">
        <v>1</v>
      </c>
      <c r="AS420" s="5">
        <v>1</v>
      </c>
      <c r="AT420" s="5">
        <v>0</v>
      </c>
      <c r="AU420" s="5">
        <v>0</v>
      </c>
      <c r="AV420" s="5">
        <v>0</v>
      </c>
      <c r="AW420" s="5">
        <v>0</v>
      </c>
      <c r="AX420" s="5">
        <v>1</v>
      </c>
      <c r="AY420" s="1">
        <f t="shared" ref="AY420:AY477" si="298">AJ420*$AD420*(1-$AV420)*(1-$AR420)</f>
        <v>0</v>
      </c>
      <c r="AZ420" s="1">
        <f t="shared" ref="AZ420:AZ477" si="299">AM420*$AD420*(1-$AV420)*(1-$AR420)</f>
        <v>0</v>
      </c>
      <c r="BA420" s="1">
        <f t="shared" ref="BA420:BA477" si="300">AO420*$AD420*(1-$AV420)*(1-$AR420)</f>
        <v>0</v>
      </c>
      <c r="BB420" s="5">
        <v>0</v>
      </c>
      <c r="BC420" s="5">
        <v>0</v>
      </c>
      <c r="BD420" s="5">
        <v>1</v>
      </c>
      <c r="BE420" s="5">
        <f t="shared" si="288"/>
        <v>0</v>
      </c>
      <c r="BF420" s="5">
        <v>0</v>
      </c>
      <c r="BG420" s="5">
        <f t="shared" si="294"/>
        <v>0</v>
      </c>
      <c r="BH420" s="5">
        <f t="shared" si="294"/>
        <v>0</v>
      </c>
      <c r="BI420" s="5">
        <f t="shared" si="294"/>
        <v>0</v>
      </c>
      <c r="BJ420" s="5">
        <f t="shared" si="294"/>
        <v>0</v>
      </c>
      <c r="BK420" s="5">
        <f t="shared" si="294"/>
        <v>0</v>
      </c>
      <c r="BL420" s="5">
        <f t="shared" si="294"/>
        <v>0</v>
      </c>
      <c r="BM420" s="5">
        <f t="shared" si="294"/>
        <v>0</v>
      </c>
      <c r="BN420" s="5">
        <f t="shared" ref="BN420:CB435" si="301">IF($E420=BN$2,1,0)</f>
        <v>0</v>
      </c>
      <c r="BO420" s="5">
        <f t="shared" si="301"/>
        <v>0</v>
      </c>
      <c r="BP420" s="5">
        <f t="shared" si="301"/>
        <v>0</v>
      </c>
      <c r="BQ420" s="5">
        <f t="shared" si="301"/>
        <v>0</v>
      </c>
      <c r="BR420" s="5">
        <f t="shared" si="301"/>
        <v>0</v>
      </c>
      <c r="BS420" s="5">
        <f t="shared" si="301"/>
        <v>0</v>
      </c>
      <c r="BT420" s="5">
        <f t="shared" si="301"/>
        <v>0</v>
      </c>
      <c r="BU420" s="5">
        <f t="shared" si="301"/>
        <v>0</v>
      </c>
      <c r="BV420" s="5">
        <f t="shared" si="301"/>
        <v>0</v>
      </c>
      <c r="BW420" s="5">
        <f t="shared" si="301"/>
        <v>0</v>
      </c>
      <c r="BX420" s="5">
        <f t="shared" si="301"/>
        <v>0</v>
      </c>
      <c r="BY420" s="5">
        <f t="shared" si="301"/>
        <v>1</v>
      </c>
      <c r="BZ420" s="5">
        <f t="shared" si="301"/>
        <v>0</v>
      </c>
      <c r="CA420" s="5">
        <f t="shared" si="301"/>
        <v>0</v>
      </c>
      <c r="CB420" s="5">
        <f t="shared" si="292"/>
        <v>0</v>
      </c>
      <c r="CC420" s="5">
        <f t="shared" si="292"/>
        <v>0</v>
      </c>
      <c r="CD420" s="5">
        <f t="shared" si="292"/>
        <v>0</v>
      </c>
      <c r="CE420" s="5">
        <f t="shared" si="292"/>
        <v>0</v>
      </c>
    </row>
    <row r="421" spans="3:83" x14ac:dyDescent="0.2">
      <c r="C421" s="1">
        <f>Growth!D426</f>
        <v>0</v>
      </c>
      <c r="D421" s="5" t="b">
        <f t="shared" si="280"/>
        <v>0</v>
      </c>
      <c r="E421" s="5">
        <v>2009</v>
      </c>
      <c r="F421" s="5">
        <f ca="1">LOOKUP($E421,frequence!$A$2:$A$35,frequence!L$2:L$35)</f>
        <v>37.435381616951773</v>
      </c>
      <c r="G421" s="5">
        <f ca="1">LOOKUP($E421,frequence!$A$2:$A$35,frequence!K$2:K$35)</f>
        <v>3.3073014644850907</v>
      </c>
      <c r="H421" s="5">
        <f ca="1">LOOKUP($E421,frequence!$A$2:$A$35,frequence!M$2:M$35)</f>
        <v>226.95522031937912</v>
      </c>
      <c r="I421" s="5">
        <v>1995</v>
      </c>
      <c r="J421" s="7">
        <f>LOOKUP(I421,CPI!A$69:A$103,CPI!O$69:O$103)</f>
        <v>1.4308136482939633</v>
      </c>
      <c r="K421" s="18">
        <v>2010</v>
      </c>
      <c r="L421" s="7">
        <f t="shared" ca="1" si="281"/>
        <v>1</v>
      </c>
      <c r="M421" s="7">
        <f t="shared" si="291"/>
        <v>0.20909090909090911</v>
      </c>
      <c r="N421" s="14">
        <f t="shared" si="289"/>
        <v>3.0303030303030304E-2</v>
      </c>
      <c r="O421" s="1">
        <f ca="1">P421*J421*(1+Growth!G$6)^(2010-K421)</f>
        <v>17.455926509186352</v>
      </c>
      <c r="P421" s="3">
        <v>12.2</v>
      </c>
      <c r="Q421" s="2">
        <f t="shared" si="148"/>
        <v>12.2</v>
      </c>
      <c r="R421" s="21">
        <f t="shared" ca="1" si="282"/>
        <v>304.70937029411482</v>
      </c>
      <c r="X421" s="2">
        <f t="shared" si="287"/>
        <v>12.2</v>
      </c>
      <c r="AC421" s="1">
        <f t="shared" si="290"/>
        <v>6.9</v>
      </c>
      <c r="AD421" s="5">
        <v>1</v>
      </c>
      <c r="AE421" s="5">
        <v>0</v>
      </c>
      <c r="AF421" s="5">
        <v>1</v>
      </c>
      <c r="AG421" s="5">
        <v>1</v>
      </c>
      <c r="AH421" s="5">
        <v>1</v>
      </c>
      <c r="AI421" s="3">
        <f t="shared" si="277"/>
        <v>2.9</v>
      </c>
      <c r="AJ421" s="5">
        <f t="shared" si="295"/>
        <v>0</v>
      </c>
      <c r="AK421" s="5">
        <f t="shared" si="283"/>
        <v>0</v>
      </c>
      <c r="AL421" s="5">
        <f t="shared" si="284"/>
        <v>0</v>
      </c>
      <c r="AM421" s="5">
        <f t="shared" si="296"/>
        <v>0</v>
      </c>
      <c r="AN421" s="5">
        <f t="shared" si="285"/>
        <v>0</v>
      </c>
      <c r="AO421" s="5">
        <f t="shared" si="297"/>
        <v>1</v>
      </c>
      <c r="AP421" s="11" t="s">
        <v>42</v>
      </c>
      <c r="AQ421" s="1">
        <v>0</v>
      </c>
      <c r="AR421" s="5">
        <v>1</v>
      </c>
      <c r="AS421" s="5">
        <v>1</v>
      </c>
      <c r="AT421" s="5">
        <v>0</v>
      </c>
      <c r="AU421" s="5">
        <v>0</v>
      </c>
      <c r="AV421" s="5">
        <v>0</v>
      </c>
      <c r="AW421" s="5">
        <v>0</v>
      </c>
      <c r="AX421" s="5">
        <v>1</v>
      </c>
      <c r="AY421" s="1">
        <f t="shared" si="298"/>
        <v>0</v>
      </c>
      <c r="AZ421" s="1">
        <f t="shared" si="299"/>
        <v>0</v>
      </c>
      <c r="BA421" s="1">
        <f t="shared" si="300"/>
        <v>0</v>
      </c>
      <c r="BB421" s="5">
        <v>0</v>
      </c>
      <c r="BC421" s="5">
        <v>0</v>
      </c>
      <c r="BD421" s="5">
        <v>1</v>
      </c>
      <c r="BE421" s="5">
        <f t="shared" si="288"/>
        <v>0</v>
      </c>
      <c r="BF421" s="5">
        <v>0</v>
      </c>
      <c r="BG421" s="5">
        <f t="shared" ref="BG421:BN436" si="302">IF($E421=BG$2,1,0)</f>
        <v>0</v>
      </c>
      <c r="BH421" s="5">
        <f t="shared" si="302"/>
        <v>0</v>
      </c>
      <c r="BI421" s="5">
        <f t="shared" si="302"/>
        <v>0</v>
      </c>
      <c r="BJ421" s="5">
        <f t="shared" si="302"/>
        <v>0</v>
      </c>
      <c r="BK421" s="5">
        <f t="shared" si="302"/>
        <v>0</v>
      </c>
      <c r="BL421" s="5">
        <f t="shared" si="302"/>
        <v>0</v>
      </c>
      <c r="BM421" s="5">
        <f t="shared" si="302"/>
        <v>0</v>
      </c>
      <c r="BN421" s="5">
        <f t="shared" si="301"/>
        <v>0</v>
      </c>
      <c r="BO421" s="5">
        <f t="shared" si="301"/>
        <v>0</v>
      </c>
      <c r="BP421" s="5">
        <f t="shared" si="301"/>
        <v>0</v>
      </c>
      <c r="BQ421" s="5">
        <f t="shared" si="301"/>
        <v>0</v>
      </c>
      <c r="BR421" s="5">
        <f t="shared" si="301"/>
        <v>0</v>
      </c>
      <c r="BS421" s="5">
        <f t="shared" si="301"/>
        <v>0</v>
      </c>
      <c r="BT421" s="5">
        <f t="shared" si="301"/>
        <v>0</v>
      </c>
      <c r="BU421" s="5">
        <f t="shared" si="301"/>
        <v>0</v>
      </c>
      <c r="BV421" s="5">
        <f t="shared" si="301"/>
        <v>0</v>
      </c>
      <c r="BW421" s="5">
        <f t="shared" si="301"/>
        <v>0</v>
      </c>
      <c r="BX421" s="5">
        <f t="shared" si="301"/>
        <v>0</v>
      </c>
      <c r="BY421" s="5">
        <f t="shared" si="301"/>
        <v>1</v>
      </c>
      <c r="BZ421" s="5">
        <f t="shared" si="301"/>
        <v>0</v>
      </c>
      <c r="CA421" s="5">
        <f t="shared" si="301"/>
        <v>0</v>
      </c>
      <c r="CB421" s="5">
        <f t="shared" si="292"/>
        <v>0</v>
      </c>
      <c r="CC421" s="5">
        <f t="shared" si="292"/>
        <v>0</v>
      </c>
      <c r="CD421" s="5">
        <f t="shared" si="292"/>
        <v>0</v>
      </c>
      <c r="CE421" s="5">
        <f t="shared" si="292"/>
        <v>0</v>
      </c>
    </row>
    <row r="422" spans="3:83" x14ac:dyDescent="0.2">
      <c r="C422" s="1">
        <f>Growth!D427</f>
        <v>0</v>
      </c>
      <c r="D422" s="5" t="b">
        <f t="shared" si="280"/>
        <v>0</v>
      </c>
      <c r="E422" s="5">
        <v>2009</v>
      </c>
      <c r="F422" s="5">
        <f ca="1">LOOKUP($E422,frequence!$A$2:$A$35,frequence!L$2:L$35)</f>
        <v>37.435381616951773</v>
      </c>
      <c r="G422" s="5">
        <f ca="1">LOOKUP($E422,frequence!$A$2:$A$35,frequence!K$2:K$35)</f>
        <v>3.3073014644850907</v>
      </c>
      <c r="H422" s="5">
        <f ca="1">LOOKUP($E422,frequence!$A$2:$A$35,frequence!M$2:M$35)</f>
        <v>226.95522031937912</v>
      </c>
      <c r="I422" s="5">
        <v>1995</v>
      </c>
      <c r="J422" s="7">
        <f>LOOKUP(I422,CPI!A$69:A$103,CPI!O$69:O$103)</f>
        <v>1.4308136482939633</v>
      </c>
      <c r="K422" s="18">
        <v>2010</v>
      </c>
      <c r="L422" s="7">
        <f t="shared" ca="1" si="281"/>
        <v>1</v>
      </c>
      <c r="M422" s="7">
        <f t="shared" si="291"/>
        <v>0.20909090909090911</v>
      </c>
      <c r="N422" s="14">
        <f t="shared" si="289"/>
        <v>3.0303030303030304E-2</v>
      </c>
      <c r="O422" s="1">
        <f ca="1">P422*J422*(1+Growth!G$6)^(2010-K422)</f>
        <v>92.859805774278229</v>
      </c>
      <c r="P422" s="3">
        <v>64.900000000000006</v>
      </c>
      <c r="Q422" s="2">
        <f t="shared" si="148"/>
        <v>64.900000000000006</v>
      </c>
      <c r="R422" s="21">
        <f t="shared" ca="1" si="282"/>
        <v>8622.9435284366755</v>
      </c>
      <c r="X422" s="2">
        <f t="shared" si="287"/>
        <v>64.900000000000006</v>
      </c>
      <c r="AC422" s="1">
        <f t="shared" si="290"/>
        <v>6.9</v>
      </c>
      <c r="AD422" s="5">
        <v>1</v>
      </c>
      <c r="AE422" s="5">
        <v>0</v>
      </c>
      <c r="AF422" s="5">
        <v>1</v>
      </c>
      <c r="AG422" s="5">
        <v>1</v>
      </c>
      <c r="AH422" s="5">
        <v>1</v>
      </c>
      <c r="AI422" s="3">
        <f t="shared" si="277"/>
        <v>2.9</v>
      </c>
      <c r="AJ422" s="5">
        <f t="shared" si="295"/>
        <v>0</v>
      </c>
      <c r="AK422" s="5">
        <f t="shared" si="283"/>
        <v>0</v>
      </c>
      <c r="AL422" s="5">
        <f t="shared" si="284"/>
        <v>0</v>
      </c>
      <c r="AM422" s="5">
        <f t="shared" si="296"/>
        <v>0</v>
      </c>
      <c r="AN422" s="5">
        <f t="shared" si="285"/>
        <v>0</v>
      </c>
      <c r="AO422" s="5">
        <f t="shared" si="297"/>
        <v>1</v>
      </c>
      <c r="AP422" s="11" t="s">
        <v>42</v>
      </c>
      <c r="AQ422" s="1">
        <v>0</v>
      </c>
      <c r="AR422" s="5">
        <v>1</v>
      </c>
      <c r="AS422" s="5">
        <v>1</v>
      </c>
      <c r="AT422" s="5">
        <v>0</v>
      </c>
      <c r="AU422" s="5">
        <v>0</v>
      </c>
      <c r="AV422" s="5">
        <v>0</v>
      </c>
      <c r="AW422" s="5">
        <v>0</v>
      </c>
      <c r="AX422" s="5">
        <v>1</v>
      </c>
      <c r="AY422" s="1">
        <f t="shared" si="298"/>
        <v>0</v>
      </c>
      <c r="AZ422" s="1">
        <f t="shared" si="299"/>
        <v>0</v>
      </c>
      <c r="BA422" s="1">
        <f t="shared" si="300"/>
        <v>0</v>
      </c>
      <c r="BB422" s="5">
        <v>0</v>
      </c>
      <c r="BC422" s="5">
        <v>0</v>
      </c>
      <c r="BD422" s="5">
        <v>1</v>
      </c>
      <c r="BE422" s="5">
        <f t="shared" si="288"/>
        <v>0</v>
      </c>
      <c r="BF422" s="5">
        <v>0</v>
      </c>
      <c r="BG422" s="5">
        <f t="shared" si="302"/>
        <v>0</v>
      </c>
      <c r="BH422" s="5">
        <f t="shared" si="302"/>
        <v>0</v>
      </c>
      <c r="BI422" s="5">
        <f t="shared" si="302"/>
        <v>0</v>
      </c>
      <c r="BJ422" s="5">
        <f t="shared" si="302"/>
        <v>0</v>
      </c>
      <c r="BK422" s="5">
        <f t="shared" si="302"/>
        <v>0</v>
      </c>
      <c r="BL422" s="5">
        <f t="shared" si="302"/>
        <v>0</v>
      </c>
      <c r="BM422" s="5">
        <f t="shared" si="302"/>
        <v>0</v>
      </c>
      <c r="BN422" s="5">
        <f t="shared" si="301"/>
        <v>0</v>
      </c>
      <c r="BO422" s="5">
        <f t="shared" si="301"/>
        <v>0</v>
      </c>
      <c r="BP422" s="5">
        <f t="shared" si="301"/>
        <v>0</v>
      </c>
      <c r="BQ422" s="5">
        <f t="shared" si="301"/>
        <v>0</v>
      </c>
      <c r="BR422" s="5">
        <f t="shared" si="301"/>
        <v>0</v>
      </c>
      <c r="BS422" s="5">
        <f t="shared" si="301"/>
        <v>0</v>
      </c>
      <c r="BT422" s="5">
        <f t="shared" si="301"/>
        <v>0</v>
      </c>
      <c r="BU422" s="5">
        <f t="shared" si="301"/>
        <v>0</v>
      </c>
      <c r="BV422" s="5">
        <f t="shared" si="301"/>
        <v>0</v>
      </c>
      <c r="BW422" s="5">
        <f t="shared" si="301"/>
        <v>0</v>
      </c>
      <c r="BX422" s="5">
        <f t="shared" si="301"/>
        <v>0</v>
      </c>
      <c r="BY422" s="5">
        <f t="shared" si="301"/>
        <v>1</v>
      </c>
      <c r="BZ422" s="5">
        <f t="shared" si="301"/>
        <v>0</v>
      </c>
      <c r="CA422" s="5">
        <f t="shared" si="301"/>
        <v>0</v>
      </c>
      <c r="CB422" s="5">
        <f t="shared" si="292"/>
        <v>0</v>
      </c>
      <c r="CC422" s="5">
        <f t="shared" si="292"/>
        <v>0</v>
      </c>
      <c r="CD422" s="5">
        <f t="shared" si="292"/>
        <v>0</v>
      </c>
      <c r="CE422" s="5">
        <f t="shared" si="292"/>
        <v>0</v>
      </c>
    </row>
    <row r="423" spans="3:83" x14ac:dyDescent="0.2">
      <c r="C423" s="1">
        <f>Growth!D428</f>
        <v>0</v>
      </c>
      <c r="D423" s="5" t="b">
        <f t="shared" si="280"/>
        <v>0</v>
      </c>
      <c r="E423" s="5">
        <v>2009</v>
      </c>
      <c r="F423" s="5">
        <f ca="1">LOOKUP($E423,frequence!$A$2:$A$35,frequence!L$2:L$35)</f>
        <v>37.435381616951773</v>
      </c>
      <c r="G423" s="5">
        <f ca="1">LOOKUP($E423,frequence!$A$2:$A$35,frequence!K$2:K$35)</f>
        <v>3.3073014644850907</v>
      </c>
      <c r="H423" s="5">
        <f ca="1">LOOKUP($E423,frequence!$A$2:$A$35,frequence!M$2:M$35)</f>
        <v>226.95522031937912</v>
      </c>
      <c r="I423" s="5">
        <v>1995</v>
      </c>
      <c r="J423" s="7">
        <f>LOOKUP(I423,CPI!A$69:A$103,CPI!O$69:O$103)</f>
        <v>1.4308136482939633</v>
      </c>
      <c r="K423" s="18">
        <v>2010</v>
      </c>
      <c r="L423" s="7">
        <f t="shared" ca="1" si="281"/>
        <v>1</v>
      </c>
      <c r="M423" s="7">
        <f t="shared" si="291"/>
        <v>0.20909090909090911</v>
      </c>
      <c r="N423" s="14">
        <f t="shared" si="289"/>
        <v>3.0303030303030304E-2</v>
      </c>
      <c r="O423" s="1">
        <f ca="1">P423*J423*(1+Growth!G$6)^(2010-K423)</f>
        <v>24.466913385826775</v>
      </c>
      <c r="P423" s="3">
        <v>17.100000000000001</v>
      </c>
      <c r="Q423" s="2">
        <f t="shared" si="148"/>
        <v>17.100000000000001</v>
      </c>
      <c r="R423" s="21">
        <f t="shared" ca="1" si="282"/>
        <v>598.62985062954942</v>
      </c>
      <c r="X423" s="2">
        <f t="shared" si="287"/>
        <v>17.100000000000001</v>
      </c>
      <c r="AC423" s="1">
        <f t="shared" si="290"/>
        <v>6.9</v>
      </c>
      <c r="AD423" s="5">
        <v>1</v>
      </c>
      <c r="AE423" s="5">
        <v>0</v>
      </c>
      <c r="AF423" s="5">
        <v>1</v>
      </c>
      <c r="AG423" s="5">
        <v>1</v>
      </c>
      <c r="AH423" s="5">
        <v>1</v>
      </c>
      <c r="AI423" s="3">
        <f t="shared" si="277"/>
        <v>2.9</v>
      </c>
      <c r="AJ423" s="5">
        <f t="shared" si="295"/>
        <v>0</v>
      </c>
      <c r="AK423" s="5">
        <f t="shared" si="283"/>
        <v>0</v>
      </c>
      <c r="AL423" s="5">
        <f t="shared" si="284"/>
        <v>0</v>
      </c>
      <c r="AM423" s="5">
        <f t="shared" si="296"/>
        <v>1</v>
      </c>
      <c r="AN423" s="5">
        <f t="shared" si="285"/>
        <v>0</v>
      </c>
      <c r="AO423" s="5">
        <f t="shared" si="297"/>
        <v>0</v>
      </c>
      <c r="AP423" s="11" t="s">
        <v>42</v>
      </c>
      <c r="AQ423" s="1">
        <v>1</v>
      </c>
      <c r="AR423" s="5">
        <v>1</v>
      </c>
      <c r="AS423" s="5">
        <v>1</v>
      </c>
      <c r="AT423" s="5">
        <v>0</v>
      </c>
      <c r="AU423" s="5">
        <v>0</v>
      </c>
      <c r="AV423" s="5">
        <v>0</v>
      </c>
      <c r="AW423" s="5">
        <v>0</v>
      </c>
      <c r="AX423" s="5">
        <v>1</v>
      </c>
      <c r="AY423" s="1">
        <f t="shared" si="298"/>
        <v>0</v>
      </c>
      <c r="AZ423" s="1">
        <f t="shared" si="299"/>
        <v>0</v>
      </c>
      <c r="BA423" s="1">
        <f t="shared" si="300"/>
        <v>0</v>
      </c>
      <c r="BB423" s="5">
        <v>0</v>
      </c>
      <c r="BC423" s="5">
        <v>0</v>
      </c>
      <c r="BD423" s="5">
        <v>1</v>
      </c>
      <c r="BE423" s="5">
        <f t="shared" si="288"/>
        <v>0</v>
      </c>
      <c r="BF423" s="5">
        <v>0</v>
      </c>
      <c r="BG423" s="5">
        <f t="shared" si="302"/>
        <v>0</v>
      </c>
      <c r="BH423" s="5">
        <f t="shared" si="302"/>
        <v>0</v>
      </c>
      <c r="BI423" s="5">
        <f t="shared" si="302"/>
        <v>0</v>
      </c>
      <c r="BJ423" s="5">
        <f t="shared" si="302"/>
        <v>0</v>
      </c>
      <c r="BK423" s="5">
        <f t="shared" si="302"/>
        <v>0</v>
      </c>
      <c r="BL423" s="5">
        <f t="shared" si="302"/>
        <v>0</v>
      </c>
      <c r="BM423" s="5">
        <f t="shared" si="302"/>
        <v>0</v>
      </c>
      <c r="BN423" s="5">
        <f t="shared" si="301"/>
        <v>0</v>
      </c>
      <c r="BO423" s="5">
        <f t="shared" si="301"/>
        <v>0</v>
      </c>
      <c r="BP423" s="5">
        <f t="shared" si="301"/>
        <v>0</v>
      </c>
      <c r="BQ423" s="5">
        <f t="shared" si="301"/>
        <v>0</v>
      </c>
      <c r="BR423" s="5">
        <f t="shared" si="301"/>
        <v>0</v>
      </c>
      <c r="BS423" s="5">
        <f t="shared" si="301"/>
        <v>0</v>
      </c>
      <c r="BT423" s="5">
        <f t="shared" si="301"/>
        <v>0</v>
      </c>
      <c r="BU423" s="5">
        <f t="shared" si="301"/>
        <v>0</v>
      </c>
      <c r="BV423" s="5">
        <f t="shared" si="301"/>
        <v>0</v>
      </c>
      <c r="BW423" s="5">
        <f t="shared" si="301"/>
        <v>0</v>
      </c>
      <c r="BX423" s="5">
        <f t="shared" si="301"/>
        <v>0</v>
      </c>
      <c r="BY423" s="5">
        <f t="shared" si="301"/>
        <v>1</v>
      </c>
      <c r="BZ423" s="5">
        <f t="shared" si="301"/>
        <v>0</v>
      </c>
      <c r="CA423" s="5">
        <f t="shared" si="301"/>
        <v>0</v>
      </c>
      <c r="CB423" s="5">
        <f t="shared" si="301"/>
        <v>0</v>
      </c>
      <c r="CC423" s="5">
        <f t="shared" ref="CC423:CE442" si="303">IF($E423=CC$2,1,0)</f>
        <v>0</v>
      </c>
      <c r="CD423" s="5">
        <f t="shared" si="303"/>
        <v>0</v>
      </c>
      <c r="CE423" s="5">
        <f t="shared" si="303"/>
        <v>0</v>
      </c>
    </row>
    <row r="424" spans="3:83" x14ac:dyDescent="0.2">
      <c r="C424" s="1">
        <f>Growth!D429</f>
        <v>0</v>
      </c>
      <c r="D424" s="5" t="b">
        <f t="shared" si="280"/>
        <v>0</v>
      </c>
      <c r="E424" s="5">
        <v>2009</v>
      </c>
      <c r="F424" s="5">
        <f ca="1">LOOKUP($E424,frequence!$A$2:$A$35,frequence!L$2:L$35)</f>
        <v>37.435381616951773</v>
      </c>
      <c r="G424" s="5">
        <f ca="1">LOOKUP($E424,frequence!$A$2:$A$35,frequence!K$2:K$35)</f>
        <v>3.3073014644850907</v>
      </c>
      <c r="H424" s="5">
        <f ca="1">LOOKUP($E424,frequence!$A$2:$A$35,frequence!M$2:M$35)</f>
        <v>226.95522031937912</v>
      </c>
      <c r="I424" s="5">
        <v>1995</v>
      </c>
      <c r="J424" s="7">
        <f>LOOKUP(I424,CPI!A$69:A$103,CPI!O$69:O$103)</f>
        <v>1.4308136482939633</v>
      </c>
      <c r="K424" s="18">
        <v>2010</v>
      </c>
      <c r="L424" s="7">
        <f t="shared" ca="1" si="281"/>
        <v>1</v>
      </c>
      <c r="M424" s="7">
        <f t="shared" si="291"/>
        <v>0.20909090909090911</v>
      </c>
      <c r="N424" s="14">
        <f t="shared" si="289"/>
        <v>3.0303030303030304E-2</v>
      </c>
      <c r="O424" s="1">
        <f ca="1">P424*J424*(1+Growth!G$6)^(2010-K424)</f>
        <v>4.8647664041994751</v>
      </c>
      <c r="P424" s="3">
        <v>3.4</v>
      </c>
      <c r="Q424" s="2">
        <f t="shared" si="148"/>
        <v>3.4</v>
      </c>
      <c r="R424" s="21">
        <f t="shared" ca="1" si="282"/>
        <v>23.665952167427893</v>
      </c>
      <c r="X424" s="2">
        <f t="shared" si="287"/>
        <v>3.4</v>
      </c>
      <c r="AC424" s="1">
        <f t="shared" si="290"/>
        <v>6.9</v>
      </c>
      <c r="AD424" s="5">
        <v>1</v>
      </c>
      <c r="AE424" s="5">
        <v>0</v>
      </c>
      <c r="AF424" s="5">
        <v>1</v>
      </c>
      <c r="AG424" s="5">
        <v>1</v>
      </c>
      <c r="AH424" s="5">
        <v>1</v>
      </c>
      <c r="AI424" s="3">
        <f t="shared" si="277"/>
        <v>2.9</v>
      </c>
      <c r="AJ424" s="5">
        <f t="shared" si="295"/>
        <v>0</v>
      </c>
      <c r="AK424" s="5">
        <f t="shared" si="283"/>
        <v>0</v>
      </c>
      <c r="AL424" s="5">
        <f t="shared" si="284"/>
        <v>0</v>
      </c>
      <c r="AM424" s="5">
        <f t="shared" si="296"/>
        <v>1</v>
      </c>
      <c r="AN424" s="5">
        <f t="shared" si="285"/>
        <v>0</v>
      </c>
      <c r="AO424" s="5">
        <f t="shared" si="297"/>
        <v>0</v>
      </c>
      <c r="AP424" s="11" t="s">
        <v>42</v>
      </c>
      <c r="AQ424" s="1">
        <v>1</v>
      </c>
      <c r="AR424" s="5">
        <v>1</v>
      </c>
      <c r="AS424" s="5">
        <v>1</v>
      </c>
      <c r="AT424" s="5">
        <v>0</v>
      </c>
      <c r="AU424" s="5">
        <v>0</v>
      </c>
      <c r="AV424" s="5">
        <v>0</v>
      </c>
      <c r="AW424" s="5">
        <v>0</v>
      </c>
      <c r="AX424" s="5">
        <v>1</v>
      </c>
      <c r="AY424" s="1">
        <f t="shared" si="298"/>
        <v>0</v>
      </c>
      <c r="AZ424" s="1">
        <f t="shared" si="299"/>
        <v>0</v>
      </c>
      <c r="BA424" s="1">
        <f t="shared" si="300"/>
        <v>0</v>
      </c>
      <c r="BB424" s="5">
        <v>0</v>
      </c>
      <c r="BC424" s="5">
        <v>0</v>
      </c>
      <c r="BD424" s="5">
        <v>1</v>
      </c>
      <c r="BE424" s="5">
        <f t="shared" si="288"/>
        <v>0</v>
      </c>
      <c r="BF424" s="5">
        <v>0</v>
      </c>
      <c r="BG424" s="5">
        <f t="shared" si="302"/>
        <v>0</v>
      </c>
      <c r="BH424" s="5">
        <f t="shared" si="302"/>
        <v>0</v>
      </c>
      <c r="BI424" s="5">
        <f t="shared" si="302"/>
        <v>0</v>
      </c>
      <c r="BJ424" s="5">
        <f t="shared" si="302"/>
        <v>0</v>
      </c>
      <c r="BK424" s="5">
        <f t="shared" si="302"/>
        <v>0</v>
      </c>
      <c r="BL424" s="5">
        <f t="shared" si="302"/>
        <v>0</v>
      </c>
      <c r="BM424" s="5">
        <f t="shared" si="302"/>
        <v>0</v>
      </c>
      <c r="BN424" s="5">
        <f t="shared" si="301"/>
        <v>0</v>
      </c>
      <c r="BO424" s="5">
        <f t="shared" si="301"/>
        <v>0</v>
      </c>
      <c r="BP424" s="5">
        <f t="shared" si="301"/>
        <v>0</v>
      </c>
      <c r="BQ424" s="5">
        <f t="shared" si="301"/>
        <v>0</v>
      </c>
      <c r="BR424" s="5">
        <f t="shared" si="301"/>
        <v>0</v>
      </c>
      <c r="BS424" s="5">
        <f t="shared" si="301"/>
        <v>0</v>
      </c>
      <c r="BT424" s="5">
        <f t="shared" si="301"/>
        <v>0</v>
      </c>
      <c r="BU424" s="5">
        <f t="shared" si="301"/>
        <v>0</v>
      </c>
      <c r="BV424" s="5">
        <f t="shared" si="301"/>
        <v>0</v>
      </c>
      <c r="BW424" s="5">
        <f t="shared" si="301"/>
        <v>0</v>
      </c>
      <c r="BX424" s="5">
        <f t="shared" si="301"/>
        <v>0</v>
      </c>
      <c r="BY424" s="5">
        <f t="shared" si="301"/>
        <v>1</v>
      </c>
      <c r="BZ424" s="5">
        <f t="shared" si="301"/>
        <v>0</v>
      </c>
      <c r="CA424" s="5">
        <f t="shared" si="301"/>
        <v>0</v>
      </c>
      <c r="CB424" s="5">
        <f t="shared" si="301"/>
        <v>0</v>
      </c>
      <c r="CC424" s="5">
        <f t="shared" si="303"/>
        <v>0</v>
      </c>
      <c r="CD424" s="5">
        <f t="shared" si="303"/>
        <v>0</v>
      </c>
      <c r="CE424" s="5">
        <f t="shared" si="303"/>
        <v>0</v>
      </c>
    </row>
    <row r="425" spans="3:83" x14ac:dyDescent="0.2">
      <c r="C425" s="1">
        <f>Growth!D430</f>
        <v>0</v>
      </c>
      <c r="D425" s="5" t="b">
        <f t="shared" si="280"/>
        <v>0</v>
      </c>
      <c r="E425" s="5">
        <v>2009</v>
      </c>
      <c r="F425" s="5">
        <f ca="1">LOOKUP($E425,frequence!$A$2:$A$35,frequence!L$2:L$35)</f>
        <v>37.435381616951773</v>
      </c>
      <c r="G425" s="5">
        <f ca="1">LOOKUP($E425,frequence!$A$2:$A$35,frequence!K$2:K$35)</f>
        <v>3.3073014644850907</v>
      </c>
      <c r="H425" s="5">
        <f ca="1">LOOKUP($E425,frequence!$A$2:$A$35,frequence!M$2:M$35)</f>
        <v>226.95522031937912</v>
      </c>
      <c r="I425" s="5">
        <v>1995</v>
      </c>
      <c r="J425" s="7">
        <f>LOOKUP(I425,CPI!A$69:A$103,CPI!O$69:O$103)</f>
        <v>1.4308136482939633</v>
      </c>
      <c r="K425" s="18">
        <v>2010</v>
      </c>
      <c r="L425" s="7">
        <f t="shared" ca="1" si="281"/>
        <v>1</v>
      </c>
      <c r="M425" s="7">
        <f t="shared" si="291"/>
        <v>0.20909090909090911</v>
      </c>
      <c r="N425" s="14">
        <f t="shared" si="289"/>
        <v>3.0303030303030304E-2</v>
      </c>
      <c r="O425" s="1">
        <f ca="1">P425*J425*(1+Growth!G$6)^(2010-K425)</f>
        <v>39.490456692913391</v>
      </c>
      <c r="P425" s="3">
        <v>27.6</v>
      </c>
      <c r="Q425" s="2">
        <f t="shared" si="148"/>
        <v>27.6</v>
      </c>
      <c r="R425" s="21">
        <f t="shared" ca="1" si="282"/>
        <v>1559.4961698148679</v>
      </c>
      <c r="X425" s="2">
        <f t="shared" si="287"/>
        <v>27.6</v>
      </c>
      <c r="AC425" s="1">
        <f t="shared" si="290"/>
        <v>6.9</v>
      </c>
      <c r="AD425" s="5">
        <v>1</v>
      </c>
      <c r="AE425" s="5">
        <v>0</v>
      </c>
      <c r="AF425" s="5">
        <v>1</v>
      </c>
      <c r="AG425" s="5">
        <v>1</v>
      </c>
      <c r="AH425" s="5">
        <v>1</v>
      </c>
      <c r="AI425" s="3">
        <f t="shared" si="277"/>
        <v>2.9</v>
      </c>
      <c r="AJ425" s="5">
        <f t="shared" si="295"/>
        <v>0</v>
      </c>
      <c r="AK425" s="5">
        <f t="shared" si="283"/>
        <v>0</v>
      </c>
      <c r="AL425" s="5">
        <f t="shared" si="284"/>
        <v>0</v>
      </c>
      <c r="AM425" s="5">
        <f t="shared" si="296"/>
        <v>1</v>
      </c>
      <c r="AN425" s="5">
        <f t="shared" si="285"/>
        <v>0</v>
      </c>
      <c r="AO425" s="5">
        <f t="shared" si="297"/>
        <v>0</v>
      </c>
      <c r="AP425" s="11" t="s">
        <v>42</v>
      </c>
      <c r="AQ425" s="1">
        <v>1</v>
      </c>
      <c r="AR425" s="5">
        <v>1</v>
      </c>
      <c r="AS425" s="5">
        <v>1</v>
      </c>
      <c r="AT425" s="5">
        <v>0</v>
      </c>
      <c r="AU425" s="5">
        <v>0</v>
      </c>
      <c r="AV425" s="5">
        <v>0</v>
      </c>
      <c r="AW425" s="5">
        <v>0</v>
      </c>
      <c r="AX425" s="5">
        <v>1</v>
      </c>
      <c r="AY425" s="1">
        <f t="shared" si="298"/>
        <v>0</v>
      </c>
      <c r="AZ425" s="1">
        <f t="shared" si="299"/>
        <v>0</v>
      </c>
      <c r="BA425" s="1">
        <f t="shared" si="300"/>
        <v>0</v>
      </c>
      <c r="BB425" s="5">
        <v>0</v>
      </c>
      <c r="BC425" s="5">
        <v>0</v>
      </c>
      <c r="BD425" s="5">
        <v>1</v>
      </c>
      <c r="BE425" s="5">
        <f t="shared" si="288"/>
        <v>0</v>
      </c>
      <c r="BF425" s="5">
        <v>0</v>
      </c>
      <c r="BG425" s="5">
        <f t="shared" si="302"/>
        <v>0</v>
      </c>
      <c r="BH425" s="5">
        <f t="shared" si="302"/>
        <v>0</v>
      </c>
      <c r="BI425" s="5">
        <f t="shared" si="302"/>
        <v>0</v>
      </c>
      <c r="BJ425" s="5">
        <f t="shared" si="302"/>
        <v>0</v>
      </c>
      <c r="BK425" s="5">
        <f t="shared" si="302"/>
        <v>0</v>
      </c>
      <c r="BL425" s="5">
        <f t="shared" si="302"/>
        <v>0</v>
      </c>
      <c r="BM425" s="5">
        <f t="shared" si="302"/>
        <v>0</v>
      </c>
      <c r="BN425" s="5">
        <f t="shared" si="301"/>
        <v>0</v>
      </c>
      <c r="BO425" s="5">
        <f t="shared" si="301"/>
        <v>0</v>
      </c>
      <c r="BP425" s="5">
        <f t="shared" si="301"/>
        <v>0</v>
      </c>
      <c r="BQ425" s="5">
        <f t="shared" si="301"/>
        <v>0</v>
      </c>
      <c r="BR425" s="5">
        <f t="shared" si="301"/>
        <v>0</v>
      </c>
      <c r="BS425" s="5">
        <f t="shared" si="301"/>
        <v>0</v>
      </c>
      <c r="BT425" s="5">
        <f t="shared" si="301"/>
        <v>0</v>
      </c>
      <c r="BU425" s="5">
        <f t="shared" si="301"/>
        <v>0</v>
      </c>
      <c r="BV425" s="5">
        <f t="shared" si="301"/>
        <v>0</v>
      </c>
      <c r="BW425" s="5">
        <f t="shared" si="301"/>
        <v>0</v>
      </c>
      <c r="BX425" s="5">
        <f t="shared" si="301"/>
        <v>0</v>
      </c>
      <c r="BY425" s="5">
        <f t="shared" si="301"/>
        <v>1</v>
      </c>
      <c r="BZ425" s="5">
        <f t="shared" si="301"/>
        <v>0</v>
      </c>
      <c r="CA425" s="5">
        <f t="shared" si="301"/>
        <v>0</v>
      </c>
      <c r="CB425" s="5">
        <f t="shared" si="301"/>
        <v>0</v>
      </c>
      <c r="CC425" s="5">
        <f t="shared" si="303"/>
        <v>0</v>
      </c>
      <c r="CD425" s="5">
        <f t="shared" si="303"/>
        <v>0</v>
      </c>
      <c r="CE425" s="5">
        <f t="shared" si="303"/>
        <v>0</v>
      </c>
    </row>
    <row r="426" spans="3:83" x14ac:dyDescent="0.2">
      <c r="C426" s="1">
        <f>Growth!D431</f>
        <v>0</v>
      </c>
      <c r="D426" s="5" t="b">
        <f t="shared" si="280"/>
        <v>0</v>
      </c>
      <c r="E426" s="5">
        <v>2009</v>
      </c>
      <c r="F426" s="5">
        <f ca="1">LOOKUP($E426,frequence!$A$2:$A$35,frequence!L$2:L$35)</f>
        <v>37.435381616951773</v>
      </c>
      <c r="G426" s="5">
        <f ca="1">LOOKUP($E426,frequence!$A$2:$A$35,frequence!K$2:K$35)</f>
        <v>3.3073014644850907</v>
      </c>
      <c r="H426" s="5">
        <f ca="1">LOOKUP($E426,frequence!$A$2:$A$35,frequence!M$2:M$35)</f>
        <v>226.95522031937912</v>
      </c>
      <c r="I426" s="5">
        <v>1995</v>
      </c>
      <c r="J426" s="7">
        <f>LOOKUP(I426,CPI!A$69:A$103,CPI!O$69:O$103)</f>
        <v>1.4308136482939633</v>
      </c>
      <c r="K426" s="18">
        <v>2010</v>
      </c>
      <c r="L426" s="7">
        <f t="shared" ca="1" si="281"/>
        <v>1</v>
      </c>
      <c r="M426" s="7">
        <f t="shared" si="291"/>
        <v>0.20909090909090911</v>
      </c>
      <c r="N426" s="14">
        <f t="shared" si="289"/>
        <v>3.0303030303030304E-2</v>
      </c>
      <c r="O426" s="1">
        <f ca="1">P426*J426*(1+Growth!G$6)^(2010-K426)</f>
        <v>-3.2908713910761151</v>
      </c>
      <c r="P426" s="3">
        <v>-2.2999999999999998</v>
      </c>
      <c r="Q426" s="2">
        <f t="shared" si="148"/>
        <v>-2.2999999999999998</v>
      </c>
      <c r="R426" s="21">
        <f t="shared" ca="1" si="282"/>
        <v>10.829834512603245</v>
      </c>
      <c r="X426" s="2">
        <f t="shared" si="287"/>
        <v>-2.2999999999999998</v>
      </c>
      <c r="AC426" s="1">
        <f t="shared" si="290"/>
        <v>6.9</v>
      </c>
      <c r="AD426" s="5">
        <v>1</v>
      </c>
      <c r="AE426" s="5">
        <v>0</v>
      </c>
      <c r="AF426" s="5">
        <v>1</v>
      </c>
      <c r="AG426" s="5">
        <v>1</v>
      </c>
      <c r="AH426" s="5">
        <v>1</v>
      </c>
      <c r="AI426" s="3">
        <f t="shared" si="277"/>
        <v>2.9</v>
      </c>
      <c r="AJ426" s="5">
        <f t="shared" si="295"/>
        <v>0</v>
      </c>
      <c r="AK426" s="5">
        <f t="shared" si="283"/>
        <v>0</v>
      </c>
      <c r="AL426" s="5">
        <f t="shared" si="284"/>
        <v>0</v>
      </c>
      <c r="AM426" s="5">
        <f t="shared" si="296"/>
        <v>1</v>
      </c>
      <c r="AN426" s="5">
        <f t="shared" si="285"/>
        <v>0</v>
      </c>
      <c r="AO426" s="5">
        <f t="shared" si="297"/>
        <v>0</v>
      </c>
      <c r="AP426" s="11" t="s">
        <v>42</v>
      </c>
      <c r="AQ426" s="1">
        <v>1</v>
      </c>
      <c r="AR426" s="5">
        <v>1</v>
      </c>
      <c r="AS426" s="5">
        <v>1</v>
      </c>
      <c r="AT426" s="5">
        <v>0</v>
      </c>
      <c r="AU426" s="5">
        <v>0</v>
      </c>
      <c r="AV426" s="5">
        <v>0</v>
      </c>
      <c r="AW426" s="5">
        <v>0</v>
      </c>
      <c r="AX426" s="5">
        <v>1</v>
      </c>
      <c r="AY426" s="1">
        <f t="shared" si="298"/>
        <v>0</v>
      </c>
      <c r="AZ426" s="1">
        <f t="shared" si="299"/>
        <v>0</v>
      </c>
      <c r="BA426" s="1">
        <f t="shared" si="300"/>
        <v>0</v>
      </c>
      <c r="BB426" s="5">
        <v>0</v>
      </c>
      <c r="BC426" s="5">
        <v>0</v>
      </c>
      <c r="BD426" s="5">
        <v>1</v>
      </c>
      <c r="BE426" s="5">
        <f t="shared" si="288"/>
        <v>0</v>
      </c>
      <c r="BF426" s="5">
        <v>0</v>
      </c>
      <c r="BG426" s="5">
        <f t="shared" si="302"/>
        <v>0</v>
      </c>
      <c r="BH426" s="5">
        <f t="shared" si="302"/>
        <v>0</v>
      </c>
      <c r="BI426" s="5">
        <f t="shared" si="302"/>
        <v>0</v>
      </c>
      <c r="BJ426" s="5">
        <f t="shared" si="302"/>
        <v>0</v>
      </c>
      <c r="BK426" s="5">
        <f t="shared" si="302"/>
        <v>0</v>
      </c>
      <c r="BL426" s="5">
        <f t="shared" si="302"/>
        <v>0</v>
      </c>
      <c r="BM426" s="5">
        <f t="shared" si="302"/>
        <v>0</v>
      </c>
      <c r="BN426" s="5">
        <f t="shared" si="301"/>
        <v>0</v>
      </c>
      <c r="BO426" s="5">
        <f t="shared" si="301"/>
        <v>0</v>
      </c>
      <c r="BP426" s="5">
        <f t="shared" si="301"/>
        <v>0</v>
      </c>
      <c r="BQ426" s="5">
        <f t="shared" si="301"/>
        <v>0</v>
      </c>
      <c r="BR426" s="5">
        <f t="shared" si="301"/>
        <v>0</v>
      </c>
      <c r="BS426" s="5">
        <f t="shared" si="301"/>
        <v>0</v>
      </c>
      <c r="BT426" s="5">
        <f t="shared" si="301"/>
        <v>0</v>
      </c>
      <c r="BU426" s="5">
        <f t="shared" si="301"/>
        <v>0</v>
      </c>
      <c r="BV426" s="5">
        <f t="shared" si="301"/>
        <v>0</v>
      </c>
      <c r="BW426" s="5">
        <f t="shared" si="301"/>
        <v>0</v>
      </c>
      <c r="BX426" s="5">
        <f t="shared" si="301"/>
        <v>0</v>
      </c>
      <c r="BY426" s="5">
        <f t="shared" si="301"/>
        <v>1</v>
      </c>
      <c r="BZ426" s="5">
        <f t="shared" si="301"/>
        <v>0</v>
      </c>
      <c r="CA426" s="5">
        <f t="shared" si="301"/>
        <v>0</v>
      </c>
      <c r="CB426" s="5">
        <f t="shared" si="301"/>
        <v>0</v>
      </c>
      <c r="CC426" s="5">
        <f t="shared" si="303"/>
        <v>0</v>
      </c>
      <c r="CD426" s="5">
        <f t="shared" si="303"/>
        <v>0</v>
      </c>
      <c r="CE426" s="5">
        <f t="shared" si="303"/>
        <v>0</v>
      </c>
    </row>
    <row r="427" spans="3:83" x14ac:dyDescent="0.2">
      <c r="C427" s="1">
        <f>Growth!D432</f>
        <v>0</v>
      </c>
      <c r="D427" s="5" t="b">
        <f t="shared" si="280"/>
        <v>0</v>
      </c>
      <c r="E427" s="5">
        <v>2009</v>
      </c>
      <c r="F427" s="5">
        <f ca="1">LOOKUP($E427,frequence!$A$2:$A$35,frequence!L$2:L$35)</f>
        <v>37.435381616951773</v>
      </c>
      <c r="G427" s="5">
        <f ca="1">LOOKUP($E427,frequence!$A$2:$A$35,frequence!K$2:K$35)</f>
        <v>3.3073014644850907</v>
      </c>
      <c r="H427" s="5">
        <f ca="1">LOOKUP($E427,frequence!$A$2:$A$35,frequence!M$2:M$35)</f>
        <v>226.95522031937912</v>
      </c>
      <c r="I427" s="5">
        <v>1995</v>
      </c>
      <c r="J427" s="7">
        <f>LOOKUP(I427,CPI!A$69:A$103,CPI!O$69:O$103)</f>
        <v>1.4308136482939633</v>
      </c>
      <c r="K427" s="18">
        <v>2010</v>
      </c>
      <c r="L427" s="7">
        <f t="shared" ca="1" si="281"/>
        <v>1</v>
      </c>
      <c r="M427" s="7">
        <f t="shared" si="291"/>
        <v>0.20909090909090911</v>
      </c>
      <c r="N427" s="14">
        <f t="shared" si="289"/>
        <v>3.0303030303030304E-2</v>
      </c>
      <c r="O427" s="1">
        <f ca="1">P427*J427*(1+Growth!G$6)^(2010-K427)</f>
        <v>18.171333333333333</v>
      </c>
      <c r="P427" s="3">
        <v>12.7</v>
      </c>
      <c r="Q427" s="2">
        <f t="shared" si="148"/>
        <v>12.7</v>
      </c>
      <c r="R427" s="21">
        <f t="shared" ca="1" si="282"/>
        <v>330.19735511111111</v>
      </c>
      <c r="X427" s="2">
        <f t="shared" si="287"/>
        <v>12.7</v>
      </c>
      <c r="AC427" s="1">
        <f t="shared" si="290"/>
        <v>6.9</v>
      </c>
      <c r="AD427" s="5">
        <v>1</v>
      </c>
      <c r="AE427" s="5">
        <v>0</v>
      </c>
      <c r="AF427" s="5">
        <v>1</v>
      </c>
      <c r="AG427" s="5">
        <v>1</v>
      </c>
      <c r="AH427" s="5">
        <v>1</v>
      </c>
      <c r="AI427" s="3">
        <f t="shared" si="277"/>
        <v>2.9</v>
      </c>
      <c r="AJ427" s="5">
        <f t="shared" si="295"/>
        <v>0</v>
      </c>
      <c r="AK427" s="5">
        <f t="shared" si="283"/>
        <v>0</v>
      </c>
      <c r="AL427" s="5">
        <f t="shared" si="284"/>
        <v>0</v>
      </c>
      <c r="AM427" s="5">
        <f t="shared" si="296"/>
        <v>1</v>
      </c>
      <c r="AN427" s="5">
        <f t="shared" si="285"/>
        <v>0</v>
      </c>
      <c r="AO427" s="5">
        <f t="shared" si="297"/>
        <v>0</v>
      </c>
      <c r="AP427" s="11" t="s">
        <v>42</v>
      </c>
      <c r="AQ427" s="1">
        <v>1</v>
      </c>
      <c r="AR427" s="5">
        <v>1</v>
      </c>
      <c r="AS427" s="5">
        <v>1</v>
      </c>
      <c r="AT427" s="5">
        <v>0</v>
      </c>
      <c r="AU427" s="5">
        <v>0</v>
      </c>
      <c r="AV427" s="5">
        <v>0</v>
      </c>
      <c r="AW427" s="5">
        <v>0</v>
      </c>
      <c r="AX427" s="5">
        <v>1</v>
      </c>
      <c r="AY427" s="1">
        <f t="shared" si="298"/>
        <v>0</v>
      </c>
      <c r="AZ427" s="1">
        <f t="shared" si="299"/>
        <v>0</v>
      </c>
      <c r="BA427" s="1">
        <f t="shared" si="300"/>
        <v>0</v>
      </c>
      <c r="BB427" s="5">
        <v>0</v>
      </c>
      <c r="BC427" s="5">
        <v>0</v>
      </c>
      <c r="BD427" s="5">
        <v>1</v>
      </c>
      <c r="BE427" s="5">
        <f t="shared" si="288"/>
        <v>0</v>
      </c>
      <c r="BF427" s="5">
        <v>0</v>
      </c>
      <c r="BG427" s="5">
        <f t="shared" si="302"/>
        <v>0</v>
      </c>
      <c r="BH427" s="5">
        <f t="shared" si="302"/>
        <v>0</v>
      </c>
      <c r="BI427" s="5">
        <f t="shared" si="302"/>
        <v>0</v>
      </c>
      <c r="BJ427" s="5">
        <f t="shared" si="302"/>
        <v>0</v>
      </c>
      <c r="BK427" s="5">
        <f t="shared" si="302"/>
        <v>0</v>
      </c>
      <c r="BL427" s="5">
        <f t="shared" si="302"/>
        <v>0</v>
      </c>
      <c r="BM427" s="5">
        <f t="shared" si="302"/>
        <v>0</v>
      </c>
      <c r="BN427" s="5">
        <f t="shared" si="301"/>
        <v>0</v>
      </c>
      <c r="BO427" s="5">
        <f t="shared" si="301"/>
        <v>0</v>
      </c>
      <c r="BP427" s="5">
        <f t="shared" si="301"/>
        <v>0</v>
      </c>
      <c r="BQ427" s="5">
        <f t="shared" si="301"/>
        <v>0</v>
      </c>
      <c r="BR427" s="5">
        <f t="shared" si="301"/>
        <v>0</v>
      </c>
      <c r="BS427" s="5">
        <f t="shared" si="301"/>
        <v>0</v>
      </c>
      <c r="BT427" s="5">
        <f t="shared" si="301"/>
        <v>0</v>
      </c>
      <c r="BU427" s="5">
        <f t="shared" si="301"/>
        <v>0</v>
      </c>
      <c r="BV427" s="5">
        <f t="shared" si="301"/>
        <v>0</v>
      </c>
      <c r="BW427" s="5">
        <f t="shared" si="301"/>
        <v>0</v>
      </c>
      <c r="BX427" s="5">
        <f t="shared" si="301"/>
        <v>0</v>
      </c>
      <c r="BY427" s="5">
        <f t="shared" si="301"/>
        <v>1</v>
      </c>
      <c r="BZ427" s="5">
        <f t="shared" si="301"/>
        <v>0</v>
      </c>
      <c r="CA427" s="5">
        <f t="shared" si="301"/>
        <v>0</v>
      </c>
      <c r="CB427" s="5">
        <f t="shared" si="301"/>
        <v>0</v>
      </c>
      <c r="CC427" s="5">
        <f t="shared" si="303"/>
        <v>0</v>
      </c>
      <c r="CD427" s="5">
        <f t="shared" si="303"/>
        <v>0</v>
      </c>
      <c r="CE427" s="5">
        <f t="shared" si="303"/>
        <v>0</v>
      </c>
    </row>
    <row r="428" spans="3:83" x14ac:dyDescent="0.2">
      <c r="C428" s="1">
        <f>Growth!D433</f>
        <v>0</v>
      </c>
      <c r="D428" s="5" t="b">
        <f t="shared" si="280"/>
        <v>0</v>
      </c>
      <c r="E428" s="5">
        <v>2009</v>
      </c>
      <c r="F428" s="5">
        <f ca="1">LOOKUP($E428,frequence!$A$2:$A$35,frequence!L$2:L$35)</f>
        <v>37.435381616951773</v>
      </c>
      <c r="G428" s="5">
        <f ca="1">LOOKUP($E428,frequence!$A$2:$A$35,frequence!K$2:K$35)</f>
        <v>3.3073014644850907</v>
      </c>
      <c r="H428" s="5">
        <f ca="1">LOOKUP($E428,frequence!$A$2:$A$35,frequence!M$2:M$35)</f>
        <v>226.95522031937912</v>
      </c>
      <c r="I428" s="5">
        <v>1995</v>
      </c>
      <c r="J428" s="7">
        <f>LOOKUP(I428,CPI!A$69:A$103,CPI!O$69:O$103)</f>
        <v>1.4308136482939633</v>
      </c>
      <c r="K428" s="18">
        <v>2010</v>
      </c>
      <c r="L428" s="7">
        <f t="shared" ca="1" si="281"/>
        <v>1</v>
      </c>
      <c r="M428" s="7">
        <f t="shared" si="291"/>
        <v>0.20909090909090911</v>
      </c>
      <c r="N428" s="14">
        <f t="shared" si="289"/>
        <v>3.0303030303030304E-2</v>
      </c>
      <c r="O428" s="1">
        <f ca="1">P428*J428*(1+Growth!G$6)^(2010-K428)</f>
        <v>-4.1493595800524936</v>
      </c>
      <c r="P428" s="3">
        <v>-2.9</v>
      </c>
      <c r="Q428" s="2">
        <f t="shared" si="148"/>
        <v>-2.9</v>
      </c>
      <c r="R428" s="21">
        <f t="shared" ca="1" si="282"/>
        <v>17.217184924573406</v>
      </c>
      <c r="X428" s="2">
        <f t="shared" si="287"/>
        <v>-2.9</v>
      </c>
      <c r="AC428" s="1">
        <f t="shared" si="290"/>
        <v>6.9</v>
      </c>
      <c r="AD428" s="5">
        <v>1</v>
      </c>
      <c r="AE428" s="5">
        <v>0</v>
      </c>
      <c r="AF428" s="5">
        <v>1</v>
      </c>
      <c r="AG428" s="5">
        <v>1</v>
      </c>
      <c r="AH428" s="5">
        <v>1</v>
      </c>
      <c r="AI428" s="3">
        <f t="shared" si="277"/>
        <v>2.9</v>
      </c>
      <c r="AJ428" s="5">
        <f t="shared" si="295"/>
        <v>1</v>
      </c>
      <c r="AK428" s="5">
        <f t="shared" si="283"/>
        <v>0</v>
      </c>
      <c r="AL428" s="5">
        <f t="shared" si="284"/>
        <v>0</v>
      </c>
      <c r="AM428" s="5">
        <f t="shared" si="296"/>
        <v>0</v>
      </c>
      <c r="AN428" s="5">
        <f t="shared" si="285"/>
        <v>0</v>
      </c>
      <c r="AO428" s="5">
        <f t="shared" si="297"/>
        <v>0</v>
      </c>
      <c r="AP428" s="11" t="s">
        <v>42</v>
      </c>
      <c r="AQ428" s="1">
        <v>3</v>
      </c>
      <c r="AR428" s="5">
        <v>1</v>
      </c>
      <c r="AS428" s="5">
        <v>1</v>
      </c>
      <c r="AT428" s="5">
        <v>0</v>
      </c>
      <c r="AU428" s="5">
        <v>0</v>
      </c>
      <c r="AV428" s="5">
        <v>0</v>
      </c>
      <c r="AW428" s="5">
        <v>0</v>
      </c>
      <c r="AX428" s="5">
        <v>1</v>
      </c>
      <c r="AY428" s="1">
        <f t="shared" si="298"/>
        <v>0</v>
      </c>
      <c r="AZ428" s="1">
        <f t="shared" si="299"/>
        <v>0</v>
      </c>
      <c r="BA428" s="1">
        <f t="shared" si="300"/>
        <v>0</v>
      </c>
      <c r="BB428" s="5">
        <v>0</v>
      </c>
      <c r="BC428" s="5">
        <v>0</v>
      </c>
      <c r="BD428" s="5">
        <v>1</v>
      </c>
      <c r="BE428" s="5">
        <f t="shared" si="288"/>
        <v>0</v>
      </c>
      <c r="BF428" s="5">
        <v>0</v>
      </c>
      <c r="BG428" s="5">
        <f t="shared" si="302"/>
        <v>0</v>
      </c>
      <c r="BH428" s="5">
        <f t="shared" si="302"/>
        <v>0</v>
      </c>
      <c r="BI428" s="5">
        <f t="shared" si="302"/>
        <v>0</v>
      </c>
      <c r="BJ428" s="5">
        <f t="shared" si="302"/>
        <v>0</v>
      </c>
      <c r="BK428" s="5">
        <f t="shared" si="302"/>
        <v>0</v>
      </c>
      <c r="BL428" s="5">
        <f t="shared" si="302"/>
        <v>0</v>
      </c>
      <c r="BM428" s="5">
        <f t="shared" si="302"/>
        <v>0</v>
      </c>
      <c r="BN428" s="5">
        <f t="shared" si="301"/>
        <v>0</v>
      </c>
      <c r="BO428" s="5">
        <f t="shared" si="301"/>
        <v>0</v>
      </c>
      <c r="BP428" s="5">
        <f t="shared" si="301"/>
        <v>0</v>
      </c>
      <c r="BQ428" s="5">
        <f t="shared" si="301"/>
        <v>0</v>
      </c>
      <c r="BR428" s="5">
        <f t="shared" si="301"/>
        <v>0</v>
      </c>
      <c r="BS428" s="5">
        <f t="shared" si="301"/>
        <v>0</v>
      </c>
      <c r="BT428" s="5">
        <f t="shared" si="301"/>
        <v>0</v>
      </c>
      <c r="BU428" s="5">
        <f t="shared" si="301"/>
        <v>0</v>
      </c>
      <c r="BV428" s="5">
        <f t="shared" si="301"/>
        <v>0</v>
      </c>
      <c r="BW428" s="5">
        <f t="shared" si="301"/>
        <v>0</v>
      </c>
      <c r="BX428" s="5">
        <f t="shared" si="301"/>
        <v>0</v>
      </c>
      <c r="BY428" s="5">
        <f t="shared" si="301"/>
        <v>1</v>
      </c>
      <c r="BZ428" s="5">
        <f t="shared" si="301"/>
        <v>0</v>
      </c>
      <c r="CA428" s="5">
        <f t="shared" si="301"/>
        <v>0</v>
      </c>
      <c r="CB428" s="5">
        <f t="shared" si="301"/>
        <v>0</v>
      </c>
      <c r="CC428" s="5">
        <f t="shared" si="303"/>
        <v>0</v>
      </c>
      <c r="CD428" s="5">
        <f t="shared" si="303"/>
        <v>0</v>
      </c>
      <c r="CE428" s="5">
        <f t="shared" si="303"/>
        <v>0</v>
      </c>
    </row>
    <row r="429" spans="3:83" x14ac:dyDescent="0.2">
      <c r="C429" s="1">
        <f>Growth!D434</f>
        <v>0</v>
      </c>
      <c r="D429" s="5" t="b">
        <f t="shared" si="280"/>
        <v>0</v>
      </c>
      <c r="E429" s="5">
        <v>2009</v>
      </c>
      <c r="F429" s="5">
        <f ca="1">LOOKUP($E429,frequence!$A$2:$A$35,frequence!L$2:L$35)</f>
        <v>37.435381616951773</v>
      </c>
      <c r="G429" s="5">
        <f ca="1">LOOKUP($E429,frequence!$A$2:$A$35,frequence!K$2:K$35)</f>
        <v>3.3073014644850907</v>
      </c>
      <c r="H429" s="5">
        <f ca="1">LOOKUP($E429,frequence!$A$2:$A$35,frequence!M$2:M$35)</f>
        <v>226.95522031937912</v>
      </c>
      <c r="I429" s="5">
        <v>1995</v>
      </c>
      <c r="J429" s="7">
        <f>LOOKUP(I429,CPI!A$69:A$103,CPI!O$69:O$103)</f>
        <v>1.4308136482939633</v>
      </c>
      <c r="K429" s="18">
        <v>2010</v>
      </c>
      <c r="L429" s="7">
        <f t="shared" ca="1" si="281"/>
        <v>1</v>
      </c>
      <c r="M429" s="7">
        <f t="shared" si="291"/>
        <v>0.20909090909090911</v>
      </c>
      <c r="N429" s="14">
        <f t="shared" si="289"/>
        <v>3.0303030303030304E-2</v>
      </c>
      <c r="O429" s="1">
        <f ca="1">P429*J429*(1+Growth!G$6)^(2010-K429)</f>
        <v>-6.4386614173228347</v>
      </c>
      <c r="P429" s="3">
        <v>-4.5</v>
      </c>
      <c r="Q429" s="2">
        <f t="shared" si="148"/>
        <v>-4.5</v>
      </c>
      <c r="R429" s="21">
        <f t="shared" ca="1" si="282"/>
        <v>41.456360846921697</v>
      </c>
      <c r="X429" s="2">
        <f t="shared" si="287"/>
        <v>-4.5</v>
      </c>
      <c r="AC429" s="1">
        <f t="shared" si="290"/>
        <v>6.9</v>
      </c>
      <c r="AD429" s="5">
        <v>1</v>
      </c>
      <c r="AE429" s="5">
        <v>0</v>
      </c>
      <c r="AF429" s="5">
        <v>1</v>
      </c>
      <c r="AG429" s="5">
        <v>1</v>
      </c>
      <c r="AH429" s="5">
        <v>1</v>
      </c>
      <c r="AI429" s="3">
        <f t="shared" si="277"/>
        <v>2.9</v>
      </c>
      <c r="AJ429" s="5">
        <f t="shared" si="295"/>
        <v>1</v>
      </c>
      <c r="AK429" s="5">
        <f t="shared" si="283"/>
        <v>0</v>
      </c>
      <c r="AL429" s="5">
        <f t="shared" si="284"/>
        <v>0</v>
      </c>
      <c r="AM429" s="5">
        <f t="shared" si="296"/>
        <v>0</v>
      </c>
      <c r="AN429" s="5">
        <f t="shared" si="285"/>
        <v>0</v>
      </c>
      <c r="AO429" s="5">
        <f t="shared" si="297"/>
        <v>0</v>
      </c>
      <c r="AP429" s="11" t="s">
        <v>42</v>
      </c>
      <c r="AQ429" s="1">
        <v>3</v>
      </c>
      <c r="AR429" s="5">
        <v>1</v>
      </c>
      <c r="AS429" s="5">
        <v>1</v>
      </c>
      <c r="AT429" s="5">
        <v>0</v>
      </c>
      <c r="AU429" s="5">
        <v>0</v>
      </c>
      <c r="AV429" s="5">
        <v>0</v>
      </c>
      <c r="AW429" s="5">
        <v>0</v>
      </c>
      <c r="AX429" s="5">
        <v>1</v>
      </c>
      <c r="AY429" s="1">
        <f t="shared" si="298"/>
        <v>0</v>
      </c>
      <c r="AZ429" s="1">
        <f t="shared" si="299"/>
        <v>0</v>
      </c>
      <c r="BA429" s="1">
        <f t="shared" si="300"/>
        <v>0</v>
      </c>
      <c r="BB429" s="5">
        <v>0</v>
      </c>
      <c r="BC429" s="5">
        <v>0</v>
      </c>
      <c r="BD429" s="5">
        <v>1</v>
      </c>
      <c r="BE429" s="5">
        <f t="shared" si="288"/>
        <v>0</v>
      </c>
      <c r="BF429" s="5">
        <v>0</v>
      </c>
      <c r="BG429" s="5">
        <f t="shared" si="302"/>
        <v>0</v>
      </c>
      <c r="BH429" s="5">
        <f t="shared" si="302"/>
        <v>0</v>
      </c>
      <c r="BI429" s="5">
        <f t="shared" si="302"/>
        <v>0</v>
      </c>
      <c r="BJ429" s="5">
        <f t="shared" si="302"/>
        <v>0</v>
      </c>
      <c r="BK429" s="5">
        <f t="shared" si="302"/>
        <v>0</v>
      </c>
      <c r="BL429" s="5">
        <f t="shared" si="302"/>
        <v>0</v>
      </c>
      <c r="BM429" s="5">
        <f t="shared" si="302"/>
        <v>0</v>
      </c>
      <c r="BN429" s="5">
        <f t="shared" si="301"/>
        <v>0</v>
      </c>
      <c r="BO429" s="5">
        <f t="shared" si="301"/>
        <v>0</v>
      </c>
      <c r="BP429" s="5">
        <f t="shared" si="301"/>
        <v>0</v>
      </c>
      <c r="BQ429" s="5">
        <f t="shared" si="301"/>
        <v>0</v>
      </c>
      <c r="BR429" s="5">
        <f t="shared" si="301"/>
        <v>0</v>
      </c>
      <c r="BS429" s="5">
        <f t="shared" si="301"/>
        <v>0</v>
      </c>
      <c r="BT429" s="5">
        <f t="shared" si="301"/>
        <v>0</v>
      </c>
      <c r="BU429" s="5">
        <f t="shared" si="301"/>
        <v>0</v>
      </c>
      <c r="BV429" s="5">
        <f t="shared" si="301"/>
        <v>0</v>
      </c>
      <c r="BW429" s="5">
        <f t="shared" si="301"/>
        <v>0</v>
      </c>
      <c r="BX429" s="5">
        <f t="shared" si="301"/>
        <v>0</v>
      </c>
      <c r="BY429" s="5">
        <f t="shared" si="301"/>
        <v>1</v>
      </c>
      <c r="BZ429" s="5">
        <f t="shared" si="301"/>
        <v>0</v>
      </c>
      <c r="CA429" s="5">
        <f t="shared" si="301"/>
        <v>0</v>
      </c>
      <c r="CB429" s="5">
        <f t="shared" si="301"/>
        <v>0</v>
      </c>
      <c r="CC429" s="5">
        <f t="shared" si="303"/>
        <v>0</v>
      </c>
      <c r="CD429" s="5">
        <f t="shared" si="303"/>
        <v>0</v>
      </c>
      <c r="CE429" s="5">
        <f t="shared" si="303"/>
        <v>0</v>
      </c>
    </row>
    <row r="430" spans="3:83" x14ac:dyDescent="0.2">
      <c r="C430" s="1">
        <f>Growth!D435</f>
        <v>0</v>
      </c>
      <c r="D430" s="5" t="b">
        <f t="shared" si="280"/>
        <v>0</v>
      </c>
      <c r="E430" s="5">
        <v>2009</v>
      </c>
      <c r="F430" s="5">
        <f ca="1">LOOKUP($E430,frequence!$A$2:$A$35,frequence!L$2:L$35)</f>
        <v>37.435381616951773</v>
      </c>
      <c r="G430" s="5">
        <f ca="1">LOOKUP($E430,frequence!$A$2:$A$35,frequence!K$2:K$35)</f>
        <v>3.3073014644850907</v>
      </c>
      <c r="H430" s="5">
        <f ca="1">LOOKUP($E430,frequence!$A$2:$A$35,frequence!M$2:M$35)</f>
        <v>226.95522031937912</v>
      </c>
      <c r="I430" s="5">
        <v>1995</v>
      </c>
      <c r="J430" s="7">
        <f>LOOKUP(I430,CPI!A$69:A$103,CPI!O$69:O$103)</f>
        <v>1.4308136482939633</v>
      </c>
      <c r="K430" s="18">
        <v>2010</v>
      </c>
      <c r="L430" s="7">
        <f t="shared" ca="1" si="281"/>
        <v>1</v>
      </c>
      <c r="M430" s="7">
        <f t="shared" si="291"/>
        <v>0.20909090909090911</v>
      </c>
      <c r="N430" s="14">
        <f t="shared" si="289"/>
        <v>3.0303030303030304E-2</v>
      </c>
      <c r="O430" s="1">
        <f ca="1">P430*J430*(1+Growth!G$6)^(2010-K430)</f>
        <v>-2.7185459317585301</v>
      </c>
      <c r="P430" s="3">
        <v>-1.9</v>
      </c>
      <c r="Q430" s="2">
        <f t="shared" si="148"/>
        <v>-1.9</v>
      </c>
      <c r="R430" s="21">
        <f t="shared" ca="1" si="282"/>
        <v>7.3904919830808549</v>
      </c>
      <c r="X430" s="2">
        <f t="shared" si="287"/>
        <v>-1.9</v>
      </c>
      <c r="AC430" s="1">
        <f t="shared" si="290"/>
        <v>6.9</v>
      </c>
      <c r="AD430" s="5">
        <v>1</v>
      </c>
      <c r="AE430" s="5">
        <v>0</v>
      </c>
      <c r="AF430" s="5">
        <v>1</v>
      </c>
      <c r="AG430" s="5">
        <v>1</v>
      </c>
      <c r="AH430" s="5">
        <v>1</v>
      </c>
      <c r="AI430" s="3">
        <f t="shared" si="277"/>
        <v>2.9</v>
      </c>
      <c r="AJ430" s="5">
        <f t="shared" si="295"/>
        <v>1</v>
      </c>
      <c r="AK430" s="5">
        <f t="shared" si="283"/>
        <v>0</v>
      </c>
      <c r="AL430" s="5">
        <f t="shared" si="284"/>
        <v>0</v>
      </c>
      <c r="AM430" s="5">
        <f t="shared" si="296"/>
        <v>0</v>
      </c>
      <c r="AN430" s="5">
        <f t="shared" si="285"/>
        <v>0</v>
      </c>
      <c r="AO430" s="5">
        <f t="shared" si="297"/>
        <v>0</v>
      </c>
      <c r="AP430" s="11" t="s">
        <v>42</v>
      </c>
      <c r="AQ430" s="1">
        <v>3</v>
      </c>
      <c r="AR430" s="5">
        <v>1</v>
      </c>
      <c r="AS430" s="5">
        <v>1</v>
      </c>
      <c r="AT430" s="5">
        <v>0</v>
      </c>
      <c r="AU430" s="5">
        <v>0</v>
      </c>
      <c r="AV430" s="5">
        <v>0</v>
      </c>
      <c r="AW430" s="5">
        <v>0</v>
      </c>
      <c r="AX430" s="5">
        <v>1</v>
      </c>
      <c r="AY430" s="1">
        <f t="shared" si="298"/>
        <v>0</v>
      </c>
      <c r="AZ430" s="1">
        <f t="shared" si="299"/>
        <v>0</v>
      </c>
      <c r="BA430" s="1">
        <f t="shared" si="300"/>
        <v>0</v>
      </c>
      <c r="BB430" s="5">
        <v>0</v>
      </c>
      <c r="BC430" s="5">
        <v>0</v>
      </c>
      <c r="BD430" s="5">
        <v>1</v>
      </c>
      <c r="BE430" s="5">
        <f t="shared" si="288"/>
        <v>0</v>
      </c>
      <c r="BF430" s="5">
        <v>0</v>
      </c>
      <c r="BG430" s="5">
        <f t="shared" si="302"/>
        <v>0</v>
      </c>
      <c r="BH430" s="5">
        <f t="shared" si="302"/>
        <v>0</v>
      </c>
      <c r="BI430" s="5">
        <f t="shared" si="302"/>
        <v>0</v>
      </c>
      <c r="BJ430" s="5">
        <f t="shared" si="302"/>
        <v>0</v>
      </c>
      <c r="BK430" s="5">
        <f t="shared" si="302"/>
        <v>0</v>
      </c>
      <c r="BL430" s="5">
        <f t="shared" si="302"/>
        <v>0</v>
      </c>
      <c r="BM430" s="5">
        <f t="shared" si="302"/>
        <v>0</v>
      </c>
      <c r="BN430" s="5">
        <f t="shared" si="301"/>
        <v>0</v>
      </c>
      <c r="BO430" s="5">
        <f t="shared" si="301"/>
        <v>0</v>
      </c>
      <c r="BP430" s="5">
        <f t="shared" si="301"/>
        <v>0</v>
      </c>
      <c r="BQ430" s="5">
        <f t="shared" si="301"/>
        <v>0</v>
      </c>
      <c r="BR430" s="5">
        <f t="shared" si="301"/>
        <v>0</v>
      </c>
      <c r="BS430" s="5">
        <f t="shared" si="301"/>
        <v>0</v>
      </c>
      <c r="BT430" s="5">
        <f t="shared" si="301"/>
        <v>0</v>
      </c>
      <c r="BU430" s="5">
        <f t="shared" si="301"/>
        <v>0</v>
      </c>
      <c r="BV430" s="5">
        <f t="shared" si="301"/>
        <v>0</v>
      </c>
      <c r="BW430" s="5">
        <f t="shared" si="301"/>
        <v>0</v>
      </c>
      <c r="BX430" s="5">
        <f t="shared" si="301"/>
        <v>0</v>
      </c>
      <c r="BY430" s="5">
        <f t="shared" si="301"/>
        <v>1</v>
      </c>
      <c r="BZ430" s="5">
        <f t="shared" si="301"/>
        <v>0</v>
      </c>
      <c r="CA430" s="5">
        <f t="shared" si="301"/>
        <v>0</v>
      </c>
      <c r="CB430" s="5">
        <f t="shared" si="301"/>
        <v>0</v>
      </c>
      <c r="CC430" s="5">
        <f t="shared" si="303"/>
        <v>0</v>
      </c>
      <c r="CD430" s="5">
        <f t="shared" si="303"/>
        <v>0</v>
      </c>
      <c r="CE430" s="5">
        <f t="shared" si="303"/>
        <v>0</v>
      </c>
    </row>
    <row r="431" spans="3:83" x14ac:dyDescent="0.2">
      <c r="C431" s="1">
        <f>Growth!D436</f>
        <v>0</v>
      </c>
      <c r="D431" s="5" t="b">
        <f t="shared" si="280"/>
        <v>0</v>
      </c>
      <c r="E431" s="5">
        <v>2009</v>
      </c>
      <c r="F431" s="5">
        <f ca="1">LOOKUP($E431,frequence!$A$2:$A$35,frequence!L$2:L$35)</f>
        <v>37.435381616951773</v>
      </c>
      <c r="G431" s="5">
        <f ca="1">LOOKUP($E431,frequence!$A$2:$A$35,frequence!K$2:K$35)</f>
        <v>3.3073014644850907</v>
      </c>
      <c r="H431" s="5">
        <f ca="1">LOOKUP($E431,frequence!$A$2:$A$35,frequence!M$2:M$35)</f>
        <v>226.95522031937912</v>
      </c>
      <c r="I431" s="5">
        <v>1995</v>
      </c>
      <c r="J431" s="7">
        <f>LOOKUP(I431,CPI!A$69:A$103,CPI!O$69:O$103)</f>
        <v>1.4308136482939633</v>
      </c>
      <c r="K431" s="18">
        <v>2010</v>
      </c>
      <c r="L431" s="7">
        <f t="shared" ca="1" si="281"/>
        <v>1</v>
      </c>
      <c r="M431" s="7">
        <f t="shared" si="291"/>
        <v>0.20909090909090911</v>
      </c>
      <c r="N431" s="14">
        <f t="shared" si="289"/>
        <v>3.0303030303030304E-2</v>
      </c>
      <c r="O431" s="1">
        <f ca="1">P431*J431*(1+Growth!G$6)^(2010-K431)</f>
        <v>-9.4433700787401573</v>
      </c>
      <c r="P431" s="3">
        <v>-6.6</v>
      </c>
      <c r="Q431" s="2">
        <f t="shared" si="148"/>
        <v>-6.6</v>
      </c>
      <c r="R431" s="21">
        <f t="shared" ca="1" si="282"/>
        <v>89.177238444044889</v>
      </c>
      <c r="X431" s="2">
        <f t="shared" si="287"/>
        <v>-6.6</v>
      </c>
      <c r="AC431" s="1">
        <f t="shared" si="290"/>
        <v>6.9</v>
      </c>
      <c r="AD431" s="5">
        <v>1</v>
      </c>
      <c r="AE431" s="5">
        <v>0</v>
      </c>
      <c r="AF431" s="5">
        <v>1</v>
      </c>
      <c r="AG431" s="5">
        <v>1</v>
      </c>
      <c r="AH431" s="5">
        <v>1</v>
      </c>
      <c r="AI431" s="3">
        <f t="shared" si="277"/>
        <v>2.9</v>
      </c>
      <c r="AJ431" s="5">
        <f t="shared" si="295"/>
        <v>1</v>
      </c>
      <c r="AK431" s="5">
        <f t="shared" si="283"/>
        <v>0</v>
      </c>
      <c r="AL431" s="5">
        <f t="shared" si="284"/>
        <v>0</v>
      </c>
      <c r="AM431" s="5">
        <f t="shared" si="296"/>
        <v>0</v>
      </c>
      <c r="AN431" s="5">
        <f t="shared" si="285"/>
        <v>0</v>
      </c>
      <c r="AO431" s="5">
        <f t="shared" si="297"/>
        <v>0</v>
      </c>
      <c r="AP431" s="11" t="s">
        <v>42</v>
      </c>
      <c r="AQ431" s="1">
        <v>3</v>
      </c>
      <c r="AR431" s="5">
        <v>1</v>
      </c>
      <c r="AS431" s="5">
        <v>1</v>
      </c>
      <c r="AT431" s="5">
        <v>0</v>
      </c>
      <c r="AU431" s="5">
        <v>0</v>
      </c>
      <c r="AV431" s="5">
        <v>0</v>
      </c>
      <c r="AW431" s="5">
        <v>0</v>
      </c>
      <c r="AX431" s="5">
        <v>1</v>
      </c>
      <c r="AY431" s="1">
        <f t="shared" si="298"/>
        <v>0</v>
      </c>
      <c r="AZ431" s="1">
        <f t="shared" si="299"/>
        <v>0</v>
      </c>
      <c r="BA431" s="1">
        <f t="shared" si="300"/>
        <v>0</v>
      </c>
      <c r="BB431" s="5">
        <v>0</v>
      </c>
      <c r="BC431" s="5">
        <v>0</v>
      </c>
      <c r="BD431" s="5">
        <v>1</v>
      </c>
      <c r="BE431" s="5">
        <f t="shared" si="288"/>
        <v>0</v>
      </c>
      <c r="BF431" s="5">
        <v>0</v>
      </c>
      <c r="BG431" s="5">
        <f t="shared" si="302"/>
        <v>0</v>
      </c>
      <c r="BH431" s="5">
        <f t="shared" si="302"/>
        <v>0</v>
      </c>
      <c r="BI431" s="5">
        <f t="shared" si="302"/>
        <v>0</v>
      </c>
      <c r="BJ431" s="5">
        <f t="shared" si="302"/>
        <v>0</v>
      </c>
      <c r="BK431" s="5">
        <f t="shared" si="302"/>
        <v>0</v>
      </c>
      <c r="BL431" s="5">
        <f t="shared" si="302"/>
        <v>0</v>
      </c>
      <c r="BM431" s="5">
        <f t="shared" si="302"/>
        <v>0</v>
      </c>
      <c r="BN431" s="5">
        <f t="shared" si="301"/>
        <v>0</v>
      </c>
      <c r="BO431" s="5">
        <f t="shared" si="301"/>
        <v>0</v>
      </c>
      <c r="BP431" s="5">
        <f t="shared" si="301"/>
        <v>0</v>
      </c>
      <c r="BQ431" s="5">
        <f t="shared" si="301"/>
        <v>0</v>
      </c>
      <c r="BR431" s="5">
        <f t="shared" si="301"/>
        <v>0</v>
      </c>
      <c r="BS431" s="5">
        <f t="shared" si="301"/>
        <v>0</v>
      </c>
      <c r="BT431" s="5">
        <f t="shared" si="301"/>
        <v>0</v>
      </c>
      <c r="BU431" s="5">
        <f t="shared" si="301"/>
        <v>0</v>
      </c>
      <c r="BV431" s="5">
        <f t="shared" si="301"/>
        <v>0</v>
      </c>
      <c r="BW431" s="5">
        <f t="shared" si="301"/>
        <v>0</v>
      </c>
      <c r="BX431" s="5">
        <f t="shared" si="301"/>
        <v>0</v>
      </c>
      <c r="BY431" s="5">
        <f t="shared" si="301"/>
        <v>1</v>
      </c>
      <c r="BZ431" s="5">
        <f t="shared" si="301"/>
        <v>0</v>
      </c>
      <c r="CA431" s="5">
        <f t="shared" si="301"/>
        <v>0</v>
      </c>
      <c r="CB431" s="5">
        <f t="shared" si="301"/>
        <v>0</v>
      </c>
      <c r="CC431" s="5">
        <f t="shared" si="303"/>
        <v>0</v>
      </c>
      <c r="CD431" s="5">
        <f t="shared" si="303"/>
        <v>0</v>
      </c>
      <c r="CE431" s="5">
        <f t="shared" si="303"/>
        <v>0</v>
      </c>
    </row>
    <row r="432" spans="3:83" x14ac:dyDescent="0.2">
      <c r="C432" s="1">
        <f>Growth!D437</f>
        <v>0</v>
      </c>
      <c r="D432" s="5" t="b">
        <f t="shared" si="280"/>
        <v>0</v>
      </c>
      <c r="E432" s="5">
        <v>2009</v>
      </c>
      <c r="F432" s="5">
        <f ca="1">LOOKUP($E432,frequence!$A$2:$A$35,frequence!L$2:L$35)</f>
        <v>37.435381616951773</v>
      </c>
      <c r="G432" s="5">
        <f ca="1">LOOKUP($E432,frequence!$A$2:$A$35,frequence!K$2:K$35)</f>
        <v>3.3073014644850907</v>
      </c>
      <c r="H432" s="5">
        <f ca="1">LOOKUP($E432,frequence!$A$2:$A$35,frequence!M$2:M$35)</f>
        <v>226.95522031937912</v>
      </c>
      <c r="I432" s="5">
        <v>1995</v>
      </c>
      <c r="J432" s="7">
        <f>LOOKUP(I432,CPI!A$69:A$103,CPI!O$69:O$103)</f>
        <v>1.4308136482939633</v>
      </c>
      <c r="K432" s="18">
        <v>2010</v>
      </c>
      <c r="L432" s="7">
        <f t="shared" ca="1" si="281"/>
        <v>1</v>
      </c>
      <c r="M432" s="7">
        <f t="shared" si="291"/>
        <v>0.20909090909090911</v>
      </c>
      <c r="N432" s="14">
        <f t="shared" si="289"/>
        <v>3.0303030303030304E-2</v>
      </c>
      <c r="O432" s="1">
        <f ca="1">P432*J432*(1+Growth!G$6)^(2010-K432)</f>
        <v>-4.1493595800524936</v>
      </c>
      <c r="P432" s="3">
        <v>-2.9</v>
      </c>
      <c r="Q432" s="2">
        <f t="shared" si="148"/>
        <v>-2.9</v>
      </c>
      <c r="R432" s="21">
        <f t="shared" ca="1" si="282"/>
        <v>17.217184924573406</v>
      </c>
      <c r="X432" s="2">
        <f t="shared" si="287"/>
        <v>-2.9</v>
      </c>
      <c r="AC432" s="1">
        <f t="shared" si="290"/>
        <v>6.9</v>
      </c>
      <c r="AD432" s="5">
        <v>1</v>
      </c>
      <c r="AE432" s="5">
        <v>0</v>
      </c>
      <c r="AF432" s="5">
        <v>1</v>
      </c>
      <c r="AG432" s="5">
        <v>1</v>
      </c>
      <c r="AH432" s="5">
        <v>1</v>
      </c>
      <c r="AI432" s="3">
        <f t="shared" si="277"/>
        <v>2.9</v>
      </c>
      <c r="AJ432" s="5">
        <f t="shared" si="295"/>
        <v>1</v>
      </c>
      <c r="AK432" s="5">
        <f t="shared" si="283"/>
        <v>0</v>
      </c>
      <c r="AL432" s="5">
        <f t="shared" si="284"/>
        <v>0</v>
      </c>
      <c r="AM432" s="5">
        <f t="shared" si="296"/>
        <v>0</v>
      </c>
      <c r="AN432" s="5">
        <f t="shared" si="285"/>
        <v>0</v>
      </c>
      <c r="AO432" s="5">
        <f t="shared" si="297"/>
        <v>0</v>
      </c>
      <c r="AP432" s="11" t="s">
        <v>42</v>
      </c>
      <c r="AQ432" s="1">
        <v>3</v>
      </c>
      <c r="AR432" s="5">
        <v>1</v>
      </c>
      <c r="AS432" s="5">
        <v>1</v>
      </c>
      <c r="AT432" s="5">
        <v>0</v>
      </c>
      <c r="AU432" s="5">
        <v>0</v>
      </c>
      <c r="AV432" s="5">
        <v>0</v>
      </c>
      <c r="AW432" s="5">
        <v>0</v>
      </c>
      <c r="AX432" s="5">
        <v>1</v>
      </c>
      <c r="AY432" s="1">
        <f t="shared" si="298"/>
        <v>0</v>
      </c>
      <c r="AZ432" s="1">
        <f t="shared" si="299"/>
        <v>0</v>
      </c>
      <c r="BA432" s="1">
        <f t="shared" si="300"/>
        <v>0</v>
      </c>
      <c r="BB432" s="5">
        <v>0</v>
      </c>
      <c r="BC432" s="5">
        <v>0</v>
      </c>
      <c r="BD432" s="5">
        <v>1</v>
      </c>
      <c r="BE432" s="5">
        <f t="shared" si="288"/>
        <v>0</v>
      </c>
      <c r="BF432" s="5">
        <v>0</v>
      </c>
      <c r="BG432" s="5">
        <f t="shared" si="302"/>
        <v>0</v>
      </c>
      <c r="BH432" s="5">
        <f t="shared" si="302"/>
        <v>0</v>
      </c>
      <c r="BI432" s="5">
        <f t="shared" si="302"/>
        <v>0</v>
      </c>
      <c r="BJ432" s="5">
        <f t="shared" si="302"/>
        <v>0</v>
      </c>
      <c r="BK432" s="5">
        <f t="shared" si="302"/>
        <v>0</v>
      </c>
      <c r="BL432" s="5">
        <f t="shared" si="302"/>
        <v>0</v>
      </c>
      <c r="BM432" s="5">
        <f t="shared" si="302"/>
        <v>0</v>
      </c>
      <c r="BN432" s="5">
        <f t="shared" si="301"/>
        <v>0</v>
      </c>
      <c r="BO432" s="5">
        <f t="shared" si="301"/>
        <v>0</v>
      </c>
      <c r="BP432" s="5">
        <f t="shared" si="301"/>
        <v>0</v>
      </c>
      <c r="BQ432" s="5">
        <f t="shared" si="301"/>
        <v>0</v>
      </c>
      <c r="BR432" s="5">
        <f t="shared" si="301"/>
        <v>0</v>
      </c>
      <c r="BS432" s="5">
        <f t="shared" si="301"/>
        <v>0</v>
      </c>
      <c r="BT432" s="5">
        <f t="shared" si="301"/>
        <v>0</v>
      </c>
      <c r="BU432" s="5">
        <f t="shared" si="301"/>
        <v>0</v>
      </c>
      <c r="BV432" s="5">
        <f t="shared" si="301"/>
        <v>0</v>
      </c>
      <c r="BW432" s="5">
        <f t="shared" si="301"/>
        <v>0</v>
      </c>
      <c r="BX432" s="5">
        <f t="shared" si="301"/>
        <v>0</v>
      </c>
      <c r="BY432" s="5">
        <f t="shared" si="301"/>
        <v>1</v>
      </c>
      <c r="BZ432" s="5">
        <f t="shared" si="301"/>
        <v>0</v>
      </c>
      <c r="CA432" s="5">
        <f t="shared" si="301"/>
        <v>0</v>
      </c>
      <c r="CB432" s="5">
        <f t="shared" si="301"/>
        <v>0</v>
      </c>
      <c r="CC432" s="5">
        <f t="shared" si="303"/>
        <v>0</v>
      </c>
      <c r="CD432" s="5">
        <f t="shared" si="303"/>
        <v>0</v>
      </c>
      <c r="CE432" s="5">
        <f t="shared" si="303"/>
        <v>0</v>
      </c>
    </row>
    <row r="433" spans="1:83" x14ac:dyDescent="0.2">
      <c r="A433" s="1" t="s">
        <v>63</v>
      </c>
      <c r="B433" s="11" t="s">
        <v>143</v>
      </c>
      <c r="C433" s="1">
        <f>Growth!D438</f>
        <v>0</v>
      </c>
      <c r="D433" s="5">
        <f t="shared" si="280"/>
        <v>2009</v>
      </c>
      <c r="E433" s="5">
        <v>2009</v>
      </c>
      <c r="F433" s="5">
        <f ca="1">LOOKUP($E433,frequence!$A$2:$A$35,frequence!L$2:L$35)</f>
        <v>37.435381616951773</v>
      </c>
      <c r="G433" s="5">
        <f ca="1">LOOKUP($E433,frequence!$A$2:$A$35,frequence!K$2:K$35)</f>
        <v>3.3073014644850907</v>
      </c>
      <c r="H433" s="5">
        <f ca="1">LOOKUP($E433,frequence!$A$2:$A$35,frequence!M$2:M$35)</f>
        <v>226.95522031937912</v>
      </c>
      <c r="I433" s="5">
        <v>1995</v>
      </c>
      <c r="J433" s="7">
        <f>LOOKUP(I433,CPI!A$69:A$103,CPI!O$69:O$103)</f>
        <v>1.4308136482939633</v>
      </c>
      <c r="K433" s="5">
        <v>2010</v>
      </c>
      <c r="L433" s="7">
        <f t="shared" ca="1" si="281"/>
        <v>1</v>
      </c>
      <c r="M433" s="7">
        <f t="shared" si="291"/>
        <v>1.7250000000000001</v>
      </c>
      <c r="N433" s="14">
        <v>0.25</v>
      </c>
      <c r="O433" s="1">
        <f ca="1">P433*J433*(1+Growth!G$6)^(2010-K433)</f>
        <v>-2.6899296587926509</v>
      </c>
      <c r="P433" s="3">
        <v>-1.88</v>
      </c>
      <c r="Q433" s="2">
        <f t="shared" si="148"/>
        <v>-1.88</v>
      </c>
      <c r="R433" s="21">
        <f t="shared" ca="1" si="282"/>
        <v>7.2357215692523473</v>
      </c>
      <c r="S433" s="1">
        <v>2.2000000000000002</v>
      </c>
      <c r="X433" s="2">
        <f t="shared" si="287"/>
        <v>-1.88</v>
      </c>
      <c r="AC433" s="1">
        <f>SUM(AD433:AI433)</f>
        <v>6.9</v>
      </c>
      <c r="AD433" s="5">
        <v>1</v>
      </c>
      <c r="AE433" s="5">
        <v>0</v>
      </c>
      <c r="AF433" s="5">
        <v>1</v>
      </c>
      <c r="AG433" s="5">
        <v>1</v>
      </c>
      <c r="AH433" s="5">
        <v>1</v>
      </c>
      <c r="AI433" s="3">
        <f t="shared" si="277"/>
        <v>2.9</v>
      </c>
      <c r="AJ433" s="5">
        <f t="shared" si="295"/>
        <v>0</v>
      </c>
      <c r="AK433" s="5">
        <f t="shared" si="283"/>
        <v>0</v>
      </c>
      <c r="AL433" s="5">
        <f t="shared" si="284"/>
        <v>0</v>
      </c>
      <c r="AM433" s="5">
        <f t="shared" si="296"/>
        <v>0</v>
      </c>
      <c r="AN433" s="5">
        <f t="shared" si="285"/>
        <v>0</v>
      </c>
      <c r="AO433" s="5">
        <f t="shared" si="297"/>
        <v>0</v>
      </c>
      <c r="AP433" s="11" t="s">
        <v>42</v>
      </c>
      <c r="AQ433" s="1" t="s">
        <v>42</v>
      </c>
      <c r="AR433" s="5">
        <v>0</v>
      </c>
      <c r="AS433" s="5">
        <v>1</v>
      </c>
      <c r="AT433" s="5">
        <v>0</v>
      </c>
      <c r="AU433" s="5">
        <v>1</v>
      </c>
      <c r="AV433" s="5">
        <v>0</v>
      </c>
      <c r="AW433" s="5">
        <v>0</v>
      </c>
      <c r="AX433" s="5">
        <v>1</v>
      </c>
      <c r="AY433" s="1">
        <f t="shared" si="298"/>
        <v>0</v>
      </c>
      <c r="AZ433" s="1">
        <f t="shared" si="299"/>
        <v>0</v>
      </c>
      <c r="BA433" s="1">
        <f t="shared" si="300"/>
        <v>0</v>
      </c>
      <c r="BB433" s="5">
        <v>0</v>
      </c>
      <c r="BC433" s="5">
        <v>0</v>
      </c>
      <c r="BD433" s="5">
        <v>1</v>
      </c>
      <c r="BE433" s="5">
        <f>1-SUM(BB433:BD433)</f>
        <v>0</v>
      </c>
      <c r="BF433" s="5">
        <v>0</v>
      </c>
      <c r="BG433" s="5">
        <f t="shared" si="302"/>
        <v>0</v>
      </c>
      <c r="BH433" s="5">
        <f t="shared" si="302"/>
        <v>0</v>
      </c>
      <c r="BI433" s="5">
        <f t="shared" si="302"/>
        <v>0</v>
      </c>
      <c r="BJ433" s="5">
        <f t="shared" si="302"/>
        <v>0</v>
      </c>
      <c r="BK433" s="5">
        <f t="shared" si="302"/>
        <v>0</v>
      </c>
      <c r="BL433" s="5">
        <f t="shared" si="302"/>
        <v>0</v>
      </c>
      <c r="BM433" s="5">
        <f t="shared" si="302"/>
        <v>0</v>
      </c>
      <c r="BN433" s="5">
        <f t="shared" si="301"/>
        <v>0</v>
      </c>
      <c r="BO433" s="5">
        <f t="shared" si="301"/>
        <v>0</v>
      </c>
      <c r="BP433" s="5">
        <f t="shared" si="301"/>
        <v>0</v>
      </c>
      <c r="BQ433" s="5">
        <f t="shared" si="301"/>
        <v>0</v>
      </c>
      <c r="BR433" s="5">
        <f t="shared" si="301"/>
        <v>0</v>
      </c>
      <c r="BS433" s="5">
        <f t="shared" si="301"/>
        <v>0</v>
      </c>
      <c r="BT433" s="5">
        <f t="shared" si="301"/>
        <v>0</v>
      </c>
      <c r="BU433" s="5">
        <f t="shared" si="301"/>
        <v>0</v>
      </c>
      <c r="BV433" s="5">
        <f t="shared" si="301"/>
        <v>0</v>
      </c>
      <c r="BW433" s="5">
        <f t="shared" si="301"/>
        <v>0</v>
      </c>
      <c r="BX433" s="5">
        <f t="shared" si="301"/>
        <v>0</v>
      </c>
      <c r="BY433" s="5">
        <f t="shared" si="301"/>
        <v>1</v>
      </c>
      <c r="BZ433" s="5">
        <f t="shared" si="301"/>
        <v>0</v>
      </c>
      <c r="CA433" s="5">
        <f t="shared" si="301"/>
        <v>0</v>
      </c>
      <c r="CB433" s="5">
        <f t="shared" si="301"/>
        <v>0</v>
      </c>
      <c r="CC433" s="5">
        <f t="shared" si="303"/>
        <v>0</v>
      </c>
      <c r="CD433" s="5">
        <f t="shared" si="303"/>
        <v>0</v>
      </c>
      <c r="CE433" s="5">
        <f t="shared" si="303"/>
        <v>0</v>
      </c>
    </row>
    <row r="434" spans="1:83" x14ac:dyDescent="0.2">
      <c r="C434" s="1">
        <f>Growth!D439</f>
        <v>0</v>
      </c>
      <c r="D434" s="5" t="b">
        <f t="shared" si="280"/>
        <v>0</v>
      </c>
      <c r="E434" s="5">
        <v>2009</v>
      </c>
      <c r="F434" s="5">
        <f ca="1">LOOKUP($E434,frequence!$A$2:$A$35,frequence!L$2:L$35)</f>
        <v>37.435381616951773</v>
      </c>
      <c r="G434" s="5">
        <f ca="1">LOOKUP($E434,frequence!$A$2:$A$35,frequence!K$2:K$35)</f>
        <v>3.3073014644850907</v>
      </c>
      <c r="H434" s="5">
        <f ca="1">LOOKUP($E434,frequence!$A$2:$A$35,frequence!M$2:M$35)</f>
        <v>226.95522031937912</v>
      </c>
      <c r="I434" s="5">
        <v>1995</v>
      </c>
      <c r="J434" s="7">
        <f>LOOKUP(I434,CPI!A$69:A$103,CPI!O$69:O$103)</f>
        <v>1.4308136482939633</v>
      </c>
      <c r="K434" s="5">
        <v>2010</v>
      </c>
      <c r="L434" s="7">
        <f t="shared" ca="1" si="281"/>
        <v>1</v>
      </c>
      <c r="M434" s="7">
        <f t="shared" si="291"/>
        <v>1.7250000000000001</v>
      </c>
      <c r="N434" s="14">
        <v>0.25</v>
      </c>
      <c r="O434" s="1">
        <f ca="1">P434*J434*(1+Growth!G$6)^(2010-K434)</f>
        <v>-0.50078477690288714</v>
      </c>
      <c r="P434" s="3">
        <v>-0.35</v>
      </c>
      <c r="Q434" s="2">
        <f t="shared" si="148"/>
        <v>-0.35</v>
      </c>
      <c r="R434" s="21">
        <f t="shared" ca="1" si="282"/>
        <v>0.25078539277767442</v>
      </c>
      <c r="S434" s="1">
        <v>4.8499999999999996</v>
      </c>
      <c r="X434" s="2">
        <f t="shared" si="287"/>
        <v>-0.35</v>
      </c>
      <c r="AC434" s="1">
        <f>SUM(AD434:AI434)</f>
        <v>6.9</v>
      </c>
      <c r="AD434" s="5">
        <v>1</v>
      </c>
      <c r="AE434" s="5">
        <v>0</v>
      </c>
      <c r="AF434" s="5">
        <v>1</v>
      </c>
      <c r="AG434" s="5">
        <v>1</v>
      </c>
      <c r="AH434" s="5">
        <v>1</v>
      </c>
      <c r="AI434" s="3">
        <f t="shared" si="277"/>
        <v>2.9</v>
      </c>
      <c r="AJ434" s="5">
        <f t="shared" si="295"/>
        <v>0</v>
      </c>
      <c r="AK434" s="5">
        <f t="shared" si="283"/>
        <v>0</v>
      </c>
      <c r="AL434" s="5">
        <f t="shared" si="284"/>
        <v>0</v>
      </c>
      <c r="AM434" s="5">
        <f t="shared" si="296"/>
        <v>0</v>
      </c>
      <c r="AN434" s="5">
        <f t="shared" si="285"/>
        <v>0</v>
      </c>
      <c r="AO434" s="5">
        <f t="shared" si="297"/>
        <v>0</v>
      </c>
      <c r="AP434" s="11" t="s">
        <v>42</v>
      </c>
      <c r="AQ434" s="1" t="s">
        <v>42</v>
      </c>
      <c r="AR434" s="5">
        <v>1</v>
      </c>
      <c r="AS434" s="5">
        <v>1</v>
      </c>
      <c r="AT434" s="5">
        <v>0</v>
      </c>
      <c r="AU434" s="5">
        <v>1</v>
      </c>
      <c r="AV434" s="5">
        <v>0</v>
      </c>
      <c r="AW434" s="5">
        <v>0</v>
      </c>
      <c r="AX434" s="5">
        <v>1</v>
      </c>
      <c r="AY434" s="1">
        <f t="shared" si="298"/>
        <v>0</v>
      </c>
      <c r="AZ434" s="1">
        <f t="shared" si="299"/>
        <v>0</v>
      </c>
      <c r="BA434" s="1">
        <f t="shared" si="300"/>
        <v>0</v>
      </c>
      <c r="BB434" s="5">
        <v>0</v>
      </c>
      <c r="BC434" s="5">
        <v>0</v>
      </c>
      <c r="BD434" s="5">
        <v>1</v>
      </c>
      <c r="BE434" s="5">
        <f>1-SUM(BB434:BD434)</f>
        <v>0</v>
      </c>
      <c r="BF434" s="5">
        <v>0</v>
      </c>
      <c r="BG434" s="5">
        <f t="shared" si="302"/>
        <v>0</v>
      </c>
      <c r="BH434" s="5">
        <f t="shared" si="302"/>
        <v>0</v>
      </c>
      <c r="BI434" s="5">
        <f t="shared" si="302"/>
        <v>0</v>
      </c>
      <c r="BJ434" s="5">
        <f t="shared" si="302"/>
        <v>0</v>
      </c>
      <c r="BK434" s="5">
        <f t="shared" si="302"/>
        <v>0</v>
      </c>
      <c r="BL434" s="5">
        <f t="shared" si="302"/>
        <v>0</v>
      </c>
      <c r="BM434" s="5">
        <f t="shared" si="302"/>
        <v>0</v>
      </c>
      <c r="BN434" s="5">
        <f t="shared" si="301"/>
        <v>0</v>
      </c>
      <c r="BO434" s="5">
        <f t="shared" si="301"/>
        <v>0</v>
      </c>
      <c r="BP434" s="5">
        <f t="shared" si="301"/>
        <v>0</v>
      </c>
      <c r="BQ434" s="5">
        <f t="shared" si="301"/>
        <v>0</v>
      </c>
      <c r="BR434" s="5">
        <f t="shared" si="301"/>
        <v>0</v>
      </c>
      <c r="BS434" s="5">
        <f t="shared" si="301"/>
        <v>0</v>
      </c>
      <c r="BT434" s="5">
        <f t="shared" si="301"/>
        <v>0</v>
      </c>
      <c r="BU434" s="5">
        <f t="shared" si="301"/>
        <v>0</v>
      </c>
      <c r="BV434" s="5">
        <f t="shared" si="301"/>
        <v>0</v>
      </c>
      <c r="BW434" s="5">
        <f t="shared" si="301"/>
        <v>0</v>
      </c>
      <c r="BX434" s="5">
        <f t="shared" si="301"/>
        <v>0</v>
      </c>
      <c r="BY434" s="5">
        <f t="shared" si="301"/>
        <v>1</v>
      </c>
      <c r="BZ434" s="5">
        <f t="shared" si="301"/>
        <v>0</v>
      </c>
      <c r="CA434" s="5">
        <f t="shared" si="301"/>
        <v>0</v>
      </c>
      <c r="CB434" s="5">
        <f t="shared" si="301"/>
        <v>0</v>
      </c>
      <c r="CC434" s="5">
        <f t="shared" si="303"/>
        <v>0</v>
      </c>
      <c r="CD434" s="5">
        <f t="shared" si="303"/>
        <v>0</v>
      </c>
      <c r="CE434" s="5">
        <f t="shared" si="303"/>
        <v>0</v>
      </c>
    </row>
    <row r="435" spans="1:83" x14ac:dyDescent="0.2">
      <c r="C435" s="1">
        <f>Growth!D440</f>
        <v>0</v>
      </c>
      <c r="D435" s="5" t="b">
        <f t="shared" si="280"/>
        <v>0</v>
      </c>
      <c r="E435" s="5">
        <v>2009</v>
      </c>
      <c r="F435" s="5">
        <f ca="1">LOOKUP($E435,frequence!$A$2:$A$35,frequence!L$2:L$35)</f>
        <v>37.435381616951773</v>
      </c>
      <c r="G435" s="5">
        <f ca="1">LOOKUP($E435,frequence!$A$2:$A$35,frequence!K$2:K$35)</f>
        <v>3.3073014644850907</v>
      </c>
      <c r="H435" s="5">
        <f ca="1">LOOKUP($E435,frequence!$A$2:$A$35,frequence!M$2:M$35)</f>
        <v>226.95522031937912</v>
      </c>
      <c r="I435" s="5">
        <v>1995</v>
      </c>
      <c r="J435" s="7">
        <f>LOOKUP(I435,CPI!A$69:A$103,CPI!O$69:O$103)</f>
        <v>1.4308136482939633</v>
      </c>
      <c r="K435" s="5">
        <v>2010</v>
      </c>
      <c r="L435" s="7">
        <f t="shared" ca="1" si="281"/>
        <v>1</v>
      </c>
      <c r="M435" s="7">
        <f t="shared" si="291"/>
        <v>1.7250000000000001</v>
      </c>
      <c r="N435" s="14">
        <v>0.25</v>
      </c>
      <c r="O435" s="1">
        <f ca="1">P435*J435*(1+Growth!G$6)^(2010-K435)</f>
        <v>12.820090288713912</v>
      </c>
      <c r="P435" s="3">
        <v>8.9600000000000009</v>
      </c>
      <c r="Q435" s="2">
        <f t="shared" si="148"/>
        <v>8.9600000000000009</v>
      </c>
      <c r="R435" s="21">
        <f t="shared" ca="1" si="282"/>
        <v>164.35471501077674</v>
      </c>
      <c r="S435" s="1">
        <v>6.88</v>
      </c>
      <c r="X435" s="2">
        <f t="shared" si="287"/>
        <v>8.9600000000000009</v>
      </c>
      <c r="AC435" s="1">
        <f>SUM(AD435:AI435)</f>
        <v>6.9</v>
      </c>
      <c r="AD435" s="5">
        <v>1</v>
      </c>
      <c r="AE435" s="5">
        <v>0</v>
      </c>
      <c r="AF435" s="5">
        <v>1</v>
      </c>
      <c r="AG435" s="5">
        <v>1</v>
      </c>
      <c r="AH435" s="5">
        <v>1</v>
      </c>
      <c r="AI435" s="3">
        <f t="shared" si="277"/>
        <v>2.9</v>
      </c>
      <c r="AJ435" s="5">
        <f t="shared" si="295"/>
        <v>0</v>
      </c>
      <c r="AK435" s="5">
        <f t="shared" si="283"/>
        <v>0</v>
      </c>
      <c r="AL435" s="5">
        <f t="shared" si="284"/>
        <v>0</v>
      </c>
      <c r="AM435" s="5">
        <f t="shared" si="296"/>
        <v>0</v>
      </c>
      <c r="AN435" s="5">
        <f t="shared" si="285"/>
        <v>0</v>
      </c>
      <c r="AO435" s="5">
        <f t="shared" si="297"/>
        <v>0</v>
      </c>
      <c r="AP435" s="11" t="s">
        <v>42</v>
      </c>
      <c r="AQ435" s="1" t="s">
        <v>42</v>
      </c>
      <c r="AR435" s="5">
        <v>0</v>
      </c>
      <c r="AS435" s="5">
        <v>1</v>
      </c>
      <c r="AT435" s="5">
        <v>1</v>
      </c>
      <c r="AU435" s="5">
        <v>1</v>
      </c>
      <c r="AV435" s="5">
        <v>0</v>
      </c>
      <c r="AW435" s="5">
        <v>0</v>
      </c>
      <c r="AX435" s="5">
        <v>1</v>
      </c>
      <c r="AY435" s="1">
        <f t="shared" si="298"/>
        <v>0</v>
      </c>
      <c r="AZ435" s="1">
        <f t="shared" si="299"/>
        <v>0</v>
      </c>
      <c r="BA435" s="1">
        <f t="shared" si="300"/>
        <v>0</v>
      </c>
      <c r="BB435" s="5">
        <v>0</v>
      </c>
      <c r="BC435" s="5">
        <v>0</v>
      </c>
      <c r="BD435" s="5">
        <v>1</v>
      </c>
      <c r="BE435" s="5">
        <f>1-SUM(BB435:BD435)</f>
        <v>0</v>
      </c>
      <c r="BF435" s="5">
        <v>0</v>
      </c>
      <c r="BG435" s="5">
        <f t="shared" si="302"/>
        <v>0</v>
      </c>
      <c r="BH435" s="5">
        <f t="shared" si="302"/>
        <v>0</v>
      </c>
      <c r="BI435" s="5">
        <f t="shared" si="302"/>
        <v>0</v>
      </c>
      <c r="BJ435" s="5">
        <f t="shared" si="302"/>
        <v>0</v>
      </c>
      <c r="BK435" s="5">
        <f t="shared" si="302"/>
        <v>0</v>
      </c>
      <c r="BL435" s="5">
        <f t="shared" si="302"/>
        <v>0</v>
      </c>
      <c r="BM435" s="5">
        <f t="shared" si="302"/>
        <v>0</v>
      </c>
      <c r="BN435" s="5">
        <f t="shared" si="301"/>
        <v>0</v>
      </c>
      <c r="BO435" s="5">
        <f t="shared" si="301"/>
        <v>0</v>
      </c>
      <c r="BP435" s="5">
        <f t="shared" si="301"/>
        <v>0</v>
      </c>
      <c r="BQ435" s="5">
        <f t="shared" si="301"/>
        <v>0</v>
      </c>
      <c r="BR435" s="5">
        <f t="shared" si="301"/>
        <v>0</v>
      </c>
      <c r="BS435" s="5">
        <f t="shared" si="301"/>
        <v>0</v>
      </c>
      <c r="BT435" s="5">
        <f t="shared" si="301"/>
        <v>0</v>
      </c>
      <c r="BU435" s="5">
        <f t="shared" si="301"/>
        <v>0</v>
      </c>
      <c r="BV435" s="5">
        <f t="shared" si="301"/>
        <v>0</v>
      </c>
      <c r="BW435" s="5">
        <f t="shared" si="301"/>
        <v>0</v>
      </c>
      <c r="BX435" s="5">
        <f t="shared" si="301"/>
        <v>0</v>
      </c>
      <c r="BY435" s="5">
        <f t="shared" si="301"/>
        <v>1</v>
      </c>
      <c r="BZ435" s="5">
        <f t="shared" si="301"/>
        <v>0</v>
      </c>
      <c r="CA435" s="5">
        <f t="shared" si="301"/>
        <v>0</v>
      </c>
      <c r="CB435" s="5">
        <f t="shared" si="301"/>
        <v>0</v>
      </c>
      <c r="CC435" s="5">
        <f t="shared" si="303"/>
        <v>0</v>
      </c>
      <c r="CD435" s="5">
        <f t="shared" si="303"/>
        <v>0</v>
      </c>
      <c r="CE435" s="5">
        <f t="shared" si="303"/>
        <v>0</v>
      </c>
    </row>
    <row r="436" spans="1:83" x14ac:dyDescent="0.2">
      <c r="C436" s="1">
        <f>Growth!D441</f>
        <v>0</v>
      </c>
      <c r="D436" s="5" t="b">
        <f t="shared" si="280"/>
        <v>0</v>
      </c>
      <c r="E436" s="5">
        <v>2009</v>
      </c>
      <c r="F436" s="5">
        <f ca="1">LOOKUP($E436,frequence!$A$2:$A$35,frequence!L$2:L$35)</f>
        <v>37.435381616951773</v>
      </c>
      <c r="G436" s="5">
        <f ca="1">LOOKUP($E436,frequence!$A$2:$A$35,frequence!K$2:K$35)</f>
        <v>3.3073014644850907</v>
      </c>
      <c r="H436" s="5">
        <f ca="1">LOOKUP($E436,frequence!$A$2:$A$35,frequence!M$2:M$35)</f>
        <v>226.95522031937912</v>
      </c>
      <c r="I436" s="5">
        <v>1995</v>
      </c>
      <c r="J436" s="7">
        <f>LOOKUP(I436,CPI!A$69:A$103,CPI!O$69:O$103)</f>
        <v>1.4308136482939633</v>
      </c>
      <c r="K436" s="5">
        <v>2010</v>
      </c>
      <c r="L436" s="7">
        <f t="shared" ca="1" si="281"/>
        <v>1</v>
      </c>
      <c r="M436" s="7">
        <f t="shared" si="291"/>
        <v>1.7250000000000001</v>
      </c>
      <c r="N436" s="14">
        <v>0.25</v>
      </c>
      <c r="O436" s="1">
        <f ca="1">P436*J436*(1+Growth!G$6)^(2010-K436)</f>
        <v>63.456585301837272</v>
      </c>
      <c r="P436" s="3">
        <v>44.35</v>
      </c>
      <c r="Q436" s="2">
        <f t="shared" si="148"/>
        <v>44.35</v>
      </c>
      <c r="R436" s="21">
        <f t="shared" ca="1" si="282"/>
        <v>4026.7382181693501</v>
      </c>
      <c r="S436" s="1">
        <v>11.85</v>
      </c>
      <c r="X436" s="2">
        <f t="shared" si="287"/>
        <v>44.35</v>
      </c>
      <c r="AC436" s="1">
        <f>SUM(AD436:AI436)</f>
        <v>6.9</v>
      </c>
      <c r="AD436" s="5">
        <v>1</v>
      </c>
      <c r="AE436" s="5">
        <v>0</v>
      </c>
      <c r="AF436" s="5">
        <v>1</v>
      </c>
      <c r="AG436" s="5">
        <v>1</v>
      </c>
      <c r="AH436" s="5">
        <v>1</v>
      </c>
      <c r="AI436" s="3">
        <f t="shared" si="277"/>
        <v>2.9</v>
      </c>
      <c r="AJ436" s="5">
        <f t="shared" si="295"/>
        <v>0</v>
      </c>
      <c r="AK436" s="5">
        <f t="shared" si="283"/>
        <v>0</v>
      </c>
      <c r="AL436" s="5">
        <f t="shared" si="284"/>
        <v>0</v>
      </c>
      <c r="AM436" s="5">
        <f t="shared" si="296"/>
        <v>0</v>
      </c>
      <c r="AN436" s="5">
        <f t="shared" si="285"/>
        <v>0</v>
      </c>
      <c r="AO436" s="5">
        <f t="shared" si="297"/>
        <v>0</v>
      </c>
      <c r="AP436" s="11" t="s">
        <v>42</v>
      </c>
      <c r="AQ436" s="1" t="s">
        <v>42</v>
      </c>
      <c r="AR436" s="5">
        <v>1</v>
      </c>
      <c r="AS436" s="5">
        <v>1</v>
      </c>
      <c r="AT436" s="5">
        <v>1</v>
      </c>
      <c r="AU436" s="5">
        <v>1</v>
      </c>
      <c r="AV436" s="5">
        <v>0</v>
      </c>
      <c r="AW436" s="5">
        <v>0</v>
      </c>
      <c r="AX436" s="5">
        <v>1</v>
      </c>
      <c r="AY436" s="1">
        <f t="shared" si="298"/>
        <v>0</v>
      </c>
      <c r="AZ436" s="1">
        <f t="shared" si="299"/>
        <v>0</v>
      </c>
      <c r="BA436" s="1">
        <f t="shared" si="300"/>
        <v>0</v>
      </c>
      <c r="BB436" s="5">
        <v>0</v>
      </c>
      <c r="BC436" s="5">
        <v>0</v>
      </c>
      <c r="BD436" s="5">
        <v>1</v>
      </c>
      <c r="BE436" s="5">
        <f>1-SUM(BB436:BD436)</f>
        <v>0</v>
      </c>
      <c r="BF436" s="5">
        <v>0</v>
      </c>
      <c r="BG436" s="5">
        <f t="shared" si="302"/>
        <v>0</v>
      </c>
      <c r="BH436" s="5">
        <f t="shared" si="302"/>
        <v>0</v>
      </c>
      <c r="BI436" s="5">
        <f t="shared" si="302"/>
        <v>0</v>
      </c>
      <c r="BJ436" s="5">
        <f t="shared" si="302"/>
        <v>0</v>
      </c>
      <c r="BK436" s="5">
        <f t="shared" si="302"/>
        <v>0</v>
      </c>
      <c r="BL436" s="5">
        <f t="shared" si="302"/>
        <v>0</v>
      </c>
      <c r="BM436" s="5">
        <f t="shared" si="302"/>
        <v>0</v>
      </c>
      <c r="BN436" s="5">
        <f t="shared" si="302"/>
        <v>0</v>
      </c>
      <c r="BO436" s="5">
        <f t="shared" ref="BO436:CC451" si="304">IF($E436=BO$2,1,0)</f>
        <v>0</v>
      </c>
      <c r="BP436" s="5">
        <f t="shared" si="304"/>
        <v>0</v>
      </c>
      <c r="BQ436" s="5">
        <f t="shared" si="304"/>
        <v>0</v>
      </c>
      <c r="BR436" s="5">
        <f t="shared" si="304"/>
        <v>0</v>
      </c>
      <c r="BS436" s="5">
        <f t="shared" si="304"/>
        <v>0</v>
      </c>
      <c r="BT436" s="5">
        <f t="shared" si="304"/>
        <v>0</v>
      </c>
      <c r="BU436" s="5">
        <f t="shared" si="304"/>
        <v>0</v>
      </c>
      <c r="BV436" s="5">
        <f t="shared" si="304"/>
        <v>0</v>
      </c>
      <c r="BW436" s="5">
        <f t="shared" si="304"/>
        <v>0</v>
      </c>
      <c r="BX436" s="5">
        <f t="shared" si="304"/>
        <v>0</v>
      </c>
      <c r="BY436" s="5">
        <f t="shared" si="304"/>
        <v>1</v>
      </c>
      <c r="BZ436" s="5">
        <f t="shared" si="304"/>
        <v>0</v>
      </c>
      <c r="CA436" s="5">
        <f t="shared" si="304"/>
        <v>0</v>
      </c>
      <c r="CB436" s="5">
        <f t="shared" si="304"/>
        <v>0</v>
      </c>
      <c r="CC436" s="5">
        <f t="shared" si="303"/>
        <v>0</v>
      </c>
      <c r="CD436" s="5">
        <f t="shared" si="303"/>
        <v>0</v>
      </c>
      <c r="CE436" s="5">
        <f t="shared" si="303"/>
        <v>0</v>
      </c>
    </row>
    <row r="437" spans="1:83" x14ac:dyDescent="0.2">
      <c r="A437" s="1" t="s">
        <v>63</v>
      </c>
      <c r="B437" s="11" t="s">
        <v>141</v>
      </c>
      <c r="C437" s="1">
        <f>Growth!D442</f>
        <v>0</v>
      </c>
      <c r="D437" s="5">
        <f t="shared" si="280"/>
        <v>2009</v>
      </c>
      <c r="E437" s="5">
        <v>2009</v>
      </c>
      <c r="F437" s="5">
        <f ca="1">LOOKUP($E437,frequence!$A$2:$A$35,frequence!L$2:L$35)</f>
        <v>37.435381616951773</v>
      </c>
      <c r="G437" s="5">
        <f ca="1">LOOKUP($E437,frequence!$A$2:$A$35,frequence!K$2:K$35)</f>
        <v>3.3073014644850907</v>
      </c>
      <c r="H437" s="5">
        <f ca="1">LOOKUP($E437,frequence!$A$2:$A$35,frequence!M$2:M$35)</f>
        <v>226.95522031937912</v>
      </c>
      <c r="I437" s="5">
        <v>1995</v>
      </c>
      <c r="J437" s="7">
        <f>LOOKUP(I437,CPI!A$69:A$103,CPI!O$69:O$103)</f>
        <v>1.4308136482939633</v>
      </c>
      <c r="K437" s="5">
        <v>2010</v>
      </c>
      <c r="L437" s="7">
        <f t="shared" ca="1" si="281"/>
        <v>1</v>
      </c>
      <c r="M437" s="7">
        <f t="shared" si="291"/>
        <v>0.17250000000000001</v>
      </c>
      <c r="N437" s="14">
        <f t="shared" ref="N437:N444" si="305">0.1*0.25</f>
        <v>2.5000000000000001E-2</v>
      </c>
      <c r="O437" s="1">
        <f ca="1">P437*J437*(1+Growth!G$6)^(2010-K437)</f>
        <v>-1.0015695538057743</v>
      </c>
      <c r="P437" s="3">
        <v>-0.7</v>
      </c>
      <c r="Q437" s="2">
        <f t="shared" si="148"/>
        <v>-0.7</v>
      </c>
      <c r="R437" s="21">
        <f t="shared" ca="1" si="282"/>
        <v>1.0031415711106977</v>
      </c>
      <c r="X437" s="2">
        <f t="shared" si="287"/>
        <v>-0.7</v>
      </c>
      <c r="AC437" s="1">
        <f t="shared" ref="AC437:AC448" si="306">SUM(AD437:AI437)</f>
        <v>6.9</v>
      </c>
      <c r="AD437" s="5">
        <v>1</v>
      </c>
      <c r="AE437" s="5">
        <v>0</v>
      </c>
      <c r="AF437" s="5">
        <v>1</v>
      </c>
      <c r="AG437" s="5">
        <v>1</v>
      </c>
      <c r="AH437" s="5">
        <v>1</v>
      </c>
      <c r="AI437" s="3">
        <f t="shared" si="277"/>
        <v>2.9</v>
      </c>
      <c r="AJ437" s="5">
        <f t="shared" si="295"/>
        <v>0</v>
      </c>
      <c r="AK437" s="5">
        <f t="shared" si="283"/>
        <v>0</v>
      </c>
      <c r="AL437" s="5">
        <f t="shared" si="284"/>
        <v>0</v>
      </c>
      <c r="AM437" s="5">
        <f t="shared" si="296"/>
        <v>0</v>
      </c>
      <c r="AN437" s="5">
        <f t="shared" si="285"/>
        <v>0</v>
      </c>
      <c r="AO437" s="5">
        <f t="shared" si="297"/>
        <v>0</v>
      </c>
      <c r="AP437" s="11" t="s">
        <v>42</v>
      </c>
      <c r="AQ437" s="1" t="s">
        <v>42</v>
      </c>
      <c r="AR437" s="5">
        <v>1</v>
      </c>
      <c r="AS437" s="5">
        <v>0</v>
      </c>
      <c r="AT437" s="5">
        <v>1</v>
      </c>
      <c r="AU437" s="5">
        <v>0</v>
      </c>
      <c r="AV437" s="5">
        <v>0</v>
      </c>
      <c r="AW437" s="5">
        <v>0</v>
      </c>
      <c r="AX437" s="5">
        <v>1</v>
      </c>
      <c r="AY437" s="1">
        <f t="shared" si="298"/>
        <v>0</v>
      </c>
      <c r="AZ437" s="1">
        <f t="shared" si="299"/>
        <v>0</v>
      </c>
      <c r="BA437" s="1">
        <f t="shared" si="300"/>
        <v>0</v>
      </c>
      <c r="BB437" s="5">
        <v>0</v>
      </c>
      <c r="BC437" s="5">
        <v>0</v>
      </c>
      <c r="BD437" s="5">
        <v>1</v>
      </c>
      <c r="BE437" s="5">
        <f t="shared" ref="BE437:BE448" si="307">1-SUM(BB437:BD437)</f>
        <v>0</v>
      </c>
      <c r="BF437" s="5">
        <v>0</v>
      </c>
      <c r="BG437" s="5">
        <f t="shared" ref="BG437:BN452" si="308">IF($E437=BG$2,1,0)</f>
        <v>0</v>
      </c>
      <c r="BH437" s="5">
        <f t="shared" si="308"/>
        <v>0</v>
      </c>
      <c r="BI437" s="5">
        <f t="shared" si="308"/>
        <v>0</v>
      </c>
      <c r="BJ437" s="5">
        <f t="shared" si="308"/>
        <v>0</v>
      </c>
      <c r="BK437" s="5">
        <f t="shared" si="308"/>
        <v>0</v>
      </c>
      <c r="BL437" s="5">
        <f t="shared" si="308"/>
        <v>0</v>
      </c>
      <c r="BM437" s="5">
        <f t="shared" si="308"/>
        <v>0</v>
      </c>
      <c r="BN437" s="5">
        <f t="shared" si="308"/>
        <v>0</v>
      </c>
      <c r="BO437" s="5">
        <f t="shared" si="304"/>
        <v>0</v>
      </c>
      <c r="BP437" s="5">
        <f t="shared" si="304"/>
        <v>0</v>
      </c>
      <c r="BQ437" s="5">
        <f t="shared" si="304"/>
        <v>0</v>
      </c>
      <c r="BR437" s="5">
        <f t="shared" si="304"/>
        <v>0</v>
      </c>
      <c r="BS437" s="5">
        <f t="shared" si="304"/>
        <v>0</v>
      </c>
      <c r="BT437" s="5">
        <f t="shared" si="304"/>
        <v>0</v>
      </c>
      <c r="BU437" s="5">
        <f t="shared" si="304"/>
        <v>0</v>
      </c>
      <c r="BV437" s="5">
        <f t="shared" si="304"/>
        <v>0</v>
      </c>
      <c r="BW437" s="5">
        <f t="shared" si="304"/>
        <v>0</v>
      </c>
      <c r="BX437" s="5">
        <f t="shared" si="304"/>
        <v>0</v>
      </c>
      <c r="BY437" s="5">
        <f t="shared" si="304"/>
        <v>1</v>
      </c>
      <c r="BZ437" s="5">
        <f t="shared" si="304"/>
        <v>0</v>
      </c>
      <c r="CA437" s="5">
        <f t="shared" si="304"/>
        <v>0</v>
      </c>
      <c r="CB437" s="5">
        <f t="shared" si="304"/>
        <v>0</v>
      </c>
      <c r="CC437" s="5">
        <f t="shared" si="303"/>
        <v>0</v>
      </c>
      <c r="CD437" s="5">
        <f t="shared" si="303"/>
        <v>0</v>
      </c>
      <c r="CE437" s="5">
        <f t="shared" si="303"/>
        <v>0</v>
      </c>
    </row>
    <row r="438" spans="1:83" x14ac:dyDescent="0.2">
      <c r="C438" s="1">
        <f>Growth!D443</f>
        <v>0</v>
      </c>
      <c r="D438" s="5" t="b">
        <f t="shared" si="280"/>
        <v>0</v>
      </c>
      <c r="E438" s="5">
        <v>2009</v>
      </c>
      <c r="F438" s="5">
        <f ca="1">LOOKUP($E438,frequence!$A$2:$A$35,frequence!L$2:L$35)</f>
        <v>37.435381616951773</v>
      </c>
      <c r="G438" s="5">
        <f ca="1">LOOKUP($E438,frequence!$A$2:$A$35,frequence!K$2:K$35)</f>
        <v>3.3073014644850907</v>
      </c>
      <c r="H438" s="5">
        <f ca="1">LOOKUP($E438,frequence!$A$2:$A$35,frequence!M$2:M$35)</f>
        <v>226.95522031937912</v>
      </c>
      <c r="I438" s="5">
        <v>1995</v>
      </c>
      <c r="J438" s="7">
        <f>LOOKUP(I438,CPI!A$69:A$103,CPI!O$69:O$103)</f>
        <v>1.4308136482939633</v>
      </c>
      <c r="K438" s="5">
        <v>2010</v>
      </c>
      <c r="L438" s="7">
        <f t="shared" ca="1" si="281"/>
        <v>1</v>
      </c>
      <c r="M438" s="7">
        <f t="shared" si="291"/>
        <v>0.17250000000000001</v>
      </c>
      <c r="N438" s="14">
        <f t="shared" si="305"/>
        <v>2.5000000000000001E-2</v>
      </c>
      <c r="O438" s="1">
        <f ca="1">P438*J438*(1+Growth!G$6)^(2010-K438)</f>
        <v>18.028251968503938</v>
      </c>
      <c r="P438" s="3">
        <v>12.6</v>
      </c>
      <c r="Q438" s="2">
        <f t="shared" si="148"/>
        <v>12.6</v>
      </c>
      <c r="R438" s="21">
        <f t="shared" ca="1" si="282"/>
        <v>325.01786903986607</v>
      </c>
      <c r="X438" s="2">
        <f t="shared" si="287"/>
        <v>12.6</v>
      </c>
      <c r="AC438" s="1">
        <f t="shared" si="306"/>
        <v>6.9</v>
      </c>
      <c r="AD438" s="5">
        <v>1</v>
      </c>
      <c r="AE438" s="5">
        <v>0</v>
      </c>
      <c r="AF438" s="5">
        <v>1</v>
      </c>
      <c r="AG438" s="5">
        <v>1</v>
      </c>
      <c r="AH438" s="5">
        <v>1</v>
      </c>
      <c r="AI438" s="3">
        <f t="shared" si="277"/>
        <v>2.9</v>
      </c>
      <c r="AJ438" s="5">
        <f t="shared" si="295"/>
        <v>0</v>
      </c>
      <c r="AK438" s="5">
        <f t="shared" si="283"/>
        <v>0</v>
      </c>
      <c r="AL438" s="5">
        <f t="shared" si="284"/>
        <v>0</v>
      </c>
      <c r="AM438" s="5">
        <f t="shared" si="296"/>
        <v>0</v>
      </c>
      <c r="AN438" s="5">
        <f t="shared" si="285"/>
        <v>0</v>
      </c>
      <c r="AO438" s="5">
        <f t="shared" si="297"/>
        <v>0</v>
      </c>
      <c r="AP438" s="11" t="s">
        <v>42</v>
      </c>
      <c r="AQ438" s="1" t="s">
        <v>42</v>
      </c>
      <c r="AR438" s="5">
        <v>1</v>
      </c>
      <c r="AS438" s="5">
        <v>0</v>
      </c>
      <c r="AT438" s="5">
        <v>1</v>
      </c>
      <c r="AU438" s="5">
        <v>0</v>
      </c>
      <c r="AV438" s="5">
        <v>0</v>
      </c>
      <c r="AW438" s="5">
        <v>0</v>
      </c>
      <c r="AX438" s="5">
        <v>1</v>
      </c>
      <c r="AY438" s="1">
        <f t="shared" si="298"/>
        <v>0</v>
      </c>
      <c r="AZ438" s="1">
        <f t="shared" si="299"/>
        <v>0</v>
      </c>
      <c r="BA438" s="1">
        <f t="shared" si="300"/>
        <v>0</v>
      </c>
      <c r="BB438" s="5">
        <v>0</v>
      </c>
      <c r="BC438" s="5">
        <v>0</v>
      </c>
      <c r="BD438" s="5">
        <v>1</v>
      </c>
      <c r="BE438" s="5">
        <f t="shared" si="307"/>
        <v>0</v>
      </c>
      <c r="BF438" s="5">
        <v>0</v>
      </c>
      <c r="BG438" s="5">
        <f t="shared" si="308"/>
        <v>0</v>
      </c>
      <c r="BH438" s="5">
        <f t="shared" si="308"/>
        <v>0</v>
      </c>
      <c r="BI438" s="5">
        <f t="shared" si="308"/>
        <v>0</v>
      </c>
      <c r="BJ438" s="5">
        <f t="shared" si="308"/>
        <v>0</v>
      </c>
      <c r="BK438" s="5">
        <f t="shared" si="308"/>
        <v>0</v>
      </c>
      <c r="BL438" s="5">
        <f t="shared" si="308"/>
        <v>0</v>
      </c>
      <c r="BM438" s="5">
        <f t="shared" si="308"/>
        <v>0</v>
      </c>
      <c r="BN438" s="5">
        <f t="shared" si="308"/>
        <v>0</v>
      </c>
      <c r="BO438" s="5">
        <f t="shared" si="304"/>
        <v>0</v>
      </c>
      <c r="BP438" s="5">
        <f t="shared" si="304"/>
        <v>0</v>
      </c>
      <c r="BQ438" s="5">
        <f t="shared" si="304"/>
        <v>0</v>
      </c>
      <c r="BR438" s="5">
        <f t="shared" si="304"/>
        <v>0</v>
      </c>
      <c r="BS438" s="5">
        <f t="shared" si="304"/>
        <v>0</v>
      </c>
      <c r="BT438" s="5">
        <f t="shared" si="304"/>
        <v>0</v>
      </c>
      <c r="BU438" s="5">
        <f t="shared" si="304"/>
        <v>0</v>
      </c>
      <c r="BV438" s="5">
        <f t="shared" si="304"/>
        <v>0</v>
      </c>
      <c r="BW438" s="5">
        <f t="shared" si="304"/>
        <v>0</v>
      </c>
      <c r="BX438" s="5">
        <f t="shared" si="304"/>
        <v>0</v>
      </c>
      <c r="BY438" s="5">
        <f t="shared" si="304"/>
        <v>1</v>
      </c>
      <c r="BZ438" s="5">
        <f t="shared" si="304"/>
        <v>0</v>
      </c>
      <c r="CA438" s="5">
        <f t="shared" si="304"/>
        <v>0</v>
      </c>
      <c r="CB438" s="5">
        <f t="shared" si="304"/>
        <v>0</v>
      </c>
      <c r="CC438" s="5">
        <f t="shared" si="303"/>
        <v>0</v>
      </c>
      <c r="CD438" s="5">
        <f t="shared" si="303"/>
        <v>0</v>
      </c>
      <c r="CE438" s="5">
        <f t="shared" si="303"/>
        <v>0</v>
      </c>
    </row>
    <row r="439" spans="1:83" x14ac:dyDescent="0.2">
      <c r="C439" s="1">
        <f>Growth!D444</f>
        <v>0</v>
      </c>
      <c r="D439" s="5" t="b">
        <f t="shared" si="280"/>
        <v>0</v>
      </c>
      <c r="E439" s="5">
        <v>2009</v>
      </c>
      <c r="F439" s="5">
        <f ca="1">LOOKUP($E439,frequence!$A$2:$A$35,frequence!L$2:L$35)</f>
        <v>37.435381616951773</v>
      </c>
      <c r="G439" s="5">
        <f ca="1">LOOKUP($E439,frequence!$A$2:$A$35,frequence!K$2:K$35)</f>
        <v>3.3073014644850907</v>
      </c>
      <c r="H439" s="5">
        <f ca="1">LOOKUP($E439,frequence!$A$2:$A$35,frequence!M$2:M$35)</f>
        <v>226.95522031937912</v>
      </c>
      <c r="I439" s="5">
        <v>1995</v>
      </c>
      <c r="J439" s="7">
        <f>LOOKUP(I439,CPI!A$69:A$103,CPI!O$69:O$103)</f>
        <v>1.4308136482939633</v>
      </c>
      <c r="K439" s="5">
        <v>2010</v>
      </c>
      <c r="L439" s="7">
        <f t="shared" ca="1" si="281"/>
        <v>1</v>
      </c>
      <c r="M439" s="7">
        <f t="shared" si="291"/>
        <v>0.17250000000000001</v>
      </c>
      <c r="N439" s="14">
        <f t="shared" si="305"/>
        <v>2.5000000000000001E-2</v>
      </c>
      <c r="O439" s="1">
        <f ca="1">P439*J439*(1+Growth!G$6)^(2010-K439)</f>
        <v>300.61394750656166</v>
      </c>
      <c r="P439" s="3">
        <v>210.1</v>
      </c>
      <c r="Q439" s="2">
        <f t="shared" si="148"/>
        <v>210.1</v>
      </c>
      <c r="R439" s="21">
        <f t="shared" ca="1" si="282"/>
        <v>90368.745435477802</v>
      </c>
      <c r="X439" s="2">
        <f t="shared" si="287"/>
        <v>210.1</v>
      </c>
      <c r="AC439" s="1">
        <f t="shared" si="306"/>
        <v>6.9</v>
      </c>
      <c r="AD439" s="5">
        <v>1</v>
      </c>
      <c r="AE439" s="5">
        <v>0</v>
      </c>
      <c r="AF439" s="5">
        <v>1</v>
      </c>
      <c r="AG439" s="5">
        <v>1</v>
      </c>
      <c r="AH439" s="5">
        <v>1</v>
      </c>
      <c r="AI439" s="3">
        <f t="shared" si="277"/>
        <v>2.9</v>
      </c>
      <c r="AJ439" s="5">
        <f t="shared" si="295"/>
        <v>0</v>
      </c>
      <c r="AK439" s="5">
        <f t="shared" si="283"/>
        <v>0</v>
      </c>
      <c r="AL439" s="5">
        <f t="shared" si="284"/>
        <v>0</v>
      </c>
      <c r="AM439" s="5">
        <f t="shared" si="296"/>
        <v>0</v>
      </c>
      <c r="AN439" s="5">
        <f t="shared" si="285"/>
        <v>0</v>
      </c>
      <c r="AO439" s="5">
        <f t="shared" si="297"/>
        <v>0</v>
      </c>
      <c r="AP439" s="11" t="s">
        <v>42</v>
      </c>
      <c r="AQ439" s="1" t="s">
        <v>42</v>
      </c>
      <c r="AR439" s="5">
        <v>1</v>
      </c>
      <c r="AS439" s="5">
        <v>0</v>
      </c>
      <c r="AT439" s="5">
        <v>1</v>
      </c>
      <c r="AU439" s="5">
        <v>0</v>
      </c>
      <c r="AV439" s="5">
        <v>0</v>
      </c>
      <c r="AW439" s="5">
        <v>0</v>
      </c>
      <c r="AX439" s="5">
        <v>1</v>
      </c>
      <c r="AY439" s="1">
        <f t="shared" si="298"/>
        <v>0</v>
      </c>
      <c r="AZ439" s="1">
        <f t="shared" si="299"/>
        <v>0</v>
      </c>
      <c r="BA439" s="1">
        <f t="shared" si="300"/>
        <v>0</v>
      </c>
      <c r="BB439" s="5">
        <v>0</v>
      </c>
      <c r="BC439" s="5">
        <v>0</v>
      </c>
      <c r="BD439" s="5">
        <v>1</v>
      </c>
      <c r="BE439" s="5">
        <f t="shared" si="307"/>
        <v>0</v>
      </c>
      <c r="BF439" s="5">
        <v>0</v>
      </c>
      <c r="BG439" s="5">
        <f t="shared" si="308"/>
        <v>0</v>
      </c>
      <c r="BH439" s="5">
        <f t="shared" si="308"/>
        <v>0</v>
      </c>
      <c r="BI439" s="5">
        <f t="shared" si="308"/>
        <v>0</v>
      </c>
      <c r="BJ439" s="5">
        <f t="shared" si="308"/>
        <v>0</v>
      </c>
      <c r="BK439" s="5">
        <f t="shared" si="308"/>
        <v>0</v>
      </c>
      <c r="BL439" s="5">
        <f t="shared" si="308"/>
        <v>0</v>
      </c>
      <c r="BM439" s="5">
        <f t="shared" si="308"/>
        <v>0</v>
      </c>
      <c r="BN439" s="5">
        <f t="shared" si="308"/>
        <v>0</v>
      </c>
      <c r="BO439" s="5">
        <f t="shared" si="304"/>
        <v>0</v>
      </c>
      <c r="BP439" s="5">
        <f t="shared" si="304"/>
        <v>0</v>
      </c>
      <c r="BQ439" s="5">
        <f t="shared" si="304"/>
        <v>0</v>
      </c>
      <c r="BR439" s="5">
        <f t="shared" si="304"/>
        <v>0</v>
      </c>
      <c r="BS439" s="5">
        <f t="shared" si="304"/>
        <v>0</v>
      </c>
      <c r="BT439" s="5">
        <f t="shared" si="304"/>
        <v>0</v>
      </c>
      <c r="BU439" s="5">
        <f t="shared" si="304"/>
        <v>0</v>
      </c>
      <c r="BV439" s="5">
        <f t="shared" si="304"/>
        <v>0</v>
      </c>
      <c r="BW439" s="5">
        <f t="shared" si="304"/>
        <v>0</v>
      </c>
      <c r="BX439" s="5">
        <f t="shared" si="304"/>
        <v>0</v>
      </c>
      <c r="BY439" s="5">
        <f t="shared" si="304"/>
        <v>1</v>
      </c>
      <c r="BZ439" s="5">
        <f t="shared" si="304"/>
        <v>0</v>
      </c>
      <c r="CA439" s="5">
        <f t="shared" si="304"/>
        <v>0</v>
      </c>
      <c r="CB439" s="5">
        <f t="shared" si="304"/>
        <v>0</v>
      </c>
      <c r="CC439" s="5">
        <f t="shared" si="303"/>
        <v>0</v>
      </c>
      <c r="CD439" s="5">
        <f t="shared" si="303"/>
        <v>0</v>
      </c>
      <c r="CE439" s="5">
        <f t="shared" si="303"/>
        <v>0</v>
      </c>
    </row>
    <row r="440" spans="1:83" x14ac:dyDescent="0.2">
      <c r="C440" s="1">
        <f>Growth!D445</f>
        <v>0</v>
      </c>
      <c r="D440" s="5" t="b">
        <f t="shared" si="280"/>
        <v>0</v>
      </c>
      <c r="E440" s="5">
        <v>2009</v>
      </c>
      <c r="F440" s="5">
        <f ca="1">LOOKUP($E440,frequence!$A$2:$A$35,frequence!L$2:L$35)</f>
        <v>37.435381616951773</v>
      </c>
      <c r="G440" s="5">
        <f ca="1">LOOKUP($E440,frequence!$A$2:$A$35,frequence!K$2:K$35)</f>
        <v>3.3073014644850907</v>
      </c>
      <c r="H440" s="5">
        <f ca="1">LOOKUP($E440,frequence!$A$2:$A$35,frequence!M$2:M$35)</f>
        <v>226.95522031937912</v>
      </c>
      <c r="I440" s="5">
        <v>1995</v>
      </c>
      <c r="J440" s="7">
        <f>LOOKUP(I440,CPI!A$69:A$103,CPI!O$69:O$103)</f>
        <v>1.4308136482939633</v>
      </c>
      <c r="K440" s="5">
        <v>2010</v>
      </c>
      <c r="L440" s="7">
        <f t="shared" ca="1" si="281"/>
        <v>1</v>
      </c>
      <c r="M440" s="7">
        <f t="shared" si="291"/>
        <v>0.17250000000000001</v>
      </c>
      <c r="N440" s="14">
        <f t="shared" si="305"/>
        <v>2.5000000000000001E-2</v>
      </c>
      <c r="O440" s="1">
        <f ca="1">P440*J440*(1+Growth!G$6)^(2010-K440)</f>
        <v>88.138120734908142</v>
      </c>
      <c r="P440" s="3">
        <v>61.6</v>
      </c>
      <c r="Q440" s="2">
        <f t="shared" si="148"/>
        <v>61.6</v>
      </c>
      <c r="R440" s="21">
        <f t="shared" ca="1" si="282"/>
        <v>7768.328326681245</v>
      </c>
      <c r="X440" s="2">
        <f t="shared" si="287"/>
        <v>61.6</v>
      </c>
      <c r="AC440" s="1">
        <f t="shared" si="306"/>
        <v>6.9</v>
      </c>
      <c r="AD440" s="5">
        <v>1</v>
      </c>
      <c r="AE440" s="5">
        <v>0</v>
      </c>
      <c r="AF440" s="5">
        <v>1</v>
      </c>
      <c r="AG440" s="5">
        <v>1</v>
      </c>
      <c r="AH440" s="5">
        <v>1</v>
      </c>
      <c r="AI440" s="3">
        <f t="shared" si="277"/>
        <v>2.9</v>
      </c>
      <c r="AJ440" s="5">
        <f t="shared" si="295"/>
        <v>0</v>
      </c>
      <c r="AK440" s="5">
        <f t="shared" si="283"/>
        <v>0</v>
      </c>
      <c r="AL440" s="5">
        <f t="shared" si="284"/>
        <v>0</v>
      </c>
      <c r="AM440" s="5">
        <f t="shared" si="296"/>
        <v>0</v>
      </c>
      <c r="AN440" s="5">
        <f t="shared" si="285"/>
        <v>0</v>
      </c>
      <c r="AO440" s="5">
        <f t="shared" si="297"/>
        <v>0</v>
      </c>
      <c r="AP440" s="11" t="s">
        <v>42</v>
      </c>
      <c r="AQ440" s="1" t="s">
        <v>42</v>
      </c>
      <c r="AR440" s="5">
        <v>1</v>
      </c>
      <c r="AS440" s="5">
        <v>0</v>
      </c>
      <c r="AT440" s="5">
        <v>1</v>
      </c>
      <c r="AU440" s="5">
        <v>0</v>
      </c>
      <c r="AV440" s="5">
        <v>0</v>
      </c>
      <c r="AW440" s="5">
        <v>0</v>
      </c>
      <c r="AX440" s="5">
        <v>1</v>
      </c>
      <c r="AY440" s="1">
        <f t="shared" si="298"/>
        <v>0</v>
      </c>
      <c r="AZ440" s="1">
        <f t="shared" si="299"/>
        <v>0</v>
      </c>
      <c r="BA440" s="1">
        <f t="shared" si="300"/>
        <v>0</v>
      </c>
      <c r="BB440" s="5">
        <v>0</v>
      </c>
      <c r="BC440" s="5">
        <v>0</v>
      </c>
      <c r="BD440" s="5">
        <v>1</v>
      </c>
      <c r="BE440" s="5">
        <f t="shared" si="307"/>
        <v>0</v>
      </c>
      <c r="BF440" s="5">
        <v>0</v>
      </c>
      <c r="BG440" s="5">
        <f t="shared" si="308"/>
        <v>0</v>
      </c>
      <c r="BH440" s="5">
        <f t="shared" si="308"/>
        <v>0</v>
      </c>
      <c r="BI440" s="5">
        <f t="shared" si="308"/>
        <v>0</v>
      </c>
      <c r="BJ440" s="5">
        <f t="shared" si="308"/>
        <v>0</v>
      </c>
      <c r="BK440" s="5">
        <f t="shared" si="308"/>
        <v>0</v>
      </c>
      <c r="BL440" s="5">
        <f t="shared" si="308"/>
        <v>0</v>
      </c>
      <c r="BM440" s="5">
        <f t="shared" si="308"/>
        <v>0</v>
      </c>
      <c r="BN440" s="5">
        <f t="shared" si="308"/>
        <v>0</v>
      </c>
      <c r="BO440" s="5">
        <f t="shared" si="304"/>
        <v>0</v>
      </c>
      <c r="BP440" s="5">
        <f t="shared" si="304"/>
        <v>0</v>
      </c>
      <c r="BQ440" s="5">
        <f t="shared" si="304"/>
        <v>0</v>
      </c>
      <c r="BR440" s="5">
        <f t="shared" si="304"/>
        <v>0</v>
      </c>
      <c r="BS440" s="5">
        <f t="shared" si="304"/>
        <v>0</v>
      </c>
      <c r="BT440" s="5">
        <f t="shared" si="304"/>
        <v>0</v>
      </c>
      <c r="BU440" s="5">
        <f t="shared" si="304"/>
        <v>0</v>
      </c>
      <c r="BV440" s="5">
        <f t="shared" si="304"/>
        <v>0</v>
      </c>
      <c r="BW440" s="5">
        <f t="shared" si="304"/>
        <v>0</v>
      </c>
      <c r="BX440" s="5">
        <f t="shared" si="304"/>
        <v>0</v>
      </c>
      <c r="BY440" s="5">
        <f t="shared" si="304"/>
        <v>1</v>
      </c>
      <c r="BZ440" s="5">
        <f t="shared" si="304"/>
        <v>0</v>
      </c>
      <c r="CA440" s="5">
        <f t="shared" si="304"/>
        <v>0</v>
      </c>
      <c r="CB440" s="5">
        <f t="shared" si="304"/>
        <v>0</v>
      </c>
      <c r="CC440" s="5">
        <f t="shared" si="303"/>
        <v>0</v>
      </c>
      <c r="CD440" s="5">
        <f t="shared" si="303"/>
        <v>0</v>
      </c>
      <c r="CE440" s="5">
        <f t="shared" si="303"/>
        <v>0</v>
      </c>
    </row>
    <row r="441" spans="1:83" x14ac:dyDescent="0.2">
      <c r="C441" s="1">
        <f>Growth!D446</f>
        <v>0</v>
      </c>
      <c r="D441" s="5" t="b">
        <f t="shared" si="280"/>
        <v>0</v>
      </c>
      <c r="E441" s="5">
        <v>2009</v>
      </c>
      <c r="F441" s="5">
        <f ca="1">LOOKUP($E441,frequence!$A$2:$A$35,frequence!L$2:L$35)</f>
        <v>37.435381616951773</v>
      </c>
      <c r="G441" s="5">
        <f ca="1">LOOKUP($E441,frequence!$A$2:$A$35,frequence!K$2:K$35)</f>
        <v>3.3073014644850907</v>
      </c>
      <c r="H441" s="5">
        <f ca="1">LOOKUP($E441,frequence!$A$2:$A$35,frequence!M$2:M$35)</f>
        <v>226.95522031937912</v>
      </c>
      <c r="I441" s="5">
        <v>1995</v>
      </c>
      <c r="J441" s="7">
        <f>LOOKUP(I441,CPI!A$69:A$103,CPI!O$69:O$103)</f>
        <v>1.4308136482939633</v>
      </c>
      <c r="K441" s="5">
        <v>2010</v>
      </c>
      <c r="L441" s="7">
        <f t="shared" ca="1" si="281"/>
        <v>1</v>
      </c>
      <c r="M441" s="7">
        <f t="shared" si="291"/>
        <v>0.17250000000000001</v>
      </c>
      <c r="N441" s="14">
        <f t="shared" si="305"/>
        <v>2.5000000000000001E-2</v>
      </c>
      <c r="O441" s="1">
        <f ca="1">P441*J441*(1+Growth!G$6)^(2010-K441)</f>
        <v>58.23411548556431</v>
      </c>
      <c r="P441" s="3">
        <v>40.700000000000003</v>
      </c>
      <c r="Q441" s="2">
        <f t="shared" si="148"/>
        <v>40.700000000000003</v>
      </c>
      <c r="R441" s="21">
        <f t="shared" ca="1" si="282"/>
        <v>3391.2122063860411</v>
      </c>
      <c r="X441" s="2">
        <f t="shared" si="287"/>
        <v>40.700000000000003</v>
      </c>
      <c r="AC441" s="1">
        <f t="shared" si="306"/>
        <v>6.9</v>
      </c>
      <c r="AD441" s="5">
        <v>1</v>
      </c>
      <c r="AE441" s="5">
        <v>0</v>
      </c>
      <c r="AF441" s="5">
        <v>1</v>
      </c>
      <c r="AG441" s="5">
        <v>1</v>
      </c>
      <c r="AH441" s="5">
        <v>1</v>
      </c>
      <c r="AI441" s="3">
        <f t="shared" si="277"/>
        <v>2.9</v>
      </c>
      <c r="AJ441" s="5">
        <f t="shared" si="295"/>
        <v>0</v>
      </c>
      <c r="AK441" s="5">
        <f t="shared" si="283"/>
        <v>0</v>
      </c>
      <c r="AL441" s="5">
        <f t="shared" si="284"/>
        <v>0</v>
      </c>
      <c r="AM441" s="5">
        <f t="shared" si="296"/>
        <v>0</v>
      </c>
      <c r="AN441" s="5">
        <f t="shared" si="285"/>
        <v>0</v>
      </c>
      <c r="AO441" s="5">
        <f t="shared" si="297"/>
        <v>0</v>
      </c>
      <c r="AP441" s="11" t="s">
        <v>42</v>
      </c>
      <c r="AQ441" s="1" t="s">
        <v>42</v>
      </c>
      <c r="AR441" s="5">
        <v>1</v>
      </c>
      <c r="AS441" s="5">
        <v>0</v>
      </c>
      <c r="AT441" s="5">
        <v>1</v>
      </c>
      <c r="AU441" s="5">
        <v>0</v>
      </c>
      <c r="AV441" s="5">
        <v>0</v>
      </c>
      <c r="AW441" s="5">
        <v>0</v>
      </c>
      <c r="AX441" s="5">
        <v>1</v>
      </c>
      <c r="AY441" s="1">
        <f t="shared" si="298"/>
        <v>0</v>
      </c>
      <c r="AZ441" s="1">
        <f t="shared" si="299"/>
        <v>0</v>
      </c>
      <c r="BA441" s="1">
        <f t="shared" si="300"/>
        <v>0</v>
      </c>
      <c r="BB441" s="5">
        <v>0</v>
      </c>
      <c r="BC441" s="5">
        <v>0</v>
      </c>
      <c r="BD441" s="5">
        <v>1</v>
      </c>
      <c r="BE441" s="5">
        <f t="shared" si="307"/>
        <v>0</v>
      </c>
      <c r="BF441" s="5">
        <v>0</v>
      </c>
      <c r="BG441" s="5">
        <f t="shared" si="308"/>
        <v>0</v>
      </c>
      <c r="BH441" s="5">
        <f t="shared" si="308"/>
        <v>0</v>
      </c>
      <c r="BI441" s="5">
        <f t="shared" si="308"/>
        <v>0</v>
      </c>
      <c r="BJ441" s="5">
        <f t="shared" si="308"/>
        <v>0</v>
      </c>
      <c r="BK441" s="5">
        <f t="shared" si="308"/>
        <v>0</v>
      </c>
      <c r="BL441" s="5">
        <f t="shared" si="308"/>
        <v>0</v>
      </c>
      <c r="BM441" s="5">
        <f t="shared" si="308"/>
        <v>0</v>
      </c>
      <c r="BN441" s="5">
        <f t="shared" si="308"/>
        <v>0</v>
      </c>
      <c r="BO441" s="5">
        <f t="shared" si="304"/>
        <v>0</v>
      </c>
      <c r="BP441" s="5">
        <f t="shared" si="304"/>
        <v>0</v>
      </c>
      <c r="BQ441" s="5">
        <f t="shared" si="304"/>
        <v>0</v>
      </c>
      <c r="BR441" s="5">
        <f t="shared" si="304"/>
        <v>0</v>
      </c>
      <c r="BS441" s="5">
        <f t="shared" si="304"/>
        <v>0</v>
      </c>
      <c r="BT441" s="5">
        <f t="shared" si="304"/>
        <v>0</v>
      </c>
      <c r="BU441" s="5">
        <f t="shared" si="304"/>
        <v>0</v>
      </c>
      <c r="BV441" s="5">
        <f t="shared" si="304"/>
        <v>0</v>
      </c>
      <c r="BW441" s="5">
        <f t="shared" si="304"/>
        <v>0</v>
      </c>
      <c r="BX441" s="5">
        <f t="shared" si="304"/>
        <v>0</v>
      </c>
      <c r="BY441" s="5">
        <f t="shared" si="304"/>
        <v>1</v>
      </c>
      <c r="BZ441" s="5">
        <f t="shared" si="304"/>
        <v>0</v>
      </c>
      <c r="CA441" s="5">
        <f t="shared" si="304"/>
        <v>0</v>
      </c>
      <c r="CB441" s="5">
        <f t="shared" si="304"/>
        <v>0</v>
      </c>
      <c r="CC441" s="5">
        <f t="shared" si="303"/>
        <v>0</v>
      </c>
      <c r="CD441" s="5">
        <f t="shared" si="303"/>
        <v>0</v>
      </c>
      <c r="CE441" s="5">
        <f t="shared" si="303"/>
        <v>0</v>
      </c>
    </row>
    <row r="442" spans="1:83" x14ac:dyDescent="0.2">
      <c r="C442" s="1">
        <f>Growth!D447</f>
        <v>0</v>
      </c>
      <c r="D442" s="5" t="b">
        <f t="shared" si="280"/>
        <v>0</v>
      </c>
      <c r="E442" s="5">
        <v>2009</v>
      </c>
      <c r="F442" s="5">
        <f ca="1">LOOKUP($E442,frequence!$A$2:$A$35,frequence!L$2:L$35)</f>
        <v>37.435381616951773</v>
      </c>
      <c r="G442" s="5">
        <f ca="1">LOOKUP($E442,frequence!$A$2:$A$35,frequence!K$2:K$35)</f>
        <v>3.3073014644850907</v>
      </c>
      <c r="H442" s="5">
        <f ca="1">LOOKUP($E442,frequence!$A$2:$A$35,frequence!M$2:M$35)</f>
        <v>226.95522031937912</v>
      </c>
      <c r="I442" s="5">
        <v>1995</v>
      </c>
      <c r="J442" s="7">
        <f>LOOKUP(I442,CPI!A$69:A$103,CPI!O$69:O$103)</f>
        <v>1.4308136482939633</v>
      </c>
      <c r="K442" s="5">
        <v>2010</v>
      </c>
      <c r="L442" s="7">
        <f t="shared" ca="1" si="281"/>
        <v>1</v>
      </c>
      <c r="M442" s="7">
        <f t="shared" si="291"/>
        <v>0.17250000000000001</v>
      </c>
      <c r="N442" s="14">
        <f t="shared" si="305"/>
        <v>2.5000000000000001E-2</v>
      </c>
      <c r="O442" s="1">
        <f ca="1">P442*J442*(1+Growth!G$6)^(2010-K442)</f>
        <v>83.988761154855652</v>
      </c>
      <c r="P442" s="3">
        <v>58.7</v>
      </c>
      <c r="Q442" s="2">
        <f t="shared" si="148"/>
        <v>58.7</v>
      </c>
      <c r="R442" s="21">
        <f t="shared" ca="1" si="282"/>
        <v>7054.11200032739</v>
      </c>
      <c r="X442" s="2">
        <f t="shared" si="287"/>
        <v>58.7</v>
      </c>
      <c r="AC442" s="1">
        <f t="shared" si="306"/>
        <v>6.9</v>
      </c>
      <c r="AD442" s="5">
        <v>1</v>
      </c>
      <c r="AE442" s="5">
        <v>0</v>
      </c>
      <c r="AF442" s="5">
        <v>1</v>
      </c>
      <c r="AG442" s="5">
        <v>1</v>
      </c>
      <c r="AH442" s="5">
        <v>1</v>
      </c>
      <c r="AI442" s="3">
        <f t="shared" si="277"/>
        <v>2.9</v>
      </c>
      <c r="AJ442" s="5">
        <f t="shared" si="295"/>
        <v>0</v>
      </c>
      <c r="AK442" s="5">
        <f t="shared" si="283"/>
        <v>0</v>
      </c>
      <c r="AL442" s="5">
        <f t="shared" si="284"/>
        <v>0</v>
      </c>
      <c r="AM442" s="5">
        <f t="shared" si="296"/>
        <v>0</v>
      </c>
      <c r="AN442" s="5">
        <f t="shared" si="285"/>
        <v>0</v>
      </c>
      <c r="AO442" s="5">
        <f t="shared" si="297"/>
        <v>0</v>
      </c>
      <c r="AP442" s="11" t="s">
        <v>42</v>
      </c>
      <c r="AQ442" s="1" t="s">
        <v>42</v>
      </c>
      <c r="AR442" s="5">
        <v>1</v>
      </c>
      <c r="AS442" s="5">
        <v>0</v>
      </c>
      <c r="AT442" s="5">
        <v>1</v>
      </c>
      <c r="AU442" s="5">
        <v>0</v>
      </c>
      <c r="AV442" s="5">
        <v>0</v>
      </c>
      <c r="AW442" s="5">
        <v>0</v>
      </c>
      <c r="AX442" s="5">
        <v>1</v>
      </c>
      <c r="AY442" s="1">
        <f t="shared" si="298"/>
        <v>0</v>
      </c>
      <c r="AZ442" s="1">
        <f t="shared" si="299"/>
        <v>0</v>
      </c>
      <c r="BA442" s="1">
        <f t="shared" si="300"/>
        <v>0</v>
      </c>
      <c r="BB442" s="5">
        <v>0</v>
      </c>
      <c r="BC442" s="5">
        <v>0</v>
      </c>
      <c r="BD442" s="5">
        <v>1</v>
      </c>
      <c r="BE442" s="5">
        <f t="shared" si="307"/>
        <v>0</v>
      </c>
      <c r="BF442" s="5">
        <v>0</v>
      </c>
      <c r="BG442" s="5">
        <f t="shared" si="308"/>
        <v>0</v>
      </c>
      <c r="BH442" s="5">
        <f t="shared" si="308"/>
        <v>0</v>
      </c>
      <c r="BI442" s="5">
        <f t="shared" si="308"/>
        <v>0</v>
      </c>
      <c r="BJ442" s="5">
        <f t="shared" si="308"/>
        <v>0</v>
      </c>
      <c r="BK442" s="5">
        <f t="shared" si="308"/>
        <v>0</v>
      </c>
      <c r="BL442" s="5">
        <f t="shared" si="308"/>
        <v>0</v>
      </c>
      <c r="BM442" s="5">
        <f t="shared" si="308"/>
        <v>0</v>
      </c>
      <c r="BN442" s="5">
        <f t="shared" si="308"/>
        <v>0</v>
      </c>
      <c r="BO442" s="5">
        <f t="shared" si="304"/>
        <v>0</v>
      </c>
      <c r="BP442" s="5">
        <f t="shared" si="304"/>
        <v>0</v>
      </c>
      <c r="BQ442" s="5">
        <f t="shared" si="304"/>
        <v>0</v>
      </c>
      <c r="BR442" s="5">
        <f t="shared" si="304"/>
        <v>0</v>
      </c>
      <c r="BS442" s="5">
        <f t="shared" si="304"/>
        <v>0</v>
      </c>
      <c r="BT442" s="5">
        <f t="shared" si="304"/>
        <v>0</v>
      </c>
      <c r="BU442" s="5">
        <f t="shared" si="304"/>
        <v>0</v>
      </c>
      <c r="BV442" s="5">
        <f t="shared" si="304"/>
        <v>0</v>
      </c>
      <c r="BW442" s="5">
        <f t="shared" si="304"/>
        <v>0</v>
      </c>
      <c r="BX442" s="5">
        <f t="shared" si="304"/>
        <v>0</v>
      </c>
      <c r="BY442" s="5">
        <f t="shared" si="304"/>
        <v>1</v>
      </c>
      <c r="BZ442" s="5">
        <f t="shared" si="304"/>
        <v>0</v>
      </c>
      <c r="CA442" s="5">
        <f t="shared" si="304"/>
        <v>0</v>
      </c>
      <c r="CB442" s="5">
        <f t="shared" si="304"/>
        <v>0</v>
      </c>
      <c r="CC442" s="5">
        <f t="shared" si="303"/>
        <v>0</v>
      </c>
      <c r="CD442" s="5">
        <f t="shared" si="303"/>
        <v>0</v>
      </c>
      <c r="CE442" s="5">
        <f t="shared" si="303"/>
        <v>0</v>
      </c>
    </row>
    <row r="443" spans="1:83" x14ac:dyDescent="0.2">
      <c r="C443" s="1">
        <f>Growth!D448</f>
        <v>0</v>
      </c>
      <c r="D443" s="5" t="b">
        <f t="shared" si="280"/>
        <v>0</v>
      </c>
      <c r="E443" s="5">
        <v>2009</v>
      </c>
      <c r="F443" s="5">
        <f ca="1">LOOKUP($E443,frequence!$A$2:$A$35,frequence!L$2:L$35)</f>
        <v>37.435381616951773</v>
      </c>
      <c r="G443" s="5">
        <f ca="1">LOOKUP($E443,frequence!$A$2:$A$35,frequence!K$2:K$35)</f>
        <v>3.3073014644850907</v>
      </c>
      <c r="H443" s="5">
        <f ca="1">LOOKUP($E443,frequence!$A$2:$A$35,frequence!M$2:M$35)</f>
        <v>226.95522031937912</v>
      </c>
      <c r="I443" s="5">
        <v>1995</v>
      </c>
      <c r="J443" s="7">
        <f>LOOKUP(I443,CPI!A$69:A$103,CPI!O$69:O$103)</f>
        <v>1.4308136482939633</v>
      </c>
      <c r="K443" s="5">
        <v>2010</v>
      </c>
      <c r="L443" s="7">
        <f t="shared" ca="1" si="281"/>
        <v>1</v>
      </c>
      <c r="M443" s="7">
        <f t="shared" si="291"/>
        <v>0.17250000000000001</v>
      </c>
      <c r="N443" s="14">
        <f t="shared" si="305"/>
        <v>2.5000000000000001E-2</v>
      </c>
      <c r="O443" s="1">
        <f ca="1">P443*J443*(1+Growth!G$6)^(2010-K443)</f>
        <v>325.93934908136487</v>
      </c>
      <c r="P443" s="3">
        <v>227.8</v>
      </c>
      <c r="Q443" s="2">
        <f t="shared" si="148"/>
        <v>227.8</v>
      </c>
      <c r="R443" s="21">
        <f t="shared" ca="1" si="282"/>
        <v>106236.45927958383</v>
      </c>
      <c r="X443" s="2">
        <f t="shared" si="287"/>
        <v>227.8</v>
      </c>
      <c r="AC443" s="1">
        <f t="shared" si="306"/>
        <v>6.9</v>
      </c>
      <c r="AD443" s="5">
        <v>1</v>
      </c>
      <c r="AE443" s="5">
        <v>0</v>
      </c>
      <c r="AF443" s="5">
        <v>1</v>
      </c>
      <c r="AG443" s="5">
        <v>1</v>
      </c>
      <c r="AH443" s="5">
        <v>1</v>
      </c>
      <c r="AI443" s="3">
        <f t="shared" si="277"/>
        <v>2.9</v>
      </c>
      <c r="AJ443" s="5">
        <f t="shared" si="295"/>
        <v>0</v>
      </c>
      <c r="AK443" s="5">
        <f t="shared" si="283"/>
        <v>0</v>
      </c>
      <c r="AL443" s="5">
        <f t="shared" si="284"/>
        <v>0</v>
      </c>
      <c r="AM443" s="5">
        <f t="shared" si="296"/>
        <v>0</v>
      </c>
      <c r="AN443" s="5">
        <f t="shared" si="285"/>
        <v>0</v>
      </c>
      <c r="AO443" s="5">
        <f t="shared" si="297"/>
        <v>0</v>
      </c>
      <c r="AP443" s="11" t="s">
        <v>42</v>
      </c>
      <c r="AQ443" s="1" t="s">
        <v>42</v>
      </c>
      <c r="AR443" s="5">
        <v>1</v>
      </c>
      <c r="AS443" s="5">
        <v>0</v>
      </c>
      <c r="AT443" s="5">
        <v>1</v>
      </c>
      <c r="AU443" s="5">
        <v>0</v>
      </c>
      <c r="AV443" s="5">
        <v>0</v>
      </c>
      <c r="AW443" s="5">
        <v>0</v>
      </c>
      <c r="AX443" s="5">
        <v>1</v>
      </c>
      <c r="AY443" s="1">
        <f t="shared" si="298"/>
        <v>0</v>
      </c>
      <c r="AZ443" s="1">
        <f t="shared" si="299"/>
        <v>0</v>
      </c>
      <c r="BA443" s="1">
        <f t="shared" si="300"/>
        <v>0</v>
      </c>
      <c r="BB443" s="5">
        <v>0</v>
      </c>
      <c r="BC443" s="5">
        <v>0</v>
      </c>
      <c r="BD443" s="5">
        <v>1</v>
      </c>
      <c r="BE443" s="5">
        <f t="shared" si="307"/>
        <v>0</v>
      </c>
      <c r="BF443" s="5">
        <v>0</v>
      </c>
      <c r="BG443" s="5">
        <f t="shared" si="308"/>
        <v>0</v>
      </c>
      <c r="BH443" s="5">
        <f t="shared" si="308"/>
        <v>0</v>
      </c>
      <c r="BI443" s="5">
        <f t="shared" si="308"/>
        <v>0</v>
      </c>
      <c r="BJ443" s="5">
        <f t="shared" si="308"/>
        <v>0</v>
      </c>
      <c r="BK443" s="5">
        <f t="shared" si="308"/>
        <v>0</v>
      </c>
      <c r="BL443" s="5">
        <f t="shared" si="308"/>
        <v>0</v>
      </c>
      <c r="BM443" s="5">
        <f t="shared" si="308"/>
        <v>0</v>
      </c>
      <c r="BN443" s="5">
        <f t="shared" si="308"/>
        <v>0</v>
      </c>
      <c r="BO443" s="5">
        <f t="shared" si="304"/>
        <v>0</v>
      </c>
      <c r="BP443" s="5">
        <f t="shared" si="304"/>
        <v>0</v>
      </c>
      <c r="BQ443" s="5">
        <f t="shared" si="304"/>
        <v>0</v>
      </c>
      <c r="BR443" s="5">
        <f t="shared" si="304"/>
        <v>0</v>
      </c>
      <c r="BS443" s="5">
        <f t="shared" si="304"/>
        <v>0</v>
      </c>
      <c r="BT443" s="5">
        <f t="shared" si="304"/>
        <v>0</v>
      </c>
      <c r="BU443" s="5">
        <f t="shared" si="304"/>
        <v>0</v>
      </c>
      <c r="BV443" s="5">
        <f t="shared" si="304"/>
        <v>0</v>
      </c>
      <c r="BW443" s="5">
        <f t="shared" si="304"/>
        <v>0</v>
      </c>
      <c r="BX443" s="5">
        <f t="shared" si="304"/>
        <v>0</v>
      </c>
      <c r="BY443" s="5">
        <f t="shared" si="304"/>
        <v>1</v>
      </c>
      <c r="BZ443" s="5">
        <f t="shared" si="304"/>
        <v>0</v>
      </c>
      <c r="CA443" s="5">
        <f t="shared" si="304"/>
        <v>0</v>
      </c>
      <c r="CB443" s="5">
        <f t="shared" si="304"/>
        <v>0</v>
      </c>
      <c r="CC443" s="5">
        <f t="shared" si="304"/>
        <v>0</v>
      </c>
      <c r="CD443" s="5">
        <f t="shared" ref="CD443:CE462" si="309">IF($E443=CD$2,1,0)</f>
        <v>0</v>
      </c>
      <c r="CE443" s="5">
        <f t="shared" si="309"/>
        <v>0</v>
      </c>
    </row>
    <row r="444" spans="1:83" x14ac:dyDescent="0.2">
      <c r="C444" s="1">
        <f>Growth!D449</f>
        <v>0</v>
      </c>
      <c r="D444" s="5" t="b">
        <f t="shared" si="280"/>
        <v>0</v>
      </c>
      <c r="E444" s="5">
        <v>2009</v>
      </c>
      <c r="F444" s="5">
        <f ca="1">LOOKUP($E444,frequence!$A$2:$A$35,frequence!L$2:L$35)</f>
        <v>37.435381616951773</v>
      </c>
      <c r="G444" s="5">
        <f ca="1">LOOKUP($E444,frequence!$A$2:$A$35,frequence!K$2:K$35)</f>
        <v>3.3073014644850907</v>
      </c>
      <c r="H444" s="5">
        <f ca="1">LOOKUP($E444,frequence!$A$2:$A$35,frequence!M$2:M$35)</f>
        <v>226.95522031937912</v>
      </c>
      <c r="I444" s="5">
        <v>1995</v>
      </c>
      <c r="J444" s="7">
        <f>LOOKUP(I444,CPI!A$69:A$103,CPI!O$69:O$103)</f>
        <v>1.4308136482939633</v>
      </c>
      <c r="K444" s="5">
        <v>2010</v>
      </c>
      <c r="L444" s="7">
        <f t="shared" ca="1" si="281"/>
        <v>1</v>
      </c>
      <c r="M444" s="7">
        <f t="shared" si="291"/>
        <v>0.17250000000000001</v>
      </c>
      <c r="N444" s="14">
        <f t="shared" si="305"/>
        <v>2.5000000000000001E-2</v>
      </c>
      <c r="O444" s="1">
        <f ca="1">P444*J444*(1+Growth!G$6)^(2010-K444)</f>
        <v>167.9775223097113</v>
      </c>
      <c r="P444" s="3">
        <v>117.4</v>
      </c>
      <c r="Q444" s="2">
        <f t="shared" si="148"/>
        <v>117.4</v>
      </c>
      <c r="R444" s="21">
        <f t="shared" ca="1" si="282"/>
        <v>28216.44800130956</v>
      </c>
      <c r="X444" s="2">
        <f t="shared" si="287"/>
        <v>117.4</v>
      </c>
      <c r="AC444" s="1">
        <f t="shared" si="306"/>
        <v>6.9</v>
      </c>
      <c r="AD444" s="5">
        <v>1</v>
      </c>
      <c r="AE444" s="5">
        <v>0</v>
      </c>
      <c r="AF444" s="5">
        <v>1</v>
      </c>
      <c r="AG444" s="5">
        <v>1</v>
      </c>
      <c r="AH444" s="5">
        <v>1</v>
      </c>
      <c r="AI444" s="3">
        <f t="shared" si="277"/>
        <v>2.9</v>
      </c>
      <c r="AJ444" s="5">
        <f t="shared" si="295"/>
        <v>0</v>
      </c>
      <c r="AK444" s="5">
        <f t="shared" si="283"/>
        <v>0</v>
      </c>
      <c r="AL444" s="5">
        <f t="shared" si="284"/>
        <v>0</v>
      </c>
      <c r="AM444" s="5">
        <f t="shared" si="296"/>
        <v>0</v>
      </c>
      <c r="AN444" s="5">
        <f t="shared" si="285"/>
        <v>0</v>
      </c>
      <c r="AO444" s="5">
        <f t="shared" si="297"/>
        <v>0</v>
      </c>
      <c r="AP444" s="11" t="s">
        <v>42</v>
      </c>
      <c r="AQ444" s="1" t="s">
        <v>42</v>
      </c>
      <c r="AR444" s="5">
        <v>1</v>
      </c>
      <c r="AS444" s="5">
        <v>0</v>
      </c>
      <c r="AT444" s="5">
        <v>1</v>
      </c>
      <c r="AU444" s="5">
        <v>0</v>
      </c>
      <c r="AV444" s="5">
        <v>0</v>
      </c>
      <c r="AW444" s="5">
        <v>0</v>
      </c>
      <c r="AX444" s="5">
        <v>1</v>
      </c>
      <c r="AY444" s="1">
        <f t="shared" si="298"/>
        <v>0</v>
      </c>
      <c r="AZ444" s="1">
        <f t="shared" si="299"/>
        <v>0</v>
      </c>
      <c r="BA444" s="1">
        <f t="shared" si="300"/>
        <v>0</v>
      </c>
      <c r="BB444" s="5">
        <v>0</v>
      </c>
      <c r="BC444" s="5">
        <v>0</v>
      </c>
      <c r="BD444" s="5">
        <v>1</v>
      </c>
      <c r="BE444" s="5">
        <f t="shared" si="307"/>
        <v>0</v>
      </c>
      <c r="BF444" s="5">
        <v>0</v>
      </c>
      <c r="BG444" s="5">
        <f t="shared" si="308"/>
        <v>0</v>
      </c>
      <c r="BH444" s="5">
        <f t="shared" si="308"/>
        <v>0</v>
      </c>
      <c r="BI444" s="5">
        <f t="shared" si="308"/>
        <v>0</v>
      </c>
      <c r="BJ444" s="5">
        <f t="shared" si="308"/>
        <v>0</v>
      </c>
      <c r="BK444" s="5">
        <f t="shared" si="308"/>
        <v>0</v>
      </c>
      <c r="BL444" s="5">
        <f t="shared" si="308"/>
        <v>0</v>
      </c>
      <c r="BM444" s="5">
        <f t="shared" si="308"/>
        <v>0</v>
      </c>
      <c r="BN444" s="5">
        <f t="shared" si="308"/>
        <v>0</v>
      </c>
      <c r="BO444" s="5">
        <f t="shared" si="304"/>
        <v>0</v>
      </c>
      <c r="BP444" s="5">
        <f t="shared" si="304"/>
        <v>0</v>
      </c>
      <c r="BQ444" s="5">
        <f t="shared" si="304"/>
        <v>0</v>
      </c>
      <c r="BR444" s="5">
        <f t="shared" si="304"/>
        <v>0</v>
      </c>
      <c r="BS444" s="5">
        <f t="shared" si="304"/>
        <v>0</v>
      </c>
      <c r="BT444" s="5">
        <f t="shared" si="304"/>
        <v>0</v>
      </c>
      <c r="BU444" s="5">
        <f t="shared" si="304"/>
        <v>0</v>
      </c>
      <c r="BV444" s="5">
        <f t="shared" si="304"/>
        <v>0</v>
      </c>
      <c r="BW444" s="5">
        <f t="shared" si="304"/>
        <v>0</v>
      </c>
      <c r="BX444" s="5">
        <f t="shared" si="304"/>
        <v>0</v>
      </c>
      <c r="BY444" s="5">
        <f t="shared" si="304"/>
        <v>1</v>
      </c>
      <c r="BZ444" s="5">
        <f t="shared" si="304"/>
        <v>0</v>
      </c>
      <c r="CA444" s="5">
        <f t="shared" si="304"/>
        <v>0</v>
      </c>
      <c r="CB444" s="5">
        <f t="shared" si="304"/>
        <v>0</v>
      </c>
      <c r="CC444" s="5">
        <f t="shared" si="304"/>
        <v>0</v>
      </c>
      <c r="CD444" s="5">
        <f t="shared" si="309"/>
        <v>0</v>
      </c>
      <c r="CE444" s="5">
        <f t="shared" si="309"/>
        <v>0</v>
      </c>
    </row>
    <row r="445" spans="1:83" x14ac:dyDescent="0.2">
      <c r="C445" s="1">
        <f>Growth!D450</f>
        <v>0</v>
      </c>
      <c r="D445" s="5" t="b">
        <f t="shared" si="280"/>
        <v>0</v>
      </c>
      <c r="E445" s="5">
        <v>2009</v>
      </c>
      <c r="F445" s="5">
        <f ca="1">LOOKUP($E445,frequence!$A$2:$A$35,frequence!L$2:L$35)</f>
        <v>37.435381616951773</v>
      </c>
      <c r="G445" s="5">
        <f ca="1">LOOKUP($E445,frequence!$A$2:$A$35,frequence!K$2:K$35)</f>
        <v>3.3073014644850907</v>
      </c>
      <c r="H445" s="5">
        <f ca="1">LOOKUP($E445,frequence!$A$2:$A$35,frequence!M$2:M$35)</f>
        <v>226.95522031937912</v>
      </c>
      <c r="I445" s="5">
        <v>1995</v>
      </c>
      <c r="J445" s="7">
        <f>LOOKUP(I445,CPI!A$69:A$103,CPI!O$69:O$103)</f>
        <v>1.4308136482939633</v>
      </c>
      <c r="K445" s="5">
        <v>2010</v>
      </c>
      <c r="L445" s="7">
        <f t="shared" ca="1" si="281"/>
        <v>1</v>
      </c>
      <c r="M445" s="7">
        <f t="shared" si="291"/>
        <v>1.3800000000000001</v>
      </c>
      <c r="N445" s="14">
        <f>0.8*0.25</f>
        <v>0.2</v>
      </c>
      <c r="O445" s="1">
        <f ca="1">P445*J445*(1+Growth!G$6)^(2010-K445)</f>
        <v>-0.57232545931758538</v>
      </c>
      <c r="P445" s="3">
        <v>-0.4</v>
      </c>
      <c r="Q445" s="2">
        <f t="shared" si="148"/>
        <v>-0.4</v>
      </c>
      <c r="R445" s="21">
        <f t="shared" ca="1" si="282"/>
        <v>0.3275564313830851</v>
      </c>
      <c r="X445" s="2">
        <f t="shared" si="287"/>
        <v>-0.4</v>
      </c>
      <c r="AC445" s="1">
        <f t="shared" si="306"/>
        <v>6.9</v>
      </c>
      <c r="AD445" s="5">
        <v>1</v>
      </c>
      <c r="AE445" s="5">
        <v>0</v>
      </c>
      <c r="AF445" s="5">
        <v>1</v>
      </c>
      <c r="AG445" s="5">
        <v>1</v>
      </c>
      <c r="AH445" s="5">
        <v>1</v>
      </c>
      <c r="AI445" s="3">
        <f t="shared" si="277"/>
        <v>2.9</v>
      </c>
      <c r="AJ445" s="5">
        <f t="shared" si="295"/>
        <v>0</v>
      </c>
      <c r="AK445" s="5">
        <f t="shared" si="283"/>
        <v>0</v>
      </c>
      <c r="AL445" s="5">
        <f t="shared" si="284"/>
        <v>0</v>
      </c>
      <c r="AM445" s="5">
        <f t="shared" si="296"/>
        <v>0</v>
      </c>
      <c r="AN445" s="5">
        <f t="shared" si="285"/>
        <v>0</v>
      </c>
      <c r="AO445" s="5">
        <f t="shared" si="297"/>
        <v>0</v>
      </c>
      <c r="AP445" s="11" t="s">
        <v>42</v>
      </c>
      <c r="AQ445" s="1" t="s">
        <v>42</v>
      </c>
      <c r="AR445" s="5">
        <v>1</v>
      </c>
      <c r="AS445" s="5">
        <v>0</v>
      </c>
      <c r="AT445" s="5">
        <v>1</v>
      </c>
      <c r="AU445" s="5">
        <v>0</v>
      </c>
      <c r="AV445" s="5">
        <v>0</v>
      </c>
      <c r="AW445" s="5">
        <v>0</v>
      </c>
      <c r="AX445" s="5">
        <v>1</v>
      </c>
      <c r="AY445" s="1">
        <f t="shared" si="298"/>
        <v>0</v>
      </c>
      <c r="AZ445" s="1">
        <f t="shared" si="299"/>
        <v>0</v>
      </c>
      <c r="BA445" s="1">
        <f t="shared" si="300"/>
        <v>0</v>
      </c>
      <c r="BB445" s="5">
        <v>0</v>
      </c>
      <c r="BC445" s="5">
        <v>0</v>
      </c>
      <c r="BD445" s="5">
        <v>1</v>
      </c>
      <c r="BE445" s="5">
        <f t="shared" si="307"/>
        <v>0</v>
      </c>
      <c r="BF445" s="5">
        <v>0</v>
      </c>
      <c r="BG445" s="5">
        <f t="shared" si="308"/>
        <v>0</v>
      </c>
      <c r="BH445" s="5">
        <f t="shared" si="308"/>
        <v>0</v>
      </c>
      <c r="BI445" s="5">
        <f t="shared" si="308"/>
        <v>0</v>
      </c>
      <c r="BJ445" s="5">
        <f t="shared" si="308"/>
        <v>0</v>
      </c>
      <c r="BK445" s="5">
        <f t="shared" si="308"/>
        <v>0</v>
      </c>
      <c r="BL445" s="5">
        <f t="shared" si="308"/>
        <v>0</v>
      </c>
      <c r="BM445" s="5">
        <f t="shared" si="308"/>
        <v>0</v>
      </c>
      <c r="BN445" s="5">
        <f t="shared" si="308"/>
        <v>0</v>
      </c>
      <c r="BO445" s="5">
        <f t="shared" si="304"/>
        <v>0</v>
      </c>
      <c r="BP445" s="5">
        <f t="shared" si="304"/>
        <v>0</v>
      </c>
      <c r="BQ445" s="5">
        <f t="shared" si="304"/>
        <v>0</v>
      </c>
      <c r="BR445" s="5">
        <f t="shared" si="304"/>
        <v>0</v>
      </c>
      <c r="BS445" s="5">
        <f t="shared" si="304"/>
        <v>0</v>
      </c>
      <c r="BT445" s="5">
        <f t="shared" si="304"/>
        <v>0</v>
      </c>
      <c r="BU445" s="5">
        <f t="shared" si="304"/>
        <v>0</v>
      </c>
      <c r="BV445" s="5">
        <f t="shared" si="304"/>
        <v>0</v>
      </c>
      <c r="BW445" s="5">
        <f t="shared" si="304"/>
        <v>0</v>
      </c>
      <c r="BX445" s="5">
        <f t="shared" si="304"/>
        <v>0</v>
      </c>
      <c r="BY445" s="5">
        <f t="shared" si="304"/>
        <v>1</v>
      </c>
      <c r="BZ445" s="5">
        <f t="shared" si="304"/>
        <v>0</v>
      </c>
      <c r="CA445" s="5">
        <f t="shared" si="304"/>
        <v>0</v>
      </c>
      <c r="CB445" s="5">
        <f t="shared" si="304"/>
        <v>0</v>
      </c>
      <c r="CC445" s="5">
        <f t="shared" si="304"/>
        <v>0</v>
      </c>
      <c r="CD445" s="5">
        <f t="shared" si="309"/>
        <v>0</v>
      </c>
      <c r="CE445" s="5">
        <f t="shared" si="309"/>
        <v>0</v>
      </c>
    </row>
    <row r="446" spans="1:83" x14ac:dyDescent="0.2">
      <c r="C446" s="1">
        <f>Growth!D451</f>
        <v>0</v>
      </c>
      <c r="D446" s="5" t="b">
        <f t="shared" si="280"/>
        <v>0</v>
      </c>
      <c r="E446" s="5">
        <v>2009</v>
      </c>
      <c r="F446" s="5">
        <f ca="1">LOOKUP($E446,frequence!$A$2:$A$35,frequence!L$2:L$35)</f>
        <v>37.435381616951773</v>
      </c>
      <c r="G446" s="5">
        <f ca="1">LOOKUP($E446,frequence!$A$2:$A$35,frequence!K$2:K$35)</f>
        <v>3.3073014644850907</v>
      </c>
      <c r="H446" s="5">
        <f ca="1">LOOKUP($E446,frequence!$A$2:$A$35,frequence!M$2:M$35)</f>
        <v>226.95522031937912</v>
      </c>
      <c r="I446" s="5">
        <v>1995</v>
      </c>
      <c r="J446" s="7">
        <f>LOOKUP(I446,CPI!A$69:A$103,CPI!O$69:O$103)</f>
        <v>1.4308136482939633</v>
      </c>
      <c r="K446" s="5">
        <v>2010</v>
      </c>
      <c r="L446" s="7">
        <f t="shared" ca="1" si="281"/>
        <v>1</v>
      </c>
      <c r="M446" s="7">
        <f t="shared" si="291"/>
        <v>1.3800000000000001</v>
      </c>
      <c r="N446" s="14">
        <f>0.8*0.25</f>
        <v>0.2</v>
      </c>
      <c r="O446" s="1">
        <f ca="1">P446*J446*(1+Growth!G$6)^(2010-K446)</f>
        <v>18.886740157480315</v>
      </c>
      <c r="P446" s="3">
        <v>13.2</v>
      </c>
      <c r="Q446" s="2">
        <f t="shared" si="148"/>
        <v>13.2</v>
      </c>
      <c r="R446" s="21">
        <f t="shared" ca="1" si="282"/>
        <v>356.70895377617956</v>
      </c>
      <c r="X446" s="2">
        <f t="shared" si="287"/>
        <v>13.2</v>
      </c>
      <c r="AC446" s="1">
        <f t="shared" si="306"/>
        <v>6.9</v>
      </c>
      <c r="AD446" s="5">
        <v>1</v>
      </c>
      <c r="AE446" s="5">
        <v>0</v>
      </c>
      <c r="AF446" s="5">
        <v>1</v>
      </c>
      <c r="AG446" s="5">
        <v>1</v>
      </c>
      <c r="AH446" s="5">
        <v>1</v>
      </c>
      <c r="AI446" s="3">
        <f t="shared" si="277"/>
        <v>2.9</v>
      </c>
      <c r="AJ446" s="5">
        <f t="shared" si="295"/>
        <v>0</v>
      </c>
      <c r="AK446" s="5">
        <f t="shared" si="283"/>
        <v>0</v>
      </c>
      <c r="AL446" s="5">
        <f t="shared" si="284"/>
        <v>0</v>
      </c>
      <c r="AM446" s="5">
        <f t="shared" si="296"/>
        <v>0</v>
      </c>
      <c r="AN446" s="5">
        <f t="shared" si="285"/>
        <v>0</v>
      </c>
      <c r="AO446" s="5">
        <f t="shared" si="297"/>
        <v>0</v>
      </c>
      <c r="AP446" s="11" t="s">
        <v>42</v>
      </c>
      <c r="AQ446" s="1" t="s">
        <v>42</v>
      </c>
      <c r="AR446" s="5">
        <v>1</v>
      </c>
      <c r="AS446" s="5">
        <v>0</v>
      </c>
      <c r="AT446" s="5">
        <v>1</v>
      </c>
      <c r="AU446" s="5">
        <v>0</v>
      </c>
      <c r="AV446" s="5">
        <v>0</v>
      </c>
      <c r="AW446" s="5">
        <v>0</v>
      </c>
      <c r="AX446" s="5">
        <v>1</v>
      </c>
      <c r="AY446" s="1">
        <f t="shared" si="298"/>
        <v>0</v>
      </c>
      <c r="AZ446" s="1">
        <f t="shared" si="299"/>
        <v>0</v>
      </c>
      <c r="BA446" s="1">
        <f t="shared" si="300"/>
        <v>0</v>
      </c>
      <c r="BB446" s="5">
        <v>0</v>
      </c>
      <c r="BC446" s="5">
        <v>0</v>
      </c>
      <c r="BD446" s="5">
        <v>1</v>
      </c>
      <c r="BE446" s="5">
        <f t="shared" si="307"/>
        <v>0</v>
      </c>
      <c r="BF446" s="5">
        <v>0</v>
      </c>
      <c r="BG446" s="5">
        <f t="shared" si="308"/>
        <v>0</v>
      </c>
      <c r="BH446" s="5">
        <f t="shared" si="308"/>
        <v>0</v>
      </c>
      <c r="BI446" s="5">
        <f t="shared" si="308"/>
        <v>0</v>
      </c>
      <c r="BJ446" s="5">
        <f t="shared" si="308"/>
        <v>0</v>
      </c>
      <c r="BK446" s="5">
        <f t="shared" si="308"/>
        <v>0</v>
      </c>
      <c r="BL446" s="5">
        <f t="shared" si="308"/>
        <v>0</v>
      </c>
      <c r="BM446" s="5">
        <f t="shared" si="308"/>
        <v>0</v>
      </c>
      <c r="BN446" s="5">
        <f t="shared" si="308"/>
        <v>0</v>
      </c>
      <c r="BO446" s="5">
        <f t="shared" si="304"/>
        <v>0</v>
      </c>
      <c r="BP446" s="5">
        <f t="shared" si="304"/>
        <v>0</v>
      </c>
      <c r="BQ446" s="5">
        <f t="shared" si="304"/>
        <v>0</v>
      </c>
      <c r="BR446" s="5">
        <f t="shared" si="304"/>
        <v>0</v>
      </c>
      <c r="BS446" s="5">
        <f t="shared" si="304"/>
        <v>0</v>
      </c>
      <c r="BT446" s="5">
        <f t="shared" si="304"/>
        <v>0</v>
      </c>
      <c r="BU446" s="5">
        <f t="shared" si="304"/>
        <v>0</v>
      </c>
      <c r="BV446" s="5">
        <f t="shared" si="304"/>
        <v>0</v>
      </c>
      <c r="BW446" s="5">
        <f t="shared" si="304"/>
        <v>0</v>
      </c>
      <c r="BX446" s="5">
        <f t="shared" si="304"/>
        <v>0</v>
      </c>
      <c r="BY446" s="5">
        <f t="shared" si="304"/>
        <v>1</v>
      </c>
      <c r="BZ446" s="5">
        <f t="shared" si="304"/>
        <v>0</v>
      </c>
      <c r="CA446" s="5">
        <f t="shared" si="304"/>
        <v>0</v>
      </c>
      <c r="CB446" s="5">
        <f t="shared" si="304"/>
        <v>0</v>
      </c>
      <c r="CC446" s="5">
        <f t="shared" si="304"/>
        <v>0</v>
      </c>
      <c r="CD446" s="5">
        <f t="shared" si="309"/>
        <v>0</v>
      </c>
      <c r="CE446" s="5">
        <f t="shared" si="309"/>
        <v>0</v>
      </c>
    </row>
    <row r="447" spans="1:83" x14ac:dyDescent="0.2">
      <c r="C447" s="1">
        <f>Growth!D452</f>
        <v>0</v>
      </c>
      <c r="D447" s="5" t="b">
        <f t="shared" si="280"/>
        <v>0</v>
      </c>
      <c r="E447" s="5">
        <v>2009</v>
      </c>
      <c r="F447" s="5">
        <f ca="1">LOOKUP($E447,frequence!$A$2:$A$35,frequence!L$2:L$35)</f>
        <v>37.435381616951773</v>
      </c>
      <c r="G447" s="5">
        <f ca="1">LOOKUP($E447,frequence!$A$2:$A$35,frequence!K$2:K$35)</f>
        <v>3.3073014644850907</v>
      </c>
      <c r="H447" s="5">
        <f ca="1">LOOKUP($E447,frequence!$A$2:$A$35,frequence!M$2:M$35)</f>
        <v>226.95522031937912</v>
      </c>
      <c r="I447" s="5">
        <v>1995</v>
      </c>
      <c r="J447" s="7">
        <f>LOOKUP(I447,CPI!A$69:A$103,CPI!O$69:O$103)</f>
        <v>1.4308136482939633</v>
      </c>
      <c r="K447" s="5">
        <v>2010</v>
      </c>
      <c r="L447" s="7">
        <f t="shared" ca="1" si="281"/>
        <v>1</v>
      </c>
      <c r="M447" s="7">
        <f t="shared" si="291"/>
        <v>1.3800000000000001</v>
      </c>
      <c r="N447" s="14">
        <f>0.8*0.25</f>
        <v>0.2</v>
      </c>
      <c r="O447" s="1">
        <f ca="1">P447*J447*(1+Growth!G$6)^(2010-K447)</f>
        <v>294.03220472440944</v>
      </c>
      <c r="P447" s="3">
        <v>205.5</v>
      </c>
      <c r="Q447" s="2">
        <f t="shared" si="148"/>
        <v>205.5</v>
      </c>
      <c r="R447" s="21">
        <f t="shared" ca="1" si="282"/>
        <v>86454.937415097025</v>
      </c>
      <c r="X447" s="2">
        <f t="shared" si="287"/>
        <v>205.5</v>
      </c>
      <c r="AC447" s="1">
        <f t="shared" si="306"/>
        <v>6.9</v>
      </c>
      <c r="AD447" s="5">
        <v>1</v>
      </c>
      <c r="AE447" s="5">
        <v>0</v>
      </c>
      <c r="AF447" s="5">
        <v>1</v>
      </c>
      <c r="AG447" s="5">
        <v>1</v>
      </c>
      <c r="AH447" s="5">
        <v>1</v>
      </c>
      <c r="AI447" s="3">
        <f t="shared" si="277"/>
        <v>2.9</v>
      </c>
      <c r="AJ447" s="5">
        <f t="shared" si="295"/>
        <v>0</v>
      </c>
      <c r="AK447" s="5">
        <f t="shared" si="283"/>
        <v>0</v>
      </c>
      <c r="AL447" s="5">
        <f t="shared" si="284"/>
        <v>0</v>
      </c>
      <c r="AM447" s="5">
        <f t="shared" si="296"/>
        <v>0</v>
      </c>
      <c r="AN447" s="5">
        <f t="shared" si="285"/>
        <v>0</v>
      </c>
      <c r="AO447" s="5">
        <f t="shared" si="297"/>
        <v>0</v>
      </c>
      <c r="AP447" s="11" t="s">
        <v>42</v>
      </c>
      <c r="AQ447" s="1" t="s">
        <v>42</v>
      </c>
      <c r="AR447" s="5">
        <v>1</v>
      </c>
      <c r="AS447" s="5">
        <v>0</v>
      </c>
      <c r="AT447" s="5">
        <v>1</v>
      </c>
      <c r="AU447" s="5">
        <v>0</v>
      </c>
      <c r="AV447" s="5">
        <v>0</v>
      </c>
      <c r="AW447" s="5">
        <v>0</v>
      </c>
      <c r="AX447" s="5">
        <v>1</v>
      </c>
      <c r="AY447" s="1">
        <f t="shared" si="298"/>
        <v>0</v>
      </c>
      <c r="AZ447" s="1">
        <f t="shared" si="299"/>
        <v>0</v>
      </c>
      <c r="BA447" s="1">
        <f t="shared" si="300"/>
        <v>0</v>
      </c>
      <c r="BB447" s="5">
        <v>0</v>
      </c>
      <c r="BC447" s="5">
        <v>0</v>
      </c>
      <c r="BD447" s="5">
        <v>1</v>
      </c>
      <c r="BE447" s="5">
        <f t="shared" si="307"/>
        <v>0</v>
      </c>
      <c r="BF447" s="5">
        <v>0</v>
      </c>
      <c r="BG447" s="5">
        <f t="shared" si="308"/>
        <v>0</v>
      </c>
      <c r="BH447" s="5">
        <f t="shared" si="308"/>
        <v>0</v>
      </c>
      <c r="BI447" s="5">
        <f t="shared" si="308"/>
        <v>0</v>
      </c>
      <c r="BJ447" s="5">
        <f t="shared" si="308"/>
        <v>0</v>
      </c>
      <c r="BK447" s="5">
        <f t="shared" si="308"/>
        <v>0</v>
      </c>
      <c r="BL447" s="5">
        <f t="shared" si="308"/>
        <v>0</v>
      </c>
      <c r="BM447" s="5">
        <f t="shared" si="308"/>
        <v>0</v>
      </c>
      <c r="BN447" s="5">
        <f t="shared" si="308"/>
        <v>0</v>
      </c>
      <c r="BO447" s="5">
        <f t="shared" si="304"/>
        <v>0</v>
      </c>
      <c r="BP447" s="5">
        <f t="shared" si="304"/>
        <v>0</v>
      </c>
      <c r="BQ447" s="5">
        <f t="shared" si="304"/>
        <v>0</v>
      </c>
      <c r="BR447" s="5">
        <f t="shared" si="304"/>
        <v>0</v>
      </c>
      <c r="BS447" s="5">
        <f t="shared" si="304"/>
        <v>0</v>
      </c>
      <c r="BT447" s="5">
        <f t="shared" si="304"/>
        <v>0</v>
      </c>
      <c r="BU447" s="5">
        <f t="shared" si="304"/>
        <v>0</v>
      </c>
      <c r="BV447" s="5">
        <f t="shared" si="304"/>
        <v>0</v>
      </c>
      <c r="BW447" s="5">
        <f t="shared" si="304"/>
        <v>0</v>
      </c>
      <c r="BX447" s="5">
        <f t="shared" si="304"/>
        <v>0</v>
      </c>
      <c r="BY447" s="5">
        <f t="shared" si="304"/>
        <v>1</v>
      </c>
      <c r="BZ447" s="5">
        <f t="shared" si="304"/>
        <v>0</v>
      </c>
      <c r="CA447" s="5">
        <f t="shared" si="304"/>
        <v>0</v>
      </c>
      <c r="CB447" s="5">
        <f t="shared" si="304"/>
        <v>0</v>
      </c>
      <c r="CC447" s="5">
        <f t="shared" si="304"/>
        <v>0</v>
      </c>
      <c r="CD447" s="5">
        <f t="shared" si="309"/>
        <v>0</v>
      </c>
      <c r="CE447" s="5">
        <f t="shared" si="309"/>
        <v>0</v>
      </c>
    </row>
    <row r="448" spans="1:83" x14ac:dyDescent="0.2">
      <c r="C448" s="1">
        <f>Growth!D453</f>
        <v>0</v>
      </c>
      <c r="D448" s="5" t="b">
        <f t="shared" si="280"/>
        <v>0</v>
      </c>
      <c r="E448" s="5">
        <v>2009</v>
      </c>
      <c r="F448" s="5">
        <f ca="1">LOOKUP($E448,frequence!$A$2:$A$35,frequence!L$2:L$35)</f>
        <v>37.435381616951773</v>
      </c>
      <c r="G448" s="5">
        <f ca="1">LOOKUP($E448,frequence!$A$2:$A$35,frequence!K$2:K$35)</f>
        <v>3.3073014644850907</v>
      </c>
      <c r="H448" s="5">
        <f ca="1">LOOKUP($E448,frequence!$A$2:$A$35,frequence!M$2:M$35)</f>
        <v>226.95522031937912</v>
      </c>
      <c r="I448" s="5">
        <v>1995</v>
      </c>
      <c r="J448" s="7">
        <f>LOOKUP(I448,CPI!A$69:A$103,CPI!O$69:O$103)</f>
        <v>1.4308136482939633</v>
      </c>
      <c r="K448" s="5">
        <v>2010</v>
      </c>
      <c r="L448" s="7">
        <f t="shared" ca="1" si="281"/>
        <v>1</v>
      </c>
      <c r="M448" s="7">
        <f t="shared" si="291"/>
        <v>1.3800000000000001</v>
      </c>
      <c r="N448" s="14">
        <f>0.8*0.25</f>
        <v>0.2</v>
      </c>
      <c r="O448" s="1">
        <f ca="1">P448*J448*(1+Growth!G$6)^(2010-K448)</f>
        <v>86.850388451443578</v>
      </c>
      <c r="P448" s="3">
        <v>60.7</v>
      </c>
      <c r="Q448" s="2">
        <f t="shared" si="148"/>
        <v>60.7</v>
      </c>
      <c r="R448" s="21">
        <f t="shared" ca="1" si="282"/>
        <v>7542.9899741666441</v>
      </c>
      <c r="X448" s="2">
        <f t="shared" si="287"/>
        <v>60.7</v>
      </c>
      <c r="AC448" s="1">
        <f t="shared" si="306"/>
        <v>6.9</v>
      </c>
      <c r="AD448" s="5">
        <v>1</v>
      </c>
      <c r="AE448" s="5">
        <v>0</v>
      </c>
      <c r="AF448" s="5">
        <v>1</v>
      </c>
      <c r="AG448" s="5">
        <v>1</v>
      </c>
      <c r="AH448" s="5">
        <v>1</v>
      </c>
      <c r="AI448" s="3">
        <f t="shared" si="277"/>
        <v>2.9</v>
      </c>
      <c r="AJ448" s="5">
        <f t="shared" si="295"/>
        <v>0</v>
      </c>
      <c r="AK448" s="5">
        <f t="shared" si="283"/>
        <v>0</v>
      </c>
      <c r="AL448" s="5">
        <f t="shared" si="284"/>
        <v>0</v>
      </c>
      <c r="AM448" s="5">
        <f t="shared" si="296"/>
        <v>0</v>
      </c>
      <c r="AN448" s="5">
        <f t="shared" si="285"/>
        <v>0</v>
      </c>
      <c r="AO448" s="5">
        <f t="shared" si="297"/>
        <v>0</v>
      </c>
      <c r="AP448" s="11" t="s">
        <v>42</v>
      </c>
      <c r="AQ448" s="1" t="s">
        <v>42</v>
      </c>
      <c r="AR448" s="5">
        <v>1</v>
      </c>
      <c r="AS448" s="5">
        <v>0</v>
      </c>
      <c r="AT448" s="5">
        <v>1</v>
      </c>
      <c r="AU448" s="5">
        <v>0</v>
      </c>
      <c r="AV448" s="5">
        <v>0</v>
      </c>
      <c r="AW448" s="5">
        <v>0</v>
      </c>
      <c r="AX448" s="5">
        <v>1</v>
      </c>
      <c r="AY448" s="1">
        <f t="shared" si="298"/>
        <v>0</v>
      </c>
      <c r="AZ448" s="1">
        <f t="shared" si="299"/>
        <v>0</v>
      </c>
      <c r="BA448" s="1">
        <f t="shared" si="300"/>
        <v>0</v>
      </c>
      <c r="BB448" s="5">
        <v>0</v>
      </c>
      <c r="BC448" s="5">
        <v>0</v>
      </c>
      <c r="BD448" s="5">
        <v>1</v>
      </c>
      <c r="BE448" s="5">
        <f t="shared" si="307"/>
        <v>0</v>
      </c>
      <c r="BF448" s="5">
        <v>0</v>
      </c>
      <c r="BG448" s="5">
        <f t="shared" si="308"/>
        <v>0</v>
      </c>
      <c r="BH448" s="5">
        <f t="shared" si="308"/>
        <v>0</v>
      </c>
      <c r="BI448" s="5">
        <f t="shared" si="308"/>
        <v>0</v>
      </c>
      <c r="BJ448" s="5">
        <f t="shared" si="308"/>
        <v>0</v>
      </c>
      <c r="BK448" s="5">
        <f t="shared" si="308"/>
        <v>0</v>
      </c>
      <c r="BL448" s="5">
        <f t="shared" si="308"/>
        <v>0</v>
      </c>
      <c r="BM448" s="5">
        <f t="shared" si="308"/>
        <v>0</v>
      </c>
      <c r="BN448" s="5">
        <f t="shared" si="308"/>
        <v>0</v>
      </c>
      <c r="BO448" s="5">
        <f t="shared" si="304"/>
        <v>0</v>
      </c>
      <c r="BP448" s="5">
        <f t="shared" si="304"/>
        <v>0</v>
      </c>
      <c r="BQ448" s="5">
        <f t="shared" si="304"/>
        <v>0</v>
      </c>
      <c r="BR448" s="5">
        <f t="shared" si="304"/>
        <v>0</v>
      </c>
      <c r="BS448" s="5">
        <f t="shared" si="304"/>
        <v>0</v>
      </c>
      <c r="BT448" s="5">
        <f t="shared" si="304"/>
        <v>0</v>
      </c>
      <c r="BU448" s="5">
        <f t="shared" si="304"/>
        <v>0</v>
      </c>
      <c r="BV448" s="5">
        <f t="shared" si="304"/>
        <v>0</v>
      </c>
      <c r="BW448" s="5">
        <f t="shared" si="304"/>
        <v>0</v>
      </c>
      <c r="BX448" s="5">
        <f t="shared" si="304"/>
        <v>0</v>
      </c>
      <c r="BY448" s="5">
        <f t="shared" si="304"/>
        <v>1</v>
      </c>
      <c r="BZ448" s="5">
        <f t="shared" si="304"/>
        <v>0</v>
      </c>
      <c r="CA448" s="5">
        <f t="shared" si="304"/>
        <v>0</v>
      </c>
      <c r="CB448" s="5">
        <f t="shared" si="304"/>
        <v>0</v>
      </c>
      <c r="CC448" s="5">
        <f t="shared" si="304"/>
        <v>0</v>
      </c>
      <c r="CD448" s="5">
        <f t="shared" si="309"/>
        <v>0</v>
      </c>
      <c r="CE448" s="5">
        <f t="shared" si="309"/>
        <v>0</v>
      </c>
    </row>
    <row r="449" spans="1:83" x14ac:dyDescent="0.2">
      <c r="A449" s="1" t="s">
        <v>64</v>
      </c>
      <c r="B449" s="11" t="s">
        <v>130</v>
      </c>
      <c r="C449" s="1">
        <f>Growth!D454</f>
        <v>0</v>
      </c>
      <c r="D449" s="5">
        <f t="shared" si="280"/>
        <v>2009</v>
      </c>
      <c r="E449" s="5">
        <v>2009</v>
      </c>
      <c r="F449" s="5">
        <f ca="1">LOOKUP($E449,frequence!$A$2:$A$35,frequence!L$2:L$35)</f>
        <v>37.435381616951773</v>
      </c>
      <c r="G449" s="5">
        <f ca="1">LOOKUP($E449,frequence!$A$2:$A$35,frequence!K$2:K$35)</f>
        <v>3.3073014644850907</v>
      </c>
      <c r="H449" s="5">
        <f ca="1">LOOKUP($E449,frequence!$A$2:$A$35,frequence!M$2:M$35)</f>
        <v>226.95522031937912</v>
      </c>
      <c r="I449" s="18">
        <v>2005</v>
      </c>
      <c r="J449" s="7">
        <f>LOOKUP(I449,CPI!A$69:A$103,CPI!O$69:O$103)</f>
        <v>1.1165181771633383</v>
      </c>
      <c r="K449" s="18">
        <v>2010</v>
      </c>
      <c r="L449" s="7">
        <f t="shared" ca="1" si="281"/>
        <v>1</v>
      </c>
      <c r="M449" s="7">
        <f t="shared" si="291"/>
        <v>2.2999999999999998</v>
      </c>
      <c r="N449" s="14">
        <f t="shared" ref="N449:N454" si="310">1/3</f>
        <v>0.33333333333333331</v>
      </c>
      <c r="O449" s="1">
        <f ca="1">P449*J449*(1+Growth!G$6)^(2010-K449)</f>
        <v>122.08009749103942</v>
      </c>
      <c r="P449" s="3">
        <v>109.34</v>
      </c>
      <c r="Q449" s="2">
        <f t="shared" si="148"/>
        <v>109.34</v>
      </c>
      <c r="R449" s="21">
        <f t="shared" ca="1" si="282"/>
        <v>14903.55020342169</v>
      </c>
      <c r="X449" s="2">
        <f t="shared" si="287"/>
        <v>109.34</v>
      </c>
      <c r="AC449" s="1">
        <f t="shared" ref="AC449:AC460" si="311">SUM(AD449:AI449)</f>
        <v>6.9</v>
      </c>
      <c r="AD449" s="5">
        <v>1</v>
      </c>
      <c r="AE449" s="5">
        <v>0</v>
      </c>
      <c r="AF449" s="5">
        <v>1</v>
      </c>
      <c r="AG449" s="5">
        <v>1</v>
      </c>
      <c r="AH449" s="5">
        <v>1</v>
      </c>
      <c r="AI449" s="3">
        <f t="shared" si="277"/>
        <v>2.9</v>
      </c>
      <c r="AJ449" s="5">
        <f t="shared" si="295"/>
        <v>0</v>
      </c>
      <c r="AK449" s="5">
        <f t="shared" si="283"/>
        <v>0</v>
      </c>
      <c r="AL449" s="5">
        <f t="shared" si="284"/>
        <v>0</v>
      </c>
      <c r="AM449" s="5">
        <f t="shared" si="296"/>
        <v>0</v>
      </c>
      <c r="AN449" s="5">
        <f t="shared" si="285"/>
        <v>0</v>
      </c>
      <c r="AO449" s="5">
        <f t="shared" si="297"/>
        <v>1</v>
      </c>
      <c r="AP449" s="11" t="s">
        <v>42</v>
      </c>
      <c r="AQ449" s="1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1</v>
      </c>
      <c r="AY449" s="1">
        <f t="shared" si="298"/>
        <v>0</v>
      </c>
      <c r="AZ449" s="1">
        <f t="shared" si="299"/>
        <v>0</v>
      </c>
      <c r="BA449" s="1">
        <f t="shared" si="300"/>
        <v>1</v>
      </c>
      <c r="BB449" s="5">
        <v>0</v>
      </c>
      <c r="BC449" s="5">
        <v>0</v>
      </c>
      <c r="BD449" s="5">
        <v>1</v>
      </c>
      <c r="BE449" s="5">
        <f t="shared" ref="BE449:BE459" si="312">1-SUM(BB449:BD449)</f>
        <v>0</v>
      </c>
      <c r="BF449" s="5">
        <v>0</v>
      </c>
      <c r="BG449" s="5">
        <f t="shared" si="308"/>
        <v>0</v>
      </c>
      <c r="BH449" s="5">
        <f t="shared" si="308"/>
        <v>0</v>
      </c>
      <c r="BI449" s="5">
        <f t="shared" si="308"/>
        <v>0</v>
      </c>
      <c r="BJ449" s="5">
        <f t="shared" si="308"/>
        <v>0</v>
      </c>
      <c r="BK449" s="5">
        <f t="shared" si="308"/>
        <v>0</v>
      </c>
      <c r="BL449" s="5">
        <f t="shared" si="308"/>
        <v>0</v>
      </c>
      <c r="BM449" s="5">
        <f t="shared" si="308"/>
        <v>0</v>
      </c>
      <c r="BN449" s="5">
        <f t="shared" si="308"/>
        <v>0</v>
      </c>
      <c r="BO449" s="5">
        <f t="shared" si="304"/>
        <v>0</v>
      </c>
      <c r="BP449" s="5">
        <f t="shared" si="304"/>
        <v>0</v>
      </c>
      <c r="BQ449" s="5">
        <f t="shared" si="304"/>
        <v>0</v>
      </c>
      <c r="BR449" s="5">
        <f t="shared" si="304"/>
        <v>0</v>
      </c>
      <c r="BS449" s="5">
        <f t="shared" si="304"/>
        <v>0</v>
      </c>
      <c r="BT449" s="5">
        <f t="shared" si="304"/>
        <v>0</v>
      </c>
      <c r="BU449" s="5">
        <f t="shared" si="304"/>
        <v>0</v>
      </c>
      <c r="BV449" s="5">
        <f t="shared" si="304"/>
        <v>0</v>
      </c>
      <c r="BW449" s="5">
        <f t="shared" si="304"/>
        <v>0</v>
      </c>
      <c r="BX449" s="5">
        <f t="shared" si="304"/>
        <v>0</v>
      </c>
      <c r="BY449" s="5">
        <f t="shared" si="304"/>
        <v>1</v>
      </c>
      <c r="BZ449" s="5">
        <f t="shared" si="304"/>
        <v>0</v>
      </c>
      <c r="CA449" s="5">
        <f t="shared" si="304"/>
        <v>0</v>
      </c>
      <c r="CB449" s="5">
        <f t="shared" si="304"/>
        <v>0</v>
      </c>
      <c r="CC449" s="5">
        <f t="shared" si="304"/>
        <v>0</v>
      </c>
      <c r="CD449" s="5">
        <f t="shared" si="309"/>
        <v>0</v>
      </c>
      <c r="CE449" s="5">
        <f t="shared" si="309"/>
        <v>0</v>
      </c>
    </row>
    <row r="450" spans="1:83" x14ac:dyDescent="0.2">
      <c r="C450" s="1">
        <f>Growth!D455</f>
        <v>0</v>
      </c>
      <c r="D450" s="5" t="b">
        <f t="shared" si="280"/>
        <v>0</v>
      </c>
      <c r="E450" s="5">
        <v>2009</v>
      </c>
      <c r="F450" s="5">
        <f ca="1">LOOKUP($E450,frequence!$A$2:$A$35,frequence!L$2:L$35)</f>
        <v>37.435381616951773</v>
      </c>
      <c r="G450" s="5">
        <f ca="1">LOOKUP($E450,frequence!$A$2:$A$35,frequence!K$2:K$35)</f>
        <v>3.3073014644850907</v>
      </c>
      <c r="H450" s="5">
        <f ca="1">LOOKUP($E450,frequence!$A$2:$A$35,frequence!M$2:M$35)</f>
        <v>226.95522031937912</v>
      </c>
      <c r="I450" s="18">
        <v>2005</v>
      </c>
      <c r="J450" s="7">
        <f>LOOKUP(I450,CPI!A$69:A$103,CPI!O$69:O$103)</f>
        <v>1.1165181771633383</v>
      </c>
      <c r="K450" s="18">
        <v>2010</v>
      </c>
      <c r="L450" s="7">
        <f t="shared" ca="1" si="281"/>
        <v>1</v>
      </c>
      <c r="M450" s="7">
        <f t="shared" si="291"/>
        <v>2.2999999999999998</v>
      </c>
      <c r="N450" s="14">
        <f t="shared" si="310"/>
        <v>0.33333333333333331</v>
      </c>
      <c r="O450" s="1">
        <f ca="1">P450*J450*(1+Growth!G$6)^(2010-K450)</f>
        <v>10.149150230414746</v>
      </c>
      <c r="P450" s="3">
        <v>9.09</v>
      </c>
      <c r="Q450" s="2">
        <f t="shared" si="148"/>
        <v>9.09</v>
      </c>
      <c r="R450" s="21">
        <f t="shared" ca="1" si="282"/>
        <v>103.00525039952768</v>
      </c>
      <c r="X450" s="2">
        <f t="shared" si="287"/>
        <v>9.09</v>
      </c>
      <c r="AC450" s="1">
        <f t="shared" si="311"/>
        <v>6.9</v>
      </c>
      <c r="AD450" s="5">
        <v>1</v>
      </c>
      <c r="AE450" s="5">
        <v>0</v>
      </c>
      <c r="AF450" s="5">
        <v>1</v>
      </c>
      <c r="AG450" s="5">
        <v>1</v>
      </c>
      <c r="AH450" s="5">
        <v>1</v>
      </c>
      <c r="AI450" s="3">
        <f t="shared" si="277"/>
        <v>2.9</v>
      </c>
      <c r="AJ450" s="5">
        <f t="shared" si="295"/>
        <v>0</v>
      </c>
      <c r="AK450" s="5">
        <f t="shared" si="283"/>
        <v>0</v>
      </c>
      <c r="AL450" s="5">
        <f t="shared" si="284"/>
        <v>0</v>
      </c>
      <c r="AM450" s="5">
        <f t="shared" si="296"/>
        <v>1</v>
      </c>
      <c r="AN450" s="5">
        <f t="shared" si="285"/>
        <v>0</v>
      </c>
      <c r="AO450" s="5">
        <f t="shared" si="297"/>
        <v>0</v>
      </c>
      <c r="AP450" s="11" t="s">
        <v>42</v>
      </c>
      <c r="AQ450" s="1">
        <v>1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1</v>
      </c>
      <c r="AY450" s="1">
        <f t="shared" si="298"/>
        <v>0</v>
      </c>
      <c r="AZ450" s="1">
        <f t="shared" si="299"/>
        <v>1</v>
      </c>
      <c r="BA450" s="1">
        <f t="shared" si="300"/>
        <v>0</v>
      </c>
      <c r="BB450" s="5">
        <v>0</v>
      </c>
      <c r="BC450" s="5">
        <v>0</v>
      </c>
      <c r="BD450" s="5">
        <v>1</v>
      </c>
      <c r="BE450" s="5">
        <f t="shared" si="312"/>
        <v>0</v>
      </c>
      <c r="BF450" s="5">
        <v>0</v>
      </c>
      <c r="BG450" s="5">
        <f t="shared" si="308"/>
        <v>0</v>
      </c>
      <c r="BH450" s="5">
        <f t="shared" si="308"/>
        <v>0</v>
      </c>
      <c r="BI450" s="5">
        <f t="shared" si="308"/>
        <v>0</v>
      </c>
      <c r="BJ450" s="5">
        <f t="shared" si="308"/>
        <v>0</v>
      </c>
      <c r="BK450" s="5">
        <f t="shared" si="308"/>
        <v>0</v>
      </c>
      <c r="BL450" s="5">
        <f t="shared" si="308"/>
        <v>0</v>
      </c>
      <c r="BM450" s="5">
        <f t="shared" si="308"/>
        <v>0</v>
      </c>
      <c r="BN450" s="5">
        <f t="shared" si="308"/>
        <v>0</v>
      </c>
      <c r="BO450" s="5">
        <f t="shared" si="304"/>
        <v>0</v>
      </c>
      <c r="BP450" s="5">
        <f t="shared" si="304"/>
        <v>0</v>
      </c>
      <c r="BQ450" s="5">
        <f t="shared" si="304"/>
        <v>0</v>
      </c>
      <c r="BR450" s="5">
        <f t="shared" si="304"/>
        <v>0</v>
      </c>
      <c r="BS450" s="5">
        <f t="shared" si="304"/>
        <v>0</v>
      </c>
      <c r="BT450" s="5">
        <f t="shared" si="304"/>
        <v>0</v>
      </c>
      <c r="BU450" s="5">
        <f t="shared" si="304"/>
        <v>0</v>
      </c>
      <c r="BV450" s="5">
        <f t="shared" si="304"/>
        <v>0</v>
      </c>
      <c r="BW450" s="5">
        <f t="shared" si="304"/>
        <v>0</v>
      </c>
      <c r="BX450" s="5">
        <f t="shared" si="304"/>
        <v>0</v>
      </c>
      <c r="BY450" s="5">
        <f t="shared" si="304"/>
        <v>1</v>
      </c>
      <c r="BZ450" s="5">
        <f t="shared" si="304"/>
        <v>0</v>
      </c>
      <c r="CA450" s="5">
        <f t="shared" si="304"/>
        <v>0</v>
      </c>
      <c r="CB450" s="5">
        <f t="shared" si="304"/>
        <v>0</v>
      </c>
      <c r="CC450" s="5">
        <f t="shared" si="304"/>
        <v>0</v>
      </c>
      <c r="CD450" s="5">
        <f t="shared" si="309"/>
        <v>0</v>
      </c>
      <c r="CE450" s="5">
        <f t="shared" si="309"/>
        <v>0</v>
      </c>
    </row>
    <row r="451" spans="1:83" x14ac:dyDescent="0.2">
      <c r="C451" s="1">
        <f>Growth!D456</f>
        <v>0</v>
      </c>
      <c r="D451" s="5" t="b">
        <f t="shared" si="280"/>
        <v>0</v>
      </c>
      <c r="E451" s="5">
        <v>2009</v>
      </c>
      <c r="F451" s="5">
        <f ca="1">LOOKUP($E451,frequence!$A$2:$A$35,frequence!L$2:L$35)</f>
        <v>37.435381616951773</v>
      </c>
      <c r="G451" s="5">
        <f ca="1">LOOKUP($E451,frequence!$A$2:$A$35,frequence!K$2:K$35)</f>
        <v>3.3073014644850907</v>
      </c>
      <c r="H451" s="5">
        <f ca="1">LOOKUP($E451,frequence!$A$2:$A$35,frequence!M$2:M$35)</f>
        <v>226.95522031937912</v>
      </c>
      <c r="I451" s="18">
        <v>2005</v>
      </c>
      <c r="J451" s="7">
        <f>LOOKUP(I451,CPI!A$69:A$103,CPI!O$69:O$103)</f>
        <v>1.1165181771633383</v>
      </c>
      <c r="K451" s="18">
        <v>2010</v>
      </c>
      <c r="L451" s="7">
        <f t="shared" ca="1" si="281"/>
        <v>1</v>
      </c>
      <c r="M451" s="7">
        <f t="shared" si="291"/>
        <v>2.2999999999999998</v>
      </c>
      <c r="N451" s="14">
        <f t="shared" si="310"/>
        <v>0.33333333333333331</v>
      </c>
      <c r="O451" s="1">
        <f ca="1">P451*J451*(1+Growth!G$6)^(2010-K451)</f>
        <v>-3.3160589861751153</v>
      </c>
      <c r="P451" s="3">
        <v>-2.97</v>
      </c>
      <c r="Q451" s="2">
        <f t="shared" si="148"/>
        <v>-2.97</v>
      </c>
      <c r="R451" s="21">
        <f t="shared" ca="1" si="282"/>
        <v>10.996247199792734</v>
      </c>
      <c r="X451" s="2">
        <f t="shared" si="287"/>
        <v>-2.97</v>
      </c>
      <c r="AC451" s="1">
        <f t="shared" si="311"/>
        <v>6.9</v>
      </c>
      <c r="AD451" s="5">
        <v>1</v>
      </c>
      <c r="AE451" s="5">
        <v>0</v>
      </c>
      <c r="AF451" s="5">
        <v>1</v>
      </c>
      <c r="AG451" s="5">
        <v>1</v>
      </c>
      <c r="AH451" s="5">
        <v>1</v>
      </c>
      <c r="AI451" s="3">
        <f t="shared" si="277"/>
        <v>2.9</v>
      </c>
      <c r="AJ451" s="5">
        <f t="shared" si="295"/>
        <v>1</v>
      </c>
      <c r="AK451" s="5">
        <f t="shared" si="283"/>
        <v>0</v>
      </c>
      <c r="AL451" s="5">
        <f t="shared" si="284"/>
        <v>0</v>
      </c>
      <c r="AM451" s="5">
        <f t="shared" si="296"/>
        <v>0</v>
      </c>
      <c r="AN451" s="5">
        <f t="shared" si="285"/>
        <v>0</v>
      </c>
      <c r="AO451" s="5">
        <f t="shared" si="297"/>
        <v>0</v>
      </c>
      <c r="AP451" s="11" t="s">
        <v>42</v>
      </c>
      <c r="AQ451" s="1">
        <v>3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1</v>
      </c>
      <c r="AY451" s="1">
        <f t="shared" si="298"/>
        <v>1</v>
      </c>
      <c r="AZ451" s="1">
        <f t="shared" si="299"/>
        <v>0</v>
      </c>
      <c r="BA451" s="1">
        <f t="shared" si="300"/>
        <v>0</v>
      </c>
      <c r="BB451" s="5">
        <v>0</v>
      </c>
      <c r="BC451" s="5">
        <v>0</v>
      </c>
      <c r="BD451" s="5">
        <v>1</v>
      </c>
      <c r="BE451" s="5">
        <f t="shared" si="312"/>
        <v>0</v>
      </c>
      <c r="BF451" s="5">
        <v>0</v>
      </c>
      <c r="BG451" s="5">
        <f t="shared" si="308"/>
        <v>0</v>
      </c>
      <c r="BH451" s="5">
        <f t="shared" si="308"/>
        <v>0</v>
      </c>
      <c r="BI451" s="5">
        <f t="shared" si="308"/>
        <v>0</v>
      </c>
      <c r="BJ451" s="5">
        <f t="shared" si="308"/>
        <v>0</v>
      </c>
      <c r="BK451" s="5">
        <f t="shared" si="308"/>
        <v>0</v>
      </c>
      <c r="BL451" s="5">
        <f t="shared" si="308"/>
        <v>0</v>
      </c>
      <c r="BM451" s="5">
        <f t="shared" si="308"/>
        <v>0</v>
      </c>
      <c r="BN451" s="5">
        <f t="shared" si="308"/>
        <v>0</v>
      </c>
      <c r="BO451" s="5">
        <f t="shared" si="304"/>
        <v>0</v>
      </c>
      <c r="BP451" s="5">
        <f t="shared" si="304"/>
        <v>0</v>
      </c>
      <c r="BQ451" s="5">
        <f t="shared" si="304"/>
        <v>0</v>
      </c>
      <c r="BR451" s="5">
        <f t="shared" si="304"/>
        <v>0</v>
      </c>
      <c r="BS451" s="5">
        <f t="shared" si="304"/>
        <v>0</v>
      </c>
      <c r="BT451" s="5">
        <f t="shared" si="304"/>
        <v>0</v>
      </c>
      <c r="BU451" s="5">
        <f t="shared" si="304"/>
        <v>0</v>
      </c>
      <c r="BV451" s="5">
        <f t="shared" si="304"/>
        <v>0</v>
      </c>
      <c r="BW451" s="5">
        <f t="shared" si="304"/>
        <v>0</v>
      </c>
      <c r="BX451" s="5">
        <f t="shared" si="304"/>
        <v>0</v>
      </c>
      <c r="BY451" s="5">
        <f t="shared" si="304"/>
        <v>1</v>
      </c>
      <c r="BZ451" s="5">
        <f t="shared" si="304"/>
        <v>0</v>
      </c>
      <c r="CA451" s="5">
        <f t="shared" si="304"/>
        <v>0</v>
      </c>
      <c r="CB451" s="5">
        <f t="shared" si="304"/>
        <v>0</v>
      </c>
      <c r="CC451" s="5">
        <f t="shared" si="304"/>
        <v>0</v>
      </c>
      <c r="CD451" s="5">
        <f t="shared" si="309"/>
        <v>0</v>
      </c>
      <c r="CE451" s="5">
        <f t="shared" si="309"/>
        <v>0</v>
      </c>
    </row>
    <row r="452" spans="1:83" x14ac:dyDescent="0.2">
      <c r="A452" s="1" t="s">
        <v>64</v>
      </c>
      <c r="B452" s="11" t="s">
        <v>131</v>
      </c>
      <c r="C452" s="1">
        <f>Growth!D457</f>
        <v>0</v>
      </c>
      <c r="D452" s="5">
        <f t="shared" si="280"/>
        <v>2010</v>
      </c>
      <c r="E452" s="5">
        <v>2010</v>
      </c>
      <c r="F452" s="5">
        <f ca="1">LOOKUP($E452,frequence!$A$2:$A$35,frequence!L$2:L$35)</f>
        <v>33.819341167042261</v>
      </c>
      <c r="G452" s="5">
        <f ca="1">LOOKUP($E452,frequence!$A$2:$A$35,frequence!K$2:K$35)</f>
        <v>1.4741694560324998</v>
      </c>
      <c r="H452" s="5">
        <f ca="1">LOOKUP($E452,frequence!$A$2:$A$35,frequence!M$2:M$35)</f>
        <v>191.46239168394251</v>
      </c>
      <c r="I452" s="18">
        <v>2005</v>
      </c>
      <c r="J452" s="7">
        <f>LOOKUP(I452,CPI!A$69:A$103,CPI!O$69:O$103)</f>
        <v>1.1165181771633383</v>
      </c>
      <c r="K452" s="18">
        <v>2010</v>
      </c>
      <c r="L452" s="7">
        <f t="shared" ca="1" si="281"/>
        <v>1</v>
      </c>
      <c r="M452" s="7">
        <f t="shared" si="291"/>
        <v>2.333333333333333</v>
      </c>
      <c r="N452" s="14">
        <f t="shared" si="310"/>
        <v>0.33333333333333331</v>
      </c>
      <c r="O452" s="1">
        <f ca="1">P452*J452*(1+Growth!G$6)^(2010-K452)</f>
        <v>160.81211305683561</v>
      </c>
      <c r="P452" s="3">
        <v>144.03</v>
      </c>
      <c r="Q452" s="2">
        <f t="shared" si="148"/>
        <v>144.03</v>
      </c>
      <c r="R452" s="21">
        <f t="shared" ca="1" si="282"/>
        <v>25860.535705804479</v>
      </c>
      <c r="X452" s="2">
        <f t="shared" si="287"/>
        <v>144.03</v>
      </c>
      <c r="AC452" s="1">
        <f t="shared" si="311"/>
        <v>7</v>
      </c>
      <c r="AD452" s="5">
        <v>1</v>
      </c>
      <c r="AE452" s="5">
        <v>0</v>
      </c>
      <c r="AF452" s="5">
        <v>1</v>
      </c>
      <c r="AG452" s="5">
        <v>1</v>
      </c>
      <c r="AH452" s="5">
        <v>1</v>
      </c>
      <c r="AI452" s="3">
        <f t="shared" ref="AI452:AI520" si="313">(E452-1980)/10</f>
        <v>3</v>
      </c>
      <c r="AJ452" s="5">
        <f t="shared" si="295"/>
        <v>0</v>
      </c>
      <c r="AK452" s="5">
        <f t="shared" si="283"/>
        <v>0</v>
      </c>
      <c r="AL452" s="5">
        <f t="shared" si="284"/>
        <v>0</v>
      </c>
      <c r="AM452" s="5">
        <f t="shared" si="296"/>
        <v>0</v>
      </c>
      <c r="AN452" s="5">
        <f t="shared" si="285"/>
        <v>0</v>
      </c>
      <c r="AO452" s="5">
        <f t="shared" si="297"/>
        <v>1</v>
      </c>
      <c r="AP452" s="11" t="s">
        <v>42</v>
      </c>
      <c r="AQ452" s="1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1</v>
      </c>
      <c r="AY452" s="1">
        <f t="shared" si="298"/>
        <v>0</v>
      </c>
      <c r="AZ452" s="1">
        <f t="shared" si="299"/>
        <v>0</v>
      </c>
      <c r="BA452" s="1">
        <f t="shared" si="300"/>
        <v>1</v>
      </c>
      <c r="BB452" s="5">
        <v>0</v>
      </c>
      <c r="BC452" s="5">
        <v>0</v>
      </c>
      <c r="BD452" s="5">
        <v>1</v>
      </c>
      <c r="BE452" s="5">
        <f t="shared" si="312"/>
        <v>0</v>
      </c>
      <c r="BF452" s="5">
        <v>0</v>
      </c>
      <c r="BG452" s="5">
        <f t="shared" si="308"/>
        <v>0</v>
      </c>
      <c r="BH452" s="5">
        <f t="shared" si="308"/>
        <v>0</v>
      </c>
      <c r="BI452" s="5">
        <f t="shared" si="308"/>
        <v>0</v>
      </c>
      <c r="BJ452" s="5">
        <f t="shared" si="308"/>
        <v>0</v>
      </c>
      <c r="BK452" s="5">
        <f t="shared" si="308"/>
        <v>0</v>
      </c>
      <c r="BL452" s="5">
        <f t="shared" si="308"/>
        <v>0</v>
      </c>
      <c r="BM452" s="5">
        <f t="shared" si="308"/>
        <v>0</v>
      </c>
      <c r="BN452" s="5">
        <f t="shared" ref="BN452:CB467" si="314">IF($E452=BN$2,1,0)</f>
        <v>0</v>
      </c>
      <c r="BO452" s="5">
        <f t="shared" si="314"/>
        <v>0</v>
      </c>
      <c r="BP452" s="5">
        <f t="shared" si="314"/>
        <v>0</v>
      </c>
      <c r="BQ452" s="5">
        <f t="shared" si="314"/>
        <v>0</v>
      </c>
      <c r="BR452" s="5">
        <f t="shared" si="314"/>
        <v>0</v>
      </c>
      <c r="BS452" s="5">
        <f t="shared" si="314"/>
        <v>0</v>
      </c>
      <c r="BT452" s="5">
        <f t="shared" si="314"/>
        <v>0</v>
      </c>
      <c r="BU452" s="5">
        <f t="shared" si="314"/>
        <v>0</v>
      </c>
      <c r="BV452" s="5">
        <f t="shared" si="314"/>
        <v>0</v>
      </c>
      <c r="BW452" s="5">
        <f t="shared" si="314"/>
        <v>0</v>
      </c>
      <c r="BX452" s="5">
        <f t="shared" si="314"/>
        <v>0</v>
      </c>
      <c r="BY452" s="5">
        <f t="shared" si="314"/>
        <v>0</v>
      </c>
      <c r="BZ452" s="5">
        <f t="shared" si="314"/>
        <v>1</v>
      </c>
      <c r="CA452" s="5">
        <f t="shared" si="314"/>
        <v>0</v>
      </c>
      <c r="CB452" s="5">
        <f t="shared" si="314"/>
        <v>0</v>
      </c>
      <c r="CC452" s="5">
        <f t="shared" ref="CC452:CE471" si="315">IF($E452=CC$2,1,0)</f>
        <v>0</v>
      </c>
      <c r="CD452" s="5">
        <f t="shared" si="309"/>
        <v>0</v>
      </c>
      <c r="CE452" s="5">
        <f t="shared" si="309"/>
        <v>0</v>
      </c>
    </row>
    <row r="453" spans="1:83" x14ac:dyDescent="0.2">
      <c r="C453" s="1">
        <f>Growth!D458</f>
        <v>0</v>
      </c>
      <c r="D453" s="5" t="b">
        <f t="shared" ref="D453:D521" si="316">IF(B453&gt;0,E453)</f>
        <v>0</v>
      </c>
      <c r="E453" s="5">
        <v>2010</v>
      </c>
      <c r="F453" s="5">
        <f ca="1">LOOKUP($E453,frequence!$A$2:$A$35,frequence!L$2:L$35)</f>
        <v>33.819341167042261</v>
      </c>
      <c r="G453" s="5">
        <f ca="1">LOOKUP($E453,frequence!$A$2:$A$35,frequence!K$2:K$35)</f>
        <v>1.4741694560324998</v>
      </c>
      <c r="H453" s="5">
        <f ca="1">LOOKUP($E453,frequence!$A$2:$A$35,frequence!M$2:M$35)</f>
        <v>191.46239168394251</v>
      </c>
      <c r="I453" s="18">
        <v>2005</v>
      </c>
      <c r="J453" s="7">
        <f>LOOKUP(I453,CPI!A$69:A$103,CPI!O$69:O$103)</f>
        <v>1.1165181771633383</v>
      </c>
      <c r="K453" s="18">
        <v>2010</v>
      </c>
      <c r="L453" s="7">
        <f t="shared" ref="L453:L516" ca="1" si="317">IF(O453&lt;L$1,1,IF(O453&gt;L$2,0,1-(O453-L$1)/(L$2-L$1)))</f>
        <v>1</v>
      </c>
      <c r="M453" s="7">
        <f t="shared" si="291"/>
        <v>2.333333333333333</v>
      </c>
      <c r="N453" s="14">
        <f t="shared" si="310"/>
        <v>0.33333333333333331</v>
      </c>
      <c r="O453" s="1">
        <f ca="1">P453*J453*(1+Growth!G$6)^(2010-K453)</f>
        <v>24.57456507936508</v>
      </c>
      <c r="P453" s="3">
        <v>22.01</v>
      </c>
      <c r="Q453" s="2">
        <f t="shared" si="148"/>
        <v>22.01</v>
      </c>
      <c r="R453" s="21">
        <f t="shared" ref="R453:R521" ca="1" si="318">O453*O453</f>
        <v>603.90924883994967</v>
      </c>
      <c r="X453" s="2">
        <f t="shared" si="287"/>
        <v>22.01</v>
      </c>
      <c r="AC453" s="1">
        <f t="shared" si="311"/>
        <v>7</v>
      </c>
      <c r="AD453" s="5">
        <v>1</v>
      </c>
      <c r="AE453" s="5">
        <v>0</v>
      </c>
      <c r="AF453" s="5">
        <v>1</v>
      </c>
      <c r="AG453" s="5">
        <v>1</v>
      </c>
      <c r="AH453" s="5">
        <v>1</v>
      </c>
      <c r="AI453" s="3">
        <f t="shared" si="313"/>
        <v>3</v>
      </c>
      <c r="AJ453" s="5">
        <f t="shared" si="295"/>
        <v>0</v>
      </c>
      <c r="AK453" s="5">
        <f t="shared" ref="AK453:AK516" si="319">IF($AQ453=2,1,0)</f>
        <v>0</v>
      </c>
      <c r="AL453" s="5">
        <f t="shared" ref="AL453:AL516" si="320">IF($AQ453=1.5,1,0)</f>
        <v>0</v>
      </c>
      <c r="AM453" s="5">
        <f t="shared" si="296"/>
        <v>1</v>
      </c>
      <c r="AN453" s="5">
        <f t="shared" ref="AN453:AN516" si="321">IF($AQ453=0.1,1,0)</f>
        <v>0</v>
      </c>
      <c r="AO453" s="5">
        <f t="shared" si="297"/>
        <v>0</v>
      </c>
      <c r="AP453" s="11" t="s">
        <v>42</v>
      </c>
      <c r="AQ453" s="1">
        <v>1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1</v>
      </c>
      <c r="AY453" s="1">
        <f t="shared" si="298"/>
        <v>0</v>
      </c>
      <c r="AZ453" s="1">
        <f t="shared" si="299"/>
        <v>1</v>
      </c>
      <c r="BA453" s="1">
        <f t="shared" si="300"/>
        <v>0</v>
      </c>
      <c r="BB453" s="5">
        <v>0</v>
      </c>
      <c r="BC453" s="5">
        <v>0</v>
      </c>
      <c r="BD453" s="5">
        <v>1</v>
      </c>
      <c r="BE453" s="5">
        <f t="shared" si="312"/>
        <v>0</v>
      </c>
      <c r="BF453" s="5">
        <v>0</v>
      </c>
      <c r="BG453" s="5">
        <f t="shared" ref="BG453:BN468" si="322">IF($E453=BG$2,1,0)</f>
        <v>0</v>
      </c>
      <c r="BH453" s="5">
        <f t="shared" si="322"/>
        <v>0</v>
      </c>
      <c r="BI453" s="5">
        <f t="shared" si="322"/>
        <v>0</v>
      </c>
      <c r="BJ453" s="5">
        <f t="shared" si="322"/>
        <v>0</v>
      </c>
      <c r="BK453" s="5">
        <f t="shared" si="322"/>
        <v>0</v>
      </c>
      <c r="BL453" s="5">
        <f t="shared" si="322"/>
        <v>0</v>
      </c>
      <c r="BM453" s="5">
        <f t="shared" si="322"/>
        <v>0</v>
      </c>
      <c r="BN453" s="5">
        <f t="shared" si="314"/>
        <v>0</v>
      </c>
      <c r="BO453" s="5">
        <f t="shared" si="314"/>
        <v>0</v>
      </c>
      <c r="BP453" s="5">
        <f t="shared" si="314"/>
        <v>0</v>
      </c>
      <c r="BQ453" s="5">
        <f t="shared" si="314"/>
        <v>0</v>
      </c>
      <c r="BR453" s="5">
        <f t="shared" si="314"/>
        <v>0</v>
      </c>
      <c r="BS453" s="5">
        <f t="shared" si="314"/>
        <v>0</v>
      </c>
      <c r="BT453" s="5">
        <f t="shared" si="314"/>
        <v>0</v>
      </c>
      <c r="BU453" s="5">
        <f t="shared" si="314"/>
        <v>0</v>
      </c>
      <c r="BV453" s="5">
        <f t="shared" si="314"/>
        <v>0</v>
      </c>
      <c r="BW453" s="5">
        <f t="shared" si="314"/>
        <v>0</v>
      </c>
      <c r="BX453" s="5">
        <f t="shared" si="314"/>
        <v>0</v>
      </c>
      <c r="BY453" s="5">
        <f t="shared" si="314"/>
        <v>0</v>
      </c>
      <c r="BZ453" s="5">
        <f t="shared" si="314"/>
        <v>1</v>
      </c>
      <c r="CA453" s="5">
        <f t="shared" si="314"/>
        <v>0</v>
      </c>
      <c r="CB453" s="5">
        <f t="shared" si="314"/>
        <v>0</v>
      </c>
      <c r="CC453" s="5">
        <f t="shared" si="315"/>
        <v>0</v>
      </c>
      <c r="CD453" s="5">
        <f t="shared" si="309"/>
        <v>0</v>
      </c>
      <c r="CE453" s="5">
        <f t="shared" si="309"/>
        <v>0</v>
      </c>
    </row>
    <row r="454" spans="1:83" x14ac:dyDescent="0.2">
      <c r="C454" s="1">
        <f>Growth!D459</f>
        <v>0</v>
      </c>
      <c r="D454" s="5" t="b">
        <f t="shared" si="316"/>
        <v>0</v>
      </c>
      <c r="E454" s="5">
        <v>2010</v>
      </c>
      <c r="F454" s="5">
        <f ca="1">LOOKUP($E454,frequence!$A$2:$A$35,frequence!L$2:L$35)</f>
        <v>33.819341167042261</v>
      </c>
      <c r="G454" s="5">
        <f ca="1">LOOKUP($E454,frequence!$A$2:$A$35,frequence!K$2:K$35)</f>
        <v>1.4741694560324998</v>
      </c>
      <c r="H454" s="5">
        <f ca="1">LOOKUP($E454,frequence!$A$2:$A$35,frequence!M$2:M$35)</f>
        <v>191.46239168394251</v>
      </c>
      <c r="I454" s="18">
        <v>2005</v>
      </c>
      <c r="J454" s="7">
        <f>LOOKUP(I454,CPI!A$69:A$103,CPI!O$69:O$103)</f>
        <v>1.1165181771633383</v>
      </c>
      <c r="K454" s="18">
        <v>2010</v>
      </c>
      <c r="L454" s="7">
        <f t="shared" ca="1" si="317"/>
        <v>1</v>
      </c>
      <c r="M454" s="7">
        <f t="shared" si="291"/>
        <v>2.333333333333333</v>
      </c>
      <c r="N454" s="14">
        <f t="shared" si="310"/>
        <v>0.33333333333333331</v>
      </c>
      <c r="O454" s="1">
        <f ca="1">P454*J454*(1+Growth!G$6)^(2010-K454)</f>
        <v>1.1276833589349717</v>
      </c>
      <c r="P454" s="3">
        <v>1.01</v>
      </c>
      <c r="Q454" s="2">
        <f t="shared" si="148"/>
        <v>1.01</v>
      </c>
      <c r="R454" s="21">
        <f t="shared" ca="1" si="318"/>
        <v>1.2716697580188603</v>
      </c>
      <c r="X454" s="2">
        <f t="shared" si="287"/>
        <v>1.01</v>
      </c>
      <c r="AC454" s="1">
        <f t="shared" si="311"/>
        <v>7</v>
      </c>
      <c r="AD454" s="5">
        <v>1</v>
      </c>
      <c r="AE454" s="5">
        <v>0</v>
      </c>
      <c r="AF454" s="5">
        <v>1</v>
      </c>
      <c r="AG454" s="5">
        <v>1</v>
      </c>
      <c r="AH454" s="5">
        <v>1</v>
      </c>
      <c r="AI454" s="3">
        <f t="shared" si="313"/>
        <v>3</v>
      </c>
      <c r="AJ454" s="5">
        <f t="shared" si="295"/>
        <v>0</v>
      </c>
      <c r="AK454" s="5">
        <f t="shared" si="319"/>
        <v>0</v>
      </c>
      <c r="AL454" s="5">
        <f t="shared" si="320"/>
        <v>0</v>
      </c>
      <c r="AM454" s="5">
        <f t="shared" si="296"/>
        <v>0</v>
      </c>
      <c r="AN454" s="5">
        <f t="shared" si="321"/>
        <v>0</v>
      </c>
      <c r="AO454" s="5">
        <f t="shared" si="297"/>
        <v>0</v>
      </c>
      <c r="AP454" s="11" t="s">
        <v>42</v>
      </c>
      <c r="AQ454" s="11" t="s">
        <v>42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1</v>
      </c>
      <c r="AY454" s="1">
        <f t="shared" si="298"/>
        <v>0</v>
      </c>
      <c r="AZ454" s="1">
        <f t="shared" si="299"/>
        <v>0</v>
      </c>
      <c r="BA454" s="1">
        <f t="shared" si="300"/>
        <v>0</v>
      </c>
      <c r="BB454" s="5">
        <v>0</v>
      </c>
      <c r="BC454" s="5">
        <v>0</v>
      </c>
      <c r="BD454" s="5">
        <v>1</v>
      </c>
      <c r="BE454" s="5">
        <f t="shared" si="312"/>
        <v>0</v>
      </c>
      <c r="BF454" s="5">
        <v>0</v>
      </c>
      <c r="BG454" s="5">
        <f t="shared" si="322"/>
        <v>0</v>
      </c>
      <c r="BH454" s="5">
        <f t="shared" si="322"/>
        <v>0</v>
      </c>
      <c r="BI454" s="5">
        <f t="shared" si="322"/>
        <v>0</v>
      </c>
      <c r="BJ454" s="5">
        <f t="shared" si="322"/>
        <v>0</v>
      </c>
      <c r="BK454" s="5">
        <f t="shared" si="322"/>
        <v>0</v>
      </c>
      <c r="BL454" s="5">
        <f t="shared" si="322"/>
        <v>0</v>
      </c>
      <c r="BM454" s="5">
        <f t="shared" si="322"/>
        <v>0</v>
      </c>
      <c r="BN454" s="5">
        <f t="shared" si="314"/>
        <v>0</v>
      </c>
      <c r="BO454" s="5">
        <f t="shared" si="314"/>
        <v>0</v>
      </c>
      <c r="BP454" s="5">
        <f t="shared" si="314"/>
        <v>0</v>
      </c>
      <c r="BQ454" s="5">
        <f t="shared" si="314"/>
        <v>0</v>
      </c>
      <c r="BR454" s="5">
        <f t="shared" si="314"/>
        <v>0</v>
      </c>
      <c r="BS454" s="5">
        <f t="shared" si="314"/>
        <v>0</v>
      </c>
      <c r="BT454" s="5">
        <f t="shared" si="314"/>
        <v>0</v>
      </c>
      <c r="BU454" s="5">
        <f t="shared" si="314"/>
        <v>0</v>
      </c>
      <c r="BV454" s="5">
        <f t="shared" si="314"/>
        <v>0</v>
      </c>
      <c r="BW454" s="5">
        <f t="shared" si="314"/>
        <v>0</v>
      </c>
      <c r="BX454" s="5">
        <f t="shared" si="314"/>
        <v>0</v>
      </c>
      <c r="BY454" s="5">
        <f t="shared" si="314"/>
        <v>0</v>
      </c>
      <c r="BZ454" s="5">
        <f t="shared" si="314"/>
        <v>1</v>
      </c>
      <c r="CA454" s="5">
        <f t="shared" si="314"/>
        <v>0</v>
      </c>
      <c r="CB454" s="5">
        <f t="shared" si="314"/>
        <v>0</v>
      </c>
      <c r="CC454" s="5">
        <f t="shared" si="315"/>
        <v>0</v>
      </c>
      <c r="CD454" s="5">
        <f t="shared" si="309"/>
        <v>0</v>
      </c>
      <c r="CE454" s="5">
        <f t="shared" si="309"/>
        <v>0</v>
      </c>
    </row>
    <row r="455" spans="1:83" x14ac:dyDescent="0.2">
      <c r="A455" s="3" t="s">
        <v>66</v>
      </c>
      <c r="B455" s="11" t="s">
        <v>140</v>
      </c>
      <c r="C455" s="1">
        <f>Growth!D460</f>
        <v>0.1111111111111111</v>
      </c>
      <c r="D455" s="5">
        <f t="shared" si="316"/>
        <v>2009</v>
      </c>
      <c r="E455" s="5">
        <v>2009</v>
      </c>
      <c r="F455" s="5">
        <f ca="1">LOOKUP($E455,frequence!$A$2:$A$35,frequence!L$2:L$35)</f>
        <v>37.435381616951773</v>
      </c>
      <c r="G455" s="5">
        <f ca="1">LOOKUP($E455,frequence!$A$2:$A$35,frequence!K$2:K$35)</f>
        <v>3.3073014644850907</v>
      </c>
      <c r="H455" s="5">
        <f ca="1">LOOKUP($E455,frequence!$A$2:$A$35,frequence!M$2:M$35)</f>
        <v>226.95522031937912</v>
      </c>
      <c r="I455" s="5">
        <v>2007</v>
      </c>
      <c r="J455" s="7">
        <f>LOOKUP(I455,CPI!A$69:A$103,CPI!O$69:O$103)</f>
        <v>1.0516730811895323</v>
      </c>
      <c r="K455" s="5">
        <v>2007</v>
      </c>
      <c r="L455" s="7">
        <f t="shared" ca="1" si="317"/>
        <v>1</v>
      </c>
      <c r="M455" s="7">
        <f t="shared" si="291"/>
        <v>0.32222222222222219</v>
      </c>
      <c r="N455" s="14">
        <f>1/9</f>
        <v>0.1111111111111111</v>
      </c>
      <c r="O455" s="1">
        <f ca="1">P455*J455*(1+Growth!G$6)^(2010-K455)</f>
        <v>20.168704714558849</v>
      </c>
      <c r="P455" s="3">
        <f>5*44/12</f>
        <v>18.333333333333332</v>
      </c>
      <c r="Q455" s="2">
        <f t="shared" si="148"/>
        <v>18.333333333333332</v>
      </c>
      <c r="R455" s="21">
        <f t="shared" ca="1" si="318"/>
        <v>406.77664986306837</v>
      </c>
      <c r="X455" s="2">
        <f t="shared" si="287"/>
        <v>18.333333333333332</v>
      </c>
      <c r="AC455" s="1">
        <f t="shared" si="311"/>
        <v>2.9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3">
        <f t="shared" si="313"/>
        <v>2.9</v>
      </c>
      <c r="AJ455" s="5">
        <f t="shared" si="295"/>
        <v>0</v>
      </c>
      <c r="AK455" s="5">
        <f t="shared" si="319"/>
        <v>0</v>
      </c>
      <c r="AL455" s="5">
        <f t="shared" si="320"/>
        <v>0</v>
      </c>
      <c r="AM455" s="5">
        <f t="shared" si="296"/>
        <v>0</v>
      </c>
      <c r="AN455" s="5">
        <f t="shared" si="321"/>
        <v>0</v>
      </c>
      <c r="AO455" s="5">
        <f t="shared" si="297"/>
        <v>0</v>
      </c>
      <c r="AP455" s="1">
        <v>5</v>
      </c>
      <c r="AQ455" s="11" t="s">
        <v>42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1</v>
      </c>
      <c r="AY455" s="1">
        <f t="shared" si="298"/>
        <v>0</v>
      </c>
      <c r="AZ455" s="1">
        <f t="shared" si="299"/>
        <v>0</v>
      </c>
      <c r="BA455" s="1">
        <f t="shared" si="300"/>
        <v>0</v>
      </c>
      <c r="BB455" s="5">
        <v>0</v>
      </c>
      <c r="BC455" s="5">
        <v>0</v>
      </c>
      <c r="BD455" s="5">
        <v>0</v>
      </c>
      <c r="BE455" s="5">
        <f t="shared" si="312"/>
        <v>1</v>
      </c>
      <c r="BF455" s="5">
        <v>0</v>
      </c>
      <c r="BG455" s="5">
        <f t="shared" si="322"/>
        <v>0</v>
      </c>
      <c r="BH455" s="5">
        <f t="shared" si="322"/>
        <v>0</v>
      </c>
      <c r="BI455" s="5">
        <f t="shared" si="322"/>
        <v>0</v>
      </c>
      <c r="BJ455" s="5">
        <f t="shared" si="322"/>
        <v>0</v>
      </c>
      <c r="BK455" s="5">
        <f t="shared" si="322"/>
        <v>0</v>
      </c>
      <c r="BL455" s="5">
        <f t="shared" si="322"/>
        <v>0</v>
      </c>
      <c r="BM455" s="5">
        <f t="shared" si="322"/>
        <v>0</v>
      </c>
      <c r="BN455" s="5">
        <f t="shared" si="314"/>
        <v>0</v>
      </c>
      <c r="BO455" s="5">
        <f t="shared" si="314"/>
        <v>0</v>
      </c>
      <c r="BP455" s="5">
        <f t="shared" si="314"/>
        <v>0</v>
      </c>
      <c r="BQ455" s="5">
        <f t="shared" si="314"/>
        <v>0</v>
      </c>
      <c r="BR455" s="5">
        <f t="shared" si="314"/>
        <v>0</v>
      </c>
      <c r="BS455" s="5">
        <f t="shared" si="314"/>
        <v>0</v>
      </c>
      <c r="BT455" s="5">
        <f t="shared" si="314"/>
        <v>0</v>
      </c>
      <c r="BU455" s="5">
        <f t="shared" si="314"/>
        <v>0</v>
      </c>
      <c r="BV455" s="5">
        <f t="shared" si="314"/>
        <v>0</v>
      </c>
      <c r="BW455" s="5">
        <f t="shared" si="314"/>
        <v>0</v>
      </c>
      <c r="BX455" s="5">
        <f t="shared" si="314"/>
        <v>0</v>
      </c>
      <c r="BY455" s="5">
        <f t="shared" si="314"/>
        <v>1</v>
      </c>
      <c r="BZ455" s="5">
        <f t="shared" si="314"/>
        <v>0</v>
      </c>
      <c r="CA455" s="5">
        <f t="shared" si="314"/>
        <v>0</v>
      </c>
      <c r="CB455" s="5">
        <f t="shared" si="314"/>
        <v>0</v>
      </c>
      <c r="CC455" s="5">
        <f t="shared" si="315"/>
        <v>0</v>
      </c>
      <c r="CD455" s="5">
        <f t="shared" si="309"/>
        <v>0</v>
      </c>
      <c r="CE455" s="5">
        <f t="shared" si="309"/>
        <v>0</v>
      </c>
    </row>
    <row r="456" spans="1:83" x14ac:dyDescent="0.2">
      <c r="A456" s="3"/>
      <c r="B456" s="11"/>
      <c r="C456" s="1">
        <f>Growth!D461</f>
        <v>0.22222222222222221</v>
      </c>
      <c r="D456" s="5" t="b">
        <f t="shared" si="316"/>
        <v>0</v>
      </c>
      <c r="E456" s="5">
        <v>2009</v>
      </c>
      <c r="F456" s="5">
        <f ca="1">LOOKUP($E456,frequence!$A$2:$A$35,frequence!L$2:L$35)</f>
        <v>37.435381616951773</v>
      </c>
      <c r="G456" s="5">
        <f ca="1">LOOKUP($E456,frequence!$A$2:$A$35,frequence!K$2:K$35)</f>
        <v>3.3073014644850907</v>
      </c>
      <c r="H456" s="5">
        <f ca="1">LOOKUP($E456,frequence!$A$2:$A$35,frequence!M$2:M$35)</f>
        <v>226.95522031937912</v>
      </c>
      <c r="I456" s="5">
        <v>2007</v>
      </c>
      <c r="J456" s="7">
        <f>LOOKUP(I456,CPI!A$69:A$103,CPI!O$69:O$103)</f>
        <v>1.0516730811895323</v>
      </c>
      <c r="K456" s="5">
        <v>2007</v>
      </c>
      <c r="L456" s="7">
        <f t="shared" ca="1" si="317"/>
        <v>1</v>
      </c>
      <c r="M456" s="7">
        <f t="shared" si="291"/>
        <v>0.64444444444444438</v>
      </c>
      <c r="N456" s="14">
        <f>2/9</f>
        <v>0.22222222222222221</v>
      </c>
      <c r="O456" s="1">
        <f ca="1">P456*J456*(1+Growth!G$6)^(2010-K456)</f>
        <v>40.337409429117699</v>
      </c>
      <c r="P456" s="3">
        <f>10*44/12</f>
        <v>36.666666666666664</v>
      </c>
      <c r="Q456" s="2">
        <f t="shared" ref="Q456:Q457" si="323">P456</f>
        <v>36.666666666666664</v>
      </c>
      <c r="R456" s="21">
        <f t="shared" ca="1" si="318"/>
        <v>1627.1065994522735</v>
      </c>
      <c r="X456" s="2">
        <f t="shared" si="287"/>
        <v>36.666666666666664</v>
      </c>
      <c r="AC456" s="1">
        <f t="shared" ref="AC456:AC457" si="324">SUM(AD456:AI456)</f>
        <v>2.9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3">
        <f t="shared" si="313"/>
        <v>2.9</v>
      </c>
      <c r="AJ456" s="5">
        <f t="shared" si="295"/>
        <v>0</v>
      </c>
      <c r="AK456" s="5">
        <f t="shared" si="319"/>
        <v>0</v>
      </c>
      <c r="AL456" s="5">
        <f t="shared" si="320"/>
        <v>0</v>
      </c>
      <c r="AM456" s="5">
        <f t="shared" si="296"/>
        <v>0</v>
      </c>
      <c r="AN456" s="5">
        <f t="shared" si="321"/>
        <v>0</v>
      </c>
      <c r="AO456" s="5">
        <f t="shared" si="297"/>
        <v>0</v>
      </c>
      <c r="AP456" s="11" t="s">
        <v>42</v>
      </c>
      <c r="AQ456" s="11" t="s">
        <v>42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1</v>
      </c>
      <c r="AY456" s="1">
        <f t="shared" ref="AY456:AY457" si="325">AJ456*$AD456*(1-$AV456)*(1-$AR456)</f>
        <v>0</v>
      </c>
      <c r="AZ456" s="1">
        <f t="shared" ref="AZ456:AZ457" si="326">AM456*$AD456*(1-$AV456)*(1-$AR456)</f>
        <v>0</v>
      </c>
      <c r="BA456" s="1">
        <f t="shared" ref="BA456:BA457" si="327">AO456*$AD456*(1-$AV456)*(1-$AR456)</f>
        <v>0</v>
      </c>
      <c r="BB456" s="5">
        <v>0</v>
      </c>
      <c r="BC456" s="5">
        <v>0</v>
      </c>
      <c r="BD456" s="5">
        <v>0</v>
      </c>
      <c r="BE456" s="5">
        <f t="shared" ref="BE456:BE457" si="328">1-SUM(BB456:BD456)</f>
        <v>1</v>
      </c>
      <c r="BF456" s="5">
        <v>0</v>
      </c>
      <c r="BG456" s="5">
        <f t="shared" si="322"/>
        <v>0</v>
      </c>
      <c r="BH456" s="5">
        <f t="shared" si="322"/>
        <v>0</v>
      </c>
      <c r="BI456" s="5">
        <f t="shared" si="322"/>
        <v>0</v>
      </c>
      <c r="BJ456" s="5">
        <f t="shared" si="322"/>
        <v>0</v>
      </c>
      <c r="BK456" s="5">
        <f t="shared" si="322"/>
        <v>0</v>
      </c>
      <c r="BL456" s="5">
        <f t="shared" si="322"/>
        <v>0</v>
      </c>
      <c r="BM456" s="5">
        <f t="shared" si="322"/>
        <v>0</v>
      </c>
      <c r="BN456" s="5">
        <f t="shared" si="314"/>
        <v>0</v>
      </c>
      <c r="BO456" s="5">
        <f t="shared" si="314"/>
        <v>0</v>
      </c>
      <c r="BP456" s="5">
        <f t="shared" si="314"/>
        <v>0</v>
      </c>
      <c r="BQ456" s="5">
        <f t="shared" si="314"/>
        <v>0</v>
      </c>
      <c r="BR456" s="5">
        <f t="shared" si="314"/>
        <v>0</v>
      </c>
      <c r="BS456" s="5">
        <f t="shared" si="314"/>
        <v>0</v>
      </c>
      <c r="BT456" s="5">
        <f t="shared" si="314"/>
        <v>0</v>
      </c>
      <c r="BU456" s="5">
        <f t="shared" si="314"/>
        <v>0</v>
      </c>
      <c r="BV456" s="5">
        <f t="shared" si="314"/>
        <v>0</v>
      </c>
      <c r="BW456" s="5">
        <f t="shared" si="314"/>
        <v>0</v>
      </c>
      <c r="BX456" s="5">
        <f t="shared" si="314"/>
        <v>0</v>
      </c>
      <c r="BY456" s="5">
        <f t="shared" si="314"/>
        <v>1</v>
      </c>
      <c r="BZ456" s="5">
        <f t="shared" si="314"/>
        <v>0</v>
      </c>
      <c r="CA456" s="5">
        <f t="shared" si="314"/>
        <v>0</v>
      </c>
      <c r="CB456" s="5">
        <f t="shared" si="314"/>
        <v>0</v>
      </c>
      <c r="CC456" s="5">
        <f t="shared" si="315"/>
        <v>0</v>
      </c>
      <c r="CD456" s="5">
        <f t="shared" si="309"/>
        <v>0</v>
      </c>
      <c r="CE456" s="5">
        <f t="shared" si="309"/>
        <v>0</v>
      </c>
    </row>
    <row r="457" spans="1:83" x14ac:dyDescent="0.2">
      <c r="A457" s="3"/>
      <c r="B457" s="11"/>
      <c r="C457" s="1">
        <f>Growth!D462</f>
        <v>0.33333333333333331</v>
      </c>
      <c r="D457" s="5" t="b">
        <f t="shared" si="316"/>
        <v>0</v>
      </c>
      <c r="E457" s="5">
        <v>2009</v>
      </c>
      <c r="F457" s="5">
        <f ca="1">LOOKUP($E457,frequence!$A$2:$A$35,frequence!L$2:L$35)</f>
        <v>37.435381616951773</v>
      </c>
      <c r="G457" s="5">
        <f ca="1">LOOKUP($E457,frequence!$A$2:$A$35,frequence!K$2:K$35)</f>
        <v>3.3073014644850907</v>
      </c>
      <c r="H457" s="5">
        <f ca="1">LOOKUP($E457,frequence!$A$2:$A$35,frequence!M$2:M$35)</f>
        <v>226.95522031937912</v>
      </c>
      <c r="I457" s="5">
        <v>2007</v>
      </c>
      <c r="J457" s="7">
        <f>LOOKUP(I457,CPI!A$69:A$103,CPI!O$69:O$103)</f>
        <v>1.0516730811895323</v>
      </c>
      <c r="K457" s="5">
        <v>2007</v>
      </c>
      <c r="L457" s="7">
        <f t="shared" ca="1" si="317"/>
        <v>1</v>
      </c>
      <c r="M457" s="7">
        <f t="shared" si="291"/>
        <v>0.96666666666666656</v>
      </c>
      <c r="N457" s="14">
        <f>3/9</f>
        <v>0.33333333333333331</v>
      </c>
      <c r="O457" s="1">
        <f ca="1">P457*J457*(1+Growth!G$6)^(2010-K457)</f>
        <v>80.674818858235398</v>
      </c>
      <c r="P457" s="3">
        <f>20*44/12</f>
        <v>73.333333333333329</v>
      </c>
      <c r="Q457" s="2">
        <f t="shared" si="323"/>
        <v>73.333333333333329</v>
      </c>
      <c r="R457" s="21">
        <f t="shared" ca="1" si="318"/>
        <v>6508.4263978090939</v>
      </c>
      <c r="X457" s="2">
        <f t="shared" si="287"/>
        <v>73.333333333333329</v>
      </c>
      <c r="AC457" s="1">
        <f t="shared" si="324"/>
        <v>2.9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3">
        <f t="shared" si="313"/>
        <v>2.9</v>
      </c>
      <c r="AJ457" s="5">
        <f t="shared" si="295"/>
        <v>0</v>
      </c>
      <c r="AK457" s="5">
        <f t="shared" si="319"/>
        <v>0</v>
      </c>
      <c r="AL457" s="5">
        <f t="shared" si="320"/>
        <v>0</v>
      </c>
      <c r="AM457" s="5">
        <f t="shared" si="296"/>
        <v>0</v>
      </c>
      <c r="AN457" s="5">
        <f t="shared" si="321"/>
        <v>0</v>
      </c>
      <c r="AO457" s="5">
        <f t="shared" si="297"/>
        <v>0</v>
      </c>
      <c r="AP457" s="11" t="s">
        <v>42</v>
      </c>
      <c r="AQ457" s="11" t="s">
        <v>42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1</v>
      </c>
      <c r="AY457" s="1">
        <f t="shared" si="325"/>
        <v>0</v>
      </c>
      <c r="AZ457" s="1">
        <f t="shared" si="326"/>
        <v>0</v>
      </c>
      <c r="BA457" s="1">
        <f t="shared" si="327"/>
        <v>0</v>
      </c>
      <c r="BB457" s="5">
        <v>0</v>
      </c>
      <c r="BC457" s="5">
        <v>0</v>
      </c>
      <c r="BD457" s="5">
        <v>0</v>
      </c>
      <c r="BE457" s="5">
        <f t="shared" si="328"/>
        <v>1</v>
      </c>
      <c r="BF457" s="5">
        <v>0</v>
      </c>
      <c r="BG457" s="5">
        <f t="shared" si="322"/>
        <v>0</v>
      </c>
      <c r="BH457" s="5">
        <f t="shared" si="322"/>
        <v>0</v>
      </c>
      <c r="BI457" s="5">
        <f t="shared" si="322"/>
        <v>0</v>
      </c>
      <c r="BJ457" s="5">
        <f t="shared" si="322"/>
        <v>0</v>
      </c>
      <c r="BK457" s="5">
        <f t="shared" si="322"/>
        <v>0</v>
      </c>
      <c r="BL457" s="5">
        <f t="shared" si="322"/>
        <v>0</v>
      </c>
      <c r="BM457" s="5">
        <f t="shared" si="322"/>
        <v>0</v>
      </c>
      <c r="BN457" s="5">
        <f t="shared" si="314"/>
        <v>0</v>
      </c>
      <c r="BO457" s="5">
        <f t="shared" si="314"/>
        <v>0</v>
      </c>
      <c r="BP457" s="5">
        <f t="shared" si="314"/>
        <v>0</v>
      </c>
      <c r="BQ457" s="5">
        <f t="shared" si="314"/>
        <v>0</v>
      </c>
      <c r="BR457" s="5">
        <f t="shared" si="314"/>
        <v>0</v>
      </c>
      <c r="BS457" s="5">
        <f t="shared" si="314"/>
        <v>0</v>
      </c>
      <c r="BT457" s="5">
        <f t="shared" si="314"/>
        <v>0</v>
      </c>
      <c r="BU457" s="5">
        <f t="shared" si="314"/>
        <v>0</v>
      </c>
      <c r="BV457" s="5">
        <f t="shared" si="314"/>
        <v>0</v>
      </c>
      <c r="BW457" s="5">
        <f t="shared" si="314"/>
        <v>0</v>
      </c>
      <c r="BX457" s="5">
        <f t="shared" si="314"/>
        <v>0</v>
      </c>
      <c r="BY457" s="5">
        <f t="shared" si="314"/>
        <v>1</v>
      </c>
      <c r="BZ457" s="5">
        <f t="shared" si="314"/>
        <v>0</v>
      </c>
      <c r="CA457" s="5">
        <f t="shared" si="314"/>
        <v>0</v>
      </c>
      <c r="CB457" s="5">
        <f t="shared" si="314"/>
        <v>0</v>
      </c>
      <c r="CC457" s="5">
        <f t="shared" si="315"/>
        <v>0</v>
      </c>
      <c r="CD457" s="5">
        <f t="shared" si="309"/>
        <v>0</v>
      </c>
      <c r="CE457" s="5">
        <f t="shared" si="309"/>
        <v>0</v>
      </c>
    </row>
    <row r="458" spans="1:83" x14ac:dyDescent="0.2">
      <c r="C458" s="1">
        <f>Growth!D463</f>
        <v>0.22222222222222221</v>
      </c>
      <c r="D458" s="5" t="b">
        <f t="shared" si="316"/>
        <v>0</v>
      </c>
      <c r="E458" s="5">
        <v>2009</v>
      </c>
      <c r="F458" s="5">
        <f ca="1">LOOKUP($E458,frequence!$A$2:$A$35,frequence!L$2:L$35)</f>
        <v>37.435381616951773</v>
      </c>
      <c r="G458" s="5">
        <f ca="1">LOOKUP($E458,frequence!$A$2:$A$35,frequence!K$2:K$35)</f>
        <v>3.3073014644850907</v>
      </c>
      <c r="H458" s="5">
        <f ca="1">LOOKUP($E458,frequence!$A$2:$A$35,frequence!M$2:M$35)</f>
        <v>226.95522031937912</v>
      </c>
      <c r="I458" s="5">
        <v>2007</v>
      </c>
      <c r="J458" s="7">
        <f>LOOKUP(I458,CPI!A$69:A$103,CPI!O$69:O$103)</f>
        <v>1.0516730811895323</v>
      </c>
      <c r="K458" s="5">
        <v>2007</v>
      </c>
      <c r="L458" s="7">
        <f t="shared" ca="1" si="317"/>
        <v>1</v>
      </c>
      <c r="M458" s="7">
        <f t="shared" si="291"/>
        <v>0.64444444444444438</v>
      </c>
      <c r="N458" s="14">
        <f>2/9</f>
        <v>0.22222222222222221</v>
      </c>
      <c r="O458" s="1">
        <f ca="1">P458*J458*(1+Growth!G$6)^(2010-K458)</f>
        <v>137.14719205900019</v>
      </c>
      <c r="P458" s="3">
        <f>34*44/12</f>
        <v>124.66666666666667</v>
      </c>
      <c r="Q458" s="2">
        <f t="shared" si="148"/>
        <v>124.66666666666667</v>
      </c>
      <c r="R458" s="21">
        <f t="shared" ca="1" si="318"/>
        <v>18809.352289668284</v>
      </c>
      <c r="X458" s="2">
        <f t="shared" si="287"/>
        <v>124.66666666666667</v>
      </c>
      <c r="AC458" s="1">
        <f t="shared" si="311"/>
        <v>2.9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3">
        <f t="shared" si="313"/>
        <v>2.9</v>
      </c>
      <c r="AJ458" s="5">
        <f t="shared" si="295"/>
        <v>0</v>
      </c>
      <c r="AK458" s="5">
        <f t="shared" si="319"/>
        <v>0</v>
      </c>
      <c r="AL458" s="5">
        <f t="shared" si="320"/>
        <v>0</v>
      </c>
      <c r="AM458" s="5">
        <f t="shared" si="296"/>
        <v>0</v>
      </c>
      <c r="AN458" s="5">
        <f t="shared" si="321"/>
        <v>0</v>
      </c>
      <c r="AO458" s="5">
        <f t="shared" si="297"/>
        <v>0</v>
      </c>
      <c r="AP458" s="1">
        <v>3</v>
      </c>
      <c r="AQ458" s="11" t="s">
        <v>42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1</v>
      </c>
      <c r="AY458" s="1">
        <f t="shared" si="298"/>
        <v>0</v>
      </c>
      <c r="AZ458" s="1">
        <f t="shared" si="299"/>
        <v>0</v>
      </c>
      <c r="BA458" s="1">
        <f t="shared" si="300"/>
        <v>0</v>
      </c>
      <c r="BB458" s="5">
        <v>0</v>
      </c>
      <c r="BC458" s="5">
        <v>0</v>
      </c>
      <c r="BD458" s="5">
        <v>0</v>
      </c>
      <c r="BE458" s="5">
        <f t="shared" si="312"/>
        <v>1</v>
      </c>
      <c r="BF458" s="5">
        <v>0</v>
      </c>
      <c r="BG458" s="5">
        <f t="shared" si="322"/>
        <v>0</v>
      </c>
      <c r="BH458" s="5">
        <f t="shared" si="322"/>
        <v>0</v>
      </c>
      <c r="BI458" s="5">
        <f t="shared" si="322"/>
        <v>0</v>
      </c>
      <c r="BJ458" s="5">
        <f t="shared" si="322"/>
        <v>0</v>
      </c>
      <c r="BK458" s="5">
        <f t="shared" si="322"/>
        <v>0</v>
      </c>
      <c r="BL458" s="5">
        <f t="shared" si="322"/>
        <v>0</v>
      </c>
      <c r="BM458" s="5">
        <f t="shared" si="322"/>
        <v>0</v>
      </c>
      <c r="BN458" s="5">
        <f t="shared" si="314"/>
        <v>0</v>
      </c>
      <c r="BO458" s="5">
        <f t="shared" si="314"/>
        <v>0</v>
      </c>
      <c r="BP458" s="5">
        <f t="shared" si="314"/>
        <v>0</v>
      </c>
      <c r="BQ458" s="5">
        <f t="shared" si="314"/>
        <v>0</v>
      </c>
      <c r="BR458" s="5">
        <f t="shared" si="314"/>
        <v>0</v>
      </c>
      <c r="BS458" s="5">
        <f t="shared" si="314"/>
        <v>0</v>
      </c>
      <c r="BT458" s="5">
        <f t="shared" si="314"/>
        <v>0</v>
      </c>
      <c r="BU458" s="5">
        <f t="shared" si="314"/>
        <v>0</v>
      </c>
      <c r="BV458" s="5">
        <f t="shared" si="314"/>
        <v>0</v>
      </c>
      <c r="BW458" s="5">
        <f t="shared" si="314"/>
        <v>0</v>
      </c>
      <c r="BX458" s="5">
        <f t="shared" si="314"/>
        <v>0</v>
      </c>
      <c r="BY458" s="5">
        <f t="shared" si="314"/>
        <v>1</v>
      </c>
      <c r="BZ458" s="5">
        <f t="shared" si="314"/>
        <v>0</v>
      </c>
      <c r="CA458" s="5">
        <f t="shared" si="314"/>
        <v>0</v>
      </c>
      <c r="CB458" s="5">
        <f t="shared" si="314"/>
        <v>0</v>
      </c>
      <c r="CC458" s="5">
        <f t="shared" si="315"/>
        <v>0</v>
      </c>
      <c r="CD458" s="5">
        <f t="shared" si="309"/>
        <v>0</v>
      </c>
      <c r="CE458" s="5">
        <f t="shared" si="309"/>
        <v>0</v>
      </c>
    </row>
    <row r="459" spans="1:83" x14ac:dyDescent="0.2">
      <c r="C459" s="1">
        <f>Growth!D464</f>
        <v>0.1111111111111111</v>
      </c>
      <c r="D459" s="5" t="b">
        <f t="shared" si="316"/>
        <v>0</v>
      </c>
      <c r="E459" s="5">
        <v>2009</v>
      </c>
      <c r="F459" s="5">
        <f ca="1">LOOKUP($E459,frequence!$A$2:$A$35,frequence!L$2:L$35)</f>
        <v>37.435381616951773</v>
      </c>
      <c r="G459" s="5">
        <f ca="1">LOOKUP($E459,frequence!$A$2:$A$35,frequence!K$2:K$35)</f>
        <v>3.3073014644850907</v>
      </c>
      <c r="H459" s="5">
        <f ca="1">LOOKUP($E459,frequence!$A$2:$A$35,frequence!M$2:M$35)</f>
        <v>226.95522031937912</v>
      </c>
      <c r="I459" s="5">
        <v>2007</v>
      </c>
      <c r="J459" s="7">
        <f>LOOKUP(I459,CPI!A$69:A$103,CPI!O$69:O$103)</f>
        <v>1.0516730811895323</v>
      </c>
      <c r="K459" s="5">
        <v>2007</v>
      </c>
      <c r="L459" s="7">
        <f t="shared" ca="1" si="317"/>
        <v>1</v>
      </c>
      <c r="M459" s="7">
        <f t="shared" si="291"/>
        <v>0.32222222222222219</v>
      </c>
      <c r="N459" s="14">
        <f>1/9</f>
        <v>0.1111111111111111</v>
      </c>
      <c r="O459" s="1">
        <f ca="1">P459*J459*(1+Growth!G$6)^(2010-K459)</f>
        <v>225.88949280305911</v>
      </c>
      <c r="P459" s="3">
        <f>56*44/12</f>
        <v>205.33333333333334</v>
      </c>
      <c r="Q459" s="2">
        <f t="shared" si="148"/>
        <v>205.33333333333334</v>
      </c>
      <c r="R459" s="21">
        <f t="shared" ca="1" si="318"/>
        <v>51026.062958823291</v>
      </c>
      <c r="X459" s="2">
        <f t="shared" si="287"/>
        <v>205.33333333333334</v>
      </c>
      <c r="AC459" s="1">
        <f t="shared" si="311"/>
        <v>2.9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3">
        <f t="shared" si="313"/>
        <v>2.9</v>
      </c>
      <c r="AJ459" s="5">
        <f t="shared" si="295"/>
        <v>0</v>
      </c>
      <c r="AK459" s="5">
        <f t="shared" si="319"/>
        <v>0</v>
      </c>
      <c r="AL459" s="5">
        <f t="shared" si="320"/>
        <v>0</v>
      </c>
      <c r="AM459" s="5">
        <f t="shared" si="296"/>
        <v>0</v>
      </c>
      <c r="AN459" s="5">
        <f t="shared" si="321"/>
        <v>0</v>
      </c>
      <c r="AO459" s="5">
        <f t="shared" si="297"/>
        <v>0</v>
      </c>
      <c r="AP459" s="11" t="s">
        <v>42</v>
      </c>
      <c r="AQ459" s="11" t="s">
        <v>42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1</v>
      </c>
      <c r="AY459" s="1">
        <f t="shared" si="298"/>
        <v>0</v>
      </c>
      <c r="AZ459" s="1">
        <f t="shared" si="299"/>
        <v>0</v>
      </c>
      <c r="BA459" s="1">
        <f t="shared" si="300"/>
        <v>0</v>
      </c>
      <c r="BB459" s="5">
        <v>0</v>
      </c>
      <c r="BC459" s="5">
        <v>0</v>
      </c>
      <c r="BD459" s="5">
        <v>0</v>
      </c>
      <c r="BE459" s="5">
        <f t="shared" si="312"/>
        <v>1</v>
      </c>
      <c r="BF459" s="5">
        <v>0</v>
      </c>
      <c r="BG459" s="5">
        <f t="shared" si="322"/>
        <v>0</v>
      </c>
      <c r="BH459" s="5">
        <f t="shared" si="322"/>
        <v>0</v>
      </c>
      <c r="BI459" s="5">
        <f t="shared" si="322"/>
        <v>0</v>
      </c>
      <c r="BJ459" s="5">
        <f t="shared" si="322"/>
        <v>0</v>
      </c>
      <c r="BK459" s="5">
        <f t="shared" si="322"/>
        <v>0</v>
      </c>
      <c r="BL459" s="5">
        <f t="shared" si="322"/>
        <v>0</v>
      </c>
      <c r="BM459" s="5">
        <f t="shared" si="322"/>
        <v>0</v>
      </c>
      <c r="BN459" s="5">
        <f t="shared" si="314"/>
        <v>0</v>
      </c>
      <c r="BO459" s="5">
        <f t="shared" si="314"/>
        <v>0</v>
      </c>
      <c r="BP459" s="5">
        <f t="shared" si="314"/>
        <v>0</v>
      </c>
      <c r="BQ459" s="5">
        <f t="shared" si="314"/>
        <v>0</v>
      </c>
      <c r="BR459" s="5">
        <f t="shared" si="314"/>
        <v>0</v>
      </c>
      <c r="BS459" s="5">
        <f t="shared" si="314"/>
        <v>0</v>
      </c>
      <c r="BT459" s="5">
        <f t="shared" si="314"/>
        <v>0</v>
      </c>
      <c r="BU459" s="5">
        <f t="shared" si="314"/>
        <v>0</v>
      </c>
      <c r="BV459" s="5">
        <f t="shared" si="314"/>
        <v>0</v>
      </c>
      <c r="BW459" s="5">
        <f t="shared" si="314"/>
        <v>0</v>
      </c>
      <c r="BX459" s="5">
        <f t="shared" si="314"/>
        <v>0</v>
      </c>
      <c r="BY459" s="5">
        <f t="shared" si="314"/>
        <v>1</v>
      </c>
      <c r="BZ459" s="5">
        <f t="shared" si="314"/>
        <v>0</v>
      </c>
      <c r="CA459" s="5">
        <f t="shared" si="314"/>
        <v>0</v>
      </c>
      <c r="CB459" s="5">
        <f t="shared" si="314"/>
        <v>0</v>
      </c>
      <c r="CC459" s="5">
        <f t="shared" si="315"/>
        <v>0</v>
      </c>
      <c r="CD459" s="5">
        <f t="shared" si="309"/>
        <v>0</v>
      </c>
      <c r="CE459" s="5">
        <f t="shared" si="309"/>
        <v>0</v>
      </c>
    </row>
    <row r="460" spans="1:83" x14ac:dyDescent="0.2">
      <c r="A460" s="3" t="s">
        <v>65</v>
      </c>
      <c r="B460" s="11" t="s">
        <v>139</v>
      </c>
      <c r="C460" s="1">
        <f>Growth!D465</f>
        <v>0</v>
      </c>
      <c r="D460" s="5">
        <f t="shared" si="316"/>
        <v>2010</v>
      </c>
      <c r="E460" s="5">
        <v>2010</v>
      </c>
      <c r="F460" s="5">
        <f ca="1">LOOKUP($E460,frequence!$A$2:$A$35,frequence!L$2:L$35)</f>
        <v>33.819341167042261</v>
      </c>
      <c r="G460" s="5">
        <f ca="1">LOOKUP($E460,frequence!$A$2:$A$35,frequence!K$2:K$35)</f>
        <v>1.4741694560324998</v>
      </c>
      <c r="H460" s="5">
        <f ca="1">LOOKUP($E460,frequence!$A$2:$A$35,frequence!M$2:M$35)</f>
        <v>191.46239168394251</v>
      </c>
      <c r="I460" s="5">
        <v>1995</v>
      </c>
      <c r="J460" s="7">
        <f>LOOKUP(I460,CPI!A$69:A$103,CPI!O$69:O$103)</f>
        <v>1.4308136482939633</v>
      </c>
      <c r="K460" s="18">
        <v>2010</v>
      </c>
      <c r="L460" s="7">
        <f t="shared" ca="1" si="317"/>
        <v>1</v>
      </c>
      <c r="M460" s="7">
        <f t="shared" si="291"/>
        <v>0.82352941176470584</v>
      </c>
      <c r="N460" s="14">
        <f>4/34</f>
        <v>0.11764705882352941</v>
      </c>
      <c r="O460" s="1">
        <f ca="1">P460*J460*(1+Growth!G$6)^(2010-K460)</f>
        <v>22.263460367454069</v>
      </c>
      <c r="P460" s="3">
        <v>15.56</v>
      </c>
      <c r="Q460" s="2">
        <f t="shared" si="148"/>
        <v>15.56</v>
      </c>
      <c r="R460" s="21">
        <f t="shared" ca="1" si="318"/>
        <v>495.66166753319806</v>
      </c>
      <c r="X460" s="2">
        <f t="shared" ref="X460:X528" si="329">P460</f>
        <v>15.56</v>
      </c>
      <c r="AC460" s="1">
        <f t="shared" si="311"/>
        <v>7</v>
      </c>
      <c r="AD460" s="5">
        <v>1</v>
      </c>
      <c r="AE460" s="5">
        <v>0</v>
      </c>
      <c r="AF460" s="5">
        <v>1</v>
      </c>
      <c r="AG460" s="5">
        <v>1</v>
      </c>
      <c r="AH460" s="5">
        <v>1</v>
      </c>
      <c r="AI460" s="3">
        <f t="shared" si="313"/>
        <v>3</v>
      </c>
      <c r="AJ460" s="5">
        <f t="shared" si="295"/>
        <v>0</v>
      </c>
      <c r="AK460" s="5">
        <f t="shared" si="319"/>
        <v>0</v>
      </c>
      <c r="AL460" s="5">
        <f t="shared" si="320"/>
        <v>0</v>
      </c>
      <c r="AM460" s="5">
        <f t="shared" si="296"/>
        <v>1</v>
      </c>
      <c r="AN460" s="5">
        <f t="shared" si="321"/>
        <v>0</v>
      </c>
      <c r="AO460" s="5">
        <f t="shared" si="297"/>
        <v>0</v>
      </c>
      <c r="AP460" s="11" t="s">
        <v>42</v>
      </c>
      <c r="AQ460" s="1">
        <v>1</v>
      </c>
      <c r="AR460" s="5">
        <v>0</v>
      </c>
      <c r="AS460" s="5">
        <v>1</v>
      </c>
      <c r="AT460" s="5">
        <v>0</v>
      </c>
      <c r="AU460" s="5">
        <v>0</v>
      </c>
      <c r="AV460" s="5">
        <v>0</v>
      </c>
      <c r="AW460" s="5">
        <v>0</v>
      </c>
      <c r="AX460" s="5">
        <v>1</v>
      </c>
      <c r="AY460" s="1">
        <f t="shared" si="298"/>
        <v>0</v>
      </c>
      <c r="AZ460" s="1">
        <f t="shared" si="299"/>
        <v>1</v>
      </c>
      <c r="BA460" s="1">
        <f t="shared" si="300"/>
        <v>0</v>
      </c>
      <c r="BB460" s="5">
        <v>0</v>
      </c>
      <c r="BC460" s="5">
        <v>0</v>
      </c>
      <c r="BD460" s="5">
        <v>1</v>
      </c>
      <c r="BE460" s="5">
        <f t="shared" ref="BE460:BE477" si="330">1-SUM(BB460:BD460)</f>
        <v>0</v>
      </c>
      <c r="BF460" s="5">
        <v>0</v>
      </c>
      <c r="BG460" s="5">
        <f t="shared" si="322"/>
        <v>0</v>
      </c>
      <c r="BH460" s="5">
        <f t="shared" si="322"/>
        <v>0</v>
      </c>
      <c r="BI460" s="5">
        <f t="shared" si="322"/>
        <v>0</v>
      </c>
      <c r="BJ460" s="5">
        <f t="shared" si="322"/>
        <v>0</v>
      </c>
      <c r="BK460" s="5">
        <f t="shared" si="322"/>
        <v>0</v>
      </c>
      <c r="BL460" s="5">
        <f t="shared" si="322"/>
        <v>0</v>
      </c>
      <c r="BM460" s="5">
        <f t="shared" si="322"/>
        <v>0</v>
      </c>
      <c r="BN460" s="5">
        <f t="shared" si="314"/>
        <v>0</v>
      </c>
      <c r="BO460" s="5">
        <f t="shared" si="314"/>
        <v>0</v>
      </c>
      <c r="BP460" s="5">
        <f t="shared" si="314"/>
        <v>0</v>
      </c>
      <c r="BQ460" s="5">
        <f t="shared" si="314"/>
        <v>0</v>
      </c>
      <c r="BR460" s="5">
        <f t="shared" si="314"/>
        <v>0</v>
      </c>
      <c r="BS460" s="5">
        <f t="shared" si="314"/>
        <v>0</v>
      </c>
      <c r="BT460" s="5">
        <f t="shared" si="314"/>
        <v>0</v>
      </c>
      <c r="BU460" s="5">
        <f t="shared" si="314"/>
        <v>0</v>
      </c>
      <c r="BV460" s="5">
        <f t="shared" si="314"/>
        <v>0</v>
      </c>
      <c r="BW460" s="5">
        <f t="shared" si="314"/>
        <v>0</v>
      </c>
      <c r="BX460" s="5">
        <f t="shared" si="314"/>
        <v>0</v>
      </c>
      <c r="BY460" s="5">
        <f t="shared" si="314"/>
        <v>0</v>
      </c>
      <c r="BZ460" s="5">
        <f t="shared" si="314"/>
        <v>1</v>
      </c>
      <c r="CA460" s="5">
        <f t="shared" si="314"/>
        <v>0</v>
      </c>
      <c r="CB460" s="5">
        <f t="shared" si="314"/>
        <v>0</v>
      </c>
      <c r="CC460" s="5">
        <f t="shared" si="315"/>
        <v>0</v>
      </c>
      <c r="CD460" s="5">
        <f t="shared" si="309"/>
        <v>0</v>
      </c>
      <c r="CE460" s="5">
        <f t="shared" si="309"/>
        <v>0</v>
      </c>
    </row>
    <row r="461" spans="1:83" x14ac:dyDescent="0.2">
      <c r="A461" s="3"/>
      <c r="B461" s="3"/>
      <c r="C461" s="1">
        <f>Growth!D466</f>
        <v>0</v>
      </c>
      <c r="D461" s="5" t="b">
        <f t="shared" si="316"/>
        <v>0</v>
      </c>
      <c r="E461" s="5">
        <v>2010</v>
      </c>
      <c r="F461" s="5">
        <f ca="1">LOOKUP($E461,frequence!$A$2:$A$35,frequence!L$2:L$35)</f>
        <v>33.819341167042261</v>
      </c>
      <c r="G461" s="5">
        <f ca="1">LOOKUP($E461,frequence!$A$2:$A$35,frequence!K$2:K$35)</f>
        <v>1.4741694560324998</v>
      </c>
      <c r="H461" s="5">
        <f ca="1">LOOKUP($E461,frequence!$A$2:$A$35,frequence!M$2:M$35)</f>
        <v>191.46239168394251</v>
      </c>
      <c r="I461" s="5">
        <v>1995</v>
      </c>
      <c r="J461" s="7">
        <f>LOOKUP(I461,CPI!A$69:A$103,CPI!O$69:O$103)</f>
        <v>1.4308136482939633</v>
      </c>
      <c r="K461" s="18">
        <v>2010</v>
      </c>
      <c r="L461" s="7">
        <f t="shared" ca="1" si="317"/>
        <v>1</v>
      </c>
      <c r="M461" s="7">
        <f t="shared" si="291"/>
        <v>0.82352941176470584</v>
      </c>
      <c r="N461" s="14">
        <f>4/34</f>
        <v>0.11764705882352941</v>
      </c>
      <c r="O461" s="1">
        <f ca="1">P461*J461*(1+Growth!G$6)^(2010-K461)</f>
        <v>39.86246824146982</v>
      </c>
      <c r="P461" s="3">
        <v>27.86</v>
      </c>
      <c r="Q461" s="2">
        <f t="shared" si="148"/>
        <v>27.86</v>
      </c>
      <c r="R461" s="21">
        <f t="shared" ca="1" si="318"/>
        <v>1589.0163743021899</v>
      </c>
      <c r="X461" s="2">
        <f t="shared" si="329"/>
        <v>27.86</v>
      </c>
      <c r="AC461" s="1">
        <f t="shared" ref="AC461:AC477" si="331">SUM(AD461:AI461)</f>
        <v>7</v>
      </c>
      <c r="AD461" s="5">
        <v>1</v>
      </c>
      <c r="AE461" s="5">
        <v>0</v>
      </c>
      <c r="AF461" s="5">
        <v>1</v>
      </c>
      <c r="AG461" s="5">
        <v>1</v>
      </c>
      <c r="AH461" s="5">
        <v>1</v>
      </c>
      <c r="AI461" s="3">
        <f t="shared" si="313"/>
        <v>3</v>
      </c>
      <c r="AJ461" s="5">
        <f t="shared" si="295"/>
        <v>0</v>
      </c>
      <c r="AK461" s="5">
        <f t="shared" si="319"/>
        <v>0</v>
      </c>
      <c r="AL461" s="5">
        <f t="shared" si="320"/>
        <v>0</v>
      </c>
      <c r="AM461" s="5">
        <f t="shared" si="296"/>
        <v>1</v>
      </c>
      <c r="AN461" s="5">
        <f t="shared" si="321"/>
        <v>0</v>
      </c>
      <c r="AO461" s="5">
        <f t="shared" si="297"/>
        <v>0</v>
      </c>
      <c r="AP461" s="11" t="s">
        <v>42</v>
      </c>
      <c r="AQ461" s="1">
        <v>1</v>
      </c>
      <c r="AR461" s="5">
        <v>1</v>
      </c>
      <c r="AS461" s="5">
        <v>1</v>
      </c>
      <c r="AT461" s="5">
        <v>0</v>
      </c>
      <c r="AU461" s="5">
        <v>0</v>
      </c>
      <c r="AV461" s="5">
        <v>0</v>
      </c>
      <c r="AW461" s="5">
        <v>0</v>
      </c>
      <c r="AX461" s="5">
        <v>1</v>
      </c>
      <c r="AY461" s="1">
        <f t="shared" si="298"/>
        <v>0</v>
      </c>
      <c r="AZ461" s="1">
        <f t="shared" si="299"/>
        <v>0</v>
      </c>
      <c r="BA461" s="1">
        <f t="shared" si="300"/>
        <v>0</v>
      </c>
      <c r="BB461" s="5">
        <v>0</v>
      </c>
      <c r="BC461" s="5">
        <v>0</v>
      </c>
      <c r="BD461" s="5">
        <v>1</v>
      </c>
      <c r="BE461" s="5">
        <f t="shared" si="330"/>
        <v>0</v>
      </c>
      <c r="BF461" s="5">
        <v>0</v>
      </c>
      <c r="BG461" s="5">
        <f t="shared" si="322"/>
        <v>0</v>
      </c>
      <c r="BH461" s="5">
        <f t="shared" si="322"/>
        <v>0</v>
      </c>
      <c r="BI461" s="5">
        <f t="shared" si="322"/>
        <v>0</v>
      </c>
      <c r="BJ461" s="5">
        <f t="shared" si="322"/>
        <v>0</v>
      </c>
      <c r="BK461" s="5">
        <f t="shared" si="322"/>
        <v>0</v>
      </c>
      <c r="BL461" s="5">
        <f t="shared" si="322"/>
        <v>0</v>
      </c>
      <c r="BM461" s="5">
        <f t="shared" si="322"/>
        <v>0</v>
      </c>
      <c r="BN461" s="5">
        <f t="shared" si="314"/>
        <v>0</v>
      </c>
      <c r="BO461" s="5">
        <f t="shared" si="314"/>
        <v>0</v>
      </c>
      <c r="BP461" s="5">
        <f t="shared" si="314"/>
        <v>0</v>
      </c>
      <c r="BQ461" s="5">
        <f t="shared" si="314"/>
        <v>0</v>
      </c>
      <c r="BR461" s="5">
        <f t="shared" si="314"/>
        <v>0</v>
      </c>
      <c r="BS461" s="5">
        <f t="shared" si="314"/>
        <v>0</v>
      </c>
      <c r="BT461" s="5">
        <f t="shared" si="314"/>
        <v>0</v>
      </c>
      <c r="BU461" s="5">
        <f t="shared" si="314"/>
        <v>0</v>
      </c>
      <c r="BV461" s="5">
        <f t="shared" si="314"/>
        <v>0</v>
      </c>
      <c r="BW461" s="5">
        <f t="shared" si="314"/>
        <v>0</v>
      </c>
      <c r="BX461" s="5">
        <f t="shared" si="314"/>
        <v>0</v>
      </c>
      <c r="BY461" s="5">
        <f t="shared" si="314"/>
        <v>0</v>
      </c>
      <c r="BZ461" s="5">
        <f t="shared" si="314"/>
        <v>1</v>
      </c>
      <c r="CA461" s="5">
        <f t="shared" si="314"/>
        <v>0</v>
      </c>
      <c r="CB461" s="5">
        <f t="shared" si="314"/>
        <v>0</v>
      </c>
      <c r="CC461" s="5">
        <f t="shared" si="315"/>
        <v>0</v>
      </c>
      <c r="CD461" s="5">
        <f t="shared" si="309"/>
        <v>0</v>
      </c>
      <c r="CE461" s="5">
        <f t="shared" si="309"/>
        <v>0</v>
      </c>
    </row>
    <row r="462" spans="1:83" x14ac:dyDescent="0.2">
      <c r="A462" s="3"/>
      <c r="B462" s="3"/>
      <c r="C462" s="1">
        <f>Growth!D467</f>
        <v>0</v>
      </c>
      <c r="D462" s="5" t="b">
        <f t="shared" si="316"/>
        <v>0</v>
      </c>
      <c r="E462" s="5">
        <v>2010</v>
      </c>
      <c r="F462" s="5">
        <f ca="1">LOOKUP($E462,frequence!$A$2:$A$35,frequence!L$2:L$35)</f>
        <v>33.819341167042261</v>
      </c>
      <c r="G462" s="5">
        <f ca="1">LOOKUP($E462,frequence!$A$2:$A$35,frequence!K$2:K$35)</f>
        <v>1.4741694560324998</v>
      </c>
      <c r="H462" s="5">
        <f ca="1">LOOKUP($E462,frequence!$A$2:$A$35,frequence!M$2:M$35)</f>
        <v>191.46239168394251</v>
      </c>
      <c r="I462" s="5">
        <v>1995</v>
      </c>
      <c r="J462" s="7">
        <f>LOOKUP(I462,CPI!A$69:A$103,CPI!O$69:O$103)</f>
        <v>1.4308136482939633</v>
      </c>
      <c r="K462" s="18">
        <v>2010</v>
      </c>
      <c r="L462" s="7">
        <f t="shared" ca="1" si="317"/>
        <v>1</v>
      </c>
      <c r="M462" s="7">
        <f t="shared" si="291"/>
        <v>0.41176470588235292</v>
      </c>
      <c r="N462" s="14">
        <f>2/34</f>
        <v>5.8823529411764705E-2</v>
      </c>
      <c r="O462" s="1">
        <f ca="1">P462*J462*(1+Growth!G$6)^(2010-K462)</f>
        <v>145.21327716535433</v>
      </c>
      <c r="P462" s="3">
        <v>101.49</v>
      </c>
      <c r="Q462" s="2">
        <f t="shared" si="148"/>
        <v>101.49</v>
      </c>
      <c r="R462" s="21">
        <f t="shared" ca="1" si="318"/>
        <v>21086.895865102015</v>
      </c>
      <c r="X462" s="2">
        <f t="shared" si="329"/>
        <v>101.49</v>
      </c>
      <c r="AC462" s="1">
        <f t="shared" si="331"/>
        <v>7</v>
      </c>
      <c r="AD462" s="5">
        <v>1</v>
      </c>
      <c r="AE462" s="5">
        <v>0</v>
      </c>
      <c r="AF462" s="5">
        <v>1</v>
      </c>
      <c r="AG462" s="5">
        <v>1</v>
      </c>
      <c r="AH462" s="5">
        <v>1</v>
      </c>
      <c r="AI462" s="3">
        <f t="shared" si="313"/>
        <v>3</v>
      </c>
      <c r="AJ462" s="5">
        <f t="shared" si="295"/>
        <v>0</v>
      </c>
      <c r="AK462" s="5">
        <f t="shared" si="319"/>
        <v>0</v>
      </c>
      <c r="AL462" s="5">
        <f t="shared" si="320"/>
        <v>0</v>
      </c>
      <c r="AM462" s="5">
        <f t="shared" si="296"/>
        <v>0</v>
      </c>
      <c r="AN462" s="5">
        <f t="shared" si="321"/>
        <v>0</v>
      </c>
      <c r="AO462" s="5">
        <f t="shared" si="297"/>
        <v>1</v>
      </c>
      <c r="AP462" s="11" t="s">
        <v>42</v>
      </c>
      <c r="AQ462" s="1">
        <v>0</v>
      </c>
      <c r="AR462" s="5">
        <v>0</v>
      </c>
      <c r="AS462" s="5">
        <v>1</v>
      </c>
      <c r="AT462" s="5">
        <v>0</v>
      </c>
      <c r="AU462" s="5">
        <v>0</v>
      </c>
      <c r="AV462" s="5">
        <v>0</v>
      </c>
      <c r="AW462" s="5">
        <v>0</v>
      </c>
      <c r="AX462" s="5">
        <v>1</v>
      </c>
      <c r="AY462" s="1">
        <f t="shared" si="298"/>
        <v>0</v>
      </c>
      <c r="AZ462" s="1">
        <f t="shared" si="299"/>
        <v>0</v>
      </c>
      <c r="BA462" s="1">
        <f t="shared" si="300"/>
        <v>1</v>
      </c>
      <c r="BB462" s="5">
        <v>0</v>
      </c>
      <c r="BC462" s="5">
        <v>0</v>
      </c>
      <c r="BD462" s="5">
        <v>1</v>
      </c>
      <c r="BE462" s="5">
        <f t="shared" si="330"/>
        <v>0</v>
      </c>
      <c r="BF462" s="5">
        <v>0</v>
      </c>
      <c r="BG462" s="5">
        <f t="shared" si="322"/>
        <v>0</v>
      </c>
      <c r="BH462" s="5">
        <f t="shared" si="322"/>
        <v>0</v>
      </c>
      <c r="BI462" s="5">
        <f t="shared" si="322"/>
        <v>0</v>
      </c>
      <c r="BJ462" s="5">
        <f t="shared" si="322"/>
        <v>0</v>
      </c>
      <c r="BK462" s="5">
        <f t="shared" si="322"/>
        <v>0</v>
      </c>
      <c r="BL462" s="5">
        <f t="shared" si="322"/>
        <v>0</v>
      </c>
      <c r="BM462" s="5">
        <f t="shared" si="322"/>
        <v>0</v>
      </c>
      <c r="BN462" s="5">
        <f t="shared" si="314"/>
        <v>0</v>
      </c>
      <c r="BO462" s="5">
        <f t="shared" si="314"/>
        <v>0</v>
      </c>
      <c r="BP462" s="5">
        <f t="shared" si="314"/>
        <v>0</v>
      </c>
      <c r="BQ462" s="5">
        <f t="shared" si="314"/>
        <v>0</v>
      </c>
      <c r="BR462" s="5">
        <f t="shared" si="314"/>
        <v>0</v>
      </c>
      <c r="BS462" s="5">
        <f t="shared" si="314"/>
        <v>0</v>
      </c>
      <c r="BT462" s="5">
        <f t="shared" si="314"/>
        <v>0</v>
      </c>
      <c r="BU462" s="5">
        <f t="shared" si="314"/>
        <v>0</v>
      </c>
      <c r="BV462" s="5">
        <f t="shared" si="314"/>
        <v>0</v>
      </c>
      <c r="BW462" s="5">
        <f t="shared" si="314"/>
        <v>0</v>
      </c>
      <c r="BX462" s="5">
        <f t="shared" si="314"/>
        <v>0</v>
      </c>
      <c r="BY462" s="5">
        <f t="shared" si="314"/>
        <v>0</v>
      </c>
      <c r="BZ462" s="5">
        <f t="shared" si="314"/>
        <v>1</v>
      </c>
      <c r="CA462" s="5">
        <f t="shared" si="314"/>
        <v>0</v>
      </c>
      <c r="CB462" s="5">
        <f t="shared" si="314"/>
        <v>0</v>
      </c>
      <c r="CC462" s="5">
        <f t="shared" si="315"/>
        <v>0</v>
      </c>
      <c r="CD462" s="5">
        <f t="shared" si="309"/>
        <v>0</v>
      </c>
      <c r="CE462" s="5">
        <f t="shared" si="309"/>
        <v>0</v>
      </c>
    </row>
    <row r="463" spans="1:83" x14ac:dyDescent="0.2">
      <c r="A463" s="3"/>
      <c r="B463" s="3"/>
      <c r="C463" s="1">
        <f>Growth!D468</f>
        <v>0</v>
      </c>
      <c r="D463" s="5" t="b">
        <f t="shared" si="316"/>
        <v>0</v>
      </c>
      <c r="E463" s="5">
        <v>2010</v>
      </c>
      <c r="F463" s="5">
        <f ca="1">LOOKUP($E463,frequence!$A$2:$A$35,frequence!L$2:L$35)</f>
        <v>33.819341167042261</v>
      </c>
      <c r="G463" s="5">
        <f ca="1">LOOKUP($E463,frequence!$A$2:$A$35,frequence!K$2:K$35)</f>
        <v>1.4741694560324998</v>
      </c>
      <c r="H463" s="5">
        <f ca="1">LOOKUP($E463,frequence!$A$2:$A$35,frequence!M$2:M$35)</f>
        <v>191.46239168394251</v>
      </c>
      <c r="I463" s="5">
        <v>1995</v>
      </c>
      <c r="J463" s="7">
        <f>LOOKUP(I463,CPI!A$69:A$103,CPI!O$69:O$103)</f>
        <v>1.4308136482939633</v>
      </c>
      <c r="K463" s="18">
        <v>2010</v>
      </c>
      <c r="L463" s="7">
        <f t="shared" ca="1" si="317"/>
        <v>1</v>
      </c>
      <c r="M463" s="7">
        <f t="shared" si="291"/>
        <v>0.41176470588235292</v>
      </c>
      <c r="N463" s="14">
        <f t="shared" ref="N463:N473" si="332">2/34</f>
        <v>5.8823529411764705E-2</v>
      </c>
      <c r="O463" s="1">
        <f ca="1">P463*J463*(1+Growth!G$6)^(2010-K463)</f>
        <v>260.5797816272966</v>
      </c>
      <c r="P463" s="3">
        <v>182.12</v>
      </c>
      <c r="Q463" s="2">
        <f t="shared" si="148"/>
        <v>182.12</v>
      </c>
      <c r="R463" s="21">
        <f t="shared" ca="1" si="318"/>
        <v>67901.822592929588</v>
      </c>
      <c r="X463" s="2">
        <f t="shared" si="329"/>
        <v>182.12</v>
      </c>
      <c r="AC463" s="1">
        <f t="shared" si="331"/>
        <v>7</v>
      </c>
      <c r="AD463" s="5">
        <v>1</v>
      </c>
      <c r="AE463" s="5">
        <v>0</v>
      </c>
      <c r="AF463" s="5">
        <v>1</v>
      </c>
      <c r="AG463" s="5">
        <v>1</v>
      </c>
      <c r="AH463" s="5">
        <v>1</v>
      </c>
      <c r="AI463" s="3">
        <f t="shared" si="313"/>
        <v>3</v>
      </c>
      <c r="AJ463" s="5">
        <f t="shared" si="295"/>
        <v>0</v>
      </c>
      <c r="AK463" s="5">
        <f t="shared" si="319"/>
        <v>0</v>
      </c>
      <c r="AL463" s="5">
        <f t="shared" si="320"/>
        <v>0</v>
      </c>
      <c r="AM463" s="5">
        <f t="shared" si="296"/>
        <v>0</v>
      </c>
      <c r="AN463" s="5">
        <f t="shared" si="321"/>
        <v>0</v>
      </c>
      <c r="AO463" s="5">
        <f t="shared" si="297"/>
        <v>1</v>
      </c>
      <c r="AP463" s="11" t="s">
        <v>42</v>
      </c>
      <c r="AQ463" s="1">
        <v>0</v>
      </c>
      <c r="AR463" s="5">
        <v>1</v>
      </c>
      <c r="AS463" s="5">
        <v>1</v>
      </c>
      <c r="AT463" s="5">
        <v>0</v>
      </c>
      <c r="AU463" s="5">
        <v>0</v>
      </c>
      <c r="AV463" s="5">
        <v>0</v>
      </c>
      <c r="AW463" s="5">
        <v>0</v>
      </c>
      <c r="AX463" s="5">
        <v>1</v>
      </c>
      <c r="AY463" s="1">
        <f t="shared" si="298"/>
        <v>0</v>
      </c>
      <c r="AZ463" s="1">
        <f t="shared" si="299"/>
        <v>0</v>
      </c>
      <c r="BA463" s="1">
        <f t="shared" si="300"/>
        <v>0</v>
      </c>
      <c r="BB463" s="5">
        <v>0</v>
      </c>
      <c r="BC463" s="5">
        <v>0</v>
      </c>
      <c r="BD463" s="5">
        <v>1</v>
      </c>
      <c r="BE463" s="5">
        <f t="shared" si="330"/>
        <v>0</v>
      </c>
      <c r="BF463" s="5">
        <v>0</v>
      </c>
      <c r="BG463" s="5">
        <f t="shared" si="322"/>
        <v>0</v>
      </c>
      <c r="BH463" s="5">
        <f t="shared" si="322"/>
        <v>0</v>
      </c>
      <c r="BI463" s="5">
        <f t="shared" si="322"/>
        <v>0</v>
      </c>
      <c r="BJ463" s="5">
        <f t="shared" si="322"/>
        <v>0</v>
      </c>
      <c r="BK463" s="5">
        <f t="shared" si="322"/>
        <v>0</v>
      </c>
      <c r="BL463" s="5">
        <f t="shared" si="322"/>
        <v>0</v>
      </c>
      <c r="BM463" s="5">
        <f t="shared" si="322"/>
        <v>0</v>
      </c>
      <c r="BN463" s="5">
        <f t="shared" si="314"/>
        <v>0</v>
      </c>
      <c r="BO463" s="5">
        <f t="shared" si="314"/>
        <v>0</v>
      </c>
      <c r="BP463" s="5">
        <f t="shared" si="314"/>
        <v>0</v>
      </c>
      <c r="BQ463" s="5">
        <f t="shared" si="314"/>
        <v>0</v>
      </c>
      <c r="BR463" s="5">
        <f t="shared" si="314"/>
        <v>0</v>
      </c>
      <c r="BS463" s="5">
        <f t="shared" si="314"/>
        <v>0</v>
      </c>
      <c r="BT463" s="5">
        <f t="shared" si="314"/>
        <v>0</v>
      </c>
      <c r="BU463" s="5">
        <f t="shared" si="314"/>
        <v>0</v>
      </c>
      <c r="BV463" s="5">
        <f t="shared" si="314"/>
        <v>0</v>
      </c>
      <c r="BW463" s="5">
        <f t="shared" si="314"/>
        <v>0</v>
      </c>
      <c r="BX463" s="5">
        <f t="shared" si="314"/>
        <v>0</v>
      </c>
      <c r="BY463" s="5">
        <f t="shared" si="314"/>
        <v>0</v>
      </c>
      <c r="BZ463" s="5">
        <f t="shared" si="314"/>
        <v>1</v>
      </c>
      <c r="CA463" s="5">
        <f t="shared" si="314"/>
        <v>0</v>
      </c>
      <c r="CB463" s="5">
        <f t="shared" si="314"/>
        <v>0</v>
      </c>
      <c r="CC463" s="5">
        <f t="shared" si="315"/>
        <v>0</v>
      </c>
      <c r="CD463" s="5">
        <f t="shared" si="315"/>
        <v>0</v>
      </c>
      <c r="CE463" s="5">
        <f t="shared" si="315"/>
        <v>0</v>
      </c>
    </row>
    <row r="464" spans="1:83" x14ac:dyDescent="0.2">
      <c r="A464" s="3"/>
      <c r="B464" s="3"/>
      <c r="C464" s="1">
        <f>Growth!D469</f>
        <v>0</v>
      </c>
      <c r="D464" s="5" t="b">
        <f t="shared" si="316"/>
        <v>0</v>
      </c>
      <c r="E464" s="5">
        <v>2010</v>
      </c>
      <c r="F464" s="5">
        <f ca="1">LOOKUP($E464,frequence!$A$2:$A$35,frequence!L$2:L$35)</f>
        <v>33.819341167042261</v>
      </c>
      <c r="G464" s="5">
        <f ca="1">LOOKUP($E464,frequence!$A$2:$A$35,frequence!K$2:K$35)</f>
        <v>1.4741694560324998</v>
      </c>
      <c r="H464" s="5">
        <f ca="1">LOOKUP($E464,frequence!$A$2:$A$35,frequence!M$2:M$35)</f>
        <v>191.46239168394251</v>
      </c>
      <c r="I464" s="5">
        <v>1995</v>
      </c>
      <c r="J464" s="7">
        <f>LOOKUP(I464,CPI!A$69:A$103,CPI!O$69:O$103)</f>
        <v>1.4308136482939633</v>
      </c>
      <c r="K464" s="18">
        <v>2010</v>
      </c>
      <c r="L464" s="7">
        <f t="shared" ca="1" si="317"/>
        <v>1</v>
      </c>
      <c r="M464" s="7">
        <f t="shared" si="291"/>
        <v>0.41176470588235292</v>
      </c>
      <c r="N464" s="14">
        <f t="shared" si="332"/>
        <v>5.8823529411764705E-2</v>
      </c>
      <c r="O464" s="1">
        <f ca="1">P464*J464*(1+Growth!G$6)^(2010-K464)</f>
        <v>0.94433700787401587</v>
      </c>
      <c r="P464" s="3">
        <v>0.66</v>
      </c>
      <c r="Q464" s="2">
        <f t="shared" si="148"/>
        <v>0.66</v>
      </c>
      <c r="R464" s="21">
        <f t="shared" ca="1" si="318"/>
        <v>0.89177238444044915</v>
      </c>
      <c r="X464" s="2">
        <f t="shared" si="329"/>
        <v>0.66</v>
      </c>
      <c r="AC464" s="1">
        <f t="shared" si="331"/>
        <v>7</v>
      </c>
      <c r="AD464" s="5">
        <v>1</v>
      </c>
      <c r="AE464" s="5">
        <v>0</v>
      </c>
      <c r="AF464" s="5">
        <v>1</v>
      </c>
      <c r="AG464" s="5">
        <v>1</v>
      </c>
      <c r="AH464" s="5">
        <v>1</v>
      </c>
      <c r="AI464" s="3">
        <f t="shared" si="313"/>
        <v>3</v>
      </c>
      <c r="AJ464" s="5">
        <f t="shared" si="295"/>
        <v>1</v>
      </c>
      <c r="AK464" s="5">
        <f t="shared" si="319"/>
        <v>0</v>
      </c>
      <c r="AL464" s="5">
        <f t="shared" si="320"/>
        <v>0</v>
      </c>
      <c r="AM464" s="5">
        <f t="shared" si="296"/>
        <v>0</v>
      </c>
      <c r="AN464" s="5">
        <f t="shared" si="321"/>
        <v>0</v>
      </c>
      <c r="AO464" s="5">
        <f t="shared" si="297"/>
        <v>0</v>
      </c>
      <c r="AP464" s="11" t="s">
        <v>42</v>
      </c>
      <c r="AQ464" s="1">
        <v>3</v>
      </c>
      <c r="AR464" s="5">
        <v>0</v>
      </c>
      <c r="AS464" s="5">
        <v>1</v>
      </c>
      <c r="AT464" s="5">
        <v>0</v>
      </c>
      <c r="AU464" s="5">
        <v>0</v>
      </c>
      <c r="AV464" s="5">
        <v>0</v>
      </c>
      <c r="AW464" s="5">
        <v>0</v>
      </c>
      <c r="AX464" s="5">
        <v>1</v>
      </c>
      <c r="AY464" s="1">
        <f t="shared" si="298"/>
        <v>1</v>
      </c>
      <c r="AZ464" s="1">
        <f t="shared" si="299"/>
        <v>0</v>
      </c>
      <c r="BA464" s="1">
        <f t="shared" si="300"/>
        <v>0</v>
      </c>
      <c r="BB464" s="5">
        <v>0</v>
      </c>
      <c r="BC464" s="5">
        <v>0</v>
      </c>
      <c r="BD464" s="5">
        <v>1</v>
      </c>
      <c r="BE464" s="5">
        <f t="shared" si="330"/>
        <v>0</v>
      </c>
      <c r="BF464" s="5">
        <v>0</v>
      </c>
      <c r="BG464" s="5">
        <f t="shared" si="322"/>
        <v>0</v>
      </c>
      <c r="BH464" s="5">
        <f t="shared" si="322"/>
        <v>0</v>
      </c>
      <c r="BI464" s="5">
        <f t="shared" si="322"/>
        <v>0</v>
      </c>
      <c r="BJ464" s="5">
        <f t="shared" si="322"/>
        <v>0</v>
      </c>
      <c r="BK464" s="5">
        <f t="shared" si="322"/>
        <v>0</v>
      </c>
      <c r="BL464" s="5">
        <f t="shared" si="322"/>
        <v>0</v>
      </c>
      <c r="BM464" s="5">
        <f t="shared" si="322"/>
        <v>0</v>
      </c>
      <c r="BN464" s="5">
        <f t="shared" si="314"/>
        <v>0</v>
      </c>
      <c r="BO464" s="5">
        <f t="shared" si="314"/>
        <v>0</v>
      </c>
      <c r="BP464" s="5">
        <f t="shared" si="314"/>
        <v>0</v>
      </c>
      <c r="BQ464" s="5">
        <f t="shared" si="314"/>
        <v>0</v>
      </c>
      <c r="BR464" s="5">
        <f t="shared" si="314"/>
        <v>0</v>
      </c>
      <c r="BS464" s="5">
        <f t="shared" si="314"/>
        <v>0</v>
      </c>
      <c r="BT464" s="5">
        <f t="shared" si="314"/>
        <v>0</v>
      </c>
      <c r="BU464" s="5">
        <f t="shared" si="314"/>
        <v>0</v>
      </c>
      <c r="BV464" s="5">
        <f t="shared" si="314"/>
        <v>0</v>
      </c>
      <c r="BW464" s="5">
        <f t="shared" si="314"/>
        <v>0</v>
      </c>
      <c r="BX464" s="5">
        <f t="shared" si="314"/>
        <v>0</v>
      </c>
      <c r="BY464" s="5">
        <f t="shared" si="314"/>
        <v>0</v>
      </c>
      <c r="BZ464" s="5">
        <f t="shared" si="314"/>
        <v>1</v>
      </c>
      <c r="CA464" s="5">
        <f t="shared" si="314"/>
        <v>0</v>
      </c>
      <c r="CB464" s="5">
        <f t="shared" si="314"/>
        <v>0</v>
      </c>
      <c r="CC464" s="5">
        <f t="shared" si="315"/>
        <v>0</v>
      </c>
      <c r="CD464" s="5">
        <f t="shared" si="315"/>
        <v>0</v>
      </c>
      <c r="CE464" s="5">
        <f t="shared" si="315"/>
        <v>0</v>
      </c>
    </row>
    <row r="465" spans="1:83" x14ac:dyDescent="0.2">
      <c r="A465" s="3"/>
      <c r="B465" s="3"/>
      <c r="C465" s="1">
        <f>Growth!D470</f>
        <v>0</v>
      </c>
      <c r="D465" s="5" t="b">
        <f t="shared" si="316"/>
        <v>0</v>
      </c>
      <c r="E465" s="5">
        <v>2010</v>
      </c>
      <c r="F465" s="5">
        <f ca="1">LOOKUP($E465,frequence!$A$2:$A$35,frequence!L$2:L$35)</f>
        <v>33.819341167042261</v>
      </c>
      <c r="G465" s="5">
        <f ca="1">LOOKUP($E465,frequence!$A$2:$A$35,frequence!K$2:K$35)</f>
        <v>1.4741694560324998</v>
      </c>
      <c r="H465" s="5">
        <f ca="1">LOOKUP($E465,frequence!$A$2:$A$35,frequence!M$2:M$35)</f>
        <v>191.46239168394251</v>
      </c>
      <c r="I465" s="5">
        <v>1995</v>
      </c>
      <c r="J465" s="7">
        <f>LOOKUP(I465,CPI!A$69:A$103,CPI!O$69:O$103)</f>
        <v>1.4308136482939633</v>
      </c>
      <c r="K465" s="18">
        <v>2010</v>
      </c>
      <c r="L465" s="7">
        <f t="shared" ca="1" si="317"/>
        <v>1</v>
      </c>
      <c r="M465" s="7">
        <f t="shared" si="291"/>
        <v>0.41176470588235292</v>
      </c>
      <c r="N465" s="14">
        <f t="shared" si="332"/>
        <v>5.8823529411764705E-2</v>
      </c>
      <c r="O465" s="1">
        <f ca="1">P465*J465*(1+Growth!G$6)^(2010-K465)</f>
        <v>1.6597438320209974</v>
      </c>
      <c r="P465" s="3">
        <v>1.1599999999999999</v>
      </c>
      <c r="Q465" s="2">
        <f t="shared" si="148"/>
        <v>1.1599999999999999</v>
      </c>
      <c r="R465" s="21">
        <f t="shared" ca="1" si="318"/>
        <v>2.754749587931745</v>
      </c>
      <c r="X465" s="2">
        <f t="shared" si="329"/>
        <v>1.1599999999999999</v>
      </c>
      <c r="AC465" s="1">
        <f t="shared" si="331"/>
        <v>7</v>
      </c>
      <c r="AD465" s="5">
        <v>1</v>
      </c>
      <c r="AE465" s="5">
        <v>0</v>
      </c>
      <c r="AF465" s="5">
        <v>1</v>
      </c>
      <c r="AG465" s="5">
        <v>1</v>
      </c>
      <c r="AH465" s="5">
        <v>1</v>
      </c>
      <c r="AI465" s="3">
        <f t="shared" si="313"/>
        <v>3</v>
      </c>
      <c r="AJ465" s="5">
        <f t="shared" si="295"/>
        <v>1</v>
      </c>
      <c r="AK465" s="5">
        <f t="shared" si="319"/>
        <v>0</v>
      </c>
      <c r="AL465" s="5">
        <f t="shared" si="320"/>
        <v>0</v>
      </c>
      <c r="AM465" s="5">
        <f t="shared" si="296"/>
        <v>0</v>
      </c>
      <c r="AN465" s="5">
        <f t="shared" si="321"/>
        <v>0</v>
      </c>
      <c r="AO465" s="5">
        <f t="shared" si="297"/>
        <v>0</v>
      </c>
      <c r="AP465" s="11" t="s">
        <v>42</v>
      </c>
      <c r="AQ465" s="1">
        <v>3</v>
      </c>
      <c r="AR465" s="5">
        <v>1</v>
      </c>
      <c r="AS465" s="5">
        <v>1</v>
      </c>
      <c r="AT465" s="5">
        <v>0</v>
      </c>
      <c r="AU465" s="5">
        <v>0</v>
      </c>
      <c r="AV465" s="5">
        <v>0</v>
      </c>
      <c r="AW465" s="5">
        <v>0</v>
      </c>
      <c r="AX465" s="5">
        <v>1</v>
      </c>
      <c r="AY465" s="1">
        <f t="shared" si="298"/>
        <v>0</v>
      </c>
      <c r="AZ465" s="1">
        <f t="shared" si="299"/>
        <v>0</v>
      </c>
      <c r="BA465" s="1">
        <f t="shared" si="300"/>
        <v>0</v>
      </c>
      <c r="BB465" s="5">
        <v>0</v>
      </c>
      <c r="BC465" s="5">
        <v>0</v>
      </c>
      <c r="BD465" s="5">
        <v>1</v>
      </c>
      <c r="BE465" s="5">
        <f t="shared" si="330"/>
        <v>0</v>
      </c>
      <c r="BF465" s="5">
        <v>0</v>
      </c>
      <c r="BG465" s="5">
        <f t="shared" si="322"/>
        <v>0</v>
      </c>
      <c r="BH465" s="5">
        <f t="shared" si="322"/>
        <v>0</v>
      </c>
      <c r="BI465" s="5">
        <f t="shared" si="322"/>
        <v>0</v>
      </c>
      <c r="BJ465" s="5">
        <f t="shared" si="322"/>
        <v>0</v>
      </c>
      <c r="BK465" s="5">
        <f t="shared" si="322"/>
        <v>0</v>
      </c>
      <c r="BL465" s="5">
        <f t="shared" si="322"/>
        <v>0</v>
      </c>
      <c r="BM465" s="5">
        <f t="shared" si="322"/>
        <v>0</v>
      </c>
      <c r="BN465" s="5">
        <f t="shared" si="314"/>
        <v>0</v>
      </c>
      <c r="BO465" s="5">
        <f t="shared" si="314"/>
        <v>0</v>
      </c>
      <c r="BP465" s="5">
        <f t="shared" si="314"/>
        <v>0</v>
      </c>
      <c r="BQ465" s="5">
        <f t="shared" si="314"/>
        <v>0</v>
      </c>
      <c r="BR465" s="5">
        <f t="shared" si="314"/>
        <v>0</v>
      </c>
      <c r="BS465" s="5">
        <f t="shared" si="314"/>
        <v>0</v>
      </c>
      <c r="BT465" s="5">
        <f t="shared" si="314"/>
        <v>0</v>
      </c>
      <c r="BU465" s="5">
        <f t="shared" si="314"/>
        <v>0</v>
      </c>
      <c r="BV465" s="5">
        <f t="shared" si="314"/>
        <v>0</v>
      </c>
      <c r="BW465" s="5">
        <f t="shared" si="314"/>
        <v>0</v>
      </c>
      <c r="BX465" s="5">
        <f t="shared" si="314"/>
        <v>0</v>
      </c>
      <c r="BY465" s="5">
        <f t="shared" si="314"/>
        <v>0</v>
      </c>
      <c r="BZ465" s="5">
        <f t="shared" si="314"/>
        <v>1</v>
      </c>
      <c r="CA465" s="5">
        <f t="shared" si="314"/>
        <v>0</v>
      </c>
      <c r="CB465" s="5">
        <f t="shared" si="314"/>
        <v>0</v>
      </c>
      <c r="CC465" s="5">
        <f t="shared" si="315"/>
        <v>0</v>
      </c>
      <c r="CD465" s="5">
        <f t="shared" si="315"/>
        <v>0</v>
      </c>
      <c r="CE465" s="5">
        <f t="shared" si="315"/>
        <v>0</v>
      </c>
    </row>
    <row r="466" spans="1:83" x14ac:dyDescent="0.2">
      <c r="A466" s="3"/>
      <c r="B466" s="3"/>
      <c r="C466" s="1">
        <f>Growth!D471</f>
        <v>0</v>
      </c>
      <c r="D466" s="5" t="b">
        <f t="shared" si="316"/>
        <v>0</v>
      </c>
      <c r="E466" s="5">
        <v>2010</v>
      </c>
      <c r="F466" s="5">
        <f ca="1">LOOKUP($E466,frequence!$A$2:$A$35,frequence!L$2:L$35)</f>
        <v>33.819341167042261</v>
      </c>
      <c r="G466" s="5">
        <f ca="1">LOOKUP($E466,frequence!$A$2:$A$35,frequence!K$2:K$35)</f>
        <v>1.4741694560324998</v>
      </c>
      <c r="H466" s="5">
        <f ca="1">LOOKUP($E466,frequence!$A$2:$A$35,frequence!M$2:M$35)</f>
        <v>191.46239168394251</v>
      </c>
      <c r="I466" s="5">
        <v>1995</v>
      </c>
      <c r="J466" s="7">
        <f>LOOKUP(I466,CPI!A$69:A$103,CPI!O$69:O$103)</f>
        <v>1.4308136482939633</v>
      </c>
      <c r="K466" s="18">
        <v>2010</v>
      </c>
      <c r="L466" s="7">
        <f t="shared" ca="1" si="317"/>
        <v>1</v>
      </c>
      <c r="M466" s="7">
        <f t="shared" si="291"/>
        <v>0.41176470588235292</v>
      </c>
      <c r="N466" s="14">
        <f t="shared" si="332"/>
        <v>5.8823529411764705E-2</v>
      </c>
      <c r="O466" s="1">
        <f ca="1">P466*J466*(1+Growth!G$6)^(2010-K466)</f>
        <v>79.939558530183731</v>
      </c>
      <c r="P466" s="3">
        <v>55.87</v>
      </c>
      <c r="Q466" s="2">
        <f t="shared" si="148"/>
        <v>55.87</v>
      </c>
      <c r="R466" s="21">
        <f t="shared" ca="1" si="318"/>
        <v>6390.3330180006706</v>
      </c>
      <c r="X466" s="2">
        <f t="shared" si="329"/>
        <v>55.87</v>
      </c>
      <c r="AC466" s="1">
        <f t="shared" si="331"/>
        <v>7</v>
      </c>
      <c r="AD466" s="5">
        <v>1</v>
      </c>
      <c r="AE466" s="5">
        <v>0</v>
      </c>
      <c r="AF466" s="5">
        <v>1</v>
      </c>
      <c r="AG466" s="5">
        <v>1</v>
      </c>
      <c r="AH466" s="5">
        <v>1</v>
      </c>
      <c r="AI466" s="3">
        <f t="shared" si="313"/>
        <v>3</v>
      </c>
      <c r="AJ466" s="5">
        <f t="shared" si="295"/>
        <v>0</v>
      </c>
      <c r="AK466" s="5">
        <f t="shared" si="319"/>
        <v>0</v>
      </c>
      <c r="AL466" s="5">
        <f t="shared" si="320"/>
        <v>0</v>
      </c>
      <c r="AM466" s="5">
        <f t="shared" si="296"/>
        <v>1</v>
      </c>
      <c r="AN466" s="5">
        <f t="shared" si="321"/>
        <v>0</v>
      </c>
      <c r="AO466" s="5">
        <f t="shared" si="297"/>
        <v>0</v>
      </c>
      <c r="AP466" s="11" t="s">
        <v>42</v>
      </c>
      <c r="AQ466" s="1">
        <v>1</v>
      </c>
      <c r="AR466" s="5">
        <v>0</v>
      </c>
      <c r="AS466" s="5">
        <v>1</v>
      </c>
      <c r="AT466" s="5">
        <v>0</v>
      </c>
      <c r="AU466" s="5">
        <v>0</v>
      </c>
      <c r="AV466" s="5">
        <v>0</v>
      </c>
      <c r="AW466" s="5">
        <v>0</v>
      </c>
      <c r="AX466" s="5">
        <v>1</v>
      </c>
      <c r="AY466" s="1">
        <f t="shared" si="298"/>
        <v>0</v>
      </c>
      <c r="AZ466" s="1">
        <f t="shared" si="299"/>
        <v>1</v>
      </c>
      <c r="BA466" s="1">
        <f t="shared" si="300"/>
        <v>0</v>
      </c>
      <c r="BB466" s="5">
        <v>0</v>
      </c>
      <c r="BC466" s="5">
        <v>0</v>
      </c>
      <c r="BD466" s="5">
        <v>1</v>
      </c>
      <c r="BE466" s="5">
        <f t="shared" si="330"/>
        <v>0</v>
      </c>
      <c r="BF466" s="5">
        <v>0</v>
      </c>
      <c r="BG466" s="5">
        <f t="shared" si="322"/>
        <v>0</v>
      </c>
      <c r="BH466" s="5">
        <f t="shared" si="322"/>
        <v>0</v>
      </c>
      <c r="BI466" s="5">
        <f t="shared" si="322"/>
        <v>0</v>
      </c>
      <c r="BJ466" s="5">
        <f t="shared" si="322"/>
        <v>0</v>
      </c>
      <c r="BK466" s="5">
        <f t="shared" si="322"/>
        <v>0</v>
      </c>
      <c r="BL466" s="5">
        <f t="shared" si="322"/>
        <v>0</v>
      </c>
      <c r="BM466" s="5">
        <f t="shared" si="322"/>
        <v>0</v>
      </c>
      <c r="BN466" s="5">
        <f t="shared" si="314"/>
        <v>0</v>
      </c>
      <c r="BO466" s="5">
        <f t="shared" si="314"/>
        <v>0</v>
      </c>
      <c r="BP466" s="5">
        <f t="shared" si="314"/>
        <v>0</v>
      </c>
      <c r="BQ466" s="5">
        <f t="shared" si="314"/>
        <v>0</v>
      </c>
      <c r="BR466" s="5">
        <f t="shared" si="314"/>
        <v>0</v>
      </c>
      <c r="BS466" s="5">
        <f t="shared" si="314"/>
        <v>0</v>
      </c>
      <c r="BT466" s="5">
        <f t="shared" si="314"/>
        <v>0</v>
      </c>
      <c r="BU466" s="5">
        <f t="shared" si="314"/>
        <v>0</v>
      </c>
      <c r="BV466" s="5">
        <f t="shared" si="314"/>
        <v>0</v>
      </c>
      <c r="BW466" s="5">
        <f t="shared" si="314"/>
        <v>0</v>
      </c>
      <c r="BX466" s="5">
        <f t="shared" si="314"/>
        <v>0</v>
      </c>
      <c r="BY466" s="5">
        <f t="shared" si="314"/>
        <v>0</v>
      </c>
      <c r="BZ466" s="5">
        <f t="shared" si="314"/>
        <v>1</v>
      </c>
      <c r="CA466" s="5">
        <f t="shared" si="314"/>
        <v>0</v>
      </c>
      <c r="CB466" s="5">
        <f t="shared" si="314"/>
        <v>0</v>
      </c>
      <c r="CC466" s="5">
        <f t="shared" si="315"/>
        <v>0</v>
      </c>
      <c r="CD466" s="5">
        <f t="shared" si="315"/>
        <v>0</v>
      </c>
      <c r="CE466" s="5">
        <f t="shared" si="315"/>
        <v>0</v>
      </c>
    </row>
    <row r="467" spans="1:83" x14ac:dyDescent="0.2">
      <c r="A467" s="3"/>
      <c r="B467" s="3"/>
      <c r="C467" s="1">
        <f>Growth!D472</f>
        <v>0</v>
      </c>
      <c r="D467" s="5" t="b">
        <f t="shared" si="316"/>
        <v>0</v>
      </c>
      <c r="E467" s="5">
        <v>2010</v>
      </c>
      <c r="F467" s="5">
        <f ca="1">LOOKUP($E467,frequence!$A$2:$A$35,frequence!L$2:L$35)</f>
        <v>33.819341167042261</v>
      </c>
      <c r="G467" s="5">
        <f ca="1">LOOKUP($E467,frequence!$A$2:$A$35,frequence!K$2:K$35)</f>
        <v>1.4741694560324998</v>
      </c>
      <c r="H467" s="5">
        <f ca="1">LOOKUP($E467,frequence!$A$2:$A$35,frequence!M$2:M$35)</f>
        <v>191.46239168394251</v>
      </c>
      <c r="I467" s="5">
        <v>1995</v>
      </c>
      <c r="J467" s="7">
        <f>LOOKUP(I467,CPI!A$69:A$103,CPI!O$69:O$103)</f>
        <v>1.4308136482939633</v>
      </c>
      <c r="K467" s="18">
        <v>2010</v>
      </c>
      <c r="L467" s="7">
        <f t="shared" ca="1" si="317"/>
        <v>1</v>
      </c>
      <c r="M467" s="7">
        <f t="shared" ref="M467:M535" si="333">N467*AC467</f>
        <v>0.41176470588235292</v>
      </c>
      <c r="N467" s="14">
        <f t="shared" si="332"/>
        <v>5.8823529411764705E-2</v>
      </c>
      <c r="O467" s="1">
        <f ca="1">P467*J467*(1+Growth!G$6)^(2010-K467)</f>
        <v>102.67518740157482</v>
      </c>
      <c r="P467" s="3">
        <v>71.760000000000005</v>
      </c>
      <c r="Q467" s="2">
        <f t="shared" si="148"/>
        <v>71.760000000000005</v>
      </c>
      <c r="R467" s="21">
        <f t="shared" ca="1" si="318"/>
        <v>10542.194107948508</v>
      </c>
      <c r="X467" s="2">
        <f t="shared" si="329"/>
        <v>71.760000000000005</v>
      </c>
      <c r="AC467" s="1">
        <f t="shared" si="331"/>
        <v>7</v>
      </c>
      <c r="AD467" s="5">
        <v>1</v>
      </c>
      <c r="AE467" s="5">
        <v>0</v>
      </c>
      <c r="AF467" s="5">
        <v>1</v>
      </c>
      <c r="AG467" s="5">
        <v>1</v>
      </c>
      <c r="AH467" s="5">
        <v>1</v>
      </c>
      <c r="AI467" s="3">
        <f t="shared" si="313"/>
        <v>3</v>
      </c>
      <c r="AJ467" s="5">
        <f t="shared" si="295"/>
        <v>0</v>
      </c>
      <c r="AK467" s="5">
        <f t="shared" si="319"/>
        <v>0</v>
      </c>
      <c r="AL467" s="5">
        <f t="shared" si="320"/>
        <v>0</v>
      </c>
      <c r="AM467" s="5">
        <f t="shared" si="296"/>
        <v>1</v>
      </c>
      <c r="AN467" s="5">
        <f t="shared" si="321"/>
        <v>0</v>
      </c>
      <c r="AO467" s="5">
        <f t="shared" si="297"/>
        <v>0</v>
      </c>
      <c r="AP467" s="11" t="s">
        <v>42</v>
      </c>
      <c r="AQ467" s="1">
        <v>1</v>
      </c>
      <c r="AR467" s="5">
        <v>1</v>
      </c>
      <c r="AS467" s="5">
        <v>1</v>
      </c>
      <c r="AT467" s="5">
        <v>0</v>
      </c>
      <c r="AU467" s="5">
        <v>0</v>
      </c>
      <c r="AV467" s="5">
        <v>0</v>
      </c>
      <c r="AW467" s="5">
        <v>0</v>
      </c>
      <c r="AX467" s="5">
        <v>1</v>
      </c>
      <c r="AY467" s="1">
        <f t="shared" si="298"/>
        <v>0</v>
      </c>
      <c r="AZ467" s="1">
        <f t="shared" si="299"/>
        <v>0</v>
      </c>
      <c r="BA467" s="1">
        <f t="shared" si="300"/>
        <v>0</v>
      </c>
      <c r="BB467" s="5">
        <v>0</v>
      </c>
      <c r="BC467" s="5">
        <v>0</v>
      </c>
      <c r="BD467" s="5">
        <v>1</v>
      </c>
      <c r="BE467" s="5">
        <f t="shared" si="330"/>
        <v>0</v>
      </c>
      <c r="BF467" s="5">
        <v>0</v>
      </c>
      <c r="BG467" s="5">
        <f t="shared" si="322"/>
        <v>0</v>
      </c>
      <c r="BH467" s="5">
        <f t="shared" si="322"/>
        <v>0</v>
      </c>
      <c r="BI467" s="5">
        <f t="shared" si="322"/>
        <v>0</v>
      </c>
      <c r="BJ467" s="5">
        <f t="shared" si="322"/>
        <v>0</v>
      </c>
      <c r="BK467" s="5">
        <f t="shared" si="322"/>
        <v>0</v>
      </c>
      <c r="BL467" s="5">
        <f t="shared" si="322"/>
        <v>0</v>
      </c>
      <c r="BM467" s="5">
        <f t="shared" si="322"/>
        <v>0</v>
      </c>
      <c r="BN467" s="5">
        <f t="shared" si="314"/>
        <v>0</v>
      </c>
      <c r="BO467" s="5">
        <f t="shared" si="314"/>
        <v>0</v>
      </c>
      <c r="BP467" s="5">
        <f t="shared" si="314"/>
        <v>0</v>
      </c>
      <c r="BQ467" s="5">
        <f t="shared" si="314"/>
        <v>0</v>
      </c>
      <c r="BR467" s="5">
        <f t="shared" si="314"/>
        <v>0</v>
      </c>
      <c r="BS467" s="5">
        <f t="shared" si="314"/>
        <v>0</v>
      </c>
      <c r="BT467" s="5">
        <f t="shared" si="314"/>
        <v>0</v>
      </c>
      <c r="BU467" s="5">
        <f t="shared" si="314"/>
        <v>0</v>
      </c>
      <c r="BV467" s="5">
        <f t="shared" si="314"/>
        <v>0</v>
      </c>
      <c r="BW467" s="5">
        <f t="shared" si="314"/>
        <v>0</v>
      </c>
      <c r="BX467" s="5">
        <f t="shared" si="314"/>
        <v>0</v>
      </c>
      <c r="BY467" s="5">
        <f t="shared" si="314"/>
        <v>0</v>
      </c>
      <c r="BZ467" s="5">
        <f t="shared" si="314"/>
        <v>1</v>
      </c>
      <c r="CA467" s="5">
        <f t="shared" si="314"/>
        <v>0</v>
      </c>
      <c r="CB467" s="5">
        <f t="shared" ref="CB467:CE486" si="334">IF($E467=CB$2,1,0)</f>
        <v>0</v>
      </c>
      <c r="CC467" s="5">
        <f t="shared" si="315"/>
        <v>0</v>
      </c>
      <c r="CD467" s="5">
        <f t="shared" si="315"/>
        <v>0</v>
      </c>
      <c r="CE467" s="5">
        <f t="shared" si="315"/>
        <v>0</v>
      </c>
    </row>
    <row r="468" spans="1:83" x14ac:dyDescent="0.2">
      <c r="A468" s="3"/>
      <c r="B468" s="3"/>
      <c r="C468" s="1">
        <f>Growth!D473</f>
        <v>0</v>
      </c>
      <c r="D468" s="5" t="b">
        <f t="shared" si="316"/>
        <v>0</v>
      </c>
      <c r="E468" s="5">
        <v>2010</v>
      </c>
      <c r="F468" s="5">
        <f ca="1">LOOKUP($E468,frequence!$A$2:$A$35,frequence!L$2:L$35)</f>
        <v>33.819341167042261</v>
      </c>
      <c r="G468" s="5">
        <f ca="1">LOOKUP($E468,frequence!$A$2:$A$35,frequence!K$2:K$35)</f>
        <v>1.4741694560324998</v>
      </c>
      <c r="H468" s="5">
        <f ca="1">LOOKUP($E468,frequence!$A$2:$A$35,frequence!M$2:M$35)</f>
        <v>191.46239168394251</v>
      </c>
      <c r="I468" s="5">
        <v>1995</v>
      </c>
      <c r="J468" s="7">
        <f>LOOKUP(I468,CPI!A$69:A$103,CPI!O$69:O$103)</f>
        <v>1.4308136482939633</v>
      </c>
      <c r="K468" s="18">
        <v>2010</v>
      </c>
      <c r="L468" s="7">
        <f t="shared" ca="1" si="317"/>
        <v>1</v>
      </c>
      <c r="M468" s="7">
        <f t="shared" si="333"/>
        <v>0.41176470588235292</v>
      </c>
      <c r="N468" s="14">
        <f t="shared" si="332"/>
        <v>5.8823529411764705E-2</v>
      </c>
      <c r="O468" s="1">
        <f ca="1">P468*J468*(1+Growth!G$6)^(2010-K468)</f>
        <v>6.6532834645669299</v>
      </c>
      <c r="P468" s="3">
        <v>4.6500000000000004</v>
      </c>
      <c r="Q468" s="2">
        <f t="shared" si="148"/>
        <v>4.6500000000000004</v>
      </c>
      <c r="R468" s="21">
        <f t="shared" ca="1" si="318"/>
        <v>44.266180859879732</v>
      </c>
      <c r="X468" s="2">
        <f t="shared" si="329"/>
        <v>4.6500000000000004</v>
      </c>
      <c r="AC468" s="1">
        <f t="shared" si="331"/>
        <v>7</v>
      </c>
      <c r="AD468" s="5">
        <v>1</v>
      </c>
      <c r="AE468" s="5">
        <v>0</v>
      </c>
      <c r="AF468" s="5">
        <v>1</v>
      </c>
      <c r="AG468" s="5">
        <v>1</v>
      </c>
      <c r="AH468" s="5">
        <v>1</v>
      </c>
      <c r="AI468" s="3">
        <f t="shared" si="313"/>
        <v>3</v>
      </c>
      <c r="AJ468" s="5">
        <f t="shared" si="295"/>
        <v>0</v>
      </c>
      <c r="AK468" s="5">
        <f t="shared" si="319"/>
        <v>0</v>
      </c>
      <c r="AL468" s="5">
        <f t="shared" si="320"/>
        <v>0</v>
      </c>
      <c r="AM468" s="5">
        <f t="shared" si="296"/>
        <v>1</v>
      </c>
      <c r="AN468" s="5">
        <f t="shared" si="321"/>
        <v>0</v>
      </c>
      <c r="AO468" s="5">
        <f t="shared" si="297"/>
        <v>0</v>
      </c>
      <c r="AP468" s="11" t="s">
        <v>42</v>
      </c>
      <c r="AQ468" s="1">
        <v>1</v>
      </c>
      <c r="AR468" s="5">
        <v>0</v>
      </c>
      <c r="AS468" s="5">
        <v>1</v>
      </c>
      <c r="AT468" s="5">
        <v>0</v>
      </c>
      <c r="AU468" s="5">
        <v>0</v>
      </c>
      <c r="AV468" s="5">
        <v>0</v>
      </c>
      <c r="AW468" s="5">
        <v>0</v>
      </c>
      <c r="AX468" s="5">
        <v>1</v>
      </c>
      <c r="AY468" s="1">
        <f t="shared" si="298"/>
        <v>0</v>
      </c>
      <c r="AZ468" s="1">
        <f t="shared" si="299"/>
        <v>1</v>
      </c>
      <c r="BA468" s="1">
        <f t="shared" si="300"/>
        <v>0</v>
      </c>
      <c r="BB468" s="5">
        <v>0</v>
      </c>
      <c r="BC468" s="5">
        <v>0</v>
      </c>
      <c r="BD468" s="5">
        <v>1</v>
      </c>
      <c r="BE468" s="5">
        <f t="shared" si="330"/>
        <v>0</v>
      </c>
      <c r="BF468" s="5">
        <v>0</v>
      </c>
      <c r="BG468" s="5">
        <f t="shared" si="322"/>
        <v>0</v>
      </c>
      <c r="BH468" s="5">
        <f t="shared" si="322"/>
        <v>0</v>
      </c>
      <c r="BI468" s="5">
        <f t="shared" si="322"/>
        <v>0</v>
      </c>
      <c r="BJ468" s="5">
        <f t="shared" si="322"/>
        <v>0</v>
      </c>
      <c r="BK468" s="5">
        <f t="shared" si="322"/>
        <v>0</v>
      </c>
      <c r="BL468" s="5">
        <f t="shared" si="322"/>
        <v>0</v>
      </c>
      <c r="BM468" s="5">
        <f t="shared" si="322"/>
        <v>0</v>
      </c>
      <c r="BN468" s="5">
        <f t="shared" si="322"/>
        <v>0</v>
      </c>
      <c r="BO468" s="5">
        <f t="shared" ref="BO468:CA483" si="335">IF($E468=BO$2,1,0)</f>
        <v>0</v>
      </c>
      <c r="BP468" s="5">
        <f t="shared" si="335"/>
        <v>0</v>
      </c>
      <c r="BQ468" s="5">
        <f t="shared" si="335"/>
        <v>0</v>
      </c>
      <c r="BR468" s="5">
        <f t="shared" si="335"/>
        <v>0</v>
      </c>
      <c r="BS468" s="5">
        <f t="shared" si="335"/>
        <v>0</v>
      </c>
      <c r="BT468" s="5">
        <f t="shared" si="335"/>
        <v>0</v>
      </c>
      <c r="BU468" s="5">
        <f t="shared" si="335"/>
        <v>0</v>
      </c>
      <c r="BV468" s="5">
        <f t="shared" si="335"/>
        <v>0</v>
      </c>
      <c r="BW468" s="5">
        <f t="shared" si="335"/>
        <v>0</v>
      </c>
      <c r="BX468" s="5">
        <f t="shared" si="335"/>
        <v>0</v>
      </c>
      <c r="BY468" s="5">
        <f t="shared" si="335"/>
        <v>0</v>
      </c>
      <c r="BZ468" s="5">
        <f t="shared" si="335"/>
        <v>1</v>
      </c>
      <c r="CA468" s="5">
        <f t="shared" si="335"/>
        <v>0</v>
      </c>
      <c r="CB468" s="5">
        <f t="shared" si="334"/>
        <v>0</v>
      </c>
      <c r="CC468" s="5">
        <f t="shared" si="315"/>
        <v>0</v>
      </c>
      <c r="CD468" s="5">
        <f t="shared" si="315"/>
        <v>0</v>
      </c>
      <c r="CE468" s="5">
        <f t="shared" si="315"/>
        <v>0</v>
      </c>
    </row>
    <row r="469" spans="1:83" x14ac:dyDescent="0.2">
      <c r="A469" s="3"/>
      <c r="B469" s="3"/>
      <c r="C469" s="1">
        <f>Growth!D474</f>
        <v>0</v>
      </c>
      <c r="D469" s="5" t="b">
        <f t="shared" si="316"/>
        <v>0</v>
      </c>
      <c r="E469" s="5">
        <v>2010</v>
      </c>
      <c r="F469" s="5">
        <f ca="1">LOOKUP($E469,frequence!$A$2:$A$35,frequence!L$2:L$35)</f>
        <v>33.819341167042261</v>
      </c>
      <c r="G469" s="5">
        <f ca="1">LOOKUP($E469,frequence!$A$2:$A$35,frequence!K$2:K$35)</f>
        <v>1.4741694560324998</v>
      </c>
      <c r="H469" s="5">
        <f ca="1">LOOKUP($E469,frequence!$A$2:$A$35,frequence!M$2:M$35)</f>
        <v>191.46239168394251</v>
      </c>
      <c r="I469" s="5">
        <v>1995</v>
      </c>
      <c r="J469" s="7">
        <f>LOOKUP(I469,CPI!A$69:A$103,CPI!O$69:O$103)</f>
        <v>1.4308136482939633</v>
      </c>
      <c r="K469" s="18">
        <v>2010</v>
      </c>
      <c r="L469" s="7">
        <f t="shared" ca="1" si="317"/>
        <v>1</v>
      </c>
      <c r="M469" s="7">
        <f t="shared" si="333"/>
        <v>0.41176470588235292</v>
      </c>
      <c r="N469" s="14">
        <f t="shared" si="332"/>
        <v>5.8823529411764705E-2</v>
      </c>
      <c r="O469" s="1">
        <f ca="1">P469*J469*(1+Growth!G$6)^(2010-K469)</f>
        <v>18.529036745406824</v>
      </c>
      <c r="P469" s="3">
        <v>12.95</v>
      </c>
      <c r="Q469" s="2">
        <f t="shared" si="148"/>
        <v>12.95</v>
      </c>
      <c r="R469" s="21">
        <f t="shared" ca="1" si="318"/>
        <v>343.32520271263633</v>
      </c>
      <c r="X469" s="2">
        <f t="shared" si="329"/>
        <v>12.95</v>
      </c>
      <c r="AC469" s="1">
        <f t="shared" si="331"/>
        <v>7</v>
      </c>
      <c r="AD469" s="5">
        <v>1</v>
      </c>
      <c r="AE469" s="5">
        <v>0</v>
      </c>
      <c r="AF469" s="5">
        <v>1</v>
      </c>
      <c r="AG469" s="5">
        <v>1</v>
      </c>
      <c r="AH469" s="5">
        <v>1</v>
      </c>
      <c r="AI469" s="3">
        <f t="shared" si="313"/>
        <v>3</v>
      </c>
      <c r="AJ469" s="5">
        <f t="shared" si="295"/>
        <v>0</v>
      </c>
      <c r="AK469" s="5">
        <f t="shared" si="319"/>
        <v>0</v>
      </c>
      <c r="AL469" s="5">
        <f t="shared" si="320"/>
        <v>0</v>
      </c>
      <c r="AM469" s="5">
        <f t="shared" si="296"/>
        <v>1</v>
      </c>
      <c r="AN469" s="5">
        <f t="shared" si="321"/>
        <v>0</v>
      </c>
      <c r="AO469" s="5">
        <f t="shared" si="297"/>
        <v>0</v>
      </c>
      <c r="AP469" s="11" t="s">
        <v>42</v>
      </c>
      <c r="AQ469" s="1">
        <v>1</v>
      </c>
      <c r="AR469" s="5">
        <v>1</v>
      </c>
      <c r="AS469" s="5">
        <v>1</v>
      </c>
      <c r="AT469" s="5">
        <v>0</v>
      </c>
      <c r="AU469" s="5">
        <v>0</v>
      </c>
      <c r="AV469" s="5">
        <v>0</v>
      </c>
      <c r="AW469" s="5">
        <v>0</v>
      </c>
      <c r="AX469" s="5">
        <v>1</v>
      </c>
      <c r="AY469" s="1">
        <f t="shared" si="298"/>
        <v>0</v>
      </c>
      <c r="AZ469" s="1">
        <f t="shared" si="299"/>
        <v>0</v>
      </c>
      <c r="BA469" s="1">
        <f t="shared" si="300"/>
        <v>0</v>
      </c>
      <c r="BB469" s="5">
        <v>0</v>
      </c>
      <c r="BC469" s="5">
        <v>0</v>
      </c>
      <c r="BD469" s="5">
        <v>1</v>
      </c>
      <c r="BE469" s="5">
        <f t="shared" si="330"/>
        <v>0</v>
      </c>
      <c r="BF469" s="5">
        <v>0</v>
      </c>
      <c r="BG469" s="5">
        <f t="shared" ref="BG469:BN484" si="336">IF($E469=BG$2,1,0)</f>
        <v>0</v>
      </c>
      <c r="BH469" s="5">
        <f t="shared" si="336"/>
        <v>0</v>
      </c>
      <c r="BI469" s="5">
        <f t="shared" si="336"/>
        <v>0</v>
      </c>
      <c r="BJ469" s="5">
        <f t="shared" si="336"/>
        <v>0</v>
      </c>
      <c r="BK469" s="5">
        <f t="shared" si="336"/>
        <v>0</v>
      </c>
      <c r="BL469" s="5">
        <f t="shared" si="336"/>
        <v>0</v>
      </c>
      <c r="BM469" s="5">
        <f t="shared" si="336"/>
        <v>0</v>
      </c>
      <c r="BN469" s="5">
        <f t="shared" si="336"/>
        <v>0</v>
      </c>
      <c r="BO469" s="5">
        <f t="shared" si="335"/>
        <v>0</v>
      </c>
      <c r="BP469" s="5">
        <f t="shared" si="335"/>
        <v>0</v>
      </c>
      <c r="BQ469" s="5">
        <f t="shared" si="335"/>
        <v>0</v>
      </c>
      <c r="BR469" s="5">
        <f t="shared" si="335"/>
        <v>0</v>
      </c>
      <c r="BS469" s="5">
        <f t="shared" si="335"/>
        <v>0</v>
      </c>
      <c r="BT469" s="5">
        <f t="shared" si="335"/>
        <v>0</v>
      </c>
      <c r="BU469" s="5">
        <f t="shared" si="335"/>
        <v>0</v>
      </c>
      <c r="BV469" s="5">
        <f t="shared" si="335"/>
        <v>0</v>
      </c>
      <c r="BW469" s="5">
        <f t="shared" si="335"/>
        <v>0</v>
      </c>
      <c r="BX469" s="5">
        <f t="shared" si="335"/>
        <v>0</v>
      </c>
      <c r="BY469" s="5">
        <f t="shared" si="335"/>
        <v>0</v>
      </c>
      <c r="BZ469" s="5">
        <f t="shared" si="335"/>
        <v>1</v>
      </c>
      <c r="CA469" s="5">
        <f t="shared" si="335"/>
        <v>0</v>
      </c>
      <c r="CB469" s="5">
        <f t="shared" si="334"/>
        <v>0</v>
      </c>
      <c r="CC469" s="5">
        <f t="shared" si="315"/>
        <v>0</v>
      </c>
      <c r="CD469" s="5">
        <f t="shared" si="315"/>
        <v>0</v>
      </c>
      <c r="CE469" s="5">
        <f t="shared" si="315"/>
        <v>0</v>
      </c>
    </row>
    <row r="470" spans="1:83" x14ac:dyDescent="0.2">
      <c r="A470" s="3"/>
      <c r="B470" s="3"/>
      <c r="C470" s="1">
        <f>Growth!D475</f>
        <v>0</v>
      </c>
      <c r="D470" s="5" t="b">
        <f t="shared" si="316"/>
        <v>0</v>
      </c>
      <c r="E470" s="5">
        <v>2010</v>
      </c>
      <c r="F470" s="5">
        <f ca="1">LOOKUP($E470,frequence!$A$2:$A$35,frequence!L$2:L$35)</f>
        <v>33.819341167042261</v>
      </c>
      <c r="G470" s="5">
        <f ca="1">LOOKUP($E470,frequence!$A$2:$A$35,frequence!K$2:K$35)</f>
        <v>1.4741694560324998</v>
      </c>
      <c r="H470" s="5">
        <f ca="1">LOOKUP($E470,frequence!$A$2:$A$35,frequence!M$2:M$35)</f>
        <v>191.46239168394251</v>
      </c>
      <c r="I470" s="5">
        <v>1995</v>
      </c>
      <c r="J470" s="7">
        <f>LOOKUP(I470,CPI!A$69:A$103,CPI!O$69:O$103)</f>
        <v>1.4308136482939633</v>
      </c>
      <c r="K470" s="18">
        <v>2010</v>
      </c>
      <c r="L470" s="7">
        <f t="shared" ca="1" si="317"/>
        <v>1</v>
      </c>
      <c r="M470" s="7">
        <f t="shared" si="333"/>
        <v>0.41176470588235292</v>
      </c>
      <c r="N470" s="14">
        <f t="shared" si="332"/>
        <v>5.8823529411764705E-2</v>
      </c>
      <c r="O470" s="1">
        <f ca="1">P470*J470*(1+Growth!G$6)^(2010-K470)</f>
        <v>2.1319123359580052</v>
      </c>
      <c r="P470" s="3">
        <v>1.49</v>
      </c>
      <c r="Q470" s="2">
        <f t="shared" si="148"/>
        <v>1.49</v>
      </c>
      <c r="R470" s="21">
        <f t="shared" ca="1" si="318"/>
        <v>4.5450502082099185</v>
      </c>
      <c r="X470" s="2">
        <f t="shared" si="329"/>
        <v>1.49</v>
      </c>
      <c r="AC470" s="1">
        <f t="shared" si="331"/>
        <v>7</v>
      </c>
      <c r="AD470" s="5">
        <v>1</v>
      </c>
      <c r="AE470" s="5">
        <v>0</v>
      </c>
      <c r="AF470" s="5">
        <v>1</v>
      </c>
      <c r="AG470" s="5">
        <v>1</v>
      </c>
      <c r="AH470" s="5">
        <v>1</v>
      </c>
      <c r="AI470" s="3">
        <f t="shared" si="313"/>
        <v>3</v>
      </c>
      <c r="AJ470" s="5">
        <f t="shared" si="295"/>
        <v>0</v>
      </c>
      <c r="AK470" s="5">
        <f t="shared" si="319"/>
        <v>0</v>
      </c>
      <c r="AL470" s="5">
        <f t="shared" si="320"/>
        <v>0</v>
      </c>
      <c r="AM470" s="5">
        <f t="shared" si="296"/>
        <v>1</v>
      </c>
      <c r="AN470" s="5">
        <f t="shared" si="321"/>
        <v>0</v>
      </c>
      <c r="AO470" s="5">
        <f t="shared" si="297"/>
        <v>0</v>
      </c>
      <c r="AP470" s="11" t="s">
        <v>42</v>
      </c>
      <c r="AQ470" s="1">
        <v>1</v>
      </c>
      <c r="AR470" s="5">
        <v>0</v>
      </c>
      <c r="AS470" s="5">
        <v>1</v>
      </c>
      <c r="AT470" s="5">
        <v>0</v>
      </c>
      <c r="AU470" s="5">
        <v>0</v>
      </c>
      <c r="AV470" s="5">
        <v>0</v>
      </c>
      <c r="AW470" s="5">
        <v>0</v>
      </c>
      <c r="AX470" s="5">
        <v>1</v>
      </c>
      <c r="AY470" s="1">
        <f t="shared" si="298"/>
        <v>0</v>
      </c>
      <c r="AZ470" s="1">
        <f t="shared" si="299"/>
        <v>1</v>
      </c>
      <c r="BA470" s="1">
        <f t="shared" si="300"/>
        <v>0</v>
      </c>
      <c r="BB470" s="5">
        <v>0</v>
      </c>
      <c r="BC470" s="5">
        <v>0</v>
      </c>
      <c r="BD470" s="5">
        <v>1</v>
      </c>
      <c r="BE470" s="5">
        <f t="shared" si="330"/>
        <v>0</v>
      </c>
      <c r="BF470" s="5">
        <v>0</v>
      </c>
      <c r="BG470" s="5">
        <f t="shared" si="336"/>
        <v>0</v>
      </c>
      <c r="BH470" s="5">
        <f t="shared" si="336"/>
        <v>0</v>
      </c>
      <c r="BI470" s="5">
        <f t="shared" si="336"/>
        <v>0</v>
      </c>
      <c r="BJ470" s="5">
        <f t="shared" si="336"/>
        <v>0</v>
      </c>
      <c r="BK470" s="5">
        <f t="shared" si="336"/>
        <v>0</v>
      </c>
      <c r="BL470" s="5">
        <f t="shared" si="336"/>
        <v>0</v>
      </c>
      <c r="BM470" s="5">
        <f t="shared" si="336"/>
        <v>0</v>
      </c>
      <c r="BN470" s="5">
        <f t="shared" si="336"/>
        <v>0</v>
      </c>
      <c r="BO470" s="5">
        <f t="shared" si="335"/>
        <v>0</v>
      </c>
      <c r="BP470" s="5">
        <f t="shared" si="335"/>
        <v>0</v>
      </c>
      <c r="BQ470" s="5">
        <f t="shared" si="335"/>
        <v>0</v>
      </c>
      <c r="BR470" s="5">
        <f t="shared" si="335"/>
        <v>0</v>
      </c>
      <c r="BS470" s="5">
        <f t="shared" si="335"/>
        <v>0</v>
      </c>
      <c r="BT470" s="5">
        <f t="shared" si="335"/>
        <v>0</v>
      </c>
      <c r="BU470" s="5">
        <f t="shared" si="335"/>
        <v>0</v>
      </c>
      <c r="BV470" s="5">
        <f t="shared" si="335"/>
        <v>0</v>
      </c>
      <c r="BW470" s="5">
        <f t="shared" si="335"/>
        <v>0</v>
      </c>
      <c r="BX470" s="5">
        <f t="shared" si="335"/>
        <v>0</v>
      </c>
      <c r="BY470" s="5">
        <f t="shared" si="335"/>
        <v>0</v>
      </c>
      <c r="BZ470" s="5">
        <f t="shared" si="335"/>
        <v>1</v>
      </c>
      <c r="CA470" s="5">
        <f t="shared" si="335"/>
        <v>0</v>
      </c>
      <c r="CB470" s="5">
        <f t="shared" si="334"/>
        <v>0</v>
      </c>
      <c r="CC470" s="5">
        <f t="shared" si="315"/>
        <v>0</v>
      </c>
      <c r="CD470" s="5">
        <f t="shared" si="315"/>
        <v>0</v>
      </c>
      <c r="CE470" s="5">
        <f t="shared" si="315"/>
        <v>0</v>
      </c>
    </row>
    <row r="471" spans="1:83" x14ac:dyDescent="0.2">
      <c r="A471" s="3"/>
      <c r="B471" s="3"/>
      <c r="C471" s="1">
        <f>Growth!D476</f>
        <v>0</v>
      </c>
      <c r="D471" s="5" t="b">
        <f t="shared" si="316"/>
        <v>0</v>
      </c>
      <c r="E471" s="5">
        <v>2010</v>
      </c>
      <c r="F471" s="5">
        <f ca="1">LOOKUP($E471,frequence!$A$2:$A$35,frequence!L$2:L$35)</f>
        <v>33.819341167042261</v>
      </c>
      <c r="G471" s="5">
        <f ca="1">LOOKUP($E471,frequence!$A$2:$A$35,frequence!K$2:K$35)</f>
        <v>1.4741694560324998</v>
      </c>
      <c r="H471" s="5">
        <f ca="1">LOOKUP($E471,frequence!$A$2:$A$35,frequence!M$2:M$35)</f>
        <v>191.46239168394251</v>
      </c>
      <c r="I471" s="5">
        <v>1995</v>
      </c>
      <c r="J471" s="7">
        <f>LOOKUP(I471,CPI!A$69:A$103,CPI!O$69:O$103)</f>
        <v>1.4308136482939633</v>
      </c>
      <c r="K471" s="18">
        <v>2010</v>
      </c>
      <c r="L471" s="7">
        <f t="shared" ca="1" si="317"/>
        <v>1</v>
      </c>
      <c r="M471" s="7">
        <f t="shared" si="333"/>
        <v>0.41176470588235292</v>
      </c>
      <c r="N471" s="14">
        <f t="shared" si="332"/>
        <v>5.8823529411764705E-2</v>
      </c>
      <c r="O471" s="1">
        <f ca="1">P471*J471*(1+Growth!G$6)^(2010-K471)</f>
        <v>10.387707086614173</v>
      </c>
      <c r="P471" s="3">
        <v>7.26</v>
      </c>
      <c r="Q471" s="2">
        <f t="shared" si="148"/>
        <v>7.26</v>
      </c>
      <c r="R471" s="21">
        <f t="shared" ca="1" si="318"/>
        <v>107.9044585172943</v>
      </c>
      <c r="X471" s="2">
        <f t="shared" si="329"/>
        <v>7.26</v>
      </c>
      <c r="AC471" s="1">
        <f t="shared" si="331"/>
        <v>7</v>
      </c>
      <c r="AD471" s="5">
        <v>1</v>
      </c>
      <c r="AE471" s="5">
        <v>0</v>
      </c>
      <c r="AF471" s="5">
        <v>1</v>
      </c>
      <c r="AG471" s="5">
        <v>1</v>
      </c>
      <c r="AH471" s="5">
        <v>1</v>
      </c>
      <c r="AI471" s="3">
        <f t="shared" si="313"/>
        <v>3</v>
      </c>
      <c r="AJ471" s="5">
        <f t="shared" ref="AJ471:AJ534" si="337">IF($AQ471=3,1,0)</f>
        <v>0</v>
      </c>
      <c r="AK471" s="5">
        <f t="shared" si="319"/>
        <v>0</v>
      </c>
      <c r="AL471" s="5">
        <f t="shared" si="320"/>
        <v>0</v>
      </c>
      <c r="AM471" s="5">
        <f t="shared" si="296"/>
        <v>1</v>
      </c>
      <c r="AN471" s="5">
        <f t="shared" si="321"/>
        <v>0</v>
      </c>
      <c r="AO471" s="5">
        <f t="shared" si="297"/>
        <v>0</v>
      </c>
      <c r="AP471" s="11" t="s">
        <v>42</v>
      </c>
      <c r="AQ471" s="1">
        <v>1</v>
      </c>
      <c r="AR471" s="5">
        <v>1</v>
      </c>
      <c r="AS471" s="5">
        <v>1</v>
      </c>
      <c r="AT471" s="5">
        <v>0</v>
      </c>
      <c r="AU471" s="5">
        <v>0</v>
      </c>
      <c r="AV471" s="5">
        <v>0</v>
      </c>
      <c r="AW471" s="5">
        <v>0</v>
      </c>
      <c r="AX471" s="5">
        <v>1</v>
      </c>
      <c r="AY471" s="1">
        <f t="shared" si="298"/>
        <v>0</v>
      </c>
      <c r="AZ471" s="1">
        <f t="shared" si="299"/>
        <v>0</v>
      </c>
      <c r="BA471" s="1">
        <f t="shared" si="300"/>
        <v>0</v>
      </c>
      <c r="BB471" s="5">
        <v>0</v>
      </c>
      <c r="BC471" s="5">
        <v>0</v>
      </c>
      <c r="BD471" s="5">
        <v>1</v>
      </c>
      <c r="BE471" s="5">
        <f t="shared" si="330"/>
        <v>0</v>
      </c>
      <c r="BF471" s="5">
        <v>0</v>
      </c>
      <c r="BG471" s="5">
        <f t="shared" si="336"/>
        <v>0</v>
      </c>
      <c r="BH471" s="5">
        <f t="shared" si="336"/>
        <v>0</v>
      </c>
      <c r="BI471" s="5">
        <f t="shared" si="336"/>
        <v>0</v>
      </c>
      <c r="BJ471" s="5">
        <f t="shared" si="336"/>
        <v>0</v>
      </c>
      <c r="BK471" s="5">
        <f t="shared" si="336"/>
        <v>0</v>
      </c>
      <c r="BL471" s="5">
        <f t="shared" si="336"/>
        <v>0</v>
      </c>
      <c r="BM471" s="5">
        <f t="shared" si="336"/>
        <v>0</v>
      </c>
      <c r="BN471" s="5">
        <f t="shared" si="336"/>
        <v>0</v>
      </c>
      <c r="BO471" s="5">
        <f t="shared" si="335"/>
        <v>0</v>
      </c>
      <c r="BP471" s="5">
        <f t="shared" si="335"/>
        <v>0</v>
      </c>
      <c r="BQ471" s="5">
        <f t="shared" si="335"/>
        <v>0</v>
      </c>
      <c r="BR471" s="5">
        <f t="shared" si="335"/>
        <v>0</v>
      </c>
      <c r="BS471" s="5">
        <f t="shared" si="335"/>
        <v>0</v>
      </c>
      <c r="BT471" s="5">
        <f t="shared" si="335"/>
        <v>0</v>
      </c>
      <c r="BU471" s="5">
        <f t="shared" si="335"/>
        <v>0</v>
      </c>
      <c r="BV471" s="5">
        <f t="shared" si="335"/>
        <v>0</v>
      </c>
      <c r="BW471" s="5">
        <f t="shared" si="335"/>
        <v>0</v>
      </c>
      <c r="BX471" s="5">
        <f t="shared" si="335"/>
        <v>0</v>
      </c>
      <c r="BY471" s="5">
        <f t="shared" si="335"/>
        <v>0</v>
      </c>
      <c r="BZ471" s="5">
        <f t="shared" si="335"/>
        <v>1</v>
      </c>
      <c r="CA471" s="5">
        <f t="shared" si="335"/>
        <v>0</v>
      </c>
      <c r="CB471" s="5">
        <f t="shared" si="334"/>
        <v>0</v>
      </c>
      <c r="CC471" s="5">
        <f t="shared" si="315"/>
        <v>0</v>
      </c>
      <c r="CD471" s="5">
        <f t="shared" si="315"/>
        <v>0</v>
      </c>
      <c r="CE471" s="5">
        <f t="shared" si="315"/>
        <v>0</v>
      </c>
    </row>
    <row r="472" spans="1:83" x14ac:dyDescent="0.2">
      <c r="A472" s="3"/>
      <c r="B472" s="3"/>
      <c r="C472" s="1">
        <f>Growth!D477</f>
        <v>0</v>
      </c>
      <c r="D472" s="5" t="b">
        <f t="shared" si="316"/>
        <v>0</v>
      </c>
      <c r="E472" s="5">
        <v>2010</v>
      </c>
      <c r="F472" s="5">
        <f ca="1">LOOKUP($E472,frequence!$A$2:$A$35,frequence!L$2:L$35)</f>
        <v>33.819341167042261</v>
      </c>
      <c r="G472" s="5">
        <f ca="1">LOOKUP($E472,frequence!$A$2:$A$35,frequence!K$2:K$35)</f>
        <v>1.4741694560324998</v>
      </c>
      <c r="H472" s="5">
        <f ca="1">LOOKUP($E472,frequence!$A$2:$A$35,frequence!M$2:M$35)</f>
        <v>191.46239168394251</v>
      </c>
      <c r="I472" s="5">
        <v>1995</v>
      </c>
      <c r="J472" s="7">
        <f>LOOKUP(I472,CPI!A$69:A$103,CPI!O$69:O$103)</f>
        <v>1.4308136482939633</v>
      </c>
      <c r="K472" s="18">
        <v>2010</v>
      </c>
      <c r="L472" s="7">
        <f t="shared" ca="1" si="317"/>
        <v>1</v>
      </c>
      <c r="M472" s="7">
        <f t="shared" si="333"/>
        <v>0.41176470588235292</v>
      </c>
      <c r="N472" s="14">
        <f t="shared" si="332"/>
        <v>5.8823529411764705E-2</v>
      </c>
      <c r="O472" s="1">
        <f ca="1">P472*J472*(1+Growth!G$6)^(2010-K472)</f>
        <v>22.263460367454069</v>
      </c>
      <c r="P472" s="3">
        <v>15.56</v>
      </c>
      <c r="Q472" s="2">
        <f t="shared" si="148"/>
        <v>15.56</v>
      </c>
      <c r="R472" s="21">
        <f t="shared" ca="1" si="318"/>
        <v>495.66166753319806</v>
      </c>
      <c r="X472" s="2">
        <f t="shared" si="329"/>
        <v>15.56</v>
      </c>
      <c r="AC472" s="1">
        <f t="shared" si="331"/>
        <v>7</v>
      </c>
      <c r="AD472" s="5">
        <v>1</v>
      </c>
      <c r="AE472" s="5">
        <v>0</v>
      </c>
      <c r="AF472" s="5">
        <v>1</v>
      </c>
      <c r="AG472" s="5">
        <v>1</v>
      </c>
      <c r="AH472" s="5">
        <v>1</v>
      </c>
      <c r="AI472" s="3">
        <f t="shared" si="313"/>
        <v>3</v>
      </c>
      <c r="AJ472" s="5">
        <f t="shared" si="337"/>
        <v>0</v>
      </c>
      <c r="AK472" s="5">
        <f t="shared" si="319"/>
        <v>0</v>
      </c>
      <c r="AL472" s="5">
        <f t="shared" si="320"/>
        <v>0</v>
      </c>
      <c r="AM472" s="5">
        <f t="shared" si="296"/>
        <v>1</v>
      </c>
      <c r="AN472" s="5">
        <f t="shared" si="321"/>
        <v>0</v>
      </c>
      <c r="AO472" s="5">
        <f t="shared" si="297"/>
        <v>0</v>
      </c>
      <c r="AP472" s="11" t="s">
        <v>42</v>
      </c>
      <c r="AQ472" s="1">
        <v>1</v>
      </c>
      <c r="AR472" s="5">
        <v>0</v>
      </c>
      <c r="AS472" s="5">
        <v>1</v>
      </c>
      <c r="AT472" s="5">
        <v>0</v>
      </c>
      <c r="AU472" s="5">
        <v>0</v>
      </c>
      <c r="AV472" s="5">
        <v>0</v>
      </c>
      <c r="AW472" s="5">
        <v>0</v>
      </c>
      <c r="AX472" s="5">
        <v>1</v>
      </c>
      <c r="AY472" s="1">
        <f t="shared" si="298"/>
        <v>0</v>
      </c>
      <c r="AZ472" s="1">
        <f t="shared" si="299"/>
        <v>1</v>
      </c>
      <c r="BA472" s="1">
        <f t="shared" si="300"/>
        <v>0</v>
      </c>
      <c r="BB472" s="5">
        <v>0</v>
      </c>
      <c r="BC472" s="5">
        <v>0</v>
      </c>
      <c r="BD472" s="5">
        <v>1</v>
      </c>
      <c r="BE472" s="5">
        <f t="shared" si="330"/>
        <v>0</v>
      </c>
      <c r="BF472" s="5">
        <v>0</v>
      </c>
      <c r="BG472" s="5">
        <f t="shared" si="336"/>
        <v>0</v>
      </c>
      <c r="BH472" s="5">
        <f t="shared" si="336"/>
        <v>0</v>
      </c>
      <c r="BI472" s="5">
        <f t="shared" si="336"/>
        <v>0</v>
      </c>
      <c r="BJ472" s="5">
        <f t="shared" si="336"/>
        <v>0</v>
      </c>
      <c r="BK472" s="5">
        <f t="shared" si="336"/>
        <v>0</v>
      </c>
      <c r="BL472" s="5">
        <f t="shared" si="336"/>
        <v>0</v>
      </c>
      <c r="BM472" s="5">
        <f t="shared" si="336"/>
        <v>0</v>
      </c>
      <c r="BN472" s="5">
        <f t="shared" si="336"/>
        <v>0</v>
      </c>
      <c r="BO472" s="5">
        <f t="shared" si="335"/>
        <v>0</v>
      </c>
      <c r="BP472" s="5">
        <f t="shared" si="335"/>
        <v>0</v>
      </c>
      <c r="BQ472" s="5">
        <f t="shared" si="335"/>
        <v>0</v>
      </c>
      <c r="BR472" s="5">
        <f t="shared" si="335"/>
        <v>0</v>
      </c>
      <c r="BS472" s="5">
        <f t="shared" si="335"/>
        <v>0</v>
      </c>
      <c r="BT472" s="5">
        <f t="shared" si="335"/>
        <v>0</v>
      </c>
      <c r="BU472" s="5">
        <f t="shared" si="335"/>
        <v>0</v>
      </c>
      <c r="BV472" s="5">
        <f t="shared" si="335"/>
        <v>0</v>
      </c>
      <c r="BW472" s="5">
        <f t="shared" si="335"/>
        <v>0</v>
      </c>
      <c r="BX472" s="5">
        <f t="shared" si="335"/>
        <v>0</v>
      </c>
      <c r="BY472" s="5">
        <f t="shared" si="335"/>
        <v>0</v>
      </c>
      <c r="BZ472" s="5">
        <f t="shared" si="335"/>
        <v>1</v>
      </c>
      <c r="CA472" s="5">
        <f t="shared" si="335"/>
        <v>0</v>
      </c>
      <c r="CB472" s="5">
        <f t="shared" si="334"/>
        <v>0</v>
      </c>
      <c r="CC472" s="5">
        <f t="shared" si="334"/>
        <v>0</v>
      </c>
      <c r="CD472" s="5">
        <f t="shared" si="334"/>
        <v>0</v>
      </c>
      <c r="CE472" s="5">
        <f t="shared" si="334"/>
        <v>0</v>
      </c>
    </row>
    <row r="473" spans="1:83" x14ac:dyDescent="0.2">
      <c r="A473" s="3"/>
      <c r="B473" s="3"/>
      <c r="C473" s="1">
        <f>Growth!D478</f>
        <v>0</v>
      </c>
      <c r="D473" s="5" t="b">
        <f t="shared" si="316"/>
        <v>0</v>
      </c>
      <c r="E473" s="5">
        <v>2010</v>
      </c>
      <c r="F473" s="5">
        <f ca="1">LOOKUP($E473,frequence!$A$2:$A$35,frequence!L$2:L$35)</f>
        <v>33.819341167042261</v>
      </c>
      <c r="G473" s="5">
        <f ca="1">LOOKUP($E473,frequence!$A$2:$A$35,frequence!K$2:K$35)</f>
        <v>1.4741694560324998</v>
      </c>
      <c r="H473" s="5">
        <f ca="1">LOOKUP($E473,frequence!$A$2:$A$35,frequence!M$2:M$35)</f>
        <v>191.46239168394251</v>
      </c>
      <c r="I473" s="5">
        <v>1995</v>
      </c>
      <c r="J473" s="7">
        <f>LOOKUP(I473,CPI!A$69:A$103,CPI!O$69:O$103)</f>
        <v>1.4308136482939633</v>
      </c>
      <c r="K473" s="18">
        <v>2010</v>
      </c>
      <c r="L473" s="7">
        <f t="shared" ca="1" si="317"/>
        <v>1</v>
      </c>
      <c r="M473" s="7">
        <f t="shared" si="333"/>
        <v>0.41176470588235292</v>
      </c>
      <c r="N473" s="14">
        <f t="shared" si="332"/>
        <v>5.8823529411764705E-2</v>
      </c>
      <c r="O473" s="1">
        <f ca="1">P473*J473*(1+Growth!G$6)^(2010-K473)</f>
        <v>27.714860367454069</v>
      </c>
      <c r="P473" s="3">
        <v>19.37</v>
      </c>
      <c r="Q473" s="2">
        <f t="shared" si="148"/>
        <v>19.37</v>
      </c>
      <c r="R473" s="21">
        <f t="shared" ca="1" si="318"/>
        <v>768.11348518747627</v>
      </c>
      <c r="X473" s="2">
        <f t="shared" si="329"/>
        <v>19.37</v>
      </c>
      <c r="AC473" s="1">
        <f t="shared" si="331"/>
        <v>7</v>
      </c>
      <c r="AD473" s="5">
        <v>1</v>
      </c>
      <c r="AE473" s="5">
        <v>0</v>
      </c>
      <c r="AF473" s="5">
        <v>1</v>
      </c>
      <c r="AG473" s="5">
        <v>1</v>
      </c>
      <c r="AH473" s="5">
        <v>1</v>
      </c>
      <c r="AI473" s="3">
        <f t="shared" si="313"/>
        <v>3</v>
      </c>
      <c r="AJ473" s="5">
        <f t="shared" si="337"/>
        <v>0</v>
      </c>
      <c r="AK473" s="5">
        <f t="shared" si="319"/>
        <v>0</v>
      </c>
      <c r="AL473" s="5">
        <f t="shared" si="320"/>
        <v>0</v>
      </c>
      <c r="AM473" s="5">
        <f t="shared" si="296"/>
        <v>1</v>
      </c>
      <c r="AN473" s="5">
        <f t="shared" si="321"/>
        <v>0</v>
      </c>
      <c r="AO473" s="5">
        <f t="shared" si="297"/>
        <v>0</v>
      </c>
      <c r="AP473" s="11" t="s">
        <v>42</v>
      </c>
      <c r="AQ473" s="1">
        <v>1</v>
      </c>
      <c r="AR473" s="5">
        <v>1</v>
      </c>
      <c r="AS473" s="5">
        <v>1</v>
      </c>
      <c r="AT473" s="5">
        <v>0</v>
      </c>
      <c r="AU473" s="5">
        <v>0</v>
      </c>
      <c r="AV473" s="5">
        <v>0</v>
      </c>
      <c r="AW473" s="5">
        <v>0</v>
      </c>
      <c r="AX473" s="5">
        <v>1</v>
      </c>
      <c r="AY473" s="1">
        <f t="shared" si="298"/>
        <v>0</v>
      </c>
      <c r="AZ473" s="1">
        <f t="shared" si="299"/>
        <v>0</v>
      </c>
      <c r="BA473" s="1">
        <f t="shared" si="300"/>
        <v>0</v>
      </c>
      <c r="BB473" s="5">
        <v>0</v>
      </c>
      <c r="BC473" s="5">
        <v>0</v>
      </c>
      <c r="BD473" s="5">
        <v>1</v>
      </c>
      <c r="BE473" s="5">
        <f t="shared" si="330"/>
        <v>0</v>
      </c>
      <c r="BF473" s="5">
        <v>0</v>
      </c>
      <c r="BG473" s="5">
        <f t="shared" si="336"/>
        <v>0</v>
      </c>
      <c r="BH473" s="5">
        <f t="shared" si="336"/>
        <v>0</v>
      </c>
      <c r="BI473" s="5">
        <f t="shared" si="336"/>
        <v>0</v>
      </c>
      <c r="BJ473" s="5">
        <f t="shared" si="336"/>
        <v>0</v>
      </c>
      <c r="BK473" s="5">
        <f t="shared" si="336"/>
        <v>0</v>
      </c>
      <c r="BL473" s="5">
        <f t="shared" si="336"/>
        <v>0</v>
      </c>
      <c r="BM473" s="5">
        <f t="shared" si="336"/>
        <v>0</v>
      </c>
      <c r="BN473" s="5">
        <f t="shared" si="336"/>
        <v>0</v>
      </c>
      <c r="BO473" s="5">
        <f t="shared" si="335"/>
        <v>0</v>
      </c>
      <c r="BP473" s="5">
        <f t="shared" si="335"/>
        <v>0</v>
      </c>
      <c r="BQ473" s="5">
        <f t="shared" si="335"/>
        <v>0</v>
      </c>
      <c r="BR473" s="5">
        <f t="shared" si="335"/>
        <v>0</v>
      </c>
      <c r="BS473" s="5">
        <f t="shared" si="335"/>
        <v>0</v>
      </c>
      <c r="BT473" s="5">
        <f t="shared" si="335"/>
        <v>0</v>
      </c>
      <c r="BU473" s="5">
        <f t="shared" si="335"/>
        <v>0</v>
      </c>
      <c r="BV473" s="5">
        <f t="shared" si="335"/>
        <v>0</v>
      </c>
      <c r="BW473" s="5">
        <f t="shared" si="335"/>
        <v>0</v>
      </c>
      <c r="BX473" s="5">
        <f t="shared" si="335"/>
        <v>0</v>
      </c>
      <c r="BY473" s="5">
        <f t="shared" si="335"/>
        <v>0</v>
      </c>
      <c r="BZ473" s="5">
        <f t="shared" si="335"/>
        <v>1</v>
      </c>
      <c r="CA473" s="5">
        <f t="shared" si="335"/>
        <v>0</v>
      </c>
      <c r="CB473" s="5">
        <f t="shared" si="334"/>
        <v>0</v>
      </c>
      <c r="CC473" s="5">
        <f t="shared" si="334"/>
        <v>0</v>
      </c>
      <c r="CD473" s="5">
        <f t="shared" si="334"/>
        <v>0</v>
      </c>
      <c r="CE473" s="5">
        <f t="shared" si="334"/>
        <v>0</v>
      </c>
    </row>
    <row r="474" spans="1:83" x14ac:dyDescent="0.2">
      <c r="A474" s="3"/>
      <c r="B474" s="3"/>
      <c r="C474" s="1">
        <f>Growth!D479</f>
        <v>0</v>
      </c>
      <c r="D474" s="5" t="b">
        <f t="shared" si="316"/>
        <v>0</v>
      </c>
      <c r="E474" s="5">
        <v>2010</v>
      </c>
      <c r="F474" s="5">
        <f ca="1">LOOKUP($E474,frequence!$A$2:$A$35,frequence!L$2:L$35)</f>
        <v>33.819341167042261</v>
      </c>
      <c r="G474" s="5">
        <f ca="1">LOOKUP($E474,frequence!$A$2:$A$35,frequence!K$2:K$35)</f>
        <v>1.4741694560324998</v>
      </c>
      <c r="H474" s="5">
        <f ca="1">LOOKUP($E474,frequence!$A$2:$A$35,frequence!M$2:M$35)</f>
        <v>191.46239168394251</v>
      </c>
      <c r="I474" s="5">
        <v>1995</v>
      </c>
      <c r="J474" s="7">
        <f>LOOKUP(I474,CPI!A$69:A$103,CPI!O$69:O$103)</f>
        <v>1.4308136482939633</v>
      </c>
      <c r="K474" s="18">
        <v>2010</v>
      </c>
      <c r="L474" s="7">
        <f t="shared" ca="1" si="317"/>
        <v>1</v>
      </c>
      <c r="M474" s="7">
        <f t="shared" si="333"/>
        <v>0.20588235294117646</v>
      </c>
      <c r="N474" s="14">
        <f>1/34</f>
        <v>2.9411764705882353E-2</v>
      </c>
      <c r="O474" s="1">
        <f ca="1">P474*J474*(1+Growth!G$6)^(2010-K474)</f>
        <v>22.263460367454069</v>
      </c>
      <c r="P474" s="3">
        <v>15.56</v>
      </c>
      <c r="Q474" s="2">
        <f t="shared" ref="Q474:Q483" si="338">P474</f>
        <v>15.56</v>
      </c>
      <c r="R474" s="21">
        <f t="shared" ca="1" si="318"/>
        <v>495.66166753319806</v>
      </c>
      <c r="X474" s="2">
        <f t="shared" si="329"/>
        <v>15.56</v>
      </c>
      <c r="AC474" s="1">
        <f t="shared" si="331"/>
        <v>7</v>
      </c>
      <c r="AD474" s="5">
        <v>1</v>
      </c>
      <c r="AE474" s="5">
        <v>0</v>
      </c>
      <c r="AF474" s="5">
        <v>1</v>
      </c>
      <c r="AG474" s="5">
        <v>1</v>
      </c>
      <c r="AH474" s="5">
        <v>1</v>
      </c>
      <c r="AI474" s="3">
        <f t="shared" si="313"/>
        <v>3</v>
      </c>
      <c r="AJ474" s="5">
        <f t="shared" si="337"/>
        <v>0</v>
      </c>
      <c r="AK474" s="5">
        <f t="shared" si="319"/>
        <v>0</v>
      </c>
      <c r="AL474" s="5">
        <f t="shared" si="320"/>
        <v>0</v>
      </c>
      <c r="AM474" s="5">
        <f t="shared" ref="AM474:AM537" si="339">IF($AQ474=1,1,0)</f>
        <v>1</v>
      </c>
      <c r="AN474" s="5">
        <f t="shared" si="321"/>
        <v>0</v>
      </c>
      <c r="AO474" s="5">
        <f t="shared" ref="AO474:AO537" si="340">IF($AQ474=0,1,0)</f>
        <v>0</v>
      </c>
      <c r="AP474" s="11" t="s">
        <v>42</v>
      </c>
      <c r="AQ474" s="1">
        <v>1</v>
      </c>
      <c r="AR474" s="5">
        <v>0</v>
      </c>
      <c r="AS474" s="5">
        <v>1</v>
      </c>
      <c r="AT474" s="5">
        <v>0</v>
      </c>
      <c r="AU474" s="5">
        <v>0</v>
      </c>
      <c r="AV474" s="5">
        <v>0</v>
      </c>
      <c r="AW474" s="5">
        <v>0</v>
      </c>
      <c r="AX474" s="5">
        <v>1</v>
      </c>
      <c r="AY474" s="1">
        <f t="shared" si="298"/>
        <v>0</v>
      </c>
      <c r="AZ474" s="1">
        <f t="shared" si="299"/>
        <v>1</v>
      </c>
      <c r="BA474" s="1">
        <f t="shared" si="300"/>
        <v>0</v>
      </c>
      <c r="BB474" s="5">
        <v>0</v>
      </c>
      <c r="BC474" s="5">
        <v>0</v>
      </c>
      <c r="BD474" s="5">
        <v>1</v>
      </c>
      <c r="BE474" s="5">
        <f t="shared" si="330"/>
        <v>0</v>
      </c>
      <c r="BF474" s="5">
        <v>0</v>
      </c>
      <c r="BG474" s="5">
        <f t="shared" si="336"/>
        <v>0</v>
      </c>
      <c r="BH474" s="5">
        <f t="shared" si="336"/>
        <v>0</v>
      </c>
      <c r="BI474" s="5">
        <f t="shared" si="336"/>
        <v>0</v>
      </c>
      <c r="BJ474" s="5">
        <f t="shared" si="336"/>
        <v>0</v>
      </c>
      <c r="BK474" s="5">
        <f t="shared" si="336"/>
        <v>0</v>
      </c>
      <c r="BL474" s="5">
        <f t="shared" si="336"/>
        <v>0</v>
      </c>
      <c r="BM474" s="5">
        <f t="shared" si="336"/>
        <v>0</v>
      </c>
      <c r="BN474" s="5">
        <f t="shared" si="336"/>
        <v>0</v>
      </c>
      <c r="BO474" s="5">
        <f t="shared" si="335"/>
        <v>0</v>
      </c>
      <c r="BP474" s="5">
        <f t="shared" si="335"/>
        <v>0</v>
      </c>
      <c r="BQ474" s="5">
        <f t="shared" si="335"/>
        <v>0</v>
      </c>
      <c r="BR474" s="5">
        <f t="shared" si="335"/>
        <v>0</v>
      </c>
      <c r="BS474" s="5">
        <f t="shared" si="335"/>
        <v>0</v>
      </c>
      <c r="BT474" s="5">
        <f t="shared" si="335"/>
        <v>0</v>
      </c>
      <c r="BU474" s="5">
        <f t="shared" si="335"/>
        <v>0</v>
      </c>
      <c r="BV474" s="5">
        <f t="shared" si="335"/>
        <v>0</v>
      </c>
      <c r="BW474" s="5">
        <f t="shared" si="335"/>
        <v>0</v>
      </c>
      <c r="BX474" s="5">
        <f t="shared" si="335"/>
        <v>0</v>
      </c>
      <c r="BY474" s="5">
        <f t="shared" si="335"/>
        <v>0</v>
      </c>
      <c r="BZ474" s="5">
        <f t="shared" si="335"/>
        <v>1</v>
      </c>
      <c r="CA474" s="5">
        <f t="shared" si="335"/>
        <v>0</v>
      </c>
      <c r="CB474" s="5">
        <f t="shared" si="334"/>
        <v>0</v>
      </c>
      <c r="CC474" s="5">
        <f t="shared" si="334"/>
        <v>0</v>
      </c>
      <c r="CD474" s="5">
        <f t="shared" si="334"/>
        <v>0</v>
      </c>
      <c r="CE474" s="5">
        <f t="shared" si="334"/>
        <v>0</v>
      </c>
    </row>
    <row r="475" spans="1:83" x14ac:dyDescent="0.2">
      <c r="A475" s="3"/>
      <c r="B475" s="3"/>
      <c r="C475" s="1">
        <f>Growth!D480</f>
        <v>0</v>
      </c>
      <c r="D475" s="5" t="b">
        <f t="shared" si="316"/>
        <v>0</v>
      </c>
      <c r="E475" s="5">
        <v>2010</v>
      </c>
      <c r="F475" s="5">
        <f ca="1">LOOKUP($E475,frequence!$A$2:$A$35,frequence!L$2:L$35)</f>
        <v>33.819341167042261</v>
      </c>
      <c r="G475" s="5">
        <f ca="1">LOOKUP($E475,frequence!$A$2:$A$35,frequence!K$2:K$35)</f>
        <v>1.4741694560324998</v>
      </c>
      <c r="H475" s="5">
        <f ca="1">LOOKUP($E475,frequence!$A$2:$A$35,frequence!M$2:M$35)</f>
        <v>191.46239168394251</v>
      </c>
      <c r="I475" s="5">
        <v>1995</v>
      </c>
      <c r="J475" s="7">
        <f>LOOKUP(I475,CPI!A$69:A$103,CPI!O$69:O$103)</f>
        <v>1.4308136482939633</v>
      </c>
      <c r="K475" s="18">
        <v>2010</v>
      </c>
      <c r="L475" s="7">
        <f t="shared" ca="1" si="317"/>
        <v>1</v>
      </c>
      <c r="M475" s="7">
        <f t="shared" si="333"/>
        <v>0.20588235294117646</v>
      </c>
      <c r="N475" s="14">
        <f>1/34</f>
        <v>2.9411764705882353E-2</v>
      </c>
      <c r="O475" s="1">
        <f ca="1">P475*J475*(1+Growth!G$6)^(2010-K475)</f>
        <v>64.54400367454069</v>
      </c>
      <c r="P475" s="3">
        <v>45.11</v>
      </c>
      <c r="Q475" s="2">
        <f t="shared" si="338"/>
        <v>45.11</v>
      </c>
      <c r="R475" s="21">
        <f t="shared" ca="1" si="318"/>
        <v>4165.9284103391219</v>
      </c>
      <c r="X475" s="2">
        <f t="shared" si="329"/>
        <v>45.11</v>
      </c>
      <c r="AC475" s="1">
        <f t="shared" si="331"/>
        <v>7</v>
      </c>
      <c r="AD475" s="5">
        <v>1</v>
      </c>
      <c r="AE475" s="5">
        <v>0</v>
      </c>
      <c r="AF475" s="5">
        <v>1</v>
      </c>
      <c r="AG475" s="5">
        <v>1</v>
      </c>
      <c r="AH475" s="5">
        <v>1</v>
      </c>
      <c r="AI475" s="3">
        <f t="shared" si="313"/>
        <v>3</v>
      </c>
      <c r="AJ475" s="5">
        <f t="shared" si="337"/>
        <v>0</v>
      </c>
      <c r="AK475" s="5">
        <f t="shared" si="319"/>
        <v>0</v>
      </c>
      <c r="AL475" s="5">
        <f t="shared" si="320"/>
        <v>0</v>
      </c>
      <c r="AM475" s="5">
        <f t="shared" si="339"/>
        <v>1</v>
      </c>
      <c r="AN475" s="5">
        <f t="shared" si="321"/>
        <v>0</v>
      </c>
      <c r="AO475" s="5">
        <f t="shared" si="340"/>
        <v>0</v>
      </c>
      <c r="AP475" s="11" t="s">
        <v>42</v>
      </c>
      <c r="AQ475" s="1">
        <v>1</v>
      </c>
      <c r="AR475" s="5">
        <v>1</v>
      </c>
      <c r="AS475" s="5">
        <v>1</v>
      </c>
      <c r="AT475" s="5">
        <v>0</v>
      </c>
      <c r="AU475" s="5">
        <v>0</v>
      </c>
      <c r="AV475" s="5">
        <v>0</v>
      </c>
      <c r="AW475" s="5">
        <v>0</v>
      </c>
      <c r="AX475" s="5">
        <v>1</v>
      </c>
      <c r="AY475" s="1">
        <f t="shared" si="298"/>
        <v>0</v>
      </c>
      <c r="AZ475" s="1">
        <f t="shared" si="299"/>
        <v>0</v>
      </c>
      <c r="BA475" s="1">
        <f t="shared" si="300"/>
        <v>0</v>
      </c>
      <c r="BB475" s="5">
        <v>0</v>
      </c>
      <c r="BC475" s="5">
        <v>0</v>
      </c>
      <c r="BD475" s="5">
        <v>1</v>
      </c>
      <c r="BE475" s="5">
        <f t="shared" si="330"/>
        <v>0</v>
      </c>
      <c r="BF475" s="5">
        <v>0</v>
      </c>
      <c r="BG475" s="5">
        <f t="shared" si="336"/>
        <v>0</v>
      </c>
      <c r="BH475" s="5">
        <f t="shared" si="336"/>
        <v>0</v>
      </c>
      <c r="BI475" s="5">
        <f t="shared" si="336"/>
        <v>0</v>
      </c>
      <c r="BJ475" s="5">
        <f t="shared" si="336"/>
        <v>0</v>
      </c>
      <c r="BK475" s="5">
        <f t="shared" si="336"/>
        <v>0</v>
      </c>
      <c r="BL475" s="5">
        <f t="shared" si="336"/>
        <v>0</v>
      </c>
      <c r="BM475" s="5">
        <f t="shared" si="336"/>
        <v>0</v>
      </c>
      <c r="BN475" s="5">
        <f t="shared" si="336"/>
        <v>0</v>
      </c>
      <c r="BO475" s="5">
        <f t="shared" si="335"/>
        <v>0</v>
      </c>
      <c r="BP475" s="5">
        <f t="shared" si="335"/>
        <v>0</v>
      </c>
      <c r="BQ475" s="5">
        <f t="shared" si="335"/>
        <v>0</v>
      </c>
      <c r="BR475" s="5">
        <f t="shared" si="335"/>
        <v>0</v>
      </c>
      <c r="BS475" s="5">
        <f t="shared" si="335"/>
        <v>0</v>
      </c>
      <c r="BT475" s="5">
        <f t="shared" si="335"/>
        <v>0</v>
      </c>
      <c r="BU475" s="5">
        <f t="shared" si="335"/>
        <v>0</v>
      </c>
      <c r="BV475" s="5">
        <f t="shared" si="335"/>
        <v>0</v>
      </c>
      <c r="BW475" s="5">
        <f t="shared" si="335"/>
        <v>0</v>
      </c>
      <c r="BX475" s="5">
        <f t="shared" si="335"/>
        <v>0</v>
      </c>
      <c r="BY475" s="5">
        <f t="shared" si="335"/>
        <v>0</v>
      </c>
      <c r="BZ475" s="5">
        <f t="shared" si="335"/>
        <v>1</v>
      </c>
      <c r="CA475" s="5">
        <f t="shared" si="335"/>
        <v>0</v>
      </c>
      <c r="CB475" s="5">
        <f t="shared" si="334"/>
        <v>0</v>
      </c>
      <c r="CC475" s="5">
        <f t="shared" si="334"/>
        <v>0</v>
      </c>
      <c r="CD475" s="5">
        <f t="shared" si="334"/>
        <v>0</v>
      </c>
      <c r="CE475" s="5">
        <f t="shared" si="334"/>
        <v>0</v>
      </c>
    </row>
    <row r="476" spans="1:83" x14ac:dyDescent="0.2">
      <c r="A476" s="11" t="s">
        <v>20</v>
      </c>
      <c r="B476" s="11" t="s">
        <v>79</v>
      </c>
      <c r="C476" s="1">
        <f>Growth!D481</f>
        <v>1</v>
      </c>
      <c r="D476" s="5">
        <f t="shared" si="316"/>
        <v>2010</v>
      </c>
      <c r="E476" s="5">
        <v>2010</v>
      </c>
      <c r="F476" s="5">
        <f ca="1">LOOKUP($E476,frequence!$A$2:$A$35,frequence!L$2:L$35)</f>
        <v>33.819341167042261</v>
      </c>
      <c r="G476" s="5">
        <f ca="1">LOOKUP($E476,frequence!$A$2:$A$35,frequence!K$2:K$35)</f>
        <v>1.4741694560324998</v>
      </c>
      <c r="H476" s="5">
        <f ca="1">LOOKUP($E476,frequence!$A$2:$A$35,frequence!M$2:M$35)</f>
        <v>191.46239168394251</v>
      </c>
      <c r="I476" s="5">
        <v>2005</v>
      </c>
      <c r="J476" s="7">
        <f>LOOKUP(I476,CPI!A$69:A$103,CPI!O$69:O$103)</f>
        <v>1.1165181771633383</v>
      </c>
      <c r="K476" s="5">
        <v>2010</v>
      </c>
      <c r="L476" s="7">
        <f t="shared" ca="1" si="317"/>
        <v>1</v>
      </c>
      <c r="M476" s="7">
        <f t="shared" si="333"/>
        <v>6</v>
      </c>
      <c r="N476" s="14">
        <v>1</v>
      </c>
      <c r="O476" s="1">
        <f ca="1">P476*J476*(1+Growth!G$6)^(2010-K476)</f>
        <v>32.267375320020477</v>
      </c>
      <c r="P476" s="3">
        <v>28.9</v>
      </c>
      <c r="Q476" s="2">
        <f t="shared" si="338"/>
        <v>28.9</v>
      </c>
      <c r="R476" s="21">
        <f t="shared" ca="1" si="318"/>
        <v>1041.1835100430667</v>
      </c>
      <c r="X476" s="2">
        <f t="shared" si="329"/>
        <v>28.9</v>
      </c>
      <c r="AC476" s="1">
        <f t="shared" si="331"/>
        <v>6</v>
      </c>
      <c r="AD476" s="5">
        <v>1</v>
      </c>
      <c r="AE476" s="5">
        <v>0</v>
      </c>
      <c r="AF476" s="5">
        <v>1</v>
      </c>
      <c r="AG476" s="5">
        <v>0</v>
      </c>
      <c r="AH476" s="5">
        <v>1</v>
      </c>
      <c r="AI476" s="3">
        <f t="shared" si="313"/>
        <v>3</v>
      </c>
      <c r="AJ476" s="5">
        <f t="shared" si="337"/>
        <v>1</v>
      </c>
      <c r="AK476" s="5">
        <f t="shared" si="319"/>
        <v>0</v>
      </c>
      <c r="AL476" s="5">
        <f t="shared" si="320"/>
        <v>0</v>
      </c>
      <c r="AM476" s="5">
        <f t="shared" si="339"/>
        <v>0</v>
      </c>
      <c r="AN476" s="5">
        <f t="shared" si="321"/>
        <v>0</v>
      </c>
      <c r="AO476" s="5">
        <f t="shared" si="340"/>
        <v>0</v>
      </c>
      <c r="AP476" s="11" t="s">
        <v>42</v>
      </c>
      <c r="AQ476" s="1">
        <v>3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1</v>
      </c>
      <c r="AY476" s="1">
        <f t="shared" si="298"/>
        <v>1</v>
      </c>
      <c r="AZ476" s="1">
        <f t="shared" si="299"/>
        <v>0</v>
      </c>
      <c r="BA476" s="1">
        <f t="shared" si="300"/>
        <v>0</v>
      </c>
      <c r="BB476" s="5">
        <v>0</v>
      </c>
      <c r="BC476" s="5">
        <v>1</v>
      </c>
      <c r="BD476" s="5">
        <v>0</v>
      </c>
      <c r="BE476" s="5">
        <f t="shared" si="330"/>
        <v>0</v>
      </c>
      <c r="BF476" s="5">
        <v>1</v>
      </c>
      <c r="BG476" s="5">
        <f t="shared" si="336"/>
        <v>0</v>
      </c>
      <c r="BH476" s="5">
        <f t="shared" si="336"/>
        <v>0</v>
      </c>
      <c r="BI476" s="5">
        <f t="shared" si="336"/>
        <v>0</v>
      </c>
      <c r="BJ476" s="5">
        <f t="shared" si="336"/>
        <v>0</v>
      </c>
      <c r="BK476" s="5">
        <f t="shared" si="336"/>
        <v>0</v>
      </c>
      <c r="BL476" s="5">
        <f t="shared" si="336"/>
        <v>0</v>
      </c>
      <c r="BM476" s="5">
        <f t="shared" si="336"/>
        <v>0</v>
      </c>
      <c r="BN476" s="5">
        <f t="shared" si="336"/>
        <v>0</v>
      </c>
      <c r="BO476" s="5">
        <f t="shared" si="335"/>
        <v>0</v>
      </c>
      <c r="BP476" s="5">
        <f t="shared" si="335"/>
        <v>0</v>
      </c>
      <c r="BQ476" s="5">
        <f t="shared" si="335"/>
        <v>0</v>
      </c>
      <c r="BR476" s="5">
        <f t="shared" si="335"/>
        <v>0</v>
      </c>
      <c r="BS476" s="5">
        <f t="shared" si="335"/>
        <v>0</v>
      </c>
      <c r="BT476" s="5">
        <f t="shared" si="335"/>
        <v>0</v>
      </c>
      <c r="BU476" s="5">
        <f t="shared" si="335"/>
        <v>0</v>
      </c>
      <c r="BV476" s="5">
        <f t="shared" si="335"/>
        <v>0</v>
      </c>
      <c r="BW476" s="5">
        <f t="shared" si="335"/>
        <v>0</v>
      </c>
      <c r="BX476" s="5">
        <f t="shared" si="335"/>
        <v>0</v>
      </c>
      <c r="BY476" s="5">
        <f t="shared" si="335"/>
        <v>0</v>
      </c>
      <c r="BZ476" s="5">
        <f t="shared" si="335"/>
        <v>1</v>
      </c>
      <c r="CA476" s="5">
        <f t="shared" si="335"/>
        <v>0</v>
      </c>
      <c r="CB476" s="5">
        <f t="shared" si="334"/>
        <v>0</v>
      </c>
      <c r="CC476" s="5">
        <f t="shared" si="334"/>
        <v>0</v>
      </c>
      <c r="CD476" s="5">
        <f t="shared" si="334"/>
        <v>0</v>
      </c>
      <c r="CE476" s="5">
        <f t="shared" si="334"/>
        <v>0</v>
      </c>
    </row>
    <row r="477" spans="1:83" x14ac:dyDescent="0.2">
      <c r="A477" s="11" t="s">
        <v>81</v>
      </c>
      <c r="B477" s="11" t="s">
        <v>84</v>
      </c>
      <c r="C477" s="1">
        <f>Growth!D482</f>
        <v>0.9</v>
      </c>
      <c r="D477" s="5">
        <f t="shared" si="316"/>
        <v>2012</v>
      </c>
      <c r="E477" s="5">
        <v>2012</v>
      </c>
      <c r="F477" s="5">
        <f ca="1">LOOKUP($E477,frequence!$A$2:$A$35,frequence!L$2:L$35)</f>
        <v>41.545638202606931</v>
      </c>
      <c r="G477" s="5">
        <f ca="1">LOOKUP($E477,frequence!$A$2:$A$35,frequence!K$2:K$35)</f>
        <v>3.8191206393393822</v>
      </c>
      <c r="H477" s="5">
        <f ca="1">LOOKUP($E477,frequence!$A$2:$A$35,frequence!M$2:M$35)</f>
        <v>265.64322815143237</v>
      </c>
      <c r="I477" s="5">
        <v>2005</v>
      </c>
      <c r="J477" s="7">
        <f>LOOKUP(I477,CPI!A$69:A$103,CPI!O$69:O$103)</f>
        <v>1.1165181771633383</v>
      </c>
      <c r="K477" s="5">
        <v>2015</v>
      </c>
      <c r="L477" s="7">
        <f t="shared" ca="1" si="317"/>
        <v>1</v>
      </c>
      <c r="M477" s="7">
        <f t="shared" si="333"/>
        <v>5.58</v>
      </c>
      <c r="N477" s="14">
        <v>0.9</v>
      </c>
      <c r="O477" s="1">
        <f ca="1">P477*J477*(1+Growth!G$6)^(2010-K477)</f>
        <v>33.145360819831012</v>
      </c>
      <c r="P477" s="3">
        <v>32</v>
      </c>
      <c r="Q477" s="2">
        <f t="shared" si="338"/>
        <v>32</v>
      </c>
      <c r="R477" s="21">
        <f t="shared" ca="1" si="318"/>
        <v>1098.6149438767889</v>
      </c>
      <c r="X477" s="2">
        <f t="shared" si="329"/>
        <v>32</v>
      </c>
      <c r="AC477" s="1">
        <f t="shared" si="331"/>
        <v>6.2</v>
      </c>
      <c r="AD477" s="5">
        <v>1</v>
      </c>
      <c r="AE477" s="5">
        <v>0</v>
      </c>
      <c r="AF477" s="5">
        <v>1</v>
      </c>
      <c r="AG477" s="5">
        <v>0</v>
      </c>
      <c r="AH477" s="5">
        <v>1</v>
      </c>
      <c r="AI477" s="3">
        <f t="shared" si="313"/>
        <v>3.2</v>
      </c>
      <c r="AJ477" s="5">
        <f t="shared" si="337"/>
        <v>1</v>
      </c>
      <c r="AK477" s="5">
        <f t="shared" si="319"/>
        <v>0</v>
      </c>
      <c r="AL477" s="5">
        <f t="shared" si="320"/>
        <v>0</v>
      </c>
      <c r="AM477" s="5">
        <f t="shared" si="339"/>
        <v>0</v>
      </c>
      <c r="AN477" s="5">
        <f t="shared" si="321"/>
        <v>0</v>
      </c>
      <c r="AO477" s="5">
        <f t="shared" si="340"/>
        <v>0</v>
      </c>
      <c r="AP477" s="11" t="s">
        <v>42</v>
      </c>
      <c r="AQ477" s="1">
        <v>3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1</v>
      </c>
      <c r="AY477" s="1">
        <f t="shared" si="298"/>
        <v>1</v>
      </c>
      <c r="AZ477" s="1">
        <f t="shared" si="299"/>
        <v>0</v>
      </c>
      <c r="BA477" s="1">
        <f t="shared" si="300"/>
        <v>0</v>
      </c>
      <c r="BB477" s="5">
        <v>0</v>
      </c>
      <c r="BC477" s="5">
        <v>0</v>
      </c>
      <c r="BD477" s="5">
        <v>0</v>
      </c>
      <c r="BE477" s="5">
        <f t="shared" si="330"/>
        <v>1</v>
      </c>
      <c r="BF477" s="5">
        <v>1</v>
      </c>
      <c r="BG477" s="5">
        <f t="shared" si="336"/>
        <v>0</v>
      </c>
      <c r="BH477" s="5">
        <f t="shared" si="336"/>
        <v>0</v>
      </c>
      <c r="BI477" s="5">
        <f t="shared" si="336"/>
        <v>0</v>
      </c>
      <c r="BJ477" s="5">
        <f t="shared" si="336"/>
        <v>0</v>
      </c>
      <c r="BK477" s="5">
        <f t="shared" si="336"/>
        <v>0</v>
      </c>
      <c r="BL477" s="5">
        <f t="shared" si="336"/>
        <v>0</v>
      </c>
      <c r="BM477" s="5">
        <f t="shared" si="336"/>
        <v>0</v>
      </c>
      <c r="BN477" s="5">
        <f t="shared" si="336"/>
        <v>0</v>
      </c>
      <c r="BO477" s="5">
        <f t="shared" si="335"/>
        <v>0</v>
      </c>
      <c r="BP477" s="5">
        <f t="shared" si="335"/>
        <v>0</v>
      </c>
      <c r="BQ477" s="5">
        <f t="shared" si="335"/>
        <v>0</v>
      </c>
      <c r="BR477" s="5">
        <f t="shared" si="335"/>
        <v>0</v>
      </c>
      <c r="BS477" s="5">
        <f t="shared" si="335"/>
        <v>0</v>
      </c>
      <c r="BT477" s="5">
        <f t="shared" si="335"/>
        <v>0</v>
      </c>
      <c r="BU477" s="5">
        <f t="shared" si="335"/>
        <v>0</v>
      </c>
      <c r="BV477" s="5">
        <f t="shared" si="335"/>
        <v>0</v>
      </c>
      <c r="BW477" s="5">
        <f t="shared" si="335"/>
        <v>0</v>
      </c>
      <c r="BX477" s="5">
        <f t="shared" si="335"/>
        <v>0</v>
      </c>
      <c r="BY477" s="5">
        <f t="shared" si="335"/>
        <v>0</v>
      </c>
      <c r="BZ477" s="5">
        <f t="shared" si="335"/>
        <v>0</v>
      </c>
      <c r="CA477" s="5">
        <f t="shared" si="335"/>
        <v>0</v>
      </c>
      <c r="CB477" s="5">
        <f t="shared" si="334"/>
        <v>1</v>
      </c>
      <c r="CC477" s="5">
        <f t="shared" si="334"/>
        <v>0</v>
      </c>
      <c r="CD477" s="5">
        <f t="shared" si="334"/>
        <v>0</v>
      </c>
      <c r="CE477" s="5">
        <f t="shared" si="334"/>
        <v>0</v>
      </c>
    </row>
    <row r="478" spans="1:83" x14ac:dyDescent="0.2">
      <c r="A478" s="11"/>
      <c r="B478" s="11"/>
      <c r="C478" s="1">
        <f>Growth!D483</f>
        <v>0.1</v>
      </c>
      <c r="D478" s="5" t="b">
        <f t="shared" si="316"/>
        <v>0</v>
      </c>
      <c r="E478" s="5">
        <v>2012</v>
      </c>
      <c r="F478" s="5">
        <f ca="1">LOOKUP($E478,frequence!$A$2:$A$35,frequence!L$2:L$35)</f>
        <v>41.545638202606931</v>
      </c>
      <c r="G478" s="5">
        <f ca="1">LOOKUP($E478,frequence!$A$2:$A$35,frequence!K$2:K$35)</f>
        <v>3.8191206393393822</v>
      </c>
      <c r="H478" s="5">
        <f ca="1">LOOKUP($E478,frequence!$A$2:$A$35,frequence!M$2:M$35)</f>
        <v>265.64322815143237</v>
      </c>
      <c r="I478" s="5">
        <v>2005</v>
      </c>
      <c r="J478" s="7">
        <f>LOOKUP(I478,CPI!A$69:A$103,CPI!O$69:O$103)</f>
        <v>1.1165181771633383</v>
      </c>
      <c r="K478" s="5">
        <v>2015</v>
      </c>
      <c r="L478" s="7">
        <f t="shared" ca="1" si="317"/>
        <v>1</v>
      </c>
      <c r="M478" s="7">
        <f t="shared" si="333"/>
        <v>0.62000000000000011</v>
      </c>
      <c r="N478" s="14">
        <v>0.1</v>
      </c>
      <c r="O478" s="1">
        <f ca="1">P478*J478*(1+Growth!G$6)^(2010-K478)</f>
        <v>42.467493550408477</v>
      </c>
      <c r="P478" s="3">
        <v>41</v>
      </c>
      <c r="Q478" s="2">
        <f t="shared" si="338"/>
        <v>41</v>
      </c>
      <c r="R478" s="21">
        <f t="shared" ca="1" si="318"/>
        <v>1803.4880084539857</v>
      </c>
      <c r="X478" s="2">
        <f t="shared" si="329"/>
        <v>41</v>
      </c>
      <c r="AC478" s="1">
        <f t="shared" ref="AC478:AC481" si="341">SUM(AD478:AI478)</f>
        <v>6.2</v>
      </c>
      <c r="AD478" s="5">
        <v>1</v>
      </c>
      <c r="AE478" s="5">
        <v>0</v>
      </c>
      <c r="AF478" s="5">
        <v>1</v>
      </c>
      <c r="AG478" s="5">
        <v>0</v>
      </c>
      <c r="AH478" s="5">
        <v>1</v>
      </c>
      <c r="AI478" s="3">
        <f t="shared" si="313"/>
        <v>3.2</v>
      </c>
      <c r="AJ478" s="5">
        <f t="shared" si="337"/>
        <v>1</v>
      </c>
      <c r="AK478" s="5">
        <f t="shared" si="319"/>
        <v>0</v>
      </c>
      <c r="AL478" s="5">
        <f t="shared" si="320"/>
        <v>0</v>
      </c>
      <c r="AM478" s="5">
        <f t="shared" si="339"/>
        <v>0</v>
      </c>
      <c r="AN478" s="5">
        <f t="shared" si="321"/>
        <v>0</v>
      </c>
      <c r="AO478" s="5">
        <f t="shared" si="340"/>
        <v>0</v>
      </c>
      <c r="AP478" s="11" t="s">
        <v>42</v>
      </c>
      <c r="AQ478" s="1">
        <v>3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1</v>
      </c>
      <c r="AY478" s="1">
        <f t="shared" ref="AY478:AY484" si="342">AJ478*$AD478*(1-$AV478)*(1-$AR478)</f>
        <v>1</v>
      </c>
      <c r="AZ478" s="1">
        <f t="shared" ref="AZ478:AZ484" si="343">AM478*$AD478*(1-$AV478)*(1-$AR478)</f>
        <v>0</v>
      </c>
      <c r="BA478" s="1">
        <f t="shared" ref="BA478:BA484" si="344">AO478*$AD478*(1-$AV478)*(1-$AR478)</f>
        <v>0</v>
      </c>
      <c r="BB478" s="5">
        <v>0</v>
      </c>
      <c r="BC478" s="5">
        <v>0</v>
      </c>
      <c r="BD478" s="5">
        <v>0</v>
      </c>
      <c r="BE478" s="5">
        <f t="shared" ref="BE478" si="345">1-SUM(BB478:BD478)</f>
        <v>1</v>
      </c>
      <c r="BF478" s="5">
        <v>1</v>
      </c>
      <c r="BG478" s="5">
        <f t="shared" si="336"/>
        <v>0</v>
      </c>
      <c r="BH478" s="5">
        <f t="shared" si="336"/>
        <v>0</v>
      </c>
      <c r="BI478" s="5">
        <f t="shared" si="336"/>
        <v>0</v>
      </c>
      <c r="BJ478" s="5">
        <f t="shared" si="336"/>
        <v>0</v>
      </c>
      <c r="BK478" s="5">
        <f t="shared" si="336"/>
        <v>0</v>
      </c>
      <c r="BL478" s="5">
        <f t="shared" si="336"/>
        <v>0</v>
      </c>
      <c r="BM478" s="5">
        <f t="shared" si="336"/>
        <v>0</v>
      </c>
      <c r="BN478" s="5">
        <f t="shared" si="336"/>
        <v>0</v>
      </c>
      <c r="BO478" s="5">
        <f t="shared" si="335"/>
        <v>0</v>
      </c>
      <c r="BP478" s="5">
        <f t="shared" si="335"/>
        <v>0</v>
      </c>
      <c r="BQ478" s="5">
        <f t="shared" si="335"/>
        <v>0</v>
      </c>
      <c r="BR478" s="5">
        <f t="shared" si="335"/>
        <v>0</v>
      </c>
      <c r="BS478" s="5">
        <f t="shared" si="335"/>
        <v>0</v>
      </c>
      <c r="BT478" s="5">
        <f t="shared" si="335"/>
        <v>0</v>
      </c>
      <c r="BU478" s="5">
        <f t="shared" si="335"/>
        <v>0</v>
      </c>
      <c r="BV478" s="5">
        <f t="shared" si="335"/>
        <v>0</v>
      </c>
      <c r="BW478" s="5">
        <f t="shared" si="335"/>
        <v>0</v>
      </c>
      <c r="BX478" s="5">
        <f t="shared" si="335"/>
        <v>0</v>
      </c>
      <c r="BY478" s="5">
        <f t="shared" si="335"/>
        <v>0</v>
      </c>
      <c r="BZ478" s="5">
        <f t="shared" si="335"/>
        <v>0</v>
      </c>
      <c r="CA478" s="5">
        <f t="shared" si="335"/>
        <v>0</v>
      </c>
      <c r="CB478" s="5">
        <f t="shared" si="334"/>
        <v>1</v>
      </c>
      <c r="CC478" s="5">
        <f t="shared" si="334"/>
        <v>0</v>
      </c>
      <c r="CD478" s="5">
        <f t="shared" si="334"/>
        <v>0</v>
      </c>
      <c r="CE478" s="5">
        <f t="shared" si="334"/>
        <v>0</v>
      </c>
    </row>
    <row r="479" spans="1:83" x14ac:dyDescent="0.2">
      <c r="A479" s="11" t="s">
        <v>215</v>
      </c>
      <c r="B479" s="11" t="s">
        <v>197</v>
      </c>
      <c r="C479" s="1">
        <f>Growth!D484</f>
        <v>0.33333333333333331</v>
      </c>
      <c r="D479" s="5">
        <f t="shared" ref="D479:D481" si="346">IF(B479&gt;0,E479)</f>
        <v>2013</v>
      </c>
      <c r="E479" s="5">
        <v>2013</v>
      </c>
      <c r="F479" s="5">
        <f ca="1">LOOKUP($E479,frequence!$A$2:$A$35,frequence!L$2:L$35)</f>
        <v>46.610663652887361</v>
      </c>
      <c r="G479" s="5">
        <f ca="1">LOOKUP($E479,frequence!$A$2:$A$35,frequence!K$2:K$35)</f>
        <v>7.3617115683267258</v>
      </c>
      <c r="H479" s="5">
        <f ca="1">LOOKUP($E479,frequence!$A$2:$A$35,frequence!M$2:M$35)</f>
        <v>214.81113443396845</v>
      </c>
      <c r="I479" s="5">
        <v>2005</v>
      </c>
      <c r="J479" s="7">
        <f>LOOKUP(I479,CPI!A$69:A$103,CPI!O$69:O$103)</f>
        <v>1.1165181771633383</v>
      </c>
      <c r="K479" s="5">
        <v>2015</v>
      </c>
      <c r="L479" s="7">
        <f t="shared" ca="1" si="317"/>
        <v>1</v>
      </c>
      <c r="M479" s="7">
        <f t="shared" ref="M479:M481" si="347">N479*AC479</f>
        <v>2.0999999999999996</v>
      </c>
      <c r="N479" s="14">
        <f>1/3</f>
        <v>0.33333333333333331</v>
      </c>
      <c r="O479" s="1">
        <f ca="1">P479*J479*(1+Growth!G$6)^(2010-K479)</f>
        <v>33.808268036227631</v>
      </c>
      <c r="P479" s="3">
        <f>P477*1.02</f>
        <v>32.64</v>
      </c>
      <c r="Q479" s="2">
        <f t="shared" si="338"/>
        <v>32.64</v>
      </c>
      <c r="R479" s="21">
        <f t="shared" ref="R479:R481" ca="1" si="348">O479*O479</f>
        <v>1142.998987609411</v>
      </c>
      <c r="X479" s="2">
        <f t="shared" ref="X479:X483" si="349">P479</f>
        <v>32.64</v>
      </c>
      <c r="AC479" s="1">
        <f t="shared" si="341"/>
        <v>6.3</v>
      </c>
      <c r="AD479" s="5">
        <v>1</v>
      </c>
      <c r="AE479" s="5">
        <v>0</v>
      </c>
      <c r="AF479" s="5">
        <v>1</v>
      </c>
      <c r="AG479" s="5">
        <v>0</v>
      </c>
      <c r="AH479" s="5">
        <v>1</v>
      </c>
      <c r="AI479" s="3">
        <f t="shared" ref="AI479:AI481" si="350">(E479-1980)/10</f>
        <v>3.3</v>
      </c>
      <c r="AJ479" s="5">
        <f t="shared" si="337"/>
        <v>1</v>
      </c>
      <c r="AK479" s="5">
        <f t="shared" si="319"/>
        <v>0</v>
      </c>
      <c r="AL479" s="5">
        <f t="shared" si="320"/>
        <v>0</v>
      </c>
      <c r="AM479" s="5">
        <f t="shared" si="339"/>
        <v>0</v>
      </c>
      <c r="AN479" s="5">
        <f t="shared" si="321"/>
        <v>0</v>
      </c>
      <c r="AO479" s="5">
        <f t="shared" si="340"/>
        <v>0</v>
      </c>
      <c r="AP479" s="11" t="s">
        <v>42</v>
      </c>
      <c r="AQ479" s="1">
        <v>3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1</v>
      </c>
      <c r="AY479" s="1">
        <f t="shared" si="342"/>
        <v>1</v>
      </c>
      <c r="AZ479" s="1">
        <f t="shared" si="343"/>
        <v>0</v>
      </c>
      <c r="BA479" s="1">
        <f t="shared" si="344"/>
        <v>0</v>
      </c>
      <c r="BB479" s="5">
        <v>0</v>
      </c>
      <c r="BC479" s="5">
        <v>0</v>
      </c>
      <c r="BD479" s="5">
        <v>0</v>
      </c>
      <c r="BE479" s="5">
        <f t="shared" ref="BE479:BE481" si="351">1-SUM(BB479:BD479)</f>
        <v>1</v>
      </c>
      <c r="BF479" s="5">
        <v>1</v>
      </c>
      <c r="BG479" s="5">
        <f t="shared" si="336"/>
        <v>0</v>
      </c>
      <c r="BH479" s="5">
        <f t="shared" si="336"/>
        <v>0</v>
      </c>
      <c r="BI479" s="5">
        <f t="shared" si="336"/>
        <v>0</v>
      </c>
      <c r="BJ479" s="5">
        <f t="shared" si="336"/>
        <v>0</v>
      </c>
      <c r="BK479" s="5">
        <f t="shared" si="336"/>
        <v>0</v>
      </c>
      <c r="BL479" s="5">
        <f t="shared" si="336"/>
        <v>0</v>
      </c>
      <c r="BM479" s="5">
        <f t="shared" si="336"/>
        <v>0</v>
      </c>
      <c r="BN479" s="5">
        <f t="shared" si="336"/>
        <v>0</v>
      </c>
      <c r="BO479" s="5">
        <f t="shared" si="335"/>
        <v>0</v>
      </c>
      <c r="BP479" s="5">
        <f t="shared" si="335"/>
        <v>0</v>
      </c>
      <c r="BQ479" s="5">
        <f t="shared" si="335"/>
        <v>0</v>
      </c>
      <c r="BR479" s="5">
        <f t="shared" si="335"/>
        <v>0</v>
      </c>
      <c r="BS479" s="5">
        <f t="shared" si="335"/>
        <v>0</v>
      </c>
      <c r="BT479" s="5">
        <f t="shared" si="335"/>
        <v>0</v>
      </c>
      <c r="BU479" s="5">
        <f t="shared" si="335"/>
        <v>0</v>
      </c>
      <c r="BV479" s="5">
        <f t="shared" si="335"/>
        <v>0</v>
      </c>
      <c r="BW479" s="5">
        <f t="shared" si="335"/>
        <v>0</v>
      </c>
      <c r="BX479" s="5">
        <f t="shared" si="335"/>
        <v>0</v>
      </c>
      <c r="BY479" s="5">
        <f t="shared" si="335"/>
        <v>0</v>
      </c>
      <c r="BZ479" s="5">
        <f t="shared" si="335"/>
        <v>0</v>
      </c>
      <c r="CA479" s="5">
        <f t="shared" si="335"/>
        <v>0</v>
      </c>
      <c r="CB479" s="5">
        <f t="shared" si="334"/>
        <v>0</v>
      </c>
      <c r="CC479" s="5">
        <f t="shared" si="334"/>
        <v>1</v>
      </c>
      <c r="CD479" s="5">
        <f t="shared" si="334"/>
        <v>0</v>
      </c>
      <c r="CE479" s="5">
        <f t="shared" si="334"/>
        <v>0</v>
      </c>
    </row>
    <row r="480" spans="1:83" x14ac:dyDescent="0.2">
      <c r="A480" s="11"/>
      <c r="B480" s="11"/>
      <c r="C480" s="1">
        <f>Growth!D485</f>
        <v>0.33333333333333331</v>
      </c>
      <c r="D480" s="5" t="b">
        <f t="shared" si="346"/>
        <v>0</v>
      </c>
      <c r="E480" s="5">
        <v>2013</v>
      </c>
      <c r="F480" s="5">
        <f ca="1">LOOKUP($E480,frequence!$A$2:$A$35,frequence!L$2:L$35)</f>
        <v>46.610663652887361</v>
      </c>
      <c r="G480" s="5">
        <f ca="1">LOOKUP($E480,frequence!$A$2:$A$35,frequence!K$2:K$35)</f>
        <v>7.3617115683267258</v>
      </c>
      <c r="H480" s="5">
        <f ca="1">LOOKUP($E480,frequence!$A$2:$A$35,frequence!M$2:M$35)</f>
        <v>214.81113443396845</v>
      </c>
      <c r="I480" s="5">
        <v>2005</v>
      </c>
      <c r="J480" s="7">
        <f>LOOKUP(I480,CPI!A$69:A$103,CPI!O$69:O$103)</f>
        <v>1.1165181771633383</v>
      </c>
      <c r="K480" s="5">
        <v>2015</v>
      </c>
      <c r="L480" s="7">
        <f t="shared" ca="1" si="317"/>
        <v>1</v>
      </c>
      <c r="M480" s="7">
        <f t="shared" si="347"/>
        <v>2.0999999999999996</v>
      </c>
      <c r="N480" s="14">
        <f>1/3</f>
        <v>0.33333333333333331</v>
      </c>
      <c r="O480" s="1">
        <f ca="1">P480*J480*(1+Growth!G$6)^(2010-K480)</f>
        <v>35.160598757676738</v>
      </c>
      <c r="P480" s="3">
        <f>P479*1.04</f>
        <v>33.945599999999999</v>
      </c>
      <c r="Q480" s="2">
        <f t="shared" si="338"/>
        <v>33.945599999999999</v>
      </c>
      <c r="R480" s="21">
        <f t="shared" ca="1" si="348"/>
        <v>1236.267704998339</v>
      </c>
      <c r="X480" s="2">
        <f t="shared" si="349"/>
        <v>33.945599999999999</v>
      </c>
      <c r="AC480" s="1">
        <f t="shared" si="341"/>
        <v>6.3</v>
      </c>
      <c r="AD480" s="5">
        <v>1</v>
      </c>
      <c r="AE480" s="5">
        <v>0</v>
      </c>
      <c r="AF480" s="5">
        <v>1</v>
      </c>
      <c r="AG480" s="5">
        <v>0</v>
      </c>
      <c r="AH480" s="5">
        <v>1</v>
      </c>
      <c r="AI480" s="3">
        <f t="shared" si="350"/>
        <v>3.3</v>
      </c>
      <c r="AJ480" s="5">
        <f t="shared" si="337"/>
        <v>1</v>
      </c>
      <c r="AK480" s="5">
        <f t="shared" si="319"/>
        <v>0</v>
      </c>
      <c r="AL480" s="5">
        <f t="shared" si="320"/>
        <v>0</v>
      </c>
      <c r="AM480" s="5">
        <f t="shared" si="339"/>
        <v>0</v>
      </c>
      <c r="AN480" s="5">
        <f t="shared" si="321"/>
        <v>0</v>
      </c>
      <c r="AO480" s="5">
        <f t="shared" si="340"/>
        <v>0</v>
      </c>
      <c r="AP480" s="11" t="s">
        <v>42</v>
      </c>
      <c r="AQ480" s="1">
        <v>3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1</v>
      </c>
      <c r="AY480" s="1">
        <f t="shared" si="342"/>
        <v>1</v>
      </c>
      <c r="AZ480" s="1">
        <f t="shared" si="343"/>
        <v>0</v>
      </c>
      <c r="BA480" s="1">
        <f t="shared" si="344"/>
        <v>0</v>
      </c>
      <c r="BB480" s="5">
        <v>0</v>
      </c>
      <c r="BC480" s="5">
        <v>0</v>
      </c>
      <c r="BD480" s="5">
        <v>0</v>
      </c>
      <c r="BE480" s="5">
        <f t="shared" si="351"/>
        <v>1</v>
      </c>
      <c r="BF480" s="5">
        <v>1</v>
      </c>
      <c r="BG480" s="5">
        <f t="shared" si="336"/>
        <v>0</v>
      </c>
      <c r="BH480" s="5">
        <f t="shared" si="336"/>
        <v>0</v>
      </c>
      <c r="BI480" s="5">
        <f t="shared" si="336"/>
        <v>0</v>
      </c>
      <c r="BJ480" s="5">
        <f t="shared" si="336"/>
        <v>0</v>
      </c>
      <c r="BK480" s="5">
        <f t="shared" si="336"/>
        <v>0</v>
      </c>
      <c r="BL480" s="5">
        <f t="shared" si="336"/>
        <v>0</v>
      </c>
      <c r="BM480" s="5">
        <f t="shared" si="336"/>
        <v>0</v>
      </c>
      <c r="BN480" s="5">
        <f t="shared" si="336"/>
        <v>0</v>
      </c>
      <c r="BO480" s="5">
        <f t="shared" si="335"/>
        <v>0</v>
      </c>
      <c r="BP480" s="5">
        <f t="shared" si="335"/>
        <v>0</v>
      </c>
      <c r="BQ480" s="5">
        <f t="shared" si="335"/>
        <v>0</v>
      </c>
      <c r="BR480" s="5">
        <f t="shared" si="335"/>
        <v>0</v>
      </c>
      <c r="BS480" s="5">
        <f t="shared" si="335"/>
        <v>0</v>
      </c>
      <c r="BT480" s="5">
        <f t="shared" si="335"/>
        <v>0</v>
      </c>
      <c r="BU480" s="5">
        <f t="shared" si="335"/>
        <v>0</v>
      </c>
      <c r="BV480" s="5">
        <f t="shared" si="335"/>
        <v>0</v>
      </c>
      <c r="BW480" s="5">
        <f t="shared" si="335"/>
        <v>0</v>
      </c>
      <c r="BX480" s="5">
        <f t="shared" si="335"/>
        <v>0</v>
      </c>
      <c r="BY480" s="5">
        <f t="shared" si="335"/>
        <v>0</v>
      </c>
      <c r="BZ480" s="5">
        <f t="shared" si="335"/>
        <v>0</v>
      </c>
      <c r="CA480" s="5">
        <f t="shared" si="335"/>
        <v>0</v>
      </c>
      <c r="CB480" s="5">
        <f t="shared" si="334"/>
        <v>0</v>
      </c>
      <c r="CC480" s="5">
        <f t="shared" si="334"/>
        <v>1</v>
      </c>
      <c r="CD480" s="5">
        <f t="shared" si="334"/>
        <v>0</v>
      </c>
      <c r="CE480" s="5">
        <f t="shared" si="334"/>
        <v>0</v>
      </c>
    </row>
    <row r="481" spans="1:83" x14ac:dyDescent="0.2">
      <c r="A481" s="11"/>
      <c r="B481" s="11"/>
      <c r="C481" s="1">
        <f>Growth!D486</f>
        <v>0.33333333333333331</v>
      </c>
      <c r="D481" s="5" t="b">
        <f t="shared" si="346"/>
        <v>0</v>
      </c>
      <c r="E481" s="5">
        <v>2013</v>
      </c>
      <c r="F481" s="5">
        <f ca="1">LOOKUP($E481,frequence!$A$2:$A$35,frequence!L$2:L$35)</f>
        <v>46.610663652887361</v>
      </c>
      <c r="G481" s="5">
        <f ca="1">LOOKUP($E481,frequence!$A$2:$A$35,frequence!K$2:K$35)</f>
        <v>7.3617115683267258</v>
      </c>
      <c r="H481" s="5">
        <f ca="1">LOOKUP($E481,frequence!$A$2:$A$35,frequence!M$2:M$35)</f>
        <v>214.81113443396845</v>
      </c>
      <c r="I481" s="5">
        <v>2005</v>
      </c>
      <c r="J481" s="7">
        <f>LOOKUP(I481,CPI!A$69:A$103,CPI!O$69:O$103)</f>
        <v>1.1165181771633383</v>
      </c>
      <c r="K481" s="5">
        <v>2015</v>
      </c>
      <c r="L481" s="7">
        <f t="shared" ca="1" si="317"/>
        <v>1</v>
      </c>
      <c r="M481" s="7">
        <f t="shared" si="347"/>
        <v>2.0999999999999996</v>
      </c>
      <c r="N481" s="14">
        <f>1/3</f>
        <v>0.33333333333333331</v>
      </c>
      <c r="O481" s="1">
        <f ca="1">P481*J481*(1+Growth!G$6)^(2010-K481)</f>
        <v>48.170020298017135</v>
      </c>
      <c r="P481" s="3">
        <f>P480*1.37</f>
        <v>46.505472000000005</v>
      </c>
      <c r="Q481" s="2">
        <f t="shared" si="338"/>
        <v>46.505472000000005</v>
      </c>
      <c r="R481" s="21">
        <f t="shared" ca="1" si="348"/>
        <v>2320.3508555113826</v>
      </c>
      <c r="X481" s="2">
        <f t="shared" si="349"/>
        <v>46.505472000000005</v>
      </c>
      <c r="AC481" s="1">
        <f t="shared" si="341"/>
        <v>6.3</v>
      </c>
      <c r="AD481" s="5">
        <v>1</v>
      </c>
      <c r="AE481" s="5">
        <v>0</v>
      </c>
      <c r="AF481" s="5">
        <v>1</v>
      </c>
      <c r="AG481" s="5">
        <v>0</v>
      </c>
      <c r="AH481" s="5">
        <v>1</v>
      </c>
      <c r="AI481" s="3">
        <f t="shared" si="350"/>
        <v>3.3</v>
      </c>
      <c r="AJ481" s="5">
        <f t="shared" si="337"/>
        <v>1</v>
      </c>
      <c r="AK481" s="5">
        <f t="shared" si="319"/>
        <v>0</v>
      </c>
      <c r="AL481" s="5">
        <f t="shared" si="320"/>
        <v>0</v>
      </c>
      <c r="AM481" s="5">
        <f t="shared" si="339"/>
        <v>0</v>
      </c>
      <c r="AN481" s="5">
        <f t="shared" si="321"/>
        <v>0</v>
      </c>
      <c r="AO481" s="5">
        <f t="shared" si="340"/>
        <v>0</v>
      </c>
      <c r="AP481" s="11" t="s">
        <v>42</v>
      </c>
      <c r="AQ481" s="1">
        <v>3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1</v>
      </c>
      <c r="AY481" s="1">
        <f t="shared" si="342"/>
        <v>1</v>
      </c>
      <c r="AZ481" s="1">
        <f t="shared" si="343"/>
        <v>0</v>
      </c>
      <c r="BA481" s="1">
        <f t="shared" si="344"/>
        <v>0</v>
      </c>
      <c r="BB481" s="5">
        <v>0</v>
      </c>
      <c r="BC481" s="5">
        <v>0</v>
      </c>
      <c r="BD481" s="5">
        <v>0</v>
      </c>
      <c r="BE481" s="5">
        <f t="shared" si="351"/>
        <v>1</v>
      </c>
      <c r="BF481" s="5">
        <v>1</v>
      </c>
      <c r="BG481" s="5">
        <f t="shared" si="336"/>
        <v>0</v>
      </c>
      <c r="BH481" s="5">
        <f t="shared" si="336"/>
        <v>0</v>
      </c>
      <c r="BI481" s="5">
        <f t="shared" si="336"/>
        <v>0</v>
      </c>
      <c r="BJ481" s="5">
        <f t="shared" si="336"/>
        <v>0</v>
      </c>
      <c r="BK481" s="5">
        <f t="shared" si="336"/>
        <v>0</v>
      </c>
      <c r="BL481" s="5">
        <f t="shared" si="336"/>
        <v>0</v>
      </c>
      <c r="BM481" s="5">
        <f t="shared" si="336"/>
        <v>0</v>
      </c>
      <c r="BN481" s="5">
        <f t="shared" si="336"/>
        <v>0</v>
      </c>
      <c r="BO481" s="5">
        <f t="shared" si="335"/>
        <v>0</v>
      </c>
      <c r="BP481" s="5">
        <f t="shared" si="335"/>
        <v>0</v>
      </c>
      <c r="BQ481" s="5">
        <f t="shared" si="335"/>
        <v>0</v>
      </c>
      <c r="BR481" s="5">
        <f t="shared" si="335"/>
        <v>0</v>
      </c>
      <c r="BS481" s="5">
        <f t="shared" si="335"/>
        <v>0</v>
      </c>
      <c r="BT481" s="5">
        <f t="shared" si="335"/>
        <v>0</v>
      </c>
      <c r="BU481" s="5">
        <f t="shared" si="335"/>
        <v>0</v>
      </c>
      <c r="BV481" s="5">
        <f t="shared" si="335"/>
        <v>0</v>
      </c>
      <c r="BW481" s="5">
        <f t="shared" si="335"/>
        <v>0</v>
      </c>
      <c r="BX481" s="5">
        <f t="shared" si="335"/>
        <v>0</v>
      </c>
      <c r="BY481" s="5">
        <f t="shared" si="335"/>
        <v>0</v>
      </c>
      <c r="BZ481" s="5">
        <f t="shared" si="335"/>
        <v>0</v>
      </c>
      <c r="CA481" s="5">
        <f t="shared" si="335"/>
        <v>0</v>
      </c>
      <c r="CB481" s="5">
        <f t="shared" si="334"/>
        <v>0</v>
      </c>
      <c r="CC481" s="5">
        <f t="shared" si="334"/>
        <v>1</v>
      </c>
      <c r="CD481" s="5">
        <f t="shared" si="334"/>
        <v>0</v>
      </c>
      <c r="CE481" s="5">
        <f t="shared" si="334"/>
        <v>0</v>
      </c>
    </row>
    <row r="482" spans="1:83" x14ac:dyDescent="0.2">
      <c r="A482" s="11" t="s">
        <v>216</v>
      </c>
      <c r="B482" s="11" t="s">
        <v>197</v>
      </c>
      <c r="C482" s="1">
        <f>Growth!D487</f>
        <v>0.1</v>
      </c>
      <c r="D482" s="5">
        <f t="shared" ref="D482:D483" si="352">IF(B482&gt;0,E482)</f>
        <v>2015</v>
      </c>
      <c r="E482" s="5">
        <v>2015</v>
      </c>
      <c r="F482" s="5">
        <f ca="1">LOOKUP($E482,frequence!$A$2:$A$35,frequence!L$2:L$35)</f>
        <v>59.915964498406019</v>
      </c>
      <c r="G482" s="5">
        <f ca="1">LOOKUP($E482,frequence!$A$2:$A$35,frequence!K$2:K$35)</f>
        <v>12.697082100333608</v>
      </c>
      <c r="H482" s="5">
        <f ca="1">LOOKUP($E482,frequence!$A$2:$A$35,frequence!M$2:M$35)</f>
        <v>262.07305844619424</v>
      </c>
      <c r="I482" s="5">
        <v>2005</v>
      </c>
      <c r="J482" s="7">
        <f>LOOKUP(I482,CPI!A$69:A$103,CPI!O$69:O$103)</f>
        <v>1.1165181771633383</v>
      </c>
      <c r="K482" s="5">
        <v>2005</v>
      </c>
      <c r="L482" s="7">
        <f t="shared" ca="1" si="317"/>
        <v>1</v>
      </c>
      <c r="M482" s="7">
        <f t="shared" ref="M482" si="353">N482*AC482</f>
        <v>0.65</v>
      </c>
      <c r="N482" s="14">
        <v>0.1</v>
      </c>
      <c r="O482" s="1">
        <f ca="1">P482*J482*(1+Growth!G$6)^(2010-K482)</f>
        <v>44.169744513539179</v>
      </c>
      <c r="P482" s="3">
        <v>36.700000000000003</v>
      </c>
      <c r="Q482" s="2">
        <f t="shared" si="338"/>
        <v>36.700000000000003</v>
      </c>
      <c r="R482" s="21">
        <f t="shared" ref="R482" ca="1" si="354">O482*O482</f>
        <v>1950.9663303913244</v>
      </c>
      <c r="X482" s="2">
        <f t="shared" si="349"/>
        <v>36.700000000000003</v>
      </c>
      <c r="AC482" s="1">
        <f t="shared" ref="AC482:AC483" si="355">SUM(AD482:AI482)</f>
        <v>6.5</v>
      </c>
      <c r="AD482" s="5">
        <v>1</v>
      </c>
      <c r="AE482" s="5">
        <v>0</v>
      </c>
      <c r="AF482" s="5">
        <v>1</v>
      </c>
      <c r="AG482" s="5">
        <v>0</v>
      </c>
      <c r="AH482" s="5">
        <v>1</v>
      </c>
      <c r="AI482" s="3">
        <f t="shared" ref="AI482:AI483" si="356">(E482-1980)/10</f>
        <v>3.5</v>
      </c>
      <c r="AJ482" s="5">
        <f t="shared" si="337"/>
        <v>1</v>
      </c>
      <c r="AK482" s="5">
        <f t="shared" si="319"/>
        <v>0</v>
      </c>
      <c r="AL482" s="5">
        <f t="shared" si="320"/>
        <v>0</v>
      </c>
      <c r="AM482" s="5">
        <f t="shared" si="339"/>
        <v>0</v>
      </c>
      <c r="AN482" s="5">
        <f t="shared" si="321"/>
        <v>0</v>
      </c>
      <c r="AO482" s="5">
        <f t="shared" si="340"/>
        <v>0</v>
      </c>
      <c r="AP482" s="11" t="s">
        <v>42</v>
      </c>
      <c r="AQ482" s="1">
        <v>3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1</v>
      </c>
      <c r="AY482" s="1">
        <f t="shared" ref="AY482:AY483" si="357">AJ482*$AD482*(1-$AV482)*(1-$AR482)</f>
        <v>1</v>
      </c>
      <c r="AZ482" s="1">
        <f t="shared" ref="AZ482:AZ483" si="358">AM482*$AD482*(1-$AV482)*(1-$AR482)</f>
        <v>0</v>
      </c>
      <c r="BA482" s="1">
        <f t="shared" ref="BA482:BA483" si="359">AO482*$AD482*(1-$AV482)*(1-$AR482)</f>
        <v>0</v>
      </c>
      <c r="BB482" s="5">
        <v>0</v>
      </c>
      <c r="BC482" s="5">
        <v>0</v>
      </c>
      <c r="BD482" s="5">
        <v>0</v>
      </c>
      <c r="BE482" s="5">
        <f t="shared" ref="BE482:BE483" si="360">1-SUM(BB482:BD482)</f>
        <v>1</v>
      </c>
      <c r="BF482" s="5">
        <v>1</v>
      </c>
      <c r="BG482" s="5">
        <f t="shared" si="336"/>
        <v>0</v>
      </c>
      <c r="BH482" s="5">
        <f t="shared" si="336"/>
        <v>0</v>
      </c>
      <c r="BI482" s="5">
        <f t="shared" si="336"/>
        <v>0</v>
      </c>
      <c r="BJ482" s="5">
        <f t="shared" si="336"/>
        <v>0</v>
      </c>
      <c r="BK482" s="5">
        <f t="shared" si="336"/>
        <v>0</v>
      </c>
      <c r="BL482" s="5">
        <f t="shared" si="336"/>
        <v>0</v>
      </c>
      <c r="BM482" s="5">
        <f t="shared" si="336"/>
        <v>0</v>
      </c>
      <c r="BN482" s="5">
        <f t="shared" si="336"/>
        <v>0</v>
      </c>
      <c r="BO482" s="5">
        <f t="shared" si="335"/>
        <v>0</v>
      </c>
      <c r="BP482" s="5">
        <f t="shared" si="335"/>
        <v>0</v>
      </c>
      <c r="BQ482" s="5">
        <f t="shared" si="335"/>
        <v>0</v>
      </c>
      <c r="BR482" s="5">
        <f t="shared" si="335"/>
        <v>0</v>
      </c>
      <c r="BS482" s="5">
        <f t="shared" si="335"/>
        <v>0</v>
      </c>
      <c r="BT482" s="5">
        <f t="shared" si="335"/>
        <v>0</v>
      </c>
      <c r="BU482" s="5">
        <f t="shared" si="335"/>
        <v>0</v>
      </c>
      <c r="BV482" s="5">
        <f t="shared" si="335"/>
        <v>0</v>
      </c>
      <c r="BW482" s="5">
        <f t="shared" si="335"/>
        <v>0</v>
      </c>
      <c r="BX482" s="5">
        <f t="shared" si="335"/>
        <v>0</v>
      </c>
      <c r="BY482" s="5">
        <f t="shared" si="335"/>
        <v>0</v>
      </c>
      <c r="BZ482" s="5">
        <f t="shared" si="335"/>
        <v>0</v>
      </c>
      <c r="CA482" s="5">
        <f t="shared" si="335"/>
        <v>0</v>
      </c>
      <c r="CB482" s="5">
        <f t="shared" si="334"/>
        <v>0</v>
      </c>
      <c r="CC482" s="5">
        <f t="shared" si="334"/>
        <v>0</v>
      </c>
      <c r="CD482" s="5">
        <f t="shared" si="334"/>
        <v>0</v>
      </c>
      <c r="CE482" s="5">
        <f t="shared" si="334"/>
        <v>1</v>
      </c>
    </row>
    <row r="483" spans="1:83" x14ac:dyDescent="0.2">
      <c r="A483" s="11"/>
      <c r="B483" s="11"/>
      <c r="C483" s="1">
        <f>Growth!D488</f>
        <v>0.9</v>
      </c>
      <c r="D483" s="5" t="b">
        <f t="shared" si="352"/>
        <v>0</v>
      </c>
      <c r="E483" s="5">
        <v>2015</v>
      </c>
      <c r="F483" s="5">
        <f ca="1">LOOKUP($E483,frequence!$A$2:$A$35,frequence!L$2:L$35)</f>
        <v>59.915964498406019</v>
      </c>
      <c r="G483" s="5">
        <f ca="1">LOOKUP($E483,frequence!$A$2:$A$35,frequence!K$2:K$35)</f>
        <v>12.697082100333608</v>
      </c>
      <c r="H483" s="5">
        <f ca="1">LOOKUP($E483,frequence!$A$2:$A$35,frequence!M$2:M$35)</f>
        <v>262.07305844619424</v>
      </c>
      <c r="I483" s="5">
        <v>2005</v>
      </c>
      <c r="J483" s="7">
        <f>LOOKUP(I483,CPI!A$69:A$103,CPI!O$69:O$103)</f>
        <v>1.1165181771633383</v>
      </c>
      <c r="K483" s="5">
        <v>2005</v>
      </c>
      <c r="L483" s="7">
        <f t="shared" ca="1" si="317"/>
        <v>1</v>
      </c>
      <c r="M483" s="7">
        <f t="shared" ref="M483" si="361">N483*AC483</f>
        <v>5.8500000000000005</v>
      </c>
      <c r="N483" s="14">
        <v>0.9</v>
      </c>
      <c r="O483" s="1">
        <f ca="1">P483*J483*(1+Growth!G$6)^(2010-K483)</f>
        <v>66.916561170375431</v>
      </c>
      <c r="P483" s="3">
        <v>55.6</v>
      </c>
      <c r="Q483" s="2">
        <f t="shared" si="338"/>
        <v>55.6</v>
      </c>
      <c r="R483" s="21">
        <f t="shared" ref="R483" ca="1" si="362">O483*O483</f>
        <v>4477.8261588685973</v>
      </c>
      <c r="X483" s="2">
        <f t="shared" si="349"/>
        <v>55.6</v>
      </c>
      <c r="AC483" s="1">
        <f t="shared" si="355"/>
        <v>6.5</v>
      </c>
      <c r="AD483" s="5">
        <v>1</v>
      </c>
      <c r="AE483" s="5">
        <v>0</v>
      </c>
      <c r="AF483" s="5">
        <v>1</v>
      </c>
      <c r="AG483" s="5">
        <v>0</v>
      </c>
      <c r="AH483" s="5">
        <v>1</v>
      </c>
      <c r="AI483" s="3">
        <f t="shared" si="356"/>
        <v>3.5</v>
      </c>
      <c r="AJ483" s="5">
        <f t="shared" si="337"/>
        <v>1</v>
      </c>
      <c r="AK483" s="5">
        <f t="shared" si="319"/>
        <v>0</v>
      </c>
      <c r="AL483" s="5">
        <f t="shared" si="320"/>
        <v>0</v>
      </c>
      <c r="AM483" s="5">
        <f t="shared" si="339"/>
        <v>0</v>
      </c>
      <c r="AN483" s="5">
        <f t="shared" si="321"/>
        <v>0</v>
      </c>
      <c r="AO483" s="5">
        <f t="shared" si="340"/>
        <v>0</v>
      </c>
      <c r="AP483" s="11" t="s">
        <v>42</v>
      </c>
      <c r="AQ483" s="1">
        <v>3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1</v>
      </c>
      <c r="AY483" s="1">
        <f t="shared" si="357"/>
        <v>1</v>
      </c>
      <c r="AZ483" s="1">
        <f t="shared" si="358"/>
        <v>0</v>
      </c>
      <c r="BA483" s="1">
        <f t="shared" si="359"/>
        <v>0</v>
      </c>
      <c r="BB483" s="5">
        <v>0</v>
      </c>
      <c r="BC483" s="5">
        <v>0</v>
      </c>
      <c r="BD483" s="5">
        <v>0</v>
      </c>
      <c r="BE483" s="5">
        <f t="shared" si="360"/>
        <v>1</v>
      </c>
      <c r="BF483" s="5">
        <v>1</v>
      </c>
      <c r="BG483" s="5">
        <f t="shared" si="336"/>
        <v>0</v>
      </c>
      <c r="BH483" s="5">
        <f t="shared" si="336"/>
        <v>0</v>
      </c>
      <c r="BI483" s="5">
        <f t="shared" si="336"/>
        <v>0</v>
      </c>
      <c r="BJ483" s="5">
        <f t="shared" si="336"/>
        <v>0</v>
      </c>
      <c r="BK483" s="5">
        <f t="shared" si="336"/>
        <v>0</v>
      </c>
      <c r="BL483" s="5">
        <f t="shared" si="336"/>
        <v>0</v>
      </c>
      <c r="BM483" s="5">
        <f t="shared" si="336"/>
        <v>0</v>
      </c>
      <c r="BN483" s="5">
        <f t="shared" si="336"/>
        <v>0</v>
      </c>
      <c r="BO483" s="5">
        <f t="shared" si="335"/>
        <v>0</v>
      </c>
      <c r="BP483" s="5">
        <f t="shared" si="335"/>
        <v>0</v>
      </c>
      <c r="BQ483" s="5">
        <f t="shared" si="335"/>
        <v>0</v>
      </c>
      <c r="BR483" s="5">
        <f t="shared" si="335"/>
        <v>0</v>
      </c>
      <c r="BS483" s="5">
        <f t="shared" si="335"/>
        <v>0</v>
      </c>
      <c r="BT483" s="5">
        <f t="shared" si="335"/>
        <v>0</v>
      </c>
      <c r="BU483" s="5">
        <f t="shared" si="335"/>
        <v>0</v>
      </c>
      <c r="BV483" s="5">
        <f t="shared" si="335"/>
        <v>0</v>
      </c>
      <c r="BW483" s="5">
        <f t="shared" si="335"/>
        <v>0</v>
      </c>
      <c r="BX483" s="5">
        <f t="shared" si="335"/>
        <v>0</v>
      </c>
      <c r="BY483" s="5">
        <f t="shared" si="335"/>
        <v>0</v>
      </c>
      <c r="BZ483" s="5">
        <f t="shared" si="335"/>
        <v>0</v>
      </c>
      <c r="CA483" s="5">
        <f t="shared" si="335"/>
        <v>0</v>
      </c>
      <c r="CB483" s="5">
        <f t="shared" si="334"/>
        <v>0</v>
      </c>
      <c r="CC483" s="5">
        <f t="shared" si="334"/>
        <v>0</v>
      </c>
      <c r="CD483" s="5">
        <f t="shared" si="334"/>
        <v>0</v>
      </c>
      <c r="CE483" s="5">
        <f t="shared" si="334"/>
        <v>1</v>
      </c>
    </row>
    <row r="484" spans="1:83" x14ac:dyDescent="0.2">
      <c r="A484" s="11" t="s">
        <v>50</v>
      </c>
      <c r="B484" s="11" t="s">
        <v>110</v>
      </c>
      <c r="C484" s="1">
        <f>Growth!D489</f>
        <v>0</v>
      </c>
      <c r="D484" s="5">
        <f t="shared" si="316"/>
        <v>2011</v>
      </c>
      <c r="E484" s="5">
        <v>2011</v>
      </c>
      <c r="F484" s="5">
        <f ca="1">LOOKUP($E484,frequence!$A$2:$A$35,frequence!L$2:L$35)</f>
        <v>33.053542446246631</v>
      </c>
      <c r="G484" s="5">
        <f ca="1">LOOKUP($E484,frequence!$A$2:$A$35,frequence!K$2:K$35)</f>
        <v>2.1388579511305732</v>
      </c>
      <c r="H484" s="5">
        <f ca="1">LOOKUP($E484,frequence!$A$2:$A$35,frequence!M$2:M$35)</f>
        <v>182.11948132765423</v>
      </c>
      <c r="I484" s="5">
        <v>2005</v>
      </c>
      <c r="J484" s="7">
        <f>LOOKUP(I484,CPI!A$69:A$103,CPI!O$69:O$103)</f>
        <v>1.1165181771633383</v>
      </c>
      <c r="K484" s="5">
        <v>2009</v>
      </c>
      <c r="L484" s="7">
        <f t="shared" ca="1" si="317"/>
        <v>1</v>
      </c>
      <c r="M484" s="7">
        <f t="shared" si="333"/>
        <v>3.05</v>
      </c>
      <c r="N484" s="14">
        <v>0.5</v>
      </c>
      <c r="O484" s="1">
        <f ca="1">P484*J484*(1+Growth!G$6)^(2010-K484)</f>
        <v>115.68645621159868</v>
      </c>
      <c r="P484" s="2">
        <f t="shared" ref="P484" si="363">Q484</f>
        <v>102.07</v>
      </c>
      <c r="Q484" s="3">
        <v>102.07</v>
      </c>
      <c r="R484" s="21">
        <f t="shared" ca="1" si="318"/>
        <v>13383.356150798139</v>
      </c>
      <c r="U484" s="1">
        <v>10</v>
      </c>
      <c r="X484" s="2">
        <f t="shared" si="329"/>
        <v>102.07</v>
      </c>
      <c r="AA484" s="1">
        <v>270</v>
      </c>
      <c r="AC484" s="1">
        <f t="shared" ref="AC484" si="364">SUM(AD484:AI484)</f>
        <v>6.1</v>
      </c>
      <c r="AD484" s="5">
        <v>1</v>
      </c>
      <c r="AE484" s="5">
        <v>0</v>
      </c>
      <c r="AF484" s="5">
        <v>1</v>
      </c>
      <c r="AG484" s="5">
        <v>0</v>
      </c>
      <c r="AH484" s="5">
        <v>1</v>
      </c>
      <c r="AI484" s="3">
        <f t="shared" si="313"/>
        <v>3.1</v>
      </c>
      <c r="AJ484" s="5">
        <f t="shared" si="337"/>
        <v>0</v>
      </c>
      <c r="AK484" s="5">
        <f t="shared" si="319"/>
        <v>0</v>
      </c>
      <c r="AL484" s="5">
        <f t="shared" si="320"/>
        <v>0</v>
      </c>
      <c r="AM484" s="5">
        <f t="shared" si="339"/>
        <v>1</v>
      </c>
      <c r="AN484" s="5">
        <f t="shared" si="321"/>
        <v>0</v>
      </c>
      <c r="AO484" s="5">
        <f t="shared" si="340"/>
        <v>0</v>
      </c>
      <c r="AP484" s="11" t="s">
        <v>42</v>
      </c>
      <c r="AQ484" s="1">
        <v>1</v>
      </c>
      <c r="AR484" s="5">
        <v>1</v>
      </c>
      <c r="AS484" s="5">
        <v>0</v>
      </c>
      <c r="AT484" s="5">
        <v>1</v>
      </c>
      <c r="AU484" s="5">
        <v>0</v>
      </c>
      <c r="AV484" s="5">
        <v>0</v>
      </c>
      <c r="AW484" s="5">
        <v>0</v>
      </c>
      <c r="AX484" s="5">
        <v>1</v>
      </c>
      <c r="AY484" s="1">
        <f t="shared" si="342"/>
        <v>0</v>
      </c>
      <c r="AZ484" s="1">
        <f t="shared" si="343"/>
        <v>0</v>
      </c>
      <c r="BA484" s="1">
        <f t="shared" si="344"/>
        <v>0</v>
      </c>
      <c r="BB484" s="5">
        <v>1</v>
      </c>
      <c r="BC484" s="5">
        <v>0</v>
      </c>
      <c r="BD484" s="5">
        <v>0</v>
      </c>
      <c r="BE484" s="5">
        <f t="shared" ref="BE484" si="365">1-SUM(BB484:BD484)</f>
        <v>0</v>
      </c>
      <c r="BF484" s="5">
        <v>0</v>
      </c>
      <c r="BG484" s="5">
        <f t="shared" si="336"/>
        <v>0</v>
      </c>
      <c r="BH484" s="5">
        <f t="shared" si="336"/>
        <v>0</v>
      </c>
      <c r="BI484" s="5">
        <f t="shared" si="336"/>
        <v>0</v>
      </c>
      <c r="BJ484" s="5">
        <f t="shared" si="336"/>
        <v>0</v>
      </c>
      <c r="BK484" s="5">
        <f t="shared" si="336"/>
        <v>0</v>
      </c>
      <c r="BL484" s="5">
        <f t="shared" si="336"/>
        <v>0</v>
      </c>
      <c r="BM484" s="5">
        <f t="shared" si="336"/>
        <v>0</v>
      </c>
      <c r="BN484" s="5">
        <f t="shared" ref="BN484:CB499" si="366">IF($E484=BN$2,1,0)</f>
        <v>0</v>
      </c>
      <c r="BO484" s="5">
        <f t="shared" si="366"/>
        <v>0</v>
      </c>
      <c r="BP484" s="5">
        <f t="shared" si="366"/>
        <v>0</v>
      </c>
      <c r="BQ484" s="5">
        <f t="shared" si="366"/>
        <v>0</v>
      </c>
      <c r="BR484" s="5">
        <f t="shared" si="366"/>
        <v>0</v>
      </c>
      <c r="BS484" s="5">
        <f t="shared" si="366"/>
        <v>0</v>
      </c>
      <c r="BT484" s="5">
        <f t="shared" si="366"/>
        <v>0</v>
      </c>
      <c r="BU484" s="5">
        <f t="shared" si="366"/>
        <v>0</v>
      </c>
      <c r="BV484" s="5">
        <f t="shared" si="366"/>
        <v>0</v>
      </c>
      <c r="BW484" s="5">
        <f t="shared" si="366"/>
        <v>0</v>
      </c>
      <c r="BX484" s="5">
        <f t="shared" si="366"/>
        <v>0</v>
      </c>
      <c r="BY484" s="5">
        <f t="shared" si="366"/>
        <v>0</v>
      </c>
      <c r="BZ484" s="5">
        <f t="shared" si="366"/>
        <v>0</v>
      </c>
      <c r="CA484" s="5">
        <f t="shared" si="366"/>
        <v>1</v>
      </c>
      <c r="CB484" s="5">
        <f t="shared" si="334"/>
        <v>0</v>
      </c>
      <c r="CC484" s="5">
        <f t="shared" si="334"/>
        <v>0</v>
      </c>
      <c r="CD484" s="5">
        <f t="shared" si="334"/>
        <v>0</v>
      </c>
      <c r="CE484" s="5">
        <f t="shared" si="334"/>
        <v>0</v>
      </c>
    </row>
    <row r="485" spans="1:83" x14ac:dyDescent="0.2">
      <c r="A485" s="11"/>
      <c r="B485" s="11"/>
      <c r="C485" s="1">
        <f>Growth!D490</f>
        <v>0</v>
      </c>
      <c r="D485" s="5" t="b">
        <f t="shared" si="316"/>
        <v>0</v>
      </c>
      <c r="E485" s="5">
        <v>2011</v>
      </c>
      <c r="F485" s="5">
        <f ca="1">LOOKUP($E485,frequence!$A$2:$A$35,frequence!L$2:L$35)</f>
        <v>33.053542446246631</v>
      </c>
      <c r="G485" s="5">
        <f ca="1">LOOKUP($E485,frequence!$A$2:$A$35,frequence!K$2:K$35)</f>
        <v>2.1388579511305732</v>
      </c>
      <c r="H485" s="5">
        <f ca="1">LOOKUP($E485,frequence!$A$2:$A$35,frequence!M$2:M$35)</f>
        <v>182.11948132765423</v>
      </c>
      <c r="I485" s="5">
        <v>2005</v>
      </c>
      <c r="J485" s="7">
        <f>LOOKUP(I485,CPI!A$69:A$103,CPI!O$69:O$103)</f>
        <v>1.1165181771633383</v>
      </c>
      <c r="K485" s="5">
        <v>2009</v>
      </c>
      <c r="L485" s="7">
        <f t="shared" ca="1" si="317"/>
        <v>1</v>
      </c>
      <c r="M485" s="7">
        <f t="shared" si="333"/>
        <v>3.05</v>
      </c>
      <c r="N485" s="14">
        <v>0.5</v>
      </c>
      <c r="O485" s="1">
        <f ca="1">P485*J485*(1+Growth!G$6)^(2010-K485)</f>
        <v>59.945690888914022</v>
      </c>
      <c r="P485" s="2">
        <f t="shared" ref="P485" si="367">Q485</f>
        <v>52.89</v>
      </c>
      <c r="Q485" s="3">
        <v>52.89</v>
      </c>
      <c r="R485" s="21">
        <f t="shared" ca="1" si="318"/>
        <v>3593.4858561492297</v>
      </c>
      <c r="U485" s="1">
        <v>5</v>
      </c>
      <c r="X485" s="2">
        <f t="shared" si="329"/>
        <v>52.89</v>
      </c>
      <c r="AA485" s="1">
        <v>130</v>
      </c>
      <c r="AC485" s="1">
        <f t="shared" ref="AC485" si="368">SUM(AD485:AI485)</f>
        <v>6.1</v>
      </c>
      <c r="AD485" s="5">
        <v>1</v>
      </c>
      <c r="AE485" s="5">
        <v>0</v>
      </c>
      <c r="AF485" s="5">
        <v>1</v>
      </c>
      <c r="AG485" s="5">
        <v>0</v>
      </c>
      <c r="AH485" s="5">
        <v>1</v>
      </c>
      <c r="AI485" s="3">
        <f t="shared" si="313"/>
        <v>3.1</v>
      </c>
      <c r="AJ485" s="5">
        <f t="shared" si="337"/>
        <v>0</v>
      </c>
      <c r="AK485" s="5">
        <f t="shared" si="319"/>
        <v>0</v>
      </c>
      <c r="AL485" s="5">
        <f t="shared" si="320"/>
        <v>0</v>
      </c>
      <c r="AM485" s="5">
        <f t="shared" si="339"/>
        <v>1</v>
      </c>
      <c r="AN485" s="5">
        <f t="shared" si="321"/>
        <v>0</v>
      </c>
      <c r="AO485" s="5">
        <f t="shared" si="340"/>
        <v>0</v>
      </c>
      <c r="AP485" s="11" t="s">
        <v>42</v>
      </c>
      <c r="AQ485" s="1">
        <v>1</v>
      </c>
      <c r="AR485" s="5">
        <v>1</v>
      </c>
      <c r="AS485" s="5">
        <v>0</v>
      </c>
      <c r="AT485" s="5">
        <v>1</v>
      </c>
      <c r="AU485" s="5">
        <v>0</v>
      </c>
      <c r="AV485" s="5">
        <v>0</v>
      </c>
      <c r="AW485" s="5">
        <v>0</v>
      </c>
      <c r="AX485" s="5">
        <v>1</v>
      </c>
      <c r="AY485" s="1">
        <f t="shared" ref="AY485" si="369">AJ485*$AD485*(1-$AV485)*(1-$AR485)</f>
        <v>0</v>
      </c>
      <c r="AZ485" s="1">
        <f t="shared" ref="AZ485" si="370">AM485*$AD485*(1-$AV485)*(1-$AR485)</f>
        <v>0</v>
      </c>
      <c r="BA485" s="1">
        <f t="shared" ref="BA485" si="371">AO485*$AD485*(1-$AV485)*(1-$AR485)</f>
        <v>0</v>
      </c>
      <c r="BB485" s="5">
        <v>1</v>
      </c>
      <c r="BC485" s="5">
        <v>0</v>
      </c>
      <c r="BD485" s="5">
        <v>0</v>
      </c>
      <c r="BE485" s="5">
        <f t="shared" ref="BE485" si="372">1-SUM(BB485:BD485)</f>
        <v>0</v>
      </c>
      <c r="BF485" s="5">
        <v>0</v>
      </c>
      <c r="BG485" s="5">
        <f t="shared" ref="BG485:BN500" si="373">IF($E485=BG$2,1,0)</f>
        <v>0</v>
      </c>
      <c r="BH485" s="5">
        <f t="shared" si="373"/>
        <v>0</v>
      </c>
      <c r="BI485" s="5">
        <f t="shared" si="373"/>
        <v>0</v>
      </c>
      <c r="BJ485" s="5">
        <f t="shared" si="373"/>
        <v>0</v>
      </c>
      <c r="BK485" s="5">
        <f t="shared" si="373"/>
        <v>0</v>
      </c>
      <c r="BL485" s="5">
        <f t="shared" si="373"/>
        <v>0</v>
      </c>
      <c r="BM485" s="5">
        <f t="shared" si="373"/>
        <v>0</v>
      </c>
      <c r="BN485" s="5">
        <f t="shared" si="366"/>
        <v>0</v>
      </c>
      <c r="BO485" s="5">
        <f t="shared" si="366"/>
        <v>0</v>
      </c>
      <c r="BP485" s="5">
        <f t="shared" si="366"/>
        <v>0</v>
      </c>
      <c r="BQ485" s="5">
        <f t="shared" si="366"/>
        <v>0</v>
      </c>
      <c r="BR485" s="5">
        <f t="shared" si="366"/>
        <v>0</v>
      </c>
      <c r="BS485" s="5">
        <f t="shared" si="366"/>
        <v>0</v>
      </c>
      <c r="BT485" s="5">
        <f t="shared" si="366"/>
        <v>0</v>
      </c>
      <c r="BU485" s="5">
        <f t="shared" si="366"/>
        <v>0</v>
      </c>
      <c r="BV485" s="5">
        <f t="shared" si="366"/>
        <v>0</v>
      </c>
      <c r="BW485" s="5">
        <f t="shared" si="366"/>
        <v>0</v>
      </c>
      <c r="BX485" s="5">
        <f t="shared" si="366"/>
        <v>0</v>
      </c>
      <c r="BY485" s="5">
        <f t="shared" si="366"/>
        <v>0</v>
      </c>
      <c r="BZ485" s="5">
        <f t="shared" si="366"/>
        <v>0</v>
      </c>
      <c r="CA485" s="5">
        <f t="shared" si="366"/>
        <v>1</v>
      </c>
      <c r="CB485" s="5">
        <f t="shared" si="334"/>
        <v>0</v>
      </c>
      <c r="CC485" s="5">
        <f t="shared" si="334"/>
        <v>0</v>
      </c>
      <c r="CD485" s="5">
        <f t="shared" si="334"/>
        <v>0</v>
      </c>
      <c r="CE485" s="5">
        <f t="shared" si="334"/>
        <v>0</v>
      </c>
    </row>
    <row r="486" spans="1:83" x14ac:dyDescent="0.2">
      <c r="A486" s="11" t="s">
        <v>111</v>
      </c>
      <c r="B486" s="11" t="s">
        <v>112</v>
      </c>
      <c r="C486" s="1">
        <f>Growth!D491</f>
        <v>3.7037037037037038E-3</v>
      </c>
      <c r="D486" s="5">
        <f t="shared" si="316"/>
        <v>2012</v>
      </c>
      <c r="E486" s="5">
        <v>2012</v>
      </c>
      <c r="F486" s="5">
        <f ca="1">LOOKUP($E486,frequence!$A$2:$A$35,frequence!L$2:L$35)</f>
        <v>41.545638202606931</v>
      </c>
      <c r="G486" s="5">
        <f ca="1">LOOKUP($E486,frequence!$A$2:$A$35,frequence!K$2:K$35)</f>
        <v>3.8191206393393822</v>
      </c>
      <c r="H486" s="5">
        <f ca="1">LOOKUP($E486,frequence!$A$2:$A$35,frequence!M$2:M$35)</f>
        <v>265.64322815143237</v>
      </c>
      <c r="I486" s="5">
        <v>2007</v>
      </c>
      <c r="J486" s="7">
        <f>LOOKUP(I486,CPI!A$69:A$103,CPI!O$69:O$103)</f>
        <v>1.0516730811895323</v>
      </c>
      <c r="K486" s="5">
        <v>2010</v>
      </c>
      <c r="L486" s="7">
        <f t="shared" ca="1" si="317"/>
        <v>1</v>
      </c>
      <c r="M486" s="7">
        <f t="shared" si="333"/>
        <v>2.2962962962962963E-2</v>
      </c>
      <c r="N486" s="14">
        <f>0.05*2*1/27</f>
        <v>3.7037037037037038E-3</v>
      </c>
      <c r="O486" s="1">
        <f ca="1">P486*J486*(1+Growth!G$6)^(2010-K486)</f>
        <v>277.64169343403654</v>
      </c>
      <c r="P486" s="11">
        <v>264</v>
      </c>
      <c r="Q486" s="2">
        <f t="shared" ref="Q486:Q519" si="374">P486</f>
        <v>264</v>
      </c>
      <c r="R486" s="21">
        <f t="shared" ca="1" si="318"/>
        <v>77084.909932919531</v>
      </c>
      <c r="X486" s="2">
        <f t="shared" si="329"/>
        <v>264</v>
      </c>
      <c r="AC486" s="1">
        <f t="shared" ref="AC486:AC501" si="375">SUM(AD486:AI486)</f>
        <v>6.2</v>
      </c>
      <c r="AD486" s="5">
        <v>1</v>
      </c>
      <c r="AE486" s="5">
        <v>0</v>
      </c>
      <c r="AF486" s="5">
        <v>1</v>
      </c>
      <c r="AG486" s="5">
        <v>0</v>
      </c>
      <c r="AH486" s="5">
        <v>1</v>
      </c>
      <c r="AI486" s="3">
        <f t="shared" si="313"/>
        <v>3.2</v>
      </c>
      <c r="AJ486" s="5">
        <f t="shared" si="337"/>
        <v>0</v>
      </c>
      <c r="AK486" s="5">
        <f t="shared" si="319"/>
        <v>0</v>
      </c>
      <c r="AL486" s="5">
        <f t="shared" si="320"/>
        <v>0</v>
      </c>
      <c r="AM486" s="5">
        <f t="shared" si="339"/>
        <v>0</v>
      </c>
      <c r="AN486" s="5">
        <f t="shared" si="321"/>
        <v>0</v>
      </c>
      <c r="AO486" s="5">
        <f t="shared" si="340"/>
        <v>0</v>
      </c>
      <c r="AP486" s="1">
        <v>1.5</v>
      </c>
      <c r="AQ486" s="1">
        <v>-0.5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1</v>
      </c>
      <c r="AY486" s="1">
        <f t="shared" ref="AY486:AY501" si="376">AJ486*$AD486*(1-$AV486)*(1-$AR486)</f>
        <v>0</v>
      </c>
      <c r="AZ486" s="1">
        <f t="shared" ref="AZ486:AZ501" si="377">AM486*$AD486*(1-$AV486)*(1-$AR486)</f>
        <v>0</v>
      </c>
      <c r="BA486" s="1">
        <f t="shared" ref="BA486:BA501" si="378">AO486*$AD486*(1-$AV486)*(1-$AR486)</f>
        <v>0</v>
      </c>
      <c r="BB486" s="5">
        <v>0</v>
      </c>
      <c r="BC486" s="5">
        <v>0</v>
      </c>
      <c r="BD486" s="5">
        <v>0</v>
      </c>
      <c r="BE486" s="5">
        <f t="shared" ref="BE486:BE501" si="379">1-SUM(BB486:BD486)</f>
        <v>1</v>
      </c>
      <c r="BF486" s="5">
        <v>0</v>
      </c>
      <c r="BG486" s="5">
        <f t="shared" si="373"/>
        <v>0</v>
      </c>
      <c r="BH486" s="5">
        <f t="shared" si="373"/>
        <v>0</v>
      </c>
      <c r="BI486" s="5">
        <f t="shared" si="373"/>
        <v>0</v>
      </c>
      <c r="BJ486" s="5">
        <f t="shared" si="373"/>
        <v>0</v>
      </c>
      <c r="BK486" s="5">
        <f t="shared" si="373"/>
        <v>0</v>
      </c>
      <c r="BL486" s="5">
        <f t="shared" si="373"/>
        <v>0</v>
      </c>
      <c r="BM486" s="5">
        <f t="shared" si="373"/>
        <v>0</v>
      </c>
      <c r="BN486" s="5">
        <f t="shared" si="366"/>
        <v>0</v>
      </c>
      <c r="BO486" s="5">
        <f t="shared" si="366"/>
        <v>0</v>
      </c>
      <c r="BP486" s="5">
        <f t="shared" si="366"/>
        <v>0</v>
      </c>
      <c r="BQ486" s="5">
        <f t="shared" si="366"/>
        <v>0</v>
      </c>
      <c r="BR486" s="5">
        <f t="shared" si="366"/>
        <v>0</v>
      </c>
      <c r="BS486" s="5">
        <f t="shared" si="366"/>
        <v>0</v>
      </c>
      <c r="BT486" s="5">
        <f t="shared" si="366"/>
        <v>0</v>
      </c>
      <c r="BU486" s="5">
        <f t="shared" si="366"/>
        <v>0</v>
      </c>
      <c r="BV486" s="5">
        <f t="shared" si="366"/>
        <v>0</v>
      </c>
      <c r="BW486" s="5">
        <f t="shared" si="366"/>
        <v>0</v>
      </c>
      <c r="BX486" s="5">
        <f t="shared" si="366"/>
        <v>0</v>
      </c>
      <c r="BY486" s="5">
        <f t="shared" si="366"/>
        <v>0</v>
      </c>
      <c r="BZ486" s="5">
        <f t="shared" si="366"/>
        <v>0</v>
      </c>
      <c r="CA486" s="5">
        <f t="shared" si="366"/>
        <v>0</v>
      </c>
      <c r="CB486" s="5">
        <f t="shared" si="334"/>
        <v>1</v>
      </c>
      <c r="CC486" s="5">
        <f t="shared" si="334"/>
        <v>0</v>
      </c>
      <c r="CD486" s="5">
        <f t="shared" si="334"/>
        <v>0</v>
      </c>
      <c r="CE486" s="5">
        <f t="shared" si="334"/>
        <v>0</v>
      </c>
    </row>
    <row r="487" spans="1:83" x14ac:dyDescent="0.2">
      <c r="A487" s="11"/>
      <c r="B487" s="11"/>
      <c r="C487" s="1">
        <f>Growth!D492</f>
        <v>7.0370370370370361E-2</v>
      </c>
      <c r="D487" s="5" t="b">
        <f t="shared" si="316"/>
        <v>0</v>
      </c>
      <c r="E487" s="5">
        <v>2012</v>
      </c>
      <c r="F487" s="5">
        <f ca="1">LOOKUP($E487,frequence!$A$2:$A$35,frequence!L$2:L$35)</f>
        <v>41.545638202606931</v>
      </c>
      <c r="G487" s="5">
        <f ca="1">LOOKUP($E487,frequence!$A$2:$A$35,frequence!K$2:K$35)</f>
        <v>3.8191206393393822</v>
      </c>
      <c r="H487" s="5">
        <f ca="1">LOOKUP($E487,frequence!$A$2:$A$35,frequence!M$2:M$35)</f>
        <v>265.64322815143237</v>
      </c>
      <c r="I487" s="5">
        <v>2007</v>
      </c>
      <c r="J487" s="7">
        <f>LOOKUP(I487,CPI!A$69:A$103,CPI!O$69:O$103)</f>
        <v>1.0516730811895323</v>
      </c>
      <c r="K487" s="5">
        <v>2010</v>
      </c>
      <c r="L487" s="7">
        <f t="shared" ca="1" si="317"/>
        <v>1</v>
      </c>
      <c r="M487" s="7">
        <f t="shared" si="333"/>
        <v>0.43629629629629624</v>
      </c>
      <c r="N487" s="14">
        <f>0.95*2*1/27</f>
        <v>7.0370370370370361E-2</v>
      </c>
      <c r="O487" s="1">
        <f ca="1">P487*J487*(1+Growth!G$6)^(2010-K487)</f>
        <v>124.0974235803648</v>
      </c>
      <c r="P487" s="11">
        <v>118</v>
      </c>
      <c r="Q487" s="2">
        <f t="shared" si="374"/>
        <v>118</v>
      </c>
      <c r="R487" s="21">
        <f t="shared" ca="1" si="318"/>
        <v>15400.170539284483</v>
      </c>
      <c r="X487" s="2">
        <f t="shared" si="329"/>
        <v>118</v>
      </c>
      <c r="AC487" s="1">
        <f t="shared" si="375"/>
        <v>6.2</v>
      </c>
      <c r="AD487" s="5">
        <v>1</v>
      </c>
      <c r="AE487" s="5">
        <v>0</v>
      </c>
      <c r="AF487" s="5">
        <v>1</v>
      </c>
      <c r="AG487" s="5">
        <v>0</v>
      </c>
      <c r="AH487" s="5">
        <v>1</v>
      </c>
      <c r="AI487" s="3">
        <f t="shared" si="313"/>
        <v>3.2</v>
      </c>
      <c r="AJ487" s="5">
        <f t="shared" si="337"/>
        <v>0</v>
      </c>
      <c r="AK487" s="5">
        <f t="shared" si="319"/>
        <v>0</v>
      </c>
      <c r="AL487" s="5">
        <f t="shared" si="320"/>
        <v>0</v>
      </c>
      <c r="AM487" s="5">
        <f t="shared" si="339"/>
        <v>0</v>
      </c>
      <c r="AN487" s="5">
        <f t="shared" si="321"/>
        <v>0</v>
      </c>
      <c r="AO487" s="5">
        <f t="shared" si="340"/>
        <v>0</v>
      </c>
      <c r="AP487" s="1">
        <v>1.5</v>
      </c>
      <c r="AQ487" s="1">
        <v>-0.5</v>
      </c>
      <c r="AR487" s="5">
        <v>0</v>
      </c>
      <c r="AS487" s="5">
        <v>0</v>
      </c>
      <c r="AT487" s="5">
        <v>1</v>
      </c>
      <c r="AU487" s="5">
        <v>0</v>
      </c>
      <c r="AV487" s="5">
        <v>0</v>
      </c>
      <c r="AW487" s="5">
        <v>0</v>
      </c>
      <c r="AX487" s="5">
        <v>1</v>
      </c>
      <c r="AY487" s="1">
        <f t="shared" si="376"/>
        <v>0</v>
      </c>
      <c r="AZ487" s="1">
        <f t="shared" si="377"/>
        <v>0</v>
      </c>
      <c r="BA487" s="1">
        <f t="shared" si="378"/>
        <v>0</v>
      </c>
      <c r="BB487" s="5">
        <v>0</v>
      </c>
      <c r="BC487" s="5">
        <v>0</v>
      </c>
      <c r="BD487" s="5">
        <v>0</v>
      </c>
      <c r="BE487" s="5">
        <f t="shared" si="379"/>
        <v>1</v>
      </c>
      <c r="BF487" s="5">
        <v>0</v>
      </c>
      <c r="BG487" s="5">
        <f t="shared" si="373"/>
        <v>0</v>
      </c>
      <c r="BH487" s="5">
        <f t="shared" si="373"/>
        <v>0</v>
      </c>
      <c r="BI487" s="5">
        <f t="shared" si="373"/>
        <v>0</v>
      </c>
      <c r="BJ487" s="5">
        <f t="shared" si="373"/>
        <v>0</v>
      </c>
      <c r="BK487" s="5">
        <f t="shared" si="373"/>
        <v>0</v>
      </c>
      <c r="BL487" s="5">
        <f t="shared" si="373"/>
        <v>0</v>
      </c>
      <c r="BM487" s="5">
        <f t="shared" si="373"/>
        <v>0</v>
      </c>
      <c r="BN487" s="5">
        <f t="shared" si="366"/>
        <v>0</v>
      </c>
      <c r="BO487" s="5">
        <f t="shared" si="366"/>
        <v>0</v>
      </c>
      <c r="BP487" s="5">
        <f t="shared" si="366"/>
        <v>0</v>
      </c>
      <c r="BQ487" s="5">
        <f t="shared" si="366"/>
        <v>0</v>
      </c>
      <c r="BR487" s="5">
        <f t="shared" si="366"/>
        <v>0</v>
      </c>
      <c r="BS487" s="5">
        <f t="shared" si="366"/>
        <v>0</v>
      </c>
      <c r="BT487" s="5">
        <f t="shared" si="366"/>
        <v>0</v>
      </c>
      <c r="BU487" s="5">
        <f t="shared" si="366"/>
        <v>0</v>
      </c>
      <c r="BV487" s="5">
        <f t="shared" si="366"/>
        <v>0</v>
      </c>
      <c r="BW487" s="5">
        <f t="shared" si="366"/>
        <v>0</v>
      </c>
      <c r="BX487" s="5">
        <f t="shared" si="366"/>
        <v>0</v>
      </c>
      <c r="BY487" s="5">
        <f t="shared" si="366"/>
        <v>0</v>
      </c>
      <c r="BZ487" s="5">
        <f t="shared" si="366"/>
        <v>0</v>
      </c>
      <c r="CA487" s="5">
        <f t="shared" si="366"/>
        <v>0</v>
      </c>
      <c r="CB487" s="5">
        <f t="shared" si="366"/>
        <v>1</v>
      </c>
      <c r="CC487" s="5">
        <f t="shared" ref="CC487:CE506" si="380">IF($E487=CC$2,1,0)</f>
        <v>0</v>
      </c>
      <c r="CD487" s="5">
        <f t="shared" si="380"/>
        <v>0</v>
      </c>
      <c r="CE487" s="5">
        <f t="shared" si="380"/>
        <v>0</v>
      </c>
    </row>
    <row r="488" spans="1:83" x14ac:dyDescent="0.2">
      <c r="A488" s="11"/>
      <c r="B488" s="11"/>
      <c r="C488" s="1">
        <f>Growth!D493</f>
        <v>1.8518518518518519E-3</v>
      </c>
      <c r="D488" s="5" t="b">
        <f t="shared" si="316"/>
        <v>0</v>
      </c>
      <c r="E488" s="5">
        <v>2012</v>
      </c>
      <c r="F488" s="5">
        <f ca="1">LOOKUP($E488,frequence!$A$2:$A$35,frequence!L$2:L$35)</f>
        <v>41.545638202606931</v>
      </c>
      <c r="G488" s="5">
        <f ca="1">LOOKUP($E488,frequence!$A$2:$A$35,frequence!K$2:K$35)</f>
        <v>3.8191206393393822</v>
      </c>
      <c r="H488" s="5">
        <f ca="1">LOOKUP($E488,frequence!$A$2:$A$35,frequence!M$2:M$35)</f>
        <v>265.64322815143237</v>
      </c>
      <c r="I488" s="5">
        <v>2007</v>
      </c>
      <c r="J488" s="7">
        <f>LOOKUP(I488,CPI!A$69:A$103,CPI!O$69:O$103)</f>
        <v>1.0516730811895323</v>
      </c>
      <c r="K488" s="5">
        <v>2010</v>
      </c>
      <c r="L488" s="7">
        <f t="shared" ca="1" si="317"/>
        <v>1</v>
      </c>
      <c r="M488" s="7">
        <f t="shared" si="333"/>
        <v>1.1481481481481481E-2</v>
      </c>
      <c r="N488" s="14">
        <f>0.05*1*1/27</f>
        <v>1.8518518518518519E-3</v>
      </c>
      <c r="O488" s="1">
        <f ca="1">P488*J488*(1+Growth!G$6)^(2010-K488)</f>
        <v>58.893692546613806</v>
      </c>
      <c r="P488" s="11">
        <v>56</v>
      </c>
      <c r="Q488" s="2">
        <f t="shared" si="374"/>
        <v>56</v>
      </c>
      <c r="R488" s="21">
        <f t="shared" ca="1" si="318"/>
        <v>3468.4670217750745</v>
      </c>
      <c r="X488" s="2">
        <f t="shared" si="329"/>
        <v>56</v>
      </c>
      <c r="AC488" s="1">
        <f t="shared" si="375"/>
        <v>6.2</v>
      </c>
      <c r="AD488" s="5">
        <v>1</v>
      </c>
      <c r="AE488" s="5">
        <v>0</v>
      </c>
      <c r="AF488" s="5">
        <v>1</v>
      </c>
      <c r="AG488" s="5">
        <v>0</v>
      </c>
      <c r="AH488" s="5">
        <v>1</v>
      </c>
      <c r="AI488" s="3">
        <f t="shared" si="313"/>
        <v>3.2</v>
      </c>
      <c r="AJ488" s="5">
        <f t="shared" si="337"/>
        <v>0</v>
      </c>
      <c r="AK488" s="5">
        <f t="shared" si="319"/>
        <v>0</v>
      </c>
      <c r="AL488" s="5">
        <f t="shared" si="320"/>
        <v>0</v>
      </c>
      <c r="AM488" s="5">
        <f t="shared" si="339"/>
        <v>1</v>
      </c>
      <c r="AN488" s="5">
        <f t="shared" si="321"/>
        <v>0</v>
      </c>
      <c r="AO488" s="5">
        <f t="shared" si="340"/>
        <v>0</v>
      </c>
      <c r="AP488" s="1">
        <v>3</v>
      </c>
      <c r="AQ488" s="1">
        <v>1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1</v>
      </c>
      <c r="AY488" s="1">
        <f t="shared" si="376"/>
        <v>0</v>
      </c>
      <c r="AZ488" s="1">
        <f t="shared" si="377"/>
        <v>1</v>
      </c>
      <c r="BA488" s="1">
        <f t="shared" si="378"/>
        <v>0</v>
      </c>
      <c r="BB488" s="5">
        <v>0</v>
      </c>
      <c r="BC488" s="5">
        <v>0</v>
      </c>
      <c r="BD488" s="5">
        <v>0</v>
      </c>
      <c r="BE488" s="5">
        <f t="shared" si="379"/>
        <v>1</v>
      </c>
      <c r="BF488" s="5">
        <v>0</v>
      </c>
      <c r="BG488" s="5">
        <f t="shared" si="373"/>
        <v>0</v>
      </c>
      <c r="BH488" s="5">
        <f t="shared" si="373"/>
        <v>0</v>
      </c>
      <c r="BI488" s="5">
        <f t="shared" si="373"/>
        <v>0</v>
      </c>
      <c r="BJ488" s="5">
        <f t="shared" si="373"/>
        <v>0</v>
      </c>
      <c r="BK488" s="5">
        <f t="shared" si="373"/>
        <v>0</v>
      </c>
      <c r="BL488" s="5">
        <f t="shared" si="373"/>
        <v>0</v>
      </c>
      <c r="BM488" s="5">
        <f t="shared" si="373"/>
        <v>0</v>
      </c>
      <c r="BN488" s="5">
        <f t="shared" si="366"/>
        <v>0</v>
      </c>
      <c r="BO488" s="5">
        <f t="shared" si="366"/>
        <v>0</v>
      </c>
      <c r="BP488" s="5">
        <f t="shared" si="366"/>
        <v>0</v>
      </c>
      <c r="BQ488" s="5">
        <f t="shared" si="366"/>
        <v>0</v>
      </c>
      <c r="BR488" s="5">
        <f t="shared" si="366"/>
        <v>0</v>
      </c>
      <c r="BS488" s="5">
        <f t="shared" si="366"/>
        <v>0</v>
      </c>
      <c r="BT488" s="5">
        <f t="shared" si="366"/>
        <v>0</v>
      </c>
      <c r="BU488" s="5">
        <f t="shared" si="366"/>
        <v>0</v>
      </c>
      <c r="BV488" s="5">
        <f t="shared" si="366"/>
        <v>0</v>
      </c>
      <c r="BW488" s="5">
        <f t="shared" si="366"/>
        <v>0</v>
      </c>
      <c r="BX488" s="5">
        <f t="shared" si="366"/>
        <v>0</v>
      </c>
      <c r="BY488" s="5">
        <f t="shared" si="366"/>
        <v>0</v>
      </c>
      <c r="BZ488" s="5">
        <f t="shared" si="366"/>
        <v>0</v>
      </c>
      <c r="CA488" s="5">
        <f t="shared" si="366"/>
        <v>0</v>
      </c>
      <c r="CB488" s="5">
        <f t="shared" si="366"/>
        <v>1</v>
      </c>
      <c r="CC488" s="5">
        <f t="shared" si="380"/>
        <v>0</v>
      </c>
      <c r="CD488" s="5">
        <f t="shared" si="380"/>
        <v>0</v>
      </c>
      <c r="CE488" s="5">
        <f t="shared" si="380"/>
        <v>0</v>
      </c>
    </row>
    <row r="489" spans="1:83" x14ac:dyDescent="0.2">
      <c r="A489" s="11"/>
      <c r="B489" s="11"/>
      <c r="C489" s="1">
        <f>Growth!D494</f>
        <v>3.518518518518518E-2</v>
      </c>
      <c r="D489" s="5" t="b">
        <f t="shared" si="316"/>
        <v>0</v>
      </c>
      <c r="E489" s="5">
        <v>2012</v>
      </c>
      <c r="F489" s="5">
        <f ca="1">LOOKUP($E489,frequence!$A$2:$A$35,frequence!L$2:L$35)</f>
        <v>41.545638202606931</v>
      </c>
      <c r="G489" s="5">
        <f ca="1">LOOKUP($E489,frequence!$A$2:$A$35,frequence!K$2:K$35)</f>
        <v>3.8191206393393822</v>
      </c>
      <c r="H489" s="5">
        <f ca="1">LOOKUP($E489,frequence!$A$2:$A$35,frequence!M$2:M$35)</f>
        <v>265.64322815143237</v>
      </c>
      <c r="I489" s="5">
        <v>2007</v>
      </c>
      <c r="J489" s="7">
        <f>LOOKUP(I489,CPI!A$69:A$103,CPI!O$69:O$103)</f>
        <v>1.0516730811895323</v>
      </c>
      <c r="K489" s="5">
        <v>2010</v>
      </c>
      <c r="L489" s="7">
        <f t="shared" ca="1" si="317"/>
        <v>1</v>
      </c>
      <c r="M489" s="7">
        <f t="shared" si="333"/>
        <v>0.21814814814814812</v>
      </c>
      <c r="N489" s="14">
        <f>0.95*1*1/27</f>
        <v>3.518518518518518E-2</v>
      </c>
      <c r="O489" s="1">
        <f ca="1">P489*J489*(1+Growth!G$6)^(2010-K489)</f>
        <v>29.446846273306903</v>
      </c>
      <c r="P489" s="11">
        <v>28</v>
      </c>
      <c r="Q489" s="2">
        <f t="shared" si="374"/>
        <v>28</v>
      </c>
      <c r="R489" s="21">
        <f t="shared" ca="1" si="318"/>
        <v>867.11675544376862</v>
      </c>
      <c r="X489" s="2">
        <f t="shared" si="329"/>
        <v>28</v>
      </c>
      <c r="AC489" s="1">
        <f t="shared" si="375"/>
        <v>6.2</v>
      </c>
      <c r="AD489" s="5">
        <v>1</v>
      </c>
      <c r="AE489" s="5">
        <v>0</v>
      </c>
      <c r="AF489" s="5">
        <v>1</v>
      </c>
      <c r="AG489" s="5">
        <v>0</v>
      </c>
      <c r="AH489" s="5">
        <v>1</v>
      </c>
      <c r="AI489" s="3">
        <f t="shared" si="313"/>
        <v>3.2</v>
      </c>
      <c r="AJ489" s="5">
        <f t="shared" si="337"/>
        <v>0</v>
      </c>
      <c r="AK489" s="5">
        <f t="shared" si="319"/>
        <v>0</v>
      </c>
      <c r="AL489" s="5">
        <f t="shared" si="320"/>
        <v>0</v>
      </c>
      <c r="AM489" s="5">
        <f t="shared" si="339"/>
        <v>1</v>
      </c>
      <c r="AN489" s="5">
        <f t="shared" si="321"/>
        <v>0</v>
      </c>
      <c r="AO489" s="5">
        <f t="shared" si="340"/>
        <v>0</v>
      </c>
      <c r="AP489" s="1">
        <v>3</v>
      </c>
      <c r="AQ489" s="1">
        <v>1</v>
      </c>
      <c r="AR489" s="5">
        <v>0</v>
      </c>
      <c r="AS489" s="5">
        <v>0</v>
      </c>
      <c r="AT489" s="5">
        <v>1</v>
      </c>
      <c r="AU489" s="5">
        <v>0</v>
      </c>
      <c r="AV489" s="5">
        <v>0</v>
      </c>
      <c r="AW489" s="5">
        <v>0</v>
      </c>
      <c r="AX489" s="5">
        <v>1</v>
      </c>
      <c r="AY489" s="1">
        <f t="shared" si="376"/>
        <v>0</v>
      </c>
      <c r="AZ489" s="1">
        <f t="shared" si="377"/>
        <v>1</v>
      </c>
      <c r="BA489" s="1">
        <f t="shared" si="378"/>
        <v>0</v>
      </c>
      <c r="BB489" s="5">
        <v>0</v>
      </c>
      <c r="BC489" s="5">
        <v>0</v>
      </c>
      <c r="BD489" s="5">
        <v>0</v>
      </c>
      <c r="BE489" s="5">
        <f t="shared" si="379"/>
        <v>1</v>
      </c>
      <c r="BF489" s="5">
        <v>0</v>
      </c>
      <c r="BG489" s="5">
        <f t="shared" si="373"/>
        <v>0</v>
      </c>
      <c r="BH489" s="5">
        <f t="shared" si="373"/>
        <v>0</v>
      </c>
      <c r="BI489" s="5">
        <f t="shared" si="373"/>
        <v>0</v>
      </c>
      <c r="BJ489" s="5">
        <f t="shared" si="373"/>
        <v>0</v>
      </c>
      <c r="BK489" s="5">
        <f t="shared" si="373"/>
        <v>0</v>
      </c>
      <c r="BL489" s="5">
        <f t="shared" si="373"/>
        <v>0</v>
      </c>
      <c r="BM489" s="5">
        <f t="shared" si="373"/>
        <v>0</v>
      </c>
      <c r="BN489" s="5">
        <f t="shared" si="366"/>
        <v>0</v>
      </c>
      <c r="BO489" s="5">
        <f t="shared" si="366"/>
        <v>0</v>
      </c>
      <c r="BP489" s="5">
        <f t="shared" si="366"/>
        <v>0</v>
      </c>
      <c r="BQ489" s="5">
        <f t="shared" si="366"/>
        <v>0</v>
      </c>
      <c r="BR489" s="5">
        <f t="shared" si="366"/>
        <v>0</v>
      </c>
      <c r="BS489" s="5">
        <f t="shared" si="366"/>
        <v>0</v>
      </c>
      <c r="BT489" s="5">
        <f t="shared" si="366"/>
        <v>0</v>
      </c>
      <c r="BU489" s="5">
        <f t="shared" si="366"/>
        <v>0</v>
      </c>
      <c r="BV489" s="5">
        <f t="shared" si="366"/>
        <v>0</v>
      </c>
      <c r="BW489" s="5">
        <f t="shared" si="366"/>
        <v>0</v>
      </c>
      <c r="BX489" s="5">
        <f t="shared" si="366"/>
        <v>0</v>
      </c>
      <c r="BY489" s="5">
        <f t="shared" si="366"/>
        <v>0</v>
      </c>
      <c r="BZ489" s="5">
        <f t="shared" si="366"/>
        <v>0</v>
      </c>
      <c r="CA489" s="5">
        <f t="shared" si="366"/>
        <v>0</v>
      </c>
      <c r="CB489" s="5">
        <f t="shared" si="366"/>
        <v>1</v>
      </c>
      <c r="CC489" s="5">
        <f t="shared" si="380"/>
        <v>0</v>
      </c>
      <c r="CD489" s="5">
        <f t="shared" si="380"/>
        <v>0</v>
      </c>
      <c r="CE489" s="5">
        <f t="shared" si="380"/>
        <v>0</v>
      </c>
    </row>
    <row r="490" spans="1:83" x14ac:dyDescent="0.2">
      <c r="A490" s="11"/>
      <c r="B490" s="11"/>
      <c r="C490" s="1">
        <f>Growth!D495</f>
        <v>7.4074074074074077E-3</v>
      </c>
      <c r="D490" s="5" t="b">
        <f t="shared" si="316"/>
        <v>0</v>
      </c>
      <c r="E490" s="5">
        <v>2012</v>
      </c>
      <c r="F490" s="5">
        <f ca="1">LOOKUP($E490,frequence!$A$2:$A$35,frequence!L$2:L$35)</f>
        <v>41.545638202606931</v>
      </c>
      <c r="G490" s="5">
        <f ca="1">LOOKUP($E490,frequence!$A$2:$A$35,frequence!K$2:K$35)</f>
        <v>3.8191206393393822</v>
      </c>
      <c r="H490" s="5">
        <f ca="1">LOOKUP($E490,frequence!$A$2:$A$35,frequence!M$2:M$35)</f>
        <v>265.64322815143237</v>
      </c>
      <c r="I490" s="5">
        <v>2007</v>
      </c>
      <c r="J490" s="7">
        <f>LOOKUP(I490,CPI!A$69:A$103,CPI!O$69:O$103)</f>
        <v>1.0516730811895323</v>
      </c>
      <c r="K490" s="5">
        <v>2010</v>
      </c>
      <c r="L490" s="7">
        <f t="shared" ca="1" si="317"/>
        <v>1</v>
      </c>
      <c r="M490" s="7">
        <f t="shared" si="333"/>
        <v>4.5925925925925926E-2</v>
      </c>
      <c r="N490" s="14">
        <f>0.05*2*2/27</f>
        <v>7.4074074074074077E-3</v>
      </c>
      <c r="O490" s="1">
        <f ca="1">P490*J490*(1+Growth!G$6)^(2010-K490)</f>
        <v>500.59638664621735</v>
      </c>
      <c r="P490" s="11">
        <v>476</v>
      </c>
      <c r="Q490" s="2">
        <f t="shared" si="374"/>
        <v>476</v>
      </c>
      <c r="R490" s="21">
        <f t="shared" ca="1" si="318"/>
        <v>250596.74232324914</v>
      </c>
      <c r="X490" s="2">
        <f t="shared" si="329"/>
        <v>476</v>
      </c>
      <c r="AC490" s="1">
        <f t="shared" si="375"/>
        <v>6.2</v>
      </c>
      <c r="AD490" s="5">
        <v>1</v>
      </c>
      <c r="AE490" s="5">
        <v>0</v>
      </c>
      <c r="AF490" s="5">
        <v>1</v>
      </c>
      <c r="AG490" s="5">
        <v>0</v>
      </c>
      <c r="AH490" s="5">
        <v>1</v>
      </c>
      <c r="AI490" s="3">
        <f t="shared" si="313"/>
        <v>3.2</v>
      </c>
      <c r="AJ490" s="5">
        <f t="shared" si="337"/>
        <v>0</v>
      </c>
      <c r="AK490" s="5">
        <f t="shared" si="319"/>
        <v>0</v>
      </c>
      <c r="AL490" s="5">
        <f t="shared" si="320"/>
        <v>0</v>
      </c>
      <c r="AM490" s="5">
        <f t="shared" si="339"/>
        <v>0</v>
      </c>
      <c r="AN490" s="5">
        <f t="shared" si="321"/>
        <v>0</v>
      </c>
      <c r="AO490" s="5">
        <f t="shared" si="340"/>
        <v>0</v>
      </c>
      <c r="AP490" s="1">
        <v>1.5</v>
      </c>
      <c r="AQ490" s="1">
        <v>-0.5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1</v>
      </c>
      <c r="AY490" s="1">
        <f t="shared" si="376"/>
        <v>0</v>
      </c>
      <c r="AZ490" s="1">
        <f t="shared" si="377"/>
        <v>0</v>
      </c>
      <c r="BA490" s="1">
        <f t="shared" si="378"/>
        <v>0</v>
      </c>
      <c r="BB490" s="5">
        <v>0</v>
      </c>
      <c r="BC490" s="5">
        <v>0</v>
      </c>
      <c r="BD490" s="5">
        <v>0</v>
      </c>
      <c r="BE490" s="5">
        <f t="shared" si="379"/>
        <v>1</v>
      </c>
      <c r="BF490" s="5">
        <v>0</v>
      </c>
      <c r="BG490" s="5">
        <f t="shared" si="373"/>
        <v>0</v>
      </c>
      <c r="BH490" s="5">
        <f t="shared" si="373"/>
        <v>0</v>
      </c>
      <c r="BI490" s="5">
        <f t="shared" si="373"/>
        <v>0</v>
      </c>
      <c r="BJ490" s="5">
        <f t="shared" si="373"/>
        <v>0</v>
      </c>
      <c r="BK490" s="5">
        <f t="shared" si="373"/>
        <v>0</v>
      </c>
      <c r="BL490" s="5">
        <f t="shared" si="373"/>
        <v>0</v>
      </c>
      <c r="BM490" s="5">
        <f t="shared" si="373"/>
        <v>0</v>
      </c>
      <c r="BN490" s="5">
        <f t="shared" si="366"/>
        <v>0</v>
      </c>
      <c r="BO490" s="5">
        <f t="shared" si="366"/>
        <v>0</v>
      </c>
      <c r="BP490" s="5">
        <f t="shared" si="366"/>
        <v>0</v>
      </c>
      <c r="BQ490" s="5">
        <f t="shared" si="366"/>
        <v>0</v>
      </c>
      <c r="BR490" s="5">
        <f t="shared" si="366"/>
        <v>0</v>
      </c>
      <c r="BS490" s="5">
        <f t="shared" si="366"/>
        <v>0</v>
      </c>
      <c r="BT490" s="5">
        <f t="shared" si="366"/>
        <v>0</v>
      </c>
      <c r="BU490" s="5">
        <f t="shared" si="366"/>
        <v>0</v>
      </c>
      <c r="BV490" s="5">
        <f t="shared" si="366"/>
        <v>0</v>
      </c>
      <c r="BW490" s="5">
        <f t="shared" si="366"/>
        <v>0</v>
      </c>
      <c r="BX490" s="5">
        <f t="shared" si="366"/>
        <v>0</v>
      </c>
      <c r="BY490" s="5">
        <f t="shared" si="366"/>
        <v>0</v>
      </c>
      <c r="BZ490" s="5">
        <f t="shared" si="366"/>
        <v>0</v>
      </c>
      <c r="CA490" s="5">
        <f t="shared" si="366"/>
        <v>0</v>
      </c>
      <c r="CB490" s="5">
        <f t="shared" si="366"/>
        <v>1</v>
      </c>
      <c r="CC490" s="5">
        <f t="shared" si="380"/>
        <v>0</v>
      </c>
      <c r="CD490" s="5">
        <f t="shared" si="380"/>
        <v>0</v>
      </c>
      <c r="CE490" s="5">
        <f t="shared" si="380"/>
        <v>0</v>
      </c>
    </row>
    <row r="491" spans="1:83" x14ac:dyDescent="0.2">
      <c r="A491" s="11"/>
      <c r="B491" s="11"/>
      <c r="C491" s="1">
        <f>Growth!D496</f>
        <v>0.14074074074074072</v>
      </c>
      <c r="D491" s="5" t="b">
        <f t="shared" si="316"/>
        <v>0</v>
      </c>
      <c r="E491" s="5">
        <v>2012</v>
      </c>
      <c r="F491" s="5">
        <f ca="1">LOOKUP($E491,frequence!$A$2:$A$35,frequence!L$2:L$35)</f>
        <v>41.545638202606931</v>
      </c>
      <c r="G491" s="5">
        <f ca="1">LOOKUP($E491,frequence!$A$2:$A$35,frequence!K$2:K$35)</f>
        <v>3.8191206393393822</v>
      </c>
      <c r="H491" s="5">
        <f ca="1">LOOKUP($E491,frequence!$A$2:$A$35,frequence!M$2:M$35)</f>
        <v>265.64322815143237</v>
      </c>
      <c r="I491" s="5">
        <v>2007</v>
      </c>
      <c r="J491" s="7">
        <f>LOOKUP(I491,CPI!A$69:A$103,CPI!O$69:O$103)</f>
        <v>1.0516730811895323</v>
      </c>
      <c r="K491" s="5">
        <v>2010</v>
      </c>
      <c r="L491" s="7">
        <f t="shared" ca="1" si="317"/>
        <v>1</v>
      </c>
      <c r="M491" s="7">
        <f t="shared" si="333"/>
        <v>0.87259259259259248</v>
      </c>
      <c r="N491" s="14">
        <f>0.95*2*2/27</f>
        <v>0.14074074074074072</v>
      </c>
      <c r="O491" s="1">
        <f ca="1">P491*J491*(1+Growth!G$6)^(2010-K491)</f>
        <v>253.45321256667728</v>
      </c>
      <c r="P491" s="11">
        <v>241</v>
      </c>
      <c r="Q491" s="2">
        <f t="shared" si="374"/>
        <v>241</v>
      </c>
      <c r="R491" s="21">
        <f t="shared" ca="1" si="318"/>
        <v>64238.530960369295</v>
      </c>
      <c r="X491" s="2">
        <f t="shared" si="329"/>
        <v>241</v>
      </c>
      <c r="AC491" s="1">
        <f t="shared" si="375"/>
        <v>6.2</v>
      </c>
      <c r="AD491" s="5">
        <v>1</v>
      </c>
      <c r="AE491" s="5">
        <v>0</v>
      </c>
      <c r="AF491" s="5">
        <v>1</v>
      </c>
      <c r="AG491" s="5">
        <v>0</v>
      </c>
      <c r="AH491" s="5">
        <v>1</v>
      </c>
      <c r="AI491" s="3">
        <f t="shared" si="313"/>
        <v>3.2</v>
      </c>
      <c r="AJ491" s="5">
        <f t="shared" si="337"/>
        <v>0</v>
      </c>
      <c r="AK491" s="5">
        <f t="shared" si="319"/>
        <v>0</v>
      </c>
      <c r="AL491" s="5">
        <f t="shared" si="320"/>
        <v>0</v>
      </c>
      <c r="AM491" s="5">
        <f t="shared" si="339"/>
        <v>0</v>
      </c>
      <c r="AN491" s="5">
        <f t="shared" si="321"/>
        <v>0</v>
      </c>
      <c r="AO491" s="5">
        <f t="shared" si="340"/>
        <v>0</v>
      </c>
      <c r="AP491" s="1">
        <v>1.5</v>
      </c>
      <c r="AQ491" s="1">
        <v>-0.5</v>
      </c>
      <c r="AR491" s="5">
        <v>0</v>
      </c>
      <c r="AS491" s="5">
        <v>0</v>
      </c>
      <c r="AT491" s="5">
        <v>1</v>
      </c>
      <c r="AU491" s="5">
        <v>0</v>
      </c>
      <c r="AV491" s="5">
        <v>0</v>
      </c>
      <c r="AW491" s="5">
        <v>0</v>
      </c>
      <c r="AX491" s="5">
        <v>1</v>
      </c>
      <c r="AY491" s="1">
        <f t="shared" si="376"/>
        <v>0</v>
      </c>
      <c r="AZ491" s="1">
        <f t="shared" si="377"/>
        <v>0</v>
      </c>
      <c r="BA491" s="1">
        <f t="shared" si="378"/>
        <v>0</v>
      </c>
      <c r="BB491" s="5">
        <v>0</v>
      </c>
      <c r="BC491" s="5">
        <v>0</v>
      </c>
      <c r="BD491" s="5">
        <v>0</v>
      </c>
      <c r="BE491" s="5">
        <f t="shared" si="379"/>
        <v>1</v>
      </c>
      <c r="BF491" s="5">
        <v>0</v>
      </c>
      <c r="BG491" s="5">
        <f t="shared" si="373"/>
        <v>0</v>
      </c>
      <c r="BH491" s="5">
        <f t="shared" si="373"/>
        <v>0</v>
      </c>
      <c r="BI491" s="5">
        <f t="shared" si="373"/>
        <v>0</v>
      </c>
      <c r="BJ491" s="5">
        <f t="shared" si="373"/>
        <v>0</v>
      </c>
      <c r="BK491" s="5">
        <f t="shared" si="373"/>
        <v>0</v>
      </c>
      <c r="BL491" s="5">
        <f t="shared" si="373"/>
        <v>0</v>
      </c>
      <c r="BM491" s="5">
        <f t="shared" si="373"/>
        <v>0</v>
      </c>
      <c r="BN491" s="5">
        <f t="shared" si="366"/>
        <v>0</v>
      </c>
      <c r="BO491" s="5">
        <f t="shared" si="366"/>
        <v>0</v>
      </c>
      <c r="BP491" s="5">
        <f t="shared" si="366"/>
        <v>0</v>
      </c>
      <c r="BQ491" s="5">
        <f t="shared" si="366"/>
        <v>0</v>
      </c>
      <c r="BR491" s="5">
        <f t="shared" si="366"/>
        <v>0</v>
      </c>
      <c r="BS491" s="5">
        <f t="shared" si="366"/>
        <v>0</v>
      </c>
      <c r="BT491" s="5">
        <f t="shared" si="366"/>
        <v>0</v>
      </c>
      <c r="BU491" s="5">
        <f t="shared" si="366"/>
        <v>0</v>
      </c>
      <c r="BV491" s="5">
        <f t="shared" si="366"/>
        <v>0</v>
      </c>
      <c r="BW491" s="5">
        <f t="shared" si="366"/>
        <v>0</v>
      </c>
      <c r="BX491" s="5">
        <f t="shared" si="366"/>
        <v>0</v>
      </c>
      <c r="BY491" s="5">
        <f t="shared" si="366"/>
        <v>0</v>
      </c>
      <c r="BZ491" s="5">
        <f t="shared" si="366"/>
        <v>0</v>
      </c>
      <c r="CA491" s="5">
        <f t="shared" si="366"/>
        <v>0</v>
      </c>
      <c r="CB491" s="5">
        <f t="shared" si="366"/>
        <v>1</v>
      </c>
      <c r="CC491" s="5">
        <f t="shared" si="380"/>
        <v>0</v>
      </c>
      <c r="CD491" s="5">
        <f t="shared" si="380"/>
        <v>0</v>
      </c>
      <c r="CE491" s="5">
        <f t="shared" si="380"/>
        <v>0</v>
      </c>
    </row>
    <row r="492" spans="1:83" x14ac:dyDescent="0.2">
      <c r="A492" s="11"/>
      <c r="B492" s="11"/>
      <c r="C492" s="1">
        <f>Growth!D497</f>
        <v>3.7037037037037038E-3</v>
      </c>
      <c r="D492" s="5" t="b">
        <f t="shared" si="316"/>
        <v>0</v>
      </c>
      <c r="E492" s="5">
        <v>2012</v>
      </c>
      <c r="F492" s="5">
        <f ca="1">LOOKUP($E492,frequence!$A$2:$A$35,frequence!L$2:L$35)</f>
        <v>41.545638202606931</v>
      </c>
      <c r="G492" s="5">
        <f ca="1">LOOKUP($E492,frequence!$A$2:$A$35,frequence!K$2:K$35)</f>
        <v>3.8191206393393822</v>
      </c>
      <c r="H492" s="5">
        <f ca="1">LOOKUP($E492,frequence!$A$2:$A$35,frequence!M$2:M$35)</f>
        <v>265.64322815143237</v>
      </c>
      <c r="I492" s="5">
        <v>2007</v>
      </c>
      <c r="J492" s="7">
        <f>LOOKUP(I492,CPI!A$69:A$103,CPI!O$69:O$103)</f>
        <v>1.0516730811895323</v>
      </c>
      <c r="K492" s="5">
        <v>2010</v>
      </c>
      <c r="L492" s="7">
        <f t="shared" ca="1" si="317"/>
        <v>1</v>
      </c>
      <c r="M492" s="7">
        <f t="shared" si="333"/>
        <v>2.2962962962962963E-2</v>
      </c>
      <c r="N492" s="14">
        <f>0.05*1*2/27</f>
        <v>3.7037037037037038E-3</v>
      </c>
      <c r="O492" s="1">
        <f ca="1">P492*J492*(1+Growth!G$6)^(2010-K492)</f>
        <v>120.94240433679622</v>
      </c>
      <c r="P492" s="11">
        <v>115</v>
      </c>
      <c r="Q492" s="2">
        <f t="shared" si="374"/>
        <v>115</v>
      </c>
      <c r="R492" s="21">
        <f t="shared" ca="1" si="318"/>
        <v>14627.065166765104</v>
      </c>
      <c r="X492" s="2">
        <f t="shared" si="329"/>
        <v>115</v>
      </c>
      <c r="AC492" s="1">
        <f t="shared" si="375"/>
        <v>6.2</v>
      </c>
      <c r="AD492" s="5">
        <v>1</v>
      </c>
      <c r="AE492" s="5">
        <v>0</v>
      </c>
      <c r="AF492" s="5">
        <v>1</v>
      </c>
      <c r="AG492" s="5">
        <v>0</v>
      </c>
      <c r="AH492" s="5">
        <v>1</v>
      </c>
      <c r="AI492" s="3">
        <f t="shared" si="313"/>
        <v>3.2</v>
      </c>
      <c r="AJ492" s="5">
        <f t="shared" si="337"/>
        <v>0</v>
      </c>
      <c r="AK492" s="5">
        <f t="shared" si="319"/>
        <v>0</v>
      </c>
      <c r="AL492" s="5">
        <f t="shared" si="320"/>
        <v>0</v>
      </c>
      <c r="AM492" s="5">
        <f t="shared" si="339"/>
        <v>1</v>
      </c>
      <c r="AN492" s="5">
        <f t="shared" si="321"/>
        <v>0</v>
      </c>
      <c r="AO492" s="5">
        <f t="shared" si="340"/>
        <v>0</v>
      </c>
      <c r="AP492" s="1">
        <v>3</v>
      </c>
      <c r="AQ492" s="1">
        <v>1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1</v>
      </c>
      <c r="AY492" s="1">
        <f t="shared" si="376"/>
        <v>0</v>
      </c>
      <c r="AZ492" s="1">
        <f t="shared" si="377"/>
        <v>1</v>
      </c>
      <c r="BA492" s="1">
        <f t="shared" si="378"/>
        <v>0</v>
      </c>
      <c r="BB492" s="5">
        <v>0</v>
      </c>
      <c r="BC492" s="5">
        <v>0</v>
      </c>
      <c r="BD492" s="5">
        <v>0</v>
      </c>
      <c r="BE492" s="5">
        <f t="shared" si="379"/>
        <v>1</v>
      </c>
      <c r="BF492" s="5">
        <v>0</v>
      </c>
      <c r="BG492" s="5">
        <f t="shared" si="373"/>
        <v>0</v>
      </c>
      <c r="BH492" s="5">
        <f t="shared" si="373"/>
        <v>0</v>
      </c>
      <c r="BI492" s="5">
        <f t="shared" si="373"/>
        <v>0</v>
      </c>
      <c r="BJ492" s="5">
        <f t="shared" si="373"/>
        <v>0</v>
      </c>
      <c r="BK492" s="5">
        <f t="shared" si="373"/>
        <v>0</v>
      </c>
      <c r="BL492" s="5">
        <f t="shared" si="373"/>
        <v>0</v>
      </c>
      <c r="BM492" s="5">
        <f t="shared" si="373"/>
        <v>0</v>
      </c>
      <c r="BN492" s="5">
        <f t="shared" si="366"/>
        <v>0</v>
      </c>
      <c r="BO492" s="5">
        <f t="shared" si="366"/>
        <v>0</v>
      </c>
      <c r="BP492" s="5">
        <f t="shared" si="366"/>
        <v>0</v>
      </c>
      <c r="BQ492" s="5">
        <f t="shared" si="366"/>
        <v>0</v>
      </c>
      <c r="BR492" s="5">
        <f t="shared" si="366"/>
        <v>0</v>
      </c>
      <c r="BS492" s="5">
        <f t="shared" si="366"/>
        <v>0</v>
      </c>
      <c r="BT492" s="5">
        <f t="shared" si="366"/>
        <v>0</v>
      </c>
      <c r="BU492" s="5">
        <f t="shared" si="366"/>
        <v>0</v>
      </c>
      <c r="BV492" s="5">
        <f t="shared" si="366"/>
        <v>0</v>
      </c>
      <c r="BW492" s="5">
        <f t="shared" si="366"/>
        <v>0</v>
      </c>
      <c r="BX492" s="5">
        <f t="shared" si="366"/>
        <v>0</v>
      </c>
      <c r="BY492" s="5">
        <f t="shared" si="366"/>
        <v>0</v>
      </c>
      <c r="BZ492" s="5">
        <f t="shared" si="366"/>
        <v>0</v>
      </c>
      <c r="CA492" s="5">
        <f t="shared" si="366"/>
        <v>0</v>
      </c>
      <c r="CB492" s="5">
        <f t="shared" si="366"/>
        <v>1</v>
      </c>
      <c r="CC492" s="5">
        <f t="shared" si="380"/>
        <v>0</v>
      </c>
      <c r="CD492" s="5">
        <f t="shared" si="380"/>
        <v>0</v>
      </c>
      <c r="CE492" s="5">
        <f t="shared" si="380"/>
        <v>0</v>
      </c>
    </row>
    <row r="493" spans="1:83" x14ac:dyDescent="0.2">
      <c r="A493" s="11"/>
      <c r="B493" s="11"/>
      <c r="C493" s="1">
        <f>Growth!D498</f>
        <v>7.0370370370370361E-2</v>
      </c>
      <c r="D493" s="5" t="b">
        <f t="shared" si="316"/>
        <v>0</v>
      </c>
      <c r="E493" s="5">
        <v>2012</v>
      </c>
      <c r="F493" s="5">
        <f ca="1">LOOKUP($E493,frequence!$A$2:$A$35,frequence!L$2:L$35)</f>
        <v>41.545638202606931</v>
      </c>
      <c r="G493" s="5">
        <f ca="1">LOOKUP($E493,frequence!$A$2:$A$35,frequence!K$2:K$35)</f>
        <v>3.8191206393393822</v>
      </c>
      <c r="H493" s="5">
        <f ca="1">LOOKUP($E493,frequence!$A$2:$A$35,frequence!M$2:M$35)</f>
        <v>265.64322815143237</v>
      </c>
      <c r="I493" s="5">
        <v>2007</v>
      </c>
      <c r="J493" s="7">
        <f>LOOKUP(I493,CPI!A$69:A$103,CPI!O$69:O$103)</f>
        <v>1.0516730811895323</v>
      </c>
      <c r="K493" s="5">
        <v>2010</v>
      </c>
      <c r="L493" s="7">
        <f t="shared" ca="1" si="317"/>
        <v>1</v>
      </c>
      <c r="M493" s="7">
        <f t="shared" si="333"/>
        <v>0.43629629629629624</v>
      </c>
      <c r="N493" s="14">
        <f>0.95*1*2/27</f>
        <v>7.0370370370370361E-2</v>
      </c>
      <c r="O493" s="1">
        <f ca="1">P493*J493*(1+Growth!G$6)^(2010-K493)</f>
        <v>65.203731033750998</v>
      </c>
      <c r="P493" s="11">
        <v>62</v>
      </c>
      <c r="Q493" s="2">
        <f t="shared" si="374"/>
        <v>62</v>
      </c>
      <c r="R493" s="21">
        <f t="shared" ca="1" si="318"/>
        <v>4251.526540721743</v>
      </c>
      <c r="X493" s="2">
        <f t="shared" si="329"/>
        <v>62</v>
      </c>
      <c r="AC493" s="1">
        <f t="shared" si="375"/>
        <v>6.2</v>
      </c>
      <c r="AD493" s="5">
        <v>1</v>
      </c>
      <c r="AE493" s="5">
        <v>0</v>
      </c>
      <c r="AF493" s="5">
        <v>1</v>
      </c>
      <c r="AG493" s="5">
        <v>0</v>
      </c>
      <c r="AH493" s="5">
        <v>1</v>
      </c>
      <c r="AI493" s="3">
        <f t="shared" si="313"/>
        <v>3.2</v>
      </c>
      <c r="AJ493" s="5">
        <f t="shared" si="337"/>
        <v>0</v>
      </c>
      <c r="AK493" s="5">
        <f t="shared" si="319"/>
        <v>0</v>
      </c>
      <c r="AL493" s="5">
        <f t="shared" si="320"/>
        <v>0</v>
      </c>
      <c r="AM493" s="5">
        <f t="shared" si="339"/>
        <v>1</v>
      </c>
      <c r="AN493" s="5">
        <f t="shared" si="321"/>
        <v>0</v>
      </c>
      <c r="AO493" s="5">
        <f t="shared" si="340"/>
        <v>0</v>
      </c>
      <c r="AP493" s="1">
        <v>3</v>
      </c>
      <c r="AQ493" s="1">
        <v>1</v>
      </c>
      <c r="AR493" s="5">
        <v>0</v>
      </c>
      <c r="AS493" s="5">
        <v>0</v>
      </c>
      <c r="AT493" s="5">
        <v>1</v>
      </c>
      <c r="AU493" s="5">
        <v>0</v>
      </c>
      <c r="AV493" s="5">
        <v>0</v>
      </c>
      <c r="AW493" s="5">
        <v>0</v>
      </c>
      <c r="AX493" s="5">
        <v>1</v>
      </c>
      <c r="AY493" s="1">
        <f t="shared" si="376"/>
        <v>0</v>
      </c>
      <c r="AZ493" s="1">
        <f t="shared" si="377"/>
        <v>1</v>
      </c>
      <c r="BA493" s="1">
        <f t="shared" si="378"/>
        <v>0</v>
      </c>
      <c r="BB493" s="5">
        <v>0</v>
      </c>
      <c r="BC493" s="5">
        <v>0</v>
      </c>
      <c r="BD493" s="5">
        <v>0</v>
      </c>
      <c r="BE493" s="5">
        <f t="shared" si="379"/>
        <v>1</v>
      </c>
      <c r="BF493" s="5">
        <v>0</v>
      </c>
      <c r="BG493" s="5">
        <f t="shared" si="373"/>
        <v>0</v>
      </c>
      <c r="BH493" s="5">
        <f t="shared" si="373"/>
        <v>0</v>
      </c>
      <c r="BI493" s="5">
        <f t="shared" si="373"/>
        <v>0</v>
      </c>
      <c r="BJ493" s="5">
        <f t="shared" si="373"/>
        <v>0</v>
      </c>
      <c r="BK493" s="5">
        <f t="shared" si="373"/>
        <v>0</v>
      </c>
      <c r="BL493" s="5">
        <f t="shared" si="373"/>
        <v>0</v>
      </c>
      <c r="BM493" s="5">
        <f t="shared" si="373"/>
        <v>0</v>
      </c>
      <c r="BN493" s="5">
        <f t="shared" si="366"/>
        <v>0</v>
      </c>
      <c r="BO493" s="5">
        <f t="shared" si="366"/>
        <v>0</v>
      </c>
      <c r="BP493" s="5">
        <f t="shared" si="366"/>
        <v>0</v>
      </c>
      <c r="BQ493" s="5">
        <f t="shared" si="366"/>
        <v>0</v>
      </c>
      <c r="BR493" s="5">
        <f t="shared" si="366"/>
        <v>0</v>
      </c>
      <c r="BS493" s="5">
        <f t="shared" si="366"/>
        <v>0</v>
      </c>
      <c r="BT493" s="5">
        <f t="shared" si="366"/>
        <v>0</v>
      </c>
      <c r="BU493" s="5">
        <f t="shared" si="366"/>
        <v>0</v>
      </c>
      <c r="BV493" s="5">
        <f t="shared" si="366"/>
        <v>0</v>
      </c>
      <c r="BW493" s="5">
        <f t="shared" si="366"/>
        <v>0</v>
      </c>
      <c r="BX493" s="5">
        <f t="shared" si="366"/>
        <v>0</v>
      </c>
      <c r="BY493" s="5">
        <f t="shared" si="366"/>
        <v>0</v>
      </c>
      <c r="BZ493" s="5">
        <f t="shared" si="366"/>
        <v>0</v>
      </c>
      <c r="CA493" s="5">
        <f t="shared" si="366"/>
        <v>0</v>
      </c>
      <c r="CB493" s="5">
        <f t="shared" si="366"/>
        <v>1</v>
      </c>
      <c r="CC493" s="5">
        <f t="shared" si="380"/>
        <v>0</v>
      </c>
      <c r="CD493" s="5">
        <f t="shared" si="380"/>
        <v>0</v>
      </c>
      <c r="CE493" s="5">
        <f t="shared" si="380"/>
        <v>0</v>
      </c>
    </row>
    <row r="494" spans="1:83" x14ac:dyDescent="0.2">
      <c r="A494" s="11"/>
      <c r="B494" s="11"/>
      <c r="C494" s="1">
        <f>Growth!D499</f>
        <v>7.4074074074074077E-3</v>
      </c>
      <c r="D494" s="5" t="b">
        <f t="shared" si="316"/>
        <v>0</v>
      </c>
      <c r="E494" s="5">
        <v>2012</v>
      </c>
      <c r="F494" s="5">
        <f ca="1">LOOKUP($E494,frequence!$A$2:$A$35,frequence!L$2:L$35)</f>
        <v>41.545638202606931</v>
      </c>
      <c r="G494" s="5">
        <f ca="1">LOOKUP($E494,frequence!$A$2:$A$35,frequence!K$2:K$35)</f>
        <v>3.8191206393393822</v>
      </c>
      <c r="H494" s="5">
        <f ca="1">LOOKUP($E494,frequence!$A$2:$A$35,frequence!M$2:M$35)</f>
        <v>265.64322815143237</v>
      </c>
      <c r="I494" s="5">
        <v>2007</v>
      </c>
      <c r="J494" s="7">
        <f>LOOKUP(I494,CPI!A$69:A$103,CPI!O$69:O$103)</f>
        <v>1.0516730811895323</v>
      </c>
      <c r="K494" s="5">
        <v>2010</v>
      </c>
      <c r="L494" s="7">
        <f t="shared" ca="1" si="317"/>
        <v>1</v>
      </c>
      <c r="M494" s="7">
        <f t="shared" si="333"/>
        <v>4.5925925925925926E-2</v>
      </c>
      <c r="N494" s="14">
        <f>0.05*2*2/27</f>
        <v>7.4074074074074077E-3</v>
      </c>
      <c r="O494" s="1">
        <f ca="1">P494*J494*(1+Growth!G$6)^(2010-K494)</f>
        <v>933.88569609630463</v>
      </c>
      <c r="P494" s="11">
        <v>888</v>
      </c>
      <c r="Q494" s="2">
        <f t="shared" si="374"/>
        <v>888</v>
      </c>
      <c r="R494" s="21">
        <f t="shared" ca="1" si="318"/>
        <v>872142.49337327946</v>
      </c>
      <c r="X494" s="2">
        <f t="shared" si="329"/>
        <v>888</v>
      </c>
      <c r="AC494" s="1">
        <f t="shared" si="375"/>
        <v>6.2</v>
      </c>
      <c r="AD494" s="5">
        <v>1</v>
      </c>
      <c r="AE494" s="5">
        <v>0</v>
      </c>
      <c r="AF494" s="5">
        <v>1</v>
      </c>
      <c r="AG494" s="5">
        <v>0</v>
      </c>
      <c r="AH494" s="5">
        <v>1</v>
      </c>
      <c r="AI494" s="3">
        <f t="shared" si="313"/>
        <v>3.2</v>
      </c>
      <c r="AJ494" s="5">
        <f t="shared" si="337"/>
        <v>0</v>
      </c>
      <c r="AK494" s="5">
        <f t="shared" si="319"/>
        <v>0</v>
      </c>
      <c r="AL494" s="5">
        <f t="shared" si="320"/>
        <v>0</v>
      </c>
      <c r="AM494" s="5">
        <f t="shared" si="339"/>
        <v>0</v>
      </c>
      <c r="AN494" s="5">
        <f t="shared" si="321"/>
        <v>0</v>
      </c>
      <c r="AO494" s="5">
        <f t="shared" si="340"/>
        <v>0</v>
      </c>
      <c r="AP494" s="1">
        <v>1.5</v>
      </c>
      <c r="AQ494" s="1">
        <v>-0.5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1</v>
      </c>
      <c r="AY494" s="1">
        <f t="shared" si="376"/>
        <v>0</v>
      </c>
      <c r="AZ494" s="1">
        <f t="shared" si="377"/>
        <v>0</v>
      </c>
      <c r="BA494" s="1">
        <f t="shared" si="378"/>
        <v>0</v>
      </c>
      <c r="BB494" s="5">
        <v>0</v>
      </c>
      <c r="BC494" s="5">
        <v>0</v>
      </c>
      <c r="BD494" s="5">
        <v>0</v>
      </c>
      <c r="BE494" s="5">
        <f t="shared" si="379"/>
        <v>1</v>
      </c>
      <c r="BF494" s="5">
        <v>0</v>
      </c>
      <c r="BG494" s="5">
        <f t="shared" si="373"/>
        <v>0</v>
      </c>
      <c r="BH494" s="5">
        <f t="shared" si="373"/>
        <v>0</v>
      </c>
      <c r="BI494" s="5">
        <f t="shared" si="373"/>
        <v>0</v>
      </c>
      <c r="BJ494" s="5">
        <f t="shared" si="373"/>
        <v>0</v>
      </c>
      <c r="BK494" s="5">
        <f t="shared" si="373"/>
        <v>0</v>
      </c>
      <c r="BL494" s="5">
        <f t="shared" si="373"/>
        <v>0</v>
      </c>
      <c r="BM494" s="5">
        <f t="shared" si="373"/>
        <v>0</v>
      </c>
      <c r="BN494" s="5">
        <f t="shared" si="366"/>
        <v>0</v>
      </c>
      <c r="BO494" s="5">
        <f t="shared" si="366"/>
        <v>0</v>
      </c>
      <c r="BP494" s="5">
        <f t="shared" si="366"/>
        <v>0</v>
      </c>
      <c r="BQ494" s="5">
        <f t="shared" si="366"/>
        <v>0</v>
      </c>
      <c r="BR494" s="5">
        <f t="shared" si="366"/>
        <v>0</v>
      </c>
      <c r="BS494" s="5">
        <f t="shared" si="366"/>
        <v>0</v>
      </c>
      <c r="BT494" s="5">
        <f t="shared" si="366"/>
        <v>0</v>
      </c>
      <c r="BU494" s="5">
        <f t="shared" si="366"/>
        <v>0</v>
      </c>
      <c r="BV494" s="5">
        <f t="shared" si="366"/>
        <v>0</v>
      </c>
      <c r="BW494" s="5">
        <f t="shared" si="366"/>
        <v>0</v>
      </c>
      <c r="BX494" s="5">
        <f t="shared" si="366"/>
        <v>0</v>
      </c>
      <c r="BY494" s="5">
        <f t="shared" si="366"/>
        <v>0</v>
      </c>
      <c r="BZ494" s="5">
        <f t="shared" si="366"/>
        <v>0</v>
      </c>
      <c r="CA494" s="5">
        <f t="shared" si="366"/>
        <v>0</v>
      </c>
      <c r="CB494" s="5">
        <f t="shared" si="366"/>
        <v>1</v>
      </c>
      <c r="CC494" s="5">
        <f t="shared" si="380"/>
        <v>0</v>
      </c>
      <c r="CD494" s="5">
        <f t="shared" si="380"/>
        <v>0</v>
      </c>
      <c r="CE494" s="5">
        <f t="shared" si="380"/>
        <v>0</v>
      </c>
    </row>
    <row r="495" spans="1:83" x14ac:dyDescent="0.2">
      <c r="A495" s="11"/>
      <c r="B495" s="11"/>
      <c r="C495" s="1">
        <f>Growth!D500</f>
        <v>0.14074074074074072</v>
      </c>
      <c r="D495" s="5" t="b">
        <f t="shared" si="316"/>
        <v>0</v>
      </c>
      <c r="E495" s="5">
        <v>2012</v>
      </c>
      <c r="F495" s="5">
        <f ca="1">LOOKUP($E495,frequence!$A$2:$A$35,frequence!L$2:L$35)</f>
        <v>41.545638202606931</v>
      </c>
      <c r="G495" s="5">
        <f ca="1">LOOKUP($E495,frequence!$A$2:$A$35,frequence!K$2:K$35)</f>
        <v>3.8191206393393822</v>
      </c>
      <c r="H495" s="5">
        <f ca="1">LOOKUP($E495,frequence!$A$2:$A$35,frequence!M$2:M$35)</f>
        <v>265.64322815143237</v>
      </c>
      <c r="I495" s="5">
        <v>2007</v>
      </c>
      <c r="J495" s="7">
        <f>LOOKUP(I495,CPI!A$69:A$103,CPI!O$69:O$103)</f>
        <v>1.0516730811895323</v>
      </c>
      <c r="K495" s="5">
        <v>2010</v>
      </c>
      <c r="L495" s="7">
        <f t="shared" ca="1" si="317"/>
        <v>1</v>
      </c>
      <c r="M495" s="7">
        <f t="shared" si="333"/>
        <v>0.87259259259259248</v>
      </c>
      <c r="N495" s="14">
        <f>0.95*2*2/27</f>
        <v>0.14074074074074072</v>
      </c>
      <c r="O495" s="1">
        <f ca="1">P495*J495*(1+Growth!G$6)^(2010-K495)</f>
        <v>432.23763636889777</v>
      </c>
      <c r="P495" s="11">
        <v>411</v>
      </c>
      <c r="Q495" s="2">
        <f t="shared" si="374"/>
        <v>411</v>
      </c>
      <c r="R495" s="21">
        <f t="shared" ca="1" si="318"/>
        <v>186829.37429377149</v>
      </c>
      <c r="X495" s="2">
        <f t="shared" si="329"/>
        <v>411</v>
      </c>
      <c r="AC495" s="1">
        <f t="shared" si="375"/>
        <v>6.2</v>
      </c>
      <c r="AD495" s="5">
        <v>1</v>
      </c>
      <c r="AE495" s="5">
        <v>0</v>
      </c>
      <c r="AF495" s="5">
        <v>1</v>
      </c>
      <c r="AG495" s="5">
        <v>0</v>
      </c>
      <c r="AH495" s="5">
        <v>1</v>
      </c>
      <c r="AI495" s="3">
        <f t="shared" si="313"/>
        <v>3.2</v>
      </c>
      <c r="AJ495" s="5">
        <f t="shared" si="337"/>
        <v>0</v>
      </c>
      <c r="AK495" s="5">
        <f t="shared" si="319"/>
        <v>0</v>
      </c>
      <c r="AL495" s="5">
        <f t="shared" si="320"/>
        <v>0</v>
      </c>
      <c r="AM495" s="5">
        <f t="shared" si="339"/>
        <v>0</v>
      </c>
      <c r="AN495" s="5">
        <f t="shared" si="321"/>
        <v>0</v>
      </c>
      <c r="AO495" s="5">
        <f t="shared" si="340"/>
        <v>0</v>
      </c>
      <c r="AP495" s="1">
        <v>1.5</v>
      </c>
      <c r="AQ495" s="1">
        <v>-0.5</v>
      </c>
      <c r="AR495" s="5">
        <v>0</v>
      </c>
      <c r="AS495" s="5">
        <v>0</v>
      </c>
      <c r="AT495" s="5">
        <v>1</v>
      </c>
      <c r="AU495" s="5">
        <v>0</v>
      </c>
      <c r="AV495" s="5">
        <v>0</v>
      </c>
      <c r="AW495" s="5">
        <v>0</v>
      </c>
      <c r="AX495" s="5">
        <v>1</v>
      </c>
      <c r="AY495" s="1">
        <f t="shared" si="376"/>
        <v>0</v>
      </c>
      <c r="AZ495" s="1">
        <f t="shared" si="377"/>
        <v>0</v>
      </c>
      <c r="BA495" s="1">
        <f t="shared" si="378"/>
        <v>0</v>
      </c>
      <c r="BB495" s="5">
        <v>0</v>
      </c>
      <c r="BC495" s="5">
        <v>0</v>
      </c>
      <c r="BD495" s="5">
        <v>0</v>
      </c>
      <c r="BE495" s="5">
        <f t="shared" si="379"/>
        <v>1</v>
      </c>
      <c r="BF495" s="5">
        <v>0</v>
      </c>
      <c r="BG495" s="5">
        <f t="shared" si="373"/>
        <v>0</v>
      </c>
      <c r="BH495" s="5">
        <f t="shared" si="373"/>
        <v>0</v>
      </c>
      <c r="BI495" s="5">
        <f t="shared" si="373"/>
        <v>0</v>
      </c>
      <c r="BJ495" s="5">
        <f t="shared" si="373"/>
        <v>0</v>
      </c>
      <c r="BK495" s="5">
        <f t="shared" si="373"/>
        <v>0</v>
      </c>
      <c r="BL495" s="5">
        <f t="shared" si="373"/>
        <v>0</v>
      </c>
      <c r="BM495" s="5">
        <f t="shared" si="373"/>
        <v>0</v>
      </c>
      <c r="BN495" s="5">
        <f t="shared" si="366"/>
        <v>0</v>
      </c>
      <c r="BO495" s="5">
        <f t="shared" si="366"/>
        <v>0</v>
      </c>
      <c r="BP495" s="5">
        <f t="shared" si="366"/>
        <v>0</v>
      </c>
      <c r="BQ495" s="5">
        <f t="shared" si="366"/>
        <v>0</v>
      </c>
      <c r="BR495" s="5">
        <f t="shared" si="366"/>
        <v>0</v>
      </c>
      <c r="BS495" s="5">
        <f t="shared" si="366"/>
        <v>0</v>
      </c>
      <c r="BT495" s="5">
        <f t="shared" si="366"/>
        <v>0</v>
      </c>
      <c r="BU495" s="5">
        <f t="shared" si="366"/>
        <v>0</v>
      </c>
      <c r="BV495" s="5">
        <f t="shared" si="366"/>
        <v>0</v>
      </c>
      <c r="BW495" s="5">
        <f t="shared" si="366"/>
        <v>0</v>
      </c>
      <c r="BX495" s="5">
        <f t="shared" si="366"/>
        <v>0</v>
      </c>
      <c r="BY495" s="5">
        <f t="shared" si="366"/>
        <v>0</v>
      </c>
      <c r="BZ495" s="5">
        <f t="shared" si="366"/>
        <v>0</v>
      </c>
      <c r="CA495" s="5">
        <f t="shared" si="366"/>
        <v>0</v>
      </c>
      <c r="CB495" s="5">
        <f t="shared" si="366"/>
        <v>1</v>
      </c>
      <c r="CC495" s="5">
        <f t="shared" si="380"/>
        <v>0</v>
      </c>
      <c r="CD495" s="5">
        <f t="shared" si="380"/>
        <v>0</v>
      </c>
      <c r="CE495" s="5">
        <f t="shared" si="380"/>
        <v>0</v>
      </c>
    </row>
    <row r="496" spans="1:83" x14ac:dyDescent="0.2">
      <c r="A496" s="11"/>
      <c r="B496" s="11"/>
      <c r="C496" s="1">
        <f>Growth!D501</f>
        <v>3.7037037037037038E-3</v>
      </c>
      <c r="D496" s="5" t="b">
        <f t="shared" si="316"/>
        <v>0</v>
      </c>
      <c r="E496" s="5">
        <v>2012</v>
      </c>
      <c r="F496" s="5">
        <f ca="1">LOOKUP($E496,frequence!$A$2:$A$35,frequence!L$2:L$35)</f>
        <v>41.545638202606931</v>
      </c>
      <c r="G496" s="5">
        <f ca="1">LOOKUP($E496,frequence!$A$2:$A$35,frequence!K$2:K$35)</f>
        <v>3.8191206393393822</v>
      </c>
      <c r="H496" s="5">
        <f ca="1">LOOKUP($E496,frequence!$A$2:$A$35,frequence!M$2:M$35)</f>
        <v>265.64322815143237</v>
      </c>
      <c r="I496" s="5">
        <v>2007</v>
      </c>
      <c r="J496" s="7">
        <f>LOOKUP(I496,CPI!A$69:A$103,CPI!O$69:O$103)</f>
        <v>1.0516730811895323</v>
      </c>
      <c r="K496" s="5">
        <v>2010</v>
      </c>
      <c r="L496" s="7">
        <f t="shared" ca="1" si="317"/>
        <v>1</v>
      </c>
      <c r="M496" s="7">
        <f t="shared" si="333"/>
        <v>2.2962962962962963E-2</v>
      </c>
      <c r="N496" s="14">
        <f>0.05*1*2/27</f>
        <v>3.7037037037037038E-3</v>
      </c>
      <c r="O496" s="1">
        <f ca="1">P496*J496*(1+Growth!G$6)^(2010-K496)</f>
        <v>210.33461623790646</v>
      </c>
      <c r="P496" s="11">
        <v>200</v>
      </c>
      <c r="Q496" s="2">
        <f t="shared" si="374"/>
        <v>200</v>
      </c>
      <c r="R496" s="21">
        <f t="shared" ca="1" si="318"/>
        <v>44240.650787947387</v>
      </c>
      <c r="X496" s="2">
        <f t="shared" si="329"/>
        <v>200</v>
      </c>
      <c r="AC496" s="1">
        <f t="shared" si="375"/>
        <v>6.2</v>
      </c>
      <c r="AD496" s="5">
        <v>1</v>
      </c>
      <c r="AE496" s="5">
        <v>0</v>
      </c>
      <c r="AF496" s="5">
        <v>1</v>
      </c>
      <c r="AG496" s="5">
        <v>0</v>
      </c>
      <c r="AH496" s="5">
        <v>1</v>
      </c>
      <c r="AI496" s="3">
        <f t="shared" si="313"/>
        <v>3.2</v>
      </c>
      <c r="AJ496" s="5">
        <f t="shared" si="337"/>
        <v>0</v>
      </c>
      <c r="AK496" s="5">
        <f t="shared" si="319"/>
        <v>0</v>
      </c>
      <c r="AL496" s="5">
        <f t="shared" si="320"/>
        <v>0</v>
      </c>
      <c r="AM496" s="5">
        <f t="shared" si="339"/>
        <v>1</v>
      </c>
      <c r="AN496" s="5">
        <f t="shared" si="321"/>
        <v>0</v>
      </c>
      <c r="AO496" s="5">
        <f t="shared" si="340"/>
        <v>0</v>
      </c>
      <c r="AP496" s="1">
        <v>3</v>
      </c>
      <c r="AQ496" s="1">
        <v>1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1</v>
      </c>
      <c r="AY496" s="1">
        <f t="shared" si="376"/>
        <v>0</v>
      </c>
      <c r="AZ496" s="1">
        <f t="shared" si="377"/>
        <v>1</v>
      </c>
      <c r="BA496" s="1">
        <f t="shared" si="378"/>
        <v>0</v>
      </c>
      <c r="BB496" s="5">
        <v>0</v>
      </c>
      <c r="BC496" s="5">
        <v>0</v>
      </c>
      <c r="BD496" s="5">
        <v>0</v>
      </c>
      <c r="BE496" s="5">
        <f t="shared" si="379"/>
        <v>1</v>
      </c>
      <c r="BF496" s="5">
        <v>0</v>
      </c>
      <c r="BG496" s="5">
        <f t="shared" si="373"/>
        <v>0</v>
      </c>
      <c r="BH496" s="5">
        <f t="shared" si="373"/>
        <v>0</v>
      </c>
      <c r="BI496" s="5">
        <f t="shared" si="373"/>
        <v>0</v>
      </c>
      <c r="BJ496" s="5">
        <f t="shared" si="373"/>
        <v>0</v>
      </c>
      <c r="BK496" s="5">
        <f t="shared" si="373"/>
        <v>0</v>
      </c>
      <c r="BL496" s="5">
        <f t="shared" si="373"/>
        <v>0</v>
      </c>
      <c r="BM496" s="5">
        <f t="shared" si="373"/>
        <v>0</v>
      </c>
      <c r="BN496" s="5">
        <f t="shared" si="366"/>
        <v>0</v>
      </c>
      <c r="BO496" s="5">
        <f t="shared" si="366"/>
        <v>0</v>
      </c>
      <c r="BP496" s="5">
        <f t="shared" si="366"/>
        <v>0</v>
      </c>
      <c r="BQ496" s="5">
        <f t="shared" si="366"/>
        <v>0</v>
      </c>
      <c r="BR496" s="5">
        <f t="shared" si="366"/>
        <v>0</v>
      </c>
      <c r="BS496" s="5">
        <f t="shared" si="366"/>
        <v>0</v>
      </c>
      <c r="BT496" s="5">
        <f t="shared" si="366"/>
        <v>0</v>
      </c>
      <c r="BU496" s="5">
        <f t="shared" si="366"/>
        <v>0</v>
      </c>
      <c r="BV496" s="5">
        <f t="shared" si="366"/>
        <v>0</v>
      </c>
      <c r="BW496" s="5">
        <f t="shared" si="366"/>
        <v>0</v>
      </c>
      <c r="BX496" s="5">
        <f t="shared" si="366"/>
        <v>0</v>
      </c>
      <c r="BY496" s="5">
        <f t="shared" si="366"/>
        <v>0</v>
      </c>
      <c r="BZ496" s="5">
        <f t="shared" si="366"/>
        <v>0</v>
      </c>
      <c r="CA496" s="5">
        <f t="shared" si="366"/>
        <v>0</v>
      </c>
      <c r="CB496" s="5">
        <f t="shared" si="366"/>
        <v>1</v>
      </c>
      <c r="CC496" s="5">
        <f t="shared" si="380"/>
        <v>0</v>
      </c>
      <c r="CD496" s="5">
        <f t="shared" si="380"/>
        <v>0</v>
      </c>
      <c r="CE496" s="5">
        <f t="shared" si="380"/>
        <v>0</v>
      </c>
    </row>
    <row r="497" spans="1:83" x14ac:dyDescent="0.2">
      <c r="A497" s="11"/>
      <c r="B497" s="11"/>
      <c r="C497" s="1">
        <f>Growth!D502</f>
        <v>7.0370370370370361E-2</v>
      </c>
      <c r="D497" s="5" t="b">
        <f t="shared" si="316"/>
        <v>0</v>
      </c>
      <c r="E497" s="5">
        <v>2012</v>
      </c>
      <c r="F497" s="5">
        <f ca="1">LOOKUP($E497,frequence!$A$2:$A$35,frequence!L$2:L$35)</f>
        <v>41.545638202606931</v>
      </c>
      <c r="G497" s="5">
        <f ca="1">LOOKUP($E497,frequence!$A$2:$A$35,frequence!K$2:K$35)</f>
        <v>3.8191206393393822</v>
      </c>
      <c r="H497" s="5">
        <f ca="1">LOOKUP($E497,frequence!$A$2:$A$35,frequence!M$2:M$35)</f>
        <v>265.64322815143237</v>
      </c>
      <c r="I497" s="5">
        <v>2007</v>
      </c>
      <c r="J497" s="7">
        <f>LOOKUP(I497,CPI!A$69:A$103,CPI!O$69:O$103)</f>
        <v>1.0516730811895323</v>
      </c>
      <c r="K497" s="5">
        <v>2010</v>
      </c>
      <c r="L497" s="7">
        <f t="shared" ca="1" si="317"/>
        <v>1</v>
      </c>
      <c r="M497" s="7">
        <f t="shared" si="333"/>
        <v>0.43629629629629624</v>
      </c>
      <c r="N497" s="14">
        <f>0.95*1*2/27</f>
        <v>7.0370370370370361E-2</v>
      </c>
      <c r="O497" s="1">
        <f ca="1">P497*J497*(1+Growth!G$6)^(2010-K497)</f>
        <v>80.978827251593984</v>
      </c>
      <c r="P497" s="11">
        <v>77</v>
      </c>
      <c r="Q497" s="2">
        <f t="shared" si="374"/>
        <v>77</v>
      </c>
      <c r="R497" s="21">
        <f t="shared" ca="1" si="318"/>
        <v>6557.5704630435002</v>
      </c>
      <c r="X497" s="2">
        <f t="shared" si="329"/>
        <v>77</v>
      </c>
      <c r="AC497" s="1">
        <f t="shared" si="375"/>
        <v>6.2</v>
      </c>
      <c r="AD497" s="5">
        <v>1</v>
      </c>
      <c r="AE497" s="5">
        <v>0</v>
      </c>
      <c r="AF497" s="5">
        <v>1</v>
      </c>
      <c r="AG497" s="5">
        <v>0</v>
      </c>
      <c r="AH497" s="5">
        <v>1</v>
      </c>
      <c r="AI497" s="3">
        <f t="shared" si="313"/>
        <v>3.2</v>
      </c>
      <c r="AJ497" s="5">
        <f t="shared" si="337"/>
        <v>0</v>
      </c>
      <c r="AK497" s="5">
        <f t="shared" si="319"/>
        <v>0</v>
      </c>
      <c r="AL497" s="5">
        <f t="shared" si="320"/>
        <v>0</v>
      </c>
      <c r="AM497" s="5">
        <f t="shared" si="339"/>
        <v>1</v>
      </c>
      <c r="AN497" s="5">
        <f t="shared" si="321"/>
        <v>0</v>
      </c>
      <c r="AO497" s="5">
        <f t="shared" si="340"/>
        <v>0</v>
      </c>
      <c r="AP497" s="1">
        <v>3</v>
      </c>
      <c r="AQ497" s="1">
        <v>1</v>
      </c>
      <c r="AR497" s="5">
        <v>0</v>
      </c>
      <c r="AS497" s="5">
        <v>0</v>
      </c>
      <c r="AT497" s="5">
        <v>1</v>
      </c>
      <c r="AU497" s="5">
        <v>0</v>
      </c>
      <c r="AV497" s="5">
        <v>0</v>
      </c>
      <c r="AW497" s="5">
        <v>0</v>
      </c>
      <c r="AX497" s="5">
        <v>1</v>
      </c>
      <c r="AY497" s="1">
        <f t="shared" si="376"/>
        <v>0</v>
      </c>
      <c r="AZ497" s="1">
        <f t="shared" si="377"/>
        <v>1</v>
      </c>
      <c r="BA497" s="1">
        <f t="shared" si="378"/>
        <v>0</v>
      </c>
      <c r="BB497" s="5">
        <v>0</v>
      </c>
      <c r="BC497" s="5">
        <v>0</v>
      </c>
      <c r="BD497" s="5">
        <v>0</v>
      </c>
      <c r="BE497" s="5">
        <f t="shared" si="379"/>
        <v>1</v>
      </c>
      <c r="BF497" s="5">
        <v>0</v>
      </c>
      <c r="BG497" s="5">
        <f t="shared" si="373"/>
        <v>0</v>
      </c>
      <c r="BH497" s="5">
        <f t="shared" si="373"/>
        <v>0</v>
      </c>
      <c r="BI497" s="5">
        <f t="shared" si="373"/>
        <v>0</v>
      </c>
      <c r="BJ497" s="5">
        <f t="shared" si="373"/>
        <v>0</v>
      </c>
      <c r="BK497" s="5">
        <f t="shared" si="373"/>
        <v>0</v>
      </c>
      <c r="BL497" s="5">
        <f t="shared" si="373"/>
        <v>0</v>
      </c>
      <c r="BM497" s="5">
        <f t="shared" si="373"/>
        <v>0</v>
      </c>
      <c r="BN497" s="5">
        <f t="shared" si="366"/>
        <v>0</v>
      </c>
      <c r="BO497" s="5">
        <f t="shared" si="366"/>
        <v>0</v>
      </c>
      <c r="BP497" s="5">
        <f t="shared" si="366"/>
        <v>0</v>
      </c>
      <c r="BQ497" s="5">
        <f t="shared" si="366"/>
        <v>0</v>
      </c>
      <c r="BR497" s="5">
        <f t="shared" si="366"/>
        <v>0</v>
      </c>
      <c r="BS497" s="5">
        <f t="shared" si="366"/>
        <v>0</v>
      </c>
      <c r="BT497" s="5">
        <f t="shared" si="366"/>
        <v>0</v>
      </c>
      <c r="BU497" s="5">
        <f t="shared" si="366"/>
        <v>0</v>
      </c>
      <c r="BV497" s="5">
        <f t="shared" si="366"/>
        <v>0</v>
      </c>
      <c r="BW497" s="5">
        <f t="shared" si="366"/>
        <v>0</v>
      </c>
      <c r="BX497" s="5">
        <f t="shared" si="366"/>
        <v>0</v>
      </c>
      <c r="BY497" s="5">
        <f t="shared" si="366"/>
        <v>0</v>
      </c>
      <c r="BZ497" s="5">
        <f t="shared" si="366"/>
        <v>0</v>
      </c>
      <c r="CA497" s="5">
        <f t="shared" si="366"/>
        <v>0</v>
      </c>
      <c r="CB497" s="5">
        <f t="shared" si="366"/>
        <v>1</v>
      </c>
      <c r="CC497" s="5">
        <f t="shared" si="380"/>
        <v>0</v>
      </c>
      <c r="CD497" s="5">
        <f t="shared" si="380"/>
        <v>0</v>
      </c>
      <c r="CE497" s="5">
        <f t="shared" si="380"/>
        <v>0</v>
      </c>
    </row>
    <row r="498" spans="1:83" x14ac:dyDescent="0.2">
      <c r="A498" s="11"/>
      <c r="B498" s="11"/>
      <c r="C498" s="1">
        <f>Growth!D503</f>
        <v>1.4814814814814815E-2</v>
      </c>
      <c r="D498" s="5" t="b">
        <f t="shared" si="316"/>
        <v>0</v>
      </c>
      <c r="E498" s="5">
        <v>2012</v>
      </c>
      <c r="F498" s="5">
        <f ca="1">LOOKUP($E498,frequence!$A$2:$A$35,frequence!L$2:L$35)</f>
        <v>41.545638202606931</v>
      </c>
      <c r="G498" s="5">
        <f ca="1">LOOKUP($E498,frequence!$A$2:$A$35,frequence!K$2:K$35)</f>
        <v>3.8191206393393822</v>
      </c>
      <c r="H498" s="5">
        <f ca="1">LOOKUP($E498,frequence!$A$2:$A$35,frequence!M$2:M$35)</f>
        <v>265.64322815143237</v>
      </c>
      <c r="I498" s="5">
        <v>2007</v>
      </c>
      <c r="J498" s="7">
        <f>LOOKUP(I498,CPI!A$69:A$103,CPI!O$69:O$103)</f>
        <v>1.0516730811895323</v>
      </c>
      <c r="K498" s="5">
        <v>2010</v>
      </c>
      <c r="L498" s="7">
        <f t="shared" ca="1" si="317"/>
        <v>1</v>
      </c>
      <c r="M498" s="7">
        <f t="shared" si="333"/>
        <v>9.1851851851851851E-2</v>
      </c>
      <c r="N498" s="14">
        <f>0.05*2*4/27</f>
        <v>1.4814814814814815E-2</v>
      </c>
      <c r="O498" s="1">
        <f ca="1">P498*J498*(1+Growth!G$6)^(2010-K498)</f>
        <v>938.09238842106276</v>
      </c>
      <c r="P498" s="11">
        <v>892</v>
      </c>
      <c r="Q498" s="2">
        <f t="shared" si="374"/>
        <v>892</v>
      </c>
      <c r="R498" s="21">
        <f t="shared" ca="1" si="318"/>
        <v>880017.32921353413</v>
      </c>
      <c r="X498" s="2">
        <f t="shared" si="329"/>
        <v>892</v>
      </c>
      <c r="AC498" s="1">
        <f t="shared" si="375"/>
        <v>6.2</v>
      </c>
      <c r="AD498" s="5">
        <v>1</v>
      </c>
      <c r="AE498" s="5">
        <v>0</v>
      </c>
      <c r="AF498" s="5">
        <v>1</v>
      </c>
      <c r="AG498" s="5">
        <v>0</v>
      </c>
      <c r="AH498" s="5">
        <v>1</v>
      </c>
      <c r="AI498" s="3">
        <f t="shared" si="313"/>
        <v>3.2</v>
      </c>
      <c r="AJ498" s="5">
        <f t="shared" si="337"/>
        <v>0</v>
      </c>
      <c r="AK498" s="5">
        <f t="shared" si="319"/>
        <v>0</v>
      </c>
      <c r="AL498" s="5">
        <f t="shared" si="320"/>
        <v>0</v>
      </c>
      <c r="AM498" s="5">
        <f t="shared" si="339"/>
        <v>0</v>
      </c>
      <c r="AN498" s="5">
        <f t="shared" si="321"/>
        <v>0</v>
      </c>
      <c r="AO498" s="5">
        <f t="shared" si="340"/>
        <v>0</v>
      </c>
      <c r="AP498" s="1">
        <v>1.5</v>
      </c>
      <c r="AQ498" s="1">
        <v>-0.5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1</v>
      </c>
      <c r="AY498" s="1">
        <f t="shared" si="376"/>
        <v>0</v>
      </c>
      <c r="AZ498" s="1">
        <f t="shared" si="377"/>
        <v>0</v>
      </c>
      <c r="BA498" s="1">
        <f t="shared" si="378"/>
        <v>0</v>
      </c>
      <c r="BB498" s="5">
        <v>0</v>
      </c>
      <c r="BC498" s="5">
        <v>0</v>
      </c>
      <c r="BD498" s="5">
        <v>0</v>
      </c>
      <c r="BE498" s="5">
        <f t="shared" si="379"/>
        <v>1</v>
      </c>
      <c r="BF498" s="5">
        <v>0</v>
      </c>
      <c r="BG498" s="5">
        <f t="shared" si="373"/>
        <v>0</v>
      </c>
      <c r="BH498" s="5">
        <f t="shared" si="373"/>
        <v>0</v>
      </c>
      <c r="BI498" s="5">
        <f t="shared" si="373"/>
        <v>0</v>
      </c>
      <c r="BJ498" s="5">
        <f t="shared" si="373"/>
        <v>0</v>
      </c>
      <c r="BK498" s="5">
        <f t="shared" si="373"/>
        <v>0</v>
      </c>
      <c r="BL498" s="5">
        <f t="shared" si="373"/>
        <v>0</v>
      </c>
      <c r="BM498" s="5">
        <f t="shared" si="373"/>
        <v>0</v>
      </c>
      <c r="BN498" s="5">
        <f t="shared" si="366"/>
        <v>0</v>
      </c>
      <c r="BO498" s="5">
        <f t="shared" si="366"/>
        <v>0</v>
      </c>
      <c r="BP498" s="5">
        <f t="shared" si="366"/>
        <v>0</v>
      </c>
      <c r="BQ498" s="5">
        <f t="shared" si="366"/>
        <v>0</v>
      </c>
      <c r="BR498" s="5">
        <f t="shared" si="366"/>
        <v>0</v>
      </c>
      <c r="BS498" s="5">
        <f t="shared" si="366"/>
        <v>0</v>
      </c>
      <c r="BT498" s="5">
        <f t="shared" si="366"/>
        <v>0</v>
      </c>
      <c r="BU498" s="5">
        <f t="shared" si="366"/>
        <v>0</v>
      </c>
      <c r="BV498" s="5">
        <f t="shared" si="366"/>
        <v>0</v>
      </c>
      <c r="BW498" s="5">
        <f t="shared" si="366"/>
        <v>0</v>
      </c>
      <c r="BX498" s="5">
        <f t="shared" si="366"/>
        <v>0</v>
      </c>
      <c r="BY498" s="5">
        <f t="shared" si="366"/>
        <v>0</v>
      </c>
      <c r="BZ498" s="5">
        <f t="shared" si="366"/>
        <v>0</v>
      </c>
      <c r="CA498" s="5">
        <f t="shared" si="366"/>
        <v>0</v>
      </c>
      <c r="CB498" s="5">
        <f t="shared" si="366"/>
        <v>1</v>
      </c>
      <c r="CC498" s="5">
        <f t="shared" si="380"/>
        <v>0</v>
      </c>
      <c r="CD498" s="5">
        <f t="shared" si="380"/>
        <v>0</v>
      </c>
      <c r="CE498" s="5">
        <f t="shared" si="380"/>
        <v>0</v>
      </c>
    </row>
    <row r="499" spans="1:83" x14ac:dyDescent="0.2">
      <c r="A499" s="11"/>
      <c r="B499" s="11"/>
      <c r="C499" s="1">
        <f>Growth!D504</f>
        <v>0.28148148148148144</v>
      </c>
      <c r="D499" s="5" t="b">
        <f t="shared" si="316"/>
        <v>0</v>
      </c>
      <c r="E499" s="5">
        <v>2012</v>
      </c>
      <c r="F499" s="5">
        <f ca="1">LOOKUP($E499,frequence!$A$2:$A$35,frequence!L$2:L$35)</f>
        <v>41.545638202606931</v>
      </c>
      <c r="G499" s="5">
        <f ca="1">LOOKUP($E499,frequence!$A$2:$A$35,frequence!K$2:K$35)</f>
        <v>3.8191206393393822</v>
      </c>
      <c r="H499" s="5">
        <f ca="1">LOOKUP($E499,frequence!$A$2:$A$35,frequence!M$2:M$35)</f>
        <v>265.64322815143237</v>
      </c>
      <c r="I499" s="5">
        <v>2007</v>
      </c>
      <c r="J499" s="7">
        <f>LOOKUP(I499,CPI!A$69:A$103,CPI!O$69:O$103)</f>
        <v>1.0516730811895323</v>
      </c>
      <c r="K499" s="5">
        <v>2010</v>
      </c>
      <c r="L499" s="7">
        <f t="shared" ca="1" si="317"/>
        <v>1</v>
      </c>
      <c r="M499" s="7">
        <f t="shared" si="333"/>
        <v>1.745185185185185</v>
      </c>
      <c r="N499" s="14">
        <f>0.95*2*4/27</f>
        <v>0.28148148148148144</v>
      </c>
      <c r="O499" s="1">
        <f ca="1">P499*J499*(1+Growth!G$6)^(2010-K499)</f>
        <v>467.99452112934188</v>
      </c>
      <c r="P499" s="11">
        <v>445</v>
      </c>
      <c r="Q499" s="2">
        <f t="shared" si="374"/>
        <v>445</v>
      </c>
      <c r="R499" s="21">
        <f t="shared" ca="1" si="318"/>
        <v>219018.87180708203</v>
      </c>
      <c r="X499" s="2">
        <f t="shared" si="329"/>
        <v>445</v>
      </c>
      <c r="AC499" s="1">
        <f t="shared" si="375"/>
        <v>6.2</v>
      </c>
      <c r="AD499" s="5">
        <v>1</v>
      </c>
      <c r="AE499" s="5">
        <v>0</v>
      </c>
      <c r="AF499" s="5">
        <v>1</v>
      </c>
      <c r="AG499" s="5">
        <v>0</v>
      </c>
      <c r="AH499" s="5">
        <v>1</v>
      </c>
      <c r="AI499" s="3">
        <f t="shared" si="313"/>
        <v>3.2</v>
      </c>
      <c r="AJ499" s="5">
        <f t="shared" si="337"/>
        <v>0</v>
      </c>
      <c r="AK499" s="5">
        <f t="shared" si="319"/>
        <v>0</v>
      </c>
      <c r="AL499" s="5">
        <f t="shared" si="320"/>
        <v>0</v>
      </c>
      <c r="AM499" s="5">
        <f t="shared" si="339"/>
        <v>0</v>
      </c>
      <c r="AN499" s="5">
        <f t="shared" si="321"/>
        <v>0</v>
      </c>
      <c r="AO499" s="5">
        <f t="shared" si="340"/>
        <v>0</v>
      </c>
      <c r="AP499" s="1">
        <v>1.5</v>
      </c>
      <c r="AQ499" s="1">
        <v>-0.5</v>
      </c>
      <c r="AR499" s="5">
        <v>0</v>
      </c>
      <c r="AS499" s="5">
        <v>0</v>
      </c>
      <c r="AT499" s="5">
        <v>1</v>
      </c>
      <c r="AU499" s="5">
        <v>0</v>
      </c>
      <c r="AV499" s="5">
        <v>0</v>
      </c>
      <c r="AW499" s="5">
        <v>0</v>
      </c>
      <c r="AX499" s="5">
        <v>1</v>
      </c>
      <c r="AY499" s="1">
        <f t="shared" si="376"/>
        <v>0</v>
      </c>
      <c r="AZ499" s="1">
        <f t="shared" si="377"/>
        <v>0</v>
      </c>
      <c r="BA499" s="1">
        <f t="shared" si="378"/>
        <v>0</v>
      </c>
      <c r="BB499" s="5">
        <v>0</v>
      </c>
      <c r="BC499" s="5">
        <v>0</v>
      </c>
      <c r="BD499" s="5">
        <v>0</v>
      </c>
      <c r="BE499" s="5">
        <f t="shared" si="379"/>
        <v>1</v>
      </c>
      <c r="BF499" s="5">
        <v>0</v>
      </c>
      <c r="BG499" s="5">
        <f t="shared" si="373"/>
        <v>0</v>
      </c>
      <c r="BH499" s="5">
        <f t="shared" si="373"/>
        <v>0</v>
      </c>
      <c r="BI499" s="5">
        <f t="shared" si="373"/>
        <v>0</v>
      </c>
      <c r="BJ499" s="5">
        <f t="shared" si="373"/>
        <v>0</v>
      </c>
      <c r="BK499" s="5">
        <f t="shared" si="373"/>
        <v>0</v>
      </c>
      <c r="BL499" s="5">
        <f t="shared" si="373"/>
        <v>0</v>
      </c>
      <c r="BM499" s="5">
        <f t="shared" si="373"/>
        <v>0</v>
      </c>
      <c r="BN499" s="5">
        <f t="shared" si="366"/>
        <v>0</v>
      </c>
      <c r="BO499" s="5">
        <f t="shared" si="366"/>
        <v>0</v>
      </c>
      <c r="BP499" s="5">
        <f t="shared" si="366"/>
        <v>0</v>
      </c>
      <c r="BQ499" s="5">
        <f t="shared" si="366"/>
        <v>0</v>
      </c>
      <c r="BR499" s="5">
        <f t="shared" si="366"/>
        <v>0</v>
      </c>
      <c r="BS499" s="5">
        <f t="shared" si="366"/>
        <v>0</v>
      </c>
      <c r="BT499" s="5">
        <f t="shared" si="366"/>
        <v>0</v>
      </c>
      <c r="BU499" s="5">
        <f t="shared" si="366"/>
        <v>0</v>
      </c>
      <c r="BV499" s="5">
        <f t="shared" si="366"/>
        <v>0</v>
      </c>
      <c r="BW499" s="5">
        <f t="shared" si="366"/>
        <v>0</v>
      </c>
      <c r="BX499" s="5">
        <f t="shared" si="366"/>
        <v>0</v>
      </c>
      <c r="BY499" s="5">
        <f t="shared" si="366"/>
        <v>0</v>
      </c>
      <c r="BZ499" s="5">
        <f t="shared" si="366"/>
        <v>0</v>
      </c>
      <c r="CA499" s="5">
        <f t="shared" si="366"/>
        <v>0</v>
      </c>
      <c r="CB499" s="5">
        <f t="shared" si="366"/>
        <v>1</v>
      </c>
      <c r="CC499" s="5">
        <f t="shared" si="380"/>
        <v>0</v>
      </c>
      <c r="CD499" s="5">
        <f t="shared" si="380"/>
        <v>0</v>
      </c>
      <c r="CE499" s="5">
        <f t="shared" si="380"/>
        <v>0</v>
      </c>
    </row>
    <row r="500" spans="1:83" x14ac:dyDescent="0.2">
      <c r="A500" s="11"/>
      <c r="B500" s="11"/>
      <c r="C500" s="1">
        <f>Growth!D505</f>
        <v>7.4074074074074077E-3</v>
      </c>
      <c r="D500" s="5" t="b">
        <f t="shared" si="316"/>
        <v>0</v>
      </c>
      <c r="E500" s="5">
        <v>2012</v>
      </c>
      <c r="F500" s="5">
        <f ca="1">LOOKUP($E500,frequence!$A$2:$A$35,frequence!L$2:L$35)</f>
        <v>41.545638202606931</v>
      </c>
      <c r="G500" s="5">
        <f ca="1">LOOKUP($E500,frequence!$A$2:$A$35,frequence!K$2:K$35)</f>
        <v>3.8191206393393822</v>
      </c>
      <c r="H500" s="5">
        <f ca="1">LOOKUP($E500,frequence!$A$2:$A$35,frequence!M$2:M$35)</f>
        <v>265.64322815143237</v>
      </c>
      <c r="I500" s="5">
        <v>2007</v>
      </c>
      <c r="J500" s="7">
        <f>LOOKUP(I500,CPI!A$69:A$103,CPI!O$69:O$103)</f>
        <v>1.0516730811895323</v>
      </c>
      <c r="K500" s="5">
        <v>2010</v>
      </c>
      <c r="L500" s="7">
        <f t="shared" ca="1" si="317"/>
        <v>1</v>
      </c>
      <c r="M500" s="7">
        <f t="shared" si="333"/>
        <v>4.5925925925925926E-2</v>
      </c>
      <c r="N500" s="14">
        <f>0.05*1*4/27</f>
        <v>7.4074074074074077E-3</v>
      </c>
      <c r="O500" s="1">
        <f ca="1">P500*J500*(1+Growth!G$6)^(2010-K500)</f>
        <v>227.16138553693898</v>
      </c>
      <c r="P500" s="11">
        <v>216</v>
      </c>
      <c r="Q500" s="2">
        <f t="shared" si="374"/>
        <v>216</v>
      </c>
      <c r="R500" s="21">
        <f t="shared" ca="1" si="318"/>
        <v>51602.295079061827</v>
      </c>
      <c r="X500" s="2">
        <f t="shared" si="329"/>
        <v>216</v>
      </c>
      <c r="AC500" s="1">
        <f t="shared" si="375"/>
        <v>6.2</v>
      </c>
      <c r="AD500" s="5">
        <v>1</v>
      </c>
      <c r="AE500" s="5">
        <v>0</v>
      </c>
      <c r="AF500" s="5">
        <v>1</v>
      </c>
      <c r="AG500" s="5">
        <v>0</v>
      </c>
      <c r="AH500" s="5">
        <v>1</v>
      </c>
      <c r="AI500" s="3">
        <f t="shared" si="313"/>
        <v>3.2</v>
      </c>
      <c r="AJ500" s="5">
        <f t="shared" si="337"/>
        <v>0</v>
      </c>
      <c r="AK500" s="5">
        <f t="shared" si="319"/>
        <v>0</v>
      </c>
      <c r="AL500" s="5">
        <f t="shared" si="320"/>
        <v>0</v>
      </c>
      <c r="AM500" s="5">
        <f t="shared" si="339"/>
        <v>1</v>
      </c>
      <c r="AN500" s="5">
        <f t="shared" si="321"/>
        <v>0</v>
      </c>
      <c r="AO500" s="5">
        <f t="shared" si="340"/>
        <v>0</v>
      </c>
      <c r="AP500" s="1">
        <v>3</v>
      </c>
      <c r="AQ500" s="1">
        <v>1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1</v>
      </c>
      <c r="AY500" s="1">
        <f t="shared" si="376"/>
        <v>0</v>
      </c>
      <c r="AZ500" s="1">
        <f t="shared" si="377"/>
        <v>1</v>
      </c>
      <c r="BA500" s="1">
        <f t="shared" si="378"/>
        <v>0</v>
      </c>
      <c r="BB500" s="5">
        <v>0</v>
      </c>
      <c r="BC500" s="5">
        <v>0</v>
      </c>
      <c r="BD500" s="5">
        <v>0</v>
      </c>
      <c r="BE500" s="5">
        <f t="shared" si="379"/>
        <v>1</v>
      </c>
      <c r="BF500" s="5">
        <v>0</v>
      </c>
      <c r="BG500" s="5">
        <f t="shared" si="373"/>
        <v>0</v>
      </c>
      <c r="BH500" s="5">
        <f t="shared" si="373"/>
        <v>0</v>
      </c>
      <c r="BI500" s="5">
        <f t="shared" si="373"/>
        <v>0</v>
      </c>
      <c r="BJ500" s="5">
        <f t="shared" si="373"/>
        <v>0</v>
      </c>
      <c r="BK500" s="5">
        <f t="shared" si="373"/>
        <v>0</v>
      </c>
      <c r="BL500" s="5">
        <f t="shared" si="373"/>
        <v>0</v>
      </c>
      <c r="BM500" s="5">
        <f t="shared" si="373"/>
        <v>0</v>
      </c>
      <c r="BN500" s="5">
        <f t="shared" si="373"/>
        <v>0</v>
      </c>
      <c r="BO500" s="5">
        <f t="shared" ref="BO500:CC515" si="381">IF($E500=BO$2,1,0)</f>
        <v>0</v>
      </c>
      <c r="BP500" s="5">
        <f t="shared" si="381"/>
        <v>0</v>
      </c>
      <c r="BQ500" s="5">
        <f t="shared" si="381"/>
        <v>0</v>
      </c>
      <c r="BR500" s="5">
        <f t="shared" si="381"/>
        <v>0</v>
      </c>
      <c r="BS500" s="5">
        <f t="shared" si="381"/>
        <v>0</v>
      </c>
      <c r="BT500" s="5">
        <f t="shared" si="381"/>
        <v>0</v>
      </c>
      <c r="BU500" s="5">
        <f t="shared" si="381"/>
        <v>0</v>
      </c>
      <c r="BV500" s="5">
        <f t="shared" si="381"/>
        <v>0</v>
      </c>
      <c r="BW500" s="5">
        <f t="shared" si="381"/>
        <v>0</v>
      </c>
      <c r="BX500" s="5">
        <f t="shared" si="381"/>
        <v>0</v>
      </c>
      <c r="BY500" s="5">
        <f t="shared" si="381"/>
        <v>0</v>
      </c>
      <c r="BZ500" s="5">
        <f t="shared" si="381"/>
        <v>0</v>
      </c>
      <c r="CA500" s="5">
        <f t="shared" si="381"/>
        <v>0</v>
      </c>
      <c r="CB500" s="5">
        <f t="shared" si="381"/>
        <v>1</v>
      </c>
      <c r="CC500" s="5">
        <f t="shared" si="380"/>
        <v>0</v>
      </c>
      <c r="CD500" s="5">
        <f t="shared" si="380"/>
        <v>0</v>
      </c>
      <c r="CE500" s="5">
        <f t="shared" si="380"/>
        <v>0</v>
      </c>
    </row>
    <row r="501" spans="1:83" x14ac:dyDescent="0.2">
      <c r="A501" s="11"/>
      <c r="B501" s="11"/>
      <c r="C501" s="1">
        <f>Growth!D506</f>
        <v>0.14074074074074072</v>
      </c>
      <c r="D501" s="5" t="b">
        <f t="shared" si="316"/>
        <v>0</v>
      </c>
      <c r="E501" s="5">
        <v>2012</v>
      </c>
      <c r="F501" s="5">
        <f ca="1">LOOKUP($E501,frequence!$A$2:$A$35,frequence!L$2:L$35)</f>
        <v>41.545638202606931</v>
      </c>
      <c r="G501" s="5">
        <f ca="1">LOOKUP($E501,frequence!$A$2:$A$35,frequence!K$2:K$35)</f>
        <v>3.8191206393393822</v>
      </c>
      <c r="H501" s="5">
        <f ca="1">LOOKUP($E501,frequence!$A$2:$A$35,frequence!M$2:M$35)</f>
        <v>265.64322815143237</v>
      </c>
      <c r="I501" s="5">
        <v>2007</v>
      </c>
      <c r="J501" s="7">
        <f>LOOKUP(I501,CPI!A$69:A$103,CPI!O$69:O$103)</f>
        <v>1.0516730811895323</v>
      </c>
      <c r="K501" s="5">
        <v>2010</v>
      </c>
      <c r="L501" s="7">
        <f t="shared" ca="1" si="317"/>
        <v>1</v>
      </c>
      <c r="M501" s="7">
        <f t="shared" si="333"/>
        <v>0.87259259259259248</v>
      </c>
      <c r="N501" s="14">
        <f>0.95*1*4/27</f>
        <v>0.14074074074074072</v>
      </c>
      <c r="O501" s="1">
        <f ca="1">P501*J501*(1+Growth!G$6)^(2010-K501)</f>
        <v>100.96061579419509</v>
      </c>
      <c r="P501" s="11">
        <v>96</v>
      </c>
      <c r="Q501" s="2">
        <f t="shared" si="374"/>
        <v>96</v>
      </c>
      <c r="R501" s="21">
        <f t="shared" ca="1" si="318"/>
        <v>10193.045941543076</v>
      </c>
      <c r="X501" s="2">
        <f t="shared" si="329"/>
        <v>96</v>
      </c>
      <c r="AC501" s="1">
        <f t="shared" si="375"/>
        <v>6.2</v>
      </c>
      <c r="AD501" s="5">
        <v>1</v>
      </c>
      <c r="AE501" s="5">
        <v>0</v>
      </c>
      <c r="AF501" s="5">
        <v>1</v>
      </c>
      <c r="AG501" s="5">
        <v>0</v>
      </c>
      <c r="AH501" s="5">
        <v>1</v>
      </c>
      <c r="AI501" s="3">
        <f t="shared" si="313"/>
        <v>3.2</v>
      </c>
      <c r="AJ501" s="5">
        <f t="shared" si="337"/>
        <v>0</v>
      </c>
      <c r="AK501" s="5">
        <f t="shared" si="319"/>
        <v>0</v>
      </c>
      <c r="AL501" s="5">
        <f t="shared" si="320"/>
        <v>0</v>
      </c>
      <c r="AM501" s="5">
        <f t="shared" si="339"/>
        <v>1</v>
      </c>
      <c r="AN501" s="5">
        <f t="shared" si="321"/>
        <v>0</v>
      </c>
      <c r="AO501" s="5">
        <f t="shared" si="340"/>
        <v>0</v>
      </c>
      <c r="AP501" s="1">
        <v>3</v>
      </c>
      <c r="AQ501" s="1">
        <v>1</v>
      </c>
      <c r="AR501" s="5">
        <v>0</v>
      </c>
      <c r="AS501" s="5">
        <v>0</v>
      </c>
      <c r="AT501" s="5">
        <v>1</v>
      </c>
      <c r="AU501" s="5">
        <v>0</v>
      </c>
      <c r="AV501" s="5">
        <v>0</v>
      </c>
      <c r="AW501" s="5">
        <v>0</v>
      </c>
      <c r="AX501" s="5">
        <v>1</v>
      </c>
      <c r="AY501" s="1">
        <f t="shared" si="376"/>
        <v>0</v>
      </c>
      <c r="AZ501" s="1">
        <f t="shared" si="377"/>
        <v>1</v>
      </c>
      <c r="BA501" s="1">
        <f t="shared" si="378"/>
        <v>0</v>
      </c>
      <c r="BB501" s="5">
        <v>0</v>
      </c>
      <c r="BC501" s="5">
        <v>0</v>
      </c>
      <c r="BD501" s="5">
        <v>0</v>
      </c>
      <c r="BE501" s="5">
        <f t="shared" si="379"/>
        <v>1</v>
      </c>
      <c r="BF501" s="5">
        <v>0</v>
      </c>
      <c r="BG501" s="5">
        <f t="shared" ref="BG501:BN516" si="382">IF($E501=BG$2,1,0)</f>
        <v>0</v>
      </c>
      <c r="BH501" s="5">
        <f t="shared" si="382"/>
        <v>0</v>
      </c>
      <c r="BI501" s="5">
        <f t="shared" si="382"/>
        <v>0</v>
      </c>
      <c r="BJ501" s="5">
        <f t="shared" si="382"/>
        <v>0</v>
      </c>
      <c r="BK501" s="5">
        <f t="shared" si="382"/>
        <v>0</v>
      </c>
      <c r="BL501" s="5">
        <f t="shared" si="382"/>
        <v>0</v>
      </c>
      <c r="BM501" s="5">
        <f t="shared" si="382"/>
        <v>0</v>
      </c>
      <c r="BN501" s="5">
        <f t="shared" si="382"/>
        <v>0</v>
      </c>
      <c r="BO501" s="5">
        <f t="shared" si="381"/>
        <v>0</v>
      </c>
      <c r="BP501" s="5">
        <f t="shared" si="381"/>
        <v>0</v>
      </c>
      <c r="BQ501" s="5">
        <f t="shared" si="381"/>
        <v>0</v>
      </c>
      <c r="BR501" s="5">
        <f t="shared" si="381"/>
        <v>0</v>
      </c>
      <c r="BS501" s="5">
        <f t="shared" si="381"/>
        <v>0</v>
      </c>
      <c r="BT501" s="5">
        <f t="shared" si="381"/>
        <v>0</v>
      </c>
      <c r="BU501" s="5">
        <f t="shared" si="381"/>
        <v>0</v>
      </c>
      <c r="BV501" s="5">
        <f t="shared" si="381"/>
        <v>0</v>
      </c>
      <c r="BW501" s="5">
        <f t="shared" si="381"/>
        <v>0</v>
      </c>
      <c r="BX501" s="5">
        <f t="shared" si="381"/>
        <v>0</v>
      </c>
      <c r="BY501" s="5">
        <f t="shared" si="381"/>
        <v>0</v>
      </c>
      <c r="BZ501" s="5">
        <f t="shared" si="381"/>
        <v>0</v>
      </c>
      <c r="CA501" s="5">
        <f t="shared" si="381"/>
        <v>0</v>
      </c>
      <c r="CB501" s="5">
        <f t="shared" si="381"/>
        <v>1</v>
      </c>
      <c r="CC501" s="5">
        <f t="shared" si="380"/>
        <v>0</v>
      </c>
      <c r="CD501" s="5">
        <f t="shared" si="380"/>
        <v>0</v>
      </c>
      <c r="CE501" s="5">
        <f t="shared" si="380"/>
        <v>0</v>
      </c>
    </row>
    <row r="502" spans="1:83" x14ac:dyDescent="0.2">
      <c r="A502" s="11" t="s">
        <v>113</v>
      </c>
      <c r="B502" s="11" t="s">
        <v>114</v>
      </c>
      <c r="C502" s="1">
        <f>Growth!D507</f>
        <v>0</v>
      </c>
      <c r="D502" s="5">
        <f t="shared" si="316"/>
        <v>2012</v>
      </c>
      <c r="E502" s="5">
        <v>2012</v>
      </c>
      <c r="F502" s="5">
        <f ca="1">LOOKUP($E502,frequence!$A$2:$A$35,frequence!L$2:L$35)</f>
        <v>41.545638202606931</v>
      </c>
      <c r="G502" s="5">
        <f ca="1">LOOKUP($E502,frequence!$A$2:$A$35,frequence!K$2:K$35)</f>
        <v>3.8191206393393822</v>
      </c>
      <c r="H502" s="5">
        <f ca="1">LOOKUP($E502,frequence!$A$2:$A$35,frequence!M$2:M$35)</f>
        <v>265.64322815143237</v>
      </c>
      <c r="I502" s="5">
        <v>2005</v>
      </c>
      <c r="J502" s="7">
        <f>LOOKUP(I502,CPI!A$69:A$103,CPI!O$69:O$103)</f>
        <v>1.1165181771633383</v>
      </c>
      <c r="K502" s="5">
        <v>2010</v>
      </c>
      <c r="L502" s="7">
        <f t="shared" ca="1" si="317"/>
        <v>1</v>
      </c>
      <c r="M502" s="7">
        <f t="shared" si="333"/>
        <v>0.12400000000000001</v>
      </c>
      <c r="N502" s="14">
        <v>0.02</v>
      </c>
      <c r="O502" s="1">
        <f ca="1">P502*J502*(1+Growth!G$6)^(2010-K502)</f>
        <v>6.5316313364055292</v>
      </c>
      <c r="P502" s="11">
        <v>5.85</v>
      </c>
      <c r="Q502" s="2">
        <f t="shared" si="374"/>
        <v>5.85</v>
      </c>
      <c r="R502" s="21">
        <f t="shared" ca="1" si="318"/>
        <v>42.662207914714678</v>
      </c>
      <c r="X502" s="2">
        <f t="shared" si="329"/>
        <v>5.85</v>
      </c>
      <c r="AC502" s="1">
        <f t="shared" ref="AC502:AC539" si="383">SUM(AD502:AI502)</f>
        <v>6.2</v>
      </c>
      <c r="AD502" s="5">
        <v>1</v>
      </c>
      <c r="AE502" s="5">
        <v>0</v>
      </c>
      <c r="AF502" s="5">
        <v>1</v>
      </c>
      <c r="AG502" s="5">
        <v>0</v>
      </c>
      <c r="AH502" s="5">
        <v>1</v>
      </c>
      <c r="AI502" s="3">
        <f t="shared" si="313"/>
        <v>3.2</v>
      </c>
      <c r="AJ502" s="5">
        <f t="shared" si="337"/>
        <v>1</v>
      </c>
      <c r="AK502" s="5">
        <f t="shared" si="319"/>
        <v>0</v>
      </c>
      <c r="AL502" s="5">
        <f t="shared" si="320"/>
        <v>0</v>
      </c>
      <c r="AM502" s="5">
        <f t="shared" si="339"/>
        <v>0</v>
      </c>
      <c r="AN502" s="5">
        <f t="shared" si="321"/>
        <v>0</v>
      </c>
      <c r="AO502" s="5">
        <f t="shared" si="340"/>
        <v>0</v>
      </c>
      <c r="AP502" s="1">
        <v>0</v>
      </c>
      <c r="AQ502" s="1">
        <v>3</v>
      </c>
      <c r="AR502" s="5">
        <v>0</v>
      </c>
      <c r="AS502" s="5">
        <v>0</v>
      </c>
      <c r="AT502" s="5">
        <v>1</v>
      </c>
      <c r="AU502" s="5">
        <v>0</v>
      </c>
      <c r="AV502" s="5">
        <v>0</v>
      </c>
      <c r="AW502" s="5">
        <v>0</v>
      </c>
      <c r="AX502" s="5">
        <v>1</v>
      </c>
      <c r="AY502" s="1">
        <f t="shared" ref="AY502:AY539" si="384">AJ502*$AD502*(1-$AV502)*(1-$AR502)</f>
        <v>1</v>
      </c>
      <c r="AZ502" s="1">
        <f t="shared" ref="AZ502:AZ539" si="385">AM502*$AD502*(1-$AV502)*(1-$AR502)</f>
        <v>0</v>
      </c>
      <c r="BA502" s="1">
        <f t="shared" ref="BA502:BA539" si="386">AO502*$AD502*(1-$AV502)*(1-$AR502)</f>
        <v>0</v>
      </c>
      <c r="BB502" s="5">
        <v>0</v>
      </c>
      <c r="BC502" s="5">
        <v>0</v>
      </c>
      <c r="BD502" s="5">
        <v>0</v>
      </c>
      <c r="BE502" s="5">
        <f t="shared" ref="BE502:BE539" si="387">1-SUM(BB502:BD502)</f>
        <v>1</v>
      </c>
      <c r="BF502" s="5">
        <v>0</v>
      </c>
      <c r="BG502" s="5">
        <f t="shared" si="382"/>
        <v>0</v>
      </c>
      <c r="BH502" s="5">
        <f t="shared" si="382"/>
        <v>0</v>
      </c>
      <c r="BI502" s="5">
        <f t="shared" si="382"/>
        <v>0</v>
      </c>
      <c r="BJ502" s="5">
        <f t="shared" si="382"/>
        <v>0</v>
      </c>
      <c r="BK502" s="5">
        <f t="shared" si="382"/>
        <v>0</v>
      </c>
      <c r="BL502" s="5">
        <f t="shared" si="382"/>
        <v>0</v>
      </c>
      <c r="BM502" s="5">
        <f t="shared" si="382"/>
        <v>0</v>
      </c>
      <c r="BN502" s="5">
        <f t="shared" si="382"/>
        <v>0</v>
      </c>
      <c r="BO502" s="5">
        <f t="shared" si="381"/>
        <v>0</v>
      </c>
      <c r="BP502" s="5">
        <f t="shared" si="381"/>
        <v>0</v>
      </c>
      <c r="BQ502" s="5">
        <f t="shared" si="381"/>
        <v>0</v>
      </c>
      <c r="BR502" s="5">
        <f t="shared" si="381"/>
        <v>0</v>
      </c>
      <c r="BS502" s="5">
        <f t="shared" si="381"/>
        <v>0</v>
      </c>
      <c r="BT502" s="5">
        <f t="shared" si="381"/>
        <v>0</v>
      </c>
      <c r="BU502" s="5">
        <f t="shared" si="381"/>
        <v>0</v>
      </c>
      <c r="BV502" s="5">
        <f t="shared" si="381"/>
        <v>0</v>
      </c>
      <c r="BW502" s="5">
        <f t="shared" si="381"/>
        <v>0</v>
      </c>
      <c r="BX502" s="5">
        <f t="shared" si="381"/>
        <v>0</v>
      </c>
      <c r="BY502" s="5">
        <f t="shared" si="381"/>
        <v>0</v>
      </c>
      <c r="BZ502" s="5">
        <f t="shared" si="381"/>
        <v>0</v>
      </c>
      <c r="CA502" s="5">
        <f t="shared" si="381"/>
        <v>0</v>
      </c>
      <c r="CB502" s="5">
        <f t="shared" si="381"/>
        <v>1</v>
      </c>
      <c r="CC502" s="5">
        <f t="shared" si="380"/>
        <v>0</v>
      </c>
      <c r="CD502" s="5">
        <f t="shared" si="380"/>
        <v>0</v>
      </c>
      <c r="CE502" s="5">
        <f t="shared" si="380"/>
        <v>0</v>
      </c>
    </row>
    <row r="503" spans="1:83" x14ac:dyDescent="0.2">
      <c r="A503" s="11"/>
      <c r="B503" s="11"/>
      <c r="C503" s="1">
        <f>Growth!D508</f>
        <v>0</v>
      </c>
      <c r="D503" s="5" t="b">
        <f t="shared" si="316"/>
        <v>0</v>
      </c>
      <c r="E503" s="5">
        <v>2012</v>
      </c>
      <c r="F503" s="5">
        <f ca="1">LOOKUP($E503,frequence!$A$2:$A$35,frequence!L$2:L$35)</f>
        <v>41.545638202606931</v>
      </c>
      <c r="G503" s="5">
        <f ca="1">LOOKUP($E503,frequence!$A$2:$A$35,frequence!K$2:K$35)</f>
        <v>3.8191206393393822</v>
      </c>
      <c r="H503" s="5">
        <f ca="1">LOOKUP($E503,frequence!$A$2:$A$35,frequence!M$2:M$35)</f>
        <v>265.64322815143237</v>
      </c>
      <c r="I503" s="5">
        <v>2005</v>
      </c>
      <c r="J503" s="7">
        <f>LOOKUP(I503,CPI!A$69:A$103,CPI!O$69:O$103)</f>
        <v>1.1165181771633383</v>
      </c>
      <c r="K503" s="5">
        <v>2010</v>
      </c>
      <c r="L503" s="7">
        <f t="shared" ca="1" si="317"/>
        <v>1</v>
      </c>
      <c r="M503" s="7">
        <f t="shared" si="333"/>
        <v>3.0379999999999998</v>
      </c>
      <c r="N503" s="14">
        <v>0.49</v>
      </c>
      <c r="O503" s="1">
        <f ca="1">P503*J503*(1+Growth!G$6)^(2010-K503)</f>
        <v>18.098759651817716</v>
      </c>
      <c r="P503" s="11">
        <v>16.21</v>
      </c>
      <c r="Q503" s="2">
        <f t="shared" si="374"/>
        <v>16.21</v>
      </c>
      <c r="R503" s="21">
        <f t="shared" ca="1" si="318"/>
        <v>327.56510093426493</v>
      </c>
      <c r="X503" s="2">
        <f t="shared" si="329"/>
        <v>16.21</v>
      </c>
      <c r="AC503" s="1">
        <f t="shared" si="383"/>
        <v>6.2</v>
      </c>
      <c r="AD503" s="5">
        <v>1</v>
      </c>
      <c r="AE503" s="5">
        <v>0</v>
      </c>
      <c r="AF503" s="5">
        <v>1</v>
      </c>
      <c r="AG503" s="5">
        <v>0</v>
      </c>
      <c r="AH503" s="5">
        <v>1</v>
      </c>
      <c r="AI503" s="3">
        <f t="shared" si="313"/>
        <v>3.2</v>
      </c>
      <c r="AJ503" s="5">
        <f t="shared" si="337"/>
        <v>1</v>
      </c>
      <c r="AK503" s="5">
        <f t="shared" si="319"/>
        <v>0</v>
      </c>
      <c r="AL503" s="5">
        <f t="shared" si="320"/>
        <v>0</v>
      </c>
      <c r="AM503" s="5">
        <f t="shared" si="339"/>
        <v>0</v>
      </c>
      <c r="AN503" s="5">
        <f t="shared" si="321"/>
        <v>0</v>
      </c>
      <c r="AO503" s="5">
        <f t="shared" si="340"/>
        <v>0</v>
      </c>
      <c r="AP503" s="1">
        <v>0</v>
      </c>
      <c r="AQ503" s="1">
        <v>3</v>
      </c>
      <c r="AR503" s="5">
        <v>0</v>
      </c>
      <c r="AS503" s="5">
        <v>0</v>
      </c>
      <c r="AT503" s="5">
        <v>1</v>
      </c>
      <c r="AU503" s="5">
        <v>0</v>
      </c>
      <c r="AV503" s="5">
        <v>0</v>
      </c>
      <c r="AW503" s="5">
        <v>0</v>
      </c>
      <c r="AX503" s="5">
        <v>1</v>
      </c>
      <c r="AY503" s="1">
        <f t="shared" si="384"/>
        <v>1</v>
      </c>
      <c r="AZ503" s="1">
        <f t="shared" si="385"/>
        <v>0</v>
      </c>
      <c r="BA503" s="1">
        <f t="shared" si="386"/>
        <v>0</v>
      </c>
      <c r="BB503" s="5">
        <v>0</v>
      </c>
      <c r="BC503" s="5">
        <v>0</v>
      </c>
      <c r="BD503" s="5">
        <v>0</v>
      </c>
      <c r="BE503" s="5">
        <f t="shared" si="387"/>
        <v>1</v>
      </c>
      <c r="BF503" s="5">
        <v>0</v>
      </c>
      <c r="BG503" s="5">
        <f t="shared" si="382"/>
        <v>0</v>
      </c>
      <c r="BH503" s="5">
        <f t="shared" si="382"/>
        <v>0</v>
      </c>
      <c r="BI503" s="5">
        <f t="shared" si="382"/>
        <v>0</v>
      </c>
      <c r="BJ503" s="5">
        <f t="shared" si="382"/>
        <v>0</v>
      </c>
      <c r="BK503" s="5">
        <f t="shared" si="382"/>
        <v>0</v>
      </c>
      <c r="BL503" s="5">
        <f t="shared" si="382"/>
        <v>0</v>
      </c>
      <c r="BM503" s="5">
        <f t="shared" si="382"/>
        <v>0</v>
      </c>
      <c r="BN503" s="5">
        <f t="shared" si="382"/>
        <v>0</v>
      </c>
      <c r="BO503" s="5">
        <f t="shared" si="381"/>
        <v>0</v>
      </c>
      <c r="BP503" s="5">
        <f t="shared" si="381"/>
        <v>0</v>
      </c>
      <c r="BQ503" s="5">
        <f t="shared" si="381"/>
        <v>0</v>
      </c>
      <c r="BR503" s="5">
        <f t="shared" si="381"/>
        <v>0</v>
      </c>
      <c r="BS503" s="5">
        <f t="shared" si="381"/>
        <v>0</v>
      </c>
      <c r="BT503" s="5">
        <f t="shared" si="381"/>
        <v>0</v>
      </c>
      <c r="BU503" s="5">
        <f t="shared" si="381"/>
        <v>0</v>
      </c>
      <c r="BV503" s="5">
        <f t="shared" si="381"/>
        <v>0</v>
      </c>
      <c r="BW503" s="5">
        <f t="shared" si="381"/>
        <v>0</v>
      </c>
      <c r="BX503" s="5">
        <f t="shared" si="381"/>
        <v>0</v>
      </c>
      <c r="BY503" s="5">
        <f t="shared" si="381"/>
        <v>0</v>
      </c>
      <c r="BZ503" s="5">
        <f t="shared" si="381"/>
        <v>0</v>
      </c>
      <c r="CA503" s="5">
        <f t="shared" si="381"/>
        <v>0</v>
      </c>
      <c r="CB503" s="5">
        <f t="shared" si="381"/>
        <v>1</v>
      </c>
      <c r="CC503" s="5">
        <f t="shared" si="380"/>
        <v>0</v>
      </c>
      <c r="CD503" s="5">
        <f t="shared" si="380"/>
        <v>0</v>
      </c>
      <c r="CE503" s="5">
        <f t="shared" si="380"/>
        <v>0</v>
      </c>
    </row>
    <row r="504" spans="1:83" x14ac:dyDescent="0.2">
      <c r="A504" s="11"/>
      <c r="B504" s="11"/>
      <c r="C504" s="1">
        <f>Growth!D509</f>
        <v>0</v>
      </c>
      <c r="D504" s="5" t="b">
        <f t="shared" si="316"/>
        <v>0</v>
      </c>
      <c r="E504" s="5">
        <v>2012</v>
      </c>
      <c r="F504" s="5">
        <f ca="1">LOOKUP($E504,frequence!$A$2:$A$35,frequence!L$2:L$35)</f>
        <v>41.545638202606931</v>
      </c>
      <c r="G504" s="5">
        <f ca="1">LOOKUP($E504,frequence!$A$2:$A$35,frequence!K$2:K$35)</f>
        <v>3.8191206393393822</v>
      </c>
      <c r="H504" s="5">
        <f ca="1">LOOKUP($E504,frequence!$A$2:$A$35,frequence!M$2:M$35)</f>
        <v>265.64322815143237</v>
      </c>
      <c r="I504" s="5">
        <v>2005</v>
      </c>
      <c r="J504" s="7">
        <f>LOOKUP(I504,CPI!A$69:A$103,CPI!O$69:O$103)</f>
        <v>1.1165181771633383</v>
      </c>
      <c r="K504" s="5">
        <v>2010</v>
      </c>
      <c r="L504" s="7">
        <f t="shared" ca="1" si="317"/>
        <v>1</v>
      </c>
      <c r="M504" s="7">
        <f t="shared" si="333"/>
        <v>3.0379999999999998</v>
      </c>
      <c r="N504" s="14">
        <v>0.49</v>
      </c>
      <c r="O504" s="1">
        <f ca="1">P504*J504*(1+Growth!G$6)^(2010-K504)</f>
        <v>20.074996825396823</v>
      </c>
      <c r="P504" s="11">
        <v>17.98</v>
      </c>
      <c r="Q504" s="2">
        <f t="shared" si="374"/>
        <v>17.98</v>
      </c>
      <c r="R504" s="21">
        <f t="shared" ca="1" si="318"/>
        <v>403.00549753969256</v>
      </c>
      <c r="X504" s="2">
        <f t="shared" si="329"/>
        <v>17.98</v>
      </c>
      <c r="AC504" s="1">
        <f t="shared" si="383"/>
        <v>6.2</v>
      </c>
      <c r="AD504" s="5">
        <v>1</v>
      </c>
      <c r="AE504" s="5">
        <v>0</v>
      </c>
      <c r="AF504" s="5">
        <v>1</v>
      </c>
      <c r="AG504" s="5">
        <v>0</v>
      </c>
      <c r="AH504" s="5">
        <v>1</v>
      </c>
      <c r="AI504" s="3">
        <f t="shared" si="313"/>
        <v>3.2</v>
      </c>
      <c r="AJ504" s="5">
        <f t="shared" si="337"/>
        <v>1</v>
      </c>
      <c r="AK504" s="5">
        <f t="shared" si="319"/>
        <v>0</v>
      </c>
      <c r="AL504" s="5">
        <f t="shared" si="320"/>
        <v>0</v>
      </c>
      <c r="AM504" s="5">
        <f t="shared" si="339"/>
        <v>0</v>
      </c>
      <c r="AN504" s="5">
        <f t="shared" si="321"/>
        <v>0</v>
      </c>
      <c r="AO504" s="5">
        <f t="shared" si="340"/>
        <v>0</v>
      </c>
      <c r="AP504" s="1">
        <v>0</v>
      </c>
      <c r="AQ504" s="1">
        <v>3</v>
      </c>
      <c r="AR504" s="5">
        <v>0</v>
      </c>
      <c r="AS504" s="5">
        <v>0</v>
      </c>
      <c r="AT504" s="5">
        <v>1</v>
      </c>
      <c r="AU504" s="5">
        <v>0</v>
      </c>
      <c r="AV504" s="5">
        <v>0</v>
      </c>
      <c r="AW504" s="5">
        <v>0</v>
      </c>
      <c r="AX504" s="5">
        <v>1</v>
      </c>
      <c r="AY504" s="1">
        <f t="shared" si="384"/>
        <v>1</v>
      </c>
      <c r="AZ504" s="1">
        <f t="shared" si="385"/>
        <v>0</v>
      </c>
      <c r="BA504" s="1">
        <f t="shared" si="386"/>
        <v>0</v>
      </c>
      <c r="BB504" s="5">
        <v>0</v>
      </c>
      <c r="BC504" s="5">
        <v>0</v>
      </c>
      <c r="BD504" s="5">
        <v>0</v>
      </c>
      <c r="BE504" s="5">
        <f t="shared" si="387"/>
        <v>1</v>
      </c>
      <c r="BF504" s="5">
        <v>0</v>
      </c>
      <c r="BG504" s="5">
        <f t="shared" si="382"/>
        <v>0</v>
      </c>
      <c r="BH504" s="5">
        <f t="shared" si="382"/>
        <v>0</v>
      </c>
      <c r="BI504" s="5">
        <f t="shared" si="382"/>
        <v>0</v>
      </c>
      <c r="BJ504" s="5">
        <f t="shared" si="382"/>
        <v>0</v>
      </c>
      <c r="BK504" s="5">
        <f t="shared" si="382"/>
        <v>0</v>
      </c>
      <c r="BL504" s="5">
        <f t="shared" si="382"/>
        <v>0</v>
      </c>
      <c r="BM504" s="5">
        <f t="shared" si="382"/>
        <v>0</v>
      </c>
      <c r="BN504" s="5">
        <f t="shared" si="382"/>
        <v>0</v>
      </c>
      <c r="BO504" s="5">
        <f t="shared" si="381"/>
        <v>0</v>
      </c>
      <c r="BP504" s="5">
        <f t="shared" si="381"/>
        <v>0</v>
      </c>
      <c r="BQ504" s="5">
        <f t="shared" si="381"/>
        <v>0</v>
      </c>
      <c r="BR504" s="5">
        <f t="shared" si="381"/>
        <v>0</v>
      </c>
      <c r="BS504" s="5">
        <f t="shared" si="381"/>
        <v>0</v>
      </c>
      <c r="BT504" s="5">
        <f t="shared" si="381"/>
        <v>0</v>
      </c>
      <c r="BU504" s="5">
        <f t="shared" si="381"/>
        <v>0</v>
      </c>
      <c r="BV504" s="5">
        <f t="shared" si="381"/>
        <v>0</v>
      </c>
      <c r="BW504" s="5">
        <f t="shared" si="381"/>
        <v>0</v>
      </c>
      <c r="BX504" s="5">
        <f t="shared" si="381"/>
        <v>0</v>
      </c>
      <c r="BY504" s="5">
        <f t="shared" si="381"/>
        <v>0</v>
      </c>
      <c r="BZ504" s="5">
        <f t="shared" si="381"/>
        <v>0</v>
      </c>
      <c r="CA504" s="5">
        <f t="shared" si="381"/>
        <v>0</v>
      </c>
      <c r="CB504" s="5">
        <f t="shared" si="381"/>
        <v>1</v>
      </c>
      <c r="CC504" s="5">
        <f t="shared" si="380"/>
        <v>0</v>
      </c>
      <c r="CD504" s="5">
        <f t="shared" si="380"/>
        <v>0</v>
      </c>
      <c r="CE504" s="5">
        <f t="shared" si="380"/>
        <v>0</v>
      </c>
    </row>
    <row r="505" spans="1:83" x14ac:dyDescent="0.2">
      <c r="A505" s="11" t="s">
        <v>63</v>
      </c>
      <c r="B505" s="11" t="s">
        <v>134</v>
      </c>
      <c r="C505" s="1">
        <f>Growth!D510</f>
        <v>5.8823529411764705E-2</v>
      </c>
      <c r="D505" s="5">
        <f t="shared" si="316"/>
        <v>2011</v>
      </c>
      <c r="E505" s="5">
        <v>2011</v>
      </c>
      <c r="F505" s="5">
        <f ca="1">LOOKUP($E505,frequence!$A$2:$A$35,frequence!L$2:L$35)</f>
        <v>33.053542446246631</v>
      </c>
      <c r="G505" s="5">
        <f ca="1">LOOKUP($E505,frequence!$A$2:$A$35,frequence!K$2:K$35)</f>
        <v>2.1388579511305732</v>
      </c>
      <c r="H505" s="5">
        <f ca="1">LOOKUP($E505,frequence!$A$2:$A$35,frequence!M$2:M$35)</f>
        <v>182.11948132765423</v>
      </c>
      <c r="I505" s="5">
        <v>1995</v>
      </c>
      <c r="J505" s="7">
        <f>LOOKUP(I505,CPI!A$69:A$103,CPI!O$69:O$103)</f>
        <v>1.4308136482939633</v>
      </c>
      <c r="K505" s="5">
        <v>2015</v>
      </c>
      <c r="L505" s="7">
        <f t="shared" ca="1" si="317"/>
        <v>1</v>
      </c>
      <c r="M505" s="7">
        <f t="shared" si="333"/>
        <v>0.35882352941176465</v>
      </c>
      <c r="N505" s="14">
        <f>2/34</f>
        <v>5.8823529411764705E-2</v>
      </c>
      <c r="O505" s="1">
        <f ca="1">P505*J505*(1+Growth!G$6)^(2010-K505)</f>
        <v>1.7653941780655935</v>
      </c>
      <c r="P505" s="11">
        <v>1.33</v>
      </c>
      <c r="Q505" s="2">
        <f t="shared" si="374"/>
        <v>1.33</v>
      </c>
      <c r="R505" s="21">
        <f t="shared" ca="1" si="318"/>
        <v>3.1166166039478926</v>
      </c>
      <c r="X505" s="2">
        <f t="shared" si="329"/>
        <v>1.33</v>
      </c>
      <c r="AC505" s="1">
        <f t="shared" ref="AC505:AC519" si="388">SUM(AD505:AI505)</f>
        <v>6.1</v>
      </c>
      <c r="AD505" s="5">
        <v>0</v>
      </c>
      <c r="AE505" s="5">
        <v>0</v>
      </c>
      <c r="AF505" s="5">
        <v>1</v>
      </c>
      <c r="AG505" s="5">
        <v>1</v>
      </c>
      <c r="AH505" s="5">
        <v>1</v>
      </c>
      <c r="AI505" s="3">
        <f t="shared" si="313"/>
        <v>3.1</v>
      </c>
      <c r="AJ505" s="5">
        <f t="shared" si="337"/>
        <v>1</v>
      </c>
      <c r="AK505" s="5">
        <f t="shared" si="319"/>
        <v>0</v>
      </c>
      <c r="AL505" s="5">
        <f t="shared" si="320"/>
        <v>0</v>
      </c>
      <c r="AM505" s="5">
        <f t="shared" si="339"/>
        <v>0</v>
      </c>
      <c r="AN505" s="5">
        <f t="shared" si="321"/>
        <v>0</v>
      </c>
      <c r="AO505" s="5">
        <f t="shared" si="340"/>
        <v>0</v>
      </c>
      <c r="AP505" s="11" t="s">
        <v>42</v>
      </c>
      <c r="AQ505" s="1">
        <v>3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1</v>
      </c>
      <c r="AY505" s="1">
        <f t="shared" ref="AY505:AY519" si="389">AJ505*$AD505*(1-$AV505)*(1-$AR505)</f>
        <v>0</v>
      </c>
      <c r="AZ505" s="1">
        <f t="shared" ref="AZ505:AZ519" si="390">AM505*$AD505*(1-$AV505)*(1-$AR505)</f>
        <v>0</v>
      </c>
      <c r="BA505" s="1">
        <f t="shared" ref="BA505:BA519" si="391">AO505*$AD505*(1-$AV505)*(1-$AR505)</f>
        <v>0</v>
      </c>
      <c r="BB505" s="5">
        <v>0</v>
      </c>
      <c r="BC505" s="5">
        <v>0</v>
      </c>
      <c r="BD505" s="5">
        <v>1</v>
      </c>
      <c r="BE505" s="5">
        <f t="shared" ref="BE505:BE519" si="392">1-SUM(BB505:BD505)</f>
        <v>0</v>
      </c>
      <c r="BF505" s="5">
        <v>0</v>
      </c>
      <c r="BG505" s="5">
        <f t="shared" si="382"/>
        <v>0</v>
      </c>
      <c r="BH505" s="5">
        <f t="shared" si="382"/>
        <v>0</v>
      </c>
      <c r="BI505" s="5">
        <f t="shared" si="382"/>
        <v>0</v>
      </c>
      <c r="BJ505" s="5">
        <f t="shared" si="382"/>
        <v>0</v>
      </c>
      <c r="BK505" s="5">
        <f t="shared" si="382"/>
        <v>0</v>
      </c>
      <c r="BL505" s="5">
        <f t="shared" si="382"/>
        <v>0</v>
      </c>
      <c r="BM505" s="5">
        <f t="shared" si="382"/>
        <v>0</v>
      </c>
      <c r="BN505" s="5">
        <f t="shared" si="382"/>
        <v>0</v>
      </c>
      <c r="BO505" s="5">
        <f t="shared" si="381"/>
        <v>0</v>
      </c>
      <c r="BP505" s="5">
        <f t="shared" si="381"/>
        <v>0</v>
      </c>
      <c r="BQ505" s="5">
        <f t="shared" si="381"/>
        <v>0</v>
      </c>
      <c r="BR505" s="5">
        <f t="shared" si="381"/>
        <v>0</v>
      </c>
      <c r="BS505" s="5">
        <f t="shared" si="381"/>
        <v>0</v>
      </c>
      <c r="BT505" s="5">
        <f t="shared" si="381"/>
        <v>0</v>
      </c>
      <c r="BU505" s="5">
        <f t="shared" si="381"/>
        <v>0</v>
      </c>
      <c r="BV505" s="5">
        <f t="shared" si="381"/>
        <v>0</v>
      </c>
      <c r="BW505" s="5">
        <f t="shared" si="381"/>
        <v>0</v>
      </c>
      <c r="BX505" s="5">
        <f t="shared" si="381"/>
        <v>0</v>
      </c>
      <c r="BY505" s="5">
        <f t="shared" si="381"/>
        <v>0</v>
      </c>
      <c r="BZ505" s="5">
        <f t="shared" si="381"/>
        <v>0</v>
      </c>
      <c r="CA505" s="5">
        <f t="shared" si="381"/>
        <v>1</v>
      </c>
      <c r="CB505" s="5">
        <f t="shared" si="381"/>
        <v>0</v>
      </c>
      <c r="CC505" s="5">
        <f t="shared" si="380"/>
        <v>0</v>
      </c>
      <c r="CD505" s="5">
        <f t="shared" si="380"/>
        <v>0</v>
      </c>
      <c r="CE505" s="5">
        <f t="shared" si="380"/>
        <v>0</v>
      </c>
    </row>
    <row r="506" spans="1:83" x14ac:dyDescent="0.2">
      <c r="A506" s="11"/>
      <c r="B506" s="11" t="s">
        <v>135</v>
      </c>
      <c r="C506" s="1">
        <f>Growth!D511</f>
        <v>5.8823529411764705E-2</v>
      </c>
      <c r="D506" s="5">
        <f t="shared" si="316"/>
        <v>2011</v>
      </c>
      <c r="E506" s="5">
        <v>2011</v>
      </c>
      <c r="F506" s="5">
        <f ca="1">LOOKUP($E506,frequence!$A$2:$A$35,frequence!L$2:L$35)</f>
        <v>33.053542446246631</v>
      </c>
      <c r="G506" s="5">
        <f ca="1">LOOKUP($E506,frequence!$A$2:$A$35,frequence!K$2:K$35)</f>
        <v>2.1388579511305732</v>
      </c>
      <c r="H506" s="5">
        <f ca="1">LOOKUP($E506,frequence!$A$2:$A$35,frequence!M$2:M$35)</f>
        <v>182.11948132765423</v>
      </c>
      <c r="I506" s="5">
        <v>1995</v>
      </c>
      <c r="J506" s="7">
        <f>LOOKUP(I506,CPI!A$69:A$103,CPI!O$69:O$103)</f>
        <v>1.4308136482939633</v>
      </c>
      <c r="K506" s="5">
        <v>2015</v>
      </c>
      <c r="L506" s="7">
        <f t="shared" ca="1" si="317"/>
        <v>1</v>
      </c>
      <c r="M506" s="7">
        <f t="shared" si="333"/>
        <v>0.35882352941176465</v>
      </c>
      <c r="N506" s="14">
        <f t="shared" ref="N506:N522" si="393">2/34</f>
        <v>5.8823529411764705E-2</v>
      </c>
      <c r="O506" s="1">
        <f ca="1">P506*J506*(1+Growth!G$6)^(2010-K506)</f>
        <v>40.219130522847735</v>
      </c>
      <c r="P506" s="11">
        <v>30.3</v>
      </c>
      <c r="Q506" s="2">
        <f t="shared" si="374"/>
        <v>30.3</v>
      </c>
      <c r="R506" s="21">
        <f t="shared" ca="1" si="318"/>
        <v>1617.5784600138622</v>
      </c>
      <c r="X506" s="2">
        <f t="shared" si="329"/>
        <v>30.3</v>
      </c>
      <c r="AC506" s="1">
        <f t="shared" si="388"/>
        <v>6.1</v>
      </c>
      <c r="AD506" s="5">
        <v>0</v>
      </c>
      <c r="AE506" s="5">
        <v>0</v>
      </c>
      <c r="AF506" s="5">
        <v>1</v>
      </c>
      <c r="AG506" s="5">
        <v>1</v>
      </c>
      <c r="AH506" s="5">
        <v>1</v>
      </c>
      <c r="AI506" s="3">
        <f t="shared" si="313"/>
        <v>3.1</v>
      </c>
      <c r="AJ506" s="5">
        <f t="shared" si="337"/>
        <v>0</v>
      </c>
      <c r="AK506" s="5">
        <f t="shared" si="319"/>
        <v>0</v>
      </c>
      <c r="AL506" s="5">
        <f t="shared" si="320"/>
        <v>0</v>
      </c>
      <c r="AM506" s="5">
        <f t="shared" si="339"/>
        <v>1</v>
      </c>
      <c r="AN506" s="5">
        <f t="shared" si="321"/>
        <v>0</v>
      </c>
      <c r="AO506" s="5">
        <f t="shared" si="340"/>
        <v>0</v>
      </c>
      <c r="AP506" s="11" t="s">
        <v>42</v>
      </c>
      <c r="AQ506" s="1">
        <v>1</v>
      </c>
      <c r="AR506" s="5">
        <v>0</v>
      </c>
      <c r="AS506" s="5">
        <v>1</v>
      </c>
      <c r="AT506" s="5">
        <v>0</v>
      </c>
      <c r="AU506" s="5">
        <v>0</v>
      </c>
      <c r="AV506" s="5">
        <v>0</v>
      </c>
      <c r="AW506" s="5">
        <v>0</v>
      </c>
      <c r="AX506" s="5">
        <v>1</v>
      </c>
      <c r="AY506" s="1">
        <f t="shared" si="389"/>
        <v>0</v>
      </c>
      <c r="AZ506" s="1">
        <f t="shared" si="390"/>
        <v>0</v>
      </c>
      <c r="BA506" s="1">
        <f t="shared" si="391"/>
        <v>0</v>
      </c>
      <c r="BB506" s="5">
        <v>0</v>
      </c>
      <c r="BC506" s="5">
        <v>0</v>
      </c>
      <c r="BD506" s="5">
        <v>1</v>
      </c>
      <c r="BE506" s="5">
        <f t="shared" si="392"/>
        <v>0</v>
      </c>
      <c r="BF506" s="5">
        <v>0</v>
      </c>
      <c r="BG506" s="5">
        <f t="shared" si="382"/>
        <v>0</v>
      </c>
      <c r="BH506" s="5">
        <f t="shared" si="382"/>
        <v>0</v>
      </c>
      <c r="BI506" s="5">
        <f t="shared" si="382"/>
        <v>0</v>
      </c>
      <c r="BJ506" s="5">
        <f t="shared" si="382"/>
        <v>0</v>
      </c>
      <c r="BK506" s="5">
        <f t="shared" si="382"/>
        <v>0</v>
      </c>
      <c r="BL506" s="5">
        <f t="shared" si="382"/>
        <v>0</v>
      </c>
      <c r="BM506" s="5">
        <f t="shared" si="382"/>
        <v>0</v>
      </c>
      <c r="BN506" s="5">
        <f t="shared" si="382"/>
        <v>0</v>
      </c>
      <c r="BO506" s="5">
        <f t="shared" si="381"/>
        <v>0</v>
      </c>
      <c r="BP506" s="5">
        <f t="shared" si="381"/>
        <v>0</v>
      </c>
      <c r="BQ506" s="5">
        <f t="shared" si="381"/>
        <v>0</v>
      </c>
      <c r="BR506" s="5">
        <f t="shared" si="381"/>
        <v>0</v>
      </c>
      <c r="BS506" s="5">
        <f t="shared" si="381"/>
        <v>0</v>
      </c>
      <c r="BT506" s="5">
        <f t="shared" si="381"/>
        <v>0</v>
      </c>
      <c r="BU506" s="5">
        <f t="shared" si="381"/>
        <v>0</v>
      </c>
      <c r="BV506" s="5">
        <f t="shared" si="381"/>
        <v>0</v>
      </c>
      <c r="BW506" s="5">
        <f t="shared" si="381"/>
        <v>0</v>
      </c>
      <c r="BX506" s="5">
        <f t="shared" si="381"/>
        <v>0</v>
      </c>
      <c r="BY506" s="5">
        <f t="shared" si="381"/>
        <v>0</v>
      </c>
      <c r="BZ506" s="5">
        <f t="shared" si="381"/>
        <v>0</v>
      </c>
      <c r="CA506" s="5">
        <f t="shared" si="381"/>
        <v>1</v>
      </c>
      <c r="CB506" s="5">
        <f t="shared" si="381"/>
        <v>0</v>
      </c>
      <c r="CC506" s="5">
        <f t="shared" si="380"/>
        <v>0</v>
      </c>
      <c r="CD506" s="5">
        <f t="shared" si="380"/>
        <v>0</v>
      </c>
      <c r="CE506" s="5">
        <f t="shared" si="380"/>
        <v>0</v>
      </c>
    </row>
    <row r="507" spans="1:83" x14ac:dyDescent="0.2">
      <c r="A507" s="11"/>
      <c r="B507" s="11"/>
      <c r="C507" s="1">
        <f>Growth!D512</f>
        <v>5.8823529411764705E-2</v>
      </c>
      <c r="D507" s="5" t="b">
        <f t="shared" si="316"/>
        <v>0</v>
      </c>
      <c r="E507" s="5">
        <v>2011</v>
      </c>
      <c r="F507" s="5">
        <f ca="1">LOOKUP($E507,frequence!$A$2:$A$35,frequence!L$2:L$35)</f>
        <v>33.053542446246631</v>
      </c>
      <c r="G507" s="5">
        <f ca="1">LOOKUP($E507,frequence!$A$2:$A$35,frequence!K$2:K$35)</f>
        <v>2.1388579511305732</v>
      </c>
      <c r="H507" s="5">
        <f ca="1">LOOKUP($E507,frequence!$A$2:$A$35,frequence!M$2:M$35)</f>
        <v>182.11948132765423</v>
      </c>
      <c r="I507" s="5">
        <v>1995</v>
      </c>
      <c r="J507" s="7">
        <f>LOOKUP(I507,CPI!A$69:A$103,CPI!O$69:O$103)</f>
        <v>1.4308136482939633</v>
      </c>
      <c r="K507" s="5">
        <v>2015</v>
      </c>
      <c r="L507" s="7">
        <f t="shared" ca="1" si="317"/>
        <v>1</v>
      </c>
      <c r="M507" s="7">
        <f t="shared" si="333"/>
        <v>0.35882352941176465</v>
      </c>
      <c r="N507" s="14">
        <f t="shared" si="393"/>
        <v>5.8823529411764705E-2</v>
      </c>
      <c r="O507" s="1">
        <f ca="1">P507*J507*(1+Growth!G$6)^(2010-K507)</f>
        <v>246.88971212045143</v>
      </c>
      <c r="P507" s="11">
        <v>186</v>
      </c>
      <c r="Q507" s="2">
        <f t="shared" si="374"/>
        <v>186</v>
      </c>
      <c r="R507" s="21">
        <f t="shared" ca="1" si="318"/>
        <v>60954.529950919386</v>
      </c>
      <c r="X507" s="2">
        <f t="shared" si="329"/>
        <v>186</v>
      </c>
      <c r="AC507" s="1">
        <f t="shared" si="388"/>
        <v>6.1</v>
      </c>
      <c r="AD507" s="5">
        <v>0</v>
      </c>
      <c r="AE507" s="5">
        <v>0</v>
      </c>
      <c r="AF507" s="5">
        <v>1</v>
      </c>
      <c r="AG507" s="5">
        <v>1</v>
      </c>
      <c r="AH507" s="5">
        <v>1</v>
      </c>
      <c r="AI507" s="3">
        <f t="shared" si="313"/>
        <v>3.1</v>
      </c>
      <c r="AJ507" s="5">
        <f t="shared" si="337"/>
        <v>0</v>
      </c>
      <c r="AK507" s="5">
        <f t="shared" si="319"/>
        <v>0</v>
      </c>
      <c r="AL507" s="5">
        <f t="shared" si="320"/>
        <v>0</v>
      </c>
      <c r="AM507" s="5">
        <f t="shared" si="339"/>
        <v>0</v>
      </c>
      <c r="AN507" s="5">
        <f t="shared" si="321"/>
        <v>1</v>
      </c>
      <c r="AO507" s="5">
        <f t="shared" si="340"/>
        <v>0</v>
      </c>
      <c r="AP507" s="11" t="s">
        <v>42</v>
      </c>
      <c r="AQ507" s="1">
        <v>0.1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1</v>
      </c>
      <c r="AY507" s="1">
        <f t="shared" si="389"/>
        <v>0</v>
      </c>
      <c r="AZ507" s="1">
        <f t="shared" si="390"/>
        <v>0</v>
      </c>
      <c r="BA507" s="1">
        <f t="shared" si="391"/>
        <v>0</v>
      </c>
      <c r="BB507" s="5">
        <v>0</v>
      </c>
      <c r="BC507" s="5">
        <v>0</v>
      </c>
      <c r="BD507" s="5">
        <v>1</v>
      </c>
      <c r="BE507" s="5">
        <f t="shared" si="392"/>
        <v>0</v>
      </c>
      <c r="BF507" s="5">
        <v>0</v>
      </c>
      <c r="BG507" s="5">
        <f t="shared" si="382"/>
        <v>0</v>
      </c>
      <c r="BH507" s="5">
        <f t="shared" si="382"/>
        <v>0</v>
      </c>
      <c r="BI507" s="5">
        <f t="shared" si="382"/>
        <v>0</v>
      </c>
      <c r="BJ507" s="5">
        <f t="shared" si="382"/>
        <v>0</v>
      </c>
      <c r="BK507" s="5">
        <f t="shared" si="382"/>
        <v>0</v>
      </c>
      <c r="BL507" s="5">
        <f t="shared" si="382"/>
        <v>0</v>
      </c>
      <c r="BM507" s="5">
        <f t="shared" si="382"/>
        <v>0</v>
      </c>
      <c r="BN507" s="5">
        <f t="shared" si="382"/>
        <v>0</v>
      </c>
      <c r="BO507" s="5">
        <f t="shared" si="381"/>
        <v>0</v>
      </c>
      <c r="BP507" s="5">
        <f t="shared" si="381"/>
        <v>0</v>
      </c>
      <c r="BQ507" s="5">
        <f t="shared" si="381"/>
        <v>0</v>
      </c>
      <c r="BR507" s="5">
        <f t="shared" si="381"/>
        <v>0</v>
      </c>
      <c r="BS507" s="5">
        <f t="shared" si="381"/>
        <v>0</v>
      </c>
      <c r="BT507" s="5">
        <f t="shared" si="381"/>
        <v>0</v>
      </c>
      <c r="BU507" s="5">
        <f t="shared" si="381"/>
        <v>0</v>
      </c>
      <c r="BV507" s="5">
        <f t="shared" si="381"/>
        <v>0</v>
      </c>
      <c r="BW507" s="5">
        <f t="shared" si="381"/>
        <v>0</v>
      </c>
      <c r="BX507" s="5">
        <f t="shared" si="381"/>
        <v>0</v>
      </c>
      <c r="BY507" s="5">
        <f t="shared" si="381"/>
        <v>0</v>
      </c>
      <c r="BZ507" s="5">
        <f t="shared" si="381"/>
        <v>0</v>
      </c>
      <c r="CA507" s="5">
        <f t="shared" si="381"/>
        <v>1</v>
      </c>
      <c r="CB507" s="5">
        <f t="shared" si="381"/>
        <v>0</v>
      </c>
      <c r="CC507" s="5">
        <f t="shared" si="381"/>
        <v>0</v>
      </c>
      <c r="CD507" s="5">
        <f t="shared" ref="CD507:CE526" si="394">IF($E507=CD$2,1,0)</f>
        <v>0</v>
      </c>
      <c r="CE507" s="5">
        <f t="shared" si="394"/>
        <v>0</v>
      </c>
    </row>
    <row r="508" spans="1:83" x14ac:dyDescent="0.2">
      <c r="A508" s="11"/>
      <c r="B508" s="11"/>
      <c r="C508" s="1">
        <f>Growth!D513</f>
        <v>0</v>
      </c>
      <c r="D508" s="5" t="b">
        <f t="shared" si="316"/>
        <v>0</v>
      </c>
      <c r="E508" s="5">
        <v>2011</v>
      </c>
      <c r="F508" s="5">
        <f ca="1">LOOKUP($E508,frequence!$A$2:$A$35,frequence!L$2:L$35)</f>
        <v>33.053542446246631</v>
      </c>
      <c r="G508" s="5">
        <f ca="1">LOOKUP($E508,frequence!$A$2:$A$35,frequence!K$2:K$35)</f>
        <v>2.1388579511305732</v>
      </c>
      <c r="H508" s="5">
        <f ca="1">LOOKUP($E508,frequence!$A$2:$A$35,frequence!M$2:M$35)</f>
        <v>182.11948132765423</v>
      </c>
      <c r="I508" s="5">
        <v>1995</v>
      </c>
      <c r="J508" s="7">
        <f>LOOKUP(I508,CPI!A$69:A$103,CPI!O$69:O$103)</f>
        <v>1.4308136482939633</v>
      </c>
      <c r="K508" s="5">
        <v>2015</v>
      </c>
      <c r="L508" s="7">
        <f t="shared" ca="1" si="317"/>
        <v>1</v>
      </c>
      <c r="M508" s="7">
        <f t="shared" si="333"/>
        <v>0.35882352941176465</v>
      </c>
      <c r="N508" s="14">
        <f t="shared" si="393"/>
        <v>5.8823529411764705E-2</v>
      </c>
      <c r="O508" s="1">
        <f ca="1">P508*J508*(1+Growth!G$6)^(2010-K508)</f>
        <v>-3.0396636599776006</v>
      </c>
      <c r="P508" s="11">
        <v>-2.29</v>
      </c>
      <c r="Q508" s="2">
        <f t="shared" si="374"/>
        <v>-2.29</v>
      </c>
      <c r="R508" s="21">
        <f t="shared" ca="1" si="318"/>
        <v>9.2395551657884223</v>
      </c>
      <c r="X508" s="2">
        <f t="shared" si="329"/>
        <v>-2.29</v>
      </c>
      <c r="AC508" s="1">
        <f t="shared" si="388"/>
        <v>6.1</v>
      </c>
      <c r="AD508" s="5">
        <v>0</v>
      </c>
      <c r="AE508" s="5">
        <v>0</v>
      </c>
      <c r="AF508" s="5">
        <v>1</v>
      </c>
      <c r="AG508" s="5">
        <v>1</v>
      </c>
      <c r="AH508" s="5">
        <v>1</v>
      </c>
      <c r="AI508" s="3">
        <f t="shared" si="313"/>
        <v>3.1</v>
      </c>
      <c r="AJ508" s="5">
        <f t="shared" si="337"/>
        <v>1</v>
      </c>
      <c r="AK508" s="5">
        <f t="shared" si="319"/>
        <v>0</v>
      </c>
      <c r="AL508" s="5">
        <f t="shared" si="320"/>
        <v>0</v>
      </c>
      <c r="AM508" s="5">
        <f t="shared" si="339"/>
        <v>0</v>
      </c>
      <c r="AN508" s="5">
        <f t="shared" si="321"/>
        <v>0</v>
      </c>
      <c r="AO508" s="5">
        <f t="shared" si="340"/>
        <v>0</v>
      </c>
      <c r="AP508" s="11" t="s">
        <v>42</v>
      </c>
      <c r="AQ508" s="1">
        <v>3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1</v>
      </c>
      <c r="AY508" s="1">
        <f t="shared" si="389"/>
        <v>0</v>
      </c>
      <c r="AZ508" s="1">
        <f t="shared" si="390"/>
        <v>0</v>
      </c>
      <c r="BA508" s="1">
        <f t="shared" si="391"/>
        <v>0</v>
      </c>
      <c r="BB508" s="5">
        <v>0</v>
      </c>
      <c r="BC508" s="5">
        <v>0</v>
      </c>
      <c r="BD508" s="5">
        <v>1</v>
      </c>
      <c r="BE508" s="5">
        <f t="shared" si="392"/>
        <v>0</v>
      </c>
      <c r="BF508" s="5">
        <v>0</v>
      </c>
      <c r="BG508" s="5">
        <f t="shared" si="382"/>
        <v>0</v>
      </c>
      <c r="BH508" s="5">
        <f t="shared" si="382"/>
        <v>0</v>
      </c>
      <c r="BI508" s="5">
        <f t="shared" si="382"/>
        <v>0</v>
      </c>
      <c r="BJ508" s="5">
        <f t="shared" si="382"/>
        <v>0</v>
      </c>
      <c r="BK508" s="5">
        <f t="shared" si="382"/>
        <v>0</v>
      </c>
      <c r="BL508" s="5">
        <f t="shared" si="382"/>
        <v>0</v>
      </c>
      <c r="BM508" s="5">
        <f t="shared" si="382"/>
        <v>0</v>
      </c>
      <c r="BN508" s="5">
        <f t="shared" si="382"/>
        <v>0</v>
      </c>
      <c r="BO508" s="5">
        <f t="shared" si="381"/>
        <v>0</v>
      </c>
      <c r="BP508" s="5">
        <f t="shared" si="381"/>
        <v>0</v>
      </c>
      <c r="BQ508" s="5">
        <f t="shared" si="381"/>
        <v>0</v>
      </c>
      <c r="BR508" s="5">
        <f t="shared" si="381"/>
        <v>0</v>
      </c>
      <c r="BS508" s="5">
        <f t="shared" si="381"/>
        <v>0</v>
      </c>
      <c r="BT508" s="5">
        <f t="shared" si="381"/>
        <v>0</v>
      </c>
      <c r="BU508" s="5">
        <f t="shared" si="381"/>
        <v>0</v>
      </c>
      <c r="BV508" s="5">
        <f t="shared" si="381"/>
        <v>0</v>
      </c>
      <c r="BW508" s="5">
        <f t="shared" si="381"/>
        <v>0</v>
      </c>
      <c r="BX508" s="5">
        <f t="shared" si="381"/>
        <v>0</v>
      </c>
      <c r="BY508" s="5">
        <f t="shared" si="381"/>
        <v>0</v>
      </c>
      <c r="BZ508" s="5">
        <f t="shared" si="381"/>
        <v>0</v>
      </c>
      <c r="CA508" s="5">
        <f t="shared" si="381"/>
        <v>1</v>
      </c>
      <c r="CB508" s="5">
        <f t="shared" si="381"/>
        <v>0</v>
      </c>
      <c r="CC508" s="5">
        <f t="shared" si="381"/>
        <v>0</v>
      </c>
      <c r="CD508" s="5">
        <f t="shared" si="394"/>
        <v>0</v>
      </c>
      <c r="CE508" s="5">
        <f t="shared" si="394"/>
        <v>0</v>
      </c>
    </row>
    <row r="509" spans="1:83" x14ac:dyDescent="0.2">
      <c r="A509" s="11"/>
      <c r="B509" s="11"/>
      <c r="C509" s="1">
        <f>Growth!D514</f>
        <v>0</v>
      </c>
      <c r="D509" s="5" t="b">
        <f t="shared" si="316"/>
        <v>0</v>
      </c>
      <c r="E509" s="5">
        <v>2011</v>
      </c>
      <c r="F509" s="5">
        <f ca="1">LOOKUP($E509,frequence!$A$2:$A$35,frequence!L$2:L$35)</f>
        <v>33.053542446246631</v>
      </c>
      <c r="G509" s="5">
        <f ca="1">LOOKUP($E509,frequence!$A$2:$A$35,frequence!K$2:K$35)</f>
        <v>2.1388579511305732</v>
      </c>
      <c r="H509" s="5">
        <f ca="1">LOOKUP($E509,frequence!$A$2:$A$35,frequence!M$2:M$35)</f>
        <v>182.11948132765423</v>
      </c>
      <c r="I509" s="5">
        <v>1995</v>
      </c>
      <c r="J509" s="7">
        <f>LOOKUP(I509,CPI!A$69:A$103,CPI!O$69:O$103)</f>
        <v>1.4308136482939633</v>
      </c>
      <c r="K509" s="5">
        <v>2015</v>
      </c>
      <c r="L509" s="7">
        <f t="shared" ca="1" si="317"/>
        <v>1</v>
      </c>
      <c r="M509" s="7">
        <f t="shared" si="333"/>
        <v>0.35882352941176465</v>
      </c>
      <c r="N509" s="14">
        <f t="shared" si="393"/>
        <v>5.8823529411764705E-2</v>
      </c>
      <c r="O509" s="1">
        <f ca="1">P509*J509*(1+Growth!G$6)^(2010-K509)</f>
        <v>2.0574142676704286</v>
      </c>
      <c r="P509" s="11">
        <v>1.55</v>
      </c>
      <c r="Q509" s="2">
        <f t="shared" si="374"/>
        <v>1.55</v>
      </c>
      <c r="R509" s="21">
        <f t="shared" ca="1" si="318"/>
        <v>4.2329534688138457</v>
      </c>
      <c r="X509" s="2">
        <f t="shared" si="329"/>
        <v>1.55</v>
      </c>
      <c r="AC509" s="1">
        <f t="shared" si="388"/>
        <v>6.1</v>
      </c>
      <c r="AD509" s="5">
        <v>0</v>
      </c>
      <c r="AE509" s="5">
        <v>0</v>
      </c>
      <c r="AF509" s="5">
        <v>1</v>
      </c>
      <c r="AG509" s="5">
        <v>1</v>
      </c>
      <c r="AH509" s="5">
        <v>1</v>
      </c>
      <c r="AI509" s="3">
        <f t="shared" si="313"/>
        <v>3.1</v>
      </c>
      <c r="AJ509" s="5">
        <f t="shared" si="337"/>
        <v>1</v>
      </c>
      <c r="AK509" s="5">
        <f t="shared" si="319"/>
        <v>0</v>
      </c>
      <c r="AL509" s="5">
        <f t="shared" si="320"/>
        <v>0</v>
      </c>
      <c r="AM509" s="5">
        <f t="shared" si="339"/>
        <v>0</v>
      </c>
      <c r="AN509" s="5">
        <f t="shared" si="321"/>
        <v>0</v>
      </c>
      <c r="AO509" s="5">
        <f t="shared" si="340"/>
        <v>0</v>
      </c>
      <c r="AP509" s="11" t="s">
        <v>42</v>
      </c>
      <c r="AQ509" s="1">
        <v>3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1</v>
      </c>
      <c r="AY509" s="1">
        <f t="shared" si="389"/>
        <v>0</v>
      </c>
      <c r="AZ509" s="1">
        <f t="shared" si="390"/>
        <v>0</v>
      </c>
      <c r="BA509" s="1">
        <f t="shared" si="391"/>
        <v>0</v>
      </c>
      <c r="BB509" s="5">
        <v>0</v>
      </c>
      <c r="BC509" s="5">
        <v>0</v>
      </c>
      <c r="BD509" s="5">
        <v>1</v>
      </c>
      <c r="BE509" s="5">
        <f t="shared" si="392"/>
        <v>0</v>
      </c>
      <c r="BF509" s="5">
        <v>0</v>
      </c>
      <c r="BG509" s="5">
        <f t="shared" si="382"/>
        <v>0</v>
      </c>
      <c r="BH509" s="5">
        <f t="shared" si="382"/>
        <v>0</v>
      </c>
      <c r="BI509" s="5">
        <f t="shared" si="382"/>
        <v>0</v>
      </c>
      <c r="BJ509" s="5">
        <f t="shared" si="382"/>
        <v>0</v>
      </c>
      <c r="BK509" s="5">
        <f t="shared" si="382"/>
        <v>0</v>
      </c>
      <c r="BL509" s="5">
        <f t="shared" si="382"/>
        <v>0</v>
      </c>
      <c r="BM509" s="5">
        <f t="shared" si="382"/>
        <v>0</v>
      </c>
      <c r="BN509" s="5">
        <f t="shared" si="382"/>
        <v>0</v>
      </c>
      <c r="BO509" s="5">
        <f t="shared" si="381"/>
        <v>0</v>
      </c>
      <c r="BP509" s="5">
        <f t="shared" si="381"/>
        <v>0</v>
      </c>
      <c r="BQ509" s="5">
        <f t="shared" si="381"/>
        <v>0</v>
      </c>
      <c r="BR509" s="5">
        <f t="shared" si="381"/>
        <v>0</v>
      </c>
      <c r="BS509" s="5">
        <f t="shared" si="381"/>
        <v>0</v>
      </c>
      <c r="BT509" s="5">
        <f t="shared" si="381"/>
        <v>0</v>
      </c>
      <c r="BU509" s="5">
        <f t="shared" si="381"/>
        <v>0</v>
      </c>
      <c r="BV509" s="5">
        <f t="shared" si="381"/>
        <v>0</v>
      </c>
      <c r="BW509" s="5">
        <f t="shared" si="381"/>
        <v>0</v>
      </c>
      <c r="BX509" s="5">
        <f t="shared" si="381"/>
        <v>0</v>
      </c>
      <c r="BY509" s="5">
        <f t="shared" si="381"/>
        <v>0</v>
      </c>
      <c r="BZ509" s="5">
        <f t="shared" si="381"/>
        <v>0</v>
      </c>
      <c r="CA509" s="5">
        <f t="shared" si="381"/>
        <v>1</v>
      </c>
      <c r="CB509" s="5">
        <f t="shared" si="381"/>
        <v>0</v>
      </c>
      <c r="CC509" s="5">
        <f t="shared" si="381"/>
        <v>0</v>
      </c>
      <c r="CD509" s="5">
        <f t="shared" si="394"/>
        <v>0</v>
      </c>
      <c r="CE509" s="5">
        <f t="shared" si="394"/>
        <v>0</v>
      </c>
    </row>
    <row r="510" spans="1:83" x14ac:dyDescent="0.2">
      <c r="A510" s="11"/>
      <c r="B510" s="11"/>
      <c r="C510" s="1">
        <f>Growth!D515</f>
        <v>5.8823529411764705E-2</v>
      </c>
      <c r="D510" s="5" t="b">
        <f t="shared" si="316"/>
        <v>0</v>
      </c>
      <c r="E510" s="5">
        <v>2011</v>
      </c>
      <c r="F510" s="5">
        <f ca="1">LOOKUP($E510,frequence!$A$2:$A$35,frequence!L$2:L$35)</f>
        <v>33.053542446246631</v>
      </c>
      <c r="G510" s="5">
        <f ca="1">LOOKUP($E510,frequence!$A$2:$A$35,frequence!K$2:K$35)</f>
        <v>2.1388579511305732</v>
      </c>
      <c r="H510" s="5">
        <f ca="1">LOOKUP($E510,frequence!$A$2:$A$35,frequence!M$2:M$35)</f>
        <v>182.11948132765423</v>
      </c>
      <c r="I510" s="5">
        <v>1995</v>
      </c>
      <c r="J510" s="7">
        <f>LOOKUP(I510,CPI!A$69:A$103,CPI!O$69:O$103)</f>
        <v>1.4308136482939633</v>
      </c>
      <c r="K510" s="5">
        <v>2015</v>
      </c>
      <c r="L510" s="7">
        <f t="shared" ca="1" si="317"/>
        <v>1</v>
      </c>
      <c r="M510" s="7">
        <f t="shared" si="333"/>
        <v>0.35882352941176465</v>
      </c>
      <c r="N510" s="14">
        <f t="shared" si="393"/>
        <v>5.8823529411764705E-2</v>
      </c>
      <c r="O510" s="1">
        <f ca="1">P510*J510*(1+Growth!G$6)^(2010-K510)</f>
        <v>10.738375113195978</v>
      </c>
      <c r="P510" s="11">
        <v>8.09</v>
      </c>
      <c r="Q510" s="2">
        <f t="shared" si="374"/>
        <v>8.09</v>
      </c>
      <c r="R510" s="21">
        <f t="shared" ca="1" si="318"/>
        <v>115.31270007170674</v>
      </c>
      <c r="X510" s="2">
        <f t="shared" si="329"/>
        <v>8.09</v>
      </c>
      <c r="AC510" s="1">
        <f t="shared" si="388"/>
        <v>6.1</v>
      </c>
      <c r="AD510" s="5">
        <v>0</v>
      </c>
      <c r="AE510" s="5">
        <v>0</v>
      </c>
      <c r="AF510" s="5">
        <v>1</v>
      </c>
      <c r="AG510" s="5">
        <v>1</v>
      </c>
      <c r="AH510" s="5">
        <v>1</v>
      </c>
      <c r="AI510" s="3">
        <f t="shared" si="313"/>
        <v>3.1</v>
      </c>
      <c r="AJ510" s="5">
        <f t="shared" si="337"/>
        <v>0</v>
      </c>
      <c r="AK510" s="5">
        <f t="shared" si="319"/>
        <v>0</v>
      </c>
      <c r="AL510" s="5">
        <f t="shared" si="320"/>
        <v>0</v>
      </c>
      <c r="AM510" s="5">
        <f t="shared" si="339"/>
        <v>1</v>
      </c>
      <c r="AN510" s="5">
        <f t="shared" si="321"/>
        <v>0</v>
      </c>
      <c r="AO510" s="5">
        <f t="shared" si="340"/>
        <v>0</v>
      </c>
      <c r="AP510" s="11" t="s">
        <v>42</v>
      </c>
      <c r="AQ510" s="1">
        <v>1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1</v>
      </c>
      <c r="AY510" s="1">
        <f t="shared" si="389"/>
        <v>0</v>
      </c>
      <c r="AZ510" s="1">
        <f t="shared" si="390"/>
        <v>0</v>
      </c>
      <c r="BA510" s="1">
        <f t="shared" si="391"/>
        <v>0</v>
      </c>
      <c r="BB510" s="5">
        <v>0</v>
      </c>
      <c r="BC510" s="5">
        <v>0</v>
      </c>
      <c r="BD510" s="5">
        <v>1</v>
      </c>
      <c r="BE510" s="5">
        <f t="shared" si="392"/>
        <v>0</v>
      </c>
      <c r="BF510" s="5">
        <v>0</v>
      </c>
      <c r="BG510" s="5">
        <f t="shared" si="382"/>
        <v>0</v>
      </c>
      <c r="BH510" s="5">
        <f t="shared" si="382"/>
        <v>0</v>
      </c>
      <c r="BI510" s="5">
        <f t="shared" si="382"/>
        <v>0</v>
      </c>
      <c r="BJ510" s="5">
        <f t="shared" si="382"/>
        <v>0</v>
      </c>
      <c r="BK510" s="5">
        <f t="shared" si="382"/>
        <v>0</v>
      </c>
      <c r="BL510" s="5">
        <f t="shared" si="382"/>
        <v>0</v>
      </c>
      <c r="BM510" s="5">
        <f t="shared" si="382"/>
        <v>0</v>
      </c>
      <c r="BN510" s="5">
        <f t="shared" si="382"/>
        <v>0</v>
      </c>
      <c r="BO510" s="5">
        <f t="shared" si="381"/>
        <v>0</v>
      </c>
      <c r="BP510" s="5">
        <f t="shared" si="381"/>
        <v>0</v>
      </c>
      <c r="BQ510" s="5">
        <f t="shared" si="381"/>
        <v>0</v>
      </c>
      <c r="BR510" s="5">
        <f t="shared" si="381"/>
        <v>0</v>
      </c>
      <c r="BS510" s="5">
        <f t="shared" si="381"/>
        <v>0</v>
      </c>
      <c r="BT510" s="5">
        <f t="shared" si="381"/>
        <v>0</v>
      </c>
      <c r="BU510" s="5">
        <f t="shared" si="381"/>
        <v>0</v>
      </c>
      <c r="BV510" s="5">
        <f t="shared" si="381"/>
        <v>0</v>
      </c>
      <c r="BW510" s="5">
        <f t="shared" si="381"/>
        <v>0</v>
      </c>
      <c r="BX510" s="5">
        <f t="shared" si="381"/>
        <v>0</v>
      </c>
      <c r="BY510" s="5">
        <f t="shared" si="381"/>
        <v>0</v>
      </c>
      <c r="BZ510" s="5">
        <f t="shared" si="381"/>
        <v>0</v>
      </c>
      <c r="CA510" s="5">
        <f t="shared" si="381"/>
        <v>1</v>
      </c>
      <c r="CB510" s="5">
        <f t="shared" si="381"/>
        <v>0</v>
      </c>
      <c r="CC510" s="5">
        <f t="shared" si="381"/>
        <v>0</v>
      </c>
      <c r="CD510" s="5">
        <f t="shared" si="394"/>
        <v>0</v>
      </c>
      <c r="CE510" s="5">
        <f t="shared" si="394"/>
        <v>0</v>
      </c>
    </row>
    <row r="511" spans="1:83" x14ac:dyDescent="0.2">
      <c r="A511" s="11"/>
      <c r="B511" s="11"/>
      <c r="C511" s="1">
        <f>Growth!D516</f>
        <v>5.8823529411764705E-2</v>
      </c>
      <c r="D511" s="5" t="b">
        <f t="shared" si="316"/>
        <v>0</v>
      </c>
      <c r="E511" s="5">
        <v>2011</v>
      </c>
      <c r="F511" s="5">
        <f ca="1">LOOKUP($E511,frequence!$A$2:$A$35,frequence!L$2:L$35)</f>
        <v>33.053542446246631</v>
      </c>
      <c r="G511" s="5">
        <f ca="1">LOOKUP($E511,frequence!$A$2:$A$35,frequence!K$2:K$35)</f>
        <v>2.1388579511305732</v>
      </c>
      <c r="H511" s="5">
        <f ca="1">LOOKUP($E511,frequence!$A$2:$A$35,frequence!M$2:M$35)</f>
        <v>182.11948132765423</v>
      </c>
      <c r="I511" s="5">
        <v>1995</v>
      </c>
      <c r="J511" s="7">
        <f>LOOKUP(I511,CPI!A$69:A$103,CPI!O$69:O$103)</f>
        <v>1.4308136482939633</v>
      </c>
      <c r="K511" s="5">
        <v>2015</v>
      </c>
      <c r="L511" s="7">
        <f t="shared" ca="1" si="317"/>
        <v>1</v>
      </c>
      <c r="M511" s="7">
        <f t="shared" si="333"/>
        <v>0.35882352941176465</v>
      </c>
      <c r="N511" s="14">
        <f t="shared" si="393"/>
        <v>5.8823529411764705E-2</v>
      </c>
      <c r="O511" s="1">
        <f ca="1">P511*J511*(1+Growth!G$6)^(2010-K511)</f>
        <v>60.26232758208868</v>
      </c>
      <c r="P511" s="11">
        <v>45.4</v>
      </c>
      <c r="Q511" s="2">
        <f t="shared" si="374"/>
        <v>45.4</v>
      </c>
      <c r="R511" s="21">
        <f t="shared" ca="1" si="318"/>
        <v>3631.5481256109661</v>
      </c>
      <c r="X511" s="2">
        <f t="shared" si="329"/>
        <v>45.4</v>
      </c>
      <c r="AC511" s="1">
        <f t="shared" si="388"/>
        <v>6.1</v>
      </c>
      <c r="AD511" s="5">
        <v>0</v>
      </c>
      <c r="AE511" s="5">
        <v>0</v>
      </c>
      <c r="AF511" s="5">
        <v>1</v>
      </c>
      <c r="AG511" s="5">
        <v>1</v>
      </c>
      <c r="AH511" s="5">
        <v>1</v>
      </c>
      <c r="AI511" s="3">
        <f t="shared" si="313"/>
        <v>3.1</v>
      </c>
      <c r="AJ511" s="5">
        <f t="shared" si="337"/>
        <v>0</v>
      </c>
      <c r="AK511" s="5">
        <f t="shared" si="319"/>
        <v>0</v>
      </c>
      <c r="AL511" s="5">
        <f t="shared" si="320"/>
        <v>0</v>
      </c>
      <c r="AM511" s="5">
        <f t="shared" si="339"/>
        <v>1</v>
      </c>
      <c r="AN511" s="5">
        <f t="shared" si="321"/>
        <v>0</v>
      </c>
      <c r="AO511" s="5">
        <f t="shared" si="340"/>
        <v>0</v>
      </c>
      <c r="AP511" s="11" t="s">
        <v>42</v>
      </c>
      <c r="AQ511" s="1">
        <v>1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1</v>
      </c>
      <c r="AY511" s="1">
        <f t="shared" si="389"/>
        <v>0</v>
      </c>
      <c r="AZ511" s="1">
        <f t="shared" si="390"/>
        <v>0</v>
      </c>
      <c r="BA511" s="1">
        <f t="shared" si="391"/>
        <v>0</v>
      </c>
      <c r="BB511" s="5">
        <v>0</v>
      </c>
      <c r="BC511" s="5">
        <v>0</v>
      </c>
      <c r="BD511" s="5">
        <v>1</v>
      </c>
      <c r="BE511" s="5">
        <f t="shared" si="392"/>
        <v>0</v>
      </c>
      <c r="BF511" s="5">
        <v>0</v>
      </c>
      <c r="BG511" s="5">
        <f t="shared" si="382"/>
        <v>0</v>
      </c>
      <c r="BH511" s="5">
        <f t="shared" si="382"/>
        <v>0</v>
      </c>
      <c r="BI511" s="5">
        <f t="shared" si="382"/>
        <v>0</v>
      </c>
      <c r="BJ511" s="5">
        <f t="shared" si="382"/>
        <v>0</v>
      </c>
      <c r="BK511" s="5">
        <f t="shared" si="382"/>
        <v>0</v>
      </c>
      <c r="BL511" s="5">
        <f t="shared" si="382"/>
        <v>0</v>
      </c>
      <c r="BM511" s="5">
        <f t="shared" si="382"/>
        <v>0</v>
      </c>
      <c r="BN511" s="5">
        <f t="shared" si="382"/>
        <v>0</v>
      </c>
      <c r="BO511" s="5">
        <f t="shared" si="381"/>
        <v>0</v>
      </c>
      <c r="BP511" s="5">
        <f t="shared" si="381"/>
        <v>0</v>
      </c>
      <c r="BQ511" s="5">
        <f t="shared" si="381"/>
        <v>0</v>
      </c>
      <c r="BR511" s="5">
        <f t="shared" si="381"/>
        <v>0</v>
      </c>
      <c r="BS511" s="5">
        <f t="shared" si="381"/>
        <v>0</v>
      </c>
      <c r="BT511" s="5">
        <f t="shared" si="381"/>
        <v>0</v>
      </c>
      <c r="BU511" s="5">
        <f t="shared" si="381"/>
        <v>0</v>
      </c>
      <c r="BV511" s="5">
        <f t="shared" si="381"/>
        <v>0</v>
      </c>
      <c r="BW511" s="5">
        <f t="shared" si="381"/>
        <v>0</v>
      </c>
      <c r="BX511" s="5">
        <f t="shared" si="381"/>
        <v>0</v>
      </c>
      <c r="BY511" s="5">
        <f t="shared" si="381"/>
        <v>0</v>
      </c>
      <c r="BZ511" s="5">
        <f t="shared" si="381"/>
        <v>0</v>
      </c>
      <c r="CA511" s="5">
        <f t="shared" si="381"/>
        <v>1</v>
      </c>
      <c r="CB511" s="5">
        <f t="shared" si="381"/>
        <v>0</v>
      </c>
      <c r="CC511" s="5">
        <f t="shared" si="381"/>
        <v>0</v>
      </c>
      <c r="CD511" s="5">
        <f t="shared" si="394"/>
        <v>0</v>
      </c>
      <c r="CE511" s="5">
        <f t="shared" si="394"/>
        <v>0</v>
      </c>
    </row>
    <row r="512" spans="1:83" x14ac:dyDescent="0.2">
      <c r="A512" s="11"/>
      <c r="B512" s="11"/>
      <c r="C512" s="1">
        <f>Growth!D517</f>
        <v>0</v>
      </c>
      <c r="D512" s="5" t="b">
        <f t="shared" si="316"/>
        <v>0</v>
      </c>
      <c r="E512" s="5">
        <v>2011</v>
      </c>
      <c r="F512" s="5">
        <f ca="1">LOOKUP($E512,frequence!$A$2:$A$35,frequence!L$2:L$35)</f>
        <v>33.053542446246631</v>
      </c>
      <c r="G512" s="5">
        <f ca="1">LOOKUP($E512,frequence!$A$2:$A$35,frequence!K$2:K$35)</f>
        <v>2.1388579511305732</v>
      </c>
      <c r="H512" s="5">
        <f ca="1">LOOKUP($E512,frequence!$A$2:$A$35,frequence!M$2:M$35)</f>
        <v>182.11948132765423</v>
      </c>
      <c r="I512" s="5">
        <v>1995</v>
      </c>
      <c r="J512" s="7">
        <f>LOOKUP(I512,CPI!A$69:A$103,CPI!O$69:O$103)</f>
        <v>1.4308136482939633</v>
      </c>
      <c r="K512" s="5">
        <v>2015</v>
      </c>
      <c r="L512" s="7">
        <f t="shared" ca="1" si="317"/>
        <v>1</v>
      </c>
      <c r="M512" s="7">
        <f t="shared" si="333"/>
        <v>0.35882352941176465</v>
      </c>
      <c r="N512" s="14">
        <f t="shared" si="393"/>
        <v>5.8823529411764705E-2</v>
      </c>
      <c r="O512" s="1">
        <f ca="1">P512*J512*(1+Growth!G$6)^(2010-K512)</f>
        <v>77.119850936549611</v>
      </c>
      <c r="P512" s="11">
        <v>58.1</v>
      </c>
      <c r="Q512" s="2">
        <f t="shared" si="374"/>
        <v>58.1</v>
      </c>
      <c r="R512" s="21">
        <f t="shared" ca="1" si="318"/>
        <v>5947.4714084756315</v>
      </c>
      <c r="X512" s="2">
        <f t="shared" si="329"/>
        <v>58.1</v>
      </c>
      <c r="AC512" s="1">
        <f t="shared" si="388"/>
        <v>6.1</v>
      </c>
      <c r="AD512" s="5">
        <v>0</v>
      </c>
      <c r="AE512" s="5">
        <v>0</v>
      </c>
      <c r="AF512" s="5">
        <v>1</v>
      </c>
      <c r="AG512" s="5">
        <v>1</v>
      </c>
      <c r="AH512" s="5">
        <v>1</v>
      </c>
      <c r="AI512" s="3">
        <f t="shared" si="313"/>
        <v>3.1</v>
      </c>
      <c r="AJ512" s="5">
        <f t="shared" si="337"/>
        <v>0</v>
      </c>
      <c r="AK512" s="5">
        <f t="shared" si="319"/>
        <v>0</v>
      </c>
      <c r="AL512" s="5">
        <f t="shared" si="320"/>
        <v>0</v>
      </c>
      <c r="AM512" s="5">
        <f t="shared" si="339"/>
        <v>0</v>
      </c>
      <c r="AN512" s="5">
        <f t="shared" si="321"/>
        <v>1</v>
      </c>
      <c r="AO512" s="5">
        <f t="shared" si="340"/>
        <v>0</v>
      </c>
      <c r="AP512" s="11" t="s">
        <v>42</v>
      </c>
      <c r="AQ512" s="1">
        <v>0.1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1</v>
      </c>
      <c r="AY512" s="1">
        <f t="shared" si="389"/>
        <v>0</v>
      </c>
      <c r="AZ512" s="1">
        <f t="shared" si="390"/>
        <v>0</v>
      </c>
      <c r="BA512" s="1">
        <f t="shared" si="391"/>
        <v>0</v>
      </c>
      <c r="BB512" s="5">
        <v>0</v>
      </c>
      <c r="BC512" s="5">
        <v>0</v>
      </c>
      <c r="BD512" s="5">
        <v>1</v>
      </c>
      <c r="BE512" s="5">
        <f t="shared" si="392"/>
        <v>0</v>
      </c>
      <c r="BF512" s="5">
        <v>0</v>
      </c>
      <c r="BG512" s="5">
        <f t="shared" si="382"/>
        <v>0</v>
      </c>
      <c r="BH512" s="5">
        <f t="shared" si="382"/>
        <v>0</v>
      </c>
      <c r="BI512" s="5">
        <f t="shared" si="382"/>
        <v>0</v>
      </c>
      <c r="BJ512" s="5">
        <f t="shared" si="382"/>
        <v>0</v>
      </c>
      <c r="BK512" s="5">
        <f t="shared" si="382"/>
        <v>0</v>
      </c>
      <c r="BL512" s="5">
        <f t="shared" si="382"/>
        <v>0</v>
      </c>
      <c r="BM512" s="5">
        <f t="shared" si="382"/>
        <v>0</v>
      </c>
      <c r="BN512" s="5">
        <f t="shared" si="382"/>
        <v>0</v>
      </c>
      <c r="BO512" s="5">
        <f t="shared" si="381"/>
        <v>0</v>
      </c>
      <c r="BP512" s="5">
        <f t="shared" si="381"/>
        <v>0</v>
      </c>
      <c r="BQ512" s="5">
        <f t="shared" si="381"/>
        <v>0</v>
      </c>
      <c r="BR512" s="5">
        <f t="shared" si="381"/>
        <v>0</v>
      </c>
      <c r="BS512" s="5">
        <f t="shared" si="381"/>
        <v>0</v>
      </c>
      <c r="BT512" s="5">
        <f t="shared" si="381"/>
        <v>0</v>
      </c>
      <c r="BU512" s="5">
        <f t="shared" si="381"/>
        <v>0</v>
      </c>
      <c r="BV512" s="5">
        <f t="shared" si="381"/>
        <v>0</v>
      </c>
      <c r="BW512" s="5">
        <f t="shared" si="381"/>
        <v>0</v>
      </c>
      <c r="BX512" s="5">
        <f t="shared" si="381"/>
        <v>0</v>
      </c>
      <c r="BY512" s="5">
        <f t="shared" si="381"/>
        <v>0</v>
      </c>
      <c r="BZ512" s="5">
        <f t="shared" si="381"/>
        <v>0</v>
      </c>
      <c r="CA512" s="5">
        <f t="shared" si="381"/>
        <v>1</v>
      </c>
      <c r="CB512" s="5">
        <f t="shared" si="381"/>
        <v>0</v>
      </c>
      <c r="CC512" s="5">
        <f t="shared" si="381"/>
        <v>0</v>
      </c>
      <c r="CD512" s="5">
        <f t="shared" si="394"/>
        <v>0</v>
      </c>
      <c r="CE512" s="5">
        <f t="shared" si="394"/>
        <v>0</v>
      </c>
    </row>
    <row r="513" spans="1:83" x14ac:dyDescent="0.2">
      <c r="A513" s="11"/>
      <c r="B513" s="11"/>
      <c r="C513" s="1">
        <f>Growth!D518</f>
        <v>0</v>
      </c>
      <c r="D513" s="5" t="b">
        <f t="shared" si="316"/>
        <v>0</v>
      </c>
      <c r="E513" s="5">
        <v>2011</v>
      </c>
      <c r="F513" s="5">
        <f ca="1">LOOKUP($E513,frequence!$A$2:$A$35,frequence!L$2:L$35)</f>
        <v>33.053542446246631</v>
      </c>
      <c r="G513" s="5">
        <f ca="1">LOOKUP($E513,frequence!$A$2:$A$35,frequence!K$2:K$35)</f>
        <v>2.1388579511305732</v>
      </c>
      <c r="H513" s="5">
        <f ca="1">LOOKUP($E513,frequence!$A$2:$A$35,frequence!M$2:M$35)</f>
        <v>182.11948132765423</v>
      </c>
      <c r="I513" s="5">
        <v>1995</v>
      </c>
      <c r="J513" s="7">
        <f>LOOKUP(I513,CPI!A$69:A$103,CPI!O$69:O$103)</f>
        <v>1.4308136482939633</v>
      </c>
      <c r="K513" s="5">
        <v>2015</v>
      </c>
      <c r="L513" s="7">
        <f t="shared" ca="1" si="317"/>
        <v>0.79063579475115675</v>
      </c>
      <c r="M513" s="7">
        <f t="shared" si="333"/>
        <v>0.35882352941176465</v>
      </c>
      <c r="N513" s="14">
        <f t="shared" si="393"/>
        <v>5.8823529411764705E-2</v>
      </c>
      <c r="O513" s="1">
        <f ca="1">P513*J513*(1+Growth!G$6)^(2010-K513)</f>
        <v>2495.4444020776809</v>
      </c>
      <c r="P513" s="11">
        <v>1880</v>
      </c>
      <c r="Q513" s="2">
        <f t="shared" si="374"/>
        <v>1880</v>
      </c>
      <c r="R513" s="21">
        <f t="shared" ca="1" si="318"/>
        <v>6227242.7638608348</v>
      </c>
      <c r="X513" s="2">
        <f t="shared" si="329"/>
        <v>1880</v>
      </c>
      <c r="AC513" s="1">
        <f t="shared" si="388"/>
        <v>6.1</v>
      </c>
      <c r="AD513" s="5">
        <v>0</v>
      </c>
      <c r="AE513" s="5">
        <v>0</v>
      </c>
      <c r="AF513" s="5">
        <v>1</v>
      </c>
      <c r="AG513" s="5">
        <v>1</v>
      </c>
      <c r="AH513" s="5">
        <v>1</v>
      </c>
      <c r="AI513" s="3">
        <f t="shared" si="313"/>
        <v>3.1</v>
      </c>
      <c r="AJ513" s="5">
        <f t="shared" si="337"/>
        <v>0</v>
      </c>
      <c r="AK513" s="5">
        <f t="shared" si="319"/>
        <v>0</v>
      </c>
      <c r="AL513" s="5">
        <f t="shared" si="320"/>
        <v>0</v>
      </c>
      <c r="AM513" s="5">
        <f t="shared" si="339"/>
        <v>0</v>
      </c>
      <c r="AN513" s="5">
        <f t="shared" si="321"/>
        <v>1</v>
      </c>
      <c r="AO513" s="5">
        <f t="shared" si="340"/>
        <v>0</v>
      </c>
      <c r="AP513" s="11" t="s">
        <v>42</v>
      </c>
      <c r="AQ513" s="1">
        <v>0.1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1</v>
      </c>
      <c r="AY513" s="1">
        <f t="shared" si="389"/>
        <v>0</v>
      </c>
      <c r="AZ513" s="1">
        <f t="shared" si="390"/>
        <v>0</v>
      </c>
      <c r="BA513" s="1">
        <f t="shared" si="391"/>
        <v>0</v>
      </c>
      <c r="BB513" s="5">
        <v>0</v>
      </c>
      <c r="BC513" s="5">
        <v>0</v>
      </c>
      <c r="BD513" s="5">
        <v>1</v>
      </c>
      <c r="BE513" s="5">
        <f t="shared" si="392"/>
        <v>0</v>
      </c>
      <c r="BF513" s="5">
        <v>0</v>
      </c>
      <c r="BG513" s="5">
        <f t="shared" si="382"/>
        <v>0</v>
      </c>
      <c r="BH513" s="5">
        <f t="shared" si="382"/>
        <v>0</v>
      </c>
      <c r="BI513" s="5">
        <f t="shared" si="382"/>
        <v>0</v>
      </c>
      <c r="BJ513" s="5">
        <f t="shared" si="382"/>
        <v>0</v>
      </c>
      <c r="BK513" s="5">
        <f t="shared" si="382"/>
        <v>0</v>
      </c>
      <c r="BL513" s="5">
        <f t="shared" si="382"/>
        <v>0</v>
      </c>
      <c r="BM513" s="5">
        <f t="shared" si="382"/>
        <v>0</v>
      </c>
      <c r="BN513" s="5">
        <f t="shared" si="382"/>
        <v>0</v>
      </c>
      <c r="BO513" s="5">
        <f t="shared" si="381"/>
        <v>0</v>
      </c>
      <c r="BP513" s="5">
        <f t="shared" si="381"/>
        <v>0</v>
      </c>
      <c r="BQ513" s="5">
        <f t="shared" si="381"/>
        <v>0</v>
      </c>
      <c r="BR513" s="5">
        <f t="shared" si="381"/>
        <v>0</v>
      </c>
      <c r="BS513" s="5">
        <f t="shared" si="381"/>
        <v>0</v>
      </c>
      <c r="BT513" s="5">
        <f t="shared" si="381"/>
        <v>0</v>
      </c>
      <c r="BU513" s="5">
        <f t="shared" si="381"/>
        <v>0</v>
      </c>
      <c r="BV513" s="5">
        <f t="shared" si="381"/>
        <v>0</v>
      </c>
      <c r="BW513" s="5">
        <f t="shared" si="381"/>
        <v>0</v>
      </c>
      <c r="BX513" s="5">
        <f t="shared" si="381"/>
        <v>0</v>
      </c>
      <c r="BY513" s="5">
        <f t="shared" si="381"/>
        <v>0</v>
      </c>
      <c r="BZ513" s="5">
        <f t="shared" si="381"/>
        <v>0</v>
      </c>
      <c r="CA513" s="5">
        <f t="shared" si="381"/>
        <v>1</v>
      </c>
      <c r="CB513" s="5">
        <f t="shared" si="381"/>
        <v>0</v>
      </c>
      <c r="CC513" s="5">
        <f t="shared" si="381"/>
        <v>0</v>
      </c>
      <c r="CD513" s="5">
        <f t="shared" si="394"/>
        <v>0</v>
      </c>
      <c r="CE513" s="5">
        <f t="shared" si="394"/>
        <v>0</v>
      </c>
    </row>
    <row r="514" spans="1:83" x14ac:dyDescent="0.2">
      <c r="A514" s="11"/>
      <c r="B514" s="11"/>
      <c r="C514" s="1">
        <f>Growth!D519</f>
        <v>0</v>
      </c>
      <c r="D514" s="5" t="b">
        <f t="shared" si="316"/>
        <v>0</v>
      </c>
      <c r="E514" s="5">
        <v>2011</v>
      </c>
      <c r="F514" s="5">
        <f ca="1">LOOKUP($E514,frequence!$A$2:$A$35,frequence!L$2:L$35)</f>
        <v>33.053542446246631</v>
      </c>
      <c r="G514" s="5">
        <f ca="1">LOOKUP($E514,frequence!$A$2:$A$35,frequence!K$2:K$35)</f>
        <v>2.1388579511305732</v>
      </c>
      <c r="H514" s="5">
        <f ca="1">LOOKUP($E514,frequence!$A$2:$A$35,frequence!M$2:M$35)</f>
        <v>182.11948132765423</v>
      </c>
      <c r="I514" s="5">
        <v>1995</v>
      </c>
      <c r="J514" s="7">
        <f>LOOKUP(I514,CPI!A$69:A$103,CPI!O$69:O$103)</f>
        <v>1.4308136482939633</v>
      </c>
      <c r="K514" s="5">
        <v>2015</v>
      </c>
      <c r="L514" s="7">
        <f t="shared" ca="1" si="317"/>
        <v>1</v>
      </c>
      <c r="M514" s="7">
        <f t="shared" si="333"/>
        <v>0.17941176470588233</v>
      </c>
      <c r="N514" s="14">
        <f t="shared" ref="N514:N519" si="395">1/34</f>
        <v>2.9411764705882353E-2</v>
      </c>
      <c r="O514" s="1">
        <f ca="1">P514*J514*(1+Growth!G$6)^(2010-K514)</f>
        <v>0.93977374291010529</v>
      </c>
      <c r="P514" s="11">
        <v>0.70799999999999996</v>
      </c>
      <c r="Q514" s="2">
        <f t="shared" si="374"/>
        <v>0.70799999999999996</v>
      </c>
      <c r="R514" s="21">
        <f t="shared" ca="1" si="318"/>
        <v>0.88317468786326869</v>
      </c>
      <c r="X514" s="2">
        <f t="shared" si="329"/>
        <v>0.70799999999999996</v>
      </c>
      <c r="AC514" s="1">
        <f t="shared" si="388"/>
        <v>6.1</v>
      </c>
      <c r="AD514" s="5">
        <v>0</v>
      </c>
      <c r="AE514" s="5">
        <v>0</v>
      </c>
      <c r="AF514" s="5">
        <v>1</v>
      </c>
      <c r="AG514" s="5">
        <v>1</v>
      </c>
      <c r="AH514" s="5">
        <v>1</v>
      </c>
      <c r="AI514" s="3">
        <f t="shared" si="313"/>
        <v>3.1</v>
      </c>
      <c r="AJ514" s="5">
        <f t="shared" si="337"/>
        <v>1</v>
      </c>
      <c r="AK514" s="5">
        <f t="shared" si="319"/>
        <v>0</v>
      </c>
      <c r="AL514" s="5">
        <f t="shared" si="320"/>
        <v>0</v>
      </c>
      <c r="AM514" s="5">
        <f t="shared" si="339"/>
        <v>0</v>
      </c>
      <c r="AN514" s="5">
        <f t="shared" si="321"/>
        <v>0</v>
      </c>
      <c r="AO514" s="5">
        <f t="shared" si="340"/>
        <v>0</v>
      </c>
      <c r="AP514" s="11" t="s">
        <v>42</v>
      </c>
      <c r="AQ514" s="1">
        <v>3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1</v>
      </c>
      <c r="AY514" s="1">
        <f t="shared" si="389"/>
        <v>0</v>
      </c>
      <c r="AZ514" s="1">
        <f t="shared" si="390"/>
        <v>0</v>
      </c>
      <c r="BA514" s="1">
        <f t="shared" si="391"/>
        <v>0</v>
      </c>
      <c r="BB514" s="5">
        <v>0</v>
      </c>
      <c r="BC514" s="5">
        <v>0</v>
      </c>
      <c r="BD514" s="5">
        <v>1</v>
      </c>
      <c r="BE514" s="5">
        <f t="shared" si="392"/>
        <v>0</v>
      </c>
      <c r="BF514" s="5">
        <v>0</v>
      </c>
      <c r="BG514" s="5">
        <f t="shared" si="382"/>
        <v>0</v>
      </c>
      <c r="BH514" s="5">
        <f t="shared" si="382"/>
        <v>0</v>
      </c>
      <c r="BI514" s="5">
        <f t="shared" si="382"/>
        <v>0</v>
      </c>
      <c r="BJ514" s="5">
        <f t="shared" si="382"/>
        <v>0</v>
      </c>
      <c r="BK514" s="5">
        <f t="shared" si="382"/>
        <v>0</v>
      </c>
      <c r="BL514" s="5">
        <f t="shared" si="382"/>
        <v>0</v>
      </c>
      <c r="BM514" s="5">
        <f t="shared" si="382"/>
        <v>0</v>
      </c>
      <c r="BN514" s="5">
        <f t="shared" si="382"/>
        <v>0</v>
      </c>
      <c r="BO514" s="5">
        <f t="shared" si="381"/>
        <v>0</v>
      </c>
      <c r="BP514" s="5">
        <f t="shared" si="381"/>
        <v>0</v>
      </c>
      <c r="BQ514" s="5">
        <f t="shared" si="381"/>
        <v>0</v>
      </c>
      <c r="BR514" s="5">
        <f t="shared" si="381"/>
        <v>0</v>
      </c>
      <c r="BS514" s="5">
        <f t="shared" si="381"/>
        <v>0</v>
      </c>
      <c r="BT514" s="5">
        <f t="shared" si="381"/>
        <v>0</v>
      </c>
      <c r="BU514" s="5">
        <f t="shared" si="381"/>
        <v>0</v>
      </c>
      <c r="BV514" s="5">
        <f t="shared" si="381"/>
        <v>0</v>
      </c>
      <c r="BW514" s="5">
        <f t="shared" si="381"/>
        <v>0</v>
      </c>
      <c r="BX514" s="5">
        <f t="shared" si="381"/>
        <v>0</v>
      </c>
      <c r="BY514" s="5">
        <f t="shared" si="381"/>
        <v>0</v>
      </c>
      <c r="BZ514" s="5">
        <f t="shared" si="381"/>
        <v>0</v>
      </c>
      <c r="CA514" s="5">
        <f t="shared" si="381"/>
        <v>1</v>
      </c>
      <c r="CB514" s="5">
        <f t="shared" si="381"/>
        <v>0</v>
      </c>
      <c r="CC514" s="5">
        <f t="shared" si="381"/>
        <v>0</v>
      </c>
      <c r="CD514" s="5">
        <f t="shared" si="394"/>
        <v>0</v>
      </c>
      <c r="CE514" s="5">
        <f t="shared" si="394"/>
        <v>0</v>
      </c>
    </row>
    <row r="515" spans="1:83" x14ac:dyDescent="0.2">
      <c r="A515" s="11"/>
      <c r="B515" s="11"/>
      <c r="C515" s="1">
        <f>Growth!D520</f>
        <v>0</v>
      </c>
      <c r="D515" s="5" t="b">
        <f t="shared" si="316"/>
        <v>0</v>
      </c>
      <c r="E515" s="5">
        <v>2011</v>
      </c>
      <c r="F515" s="5">
        <f ca="1">LOOKUP($E515,frequence!$A$2:$A$35,frequence!L$2:L$35)</f>
        <v>33.053542446246631</v>
      </c>
      <c r="G515" s="5">
        <f ca="1">LOOKUP($E515,frequence!$A$2:$A$35,frequence!K$2:K$35)</f>
        <v>2.1388579511305732</v>
      </c>
      <c r="H515" s="5">
        <f ca="1">LOOKUP($E515,frequence!$A$2:$A$35,frequence!M$2:M$35)</f>
        <v>182.11948132765423</v>
      </c>
      <c r="I515" s="5">
        <v>1995</v>
      </c>
      <c r="J515" s="7">
        <f>LOOKUP(I515,CPI!A$69:A$103,CPI!O$69:O$103)</f>
        <v>1.4308136482939633</v>
      </c>
      <c r="K515" s="5">
        <v>2015</v>
      </c>
      <c r="L515" s="7">
        <f t="shared" ca="1" si="317"/>
        <v>1</v>
      </c>
      <c r="M515" s="7">
        <f t="shared" si="333"/>
        <v>0.17941176470588233</v>
      </c>
      <c r="N515" s="14">
        <f t="shared" si="395"/>
        <v>2.9411764705882353E-2</v>
      </c>
      <c r="O515" s="1">
        <f ca="1">P515*J515*(1+Growth!G$6)^(2010-K515)</f>
        <v>3.8759030074823553</v>
      </c>
      <c r="P515" s="11">
        <v>2.92</v>
      </c>
      <c r="Q515" s="2">
        <f t="shared" si="374"/>
        <v>2.92</v>
      </c>
      <c r="R515" s="21">
        <f t="shared" ca="1" si="318"/>
        <v>15.022624123410766</v>
      </c>
      <c r="X515" s="2">
        <f t="shared" si="329"/>
        <v>2.92</v>
      </c>
      <c r="AC515" s="1">
        <f t="shared" si="388"/>
        <v>6.1</v>
      </c>
      <c r="AD515" s="5">
        <v>0</v>
      </c>
      <c r="AE515" s="5">
        <v>0</v>
      </c>
      <c r="AF515" s="5">
        <v>1</v>
      </c>
      <c r="AG515" s="5">
        <v>1</v>
      </c>
      <c r="AH515" s="5">
        <v>1</v>
      </c>
      <c r="AI515" s="3">
        <f t="shared" si="313"/>
        <v>3.1</v>
      </c>
      <c r="AJ515" s="5">
        <f t="shared" si="337"/>
        <v>1</v>
      </c>
      <c r="AK515" s="5">
        <f t="shared" si="319"/>
        <v>0</v>
      </c>
      <c r="AL515" s="5">
        <f t="shared" si="320"/>
        <v>0</v>
      </c>
      <c r="AM515" s="5">
        <f t="shared" si="339"/>
        <v>0</v>
      </c>
      <c r="AN515" s="5">
        <f t="shared" si="321"/>
        <v>0</v>
      </c>
      <c r="AO515" s="5">
        <f t="shared" si="340"/>
        <v>0</v>
      </c>
      <c r="AP515" s="11" t="s">
        <v>42</v>
      </c>
      <c r="AQ515" s="1">
        <v>3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1</v>
      </c>
      <c r="AY515" s="1">
        <f t="shared" si="389"/>
        <v>0</v>
      </c>
      <c r="AZ515" s="1">
        <f t="shared" si="390"/>
        <v>0</v>
      </c>
      <c r="BA515" s="1">
        <f t="shared" si="391"/>
        <v>0</v>
      </c>
      <c r="BB515" s="5">
        <v>0</v>
      </c>
      <c r="BC515" s="5">
        <v>0</v>
      </c>
      <c r="BD515" s="5">
        <v>1</v>
      </c>
      <c r="BE515" s="5">
        <f t="shared" si="392"/>
        <v>0</v>
      </c>
      <c r="BF515" s="5">
        <v>0</v>
      </c>
      <c r="BG515" s="5">
        <f t="shared" si="382"/>
        <v>0</v>
      </c>
      <c r="BH515" s="5">
        <f t="shared" si="382"/>
        <v>0</v>
      </c>
      <c r="BI515" s="5">
        <f t="shared" si="382"/>
        <v>0</v>
      </c>
      <c r="BJ515" s="5">
        <f t="shared" si="382"/>
        <v>0</v>
      </c>
      <c r="BK515" s="5">
        <f t="shared" si="382"/>
        <v>0</v>
      </c>
      <c r="BL515" s="5">
        <f t="shared" si="382"/>
        <v>0</v>
      </c>
      <c r="BM515" s="5">
        <f t="shared" si="382"/>
        <v>0</v>
      </c>
      <c r="BN515" s="5">
        <f t="shared" si="382"/>
        <v>0</v>
      </c>
      <c r="BO515" s="5">
        <f t="shared" si="381"/>
        <v>0</v>
      </c>
      <c r="BP515" s="5">
        <f t="shared" si="381"/>
        <v>0</v>
      </c>
      <c r="BQ515" s="5">
        <f t="shared" si="381"/>
        <v>0</v>
      </c>
      <c r="BR515" s="5">
        <f t="shared" si="381"/>
        <v>0</v>
      </c>
      <c r="BS515" s="5">
        <f t="shared" si="381"/>
        <v>0</v>
      </c>
      <c r="BT515" s="5">
        <f t="shared" si="381"/>
        <v>0</v>
      </c>
      <c r="BU515" s="5">
        <f t="shared" si="381"/>
        <v>0</v>
      </c>
      <c r="BV515" s="5">
        <f t="shared" si="381"/>
        <v>0</v>
      </c>
      <c r="BW515" s="5">
        <f t="shared" si="381"/>
        <v>0</v>
      </c>
      <c r="BX515" s="5">
        <f t="shared" si="381"/>
        <v>0</v>
      </c>
      <c r="BY515" s="5">
        <f t="shared" si="381"/>
        <v>0</v>
      </c>
      <c r="BZ515" s="5">
        <f t="shared" si="381"/>
        <v>0</v>
      </c>
      <c r="CA515" s="5">
        <f t="shared" si="381"/>
        <v>1</v>
      </c>
      <c r="CB515" s="5">
        <f t="shared" si="381"/>
        <v>0</v>
      </c>
      <c r="CC515" s="5">
        <f t="shared" si="381"/>
        <v>0</v>
      </c>
      <c r="CD515" s="5">
        <f t="shared" si="394"/>
        <v>0</v>
      </c>
      <c r="CE515" s="5">
        <f t="shared" si="394"/>
        <v>0</v>
      </c>
    </row>
    <row r="516" spans="1:83" x14ac:dyDescent="0.2">
      <c r="A516" s="11"/>
      <c r="B516" s="11"/>
      <c r="C516" s="1">
        <f>Growth!D521</f>
        <v>2.9411764705882353E-2</v>
      </c>
      <c r="D516" s="5" t="b">
        <f t="shared" si="316"/>
        <v>0</v>
      </c>
      <c r="E516" s="5">
        <v>2011</v>
      </c>
      <c r="F516" s="5">
        <f ca="1">LOOKUP($E516,frequence!$A$2:$A$35,frequence!L$2:L$35)</f>
        <v>33.053542446246631</v>
      </c>
      <c r="G516" s="5">
        <f ca="1">LOOKUP($E516,frequence!$A$2:$A$35,frequence!K$2:K$35)</f>
        <v>2.1388579511305732</v>
      </c>
      <c r="H516" s="5">
        <f ca="1">LOOKUP($E516,frequence!$A$2:$A$35,frequence!M$2:M$35)</f>
        <v>182.11948132765423</v>
      </c>
      <c r="I516" s="5">
        <v>1995</v>
      </c>
      <c r="J516" s="7">
        <f>LOOKUP(I516,CPI!A$69:A$103,CPI!O$69:O$103)</f>
        <v>1.4308136482939633</v>
      </c>
      <c r="K516" s="5">
        <v>2015</v>
      </c>
      <c r="L516" s="7">
        <f t="shared" ca="1" si="317"/>
        <v>1</v>
      </c>
      <c r="M516" s="7">
        <f t="shared" si="333"/>
        <v>0.17941176470588233</v>
      </c>
      <c r="N516" s="14">
        <f t="shared" si="395"/>
        <v>2.9411764705882353E-2</v>
      </c>
      <c r="O516" s="1">
        <f ca="1">P516*J516*(1+Growth!G$6)^(2010-K516)</f>
        <v>15.264686502070923</v>
      </c>
      <c r="P516" s="11">
        <v>11.5</v>
      </c>
      <c r="Q516" s="2">
        <f t="shared" si="374"/>
        <v>11.5</v>
      </c>
      <c r="R516" s="21">
        <f t="shared" ca="1" si="318"/>
        <v>233.01065400650623</v>
      </c>
      <c r="X516" s="2">
        <f t="shared" si="329"/>
        <v>11.5</v>
      </c>
      <c r="AC516" s="1">
        <f t="shared" si="388"/>
        <v>6.1</v>
      </c>
      <c r="AD516" s="5">
        <v>0</v>
      </c>
      <c r="AE516" s="5">
        <v>0</v>
      </c>
      <c r="AF516" s="5">
        <v>1</v>
      </c>
      <c r="AG516" s="5">
        <v>1</v>
      </c>
      <c r="AH516" s="5">
        <v>1</v>
      </c>
      <c r="AI516" s="3">
        <f t="shared" si="313"/>
        <v>3.1</v>
      </c>
      <c r="AJ516" s="5">
        <f t="shared" si="337"/>
        <v>0</v>
      </c>
      <c r="AK516" s="5">
        <f t="shared" si="319"/>
        <v>0</v>
      </c>
      <c r="AL516" s="5">
        <f t="shared" si="320"/>
        <v>0</v>
      </c>
      <c r="AM516" s="5">
        <f t="shared" si="339"/>
        <v>1</v>
      </c>
      <c r="AN516" s="5">
        <f t="shared" si="321"/>
        <v>0</v>
      </c>
      <c r="AO516" s="5">
        <f t="shared" si="340"/>
        <v>0</v>
      </c>
      <c r="AP516" s="11" t="s">
        <v>42</v>
      </c>
      <c r="AQ516" s="1">
        <v>1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1</v>
      </c>
      <c r="AY516" s="1">
        <f t="shared" si="389"/>
        <v>0</v>
      </c>
      <c r="AZ516" s="1">
        <f t="shared" si="390"/>
        <v>0</v>
      </c>
      <c r="BA516" s="1">
        <f t="shared" si="391"/>
        <v>0</v>
      </c>
      <c r="BB516" s="5">
        <v>0</v>
      </c>
      <c r="BC516" s="5">
        <v>0</v>
      </c>
      <c r="BD516" s="5">
        <v>1</v>
      </c>
      <c r="BE516" s="5">
        <f t="shared" si="392"/>
        <v>0</v>
      </c>
      <c r="BF516" s="5">
        <v>0</v>
      </c>
      <c r="BG516" s="5">
        <f t="shared" si="382"/>
        <v>0</v>
      </c>
      <c r="BH516" s="5">
        <f t="shared" si="382"/>
        <v>0</v>
      </c>
      <c r="BI516" s="5">
        <f t="shared" si="382"/>
        <v>0</v>
      </c>
      <c r="BJ516" s="5">
        <f t="shared" si="382"/>
        <v>0</v>
      </c>
      <c r="BK516" s="5">
        <f t="shared" si="382"/>
        <v>0</v>
      </c>
      <c r="BL516" s="5">
        <f t="shared" si="382"/>
        <v>0</v>
      </c>
      <c r="BM516" s="5">
        <f t="shared" si="382"/>
        <v>0</v>
      </c>
      <c r="BN516" s="5">
        <f t="shared" ref="BN516:CB531" si="396">IF($E516=BN$2,1,0)</f>
        <v>0</v>
      </c>
      <c r="BO516" s="5">
        <f t="shared" si="396"/>
        <v>0</v>
      </c>
      <c r="BP516" s="5">
        <f t="shared" si="396"/>
        <v>0</v>
      </c>
      <c r="BQ516" s="5">
        <f t="shared" si="396"/>
        <v>0</v>
      </c>
      <c r="BR516" s="5">
        <f t="shared" si="396"/>
        <v>0</v>
      </c>
      <c r="BS516" s="5">
        <f t="shared" si="396"/>
        <v>0</v>
      </c>
      <c r="BT516" s="5">
        <f t="shared" si="396"/>
        <v>0</v>
      </c>
      <c r="BU516" s="5">
        <f t="shared" si="396"/>
        <v>0</v>
      </c>
      <c r="BV516" s="5">
        <f t="shared" si="396"/>
        <v>0</v>
      </c>
      <c r="BW516" s="5">
        <f t="shared" si="396"/>
        <v>0</v>
      </c>
      <c r="BX516" s="5">
        <f t="shared" si="396"/>
        <v>0</v>
      </c>
      <c r="BY516" s="5">
        <f t="shared" si="396"/>
        <v>0</v>
      </c>
      <c r="BZ516" s="5">
        <f t="shared" si="396"/>
        <v>0</v>
      </c>
      <c r="CA516" s="5">
        <f t="shared" si="396"/>
        <v>1</v>
      </c>
      <c r="CB516" s="5">
        <f t="shared" si="396"/>
        <v>0</v>
      </c>
      <c r="CC516" s="5">
        <f t="shared" ref="CC516:CE535" si="397">IF($E516=CC$2,1,0)</f>
        <v>0</v>
      </c>
      <c r="CD516" s="5">
        <f t="shared" si="394"/>
        <v>0</v>
      </c>
      <c r="CE516" s="5">
        <f t="shared" si="394"/>
        <v>0</v>
      </c>
    </row>
    <row r="517" spans="1:83" x14ac:dyDescent="0.2">
      <c r="A517" s="11"/>
      <c r="B517" s="11"/>
      <c r="C517" s="1">
        <f>Growth!D522</f>
        <v>2.9411764705882353E-2</v>
      </c>
      <c r="D517" s="5" t="b">
        <f t="shared" si="316"/>
        <v>0</v>
      </c>
      <c r="E517" s="5">
        <v>2011</v>
      </c>
      <c r="F517" s="5">
        <f ca="1">LOOKUP($E517,frequence!$A$2:$A$35,frequence!L$2:L$35)</f>
        <v>33.053542446246631</v>
      </c>
      <c r="G517" s="5">
        <f ca="1">LOOKUP($E517,frequence!$A$2:$A$35,frequence!K$2:K$35)</f>
        <v>2.1388579511305732</v>
      </c>
      <c r="H517" s="5">
        <f ca="1">LOOKUP($E517,frequence!$A$2:$A$35,frequence!M$2:M$35)</f>
        <v>182.11948132765423</v>
      </c>
      <c r="I517" s="5">
        <v>1995</v>
      </c>
      <c r="J517" s="7">
        <f>LOOKUP(I517,CPI!A$69:A$103,CPI!O$69:O$103)</f>
        <v>1.4308136482939633</v>
      </c>
      <c r="K517" s="5">
        <v>2015</v>
      </c>
      <c r="L517" s="7">
        <f t="shared" ref="L517:L580" ca="1" si="398">IF(O517&lt;L$1,1,IF(O517&gt;L$2,0,1-(O517-L$1)/(L$2-L$1)))</f>
        <v>1</v>
      </c>
      <c r="M517" s="7">
        <f t="shared" si="333"/>
        <v>0.17941176470588233</v>
      </c>
      <c r="N517" s="14">
        <f t="shared" si="395"/>
        <v>2.9411764705882353E-2</v>
      </c>
      <c r="O517" s="1">
        <f ca="1">P517*J517*(1+Growth!G$6)^(2010-K517)</f>
        <v>85.614980815962994</v>
      </c>
      <c r="P517" s="11">
        <v>64.5</v>
      </c>
      <c r="Q517" s="2">
        <f t="shared" si="374"/>
        <v>64.5</v>
      </c>
      <c r="R517" s="21">
        <f t="shared" ca="1" si="318"/>
        <v>7329.9249401177112</v>
      </c>
      <c r="X517" s="2">
        <f t="shared" si="329"/>
        <v>64.5</v>
      </c>
      <c r="AC517" s="1">
        <f t="shared" si="388"/>
        <v>6.1</v>
      </c>
      <c r="AD517" s="5">
        <v>0</v>
      </c>
      <c r="AE517" s="5">
        <v>0</v>
      </c>
      <c r="AF517" s="5">
        <v>1</v>
      </c>
      <c r="AG517" s="5">
        <v>1</v>
      </c>
      <c r="AH517" s="5">
        <v>1</v>
      </c>
      <c r="AI517" s="3">
        <f t="shared" si="313"/>
        <v>3.1</v>
      </c>
      <c r="AJ517" s="5">
        <f t="shared" si="337"/>
        <v>0</v>
      </c>
      <c r="AK517" s="5">
        <f t="shared" ref="AK517:AK580" si="399">IF($AQ517=2,1,0)</f>
        <v>0</v>
      </c>
      <c r="AL517" s="5">
        <f t="shared" ref="AL517:AL580" si="400">IF($AQ517=1.5,1,0)</f>
        <v>0</v>
      </c>
      <c r="AM517" s="5">
        <f t="shared" si="339"/>
        <v>1</v>
      </c>
      <c r="AN517" s="5">
        <f t="shared" ref="AN517:AN580" si="401">IF($AQ517=0.1,1,0)</f>
        <v>0</v>
      </c>
      <c r="AO517" s="5">
        <f t="shared" si="340"/>
        <v>0</v>
      </c>
      <c r="AP517" s="11" t="s">
        <v>42</v>
      </c>
      <c r="AQ517" s="1">
        <v>1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1</v>
      </c>
      <c r="AY517" s="1">
        <f t="shared" si="389"/>
        <v>0</v>
      </c>
      <c r="AZ517" s="1">
        <f t="shared" si="390"/>
        <v>0</v>
      </c>
      <c r="BA517" s="1">
        <f t="shared" si="391"/>
        <v>0</v>
      </c>
      <c r="BB517" s="5">
        <v>0</v>
      </c>
      <c r="BC517" s="5">
        <v>0</v>
      </c>
      <c r="BD517" s="5">
        <v>1</v>
      </c>
      <c r="BE517" s="5">
        <f t="shared" si="392"/>
        <v>0</v>
      </c>
      <c r="BF517" s="5">
        <v>0</v>
      </c>
      <c r="BG517" s="5">
        <f t="shared" ref="BG517:BN532" si="402">IF($E517=BG$2,1,0)</f>
        <v>0</v>
      </c>
      <c r="BH517" s="5">
        <f t="shared" si="402"/>
        <v>0</v>
      </c>
      <c r="BI517" s="5">
        <f t="shared" si="402"/>
        <v>0</v>
      </c>
      <c r="BJ517" s="5">
        <f t="shared" si="402"/>
        <v>0</v>
      </c>
      <c r="BK517" s="5">
        <f t="shared" si="402"/>
        <v>0</v>
      </c>
      <c r="BL517" s="5">
        <f t="shared" si="402"/>
        <v>0</v>
      </c>
      <c r="BM517" s="5">
        <f t="shared" si="402"/>
        <v>0</v>
      </c>
      <c r="BN517" s="5">
        <f t="shared" si="396"/>
        <v>0</v>
      </c>
      <c r="BO517" s="5">
        <f t="shared" si="396"/>
        <v>0</v>
      </c>
      <c r="BP517" s="5">
        <f t="shared" si="396"/>
        <v>0</v>
      </c>
      <c r="BQ517" s="5">
        <f t="shared" si="396"/>
        <v>0</v>
      </c>
      <c r="BR517" s="5">
        <f t="shared" si="396"/>
        <v>0</v>
      </c>
      <c r="BS517" s="5">
        <f t="shared" si="396"/>
        <v>0</v>
      </c>
      <c r="BT517" s="5">
        <f t="shared" si="396"/>
        <v>0</v>
      </c>
      <c r="BU517" s="5">
        <f t="shared" si="396"/>
        <v>0</v>
      </c>
      <c r="BV517" s="5">
        <f t="shared" si="396"/>
        <v>0</v>
      </c>
      <c r="BW517" s="5">
        <f t="shared" si="396"/>
        <v>0</v>
      </c>
      <c r="BX517" s="5">
        <f t="shared" si="396"/>
        <v>0</v>
      </c>
      <c r="BY517" s="5">
        <f t="shared" si="396"/>
        <v>0</v>
      </c>
      <c r="BZ517" s="5">
        <f t="shared" si="396"/>
        <v>0</v>
      </c>
      <c r="CA517" s="5">
        <f t="shared" si="396"/>
        <v>1</v>
      </c>
      <c r="CB517" s="5">
        <f t="shared" si="396"/>
        <v>0</v>
      </c>
      <c r="CC517" s="5">
        <f t="shared" si="397"/>
        <v>0</v>
      </c>
      <c r="CD517" s="5">
        <f t="shared" si="394"/>
        <v>0</v>
      </c>
      <c r="CE517" s="5">
        <f t="shared" si="394"/>
        <v>0</v>
      </c>
    </row>
    <row r="518" spans="1:83" x14ac:dyDescent="0.2">
      <c r="A518" s="11"/>
      <c r="B518" s="11"/>
      <c r="C518" s="1">
        <f>Growth!D523</f>
        <v>0</v>
      </c>
      <c r="D518" s="5" t="b">
        <f t="shared" si="316"/>
        <v>0</v>
      </c>
      <c r="E518" s="5">
        <v>2011</v>
      </c>
      <c r="F518" s="5">
        <f ca="1">LOOKUP($E518,frequence!$A$2:$A$35,frequence!L$2:L$35)</f>
        <v>33.053542446246631</v>
      </c>
      <c r="G518" s="5">
        <f ca="1">LOOKUP($E518,frequence!$A$2:$A$35,frequence!K$2:K$35)</f>
        <v>2.1388579511305732</v>
      </c>
      <c r="H518" s="5">
        <f ca="1">LOOKUP($E518,frequence!$A$2:$A$35,frequence!M$2:M$35)</f>
        <v>182.11948132765423</v>
      </c>
      <c r="I518" s="5">
        <v>1995</v>
      </c>
      <c r="J518" s="7">
        <f>LOOKUP(I518,CPI!A$69:A$103,CPI!O$69:O$103)</f>
        <v>1.4308136482939633</v>
      </c>
      <c r="K518" s="5">
        <v>2015</v>
      </c>
      <c r="L518" s="7">
        <f t="shared" ca="1" si="398"/>
        <v>1</v>
      </c>
      <c r="M518" s="7">
        <f t="shared" si="333"/>
        <v>0.17941176470588233</v>
      </c>
      <c r="N518" s="14">
        <f t="shared" si="395"/>
        <v>2.9411764705882353E-2</v>
      </c>
      <c r="O518" s="1">
        <f ca="1">P518*J518*(1+Growth!G$6)^(2010-K518)</f>
        <v>70.084821505160406</v>
      </c>
      <c r="P518" s="11">
        <v>52.8</v>
      </c>
      <c r="Q518" s="2">
        <f t="shared" si="374"/>
        <v>52.8</v>
      </c>
      <c r="R518" s="21">
        <f t="shared" ca="1" si="318"/>
        <v>4911.8822054101947</v>
      </c>
      <c r="X518" s="2">
        <f t="shared" si="329"/>
        <v>52.8</v>
      </c>
      <c r="AC518" s="1">
        <f t="shared" si="388"/>
        <v>6.1</v>
      </c>
      <c r="AD518" s="5">
        <v>0</v>
      </c>
      <c r="AE518" s="5">
        <v>0</v>
      </c>
      <c r="AF518" s="5">
        <v>1</v>
      </c>
      <c r="AG518" s="5">
        <v>1</v>
      </c>
      <c r="AH518" s="5">
        <v>1</v>
      </c>
      <c r="AI518" s="3">
        <f t="shared" si="313"/>
        <v>3.1</v>
      </c>
      <c r="AJ518" s="5">
        <f t="shared" si="337"/>
        <v>0</v>
      </c>
      <c r="AK518" s="5">
        <f t="shared" si="399"/>
        <v>0</v>
      </c>
      <c r="AL518" s="5">
        <f t="shared" si="400"/>
        <v>0</v>
      </c>
      <c r="AM518" s="5">
        <f t="shared" si="339"/>
        <v>0</v>
      </c>
      <c r="AN518" s="5">
        <f t="shared" si="401"/>
        <v>1</v>
      </c>
      <c r="AO518" s="5">
        <f t="shared" si="340"/>
        <v>0</v>
      </c>
      <c r="AP518" s="11" t="s">
        <v>42</v>
      </c>
      <c r="AQ518" s="1">
        <v>0.1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1</v>
      </c>
      <c r="AY518" s="1">
        <f t="shared" si="389"/>
        <v>0</v>
      </c>
      <c r="AZ518" s="1">
        <f t="shared" si="390"/>
        <v>0</v>
      </c>
      <c r="BA518" s="1">
        <f t="shared" si="391"/>
        <v>0</v>
      </c>
      <c r="BB518" s="5">
        <v>0</v>
      </c>
      <c r="BC518" s="5">
        <v>0</v>
      </c>
      <c r="BD518" s="5">
        <v>1</v>
      </c>
      <c r="BE518" s="5">
        <f t="shared" si="392"/>
        <v>0</v>
      </c>
      <c r="BF518" s="5">
        <v>0</v>
      </c>
      <c r="BG518" s="5">
        <f t="shared" si="402"/>
        <v>0</v>
      </c>
      <c r="BH518" s="5">
        <f t="shared" si="402"/>
        <v>0</v>
      </c>
      <c r="BI518" s="5">
        <f t="shared" si="402"/>
        <v>0</v>
      </c>
      <c r="BJ518" s="5">
        <f t="shared" si="402"/>
        <v>0</v>
      </c>
      <c r="BK518" s="5">
        <f t="shared" si="402"/>
        <v>0</v>
      </c>
      <c r="BL518" s="5">
        <f t="shared" si="402"/>
        <v>0</v>
      </c>
      <c r="BM518" s="5">
        <f t="shared" si="402"/>
        <v>0</v>
      </c>
      <c r="BN518" s="5">
        <f t="shared" si="396"/>
        <v>0</v>
      </c>
      <c r="BO518" s="5">
        <f t="shared" si="396"/>
        <v>0</v>
      </c>
      <c r="BP518" s="5">
        <f t="shared" si="396"/>
        <v>0</v>
      </c>
      <c r="BQ518" s="5">
        <f t="shared" si="396"/>
        <v>0</v>
      </c>
      <c r="BR518" s="5">
        <f t="shared" si="396"/>
        <v>0</v>
      </c>
      <c r="BS518" s="5">
        <f t="shared" si="396"/>
        <v>0</v>
      </c>
      <c r="BT518" s="5">
        <f t="shared" si="396"/>
        <v>0</v>
      </c>
      <c r="BU518" s="5">
        <f t="shared" si="396"/>
        <v>0</v>
      </c>
      <c r="BV518" s="5">
        <f t="shared" si="396"/>
        <v>0</v>
      </c>
      <c r="BW518" s="5">
        <f t="shared" si="396"/>
        <v>0</v>
      </c>
      <c r="BX518" s="5">
        <f t="shared" si="396"/>
        <v>0</v>
      </c>
      <c r="BY518" s="5">
        <f t="shared" si="396"/>
        <v>0</v>
      </c>
      <c r="BZ518" s="5">
        <f t="shared" si="396"/>
        <v>0</v>
      </c>
      <c r="CA518" s="5">
        <f t="shared" si="396"/>
        <v>1</v>
      </c>
      <c r="CB518" s="5">
        <f t="shared" si="396"/>
        <v>0</v>
      </c>
      <c r="CC518" s="5">
        <f t="shared" si="397"/>
        <v>0</v>
      </c>
      <c r="CD518" s="5">
        <f t="shared" si="394"/>
        <v>0</v>
      </c>
      <c r="CE518" s="5">
        <f t="shared" si="394"/>
        <v>0</v>
      </c>
    </row>
    <row r="519" spans="1:83" x14ac:dyDescent="0.2">
      <c r="A519" s="11"/>
      <c r="B519" s="11"/>
      <c r="C519" s="1">
        <f>Growth!D524</f>
        <v>0</v>
      </c>
      <c r="D519" s="5" t="b">
        <f t="shared" si="316"/>
        <v>0</v>
      </c>
      <c r="E519" s="5">
        <v>2011</v>
      </c>
      <c r="F519" s="5">
        <f ca="1">LOOKUP($E519,frequence!$A$2:$A$35,frequence!L$2:L$35)</f>
        <v>33.053542446246631</v>
      </c>
      <c r="G519" s="5">
        <f ca="1">LOOKUP($E519,frequence!$A$2:$A$35,frequence!K$2:K$35)</f>
        <v>2.1388579511305732</v>
      </c>
      <c r="H519" s="5">
        <f ca="1">LOOKUP($E519,frequence!$A$2:$A$35,frequence!M$2:M$35)</f>
        <v>182.11948132765423</v>
      </c>
      <c r="I519" s="5">
        <v>1995</v>
      </c>
      <c r="J519" s="7">
        <f>LOOKUP(I519,CPI!A$69:A$103,CPI!O$69:O$103)</f>
        <v>1.4308136482939633</v>
      </c>
      <c r="K519" s="5">
        <v>2015</v>
      </c>
      <c r="L519" s="7">
        <f t="shared" ca="1" si="398"/>
        <v>0.86657136580920513</v>
      </c>
      <c r="M519" s="7">
        <f t="shared" si="333"/>
        <v>0.17941176470588233</v>
      </c>
      <c r="N519" s="14">
        <f t="shared" si="395"/>
        <v>2.9411764705882353E-2</v>
      </c>
      <c r="O519" s="1">
        <f ca="1">P519*J519*(1+Growth!G$6)^(2010-K519)</f>
        <v>2004.3197059240947</v>
      </c>
      <c r="P519" s="11">
        <v>1510</v>
      </c>
      <c r="Q519" s="2">
        <f t="shared" si="374"/>
        <v>1510</v>
      </c>
      <c r="R519" s="21">
        <f t="shared" ca="1" si="318"/>
        <v>4017297.4835556494</v>
      </c>
      <c r="X519" s="2">
        <f t="shared" si="329"/>
        <v>1510</v>
      </c>
      <c r="AC519" s="1">
        <f t="shared" si="388"/>
        <v>6.1</v>
      </c>
      <c r="AD519" s="5">
        <v>0</v>
      </c>
      <c r="AE519" s="5">
        <v>0</v>
      </c>
      <c r="AF519" s="5">
        <v>1</v>
      </c>
      <c r="AG519" s="5">
        <v>1</v>
      </c>
      <c r="AH519" s="5">
        <v>1</v>
      </c>
      <c r="AI519" s="3">
        <f t="shared" si="313"/>
        <v>3.1</v>
      </c>
      <c r="AJ519" s="5">
        <f t="shared" si="337"/>
        <v>0</v>
      </c>
      <c r="AK519" s="5">
        <f t="shared" si="399"/>
        <v>0</v>
      </c>
      <c r="AL519" s="5">
        <f t="shared" si="400"/>
        <v>0</v>
      </c>
      <c r="AM519" s="5">
        <f t="shared" si="339"/>
        <v>0</v>
      </c>
      <c r="AN519" s="5">
        <f t="shared" si="401"/>
        <v>1</v>
      </c>
      <c r="AO519" s="5">
        <f t="shared" si="340"/>
        <v>0</v>
      </c>
      <c r="AP519" s="11" t="s">
        <v>42</v>
      </c>
      <c r="AQ519" s="1">
        <v>0.1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1</v>
      </c>
      <c r="AY519" s="1">
        <f t="shared" si="389"/>
        <v>0</v>
      </c>
      <c r="AZ519" s="1">
        <f t="shared" si="390"/>
        <v>0</v>
      </c>
      <c r="BA519" s="1">
        <f t="shared" si="391"/>
        <v>0</v>
      </c>
      <c r="BB519" s="5">
        <v>0</v>
      </c>
      <c r="BC519" s="5">
        <v>0</v>
      </c>
      <c r="BD519" s="5">
        <v>1</v>
      </c>
      <c r="BE519" s="5">
        <f t="shared" si="392"/>
        <v>0</v>
      </c>
      <c r="BF519" s="5">
        <v>0</v>
      </c>
      <c r="BG519" s="5">
        <f t="shared" si="402"/>
        <v>0</v>
      </c>
      <c r="BH519" s="5">
        <f t="shared" si="402"/>
        <v>0</v>
      </c>
      <c r="BI519" s="5">
        <f t="shared" si="402"/>
        <v>0</v>
      </c>
      <c r="BJ519" s="5">
        <f t="shared" si="402"/>
        <v>0</v>
      </c>
      <c r="BK519" s="5">
        <f t="shared" si="402"/>
        <v>0</v>
      </c>
      <c r="BL519" s="5">
        <f t="shared" si="402"/>
        <v>0</v>
      </c>
      <c r="BM519" s="5">
        <f t="shared" si="402"/>
        <v>0</v>
      </c>
      <c r="BN519" s="5">
        <f t="shared" si="396"/>
        <v>0</v>
      </c>
      <c r="BO519" s="5">
        <f t="shared" si="396"/>
        <v>0</v>
      </c>
      <c r="BP519" s="5">
        <f t="shared" si="396"/>
        <v>0</v>
      </c>
      <c r="BQ519" s="5">
        <f t="shared" si="396"/>
        <v>0</v>
      </c>
      <c r="BR519" s="5">
        <f t="shared" si="396"/>
        <v>0</v>
      </c>
      <c r="BS519" s="5">
        <f t="shared" si="396"/>
        <v>0</v>
      </c>
      <c r="BT519" s="5">
        <f t="shared" si="396"/>
        <v>0</v>
      </c>
      <c r="BU519" s="5">
        <f t="shared" si="396"/>
        <v>0</v>
      </c>
      <c r="BV519" s="5">
        <f t="shared" si="396"/>
        <v>0</v>
      </c>
      <c r="BW519" s="5">
        <f t="shared" si="396"/>
        <v>0</v>
      </c>
      <c r="BX519" s="5">
        <f t="shared" si="396"/>
        <v>0</v>
      </c>
      <c r="BY519" s="5">
        <f t="shared" si="396"/>
        <v>0</v>
      </c>
      <c r="BZ519" s="5">
        <f t="shared" si="396"/>
        <v>0</v>
      </c>
      <c r="CA519" s="5">
        <f t="shared" si="396"/>
        <v>1</v>
      </c>
      <c r="CB519" s="5">
        <f t="shared" si="396"/>
        <v>0</v>
      </c>
      <c r="CC519" s="5">
        <f t="shared" si="397"/>
        <v>0</v>
      </c>
      <c r="CD519" s="5">
        <f t="shared" si="394"/>
        <v>0</v>
      </c>
      <c r="CE519" s="5">
        <f t="shared" si="394"/>
        <v>0</v>
      </c>
    </row>
    <row r="520" spans="1:83" x14ac:dyDescent="0.2">
      <c r="A520" s="11"/>
      <c r="B520" s="11"/>
      <c r="C520" s="1">
        <f>Growth!D525</f>
        <v>5.8823529411764705E-2</v>
      </c>
      <c r="D520" s="5" t="b">
        <f t="shared" si="316"/>
        <v>0</v>
      </c>
      <c r="E520" s="5">
        <v>2011</v>
      </c>
      <c r="F520" s="5">
        <f ca="1">LOOKUP($E520,frequence!$A$2:$A$35,frequence!L$2:L$35)</f>
        <v>33.053542446246631</v>
      </c>
      <c r="G520" s="5">
        <f ca="1">LOOKUP($E520,frequence!$A$2:$A$35,frequence!K$2:K$35)</f>
        <v>2.1388579511305732</v>
      </c>
      <c r="H520" s="5">
        <f ca="1">LOOKUP($E520,frequence!$A$2:$A$35,frequence!M$2:M$35)</f>
        <v>182.11948132765423</v>
      </c>
      <c r="I520" s="5">
        <v>1995</v>
      </c>
      <c r="J520" s="7">
        <f>LOOKUP(I520,CPI!A$69:A$103,CPI!O$69:O$103)</f>
        <v>1.4308136482939633</v>
      </c>
      <c r="K520" s="5">
        <v>2015</v>
      </c>
      <c r="L520" s="7">
        <f t="shared" ca="1" si="398"/>
        <v>1</v>
      </c>
      <c r="M520" s="7">
        <f t="shared" si="333"/>
        <v>0.35882352941176465</v>
      </c>
      <c r="N520" s="14">
        <f t="shared" si="393"/>
        <v>5.8823529411764705E-2</v>
      </c>
      <c r="O520" s="1">
        <f ca="1">P520*J520*(1+Growth!G$6)^(2010-K520)</f>
        <v>121.45380999473821</v>
      </c>
      <c r="P520" s="11">
        <v>91.5</v>
      </c>
      <c r="Q520" s="2">
        <f t="shared" ref="Q520:Q525" si="403">P520</f>
        <v>91.5</v>
      </c>
      <c r="R520" s="21">
        <f t="shared" ca="1" si="318"/>
        <v>14751.027962237971</v>
      </c>
      <c r="X520" s="2">
        <f t="shared" si="329"/>
        <v>91.5</v>
      </c>
      <c r="AC520" s="1">
        <f t="shared" ref="AC520:AC525" si="404">SUM(AD520:AI520)</f>
        <v>6.1</v>
      </c>
      <c r="AD520" s="5">
        <v>0</v>
      </c>
      <c r="AE520" s="5">
        <v>0</v>
      </c>
      <c r="AF520" s="5">
        <v>1</v>
      </c>
      <c r="AG520" s="5">
        <v>1</v>
      </c>
      <c r="AH520" s="5">
        <v>1</v>
      </c>
      <c r="AI520" s="3">
        <f t="shared" si="313"/>
        <v>3.1</v>
      </c>
      <c r="AJ520" s="5">
        <f t="shared" si="337"/>
        <v>0</v>
      </c>
      <c r="AK520" s="5">
        <f t="shared" si="399"/>
        <v>0</v>
      </c>
      <c r="AL520" s="5">
        <f t="shared" si="400"/>
        <v>0</v>
      </c>
      <c r="AM520" s="5">
        <f t="shared" si="339"/>
        <v>1</v>
      </c>
      <c r="AN520" s="5">
        <f t="shared" si="401"/>
        <v>0</v>
      </c>
      <c r="AO520" s="5">
        <f t="shared" si="340"/>
        <v>0</v>
      </c>
      <c r="AP520" s="11" t="s">
        <v>42</v>
      </c>
      <c r="AQ520" s="1">
        <v>1</v>
      </c>
      <c r="AR520" s="5">
        <v>1</v>
      </c>
      <c r="AS520" s="5">
        <v>1</v>
      </c>
      <c r="AT520" s="5">
        <v>0</v>
      </c>
      <c r="AU520" s="5">
        <v>0</v>
      </c>
      <c r="AV520" s="5">
        <v>0</v>
      </c>
      <c r="AW520" s="5">
        <v>0</v>
      </c>
      <c r="AX520" s="5">
        <v>1</v>
      </c>
      <c r="AY520" s="1">
        <f t="shared" ref="AY520:AY525" si="405">AJ520*$AD520*(1-$AV520)*(1-$AR520)</f>
        <v>0</v>
      </c>
      <c r="AZ520" s="1">
        <f t="shared" ref="AZ520:AZ525" si="406">AM520*$AD520*(1-$AV520)*(1-$AR520)</f>
        <v>0</v>
      </c>
      <c r="BA520" s="1">
        <f t="shared" ref="BA520:BA525" si="407">AO520*$AD520*(1-$AV520)*(1-$AR520)</f>
        <v>0</v>
      </c>
      <c r="BB520" s="5">
        <v>0</v>
      </c>
      <c r="BC520" s="5">
        <v>0</v>
      </c>
      <c r="BD520" s="5">
        <v>1</v>
      </c>
      <c r="BE520" s="5">
        <f t="shared" ref="BE520:BE525" si="408">1-SUM(BB520:BD520)</f>
        <v>0</v>
      </c>
      <c r="BF520" s="5">
        <v>0</v>
      </c>
      <c r="BG520" s="5">
        <f t="shared" si="402"/>
        <v>0</v>
      </c>
      <c r="BH520" s="5">
        <f t="shared" si="402"/>
        <v>0</v>
      </c>
      <c r="BI520" s="5">
        <f t="shared" si="402"/>
        <v>0</v>
      </c>
      <c r="BJ520" s="5">
        <f t="shared" si="402"/>
        <v>0</v>
      </c>
      <c r="BK520" s="5">
        <f t="shared" si="402"/>
        <v>0</v>
      </c>
      <c r="BL520" s="5">
        <f t="shared" si="402"/>
        <v>0</v>
      </c>
      <c r="BM520" s="5">
        <f t="shared" si="402"/>
        <v>0</v>
      </c>
      <c r="BN520" s="5">
        <f t="shared" si="396"/>
        <v>0</v>
      </c>
      <c r="BO520" s="5">
        <f t="shared" si="396"/>
        <v>0</v>
      </c>
      <c r="BP520" s="5">
        <f t="shared" si="396"/>
        <v>0</v>
      </c>
      <c r="BQ520" s="5">
        <f t="shared" si="396"/>
        <v>0</v>
      </c>
      <c r="BR520" s="5">
        <f t="shared" si="396"/>
        <v>0</v>
      </c>
      <c r="BS520" s="5">
        <f t="shared" si="396"/>
        <v>0</v>
      </c>
      <c r="BT520" s="5">
        <f t="shared" si="396"/>
        <v>0</v>
      </c>
      <c r="BU520" s="5">
        <f t="shared" si="396"/>
        <v>0</v>
      </c>
      <c r="BV520" s="5">
        <f t="shared" si="396"/>
        <v>0</v>
      </c>
      <c r="BW520" s="5">
        <f t="shared" si="396"/>
        <v>0</v>
      </c>
      <c r="BX520" s="5">
        <f t="shared" si="396"/>
        <v>0</v>
      </c>
      <c r="BY520" s="5">
        <f t="shared" si="396"/>
        <v>0</v>
      </c>
      <c r="BZ520" s="5">
        <f t="shared" si="396"/>
        <v>0</v>
      </c>
      <c r="CA520" s="5">
        <f t="shared" si="396"/>
        <v>1</v>
      </c>
      <c r="CB520" s="5">
        <f t="shared" si="396"/>
        <v>0</v>
      </c>
      <c r="CC520" s="5">
        <f t="shared" si="397"/>
        <v>0</v>
      </c>
      <c r="CD520" s="5">
        <f t="shared" si="394"/>
        <v>0</v>
      </c>
      <c r="CE520" s="5">
        <f t="shared" si="394"/>
        <v>0</v>
      </c>
    </row>
    <row r="521" spans="1:83" x14ac:dyDescent="0.2">
      <c r="A521" s="11"/>
      <c r="B521" s="11"/>
      <c r="C521" s="1">
        <f>Growth!D526</f>
        <v>5.8823529411764705E-2</v>
      </c>
      <c r="D521" s="5" t="b">
        <f t="shared" si="316"/>
        <v>0</v>
      </c>
      <c r="E521" s="5">
        <v>2011</v>
      </c>
      <c r="F521" s="5">
        <f ca="1">LOOKUP($E521,frequence!$A$2:$A$35,frequence!L$2:L$35)</f>
        <v>33.053542446246631</v>
      </c>
      <c r="G521" s="5">
        <f ca="1">LOOKUP($E521,frequence!$A$2:$A$35,frequence!K$2:K$35)</f>
        <v>2.1388579511305732</v>
      </c>
      <c r="H521" s="5">
        <f ca="1">LOOKUP($E521,frequence!$A$2:$A$35,frequence!M$2:M$35)</f>
        <v>182.11948132765423</v>
      </c>
      <c r="I521" s="5">
        <v>1995</v>
      </c>
      <c r="J521" s="7">
        <f>LOOKUP(I521,CPI!A$69:A$103,CPI!O$69:O$103)</f>
        <v>1.4308136482939633</v>
      </c>
      <c r="K521" s="5">
        <v>2015</v>
      </c>
      <c r="L521" s="7">
        <f t="shared" ca="1" si="398"/>
        <v>1</v>
      </c>
      <c r="M521" s="7">
        <f t="shared" si="333"/>
        <v>0.35882352941176465</v>
      </c>
      <c r="N521" s="14">
        <f t="shared" si="393"/>
        <v>5.8823529411764705E-2</v>
      </c>
      <c r="O521" s="1">
        <f ca="1">P521*J521*(1+Growth!G$6)^(2010-K521)</f>
        <v>16.061104928265927</v>
      </c>
      <c r="P521" s="11">
        <v>12.1</v>
      </c>
      <c r="Q521" s="2">
        <f t="shared" si="403"/>
        <v>12.1</v>
      </c>
      <c r="R521" s="21">
        <f t="shared" ca="1" si="318"/>
        <v>257.95909151676801</v>
      </c>
      <c r="X521" s="2">
        <f t="shared" si="329"/>
        <v>12.1</v>
      </c>
      <c r="AC521" s="1">
        <f t="shared" si="404"/>
        <v>6.1</v>
      </c>
      <c r="AD521" s="5">
        <v>0</v>
      </c>
      <c r="AE521" s="5">
        <v>0</v>
      </c>
      <c r="AF521" s="5">
        <v>1</v>
      </c>
      <c r="AG521" s="5">
        <v>1</v>
      </c>
      <c r="AH521" s="5">
        <v>1</v>
      </c>
      <c r="AI521" s="3">
        <f t="shared" ref="AI521:AI584" si="409">(E521-1980)/10</f>
        <v>3.1</v>
      </c>
      <c r="AJ521" s="5">
        <f t="shared" si="337"/>
        <v>0</v>
      </c>
      <c r="AK521" s="5">
        <f t="shared" si="399"/>
        <v>0</v>
      </c>
      <c r="AL521" s="5">
        <f t="shared" si="400"/>
        <v>0</v>
      </c>
      <c r="AM521" s="5">
        <f t="shared" si="339"/>
        <v>1</v>
      </c>
      <c r="AN521" s="5">
        <f t="shared" si="401"/>
        <v>0</v>
      </c>
      <c r="AO521" s="5">
        <f t="shared" si="340"/>
        <v>0</v>
      </c>
      <c r="AP521" s="11" t="s">
        <v>42</v>
      </c>
      <c r="AQ521" s="1">
        <v>1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1</v>
      </c>
      <c r="AY521" s="1">
        <f t="shared" si="405"/>
        <v>0</v>
      </c>
      <c r="AZ521" s="1">
        <f t="shared" si="406"/>
        <v>0</v>
      </c>
      <c r="BA521" s="1">
        <f t="shared" si="407"/>
        <v>0</v>
      </c>
      <c r="BB521" s="5">
        <v>0</v>
      </c>
      <c r="BC521" s="5">
        <v>0</v>
      </c>
      <c r="BD521" s="5">
        <v>1</v>
      </c>
      <c r="BE521" s="5">
        <f t="shared" si="408"/>
        <v>0</v>
      </c>
      <c r="BF521" s="5">
        <v>0</v>
      </c>
      <c r="BG521" s="5">
        <f t="shared" si="402"/>
        <v>0</v>
      </c>
      <c r="BH521" s="5">
        <f t="shared" si="402"/>
        <v>0</v>
      </c>
      <c r="BI521" s="5">
        <f t="shared" si="402"/>
        <v>0</v>
      </c>
      <c r="BJ521" s="5">
        <f t="shared" si="402"/>
        <v>0</v>
      </c>
      <c r="BK521" s="5">
        <f t="shared" si="402"/>
        <v>0</v>
      </c>
      <c r="BL521" s="5">
        <f t="shared" si="402"/>
        <v>0</v>
      </c>
      <c r="BM521" s="5">
        <f t="shared" si="402"/>
        <v>0</v>
      </c>
      <c r="BN521" s="5">
        <f t="shared" si="396"/>
        <v>0</v>
      </c>
      <c r="BO521" s="5">
        <f t="shared" si="396"/>
        <v>0</v>
      </c>
      <c r="BP521" s="5">
        <f t="shared" si="396"/>
        <v>0</v>
      </c>
      <c r="BQ521" s="5">
        <f t="shared" si="396"/>
        <v>0</v>
      </c>
      <c r="BR521" s="5">
        <f t="shared" si="396"/>
        <v>0</v>
      </c>
      <c r="BS521" s="5">
        <f t="shared" si="396"/>
        <v>0</v>
      </c>
      <c r="BT521" s="5">
        <f t="shared" si="396"/>
        <v>0</v>
      </c>
      <c r="BU521" s="5">
        <f t="shared" si="396"/>
        <v>0</v>
      </c>
      <c r="BV521" s="5">
        <f t="shared" si="396"/>
        <v>0</v>
      </c>
      <c r="BW521" s="5">
        <f t="shared" si="396"/>
        <v>0</v>
      </c>
      <c r="BX521" s="5">
        <f t="shared" si="396"/>
        <v>0</v>
      </c>
      <c r="BY521" s="5">
        <f t="shared" si="396"/>
        <v>0</v>
      </c>
      <c r="BZ521" s="5">
        <f t="shared" si="396"/>
        <v>0</v>
      </c>
      <c r="CA521" s="5">
        <f t="shared" si="396"/>
        <v>1</v>
      </c>
      <c r="CB521" s="5">
        <f t="shared" si="396"/>
        <v>0</v>
      </c>
      <c r="CC521" s="5">
        <f t="shared" si="397"/>
        <v>0</v>
      </c>
      <c r="CD521" s="5">
        <f t="shared" si="394"/>
        <v>0</v>
      </c>
      <c r="CE521" s="5">
        <f t="shared" si="394"/>
        <v>0</v>
      </c>
    </row>
    <row r="522" spans="1:83" x14ac:dyDescent="0.2">
      <c r="A522" s="11"/>
      <c r="B522" s="11"/>
      <c r="C522" s="1">
        <f>Growth!D527</f>
        <v>5.8823529411764705E-2</v>
      </c>
      <c r="D522" s="5" t="b">
        <f t="shared" ref="D522:D585" si="410">IF(B522&gt;0,E522)</f>
        <v>0</v>
      </c>
      <c r="E522" s="5">
        <v>2011</v>
      </c>
      <c r="F522" s="5">
        <f ca="1">LOOKUP($E522,frequence!$A$2:$A$35,frequence!L$2:L$35)</f>
        <v>33.053542446246631</v>
      </c>
      <c r="G522" s="5">
        <f ca="1">LOOKUP($E522,frequence!$A$2:$A$35,frequence!K$2:K$35)</f>
        <v>2.1388579511305732</v>
      </c>
      <c r="H522" s="5">
        <f ca="1">LOOKUP($E522,frequence!$A$2:$A$35,frequence!M$2:M$35)</f>
        <v>182.11948132765423</v>
      </c>
      <c r="I522" s="5">
        <v>1995</v>
      </c>
      <c r="J522" s="7">
        <f>LOOKUP(I522,CPI!A$69:A$103,CPI!O$69:O$103)</f>
        <v>1.4308136482939633</v>
      </c>
      <c r="K522" s="5">
        <v>2015</v>
      </c>
      <c r="L522" s="7">
        <f t="shared" ca="1" si="398"/>
        <v>1</v>
      </c>
      <c r="M522" s="7">
        <f t="shared" si="333"/>
        <v>0.35882352941176465</v>
      </c>
      <c r="N522" s="14">
        <f t="shared" si="393"/>
        <v>5.8823529411764705E-2</v>
      </c>
      <c r="O522" s="1">
        <f ca="1">P522*J522*(1+Growth!G$6)^(2010-K522)</f>
        <v>38.626293670457727</v>
      </c>
      <c r="P522" s="11">
        <v>29.1</v>
      </c>
      <c r="Q522" s="2">
        <f t="shared" si="403"/>
        <v>29.1</v>
      </c>
      <c r="R522" s="21">
        <f t="shared" ref="R522:R585" ca="1" si="411">O522*O522</f>
        <v>1491.9905627164426</v>
      </c>
      <c r="X522" s="2">
        <f t="shared" si="329"/>
        <v>29.1</v>
      </c>
      <c r="AC522" s="1">
        <f t="shared" si="404"/>
        <v>6.1</v>
      </c>
      <c r="AD522" s="5">
        <v>0</v>
      </c>
      <c r="AE522" s="5">
        <v>0</v>
      </c>
      <c r="AF522" s="5">
        <v>1</v>
      </c>
      <c r="AG522" s="5">
        <v>1</v>
      </c>
      <c r="AH522" s="5">
        <v>1</v>
      </c>
      <c r="AI522" s="3">
        <f t="shared" si="409"/>
        <v>3.1</v>
      </c>
      <c r="AJ522" s="5">
        <f t="shared" si="337"/>
        <v>0</v>
      </c>
      <c r="AK522" s="5">
        <f t="shared" si="399"/>
        <v>0</v>
      </c>
      <c r="AL522" s="5">
        <f t="shared" si="400"/>
        <v>0</v>
      </c>
      <c r="AM522" s="5">
        <f t="shared" si="339"/>
        <v>1</v>
      </c>
      <c r="AN522" s="5">
        <f t="shared" si="401"/>
        <v>0</v>
      </c>
      <c r="AO522" s="5">
        <f t="shared" si="340"/>
        <v>0</v>
      </c>
      <c r="AP522" s="11" t="s">
        <v>42</v>
      </c>
      <c r="AQ522" s="1">
        <v>1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1</v>
      </c>
      <c r="AY522" s="1">
        <f t="shared" si="405"/>
        <v>0</v>
      </c>
      <c r="AZ522" s="1">
        <f t="shared" si="406"/>
        <v>0</v>
      </c>
      <c r="BA522" s="1">
        <f t="shared" si="407"/>
        <v>0</v>
      </c>
      <c r="BB522" s="5">
        <v>0</v>
      </c>
      <c r="BC522" s="5">
        <v>0</v>
      </c>
      <c r="BD522" s="5">
        <v>1</v>
      </c>
      <c r="BE522" s="5">
        <f t="shared" si="408"/>
        <v>0</v>
      </c>
      <c r="BF522" s="5">
        <v>0</v>
      </c>
      <c r="BG522" s="5">
        <f t="shared" si="402"/>
        <v>0</v>
      </c>
      <c r="BH522" s="5">
        <f t="shared" si="402"/>
        <v>0</v>
      </c>
      <c r="BI522" s="5">
        <f t="shared" si="402"/>
        <v>0</v>
      </c>
      <c r="BJ522" s="5">
        <f t="shared" si="402"/>
        <v>0</v>
      </c>
      <c r="BK522" s="5">
        <f t="shared" si="402"/>
        <v>0</v>
      </c>
      <c r="BL522" s="5">
        <f t="shared" si="402"/>
        <v>0</v>
      </c>
      <c r="BM522" s="5">
        <f t="shared" si="402"/>
        <v>0</v>
      </c>
      <c r="BN522" s="5">
        <f t="shared" si="396"/>
        <v>0</v>
      </c>
      <c r="BO522" s="5">
        <f t="shared" si="396"/>
        <v>0</v>
      </c>
      <c r="BP522" s="5">
        <f t="shared" si="396"/>
        <v>0</v>
      </c>
      <c r="BQ522" s="5">
        <f t="shared" si="396"/>
        <v>0</v>
      </c>
      <c r="BR522" s="5">
        <f t="shared" si="396"/>
        <v>0</v>
      </c>
      <c r="BS522" s="5">
        <f t="shared" si="396"/>
        <v>0</v>
      </c>
      <c r="BT522" s="5">
        <f t="shared" si="396"/>
        <v>0</v>
      </c>
      <c r="BU522" s="5">
        <f t="shared" si="396"/>
        <v>0</v>
      </c>
      <c r="BV522" s="5">
        <f t="shared" si="396"/>
        <v>0</v>
      </c>
      <c r="BW522" s="5">
        <f t="shared" si="396"/>
        <v>0</v>
      </c>
      <c r="BX522" s="5">
        <f t="shared" si="396"/>
        <v>0</v>
      </c>
      <c r="BY522" s="5">
        <f t="shared" si="396"/>
        <v>0</v>
      </c>
      <c r="BZ522" s="5">
        <f t="shared" si="396"/>
        <v>0</v>
      </c>
      <c r="CA522" s="5">
        <f t="shared" si="396"/>
        <v>1</v>
      </c>
      <c r="CB522" s="5">
        <f t="shared" si="396"/>
        <v>0</v>
      </c>
      <c r="CC522" s="5">
        <f t="shared" si="397"/>
        <v>0</v>
      </c>
      <c r="CD522" s="5">
        <f t="shared" si="394"/>
        <v>0</v>
      </c>
      <c r="CE522" s="5">
        <f t="shared" si="394"/>
        <v>0</v>
      </c>
    </row>
    <row r="523" spans="1:83" x14ac:dyDescent="0.2">
      <c r="A523" s="11"/>
      <c r="B523" s="11"/>
      <c r="C523" s="1">
        <f>Growth!D528</f>
        <v>0</v>
      </c>
      <c r="D523" s="5" t="b">
        <f t="shared" si="410"/>
        <v>0</v>
      </c>
      <c r="E523" s="5">
        <v>2011</v>
      </c>
      <c r="F523" s="5">
        <f ca="1">LOOKUP($E523,frequence!$A$2:$A$35,frequence!L$2:L$35)</f>
        <v>33.053542446246631</v>
      </c>
      <c r="G523" s="5">
        <f ca="1">LOOKUP($E523,frequence!$A$2:$A$35,frequence!K$2:K$35)</f>
        <v>2.1388579511305732</v>
      </c>
      <c r="H523" s="5">
        <f ca="1">LOOKUP($E523,frequence!$A$2:$A$35,frequence!M$2:M$35)</f>
        <v>182.11948132765423</v>
      </c>
      <c r="I523" s="5">
        <v>1995</v>
      </c>
      <c r="J523" s="7">
        <f>LOOKUP(I523,CPI!A$69:A$103,CPI!O$69:O$103)</f>
        <v>1.4308136482939633</v>
      </c>
      <c r="K523" s="5">
        <v>2015</v>
      </c>
      <c r="L523" s="7">
        <f t="shared" ca="1" si="398"/>
        <v>1</v>
      </c>
      <c r="M523" s="7">
        <f t="shared" si="333"/>
        <v>0.17941176470588233</v>
      </c>
      <c r="N523" s="14">
        <f>1/34</f>
        <v>2.9411764705882353E-2</v>
      </c>
      <c r="O523" s="1">
        <f ca="1">P523*J523*(1+Growth!G$6)^(2010-K523)</f>
        <v>3.198947345216602</v>
      </c>
      <c r="P523" s="11">
        <v>2.41</v>
      </c>
      <c r="Q523" s="2">
        <f t="shared" si="403"/>
        <v>2.41</v>
      </c>
      <c r="R523" s="21">
        <f t="shared" ca="1" si="411"/>
        <v>10.233264117468346</v>
      </c>
      <c r="X523" s="2">
        <f t="shared" si="329"/>
        <v>2.41</v>
      </c>
      <c r="AC523" s="1">
        <f t="shared" si="404"/>
        <v>6.1</v>
      </c>
      <c r="AD523" s="5">
        <v>0</v>
      </c>
      <c r="AE523" s="5">
        <v>0</v>
      </c>
      <c r="AF523" s="5">
        <v>1</v>
      </c>
      <c r="AG523" s="5">
        <v>1</v>
      </c>
      <c r="AH523" s="5">
        <v>1</v>
      </c>
      <c r="AI523" s="3">
        <f t="shared" si="409"/>
        <v>3.1</v>
      </c>
      <c r="AJ523" s="5">
        <f t="shared" si="337"/>
        <v>0</v>
      </c>
      <c r="AK523" s="5">
        <f t="shared" si="399"/>
        <v>0</v>
      </c>
      <c r="AL523" s="5">
        <f t="shared" si="400"/>
        <v>0</v>
      </c>
      <c r="AM523" s="5">
        <f t="shared" si="339"/>
        <v>1</v>
      </c>
      <c r="AN523" s="5">
        <f t="shared" si="401"/>
        <v>0</v>
      </c>
      <c r="AO523" s="5">
        <f t="shared" si="340"/>
        <v>0</v>
      </c>
      <c r="AP523" s="11" t="s">
        <v>42</v>
      </c>
      <c r="AQ523" s="1">
        <v>1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1</v>
      </c>
      <c r="AY523" s="1">
        <f t="shared" si="405"/>
        <v>0</v>
      </c>
      <c r="AZ523" s="1">
        <f t="shared" si="406"/>
        <v>0</v>
      </c>
      <c r="BA523" s="1">
        <f t="shared" si="407"/>
        <v>0</v>
      </c>
      <c r="BB523" s="5">
        <v>0</v>
      </c>
      <c r="BC523" s="5">
        <v>0</v>
      </c>
      <c r="BD523" s="5">
        <v>1</v>
      </c>
      <c r="BE523" s="5">
        <f t="shared" si="408"/>
        <v>0</v>
      </c>
      <c r="BF523" s="5">
        <v>0</v>
      </c>
      <c r="BG523" s="5">
        <f t="shared" si="402"/>
        <v>0</v>
      </c>
      <c r="BH523" s="5">
        <f t="shared" si="402"/>
        <v>0</v>
      </c>
      <c r="BI523" s="5">
        <f t="shared" si="402"/>
        <v>0</v>
      </c>
      <c r="BJ523" s="5">
        <f t="shared" si="402"/>
        <v>0</v>
      </c>
      <c r="BK523" s="5">
        <f t="shared" si="402"/>
        <v>0</v>
      </c>
      <c r="BL523" s="5">
        <f t="shared" si="402"/>
        <v>0</v>
      </c>
      <c r="BM523" s="5">
        <f t="shared" si="402"/>
        <v>0</v>
      </c>
      <c r="BN523" s="5">
        <f t="shared" si="396"/>
        <v>0</v>
      </c>
      <c r="BO523" s="5">
        <f t="shared" si="396"/>
        <v>0</v>
      </c>
      <c r="BP523" s="5">
        <f t="shared" si="396"/>
        <v>0</v>
      </c>
      <c r="BQ523" s="5">
        <f t="shared" si="396"/>
        <v>0</v>
      </c>
      <c r="BR523" s="5">
        <f t="shared" si="396"/>
        <v>0</v>
      </c>
      <c r="BS523" s="5">
        <f t="shared" si="396"/>
        <v>0</v>
      </c>
      <c r="BT523" s="5">
        <f t="shared" si="396"/>
        <v>0</v>
      </c>
      <c r="BU523" s="5">
        <f t="shared" si="396"/>
        <v>0</v>
      </c>
      <c r="BV523" s="5">
        <f t="shared" si="396"/>
        <v>0</v>
      </c>
      <c r="BW523" s="5">
        <f t="shared" si="396"/>
        <v>0</v>
      </c>
      <c r="BX523" s="5">
        <f t="shared" si="396"/>
        <v>0</v>
      </c>
      <c r="BY523" s="5">
        <f t="shared" si="396"/>
        <v>0</v>
      </c>
      <c r="BZ523" s="5">
        <f t="shared" si="396"/>
        <v>0</v>
      </c>
      <c r="CA523" s="5">
        <f t="shared" si="396"/>
        <v>1</v>
      </c>
      <c r="CB523" s="5">
        <f t="shared" si="396"/>
        <v>0</v>
      </c>
      <c r="CC523" s="5">
        <f t="shared" si="397"/>
        <v>0</v>
      </c>
      <c r="CD523" s="5">
        <f t="shared" si="394"/>
        <v>0</v>
      </c>
      <c r="CE523" s="5">
        <f t="shared" si="394"/>
        <v>0</v>
      </c>
    </row>
    <row r="524" spans="1:83" x14ac:dyDescent="0.2">
      <c r="A524" s="11"/>
      <c r="B524" s="11"/>
      <c r="C524" s="1">
        <f>Growth!D529</f>
        <v>2.9411764705882353E-2</v>
      </c>
      <c r="D524" s="5" t="b">
        <f t="shared" si="410"/>
        <v>0</v>
      </c>
      <c r="E524" s="5">
        <v>2011</v>
      </c>
      <c r="F524" s="5">
        <f ca="1">LOOKUP($E524,frequence!$A$2:$A$35,frequence!L$2:L$35)</f>
        <v>33.053542446246631</v>
      </c>
      <c r="G524" s="5">
        <f ca="1">LOOKUP($E524,frequence!$A$2:$A$35,frequence!K$2:K$35)</f>
        <v>2.1388579511305732</v>
      </c>
      <c r="H524" s="5">
        <f ca="1">LOOKUP($E524,frequence!$A$2:$A$35,frequence!M$2:M$35)</f>
        <v>182.11948132765423</v>
      </c>
      <c r="I524" s="5">
        <v>1995</v>
      </c>
      <c r="J524" s="7">
        <f>LOOKUP(I524,CPI!A$69:A$103,CPI!O$69:O$103)</f>
        <v>1.4308136482939633</v>
      </c>
      <c r="K524" s="5">
        <v>2015</v>
      </c>
      <c r="L524" s="7">
        <f t="shared" ca="1" si="398"/>
        <v>1</v>
      </c>
      <c r="M524" s="7">
        <f t="shared" si="333"/>
        <v>0.17941176470588233</v>
      </c>
      <c r="N524" s="14">
        <f>1/34</f>
        <v>2.9411764705882353E-2</v>
      </c>
      <c r="O524" s="1">
        <f ca="1">P524*J524*(1+Growth!G$6)^(2010-K524)</f>
        <v>99.552303274375575</v>
      </c>
      <c r="P524" s="11">
        <v>75</v>
      </c>
      <c r="Q524" s="2">
        <f t="shared" si="403"/>
        <v>75</v>
      </c>
      <c r="R524" s="21">
        <f t="shared" ca="1" si="411"/>
        <v>9910.6610872332494</v>
      </c>
      <c r="X524" s="2">
        <f t="shared" si="329"/>
        <v>75</v>
      </c>
      <c r="AC524" s="1">
        <f t="shared" si="404"/>
        <v>6.1</v>
      </c>
      <c r="AD524" s="5">
        <v>0</v>
      </c>
      <c r="AE524" s="5">
        <v>0</v>
      </c>
      <c r="AF524" s="5">
        <v>1</v>
      </c>
      <c r="AG524" s="5">
        <v>1</v>
      </c>
      <c r="AH524" s="5">
        <v>1</v>
      </c>
      <c r="AI524" s="3">
        <f t="shared" si="409"/>
        <v>3.1</v>
      </c>
      <c r="AJ524" s="5">
        <f t="shared" si="337"/>
        <v>0</v>
      </c>
      <c r="AK524" s="5">
        <f t="shared" si="399"/>
        <v>0</v>
      </c>
      <c r="AL524" s="5">
        <f t="shared" si="400"/>
        <v>0</v>
      </c>
      <c r="AM524" s="5">
        <f t="shared" si="339"/>
        <v>1</v>
      </c>
      <c r="AN524" s="5">
        <f t="shared" si="401"/>
        <v>0</v>
      </c>
      <c r="AO524" s="5">
        <f t="shared" si="340"/>
        <v>0</v>
      </c>
      <c r="AP524" s="11" t="s">
        <v>42</v>
      </c>
      <c r="AQ524" s="1">
        <v>1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1</v>
      </c>
      <c r="AY524" s="1">
        <f t="shared" si="405"/>
        <v>0</v>
      </c>
      <c r="AZ524" s="1">
        <f t="shared" si="406"/>
        <v>0</v>
      </c>
      <c r="BA524" s="1">
        <f t="shared" si="407"/>
        <v>0</v>
      </c>
      <c r="BB524" s="5">
        <v>0</v>
      </c>
      <c r="BC524" s="5">
        <v>0</v>
      </c>
      <c r="BD524" s="5">
        <v>1</v>
      </c>
      <c r="BE524" s="5">
        <f t="shared" si="408"/>
        <v>0</v>
      </c>
      <c r="BF524" s="5">
        <v>0</v>
      </c>
      <c r="BG524" s="5">
        <f t="shared" si="402"/>
        <v>0</v>
      </c>
      <c r="BH524" s="5">
        <f t="shared" si="402"/>
        <v>0</v>
      </c>
      <c r="BI524" s="5">
        <f t="shared" si="402"/>
        <v>0</v>
      </c>
      <c r="BJ524" s="5">
        <f t="shared" si="402"/>
        <v>0</v>
      </c>
      <c r="BK524" s="5">
        <f t="shared" si="402"/>
        <v>0</v>
      </c>
      <c r="BL524" s="5">
        <f t="shared" si="402"/>
        <v>0</v>
      </c>
      <c r="BM524" s="5">
        <f t="shared" si="402"/>
        <v>0</v>
      </c>
      <c r="BN524" s="5">
        <f t="shared" si="396"/>
        <v>0</v>
      </c>
      <c r="BO524" s="5">
        <f t="shared" si="396"/>
        <v>0</v>
      </c>
      <c r="BP524" s="5">
        <f t="shared" si="396"/>
        <v>0</v>
      </c>
      <c r="BQ524" s="5">
        <f t="shared" si="396"/>
        <v>0</v>
      </c>
      <c r="BR524" s="5">
        <f t="shared" si="396"/>
        <v>0</v>
      </c>
      <c r="BS524" s="5">
        <f t="shared" si="396"/>
        <v>0</v>
      </c>
      <c r="BT524" s="5">
        <f t="shared" si="396"/>
        <v>0</v>
      </c>
      <c r="BU524" s="5">
        <f t="shared" si="396"/>
        <v>0</v>
      </c>
      <c r="BV524" s="5">
        <f t="shared" si="396"/>
        <v>0</v>
      </c>
      <c r="BW524" s="5">
        <f t="shared" si="396"/>
        <v>0</v>
      </c>
      <c r="BX524" s="5">
        <f t="shared" si="396"/>
        <v>0</v>
      </c>
      <c r="BY524" s="5">
        <f t="shared" si="396"/>
        <v>0</v>
      </c>
      <c r="BZ524" s="5">
        <f t="shared" si="396"/>
        <v>0</v>
      </c>
      <c r="CA524" s="5">
        <f t="shared" si="396"/>
        <v>1</v>
      </c>
      <c r="CB524" s="5">
        <f t="shared" si="396"/>
        <v>0</v>
      </c>
      <c r="CC524" s="5">
        <f t="shared" si="397"/>
        <v>0</v>
      </c>
      <c r="CD524" s="5">
        <f t="shared" si="394"/>
        <v>0</v>
      </c>
      <c r="CE524" s="5">
        <f t="shared" si="394"/>
        <v>0</v>
      </c>
    </row>
    <row r="525" spans="1:83" x14ac:dyDescent="0.2">
      <c r="A525" s="11"/>
      <c r="B525" s="11"/>
      <c r="C525" s="1">
        <f>Growth!D530</f>
        <v>2.9411764705882353E-2</v>
      </c>
      <c r="D525" s="5" t="b">
        <f t="shared" si="410"/>
        <v>0</v>
      </c>
      <c r="E525" s="5">
        <v>2011</v>
      </c>
      <c r="F525" s="5">
        <f ca="1">LOOKUP($E525,frequence!$A$2:$A$35,frequence!L$2:L$35)</f>
        <v>33.053542446246631</v>
      </c>
      <c r="G525" s="5">
        <f ca="1">LOOKUP($E525,frequence!$A$2:$A$35,frequence!K$2:K$35)</f>
        <v>2.1388579511305732</v>
      </c>
      <c r="H525" s="5">
        <f ca="1">LOOKUP($E525,frequence!$A$2:$A$35,frequence!M$2:M$35)</f>
        <v>182.11948132765423</v>
      </c>
      <c r="I525" s="5">
        <v>1995</v>
      </c>
      <c r="J525" s="7">
        <f>LOOKUP(I525,CPI!A$69:A$103,CPI!O$69:O$103)</f>
        <v>1.4308136482939633</v>
      </c>
      <c r="K525" s="5">
        <v>2015</v>
      </c>
      <c r="L525" s="7">
        <f t="shared" ca="1" si="398"/>
        <v>1</v>
      </c>
      <c r="M525" s="7">
        <f t="shared" si="333"/>
        <v>0.17941176470588233</v>
      </c>
      <c r="N525" s="14">
        <f>1/34</f>
        <v>2.9411764705882353E-2</v>
      </c>
      <c r="O525" s="1">
        <f ca="1">P525*J525*(1+Growth!G$6)^(2010-K525)</f>
        <v>6.8359248248404567</v>
      </c>
      <c r="P525" s="11">
        <v>5.15</v>
      </c>
      <c r="Q525" s="2">
        <f t="shared" si="403"/>
        <v>5.15</v>
      </c>
      <c r="R525" s="21">
        <f t="shared" ca="1" si="411"/>
        <v>46.729868210870031</v>
      </c>
      <c r="X525" s="2">
        <f t="shared" si="329"/>
        <v>5.15</v>
      </c>
      <c r="AC525" s="1">
        <f t="shared" si="404"/>
        <v>6.1</v>
      </c>
      <c r="AD525" s="5">
        <v>0</v>
      </c>
      <c r="AE525" s="5">
        <v>0</v>
      </c>
      <c r="AF525" s="5">
        <v>1</v>
      </c>
      <c r="AG525" s="5">
        <v>1</v>
      </c>
      <c r="AH525" s="5">
        <v>1</v>
      </c>
      <c r="AI525" s="3">
        <f t="shared" si="409"/>
        <v>3.1</v>
      </c>
      <c r="AJ525" s="5">
        <f t="shared" si="337"/>
        <v>0</v>
      </c>
      <c r="AK525" s="5">
        <f t="shared" si="399"/>
        <v>0</v>
      </c>
      <c r="AL525" s="5">
        <f t="shared" si="400"/>
        <v>0</v>
      </c>
      <c r="AM525" s="5">
        <f t="shared" si="339"/>
        <v>1</v>
      </c>
      <c r="AN525" s="5">
        <f t="shared" si="401"/>
        <v>0</v>
      </c>
      <c r="AO525" s="5">
        <f t="shared" si="340"/>
        <v>0</v>
      </c>
      <c r="AP525" s="11" t="s">
        <v>42</v>
      </c>
      <c r="AQ525" s="1">
        <v>1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1</v>
      </c>
      <c r="AY525" s="1">
        <f t="shared" si="405"/>
        <v>0</v>
      </c>
      <c r="AZ525" s="1">
        <f t="shared" si="406"/>
        <v>0</v>
      </c>
      <c r="BA525" s="1">
        <f t="shared" si="407"/>
        <v>0</v>
      </c>
      <c r="BB525" s="5">
        <v>0</v>
      </c>
      <c r="BC525" s="5">
        <v>0</v>
      </c>
      <c r="BD525" s="5">
        <v>1</v>
      </c>
      <c r="BE525" s="5">
        <f t="shared" si="408"/>
        <v>0</v>
      </c>
      <c r="BF525" s="5">
        <v>0</v>
      </c>
      <c r="BG525" s="5">
        <f t="shared" si="402"/>
        <v>0</v>
      </c>
      <c r="BH525" s="5">
        <f t="shared" si="402"/>
        <v>0</v>
      </c>
      <c r="BI525" s="5">
        <f t="shared" si="402"/>
        <v>0</v>
      </c>
      <c r="BJ525" s="5">
        <f t="shared" si="402"/>
        <v>0</v>
      </c>
      <c r="BK525" s="5">
        <f t="shared" si="402"/>
        <v>0</v>
      </c>
      <c r="BL525" s="5">
        <f t="shared" si="402"/>
        <v>0</v>
      </c>
      <c r="BM525" s="5">
        <f t="shared" si="402"/>
        <v>0</v>
      </c>
      <c r="BN525" s="5">
        <f t="shared" si="396"/>
        <v>0</v>
      </c>
      <c r="BO525" s="5">
        <f t="shared" si="396"/>
        <v>0</v>
      </c>
      <c r="BP525" s="5">
        <f t="shared" si="396"/>
        <v>0</v>
      </c>
      <c r="BQ525" s="5">
        <f t="shared" si="396"/>
        <v>0</v>
      </c>
      <c r="BR525" s="5">
        <f t="shared" si="396"/>
        <v>0</v>
      </c>
      <c r="BS525" s="5">
        <f t="shared" si="396"/>
        <v>0</v>
      </c>
      <c r="BT525" s="5">
        <f t="shared" si="396"/>
        <v>0</v>
      </c>
      <c r="BU525" s="5">
        <f t="shared" si="396"/>
        <v>0</v>
      </c>
      <c r="BV525" s="5">
        <f t="shared" si="396"/>
        <v>0</v>
      </c>
      <c r="BW525" s="5">
        <f t="shared" si="396"/>
        <v>0</v>
      </c>
      <c r="BX525" s="5">
        <f t="shared" si="396"/>
        <v>0</v>
      </c>
      <c r="BY525" s="5">
        <f t="shared" si="396"/>
        <v>0</v>
      </c>
      <c r="BZ525" s="5">
        <f t="shared" si="396"/>
        <v>0</v>
      </c>
      <c r="CA525" s="5">
        <f t="shared" si="396"/>
        <v>1</v>
      </c>
      <c r="CB525" s="5">
        <f t="shared" si="396"/>
        <v>0</v>
      </c>
      <c r="CC525" s="5">
        <f t="shared" si="397"/>
        <v>0</v>
      </c>
      <c r="CD525" s="5">
        <f t="shared" si="394"/>
        <v>0</v>
      </c>
      <c r="CE525" s="5">
        <f t="shared" si="394"/>
        <v>0</v>
      </c>
    </row>
    <row r="526" spans="1:83" x14ac:dyDescent="0.2">
      <c r="A526" s="11"/>
      <c r="B526" s="11"/>
      <c r="C526" s="1">
        <f>Growth!D531</f>
        <v>2.9411764705882353E-2</v>
      </c>
      <c r="D526" s="5" t="b">
        <f t="shared" si="410"/>
        <v>0</v>
      </c>
      <c r="E526" s="5">
        <v>2011</v>
      </c>
      <c r="F526" s="5">
        <f ca="1">LOOKUP($E526,frequence!$A$2:$A$35,frequence!L$2:L$35)</f>
        <v>33.053542446246631</v>
      </c>
      <c r="G526" s="5">
        <f ca="1">LOOKUP($E526,frequence!$A$2:$A$35,frequence!K$2:K$35)</f>
        <v>2.1388579511305732</v>
      </c>
      <c r="H526" s="5">
        <f ca="1">LOOKUP($E526,frequence!$A$2:$A$35,frequence!M$2:M$35)</f>
        <v>182.11948132765423</v>
      </c>
      <c r="I526" s="5">
        <v>1995</v>
      </c>
      <c r="J526" s="7">
        <f>LOOKUP(I526,CPI!A$69:A$103,CPI!O$69:O$103)</f>
        <v>1.4308136482939633</v>
      </c>
      <c r="K526" s="5">
        <v>2015</v>
      </c>
      <c r="L526" s="7">
        <f t="shared" ca="1" si="398"/>
        <v>1</v>
      </c>
      <c r="M526" s="7">
        <f t="shared" si="333"/>
        <v>0.17941176470588233</v>
      </c>
      <c r="N526" s="14">
        <f>1/34</f>
        <v>2.9411764705882353E-2</v>
      </c>
      <c r="O526" s="1">
        <f ca="1">P526*J526*(1+Growth!G$6)^(2010-K526)</f>
        <v>69.022930270233729</v>
      </c>
      <c r="P526" s="11">
        <v>52</v>
      </c>
      <c r="Q526" s="2">
        <f t="shared" ref="Q526" si="412">P526</f>
        <v>52</v>
      </c>
      <c r="R526" s="21">
        <f t="shared" ca="1" si="411"/>
        <v>4764.1649030895478</v>
      </c>
      <c r="X526" s="2">
        <f t="shared" si="329"/>
        <v>52</v>
      </c>
      <c r="AC526" s="1">
        <f t="shared" ref="AC526" si="413">SUM(AD526:AI526)</f>
        <v>6.1</v>
      </c>
      <c r="AD526" s="5">
        <v>0</v>
      </c>
      <c r="AE526" s="5">
        <v>0</v>
      </c>
      <c r="AF526" s="5">
        <v>1</v>
      </c>
      <c r="AG526" s="5">
        <v>1</v>
      </c>
      <c r="AH526" s="5">
        <v>1</v>
      </c>
      <c r="AI526" s="3">
        <f t="shared" si="409"/>
        <v>3.1</v>
      </c>
      <c r="AJ526" s="5">
        <f t="shared" si="337"/>
        <v>0</v>
      </c>
      <c r="AK526" s="5">
        <f t="shared" si="399"/>
        <v>0</v>
      </c>
      <c r="AL526" s="5">
        <f t="shared" si="400"/>
        <v>0</v>
      </c>
      <c r="AM526" s="5">
        <f t="shared" si="339"/>
        <v>1</v>
      </c>
      <c r="AN526" s="5">
        <f t="shared" si="401"/>
        <v>0</v>
      </c>
      <c r="AO526" s="5">
        <f t="shared" si="340"/>
        <v>0</v>
      </c>
      <c r="AP526" s="11" t="s">
        <v>42</v>
      </c>
      <c r="AQ526" s="1">
        <v>1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1</v>
      </c>
      <c r="AY526" s="1">
        <f t="shared" ref="AY526" si="414">AJ526*$AD526*(1-$AV526)*(1-$AR526)</f>
        <v>0</v>
      </c>
      <c r="AZ526" s="1">
        <f t="shared" ref="AZ526" si="415">AM526*$AD526*(1-$AV526)*(1-$AR526)</f>
        <v>0</v>
      </c>
      <c r="BA526" s="1">
        <f t="shared" ref="BA526" si="416">AO526*$AD526*(1-$AV526)*(1-$AR526)</f>
        <v>0</v>
      </c>
      <c r="BB526" s="5">
        <v>0</v>
      </c>
      <c r="BC526" s="5">
        <v>0</v>
      </c>
      <c r="BD526" s="5">
        <v>1</v>
      </c>
      <c r="BE526" s="5">
        <f t="shared" ref="BE526" si="417">1-SUM(BB526:BD526)</f>
        <v>0</v>
      </c>
      <c r="BF526" s="5">
        <v>0</v>
      </c>
      <c r="BG526" s="5">
        <f t="shared" si="402"/>
        <v>0</v>
      </c>
      <c r="BH526" s="5">
        <f t="shared" si="402"/>
        <v>0</v>
      </c>
      <c r="BI526" s="5">
        <f t="shared" si="402"/>
        <v>0</v>
      </c>
      <c r="BJ526" s="5">
        <f t="shared" si="402"/>
        <v>0</v>
      </c>
      <c r="BK526" s="5">
        <f t="shared" si="402"/>
        <v>0</v>
      </c>
      <c r="BL526" s="5">
        <f t="shared" si="402"/>
        <v>0</v>
      </c>
      <c r="BM526" s="5">
        <f t="shared" si="402"/>
        <v>0</v>
      </c>
      <c r="BN526" s="5">
        <f t="shared" si="396"/>
        <v>0</v>
      </c>
      <c r="BO526" s="5">
        <f t="shared" si="396"/>
        <v>0</v>
      </c>
      <c r="BP526" s="5">
        <f t="shared" si="396"/>
        <v>0</v>
      </c>
      <c r="BQ526" s="5">
        <f t="shared" si="396"/>
        <v>0</v>
      </c>
      <c r="BR526" s="5">
        <f t="shared" si="396"/>
        <v>0</v>
      </c>
      <c r="BS526" s="5">
        <f t="shared" si="396"/>
        <v>0</v>
      </c>
      <c r="BT526" s="5">
        <f t="shared" si="396"/>
        <v>0</v>
      </c>
      <c r="BU526" s="5">
        <f t="shared" si="396"/>
        <v>0</v>
      </c>
      <c r="BV526" s="5">
        <f t="shared" si="396"/>
        <v>0</v>
      </c>
      <c r="BW526" s="5">
        <f t="shared" si="396"/>
        <v>0</v>
      </c>
      <c r="BX526" s="5">
        <f t="shared" si="396"/>
        <v>0</v>
      </c>
      <c r="BY526" s="5">
        <f t="shared" si="396"/>
        <v>0</v>
      </c>
      <c r="BZ526" s="5">
        <f t="shared" si="396"/>
        <v>0</v>
      </c>
      <c r="CA526" s="5">
        <f t="shared" si="396"/>
        <v>1</v>
      </c>
      <c r="CB526" s="5">
        <f t="shared" si="396"/>
        <v>0</v>
      </c>
      <c r="CC526" s="5">
        <f t="shared" si="397"/>
        <v>0</v>
      </c>
      <c r="CD526" s="5">
        <f t="shared" si="394"/>
        <v>0</v>
      </c>
      <c r="CE526" s="5">
        <f t="shared" si="394"/>
        <v>0</v>
      </c>
    </row>
    <row r="527" spans="1:83" x14ac:dyDescent="0.2">
      <c r="A527" s="11" t="s">
        <v>132</v>
      </c>
      <c r="B527" s="11" t="s">
        <v>136</v>
      </c>
      <c r="C527" s="1">
        <f>Growth!D532</f>
        <v>0</v>
      </c>
      <c r="D527" s="5">
        <f t="shared" si="410"/>
        <v>2011</v>
      </c>
      <c r="E527" s="5">
        <v>2011</v>
      </c>
      <c r="F527" s="5">
        <f ca="1">LOOKUP($E527,frequence!$A$2:$A$35,frequence!L$2:L$35)</f>
        <v>33.053542446246631</v>
      </c>
      <c r="G527" s="5">
        <f ca="1">LOOKUP($E527,frequence!$A$2:$A$35,frequence!K$2:K$35)</f>
        <v>2.1388579511305732</v>
      </c>
      <c r="H527" s="5">
        <f ca="1">LOOKUP($E527,frequence!$A$2:$A$35,frequence!M$2:M$35)</f>
        <v>182.11948132765423</v>
      </c>
      <c r="I527" s="5">
        <v>1995</v>
      </c>
      <c r="J527" s="7">
        <f>LOOKUP(I527,CPI!A$69:A$103,CPI!O$69:O$103)</f>
        <v>1.4308136482939633</v>
      </c>
      <c r="K527" s="5">
        <v>2015</v>
      </c>
      <c r="L527" s="7">
        <f t="shared" ca="1" si="398"/>
        <v>1</v>
      </c>
      <c r="M527" s="7">
        <f t="shared" si="333"/>
        <v>0.55454545454545456</v>
      </c>
      <c r="N527" s="14">
        <f>2/22</f>
        <v>9.0909090909090912E-2</v>
      </c>
      <c r="O527" s="1">
        <f ca="1">P527*J527*(1+Growth!G$6)^(2010-K527)</f>
        <v>38.936011947311336</v>
      </c>
      <c r="P527" s="11">
        <f>44/12*8</f>
        <v>29.333333333333332</v>
      </c>
      <c r="Q527" s="2">
        <f t="shared" ref="Q527:Q540" si="418">P527</f>
        <v>29.333333333333332</v>
      </c>
      <c r="R527" s="21">
        <f t="shared" ca="1" si="411"/>
        <v>1516.0130263611711</v>
      </c>
      <c r="X527" s="2">
        <f t="shared" si="329"/>
        <v>29.333333333333332</v>
      </c>
      <c r="AC527" s="1">
        <f t="shared" si="383"/>
        <v>6.1</v>
      </c>
      <c r="AD527" s="5">
        <v>0</v>
      </c>
      <c r="AE527" s="5">
        <v>0</v>
      </c>
      <c r="AF527" s="5">
        <v>1</v>
      </c>
      <c r="AG527" s="5">
        <v>1</v>
      </c>
      <c r="AH527" s="5">
        <v>1</v>
      </c>
      <c r="AI527" s="3">
        <f t="shared" si="409"/>
        <v>3.1</v>
      </c>
      <c r="AJ527" s="5">
        <f t="shared" si="337"/>
        <v>0</v>
      </c>
      <c r="AK527" s="5">
        <f t="shared" si="399"/>
        <v>0</v>
      </c>
      <c r="AL527" s="5">
        <f t="shared" si="400"/>
        <v>0</v>
      </c>
      <c r="AM527" s="5">
        <f t="shared" si="339"/>
        <v>1</v>
      </c>
      <c r="AN527" s="5">
        <f t="shared" si="401"/>
        <v>0</v>
      </c>
      <c r="AO527" s="5">
        <f t="shared" si="340"/>
        <v>0</v>
      </c>
      <c r="AP527" s="11" t="s">
        <v>42</v>
      </c>
      <c r="AQ527" s="1">
        <v>1</v>
      </c>
      <c r="AR527" s="5">
        <v>0</v>
      </c>
      <c r="AS527" s="5">
        <v>1</v>
      </c>
      <c r="AT527" s="5">
        <v>0</v>
      </c>
      <c r="AU527" s="5">
        <v>0</v>
      </c>
      <c r="AV527" s="5">
        <v>0</v>
      </c>
      <c r="AW527" s="5">
        <v>0</v>
      </c>
      <c r="AX527" s="5">
        <v>1</v>
      </c>
      <c r="AY527" s="1">
        <f t="shared" si="384"/>
        <v>0</v>
      </c>
      <c r="AZ527" s="1">
        <f t="shared" si="385"/>
        <v>0</v>
      </c>
      <c r="BA527" s="1">
        <f t="shared" si="386"/>
        <v>0</v>
      </c>
      <c r="BB527" s="5">
        <v>0</v>
      </c>
      <c r="BC527" s="5">
        <v>0</v>
      </c>
      <c r="BD527" s="5">
        <v>1</v>
      </c>
      <c r="BE527" s="5">
        <f t="shared" si="387"/>
        <v>0</v>
      </c>
      <c r="BF527" s="5">
        <v>0</v>
      </c>
      <c r="BG527" s="5">
        <f t="shared" si="402"/>
        <v>0</v>
      </c>
      <c r="BH527" s="5">
        <f t="shared" si="402"/>
        <v>0</v>
      </c>
      <c r="BI527" s="5">
        <f t="shared" si="402"/>
        <v>0</v>
      </c>
      <c r="BJ527" s="5">
        <f t="shared" si="402"/>
        <v>0</v>
      </c>
      <c r="BK527" s="5">
        <f t="shared" si="402"/>
        <v>0</v>
      </c>
      <c r="BL527" s="5">
        <f t="shared" si="402"/>
        <v>0</v>
      </c>
      <c r="BM527" s="5">
        <f t="shared" si="402"/>
        <v>0</v>
      </c>
      <c r="BN527" s="5">
        <f t="shared" si="396"/>
        <v>0</v>
      </c>
      <c r="BO527" s="5">
        <f t="shared" si="396"/>
        <v>0</v>
      </c>
      <c r="BP527" s="5">
        <f t="shared" si="396"/>
        <v>0</v>
      </c>
      <c r="BQ527" s="5">
        <f t="shared" si="396"/>
        <v>0</v>
      </c>
      <c r="BR527" s="5">
        <f t="shared" si="396"/>
        <v>0</v>
      </c>
      <c r="BS527" s="5">
        <f t="shared" si="396"/>
        <v>0</v>
      </c>
      <c r="BT527" s="5">
        <f t="shared" si="396"/>
        <v>0</v>
      </c>
      <c r="BU527" s="5">
        <f t="shared" si="396"/>
        <v>0</v>
      </c>
      <c r="BV527" s="5">
        <f t="shared" si="396"/>
        <v>0</v>
      </c>
      <c r="BW527" s="5">
        <f t="shared" si="396"/>
        <v>0</v>
      </c>
      <c r="BX527" s="5">
        <f t="shared" si="396"/>
        <v>0</v>
      </c>
      <c r="BY527" s="5">
        <f t="shared" si="396"/>
        <v>0</v>
      </c>
      <c r="BZ527" s="5">
        <f t="shared" si="396"/>
        <v>0</v>
      </c>
      <c r="CA527" s="5">
        <f t="shared" si="396"/>
        <v>1</v>
      </c>
      <c r="CB527" s="5">
        <f t="shared" si="396"/>
        <v>0</v>
      </c>
      <c r="CC527" s="5">
        <f t="shared" si="397"/>
        <v>0</v>
      </c>
      <c r="CD527" s="5">
        <f t="shared" si="397"/>
        <v>0</v>
      </c>
      <c r="CE527" s="5">
        <f t="shared" si="397"/>
        <v>0</v>
      </c>
    </row>
    <row r="528" spans="1:83" x14ac:dyDescent="0.2">
      <c r="A528" s="11"/>
      <c r="B528" s="11"/>
      <c r="C528" s="1">
        <f>Growth!D533</f>
        <v>0</v>
      </c>
      <c r="D528" s="5" t="b">
        <f t="shared" si="410"/>
        <v>0</v>
      </c>
      <c r="E528" s="5">
        <v>2011</v>
      </c>
      <c r="F528" s="5">
        <f ca="1">LOOKUP($E528,frequence!$A$2:$A$35,frequence!L$2:L$35)</f>
        <v>33.053542446246631</v>
      </c>
      <c r="G528" s="5">
        <f ca="1">LOOKUP($E528,frequence!$A$2:$A$35,frequence!K$2:K$35)</f>
        <v>2.1388579511305732</v>
      </c>
      <c r="H528" s="5">
        <f ca="1">LOOKUP($E528,frequence!$A$2:$A$35,frequence!M$2:M$35)</f>
        <v>182.11948132765423</v>
      </c>
      <c r="I528" s="5">
        <v>1995</v>
      </c>
      <c r="J528" s="7">
        <f>LOOKUP(I528,CPI!A$69:A$103,CPI!O$69:O$103)</f>
        <v>1.4308136482939633</v>
      </c>
      <c r="K528" s="5">
        <v>2015</v>
      </c>
      <c r="L528" s="7">
        <f t="shared" ca="1" si="398"/>
        <v>1</v>
      </c>
      <c r="M528" s="7">
        <f t="shared" si="333"/>
        <v>0.27727272727272728</v>
      </c>
      <c r="N528" s="14">
        <f>1/22</f>
        <v>4.5454545454545456E-2</v>
      </c>
      <c r="O528" s="1">
        <f ca="1">P528*J528*(1+Growth!G$6)^(2010-K528)</f>
        <v>68.138020907794825</v>
      </c>
      <c r="P528" s="11">
        <f>44/12*14</f>
        <v>51.333333333333329</v>
      </c>
      <c r="Q528" s="2">
        <f t="shared" si="418"/>
        <v>51.333333333333329</v>
      </c>
      <c r="R528" s="21">
        <f t="shared" ca="1" si="411"/>
        <v>4642.7898932310845</v>
      </c>
      <c r="X528" s="2">
        <f t="shared" si="329"/>
        <v>51.333333333333329</v>
      </c>
      <c r="AC528" s="1">
        <f t="shared" si="383"/>
        <v>6.1</v>
      </c>
      <c r="AD528" s="5">
        <v>0</v>
      </c>
      <c r="AE528" s="5">
        <v>0</v>
      </c>
      <c r="AF528" s="5">
        <v>1</v>
      </c>
      <c r="AG528" s="5">
        <v>1</v>
      </c>
      <c r="AH528" s="5">
        <v>1</v>
      </c>
      <c r="AI528" s="3">
        <f t="shared" si="409"/>
        <v>3.1</v>
      </c>
      <c r="AJ528" s="5">
        <f t="shared" si="337"/>
        <v>0</v>
      </c>
      <c r="AK528" s="5">
        <f t="shared" si="399"/>
        <v>0</v>
      </c>
      <c r="AL528" s="5">
        <f t="shared" si="400"/>
        <v>0</v>
      </c>
      <c r="AM528" s="5">
        <f t="shared" si="339"/>
        <v>1</v>
      </c>
      <c r="AN528" s="5">
        <f t="shared" si="401"/>
        <v>0</v>
      </c>
      <c r="AO528" s="5">
        <f t="shared" si="340"/>
        <v>0</v>
      </c>
      <c r="AP528" s="11" t="s">
        <v>42</v>
      </c>
      <c r="AQ528" s="1">
        <v>1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1</v>
      </c>
      <c r="AY528" s="1">
        <f t="shared" si="384"/>
        <v>0</v>
      </c>
      <c r="AZ528" s="1">
        <f t="shared" si="385"/>
        <v>0</v>
      </c>
      <c r="BA528" s="1">
        <f t="shared" si="386"/>
        <v>0</v>
      </c>
      <c r="BB528" s="5">
        <v>0</v>
      </c>
      <c r="BC528" s="5">
        <v>0</v>
      </c>
      <c r="BD528" s="5">
        <v>1</v>
      </c>
      <c r="BE528" s="5">
        <f t="shared" si="387"/>
        <v>0</v>
      </c>
      <c r="BF528" s="5">
        <v>0</v>
      </c>
      <c r="BG528" s="5">
        <f t="shared" si="402"/>
        <v>0</v>
      </c>
      <c r="BH528" s="5">
        <f t="shared" si="402"/>
        <v>0</v>
      </c>
      <c r="BI528" s="5">
        <f t="shared" si="402"/>
        <v>0</v>
      </c>
      <c r="BJ528" s="5">
        <f t="shared" si="402"/>
        <v>0</v>
      </c>
      <c r="BK528" s="5">
        <f t="shared" si="402"/>
        <v>0</v>
      </c>
      <c r="BL528" s="5">
        <f t="shared" si="402"/>
        <v>0</v>
      </c>
      <c r="BM528" s="5">
        <f t="shared" si="402"/>
        <v>0</v>
      </c>
      <c r="BN528" s="5">
        <f t="shared" si="396"/>
        <v>0</v>
      </c>
      <c r="BO528" s="5">
        <f t="shared" si="396"/>
        <v>0</v>
      </c>
      <c r="BP528" s="5">
        <f t="shared" si="396"/>
        <v>0</v>
      </c>
      <c r="BQ528" s="5">
        <f t="shared" si="396"/>
        <v>0</v>
      </c>
      <c r="BR528" s="5">
        <f t="shared" si="396"/>
        <v>0</v>
      </c>
      <c r="BS528" s="5">
        <f t="shared" si="396"/>
        <v>0</v>
      </c>
      <c r="BT528" s="5">
        <f t="shared" si="396"/>
        <v>0</v>
      </c>
      <c r="BU528" s="5">
        <f t="shared" si="396"/>
        <v>0</v>
      </c>
      <c r="BV528" s="5">
        <f t="shared" si="396"/>
        <v>0</v>
      </c>
      <c r="BW528" s="5">
        <f t="shared" si="396"/>
        <v>0</v>
      </c>
      <c r="BX528" s="5">
        <f t="shared" si="396"/>
        <v>0</v>
      </c>
      <c r="BY528" s="5">
        <f t="shared" si="396"/>
        <v>0</v>
      </c>
      <c r="BZ528" s="5">
        <f t="shared" si="396"/>
        <v>0</v>
      </c>
      <c r="CA528" s="5">
        <f t="shared" si="396"/>
        <v>1</v>
      </c>
      <c r="CB528" s="5">
        <f t="shared" si="396"/>
        <v>0</v>
      </c>
      <c r="CC528" s="5">
        <f t="shared" si="397"/>
        <v>0</v>
      </c>
      <c r="CD528" s="5">
        <f t="shared" si="397"/>
        <v>0</v>
      </c>
      <c r="CE528" s="5">
        <f t="shared" si="397"/>
        <v>0</v>
      </c>
    </row>
    <row r="529" spans="1:83" x14ac:dyDescent="0.2">
      <c r="A529" s="11"/>
      <c r="B529" s="11"/>
      <c r="C529" s="1">
        <f>Growth!D534</f>
        <v>0</v>
      </c>
      <c r="D529" s="5" t="b">
        <f t="shared" si="410"/>
        <v>0</v>
      </c>
      <c r="E529" s="5">
        <v>2011</v>
      </c>
      <c r="F529" s="5">
        <f ca="1">LOOKUP($E529,frequence!$A$2:$A$35,frequence!L$2:L$35)</f>
        <v>33.053542446246631</v>
      </c>
      <c r="G529" s="5">
        <f ca="1">LOOKUP($E529,frequence!$A$2:$A$35,frequence!K$2:K$35)</f>
        <v>2.1388579511305732</v>
      </c>
      <c r="H529" s="5">
        <f ca="1">LOOKUP($E529,frequence!$A$2:$A$35,frequence!M$2:M$35)</f>
        <v>182.11948132765423</v>
      </c>
      <c r="I529" s="5">
        <v>1995</v>
      </c>
      <c r="J529" s="7">
        <f>LOOKUP(I529,CPI!A$69:A$103,CPI!O$69:O$103)</f>
        <v>1.4308136482939633</v>
      </c>
      <c r="K529" s="5">
        <v>2015</v>
      </c>
      <c r="L529" s="7">
        <f t="shared" ca="1" si="398"/>
        <v>1</v>
      </c>
      <c r="M529" s="7">
        <f t="shared" si="333"/>
        <v>0.27727272727272728</v>
      </c>
      <c r="N529" s="14">
        <f>1/22</f>
        <v>4.5454545454545456E-2</v>
      </c>
      <c r="O529" s="1">
        <f ca="1">P529*J529*(1+Growth!G$6)^(2010-K529)</f>
        <v>34.069010453897413</v>
      </c>
      <c r="P529" s="11">
        <f>44/12*7</f>
        <v>25.666666666666664</v>
      </c>
      <c r="Q529" s="2">
        <f t="shared" si="418"/>
        <v>25.666666666666664</v>
      </c>
      <c r="R529" s="21">
        <f t="shared" ca="1" si="411"/>
        <v>1160.6974733077711</v>
      </c>
      <c r="X529" s="2">
        <f t="shared" ref="X529:X595" si="419">P529</f>
        <v>25.666666666666664</v>
      </c>
      <c r="AC529" s="1">
        <f t="shared" si="383"/>
        <v>6.1</v>
      </c>
      <c r="AD529" s="5">
        <v>0</v>
      </c>
      <c r="AE529" s="5">
        <v>0</v>
      </c>
      <c r="AF529" s="5">
        <v>1</v>
      </c>
      <c r="AG529" s="5">
        <v>1</v>
      </c>
      <c r="AH529" s="5">
        <v>1</v>
      </c>
      <c r="AI529" s="3">
        <f t="shared" si="409"/>
        <v>3.1</v>
      </c>
      <c r="AJ529" s="5">
        <f t="shared" si="337"/>
        <v>0</v>
      </c>
      <c r="AK529" s="5">
        <f t="shared" si="399"/>
        <v>0</v>
      </c>
      <c r="AL529" s="5">
        <f t="shared" si="400"/>
        <v>0</v>
      </c>
      <c r="AM529" s="5">
        <f t="shared" si="339"/>
        <v>1</v>
      </c>
      <c r="AN529" s="5">
        <f t="shared" si="401"/>
        <v>0</v>
      </c>
      <c r="AO529" s="5">
        <f t="shared" si="340"/>
        <v>0</v>
      </c>
      <c r="AP529" s="11" t="s">
        <v>42</v>
      </c>
      <c r="AQ529" s="1">
        <v>1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1</v>
      </c>
      <c r="AY529" s="1">
        <f t="shared" si="384"/>
        <v>0</v>
      </c>
      <c r="AZ529" s="1">
        <f t="shared" si="385"/>
        <v>0</v>
      </c>
      <c r="BA529" s="1">
        <f t="shared" si="386"/>
        <v>0</v>
      </c>
      <c r="BB529" s="5">
        <v>0</v>
      </c>
      <c r="BC529" s="5">
        <v>0</v>
      </c>
      <c r="BD529" s="5">
        <v>1</v>
      </c>
      <c r="BE529" s="5">
        <f t="shared" si="387"/>
        <v>0</v>
      </c>
      <c r="BF529" s="5">
        <v>0</v>
      </c>
      <c r="BG529" s="5">
        <f t="shared" si="402"/>
        <v>0</v>
      </c>
      <c r="BH529" s="5">
        <f t="shared" si="402"/>
        <v>0</v>
      </c>
      <c r="BI529" s="5">
        <f t="shared" si="402"/>
        <v>0</v>
      </c>
      <c r="BJ529" s="5">
        <f t="shared" si="402"/>
        <v>0</v>
      </c>
      <c r="BK529" s="5">
        <f t="shared" si="402"/>
        <v>0</v>
      </c>
      <c r="BL529" s="5">
        <f t="shared" si="402"/>
        <v>0</v>
      </c>
      <c r="BM529" s="5">
        <f t="shared" si="402"/>
        <v>0</v>
      </c>
      <c r="BN529" s="5">
        <f t="shared" si="396"/>
        <v>0</v>
      </c>
      <c r="BO529" s="5">
        <f t="shared" si="396"/>
        <v>0</v>
      </c>
      <c r="BP529" s="5">
        <f t="shared" si="396"/>
        <v>0</v>
      </c>
      <c r="BQ529" s="5">
        <f t="shared" si="396"/>
        <v>0</v>
      </c>
      <c r="BR529" s="5">
        <f t="shared" si="396"/>
        <v>0</v>
      </c>
      <c r="BS529" s="5">
        <f t="shared" si="396"/>
        <v>0</v>
      </c>
      <c r="BT529" s="5">
        <f t="shared" si="396"/>
        <v>0</v>
      </c>
      <c r="BU529" s="5">
        <f t="shared" si="396"/>
        <v>0</v>
      </c>
      <c r="BV529" s="5">
        <f t="shared" si="396"/>
        <v>0</v>
      </c>
      <c r="BW529" s="5">
        <f t="shared" si="396"/>
        <v>0</v>
      </c>
      <c r="BX529" s="5">
        <f t="shared" si="396"/>
        <v>0</v>
      </c>
      <c r="BY529" s="5">
        <f t="shared" si="396"/>
        <v>0</v>
      </c>
      <c r="BZ529" s="5">
        <f t="shared" si="396"/>
        <v>0</v>
      </c>
      <c r="CA529" s="5">
        <f t="shared" si="396"/>
        <v>1</v>
      </c>
      <c r="CB529" s="5">
        <f t="shared" si="396"/>
        <v>0</v>
      </c>
      <c r="CC529" s="5">
        <f t="shared" si="397"/>
        <v>0</v>
      </c>
      <c r="CD529" s="5">
        <f t="shared" si="397"/>
        <v>0</v>
      </c>
      <c r="CE529" s="5">
        <f t="shared" si="397"/>
        <v>0</v>
      </c>
    </row>
    <row r="530" spans="1:83" x14ac:dyDescent="0.2">
      <c r="A530" s="11"/>
      <c r="B530" s="11"/>
      <c r="C530" s="1">
        <f>Growth!D535</f>
        <v>0</v>
      </c>
      <c r="D530" s="5" t="b">
        <f t="shared" si="410"/>
        <v>0</v>
      </c>
      <c r="E530" s="5">
        <v>2011</v>
      </c>
      <c r="F530" s="5">
        <f ca="1">LOOKUP($E530,frequence!$A$2:$A$35,frequence!L$2:L$35)</f>
        <v>33.053542446246631</v>
      </c>
      <c r="G530" s="5">
        <f ca="1">LOOKUP($E530,frequence!$A$2:$A$35,frequence!K$2:K$35)</f>
        <v>2.1388579511305732</v>
      </c>
      <c r="H530" s="5">
        <f ca="1">LOOKUP($E530,frequence!$A$2:$A$35,frequence!M$2:M$35)</f>
        <v>182.11948132765423</v>
      </c>
      <c r="I530" s="5">
        <v>1995</v>
      </c>
      <c r="J530" s="7">
        <f>LOOKUP(I530,CPI!A$69:A$103,CPI!O$69:O$103)</f>
        <v>1.4308136482939633</v>
      </c>
      <c r="K530" s="5">
        <v>2015</v>
      </c>
      <c r="L530" s="7">
        <f t="shared" ca="1" si="398"/>
        <v>1</v>
      </c>
      <c r="M530" s="7">
        <f t="shared" si="333"/>
        <v>0.27727272727272728</v>
      </c>
      <c r="N530" s="14">
        <f>1/22</f>
        <v>4.5454545454545456E-2</v>
      </c>
      <c r="O530" s="1">
        <f ca="1">P530*J530*(1+Growth!G$6)^(2010-K530)</f>
        <v>14.60100448024175</v>
      </c>
      <c r="P530" s="11">
        <f>44/12*3</f>
        <v>11</v>
      </c>
      <c r="Q530" s="2">
        <f t="shared" si="418"/>
        <v>11</v>
      </c>
      <c r="R530" s="21">
        <f t="shared" ca="1" si="411"/>
        <v>213.18933183203967</v>
      </c>
      <c r="X530" s="2">
        <f t="shared" si="419"/>
        <v>11</v>
      </c>
      <c r="AC530" s="1">
        <f t="shared" si="383"/>
        <v>6.1</v>
      </c>
      <c r="AD530" s="5">
        <v>0</v>
      </c>
      <c r="AE530" s="5">
        <v>0</v>
      </c>
      <c r="AF530" s="5">
        <v>1</v>
      </c>
      <c r="AG530" s="5">
        <v>1</v>
      </c>
      <c r="AH530" s="5">
        <v>1</v>
      </c>
      <c r="AI530" s="3">
        <f t="shared" si="409"/>
        <v>3.1</v>
      </c>
      <c r="AJ530" s="5">
        <f t="shared" si="337"/>
        <v>0</v>
      </c>
      <c r="AK530" s="5">
        <f t="shared" si="399"/>
        <v>0</v>
      </c>
      <c r="AL530" s="5">
        <f t="shared" si="400"/>
        <v>0</v>
      </c>
      <c r="AM530" s="5">
        <f t="shared" si="339"/>
        <v>1</v>
      </c>
      <c r="AN530" s="5">
        <f t="shared" si="401"/>
        <v>0</v>
      </c>
      <c r="AO530" s="5">
        <f t="shared" si="340"/>
        <v>0</v>
      </c>
      <c r="AP530" s="11" t="s">
        <v>42</v>
      </c>
      <c r="AQ530" s="1">
        <v>1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1</v>
      </c>
      <c r="AY530" s="1">
        <f t="shared" si="384"/>
        <v>0</v>
      </c>
      <c r="AZ530" s="1">
        <f t="shared" si="385"/>
        <v>0</v>
      </c>
      <c r="BA530" s="1">
        <f t="shared" si="386"/>
        <v>0</v>
      </c>
      <c r="BB530" s="5">
        <v>0</v>
      </c>
      <c r="BC530" s="5">
        <v>0</v>
      </c>
      <c r="BD530" s="5">
        <v>1</v>
      </c>
      <c r="BE530" s="5">
        <f t="shared" si="387"/>
        <v>0</v>
      </c>
      <c r="BF530" s="5">
        <v>0</v>
      </c>
      <c r="BG530" s="5">
        <f t="shared" si="402"/>
        <v>0</v>
      </c>
      <c r="BH530" s="5">
        <f t="shared" si="402"/>
        <v>0</v>
      </c>
      <c r="BI530" s="5">
        <f t="shared" si="402"/>
        <v>0</v>
      </c>
      <c r="BJ530" s="5">
        <f t="shared" si="402"/>
        <v>0</v>
      </c>
      <c r="BK530" s="5">
        <f t="shared" si="402"/>
        <v>0</v>
      </c>
      <c r="BL530" s="5">
        <f t="shared" si="402"/>
        <v>0</v>
      </c>
      <c r="BM530" s="5">
        <f t="shared" si="402"/>
        <v>0</v>
      </c>
      <c r="BN530" s="5">
        <f t="shared" si="396"/>
        <v>0</v>
      </c>
      <c r="BO530" s="5">
        <f t="shared" si="396"/>
        <v>0</v>
      </c>
      <c r="BP530" s="5">
        <f t="shared" si="396"/>
        <v>0</v>
      </c>
      <c r="BQ530" s="5">
        <f t="shared" si="396"/>
        <v>0</v>
      </c>
      <c r="BR530" s="5">
        <f t="shared" si="396"/>
        <v>0</v>
      </c>
      <c r="BS530" s="5">
        <f t="shared" si="396"/>
        <v>0</v>
      </c>
      <c r="BT530" s="5">
        <f t="shared" si="396"/>
        <v>0</v>
      </c>
      <c r="BU530" s="5">
        <f t="shared" si="396"/>
        <v>0</v>
      </c>
      <c r="BV530" s="5">
        <f t="shared" si="396"/>
        <v>0</v>
      </c>
      <c r="BW530" s="5">
        <f t="shared" si="396"/>
        <v>0</v>
      </c>
      <c r="BX530" s="5">
        <f t="shared" si="396"/>
        <v>0</v>
      </c>
      <c r="BY530" s="5">
        <f t="shared" si="396"/>
        <v>0</v>
      </c>
      <c r="BZ530" s="5">
        <f t="shared" si="396"/>
        <v>0</v>
      </c>
      <c r="CA530" s="5">
        <f t="shared" si="396"/>
        <v>1</v>
      </c>
      <c r="CB530" s="5">
        <f t="shared" si="396"/>
        <v>0</v>
      </c>
      <c r="CC530" s="5">
        <f t="shared" si="397"/>
        <v>0</v>
      </c>
      <c r="CD530" s="5">
        <f t="shared" si="397"/>
        <v>0</v>
      </c>
      <c r="CE530" s="5">
        <f t="shared" si="397"/>
        <v>0</v>
      </c>
    </row>
    <row r="531" spans="1:83" x14ac:dyDescent="0.2">
      <c r="A531" s="11"/>
      <c r="B531" s="11"/>
      <c r="C531" s="1">
        <f>Growth!D536</f>
        <v>0</v>
      </c>
      <c r="D531" s="5" t="b">
        <f t="shared" si="410"/>
        <v>0</v>
      </c>
      <c r="E531" s="5">
        <v>2011</v>
      </c>
      <c r="F531" s="5">
        <f ca="1">LOOKUP($E531,frequence!$A$2:$A$35,frequence!L$2:L$35)</f>
        <v>33.053542446246631</v>
      </c>
      <c r="G531" s="5">
        <f ca="1">LOOKUP($E531,frequence!$A$2:$A$35,frequence!K$2:K$35)</f>
        <v>2.1388579511305732</v>
      </c>
      <c r="H531" s="5">
        <f ca="1">LOOKUP($E531,frequence!$A$2:$A$35,frequence!M$2:M$35)</f>
        <v>182.11948132765423</v>
      </c>
      <c r="I531" s="5">
        <v>1995</v>
      </c>
      <c r="J531" s="7">
        <f>LOOKUP(I531,CPI!A$69:A$103,CPI!O$69:O$103)</f>
        <v>1.4308136482939633</v>
      </c>
      <c r="K531" s="5">
        <v>2015</v>
      </c>
      <c r="L531" s="7">
        <f t="shared" ca="1" si="398"/>
        <v>1</v>
      </c>
      <c r="M531" s="7">
        <f t="shared" si="333"/>
        <v>0.27727272727272728</v>
      </c>
      <c r="N531" s="14">
        <f>1/22</f>
        <v>4.5454545454545456E-2</v>
      </c>
      <c r="O531" s="1">
        <f ca="1">P531*J531*(1+Growth!G$6)^(2010-K531)</f>
        <v>87.606026881450504</v>
      </c>
      <c r="P531" s="11">
        <f>44/12*18</f>
        <v>66</v>
      </c>
      <c r="Q531" s="2">
        <f t="shared" si="418"/>
        <v>66</v>
      </c>
      <c r="R531" s="21">
        <f t="shared" ca="1" si="411"/>
        <v>7674.8159459534281</v>
      </c>
      <c r="X531" s="2">
        <f t="shared" si="419"/>
        <v>66</v>
      </c>
      <c r="AC531" s="1">
        <f t="shared" si="383"/>
        <v>6.1</v>
      </c>
      <c r="AD531" s="5">
        <v>0</v>
      </c>
      <c r="AE531" s="5">
        <v>0</v>
      </c>
      <c r="AF531" s="5">
        <v>1</v>
      </c>
      <c r="AG531" s="5">
        <v>1</v>
      </c>
      <c r="AH531" s="5">
        <v>1</v>
      </c>
      <c r="AI531" s="3">
        <f t="shared" si="409"/>
        <v>3.1</v>
      </c>
      <c r="AJ531" s="5">
        <f t="shared" si="337"/>
        <v>0</v>
      </c>
      <c r="AK531" s="5">
        <f t="shared" si="399"/>
        <v>0</v>
      </c>
      <c r="AL531" s="5">
        <f t="shared" si="400"/>
        <v>0</v>
      </c>
      <c r="AM531" s="5">
        <f t="shared" si="339"/>
        <v>1</v>
      </c>
      <c r="AN531" s="5">
        <f t="shared" si="401"/>
        <v>0</v>
      </c>
      <c r="AO531" s="5">
        <f t="shared" si="340"/>
        <v>0</v>
      </c>
      <c r="AP531" s="11" t="s">
        <v>42</v>
      </c>
      <c r="AQ531" s="1">
        <v>1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1</v>
      </c>
      <c r="AY531" s="1">
        <f t="shared" si="384"/>
        <v>0</v>
      </c>
      <c r="AZ531" s="1">
        <f t="shared" si="385"/>
        <v>0</v>
      </c>
      <c r="BA531" s="1">
        <f t="shared" si="386"/>
        <v>0</v>
      </c>
      <c r="BB531" s="5">
        <v>0</v>
      </c>
      <c r="BC531" s="5">
        <v>0</v>
      </c>
      <c r="BD531" s="5">
        <v>1</v>
      </c>
      <c r="BE531" s="5">
        <f t="shared" si="387"/>
        <v>0</v>
      </c>
      <c r="BF531" s="5">
        <v>0</v>
      </c>
      <c r="BG531" s="5">
        <f t="shared" si="402"/>
        <v>0</v>
      </c>
      <c r="BH531" s="5">
        <f t="shared" si="402"/>
        <v>0</v>
      </c>
      <c r="BI531" s="5">
        <f t="shared" si="402"/>
        <v>0</v>
      </c>
      <c r="BJ531" s="5">
        <f t="shared" si="402"/>
        <v>0</v>
      </c>
      <c r="BK531" s="5">
        <f t="shared" si="402"/>
        <v>0</v>
      </c>
      <c r="BL531" s="5">
        <f t="shared" si="402"/>
        <v>0</v>
      </c>
      <c r="BM531" s="5">
        <f t="shared" si="402"/>
        <v>0</v>
      </c>
      <c r="BN531" s="5">
        <f t="shared" si="396"/>
        <v>0</v>
      </c>
      <c r="BO531" s="5">
        <f t="shared" si="396"/>
        <v>0</v>
      </c>
      <c r="BP531" s="5">
        <f t="shared" si="396"/>
        <v>0</v>
      </c>
      <c r="BQ531" s="5">
        <f t="shared" si="396"/>
        <v>0</v>
      </c>
      <c r="BR531" s="5">
        <f t="shared" si="396"/>
        <v>0</v>
      </c>
      <c r="BS531" s="5">
        <f t="shared" si="396"/>
        <v>0</v>
      </c>
      <c r="BT531" s="5">
        <f t="shared" si="396"/>
        <v>0</v>
      </c>
      <c r="BU531" s="5">
        <f t="shared" si="396"/>
        <v>0</v>
      </c>
      <c r="BV531" s="5">
        <f t="shared" si="396"/>
        <v>0</v>
      </c>
      <c r="BW531" s="5">
        <f t="shared" si="396"/>
        <v>0</v>
      </c>
      <c r="BX531" s="5">
        <f t="shared" si="396"/>
        <v>0</v>
      </c>
      <c r="BY531" s="5">
        <f t="shared" si="396"/>
        <v>0</v>
      </c>
      <c r="BZ531" s="5">
        <f t="shared" si="396"/>
        <v>0</v>
      </c>
      <c r="CA531" s="5">
        <f t="shared" si="396"/>
        <v>1</v>
      </c>
      <c r="CB531" s="5">
        <f t="shared" ref="CB531:CE550" si="420">IF($E531=CB$2,1,0)</f>
        <v>0</v>
      </c>
      <c r="CC531" s="5">
        <f t="shared" si="397"/>
        <v>0</v>
      </c>
      <c r="CD531" s="5">
        <f t="shared" si="397"/>
        <v>0</v>
      </c>
      <c r="CE531" s="5">
        <f t="shared" si="397"/>
        <v>0</v>
      </c>
    </row>
    <row r="532" spans="1:83" x14ac:dyDescent="0.2">
      <c r="A532" s="11"/>
      <c r="B532" s="11"/>
      <c r="C532" s="1">
        <f>Growth!D537</f>
        <v>0</v>
      </c>
      <c r="D532" s="5" t="b">
        <f t="shared" si="410"/>
        <v>0</v>
      </c>
      <c r="E532" s="5">
        <v>2011</v>
      </c>
      <c r="F532" s="5">
        <f ca="1">LOOKUP($E532,frequence!$A$2:$A$35,frequence!L$2:L$35)</f>
        <v>33.053542446246631</v>
      </c>
      <c r="G532" s="5">
        <f ca="1">LOOKUP($E532,frequence!$A$2:$A$35,frequence!K$2:K$35)</f>
        <v>2.1388579511305732</v>
      </c>
      <c r="H532" s="5">
        <f ca="1">LOOKUP($E532,frequence!$A$2:$A$35,frequence!M$2:M$35)</f>
        <v>182.11948132765423</v>
      </c>
      <c r="I532" s="5">
        <v>1995</v>
      </c>
      <c r="J532" s="7">
        <f>LOOKUP(I532,CPI!A$69:A$103,CPI!O$69:O$103)</f>
        <v>1.4308136482939633</v>
      </c>
      <c r="K532" s="5">
        <v>2015</v>
      </c>
      <c r="L532" s="7">
        <f t="shared" ca="1" si="398"/>
        <v>1</v>
      </c>
      <c r="M532" s="7">
        <f t="shared" si="333"/>
        <v>0.55454545454545456</v>
      </c>
      <c r="N532" s="14">
        <f t="shared" ref="N532:N539" si="421">2/22</f>
        <v>9.0909090909090912E-2</v>
      </c>
      <c r="O532" s="1">
        <f ca="1">P532*J532*(1+Growth!G$6)^(2010-K532)</f>
        <v>248.21707616410978</v>
      </c>
      <c r="P532" s="11">
        <f>44/12*51</f>
        <v>187</v>
      </c>
      <c r="Q532" s="2">
        <f t="shared" si="418"/>
        <v>187</v>
      </c>
      <c r="R532" s="21">
        <f t="shared" ca="1" si="411"/>
        <v>61611.716899459476</v>
      </c>
      <c r="X532" s="2">
        <f t="shared" si="419"/>
        <v>187</v>
      </c>
      <c r="AC532" s="1">
        <f t="shared" si="383"/>
        <v>6.1</v>
      </c>
      <c r="AD532" s="5">
        <v>0</v>
      </c>
      <c r="AE532" s="5">
        <v>0</v>
      </c>
      <c r="AF532" s="5">
        <v>1</v>
      </c>
      <c r="AG532" s="5">
        <v>1</v>
      </c>
      <c r="AH532" s="5">
        <v>1</v>
      </c>
      <c r="AI532" s="3">
        <f t="shared" si="409"/>
        <v>3.1</v>
      </c>
      <c r="AJ532" s="5">
        <f t="shared" si="337"/>
        <v>0</v>
      </c>
      <c r="AK532" s="5">
        <f t="shared" si="399"/>
        <v>0</v>
      </c>
      <c r="AL532" s="5">
        <f t="shared" si="400"/>
        <v>0</v>
      </c>
      <c r="AM532" s="5">
        <f t="shared" si="339"/>
        <v>1</v>
      </c>
      <c r="AN532" s="5">
        <f t="shared" si="401"/>
        <v>0</v>
      </c>
      <c r="AO532" s="5">
        <f t="shared" si="340"/>
        <v>0</v>
      </c>
      <c r="AP532" s="11" t="s">
        <v>42</v>
      </c>
      <c r="AQ532" s="1">
        <v>1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1</v>
      </c>
      <c r="AY532" s="1">
        <f t="shared" si="384"/>
        <v>0</v>
      </c>
      <c r="AZ532" s="1">
        <f t="shared" si="385"/>
        <v>0</v>
      </c>
      <c r="BA532" s="1">
        <f t="shared" si="386"/>
        <v>0</v>
      </c>
      <c r="BB532" s="5">
        <v>0</v>
      </c>
      <c r="BC532" s="5">
        <v>0</v>
      </c>
      <c r="BD532" s="5">
        <v>1</v>
      </c>
      <c r="BE532" s="5">
        <f t="shared" si="387"/>
        <v>0</v>
      </c>
      <c r="BF532" s="5">
        <v>0</v>
      </c>
      <c r="BG532" s="5">
        <f t="shared" si="402"/>
        <v>0</v>
      </c>
      <c r="BH532" s="5">
        <f t="shared" si="402"/>
        <v>0</v>
      </c>
      <c r="BI532" s="5">
        <f t="shared" si="402"/>
        <v>0</v>
      </c>
      <c r="BJ532" s="5">
        <f t="shared" si="402"/>
        <v>0</v>
      </c>
      <c r="BK532" s="5">
        <f t="shared" si="402"/>
        <v>0</v>
      </c>
      <c r="BL532" s="5">
        <f t="shared" si="402"/>
        <v>0</v>
      </c>
      <c r="BM532" s="5">
        <f t="shared" si="402"/>
        <v>0</v>
      </c>
      <c r="BN532" s="5">
        <f t="shared" si="402"/>
        <v>0</v>
      </c>
      <c r="BO532" s="5">
        <f t="shared" ref="BO532:CA547" si="422">IF($E532=BO$2,1,0)</f>
        <v>0</v>
      </c>
      <c r="BP532" s="5">
        <f t="shared" si="422"/>
        <v>0</v>
      </c>
      <c r="BQ532" s="5">
        <f t="shared" si="422"/>
        <v>0</v>
      </c>
      <c r="BR532" s="5">
        <f t="shared" si="422"/>
        <v>0</v>
      </c>
      <c r="BS532" s="5">
        <f t="shared" si="422"/>
        <v>0</v>
      </c>
      <c r="BT532" s="5">
        <f t="shared" si="422"/>
        <v>0</v>
      </c>
      <c r="BU532" s="5">
        <f t="shared" si="422"/>
        <v>0</v>
      </c>
      <c r="BV532" s="5">
        <f t="shared" si="422"/>
        <v>0</v>
      </c>
      <c r="BW532" s="5">
        <f t="shared" si="422"/>
        <v>0</v>
      </c>
      <c r="BX532" s="5">
        <f t="shared" si="422"/>
        <v>0</v>
      </c>
      <c r="BY532" s="5">
        <f t="shared" si="422"/>
        <v>0</v>
      </c>
      <c r="BZ532" s="5">
        <f t="shared" si="422"/>
        <v>0</v>
      </c>
      <c r="CA532" s="5">
        <f t="shared" si="422"/>
        <v>1</v>
      </c>
      <c r="CB532" s="5">
        <f t="shared" si="420"/>
        <v>0</v>
      </c>
      <c r="CC532" s="5">
        <f t="shared" si="397"/>
        <v>0</v>
      </c>
      <c r="CD532" s="5">
        <f t="shared" si="397"/>
        <v>0</v>
      </c>
      <c r="CE532" s="5">
        <f t="shared" si="397"/>
        <v>0</v>
      </c>
    </row>
    <row r="533" spans="1:83" x14ac:dyDescent="0.2">
      <c r="A533" s="11"/>
      <c r="B533" s="11"/>
      <c r="C533" s="1">
        <f>Growth!D538</f>
        <v>0</v>
      </c>
      <c r="D533" s="5" t="b">
        <f t="shared" si="410"/>
        <v>0</v>
      </c>
      <c r="E533" s="5">
        <v>2011</v>
      </c>
      <c r="F533" s="5">
        <f ca="1">LOOKUP($E533,frequence!$A$2:$A$35,frequence!L$2:L$35)</f>
        <v>33.053542446246631</v>
      </c>
      <c r="G533" s="5">
        <f ca="1">LOOKUP($E533,frequence!$A$2:$A$35,frequence!K$2:K$35)</f>
        <v>2.1388579511305732</v>
      </c>
      <c r="H533" s="5">
        <f ca="1">LOOKUP($E533,frequence!$A$2:$A$35,frequence!M$2:M$35)</f>
        <v>182.11948132765423</v>
      </c>
      <c r="I533" s="5">
        <v>1995</v>
      </c>
      <c r="J533" s="7">
        <f>LOOKUP(I533,CPI!A$69:A$103,CPI!O$69:O$103)</f>
        <v>1.4308136482939633</v>
      </c>
      <c r="K533" s="5">
        <v>2015</v>
      </c>
      <c r="L533" s="7">
        <f t="shared" ca="1" si="398"/>
        <v>1</v>
      </c>
      <c r="M533" s="7">
        <f t="shared" si="333"/>
        <v>0.55454545454545456</v>
      </c>
      <c r="N533" s="14">
        <f t="shared" si="421"/>
        <v>9.0909090909090912E-2</v>
      </c>
      <c r="O533" s="1">
        <f ca="1">P533*J533*(1+Growth!G$6)^(2010-K533)</f>
        <v>1.4601004480241748</v>
      </c>
      <c r="P533" s="11">
        <f>44/12*0.3</f>
        <v>1.0999999999999999</v>
      </c>
      <c r="Q533" s="2">
        <f t="shared" si="418"/>
        <v>1.0999999999999999</v>
      </c>
      <c r="R533" s="21">
        <f t="shared" ca="1" si="411"/>
        <v>2.1318933183203961</v>
      </c>
      <c r="X533" s="2">
        <f t="shared" si="419"/>
        <v>1.0999999999999999</v>
      </c>
      <c r="AC533" s="1">
        <f t="shared" si="383"/>
        <v>6.1</v>
      </c>
      <c r="AD533" s="5">
        <v>0</v>
      </c>
      <c r="AE533" s="5">
        <v>0</v>
      </c>
      <c r="AF533" s="5">
        <v>1</v>
      </c>
      <c r="AG533" s="5">
        <v>1</v>
      </c>
      <c r="AH533" s="5">
        <v>1</v>
      </c>
      <c r="AI533" s="3">
        <f t="shared" si="409"/>
        <v>3.1</v>
      </c>
      <c r="AJ533" s="5">
        <f t="shared" si="337"/>
        <v>0</v>
      </c>
      <c r="AK533" s="5">
        <f t="shared" si="399"/>
        <v>0</v>
      </c>
      <c r="AL533" s="5">
        <f t="shared" si="400"/>
        <v>0</v>
      </c>
      <c r="AM533" s="5">
        <f t="shared" si="339"/>
        <v>0</v>
      </c>
      <c r="AN533" s="5">
        <f t="shared" si="401"/>
        <v>1</v>
      </c>
      <c r="AO533" s="5">
        <f t="shared" si="340"/>
        <v>0</v>
      </c>
      <c r="AP533" s="11" t="s">
        <v>42</v>
      </c>
      <c r="AQ533" s="1">
        <v>0.1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1</v>
      </c>
      <c r="AY533" s="1">
        <f t="shared" si="384"/>
        <v>0</v>
      </c>
      <c r="AZ533" s="1">
        <f t="shared" si="385"/>
        <v>0</v>
      </c>
      <c r="BA533" s="1">
        <f t="shared" si="386"/>
        <v>0</v>
      </c>
      <c r="BB533" s="5">
        <v>0</v>
      </c>
      <c r="BC533" s="5">
        <v>0</v>
      </c>
      <c r="BD533" s="5">
        <v>1</v>
      </c>
      <c r="BE533" s="5">
        <f t="shared" si="387"/>
        <v>0</v>
      </c>
      <c r="BF533" s="5">
        <v>0</v>
      </c>
      <c r="BG533" s="5">
        <f t="shared" ref="BG533:BN548" si="423">IF($E533=BG$2,1,0)</f>
        <v>0</v>
      </c>
      <c r="BH533" s="5">
        <f t="shared" si="423"/>
        <v>0</v>
      </c>
      <c r="BI533" s="5">
        <f t="shared" si="423"/>
        <v>0</v>
      </c>
      <c r="BJ533" s="5">
        <f t="shared" si="423"/>
        <v>0</v>
      </c>
      <c r="BK533" s="5">
        <f t="shared" si="423"/>
        <v>0</v>
      </c>
      <c r="BL533" s="5">
        <f t="shared" si="423"/>
        <v>0</v>
      </c>
      <c r="BM533" s="5">
        <f t="shared" si="423"/>
        <v>0</v>
      </c>
      <c r="BN533" s="5">
        <f t="shared" si="423"/>
        <v>0</v>
      </c>
      <c r="BO533" s="5">
        <f t="shared" si="422"/>
        <v>0</v>
      </c>
      <c r="BP533" s="5">
        <f t="shared" si="422"/>
        <v>0</v>
      </c>
      <c r="BQ533" s="5">
        <f t="shared" si="422"/>
        <v>0</v>
      </c>
      <c r="BR533" s="5">
        <f t="shared" si="422"/>
        <v>0</v>
      </c>
      <c r="BS533" s="5">
        <f t="shared" si="422"/>
        <v>0</v>
      </c>
      <c r="BT533" s="5">
        <f t="shared" si="422"/>
        <v>0</v>
      </c>
      <c r="BU533" s="5">
        <f t="shared" si="422"/>
        <v>0</v>
      </c>
      <c r="BV533" s="5">
        <f t="shared" si="422"/>
        <v>0</v>
      </c>
      <c r="BW533" s="5">
        <f t="shared" si="422"/>
        <v>0</v>
      </c>
      <c r="BX533" s="5">
        <f t="shared" si="422"/>
        <v>0</v>
      </c>
      <c r="BY533" s="5">
        <f t="shared" si="422"/>
        <v>0</v>
      </c>
      <c r="BZ533" s="5">
        <f t="shared" si="422"/>
        <v>0</v>
      </c>
      <c r="CA533" s="5">
        <f t="shared" si="422"/>
        <v>1</v>
      </c>
      <c r="CB533" s="5">
        <f t="shared" si="420"/>
        <v>0</v>
      </c>
      <c r="CC533" s="5">
        <f t="shared" si="397"/>
        <v>0</v>
      </c>
      <c r="CD533" s="5">
        <f t="shared" si="397"/>
        <v>0</v>
      </c>
      <c r="CE533" s="5">
        <f t="shared" si="397"/>
        <v>0</v>
      </c>
    </row>
    <row r="534" spans="1:83" x14ac:dyDescent="0.2">
      <c r="A534" s="11"/>
      <c r="B534" s="11"/>
      <c r="C534" s="1">
        <f>Growth!D539</f>
        <v>0</v>
      </c>
      <c r="D534" s="5" t="b">
        <f t="shared" si="410"/>
        <v>0</v>
      </c>
      <c r="E534" s="5">
        <v>2011</v>
      </c>
      <c r="F534" s="5">
        <f ca="1">LOOKUP($E534,frequence!$A$2:$A$35,frequence!L$2:L$35)</f>
        <v>33.053542446246631</v>
      </c>
      <c r="G534" s="5">
        <f ca="1">LOOKUP($E534,frequence!$A$2:$A$35,frequence!K$2:K$35)</f>
        <v>2.1388579511305732</v>
      </c>
      <c r="H534" s="5">
        <f ca="1">LOOKUP($E534,frequence!$A$2:$A$35,frequence!M$2:M$35)</f>
        <v>182.11948132765423</v>
      </c>
      <c r="I534" s="5">
        <v>1995</v>
      </c>
      <c r="J534" s="7">
        <f>LOOKUP(I534,CPI!A$69:A$103,CPI!O$69:O$103)</f>
        <v>1.4308136482939633</v>
      </c>
      <c r="K534" s="5">
        <v>2015</v>
      </c>
      <c r="L534" s="7">
        <f t="shared" ca="1" si="398"/>
        <v>1</v>
      </c>
      <c r="M534" s="7">
        <f t="shared" si="333"/>
        <v>0.55454545454545456</v>
      </c>
      <c r="N534" s="14">
        <f t="shared" si="421"/>
        <v>9.0909090909090912E-2</v>
      </c>
      <c r="O534" s="1">
        <f ca="1">P534*J534*(1+Growth!G$6)^(2010-K534)</f>
        <v>121.67503733534791</v>
      </c>
      <c r="P534" s="11">
        <f>44/12*25</f>
        <v>91.666666666666657</v>
      </c>
      <c r="Q534" s="2">
        <f t="shared" si="418"/>
        <v>91.666666666666657</v>
      </c>
      <c r="R534" s="21">
        <f t="shared" ca="1" si="411"/>
        <v>14804.814710558308</v>
      </c>
      <c r="X534" s="2">
        <f t="shared" si="419"/>
        <v>91.666666666666657</v>
      </c>
      <c r="AC534" s="1">
        <f t="shared" si="383"/>
        <v>6.1</v>
      </c>
      <c r="AD534" s="5">
        <v>0</v>
      </c>
      <c r="AE534" s="5">
        <v>0</v>
      </c>
      <c r="AF534" s="5">
        <v>1</v>
      </c>
      <c r="AG534" s="5">
        <v>1</v>
      </c>
      <c r="AH534" s="5">
        <v>1</v>
      </c>
      <c r="AI534" s="3">
        <f t="shared" si="409"/>
        <v>3.1</v>
      </c>
      <c r="AJ534" s="5">
        <f t="shared" si="337"/>
        <v>1</v>
      </c>
      <c r="AK534" s="5">
        <f t="shared" si="399"/>
        <v>0</v>
      </c>
      <c r="AL534" s="5">
        <f t="shared" si="400"/>
        <v>0</v>
      </c>
      <c r="AM534" s="5">
        <f t="shared" si="339"/>
        <v>0</v>
      </c>
      <c r="AN534" s="5">
        <f t="shared" si="401"/>
        <v>0</v>
      </c>
      <c r="AO534" s="5">
        <f t="shared" si="340"/>
        <v>0</v>
      </c>
      <c r="AP534" s="11" t="s">
        <v>42</v>
      </c>
      <c r="AQ534" s="1">
        <v>3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1</v>
      </c>
      <c r="AY534" s="1">
        <f t="shared" si="384"/>
        <v>0</v>
      </c>
      <c r="AZ534" s="1">
        <f t="shared" si="385"/>
        <v>0</v>
      </c>
      <c r="BA534" s="1">
        <f t="shared" si="386"/>
        <v>0</v>
      </c>
      <c r="BB534" s="5">
        <v>0</v>
      </c>
      <c r="BC534" s="5">
        <v>0</v>
      </c>
      <c r="BD534" s="5">
        <v>1</v>
      </c>
      <c r="BE534" s="5">
        <f t="shared" si="387"/>
        <v>0</v>
      </c>
      <c r="BF534" s="5">
        <v>0</v>
      </c>
      <c r="BG534" s="5">
        <f t="shared" si="423"/>
        <v>0</v>
      </c>
      <c r="BH534" s="5">
        <f t="shared" si="423"/>
        <v>0</v>
      </c>
      <c r="BI534" s="5">
        <f t="shared" si="423"/>
        <v>0</v>
      </c>
      <c r="BJ534" s="5">
        <f t="shared" si="423"/>
        <v>0</v>
      </c>
      <c r="BK534" s="5">
        <f t="shared" si="423"/>
        <v>0</v>
      </c>
      <c r="BL534" s="5">
        <f t="shared" si="423"/>
        <v>0</v>
      </c>
      <c r="BM534" s="5">
        <f t="shared" si="423"/>
        <v>0</v>
      </c>
      <c r="BN534" s="5">
        <f t="shared" si="423"/>
        <v>0</v>
      </c>
      <c r="BO534" s="5">
        <f t="shared" si="422"/>
        <v>0</v>
      </c>
      <c r="BP534" s="5">
        <f t="shared" si="422"/>
        <v>0</v>
      </c>
      <c r="BQ534" s="5">
        <f t="shared" si="422"/>
        <v>0</v>
      </c>
      <c r="BR534" s="5">
        <f t="shared" si="422"/>
        <v>0</v>
      </c>
      <c r="BS534" s="5">
        <f t="shared" si="422"/>
        <v>0</v>
      </c>
      <c r="BT534" s="5">
        <f t="shared" si="422"/>
        <v>0</v>
      </c>
      <c r="BU534" s="5">
        <f t="shared" si="422"/>
        <v>0</v>
      </c>
      <c r="BV534" s="5">
        <f t="shared" si="422"/>
        <v>0</v>
      </c>
      <c r="BW534" s="5">
        <f t="shared" si="422"/>
        <v>0</v>
      </c>
      <c r="BX534" s="5">
        <f t="shared" si="422"/>
        <v>0</v>
      </c>
      <c r="BY534" s="5">
        <f t="shared" si="422"/>
        <v>0</v>
      </c>
      <c r="BZ534" s="5">
        <f t="shared" si="422"/>
        <v>0</v>
      </c>
      <c r="CA534" s="5">
        <f t="shared" si="422"/>
        <v>1</v>
      </c>
      <c r="CB534" s="5">
        <f t="shared" si="420"/>
        <v>0</v>
      </c>
      <c r="CC534" s="5">
        <f t="shared" si="397"/>
        <v>0</v>
      </c>
      <c r="CD534" s="5">
        <f t="shared" si="397"/>
        <v>0</v>
      </c>
      <c r="CE534" s="5">
        <f t="shared" si="397"/>
        <v>0</v>
      </c>
    </row>
    <row r="535" spans="1:83" x14ac:dyDescent="0.2">
      <c r="A535" s="11"/>
      <c r="B535" s="11"/>
      <c r="C535" s="1">
        <f>Growth!D540</f>
        <v>0</v>
      </c>
      <c r="D535" s="5" t="b">
        <f t="shared" si="410"/>
        <v>0</v>
      </c>
      <c r="E535" s="5">
        <v>2011</v>
      </c>
      <c r="F535" s="5">
        <f ca="1">LOOKUP($E535,frequence!$A$2:$A$35,frequence!L$2:L$35)</f>
        <v>33.053542446246631</v>
      </c>
      <c r="G535" s="5">
        <f ca="1">LOOKUP($E535,frequence!$A$2:$A$35,frequence!K$2:K$35)</f>
        <v>2.1388579511305732</v>
      </c>
      <c r="H535" s="5">
        <f ca="1">LOOKUP($E535,frequence!$A$2:$A$35,frequence!M$2:M$35)</f>
        <v>182.11948132765423</v>
      </c>
      <c r="I535" s="5">
        <v>1995</v>
      </c>
      <c r="J535" s="7">
        <f>LOOKUP(I535,CPI!A$69:A$103,CPI!O$69:O$103)</f>
        <v>1.4308136482939633</v>
      </c>
      <c r="K535" s="5">
        <v>2015</v>
      </c>
      <c r="L535" s="7">
        <f t="shared" ca="1" si="398"/>
        <v>1</v>
      </c>
      <c r="M535" s="7">
        <f t="shared" si="333"/>
        <v>0.55454545454545456</v>
      </c>
      <c r="N535" s="14">
        <f t="shared" si="421"/>
        <v>9.0909090909090912E-2</v>
      </c>
      <c r="O535" s="1">
        <f ca="1">P535*J535*(1+Growth!G$6)^(2010-K535)</f>
        <v>9.7340029868278339</v>
      </c>
      <c r="P535" s="11">
        <f>44/12*2</f>
        <v>7.333333333333333</v>
      </c>
      <c r="Q535" s="2">
        <f t="shared" si="418"/>
        <v>7.333333333333333</v>
      </c>
      <c r="R535" s="21">
        <f t="shared" ca="1" si="411"/>
        <v>94.750814147573195</v>
      </c>
      <c r="X535" s="2">
        <f t="shared" si="419"/>
        <v>7.333333333333333</v>
      </c>
      <c r="AC535" s="1">
        <f t="shared" si="383"/>
        <v>6.1</v>
      </c>
      <c r="AD535" s="5">
        <v>0</v>
      </c>
      <c r="AE535" s="5">
        <v>0</v>
      </c>
      <c r="AF535" s="5">
        <v>1</v>
      </c>
      <c r="AG535" s="5">
        <v>1</v>
      </c>
      <c r="AH535" s="5">
        <v>1</v>
      </c>
      <c r="AI535" s="3">
        <f t="shared" si="409"/>
        <v>3.1</v>
      </c>
      <c r="AJ535" s="5">
        <f t="shared" ref="AJ535:AJ598" si="424">IF($AQ535=3,1,0)</f>
        <v>0</v>
      </c>
      <c r="AK535" s="5">
        <f t="shared" si="399"/>
        <v>0</v>
      </c>
      <c r="AL535" s="5">
        <f t="shared" si="400"/>
        <v>0</v>
      </c>
      <c r="AM535" s="5">
        <f t="shared" si="339"/>
        <v>1</v>
      </c>
      <c r="AN535" s="5">
        <f t="shared" si="401"/>
        <v>0</v>
      </c>
      <c r="AO535" s="5">
        <f t="shared" si="340"/>
        <v>0</v>
      </c>
      <c r="AP535" s="11" t="s">
        <v>42</v>
      </c>
      <c r="AQ535" s="1">
        <v>1</v>
      </c>
      <c r="AR535" s="5">
        <v>1</v>
      </c>
      <c r="AS535" s="5">
        <v>1</v>
      </c>
      <c r="AT535" s="5">
        <v>0</v>
      </c>
      <c r="AU535" s="5">
        <v>0</v>
      </c>
      <c r="AV535" s="5">
        <v>0</v>
      </c>
      <c r="AW535" s="5">
        <v>0</v>
      </c>
      <c r="AX535" s="5">
        <v>1</v>
      </c>
      <c r="AY535" s="1">
        <f t="shared" si="384"/>
        <v>0</v>
      </c>
      <c r="AZ535" s="1">
        <f t="shared" si="385"/>
        <v>0</v>
      </c>
      <c r="BA535" s="1">
        <f t="shared" si="386"/>
        <v>0</v>
      </c>
      <c r="BB535" s="5">
        <v>0</v>
      </c>
      <c r="BC535" s="5">
        <v>0</v>
      </c>
      <c r="BD535" s="5">
        <v>1</v>
      </c>
      <c r="BE535" s="5">
        <f t="shared" si="387"/>
        <v>0</v>
      </c>
      <c r="BF535" s="5">
        <v>0</v>
      </c>
      <c r="BG535" s="5">
        <f t="shared" si="423"/>
        <v>0</v>
      </c>
      <c r="BH535" s="5">
        <f t="shared" si="423"/>
        <v>0</v>
      </c>
      <c r="BI535" s="5">
        <f t="shared" si="423"/>
        <v>0</v>
      </c>
      <c r="BJ535" s="5">
        <f t="shared" si="423"/>
        <v>0</v>
      </c>
      <c r="BK535" s="5">
        <f t="shared" si="423"/>
        <v>0</v>
      </c>
      <c r="BL535" s="5">
        <f t="shared" si="423"/>
        <v>0</v>
      </c>
      <c r="BM535" s="5">
        <f t="shared" si="423"/>
        <v>0</v>
      </c>
      <c r="BN535" s="5">
        <f t="shared" si="423"/>
        <v>0</v>
      </c>
      <c r="BO535" s="5">
        <f t="shared" si="422"/>
        <v>0</v>
      </c>
      <c r="BP535" s="5">
        <f t="shared" si="422"/>
        <v>0</v>
      </c>
      <c r="BQ535" s="5">
        <f t="shared" si="422"/>
        <v>0</v>
      </c>
      <c r="BR535" s="5">
        <f t="shared" si="422"/>
        <v>0</v>
      </c>
      <c r="BS535" s="5">
        <f t="shared" si="422"/>
        <v>0</v>
      </c>
      <c r="BT535" s="5">
        <f t="shared" si="422"/>
        <v>0</v>
      </c>
      <c r="BU535" s="5">
        <f t="shared" si="422"/>
        <v>0</v>
      </c>
      <c r="BV535" s="5">
        <f t="shared" si="422"/>
        <v>0</v>
      </c>
      <c r="BW535" s="5">
        <f t="shared" si="422"/>
        <v>0</v>
      </c>
      <c r="BX535" s="5">
        <f t="shared" si="422"/>
        <v>0</v>
      </c>
      <c r="BY535" s="5">
        <f t="shared" si="422"/>
        <v>0</v>
      </c>
      <c r="BZ535" s="5">
        <f t="shared" si="422"/>
        <v>0</v>
      </c>
      <c r="CA535" s="5">
        <f t="shared" si="422"/>
        <v>1</v>
      </c>
      <c r="CB535" s="5">
        <f t="shared" si="420"/>
        <v>0</v>
      </c>
      <c r="CC535" s="5">
        <f t="shared" si="397"/>
        <v>0</v>
      </c>
      <c r="CD535" s="5">
        <f t="shared" si="397"/>
        <v>0</v>
      </c>
      <c r="CE535" s="5">
        <f t="shared" si="397"/>
        <v>0</v>
      </c>
    </row>
    <row r="536" spans="1:83" x14ac:dyDescent="0.2">
      <c r="A536" s="11"/>
      <c r="B536" s="11"/>
      <c r="C536" s="1">
        <f>Growth!D541</f>
        <v>0</v>
      </c>
      <c r="D536" s="5" t="b">
        <f t="shared" si="410"/>
        <v>0</v>
      </c>
      <c r="E536" s="5">
        <v>2011</v>
      </c>
      <c r="F536" s="5">
        <f ca="1">LOOKUP($E536,frequence!$A$2:$A$35,frequence!L$2:L$35)</f>
        <v>33.053542446246631</v>
      </c>
      <c r="G536" s="5">
        <f ca="1">LOOKUP($E536,frequence!$A$2:$A$35,frequence!K$2:K$35)</f>
        <v>2.1388579511305732</v>
      </c>
      <c r="H536" s="5">
        <f ca="1">LOOKUP($E536,frequence!$A$2:$A$35,frequence!M$2:M$35)</f>
        <v>182.11948132765423</v>
      </c>
      <c r="I536" s="5">
        <v>1995</v>
      </c>
      <c r="J536" s="7">
        <f>LOOKUP(I536,CPI!A$69:A$103,CPI!O$69:O$103)</f>
        <v>1.4308136482939633</v>
      </c>
      <c r="K536" s="5">
        <v>2015</v>
      </c>
      <c r="L536" s="7">
        <f t="shared" ca="1" si="398"/>
        <v>1</v>
      </c>
      <c r="M536" s="7">
        <f t="shared" ref="M536:M599" si="425">N536*AC536</f>
        <v>0.55454545454545456</v>
      </c>
      <c r="N536" s="14">
        <f t="shared" si="421"/>
        <v>9.0909090909090912E-2</v>
      </c>
      <c r="O536" s="1">
        <f ca="1">P536*J536*(1+Growth!G$6)^(2010-K536)</f>
        <v>14.60100448024175</v>
      </c>
      <c r="P536" s="11">
        <f>44/12*3</f>
        <v>11</v>
      </c>
      <c r="Q536" s="2">
        <f t="shared" si="418"/>
        <v>11</v>
      </c>
      <c r="R536" s="21">
        <f t="shared" ca="1" si="411"/>
        <v>213.18933183203967</v>
      </c>
      <c r="X536" s="2">
        <f t="shared" si="419"/>
        <v>11</v>
      </c>
      <c r="AC536" s="1">
        <f t="shared" si="383"/>
        <v>6.1</v>
      </c>
      <c r="AD536" s="5">
        <v>0</v>
      </c>
      <c r="AE536" s="5">
        <v>0</v>
      </c>
      <c r="AF536" s="5">
        <v>1</v>
      </c>
      <c r="AG536" s="5">
        <v>1</v>
      </c>
      <c r="AH536" s="5">
        <v>1</v>
      </c>
      <c r="AI536" s="3">
        <f t="shared" si="409"/>
        <v>3.1</v>
      </c>
      <c r="AJ536" s="5">
        <f t="shared" si="424"/>
        <v>0</v>
      </c>
      <c r="AK536" s="5">
        <f t="shared" si="399"/>
        <v>0</v>
      </c>
      <c r="AL536" s="5">
        <f t="shared" si="400"/>
        <v>0</v>
      </c>
      <c r="AM536" s="5">
        <f t="shared" si="339"/>
        <v>1</v>
      </c>
      <c r="AN536" s="5">
        <f t="shared" si="401"/>
        <v>0</v>
      </c>
      <c r="AO536" s="5">
        <f t="shared" si="340"/>
        <v>0</v>
      </c>
      <c r="AP536" s="11" t="s">
        <v>42</v>
      </c>
      <c r="AQ536" s="1">
        <v>1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1</v>
      </c>
      <c r="AY536" s="1">
        <f t="shared" si="384"/>
        <v>0</v>
      </c>
      <c r="AZ536" s="1">
        <f t="shared" si="385"/>
        <v>0</v>
      </c>
      <c r="BA536" s="1">
        <f t="shared" si="386"/>
        <v>0</v>
      </c>
      <c r="BB536" s="5">
        <v>0</v>
      </c>
      <c r="BC536" s="5">
        <v>0</v>
      </c>
      <c r="BD536" s="5">
        <v>1</v>
      </c>
      <c r="BE536" s="5">
        <f t="shared" si="387"/>
        <v>0</v>
      </c>
      <c r="BF536" s="5">
        <v>0</v>
      </c>
      <c r="BG536" s="5">
        <f t="shared" si="423"/>
        <v>0</v>
      </c>
      <c r="BH536" s="5">
        <f t="shared" si="423"/>
        <v>0</v>
      </c>
      <c r="BI536" s="5">
        <f t="shared" si="423"/>
        <v>0</v>
      </c>
      <c r="BJ536" s="5">
        <f t="shared" si="423"/>
        <v>0</v>
      </c>
      <c r="BK536" s="5">
        <f t="shared" si="423"/>
        <v>0</v>
      </c>
      <c r="BL536" s="5">
        <f t="shared" si="423"/>
        <v>0</v>
      </c>
      <c r="BM536" s="5">
        <f t="shared" si="423"/>
        <v>0</v>
      </c>
      <c r="BN536" s="5">
        <f t="shared" si="423"/>
        <v>0</v>
      </c>
      <c r="BO536" s="5">
        <f t="shared" si="422"/>
        <v>0</v>
      </c>
      <c r="BP536" s="5">
        <f t="shared" si="422"/>
        <v>0</v>
      </c>
      <c r="BQ536" s="5">
        <f t="shared" si="422"/>
        <v>0</v>
      </c>
      <c r="BR536" s="5">
        <f t="shared" si="422"/>
        <v>0</v>
      </c>
      <c r="BS536" s="5">
        <f t="shared" si="422"/>
        <v>0</v>
      </c>
      <c r="BT536" s="5">
        <f t="shared" si="422"/>
        <v>0</v>
      </c>
      <c r="BU536" s="5">
        <f t="shared" si="422"/>
        <v>0</v>
      </c>
      <c r="BV536" s="5">
        <f t="shared" si="422"/>
        <v>0</v>
      </c>
      <c r="BW536" s="5">
        <f t="shared" si="422"/>
        <v>0</v>
      </c>
      <c r="BX536" s="5">
        <f t="shared" si="422"/>
        <v>0</v>
      </c>
      <c r="BY536" s="5">
        <f t="shared" si="422"/>
        <v>0</v>
      </c>
      <c r="BZ536" s="5">
        <f t="shared" si="422"/>
        <v>0</v>
      </c>
      <c r="CA536" s="5">
        <f t="shared" si="422"/>
        <v>1</v>
      </c>
      <c r="CB536" s="5">
        <f t="shared" si="420"/>
        <v>0</v>
      </c>
      <c r="CC536" s="5">
        <f t="shared" si="420"/>
        <v>0</v>
      </c>
      <c r="CD536" s="5">
        <f t="shared" si="420"/>
        <v>0</v>
      </c>
      <c r="CE536" s="5">
        <f t="shared" si="420"/>
        <v>0</v>
      </c>
    </row>
    <row r="537" spans="1:83" x14ac:dyDescent="0.2">
      <c r="A537" s="11"/>
      <c r="B537" s="11"/>
      <c r="C537" s="1">
        <f>Growth!D542</f>
        <v>0</v>
      </c>
      <c r="D537" s="5" t="b">
        <f t="shared" si="410"/>
        <v>0</v>
      </c>
      <c r="E537" s="5">
        <v>2011</v>
      </c>
      <c r="F537" s="5">
        <f ca="1">LOOKUP($E537,frequence!$A$2:$A$35,frequence!L$2:L$35)</f>
        <v>33.053542446246631</v>
      </c>
      <c r="G537" s="5">
        <f ca="1">LOOKUP($E537,frequence!$A$2:$A$35,frequence!K$2:K$35)</f>
        <v>2.1388579511305732</v>
      </c>
      <c r="H537" s="5">
        <f ca="1">LOOKUP($E537,frequence!$A$2:$A$35,frequence!M$2:M$35)</f>
        <v>182.11948132765423</v>
      </c>
      <c r="I537" s="5">
        <v>1995</v>
      </c>
      <c r="J537" s="7">
        <f>LOOKUP(I537,CPI!A$69:A$103,CPI!O$69:O$103)</f>
        <v>1.4308136482939633</v>
      </c>
      <c r="K537" s="5">
        <v>2015</v>
      </c>
      <c r="L537" s="7">
        <f t="shared" ca="1" si="398"/>
        <v>1</v>
      </c>
      <c r="M537" s="7">
        <f t="shared" si="425"/>
        <v>0.55454545454545456</v>
      </c>
      <c r="N537" s="14">
        <f t="shared" si="421"/>
        <v>9.0909090909090912E-2</v>
      </c>
      <c r="O537" s="1">
        <f ca="1">P537*J537*(1+Growth!G$6)^(2010-K537)</f>
        <v>38.936011947311336</v>
      </c>
      <c r="P537" s="11">
        <f>44/12*8</f>
        <v>29.333333333333332</v>
      </c>
      <c r="Q537" s="2">
        <f t="shared" si="418"/>
        <v>29.333333333333332</v>
      </c>
      <c r="R537" s="21">
        <f t="shared" ca="1" si="411"/>
        <v>1516.0130263611711</v>
      </c>
      <c r="X537" s="2">
        <f t="shared" si="419"/>
        <v>29.333333333333332</v>
      </c>
      <c r="AC537" s="1">
        <f t="shared" si="383"/>
        <v>6.1</v>
      </c>
      <c r="AD537" s="5">
        <v>0</v>
      </c>
      <c r="AE537" s="5">
        <v>0</v>
      </c>
      <c r="AF537" s="5">
        <v>1</v>
      </c>
      <c r="AG537" s="5">
        <v>1</v>
      </c>
      <c r="AH537" s="5">
        <v>1</v>
      </c>
      <c r="AI537" s="3">
        <f t="shared" si="409"/>
        <v>3.1</v>
      </c>
      <c r="AJ537" s="5">
        <f t="shared" si="424"/>
        <v>0</v>
      </c>
      <c r="AK537" s="5">
        <f t="shared" si="399"/>
        <v>0</v>
      </c>
      <c r="AL537" s="5">
        <f t="shared" si="400"/>
        <v>0</v>
      </c>
      <c r="AM537" s="5">
        <f t="shared" si="339"/>
        <v>1</v>
      </c>
      <c r="AN537" s="5">
        <f t="shared" si="401"/>
        <v>0</v>
      </c>
      <c r="AO537" s="5">
        <f t="shared" si="340"/>
        <v>0</v>
      </c>
      <c r="AP537" s="11" t="s">
        <v>42</v>
      </c>
      <c r="AQ537" s="1">
        <v>1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1</v>
      </c>
      <c r="AY537" s="1">
        <f t="shared" si="384"/>
        <v>0</v>
      </c>
      <c r="AZ537" s="1">
        <f t="shared" si="385"/>
        <v>0</v>
      </c>
      <c r="BA537" s="1">
        <f t="shared" si="386"/>
        <v>0</v>
      </c>
      <c r="BB537" s="5">
        <v>0</v>
      </c>
      <c r="BC537" s="5">
        <v>0</v>
      </c>
      <c r="BD537" s="5">
        <v>1</v>
      </c>
      <c r="BE537" s="5">
        <f t="shared" si="387"/>
        <v>0</v>
      </c>
      <c r="BF537" s="5">
        <v>0</v>
      </c>
      <c r="BG537" s="5">
        <f t="shared" si="423"/>
        <v>0</v>
      </c>
      <c r="BH537" s="5">
        <f t="shared" si="423"/>
        <v>0</v>
      </c>
      <c r="BI537" s="5">
        <f t="shared" si="423"/>
        <v>0</v>
      </c>
      <c r="BJ537" s="5">
        <f t="shared" si="423"/>
        <v>0</v>
      </c>
      <c r="BK537" s="5">
        <f t="shared" si="423"/>
        <v>0</v>
      </c>
      <c r="BL537" s="5">
        <f t="shared" si="423"/>
        <v>0</v>
      </c>
      <c r="BM537" s="5">
        <f t="shared" si="423"/>
        <v>0</v>
      </c>
      <c r="BN537" s="5">
        <f t="shared" si="423"/>
        <v>0</v>
      </c>
      <c r="BO537" s="5">
        <f t="shared" si="422"/>
        <v>0</v>
      </c>
      <c r="BP537" s="5">
        <f t="shared" si="422"/>
        <v>0</v>
      </c>
      <c r="BQ537" s="5">
        <f t="shared" si="422"/>
        <v>0</v>
      </c>
      <c r="BR537" s="5">
        <f t="shared" si="422"/>
        <v>0</v>
      </c>
      <c r="BS537" s="5">
        <f t="shared" si="422"/>
        <v>0</v>
      </c>
      <c r="BT537" s="5">
        <f t="shared" si="422"/>
        <v>0</v>
      </c>
      <c r="BU537" s="5">
        <f t="shared" si="422"/>
        <v>0</v>
      </c>
      <c r="BV537" s="5">
        <f t="shared" si="422"/>
        <v>0</v>
      </c>
      <c r="BW537" s="5">
        <f t="shared" si="422"/>
        <v>0</v>
      </c>
      <c r="BX537" s="5">
        <f t="shared" si="422"/>
        <v>0</v>
      </c>
      <c r="BY537" s="5">
        <f t="shared" si="422"/>
        <v>0</v>
      </c>
      <c r="BZ537" s="5">
        <f t="shared" si="422"/>
        <v>0</v>
      </c>
      <c r="CA537" s="5">
        <f t="shared" si="422"/>
        <v>1</v>
      </c>
      <c r="CB537" s="5">
        <f t="shared" si="420"/>
        <v>0</v>
      </c>
      <c r="CC537" s="5">
        <f t="shared" si="420"/>
        <v>0</v>
      </c>
      <c r="CD537" s="5">
        <f t="shared" si="420"/>
        <v>0</v>
      </c>
      <c r="CE537" s="5">
        <f t="shared" si="420"/>
        <v>0</v>
      </c>
    </row>
    <row r="538" spans="1:83" x14ac:dyDescent="0.2">
      <c r="A538" s="11"/>
      <c r="B538" s="11"/>
      <c r="C538" s="1">
        <f>Growth!D543</f>
        <v>0</v>
      </c>
      <c r="D538" s="5" t="b">
        <f t="shared" si="410"/>
        <v>0</v>
      </c>
      <c r="E538" s="5">
        <v>2011</v>
      </c>
      <c r="F538" s="5">
        <f ca="1">LOOKUP($E538,frequence!$A$2:$A$35,frequence!L$2:L$35)</f>
        <v>33.053542446246631</v>
      </c>
      <c r="G538" s="5">
        <f ca="1">LOOKUP($E538,frequence!$A$2:$A$35,frequence!K$2:K$35)</f>
        <v>2.1388579511305732</v>
      </c>
      <c r="H538" s="5">
        <f ca="1">LOOKUP($E538,frequence!$A$2:$A$35,frequence!M$2:M$35)</f>
        <v>182.11948132765423</v>
      </c>
      <c r="I538" s="5">
        <v>1995</v>
      </c>
      <c r="J538" s="7">
        <f>LOOKUP(I538,CPI!A$69:A$103,CPI!O$69:O$103)</f>
        <v>1.4308136482939633</v>
      </c>
      <c r="K538" s="5">
        <v>2015</v>
      </c>
      <c r="L538" s="7">
        <f t="shared" ca="1" si="398"/>
        <v>1</v>
      </c>
      <c r="M538" s="7">
        <f t="shared" si="425"/>
        <v>0.55454545454545456</v>
      </c>
      <c r="N538" s="14">
        <f t="shared" si="421"/>
        <v>9.0909090909090912E-2</v>
      </c>
      <c r="O538" s="1">
        <f ca="1">P538*J538*(1+Growth!G$6)^(2010-K538)</f>
        <v>58.404017920967</v>
      </c>
      <c r="P538" s="11">
        <f>44/12*12</f>
        <v>44</v>
      </c>
      <c r="Q538" s="2">
        <f t="shared" si="418"/>
        <v>44</v>
      </c>
      <c r="R538" s="21">
        <f t="shared" ca="1" si="411"/>
        <v>3411.0293093126347</v>
      </c>
      <c r="X538" s="2">
        <f t="shared" si="419"/>
        <v>44</v>
      </c>
      <c r="AC538" s="1">
        <f t="shared" si="383"/>
        <v>6.1</v>
      </c>
      <c r="AD538" s="5">
        <v>0</v>
      </c>
      <c r="AE538" s="5">
        <v>0</v>
      </c>
      <c r="AF538" s="5">
        <v>1</v>
      </c>
      <c r="AG538" s="5">
        <v>1</v>
      </c>
      <c r="AH538" s="5">
        <v>1</v>
      </c>
      <c r="AI538" s="3">
        <f t="shared" si="409"/>
        <v>3.1</v>
      </c>
      <c r="AJ538" s="5">
        <f t="shared" si="424"/>
        <v>0</v>
      </c>
      <c r="AK538" s="5">
        <f t="shared" si="399"/>
        <v>0</v>
      </c>
      <c r="AL538" s="5">
        <f t="shared" si="400"/>
        <v>0</v>
      </c>
      <c r="AM538" s="5">
        <f t="shared" ref="AM538:AM601" si="426">IF($AQ538=1,1,0)</f>
        <v>1</v>
      </c>
      <c r="AN538" s="5">
        <f t="shared" si="401"/>
        <v>0</v>
      </c>
      <c r="AO538" s="5">
        <f t="shared" ref="AO538:AO601" si="427">IF($AQ538=0,1,0)</f>
        <v>0</v>
      </c>
      <c r="AP538" s="11" t="s">
        <v>42</v>
      </c>
      <c r="AQ538" s="1">
        <v>1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1</v>
      </c>
      <c r="AY538" s="1">
        <f t="shared" si="384"/>
        <v>0</v>
      </c>
      <c r="AZ538" s="1">
        <f t="shared" si="385"/>
        <v>0</v>
      </c>
      <c r="BA538" s="1">
        <f t="shared" si="386"/>
        <v>0</v>
      </c>
      <c r="BB538" s="5">
        <v>0</v>
      </c>
      <c r="BC538" s="5">
        <v>0</v>
      </c>
      <c r="BD538" s="5">
        <v>1</v>
      </c>
      <c r="BE538" s="5">
        <f t="shared" si="387"/>
        <v>0</v>
      </c>
      <c r="BF538" s="5">
        <v>0</v>
      </c>
      <c r="BG538" s="5">
        <f t="shared" si="423"/>
        <v>0</v>
      </c>
      <c r="BH538" s="5">
        <f t="shared" si="423"/>
        <v>0</v>
      </c>
      <c r="BI538" s="5">
        <f t="shared" si="423"/>
        <v>0</v>
      </c>
      <c r="BJ538" s="5">
        <f t="shared" si="423"/>
        <v>0</v>
      </c>
      <c r="BK538" s="5">
        <f t="shared" si="423"/>
        <v>0</v>
      </c>
      <c r="BL538" s="5">
        <f t="shared" si="423"/>
        <v>0</v>
      </c>
      <c r="BM538" s="5">
        <f t="shared" si="423"/>
        <v>0</v>
      </c>
      <c r="BN538" s="5">
        <f t="shared" si="423"/>
        <v>0</v>
      </c>
      <c r="BO538" s="5">
        <f t="shared" si="422"/>
        <v>0</v>
      </c>
      <c r="BP538" s="5">
        <f t="shared" si="422"/>
        <v>0</v>
      </c>
      <c r="BQ538" s="5">
        <f t="shared" si="422"/>
        <v>0</v>
      </c>
      <c r="BR538" s="5">
        <f t="shared" si="422"/>
        <v>0</v>
      </c>
      <c r="BS538" s="5">
        <f t="shared" si="422"/>
        <v>0</v>
      </c>
      <c r="BT538" s="5">
        <f t="shared" si="422"/>
        <v>0</v>
      </c>
      <c r="BU538" s="5">
        <f t="shared" si="422"/>
        <v>0</v>
      </c>
      <c r="BV538" s="5">
        <f t="shared" si="422"/>
        <v>0</v>
      </c>
      <c r="BW538" s="5">
        <f t="shared" si="422"/>
        <v>0</v>
      </c>
      <c r="BX538" s="5">
        <f t="shared" si="422"/>
        <v>0</v>
      </c>
      <c r="BY538" s="5">
        <f t="shared" si="422"/>
        <v>0</v>
      </c>
      <c r="BZ538" s="5">
        <f t="shared" si="422"/>
        <v>0</v>
      </c>
      <c r="CA538" s="5">
        <f t="shared" si="422"/>
        <v>1</v>
      </c>
      <c r="CB538" s="5">
        <f t="shared" si="420"/>
        <v>0</v>
      </c>
      <c r="CC538" s="5">
        <f t="shared" si="420"/>
        <v>0</v>
      </c>
      <c r="CD538" s="5">
        <f t="shared" si="420"/>
        <v>0</v>
      </c>
      <c r="CE538" s="5">
        <f t="shared" si="420"/>
        <v>0</v>
      </c>
    </row>
    <row r="539" spans="1:83" x14ac:dyDescent="0.2">
      <c r="A539" s="11"/>
      <c r="B539" s="11"/>
      <c r="C539" s="1">
        <f>Growth!D544</f>
        <v>0</v>
      </c>
      <c r="D539" s="5" t="b">
        <f t="shared" si="410"/>
        <v>0</v>
      </c>
      <c r="E539" s="5">
        <v>2011</v>
      </c>
      <c r="F539" s="5">
        <f ca="1">LOOKUP($E539,frequence!$A$2:$A$35,frequence!L$2:L$35)</f>
        <v>33.053542446246631</v>
      </c>
      <c r="G539" s="5">
        <f ca="1">LOOKUP($E539,frequence!$A$2:$A$35,frequence!K$2:K$35)</f>
        <v>2.1388579511305732</v>
      </c>
      <c r="H539" s="5">
        <f ca="1">LOOKUP($E539,frequence!$A$2:$A$35,frequence!M$2:M$35)</f>
        <v>182.11948132765423</v>
      </c>
      <c r="I539" s="5">
        <v>1995</v>
      </c>
      <c r="J539" s="7">
        <f>LOOKUP(I539,CPI!A$69:A$103,CPI!O$69:O$103)</f>
        <v>1.4308136482939633</v>
      </c>
      <c r="K539" s="5">
        <v>2015</v>
      </c>
      <c r="L539" s="7">
        <f t="shared" ca="1" si="398"/>
        <v>1</v>
      </c>
      <c r="M539" s="7">
        <f t="shared" si="425"/>
        <v>0.55454545454545456</v>
      </c>
      <c r="N539" s="14">
        <f t="shared" si="421"/>
        <v>9.0909090909090912E-2</v>
      </c>
      <c r="O539" s="1">
        <f ca="1">P539*J539*(1+Growth!G$6)^(2010-K539)</f>
        <v>38.936011947311336</v>
      </c>
      <c r="P539" s="11">
        <f t="shared" ref="P539" si="428">44/12*8</f>
        <v>29.333333333333332</v>
      </c>
      <c r="Q539" s="2">
        <f t="shared" si="418"/>
        <v>29.333333333333332</v>
      </c>
      <c r="R539" s="21">
        <f t="shared" ca="1" si="411"/>
        <v>1516.0130263611711</v>
      </c>
      <c r="X539" s="2">
        <f t="shared" si="419"/>
        <v>29.333333333333332</v>
      </c>
      <c r="AC539" s="1">
        <f t="shared" si="383"/>
        <v>6.1</v>
      </c>
      <c r="AD539" s="5">
        <v>0</v>
      </c>
      <c r="AE539" s="5">
        <v>0</v>
      </c>
      <c r="AF539" s="5">
        <v>1</v>
      </c>
      <c r="AG539" s="5">
        <v>1</v>
      </c>
      <c r="AH539" s="5">
        <v>1</v>
      </c>
      <c r="AI539" s="3">
        <f t="shared" si="409"/>
        <v>3.1</v>
      </c>
      <c r="AJ539" s="5">
        <f t="shared" si="424"/>
        <v>0</v>
      </c>
      <c r="AK539" s="5">
        <f t="shared" si="399"/>
        <v>0</v>
      </c>
      <c r="AL539" s="5">
        <f t="shared" si="400"/>
        <v>0</v>
      </c>
      <c r="AM539" s="5">
        <f t="shared" si="426"/>
        <v>1</v>
      </c>
      <c r="AN539" s="5">
        <f t="shared" si="401"/>
        <v>0</v>
      </c>
      <c r="AO539" s="5">
        <f t="shared" si="427"/>
        <v>0</v>
      </c>
      <c r="AP539" s="11" t="s">
        <v>42</v>
      </c>
      <c r="AQ539" s="1">
        <v>1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1</v>
      </c>
      <c r="AY539" s="1">
        <f t="shared" si="384"/>
        <v>0</v>
      </c>
      <c r="AZ539" s="1">
        <f t="shared" si="385"/>
        <v>0</v>
      </c>
      <c r="BA539" s="1">
        <f t="shared" si="386"/>
        <v>0</v>
      </c>
      <c r="BB539" s="5">
        <v>0</v>
      </c>
      <c r="BC539" s="5">
        <v>0</v>
      </c>
      <c r="BD539" s="5">
        <v>1</v>
      </c>
      <c r="BE539" s="5">
        <f t="shared" si="387"/>
        <v>0</v>
      </c>
      <c r="BF539" s="5">
        <v>0</v>
      </c>
      <c r="BG539" s="5">
        <f t="shared" si="423"/>
        <v>0</v>
      </c>
      <c r="BH539" s="5">
        <f t="shared" si="423"/>
        <v>0</v>
      </c>
      <c r="BI539" s="5">
        <f t="shared" si="423"/>
        <v>0</v>
      </c>
      <c r="BJ539" s="5">
        <f t="shared" si="423"/>
        <v>0</v>
      </c>
      <c r="BK539" s="5">
        <f t="shared" si="423"/>
        <v>0</v>
      </c>
      <c r="BL539" s="5">
        <f t="shared" si="423"/>
        <v>0</v>
      </c>
      <c r="BM539" s="5">
        <f t="shared" si="423"/>
        <v>0</v>
      </c>
      <c r="BN539" s="5">
        <f t="shared" si="423"/>
        <v>0</v>
      </c>
      <c r="BO539" s="5">
        <f t="shared" si="422"/>
        <v>0</v>
      </c>
      <c r="BP539" s="5">
        <f t="shared" si="422"/>
        <v>0</v>
      </c>
      <c r="BQ539" s="5">
        <f t="shared" si="422"/>
        <v>0</v>
      </c>
      <c r="BR539" s="5">
        <f t="shared" si="422"/>
        <v>0</v>
      </c>
      <c r="BS539" s="5">
        <f t="shared" si="422"/>
        <v>0</v>
      </c>
      <c r="BT539" s="5">
        <f t="shared" si="422"/>
        <v>0</v>
      </c>
      <c r="BU539" s="5">
        <f t="shared" si="422"/>
        <v>0</v>
      </c>
      <c r="BV539" s="5">
        <f t="shared" si="422"/>
        <v>0</v>
      </c>
      <c r="BW539" s="5">
        <f t="shared" si="422"/>
        <v>0</v>
      </c>
      <c r="BX539" s="5">
        <f t="shared" si="422"/>
        <v>0</v>
      </c>
      <c r="BY539" s="5">
        <f t="shared" si="422"/>
        <v>0</v>
      </c>
      <c r="BZ539" s="5">
        <f t="shared" si="422"/>
        <v>0</v>
      </c>
      <c r="CA539" s="5">
        <f t="shared" si="422"/>
        <v>1</v>
      </c>
      <c r="CB539" s="5">
        <f t="shared" si="420"/>
        <v>0</v>
      </c>
      <c r="CC539" s="5">
        <f t="shared" si="420"/>
        <v>0</v>
      </c>
      <c r="CD539" s="5">
        <f t="shared" si="420"/>
        <v>0</v>
      </c>
      <c r="CE539" s="5">
        <f t="shared" si="420"/>
        <v>0</v>
      </c>
    </row>
    <row r="540" spans="1:83" x14ac:dyDescent="0.2">
      <c r="A540" s="11" t="s">
        <v>65</v>
      </c>
      <c r="B540" s="11" t="s">
        <v>133</v>
      </c>
      <c r="C540" s="1">
        <f>Growth!D545</f>
        <v>0</v>
      </c>
      <c r="D540" s="5">
        <f t="shared" si="410"/>
        <v>2011</v>
      </c>
      <c r="E540" s="5">
        <v>2011</v>
      </c>
      <c r="F540" s="5">
        <f ca="1">LOOKUP($E540,frequence!$A$2:$A$35,frequence!L$2:L$35)</f>
        <v>33.053542446246631</v>
      </c>
      <c r="G540" s="5">
        <f ca="1">LOOKUP($E540,frequence!$A$2:$A$35,frequence!K$2:K$35)</f>
        <v>2.1388579511305732</v>
      </c>
      <c r="H540" s="5">
        <f ca="1">LOOKUP($E540,frequence!$A$2:$A$35,frequence!M$2:M$35)</f>
        <v>182.11948132765423</v>
      </c>
      <c r="I540" s="5">
        <v>1995</v>
      </c>
      <c r="J540" s="7">
        <f>LOOKUP(I540,CPI!A$69:A$103,CPI!O$69:O$103)</f>
        <v>1.4308136482939633</v>
      </c>
      <c r="K540" s="5">
        <v>2015</v>
      </c>
      <c r="L540" s="7">
        <f t="shared" ca="1" si="398"/>
        <v>1</v>
      </c>
      <c r="M540" s="7">
        <f t="shared" si="425"/>
        <v>0.6777777777777777</v>
      </c>
      <c r="N540" s="14">
        <f>1/9</f>
        <v>0.1111111111111111</v>
      </c>
      <c r="O540" s="1">
        <f ca="1">P540*J540*(1+Growth!G$6)^(2010-K540)</f>
        <v>23.866005504976972</v>
      </c>
      <c r="P540" s="11">
        <v>17.98</v>
      </c>
      <c r="Q540" s="2">
        <f t="shared" si="418"/>
        <v>17.98</v>
      </c>
      <c r="R540" s="21">
        <f t="shared" ca="1" si="411"/>
        <v>569.58621876359109</v>
      </c>
      <c r="X540" s="2">
        <f t="shared" si="419"/>
        <v>17.98</v>
      </c>
      <c r="AC540" s="1">
        <f t="shared" ref="AC540:AC548" si="429">SUM(AD540:AI540)</f>
        <v>6.1</v>
      </c>
      <c r="AD540" s="5">
        <v>0</v>
      </c>
      <c r="AE540" s="5">
        <v>0</v>
      </c>
      <c r="AF540" s="5">
        <v>1</v>
      </c>
      <c r="AG540" s="5">
        <v>1</v>
      </c>
      <c r="AH540" s="5">
        <v>1</v>
      </c>
      <c r="AI540" s="3">
        <f t="shared" si="409"/>
        <v>3.1</v>
      </c>
      <c r="AJ540" s="5">
        <f t="shared" si="424"/>
        <v>0</v>
      </c>
      <c r="AK540" s="5">
        <f t="shared" si="399"/>
        <v>0</v>
      </c>
      <c r="AL540" s="5">
        <f t="shared" si="400"/>
        <v>0</v>
      </c>
      <c r="AM540" s="5">
        <f t="shared" si="426"/>
        <v>0</v>
      </c>
      <c r="AN540" s="5">
        <f t="shared" si="401"/>
        <v>1</v>
      </c>
      <c r="AO540" s="5">
        <f t="shared" si="427"/>
        <v>0</v>
      </c>
      <c r="AP540" s="11" t="s">
        <v>42</v>
      </c>
      <c r="AQ540" s="1">
        <v>0.1</v>
      </c>
      <c r="AR540" s="5">
        <v>0</v>
      </c>
      <c r="AS540" s="5">
        <v>0</v>
      </c>
      <c r="AT540" s="5">
        <v>1</v>
      </c>
      <c r="AU540" s="5">
        <v>0</v>
      </c>
      <c r="AV540" s="5">
        <v>0</v>
      </c>
      <c r="AW540" s="5">
        <v>0</v>
      </c>
      <c r="AX540" s="5">
        <v>1</v>
      </c>
      <c r="AY540" s="1">
        <f t="shared" ref="AY540:AY548" si="430">AJ540*$AD540*(1-$AV540)*(1-$AR540)</f>
        <v>0</v>
      </c>
      <c r="AZ540" s="1">
        <f t="shared" ref="AZ540:AZ548" si="431">AM540*$AD540*(1-$AV540)*(1-$AR540)</f>
        <v>0</v>
      </c>
      <c r="BA540" s="1">
        <f t="shared" ref="BA540:BA548" si="432">AO540*$AD540*(1-$AV540)*(1-$AR540)</f>
        <v>0</v>
      </c>
      <c r="BB540" s="5">
        <v>0</v>
      </c>
      <c r="BC540" s="5">
        <v>0</v>
      </c>
      <c r="BD540" s="5">
        <v>1</v>
      </c>
      <c r="BE540" s="5">
        <f t="shared" ref="BE540:BE548" si="433">1-SUM(BB540:BD540)</f>
        <v>0</v>
      </c>
      <c r="BF540" s="5">
        <v>0</v>
      </c>
      <c r="BG540" s="5">
        <f t="shared" si="423"/>
        <v>0</v>
      </c>
      <c r="BH540" s="5">
        <f t="shared" si="423"/>
        <v>0</v>
      </c>
      <c r="BI540" s="5">
        <f t="shared" si="423"/>
        <v>0</v>
      </c>
      <c r="BJ540" s="5">
        <f t="shared" si="423"/>
        <v>0</v>
      </c>
      <c r="BK540" s="5">
        <f t="shared" si="423"/>
        <v>0</v>
      </c>
      <c r="BL540" s="5">
        <f t="shared" si="423"/>
        <v>0</v>
      </c>
      <c r="BM540" s="5">
        <f t="shared" si="423"/>
        <v>0</v>
      </c>
      <c r="BN540" s="5">
        <f t="shared" si="423"/>
        <v>0</v>
      </c>
      <c r="BO540" s="5">
        <f t="shared" si="422"/>
        <v>0</v>
      </c>
      <c r="BP540" s="5">
        <f t="shared" si="422"/>
        <v>0</v>
      </c>
      <c r="BQ540" s="5">
        <f t="shared" si="422"/>
        <v>0</v>
      </c>
      <c r="BR540" s="5">
        <f t="shared" si="422"/>
        <v>0</v>
      </c>
      <c r="BS540" s="5">
        <f t="shared" si="422"/>
        <v>0</v>
      </c>
      <c r="BT540" s="5">
        <f t="shared" si="422"/>
        <v>0</v>
      </c>
      <c r="BU540" s="5">
        <f t="shared" si="422"/>
        <v>0</v>
      </c>
      <c r="BV540" s="5">
        <f t="shared" si="422"/>
        <v>0</v>
      </c>
      <c r="BW540" s="5">
        <f t="shared" si="422"/>
        <v>0</v>
      </c>
      <c r="BX540" s="5">
        <f t="shared" si="422"/>
        <v>0</v>
      </c>
      <c r="BY540" s="5">
        <f t="shared" si="422"/>
        <v>0</v>
      </c>
      <c r="BZ540" s="5">
        <f t="shared" si="422"/>
        <v>0</v>
      </c>
      <c r="CA540" s="5">
        <f t="shared" si="422"/>
        <v>1</v>
      </c>
      <c r="CB540" s="5">
        <f t="shared" si="420"/>
        <v>0</v>
      </c>
      <c r="CC540" s="5">
        <f t="shared" si="420"/>
        <v>0</v>
      </c>
      <c r="CD540" s="5">
        <f t="shared" si="420"/>
        <v>0</v>
      </c>
      <c r="CE540" s="5">
        <f t="shared" si="420"/>
        <v>0</v>
      </c>
    </row>
    <row r="541" spans="1:83" x14ac:dyDescent="0.2">
      <c r="A541" s="11"/>
      <c r="B541" s="11"/>
      <c r="C541" s="1">
        <f>Growth!D546</f>
        <v>0</v>
      </c>
      <c r="D541" s="5" t="b">
        <f t="shared" si="410"/>
        <v>0</v>
      </c>
      <c r="E541" s="5">
        <v>2011</v>
      </c>
      <c r="F541" s="5">
        <f ca="1">LOOKUP($E541,frequence!$A$2:$A$35,frequence!L$2:L$35)</f>
        <v>33.053542446246631</v>
      </c>
      <c r="G541" s="5">
        <f ca="1">LOOKUP($E541,frequence!$A$2:$A$35,frequence!K$2:K$35)</f>
        <v>2.1388579511305732</v>
      </c>
      <c r="H541" s="5">
        <f ca="1">LOOKUP($E541,frequence!$A$2:$A$35,frequence!M$2:M$35)</f>
        <v>182.11948132765423</v>
      </c>
      <c r="I541" s="5">
        <v>1995</v>
      </c>
      <c r="J541" s="7">
        <f>LOOKUP(I541,CPI!A$69:A$103,CPI!O$69:O$103)</f>
        <v>1.4308136482939633</v>
      </c>
      <c r="K541" s="5">
        <v>2015</v>
      </c>
      <c r="L541" s="7">
        <f t="shared" ca="1" si="398"/>
        <v>1</v>
      </c>
      <c r="M541" s="7">
        <f t="shared" si="425"/>
        <v>0.6777777777777777</v>
      </c>
      <c r="N541" s="14">
        <f t="shared" ref="N541:N548" si="434">1/9</f>
        <v>0.1111111111111111</v>
      </c>
      <c r="O541" s="1">
        <f ca="1">P541*J541*(1+Growth!G$6)^(2010-K541)</f>
        <v>378.13946875738816</v>
      </c>
      <c r="P541" s="2">
        <f t="shared" ref="P541:P548" si="435">Q541</f>
        <v>284.88</v>
      </c>
      <c r="Q541" s="3">
        <v>284.88</v>
      </c>
      <c r="R541" s="21">
        <f t="shared" ca="1" si="411"/>
        <v>142989.45783211975</v>
      </c>
      <c r="X541" s="2">
        <f t="shared" si="419"/>
        <v>284.88</v>
      </c>
      <c r="AC541" s="1">
        <f t="shared" si="429"/>
        <v>6.1</v>
      </c>
      <c r="AD541" s="5">
        <v>0</v>
      </c>
      <c r="AE541" s="5">
        <v>0</v>
      </c>
      <c r="AF541" s="5">
        <v>1</v>
      </c>
      <c r="AG541" s="5">
        <v>1</v>
      </c>
      <c r="AH541" s="5">
        <v>1</v>
      </c>
      <c r="AI541" s="3">
        <f t="shared" si="409"/>
        <v>3.1</v>
      </c>
      <c r="AJ541" s="5">
        <f t="shared" si="424"/>
        <v>0</v>
      </c>
      <c r="AK541" s="5">
        <f t="shared" si="399"/>
        <v>0</v>
      </c>
      <c r="AL541" s="5">
        <f t="shared" si="400"/>
        <v>0</v>
      </c>
      <c r="AM541" s="5">
        <f t="shared" si="426"/>
        <v>0</v>
      </c>
      <c r="AN541" s="5">
        <f t="shared" si="401"/>
        <v>1</v>
      </c>
      <c r="AO541" s="5">
        <f t="shared" si="427"/>
        <v>0</v>
      </c>
      <c r="AP541" s="11" t="s">
        <v>42</v>
      </c>
      <c r="AQ541" s="1">
        <v>0.1</v>
      </c>
      <c r="AR541" s="5">
        <v>0</v>
      </c>
      <c r="AS541" s="5">
        <v>0</v>
      </c>
      <c r="AT541" s="5">
        <v>1</v>
      </c>
      <c r="AU541" s="5">
        <v>0</v>
      </c>
      <c r="AV541" s="5">
        <v>0</v>
      </c>
      <c r="AW541" s="5">
        <v>0</v>
      </c>
      <c r="AX541" s="5">
        <v>1</v>
      </c>
      <c r="AY541" s="1">
        <f t="shared" si="430"/>
        <v>0</v>
      </c>
      <c r="AZ541" s="1">
        <f t="shared" si="431"/>
        <v>0</v>
      </c>
      <c r="BA541" s="1">
        <f t="shared" si="432"/>
        <v>0</v>
      </c>
      <c r="BB541" s="5">
        <v>0</v>
      </c>
      <c r="BC541" s="5">
        <v>0</v>
      </c>
      <c r="BD541" s="5">
        <v>1</v>
      </c>
      <c r="BE541" s="5">
        <f t="shared" si="433"/>
        <v>0</v>
      </c>
      <c r="BF541" s="5">
        <v>0</v>
      </c>
      <c r="BG541" s="5">
        <f t="shared" si="423"/>
        <v>0</v>
      </c>
      <c r="BH541" s="5">
        <f t="shared" si="423"/>
        <v>0</v>
      </c>
      <c r="BI541" s="5">
        <f t="shared" si="423"/>
        <v>0</v>
      </c>
      <c r="BJ541" s="5">
        <f t="shared" si="423"/>
        <v>0</v>
      </c>
      <c r="BK541" s="5">
        <f t="shared" si="423"/>
        <v>0</v>
      </c>
      <c r="BL541" s="5">
        <f t="shared" si="423"/>
        <v>0</v>
      </c>
      <c r="BM541" s="5">
        <f t="shared" si="423"/>
        <v>0</v>
      </c>
      <c r="BN541" s="5">
        <f t="shared" si="423"/>
        <v>0</v>
      </c>
      <c r="BO541" s="5">
        <f t="shared" si="422"/>
        <v>0</v>
      </c>
      <c r="BP541" s="5">
        <f t="shared" si="422"/>
        <v>0</v>
      </c>
      <c r="BQ541" s="5">
        <f t="shared" si="422"/>
        <v>0</v>
      </c>
      <c r="BR541" s="5">
        <f t="shared" si="422"/>
        <v>0</v>
      </c>
      <c r="BS541" s="5">
        <f t="shared" si="422"/>
        <v>0</v>
      </c>
      <c r="BT541" s="5">
        <f t="shared" si="422"/>
        <v>0</v>
      </c>
      <c r="BU541" s="5">
        <f t="shared" si="422"/>
        <v>0</v>
      </c>
      <c r="BV541" s="5">
        <f t="shared" si="422"/>
        <v>0</v>
      </c>
      <c r="BW541" s="5">
        <f t="shared" si="422"/>
        <v>0</v>
      </c>
      <c r="BX541" s="5">
        <f t="shared" si="422"/>
        <v>0</v>
      </c>
      <c r="BY541" s="5">
        <f t="shared" si="422"/>
        <v>0</v>
      </c>
      <c r="BZ541" s="5">
        <f t="shared" si="422"/>
        <v>0</v>
      </c>
      <c r="CA541" s="5">
        <f t="shared" si="422"/>
        <v>1</v>
      </c>
      <c r="CB541" s="5">
        <f t="shared" si="420"/>
        <v>0</v>
      </c>
      <c r="CC541" s="5">
        <f t="shared" si="420"/>
        <v>0</v>
      </c>
      <c r="CD541" s="5">
        <f t="shared" si="420"/>
        <v>0</v>
      </c>
      <c r="CE541" s="5">
        <f t="shared" si="420"/>
        <v>0</v>
      </c>
    </row>
    <row r="542" spans="1:83" x14ac:dyDescent="0.2">
      <c r="A542" s="11"/>
      <c r="B542" s="11"/>
      <c r="C542" s="1">
        <f>Growth!D547</f>
        <v>0</v>
      </c>
      <c r="D542" s="5" t="b">
        <f t="shared" si="410"/>
        <v>0</v>
      </c>
      <c r="E542" s="5">
        <v>2011</v>
      </c>
      <c r="F542" s="5">
        <f ca="1">LOOKUP($E542,frequence!$A$2:$A$35,frequence!L$2:L$35)</f>
        <v>33.053542446246631</v>
      </c>
      <c r="G542" s="5">
        <f ca="1">LOOKUP($E542,frequence!$A$2:$A$35,frequence!K$2:K$35)</f>
        <v>2.1388579511305732</v>
      </c>
      <c r="H542" s="5">
        <f ca="1">LOOKUP($E542,frequence!$A$2:$A$35,frequence!M$2:M$35)</f>
        <v>182.11948132765423</v>
      </c>
      <c r="I542" s="5">
        <v>1995</v>
      </c>
      <c r="J542" s="7">
        <f>LOOKUP(I542,CPI!A$69:A$103,CPI!O$69:O$103)</f>
        <v>1.4308136482939633</v>
      </c>
      <c r="K542" s="5">
        <v>2015</v>
      </c>
      <c r="L542" s="7">
        <f t="shared" ca="1" si="398"/>
        <v>1</v>
      </c>
      <c r="M542" s="7">
        <f t="shared" si="425"/>
        <v>0.6777777777777777</v>
      </c>
      <c r="N542" s="14">
        <f t="shared" si="434"/>
        <v>0.1111111111111111</v>
      </c>
      <c r="O542" s="1">
        <f ca="1">P542*J542*(1+Growth!G$6)^(2010-K542)</f>
        <v>151.00093360657286</v>
      </c>
      <c r="P542" s="2">
        <f t="shared" si="435"/>
        <v>113.76</v>
      </c>
      <c r="Q542" s="3">
        <v>113.76</v>
      </c>
      <c r="R542" s="21">
        <f t="shared" ca="1" si="411"/>
        <v>22801.281950056626</v>
      </c>
      <c r="X542" s="2">
        <f t="shared" si="419"/>
        <v>113.76</v>
      </c>
      <c r="AC542" s="1">
        <f t="shared" si="429"/>
        <v>6.1</v>
      </c>
      <c r="AD542" s="5">
        <v>0</v>
      </c>
      <c r="AE542" s="5">
        <v>0</v>
      </c>
      <c r="AF542" s="5">
        <v>1</v>
      </c>
      <c r="AG542" s="5">
        <v>1</v>
      </c>
      <c r="AH542" s="5">
        <v>1</v>
      </c>
      <c r="AI542" s="3">
        <f t="shared" si="409"/>
        <v>3.1</v>
      </c>
      <c r="AJ542" s="5">
        <f t="shared" si="424"/>
        <v>0</v>
      </c>
      <c r="AK542" s="5">
        <f t="shared" si="399"/>
        <v>0</v>
      </c>
      <c r="AL542" s="5">
        <f t="shared" si="400"/>
        <v>0</v>
      </c>
      <c r="AM542" s="5">
        <f t="shared" si="426"/>
        <v>0</v>
      </c>
      <c r="AN542" s="5">
        <f t="shared" si="401"/>
        <v>1</v>
      </c>
      <c r="AO542" s="5">
        <f t="shared" si="427"/>
        <v>0</v>
      </c>
      <c r="AP542" s="11" t="s">
        <v>42</v>
      </c>
      <c r="AQ542" s="1">
        <v>0.1</v>
      </c>
      <c r="AR542" s="5">
        <v>0</v>
      </c>
      <c r="AS542" s="5">
        <v>0</v>
      </c>
      <c r="AT542" s="5">
        <v>1</v>
      </c>
      <c r="AU542" s="5">
        <v>0</v>
      </c>
      <c r="AV542" s="5">
        <v>0</v>
      </c>
      <c r="AW542" s="5">
        <v>0</v>
      </c>
      <c r="AX542" s="5">
        <v>1</v>
      </c>
      <c r="AY542" s="1">
        <f t="shared" si="430"/>
        <v>0</v>
      </c>
      <c r="AZ542" s="1">
        <f t="shared" si="431"/>
        <v>0</v>
      </c>
      <c r="BA542" s="1">
        <f t="shared" si="432"/>
        <v>0</v>
      </c>
      <c r="BB542" s="5">
        <v>0</v>
      </c>
      <c r="BC542" s="5">
        <v>0</v>
      </c>
      <c r="BD542" s="5">
        <v>1</v>
      </c>
      <c r="BE542" s="5">
        <f t="shared" si="433"/>
        <v>0</v>
      </c>
      <c r="BF542" s="5">
        <v>0</v>
      </c>
      <c r="BG542" s="5">
        <f t="shared" si="423"/>
        <v>0</v>
      </c>
      <c r="BH542" s="5">
        <f t="shared" si="423"/>
        <v>0</v>
      </c>
      <c r="BI542" s="5">
        <f t="shared" si="423"/>
        <v>0</v>
      </c>
      <c r="BJ542" s="5">
        <f t="shared" si="423"/>
        <v>0</v>
      </c>
      <c r="BK542" s="5">
        <f t="shared" si="423"/>
        <v>0</v>
      </c>
      <c r="BL542" s="5">
        <f t="shared" si="423"/>
        <v>0</v>
      </c>
      <c r="BM542" s="5">
        <f t="shared" si="423"/>
        <v>0</v>
      </c>
      <c r="BN542" s="5">
        <f t="shared" si="423"/>
        <v>0</v>
      </c>
      <c r="BO542" s="5">
        <f t="shared" si="422"/>
        <v>0</v>
      </c>
      <c r="BP542" s="5">
        <f t="shared" si="422"/>
        <v>0</v>
      </c>
      <c r="BQ542" s="5">
        <f t="shared" si="422"/>
        <v>0</v>
      </c>
      <c r="BR542" s="5">
        <f t="shared" si="422"/>
        <v>0</v>
      </c>
      <c r="BS542" s="5">
        <f t="shared" si="422"/>
        <v>0</v>
      </c>
      <c r="BT542" s="5">
        <f t="shared" si="422"/>
        <v>0</v>
      </c>
      <c r="BU542" s="5">
        <f t="shared" si="422"/>
        <v>0</v>
      </c>
      <c r="BV542" s="5">
        <f t="shared" si="422"/>
        <v>0</v>
      </c>
      <c r="BW542" s="5">
        <f t="shared" si="422"/>
        <v>0</v>
      </c>
      <c r="BX542" s="5">
        <f t="shared" si="422"/>
        <v>0</v>
      </c>
      <c r="BY542" s="5">
        <f t="shared" si="422"/>
        <v>0</v>
      </c>
      <c r="BZ542" s="5">
        <f t="shared" si="422"/>
        <v>0</v>
      </c>
      <c r="CA542" s="5">
        <f t="shared" si="422"/>
        <v>1</v>
      </c>
      <c r="CB542" s="5">
        <f t="shared" si="420"/>
        <v>0</v>
      </c>
      <c r="CC542" s="5">
        <f t="shared" si="420"/>
        <v>0</v>
      </c>
      <c r="CD542" s="5">
        <f t="shared" si="420"/>
        <v>0</v>
      </c>
      <c r="CE542" s="5">
        <f t="shared" si="420"/>
        <v>0</v>
      </c>
    </row>
    <row r="543" spans="1:83" x14ac:dyDescent="0.2">
      <c r="A543" s="11"/>
      <c r="B543" s="11"/>
      <c r="C543" s="1">
        <f>Growth!D548</f>
        <v>0</v>
      </c>
      <c r="D543" s="5" t="b">
        <f t="shared" si="410"/>
        <v>0</v>
      </c>
      <c r="E543" s="5">
        <v>2011</v>
      </c>
      <c r="F543" s="5">
        <f ca="1">LOOKUP($E543,frequence!$A$2:$A$35,frequence!L$2:L$35)</f>
        <v>33.053542446246631</v>
      </c>
      <c r="G543" s="5">
        <f ca="1">LOOKUP($E543,frequence!$A$2:$A$35,frequence!K$2:K$35)</f>
        <v>2.1388579511305732</v>
      </c>
      <c r="H543" s="5">
        <f ca="1">LOOKUP($E543,frequence!$A$2:$A$35,frequence!M$2:M$35)</f>
        <v>182.11948132765423</v>
      </c>
      <c r="I543" s="5">
        <v>1995</v>
      </c>
      <c r="J543" s="7">
        <f>LOOKUP(I543,CPI!A$69:A$103,CPI!O$69:O$103)</f>
        <v>1.4308136482939633</v>
      </c>
      <c r="K543" s="5">
        <v>2015</v>
      </c>
      <c r="L543" s="7">
        <f t="shared" ca="1" si="398"/>
        <v>1</v>
      </c>
      <c r="M543" s="7">
        <f t="shared" si="425"/>
        <v>0.6777777777777777</v>
      </c>
      <c r="N543" s="14">
        <f t="shared" si="434"/>
        <v>0.1111111111111111</v>
      </c>
      <c r="O543" s="1">
        <f ca="1">P543*J543*(1+Growth!G$6)^(2010-K543)</f>
        <v>222.78478108761595</v>
      </c>
      <c r="P543" s="2">
        <f t="shared" si="435"/>
        <v>167.84</v>
      </c>
      <c r="Q543" s="3">
        <v>167.84</v>
      </c>
      <c r="R543" s="21">
        <f t="shared" ca="1" si="411"/>
        <v>49633.058684256961</v>
      </c>
      <c r="X543" s="2">
        <f t="shared" si="419"/>
        <v>167.84</v>
      </c>
      <c r="AC543" s="1">
        <f t="shared" si="429"/>
        <v>6.1</v>
      </c>
      <c r="AD543" s="5">
        <v>0</v>
      </c>
      <c r="AE543" s="5">
        <v>0</v>
      </c>
      <c r="AF543" s="5">
        <v>1</v>
      </c>
      <c r="AG543" s="5">
        <v>1</v>
      </c>
      <c r="AH543" s="5">
        <v>1</v>
      </c>
      <c r="AI543" s="3">
        <f t="shared" si="409"/>
        <v>3.1</v>
      </c>
      <c r="AJ543" s="5">
        <f t="shared" si="424"/>
        <v>0</v>
      </c>
      <c r="AK543" s="5">
        <f t="shared" si="399"/>
        <v>0</v>
      </c>
      <c r="AL543" s="5">
        <f t="shared" si="400"/>
        <v>0</v>
      </c>
      <c r="AM543" s="5">
        <f t="shared" si="426"/>
        <v>1</v>
      </c>
      <c r="AN543" s="5">
        <f t="shared" si="401"/>
        <v>0</v>
      </c>
      <c r="AO543" s="5">
        <f t="shared" si="427"/>
        <v>0</v>
      </c>
      <c r="AP543" s="11" t="s">
        <v>42</v>
      </c>
      <c r="AQ543" s="1">
        <v>1</v>
      </c>
      <c r="AR543" s="5">
        <v>0</v>
      </c>
      <c r="AS543" s="5">
        <v>0</v>
      </c>
      <c r="AT543" s="5">
        <v>1</v>
      </c>
      <c r="AU543" s="5">
        <v>0</v>
      </c>
      <c r="AV543" s="5">
        <v>0</v>
      </c>
      <c r="AW543" s="5">
        <v>0</v>
      </c>
      <c r="AX543" s="5">
        <v>1</v>
      </c>
      <c r="AY543" s="1">
        <f t="shared" si="430"/>
        <v>0</v>
      </c>
      <c r="AZ543" s="1">
        <f t="shared" si="431"/>
        <v>0</v>
      </c>
      <c r="BA543" s="1">
        <f t="shared" si="432"/>
        <v>0</v>
      </c>
      <c r="BB543" s="5">
        <v>0</v>
      </c>
      <c r="BC543" s="5">
        <v>0</v>
      </c>
      <c r="BD543" s="5">
        <v>1</v>
      </c>
      <c r="BE543" s="5">
        <f t="shared" si="433"/>
        <v>0</v>
      </c>
      <c r="BF543" s="5">
        <v>0</v>
      </c>
      <c r="BG543" s="5">
        <f t="shared" si="423"/>
        <v>0</v>
      </c>
      <c r="BH543" s="5">
        <f t="shared" si="423"/>
        <v>0</v>
      </c>
      <c r="BI543" s="5">
        <f t="shared" si="423"/>
        <v>0</v>
      </c>
      <c r="BJ543" s="5">
        <f t="shared" si="423"/>
        <v>0</v>
      </c>
      <c r="BK543" s="5">
        <f t="shared" si="423"/>
        <v>0</v>
      </c>
      <c r="BL543" s="5">
        <f t="shared" si="423"/>
        <v>0</v>
      </c>
      <c r="BM543" s="5">
        <f t="shared" si="423"/>
        <v>0</v>
      </c>
      <c r="BN543" s="5">
        <f t="shared" si="423"/>
        <v>0</v>
      </c>
      <c r="BO543" s="5">
        <f t="shared" si="422"/>
        <v>0</v>
      </c>
      <c r="BP543" s="5">
        <f t="shared" si="422"/>
        <v>0</v>
      </c>
      <c r="BQ543" s="5">
        <f t="shared" si="422"/>
        <v>0</v>
      </c>
      <c r="BR543" s="5">
        <f t="shared" si="422"/>
        <v>0</v>
      </c>
      <c r="BS543" s="5">
        <f t="shared" si="422"/>
        <v>0</v>
      </c>
      <c r="BT543" s="5">
        <f t="shared" si="422"/>
        <v>0</v>
      </c>
      <c r="BU543" s="5">
        <f t="shared" si="422"/>
        <v>0</v>
      </c>
      <c r="BV543" s="5">
        <f t="shared" si="422"/>
        <v>0</v>
      </c>
      <c r="BW543" s="5">
        <f t="shared" si="422"/>
        <v>0</v>
      </c>
      <c r="BX543" s="5">
        <f t="shared" si="422"/>
        <v>0</v>
      </c>
      <c r="BY543" s="5">
        <f t="shared" si="422"/>
        <v>0</v>
      </c>
      <c r="BZ543" s="5">
        <f t="shared" si="422"/>
        <v>0</v>
      </c>
      <c r="CA543" s="5">
        <f t="shared" si="422"/>
        <v>1</v>
      </c>
      <c r="CB543" s="5">
        <f t="shared" si="420"/>
        <v>0</v>
      </c>
      <c r="CC543" s="5">
        <f t="shared" si="420"/>
        <v>0</v>
      </c>
      <c r="CD543" s="5">
        <f t="shared" si="420"/>
        <v>0</v>
      </c>
      <c r="CE543" s="5">
        <f t="shared" si="420"/>
        <v>0</v>
      </c>
    </row>
    <row r="544" spans="1:83" x14ac:dyDescent="0.2">
      <c r="A544" s="11"/>
      <c r="B544" s="11"/>
      <c r="C544" s="1">
        <f>Growth!D549</f>
        <v>0</v>
      </c>
      <c r="D544" s="5" t="b">
        <f t="shared" si="410"/>
        <v>0</v>
      </c>
      <c r="E544" s="5">
        <v>2011</v>
      </c>
      <c r="F544" s="5">
        <f ca="1">LOOKUP($E544,frequence!$A$2:$A$35,frequence!L$2:L$35)</f>
        <v>33.053542446246631</v>
      </c>
      <c r="G544" s="5">
        <f ca="1">LOOKUP($E544,frequence!$A$2:$A$35,frequence!K$2:K$35)</f>
        <v>2.1388579511305732</v>
      </c>
      <c r="H544" s="5">
        <f ca="1">LOOKUP($E544,frequence!$A$2:$A$35,frequence!M$2:M$35)</f>
        <v>182.11948132765423</v>
      </c>
      <c r="I544" s="5">
        <v>1995</v>
      </c>
      <c r="J544" s="7">
        <f>LOOKUP(I544,CPI!A$69:A$103,CPI!O$69:O$103)</f>
        <v>1.4308136482939633</v>
      </c>
      <c r="K544" s="5">
        <v>2015</v>
      </c>
      <c r="L544" s="7">
        <f t="shared" ca="1" si="398"/>
        <v>1</v>
      </c>
      <c r="M544" s="7">
        <f t="shared" si="425"/>
        <v>0.6777777777777777</v>
      </c>
      <c r="N544" s="14">
        <f t="shared" si="434"/>
        <v>0.1111111111111111</v>
      </c>
      <c r="O544" s="1">
        <f ca="1">P544*J544*(1+Growth!G$6)^(2010-K544)</f>
        <v>91.428835327186519</v>
      </c>
      <c r="P544" s="2">
        <f t="shared" si="435"/>
        <v>68.88</v>
      </c>
      <c r="Q544" s="3">
        <v>68.88</v>
      </c>
      <c r="R544" s="21">
        <f t="shared" ca="1" si="411"/>
        <v>8359.2319292857901</v>
      </c>
      <c r="X544" s="2">
        <f t="shared" si="419"/>
        <v>68.88</v>
      </c>
      <c r="AC544" s="1">
        <f t="shared" si="429"/>
        <v>6.1</v>
      </c>
      <c r="AD544" s="5">
        <v>0</v>
      </c>
      <c r="AE544" s="5">
        <v>0</v>
      </c>
      <c r="AF544" s="5">
        <v>1</v>
      </c>
      <c r="AG544" s="5">
        <v>1</v>
      </c>
      <c r="AH544" s="5">
        <v>1</v>
      </c>
      <c r="AI544" s="3">
        <f t="shared" si="409"/>
        <v>3.1</v>
      </c>
      <c r="AJ544" s="5">
        <f t="shared" si="424"/>
        <v>0</v>
      </c>
      <c r="AK544" s="5">
        <f t="shared" si="399"/>
        <v>0</v>
      </c>
      <c r="AL544" s="5">
        <f t="shared" si="400"/>
        <v>0</v>
      </c>
      <c r="AM544" s="5">
        <f t="shared" si="426"/>
        <v>1</v>
      </c>
      <c r="AN544" s="5">
        <f t="shared" si="401"/>
        <v>0</v>
      </c>
      <c r="AO544" s="5">
        <f t="shared" si="427"/>
        <v>0</v>
      </c>
      <c r="AP544" s="11" t="s">
        <v>42</v>
      </c>
      <c r="AQ544" s="1">
        <v>1</v>
      </c>
      <c r="AR544" s="5">
        <v>0</v>
      </c>
      <c r="AS544" s="5">
        <v>0</v>
      </c>
      <c r="AT544" s="5">
        <v>1</v>
      </c>
      <c r="AU544" s="5">
        <v>0</v>
      </c>
      <c r="AV544" s="5">
        <v>0</v>
      </c>
      <c r="AW544" s="5">
        <v>0</v>
      </c>
      <c r="AX544" s="5">
        <v>1</v>
      </c>
      <c r="AY544" s="1">
        <f t="shared" si="430"/>
        <v>0</v>
      </c>
      <c r="AZ544" s="1">
        <f t="shared" si="431"/>
        <v>0</v>
      </c>
      <c r="BA544" s="1">
        <f t="shared" si="432"/>
        <v>0</v>
      </c>
      <c r="BB544" s="5">
        <v>0</v>
      </c>
      <c r="BC544" s="5">
        <v>0</v>
      </c>
      <c r="BD544" s="5">
        <v>1</v>
      </c>
      <c r="BE544" s="5">
        <f t="shared" si="433"/>
        <v>0</v>
      </c>
      <c r="BF544" s="5">
        <v>0</v>
      </c>
      <c r="BG544" s="5">
        <f t="shared" si="423"/>
        <v>0</v>
      </c>
      <c r="BH544" s="5">
        <f t="shared" si="423"/>
        <v>0</v>
      </c>
      <c r="BI544" s="5">
        <f t="shared" si="423"/>
        <v>0</v>
      </c>
      <c r="BJ544" s="5">
        <f t="shared" si="423"/>
        <v>0</v>
      </c>
      <c r="BK544" s="5">
        <f t="shared" si="423"/>
        <v>0</v>
      </c>
      <c r="BL544" s="5">
        <f t="shared" si="423"/>
        <v>0</v>
      </c>
      <c r="BM544" s="5">
        <f t="shared" si="423"/>
        <v>0</v>
      </c>
      <c r="BN544" s="5">
        <f t="shared" si="423"/>
        <v>0</v>
      </c>
      <c r="BO544" s="5">
        <f t="shared" si="422"/>
        <v>0</v>
      </c>
      <c r="BP544" s="5">
        <f t="shared" si="422"/>
        <v>0</v>
      </c>
      <c r="BQ544" s="5">
        <f t="shared" si="422"/>
        <v>0</v>
      </c>
      <c r="BR544" s="5">
        <f t="shared" si="422"/>
        <v>0</v>
      </c>
      <c r="BS544" s="5">
        <f t="shared" si="422"/>
        <v>0</v>
      </c>
      <c r="BT544" s="5">
        <f t="shared" si="422"/>
        <v>0</v>
      </c>
      <c r="BU544" s="5">
        <f t="shared" si="422"/>
        <v>0</v>
      </c>
      <c r="BV544" s="5">
        <f t="shared" si="422"/>
        <v>0</v>
      </c>
      <c r="BW544" s="5">
        <f t="shared" si="422"/>
        <v>0</v>
      </c>
      <c r="BX544" s="5">
        <f t="shared" si="422"/>
        <v>0</v>
      </c>
      <c r="BY544" s="5">
        <f t="shared" si="422"/>
        <v>0</v>
      </c>
      <c r="BZ544" s="5">
        <f t="shared" si="422"/>
        <v>0</v>
      </c>
      <c r="CA544" s="5">
        <f t="shared" si="422"/>
        <v>1</v>
      </c>
      <c r="CB544" s="5">
        <f t="shared" si="420"/>
        <v>0</v>
      </c>
      <c r="CC544" s="5">
        <f t="shared" si="420"/>
        <v>0</v>
      </c>
      <c r="CD544" s="5">
        <f t="shared" si="420"/>
        <v>0</v>
      </c>
      <c r="CE544" s="5">
        <f t="shared" si="420"/>
        <v>0</v>
      </c>
    </row>
    <row r="545" spans="1:83" x14ac:dyDescent="0.2">
      <c r="A545" s="11"/>
      <c r="B545" s="11"/>
      <c r="C545" s="1">
        <f>Growth!D550</f>
        <v>0</v>
      </c>
      <c r="D545" s="5" t="b">
        <f t="shared" si="410"/>
        <v>0</v>
      </c>
      <c r="E545" s="5">
        <v>2011</v>
      </c>
      <c r="F545" s="5">
        <f ca="1">LOOKUP($E545,frequence!$A$2:$A$35,frequence!L$2:L$35)</f>
        <v>33.053542446246631</v>
      </c>
      <c r="G545" s="5">
        <f ca="1">LOOKUP($E545,frequence!$A$2:$A$35,frequence!K$2:K$35)</f>
        <v>2.1388579511305732</v>
      </c>
      <c r="H545" s="5">
        <f ca="1">LOOKUP($E545,frequence!$A$2:$A$35,frequence!M$2:M$35)</f>
        <v>182.11948132765423</v>
      </c>
      <c r="I545" s="5">
        <v>1995</v>
      </c>
      <c r="J545" s="7">
        <f>LOOKUP(I545,CPI!A$69:A$103,CPI!O$69:O$103)</f>
        <v>1.4308136482939633</v>
      </c>
      <c r="K545" s="5">
        <v>2015</v>
      </c>
      <c r="L545" s="7">
        <f t="shared" ca="1" si="398"/>
        <v>1</v>
      </c>
      <c r="M545" s="7">
        <f t="shared" si="425"/>
        <v>0.6777777777777777</v>
      </c>
      <c r="N545" s="14">
        <f t="shared" si="434"/>
        <v>0.1111111111111111</v>
      </c>
      <c r="O545" s="1">
        <f ca="1">P545*J545*(1+Growth!G$6)^(2010-K545)</f>
        <v>38.281179019106553</v>
      </c>
      <c r="P545" s="2">
        <f t="shared" si="435"/>
        <v>28.84</v>
      </c>
      <c r="Q545" s="3">
        <v>28.84</v>
      </c>
      <c r="R545" s="21">
        <f t="shared" ca="1" si="411"/>
        <v>1465.4486670928836</v>
      </c>
      <c r="X545" s="2">
        <f t="shared" si="419"/>
        <v>28.84</v>
      </c>
      <c r="AC545" s="1">
        <f t="shared" si="429"/>
        <v>6.1</v>
      </c>
      <c r="AD545" s="5">
        <v>0</v>
      </c>
      <c r="AE545" s="5">
        <v>0</v>
      </c>
      <c r="AF545" s="5">
        <v>1</v>
      </c>
      <c r="AG545" s="5">
        <v>1</v>
      </c>
      <c r="AH545" s="5">
        <v>1</v>
      </c>
      <c r="AI545" s="3">
        <f t="shared" si="409"/>
        <v>3.1</v>
      </c>
      <c r="AJ545" s="5">
        <f t="shared" si="424"/>
        <v>0</v>
      </c>
      <c r="AK545" s="5">
        <f t="shared" si="399"/>
        <v>0</v>
      </c>
      <c r="AL545" s="5">
        <f t="shared" si="400"/>
        <v>0</v>
      </c>
      <c r="AM545" s="5">
        <f t="shared" si="426"/>
        <v>1</v>
      </c>
      <c r="AN545" s="5">
        <f t="shared" si="401"/>
        <v>0</v>
      </c>
      <c r="AO545" s="5">
        <f t="shared" si="427"/>
        <v>0</v>
      </c>
      <c r="AP545" s="11" t="s">
        <v>42</v>
      </c>
      <c r="AQ545" s="1">
        <v>1</v>
      </c>
      <c r="AR545" s="5">
        <v>0</v>
      </c>
      <c r="AS545" s="5">
        <v>0</v>
      </c>
      <c r="AT545" s="5">
        <v>1</v>
      </c>
      <c r="AU545" s="5">
        <v>0</v>
      </c>
      <c r="AV545" s="5">
        <v>0</v>
      </c>
      <c r="AW545" s="5">
        <v>0</v>
      </c>
      <c r="AX545" s="5">
        <v>1</v>
      </c>
      <c r="AY545" s="1">
        <f t="shared" si="430"/>
        <v>0</v>
      </c>
      <c r="AZ545" s="1">
        <f t="shared" si="431"/>
        <v>0</v>
      </c>
      <c r="BA545" s="1">
        <f t="shared" si="432"/>
        <v>0</v>
      </c>
      <c r="BB545" s="5">
        <v>0</v>
      </c>
      <c r="BC545" s="5">
        <v>0</v>
      </c>
      <c r="BD545" s="5">
        <v>1</v>
      </c>
      <c r="BE545" s="5">
        <f t="shared" si="433"/>
        <v>0</v>
      </c>
      <c r="BF545" s="5">
        <v>0</v>
      </c>
      <c r="BG545" s="5">
        <f t="shared" si="423"/>
        <v>0</v>
      </c>
      <c r="BH545" s="5">
        <f t="shared" si="423"/>
        <v>0</v>
      </c>
      <c r="BI545" s="5">
        <f t="shared" si="423"/>
        <v>0</v>
      </c>
      <c r="BJ545" s="5">
        <f t="shared" si="423"/>
        <v>0</v>
      </c>
      <c r="BK545" s="5">
        <f t="shared" si="423"/>
        <v>0</v>
      </c>
      <c r="BL545" s="5">
        <f t="shared" si="423"/>
        <v>0</v>
      </c>
      <c r="BM545" s="5">
        <f t="shared" si="423"/>
        <v>0</v>
      </c>
      <c r="BN545" s="5">
        <f t="shared" si="423"/>
        <v>0</v>
      </c>
      <c r="BO545" s="5">
        <f t="shared" si="422"/>
        <v>0</v>
      </c>
      <c r="BP545" s="5">
        <f t="shared" si="422"/>
        <v>0</v>
      </c>
      <c r="BQ545" s="5">
        <f t="shared" si="422"/>
        <v>0</v>
      </c>
      <c r="BR545" s="5">
        <f t="shared" si="422"/>
        <v>0</v>
      </c>
      <c r="BS545" s="5">
        <f t="shared" si="422"/>
        <v>0</v>
      </c>
      <c r="BT545" s="5">
        <f t="shared" si="422"/>
        <v>0</v>
      </c>
      <c r="BU545" s="5">
        <f t="shared" si="422"/>
        <v>0</v>
      </c>
      <c r="BV545" s="5">
        <f t="shared" si="422"/>
        <v>0</v>
      </c>
      <c r="BW545" s="5">
        <f t="shared" si="422"/>
        <v>0</v>
      </c>
      <c r="BX545" s="5">
        <f t="shared" si="422"/>
        <v>0</v>
      </c>
      <c r="BY545" s="5">
        <f t="shared" si="422"/>
        <v>0</v>
      </c>
      <c r="BZ545" s="5">
        <f t="shared" si="422"/>
        <v>0</v>
      </c>
      <c r="CA545" s="5">
        <f t="shared" si="422"/>
        <v>1</v>
      </c>
      <c r="CB545" s="5">
        <f t="shared" si="420"/>
        <v>0</v>
      </c>
      <c r="CC545" s="5">
        <f t="shared" si="420"/>
        <v>0</v>
      </c>
      <c r="CD545" s="5">
        <f t="shared" si="420"/>
        <v>0</v>
      </c>
      <c r="CE545" s="5">
        <f t="shared" si="420"/>
        <v>0</v>
      </c>
    </row>
    <row r="546" spans="1:83" x14ac:dyDescent="0.2">
      <c r="A546" s="11"/>
      <c r="B546" s="11"/>
      <c r="C546" s="1">
        <f>Growth!D551</f>
        <v>0</v>
      </c>
      <c r="D546" s="5" t="b">
        <f t="shared" si="410"/>
        <v>0</v>
      </c>
      <c r="E546" s="5">
        <v>2011</v>
      </c>
      <c r="F546" s="5">
        <f ca="1">LOOKUP($E546,frequence!$A$2:$A$35,frequence!L$2:L$35)</f>
        <v>33.053542446246631</v>
      </c>
      <c r="G546" s="5">
        <f ca="1">LOOKUP($E546,frequence!$A$2:$A$35,frequence!K$2:K$35)</f>
        <v>2.1388579511305732</v>
      </c>
      <c r="H546" s="5">
        <f ca="1">LOOKUP($E546,frequence!$A$2:$A$35,frequence!M$2:M$35)</f>
        <v>182.11948132765423</v>
      </c>
      <c r="I546" s="5">
        <v>1995</v>
      </c>
      <c r="J546" s="7">
        <f>LOOKUP(I546,CPI!A$69:A$103,CPI!O$69:O$103)</f>
        <v>1.4308136482939633</v>
      </c>
      <c r="K546" s="5">
        <v>2015</v>
      </c>
      <c r="L546" s="7">
        <f t="shared" ca="1" si="398"/>
        <v>1</v>
      </c>
      <c r="M546" s="7">
        <f t="shared" si="425"/>
        <v>0.6777777777777777</v>
      </c>
      <c r="N546" s="14">
        <f t="shared" si="434"/>
        <v>0.1111111111111111</v>
      </c>
      <c r="O546" s="1">
        <f ca="1">P546*J546*(1+Growth!G$6)^(2010-K546)</f>
        <v>12.862157583049322</v>
      </c>
      <c r="P546" s="2">
        <f t="shared" si="435"/>
        <v>9.69</v>
      </c>
      <c r="Q546" s="3">
        <v>9.69</v>
      </c>
      <c r="R546" s="21">
        <f t="shared" ca="1" si="411"/>
        <v>165.43509769119319</v>
      </c>
      <c r="X546" s="2">
        <f t="shared" si="419"/>
        <v>9.69</v>
      </c>
      <c r="AC546" s="1">
        <f t="shared" si="429"/>
        <v>6.1</v>
      </c>
      <c r="AD546" s="5">
        <v>0</v>
      </c>
      <c r="AE546" s="5">
        <v>0</v>
      </c>
      <c r="AF546" s="5">
        <v>1</v>
      </c>
      <c r="AG546" s="5">
        <v>1</v>
      </c>
      <c r="AH546" s="5">
        <v>1</v>
      </c>
      <c r="AI546" s="3">
        <f t="shared" si="409"/>
        <v>3.1</v>
      </c>
      <c r="AJ546" s="5">
        <f t="shared" si="424"/>
        <v>1</v>
      </c>
      <c r="AK546" s="5">
        <f t="shared" si="399"/>
        <v>0</v>
      </c>
      <c r="AL546" s="5">
        <f t="shared" si="400"/>
        <v>0</v>
      </c>
      <c r="AM546" s="5">
        <f t="shared" si="426"/>
        <v>0</v>
      </c>
      <c r="AN546" s="5">
        <f t="shared" si="401"/>
        <v>0</v>
      </c>
      <c r="AO546" s="5">
        <f t="shared" si="427"/>
        <v>0</v>
      </c>
      <c r="AP546" s="11" t="s">
        <v>42</v>
      </c>
      <c r="AQ546" s="1">
        <v>3</v>
      </c>
      <c r="AR546" s="5">
        <v>0</v>
      </c>
      <c r="AS546" s="5">
        <v>0</v>
      </c>
      <c r="AT546" s="5">
        <v>1</v>
      </c>
      <c r="AU546" s="5">
        <v>0</v>
      </c>
      <c r="AV546" s="5">
        <v>0</v>
      </c>
      <c r="AW546" s="5">
        <v>0</v>
      </c>
      <c r="AX546" s="5">
        <v>1</v>
      </c>
      <c r="AY546" s="1">
        <f t="shared" si="430"/>
        <v>0</v>
      </c>
      <c r="AZ546" s="1">
        <f t="shared" si="431"/>
        <v>0</v>
      </c>
      <c r="BA546" s="1">
        <f t="shared" si="432"/>
        <v>0</v>
      </c>
      <c r="BB546" s="5">
        <v>0</v>
      </c>
      <c r="BC546" s="5">
        <v>0</v>
      </c>
      <c r="BD546" s="5">
        <v>1</v>
      </c>
      <c r="BE546" s="5">
        <f t="shared" si="433"/>
        <v>0</v>
      </c>
      <c r="BF546" s="5">
        <v>0</v>
      </c>
      <c r="BG546" s="5">
        <f t="shared" si="423"/>
        <v>0</v>
      </c>
      <c r="BH546" s="5">
        <f t="shared" si="423"/>
        <v>0</v>
      </c>
      <c r="BI546" s="5">
        <f t="shared" si="423"/>
        <v>0</v>
      </c>
      <c r="BJ546" s="5">
        <f t="shared" si="423"/>
        <v>0</v>
      </c>
      <c r="BK546" s="5">
        <f t="shared" si="423"/>
        <v>0</v>
      </c>
      <c r="BL546" s="5">
        <f t="shared" si="423"/>
        <v>0</v>
      </c>
      <c r="BM546" s="5">
        <f t="shared" si="423"/>
        <v>0</v>
      </c>
      <c r="BN546" s="5">
        <f t="shared" si="423"/>
        <v>0</v>
      </c>
      <c r="BO546" s="5">
        <f t="shared" si="422"/>
        <v>0</v>
      </c>
      <c r="BP546" s="5">
        <f t="shared" si="422"/>
        <v>0</v>
      </c>
      <c r="BQ546" s="5">
        <f t="shared" si="422"/>
        <v>0</v>
      </c>
      <c r="BR546" s="5">
        <f t="shared" si="422"/>
        <v>0</v>
      </c>
      <c r="BS546" s="5">
        <f t="shared" si="422"/>
        <v>0</v>
      </c>
      <c r="BT546" s="5">
        <f t="shared" si="422"/>
        <v>0</v>
      </c>
      <c r="BU546" s="5">
        <f t="shared" si="422"/>
        <v>0</v>
      </c>
      <c r="BV546" s="5">
        <f t="shared" si="422"/>
        <v>0</v>
      </c>
      <c r="BW546" s="5">
        <f t="shared" si="422"/>
        <v>0</v>
      </c>
      <c r="BX546" s="5">
        <f t="shared" si="422"/>
        <v>0</v>
      </c>
      <c r="BY546" s="5">
        <f t="shared" si="422"/>
        <v>0</v>
      </c>
      <c r="BZ546" s="5">
        <f t="shared" si="422"/>
        <v>0</v>
      </c>
      <c r="CA546" s="5">
        <f t="shared" si="422"/>
        <v>1</v>
      </c>
      <c r="CB546" s="5">
        <f t="shared" si="420"/>
        <v>0</v>
      </c>
      <c r="CC546" s="5">
        <f t="shared" si="420"/>
        <v>0</v>
      </c>
      <c r="CD546" s="5">
        <f t="shared" si="420"/>
        <v>0</v>
      </c>
      <c r="CE546" s="5">
        <f t="shared" si="420"/>
        <v>0</v>
      </c>
    </row>
    <row r="547" spans="1:83" x14ac:dyDescent="0.2">
      <c r="A547" s="11"/>
      <c r="B547" s="11"/>
      <c r="C547" s="1">
        <f>Growth!D552</f>
        <v>0</v>
      </c>
      <c r="D547" s="5" t="b">
        <f t="shared" si="410"/>
        <v>0</v>
      </c>
      <c r="E547" s="5">
        <v>2011</v>
      </c>
      <c r="F547" s="5">
        <f ca="1">LOOKUP($E547,frequence!$A$2:$A$35,frequence!L$2:L$35)</f>
        <v>33.053542446246631</v>
      </c>
      <c r="G547" s="5">
        <f ca="1">LOOKUP($E547,frequence!$A$2:$A$35,frequence!K$2:K$35)</f>
        <v>2.1388579511305732</v>
      </c>
      <c r="H547" s="5">
        <f ca="1">LOOKUP($E547,frequence!$A$2:$A$35,frequence!M$2:M$35)</f>
        <v>182.11948132765423</v>
      </c>
      <c r="I547" s="5">
        <v>1995</v>
      </c>
      <c r="J547" s="7">
        <f>LOOKUP(I547,CPI!A$69:A$103,CPI!O$69:O$103)</f>
        <v>1.4308136482939633</v>
      </c>
      <c r="K547" s="5">
        <v>2015</v>
      </c>
      <c r="L547" s="7">
        <f t="shared" ca="1" si="398"/>
        <v>1</v>
      </c>
      <c r="M547" s="7">
        <f t="shared" si="425"/>
        <v>0.6777777777777777</v>
      </c>
      <c r="N547" s="14">
        <f t="shared" si="434"/>
        <v>0.1111111111111111</v>
      </c>
      <c r="O547" s="1">
        <f ca="1">P547*J547*(1+Growth!G$6)^(2010-K547)</f>
        <v>3.4113255922019361</v>
      </c>
      <c r="P547" s="2">
        <f t="shared" si="435"/>
        <v>2.57</v>
      </c>
      <c r="Q547" s="3">
        <v>2.57</v>
      </c>
      <c r="R547" s="21">
        <f t="shared" ca="1" si="411"/>
        <v>11.63714229601189</v>
      </c>
      <c r="X547" s="2">
        <f t="shared" si="419"/>
        <v>2.57</v>
      </c>
      <c r="AC547" s="1">
        <f t="shared" si="429"/>
        <v>6.1</v>
      </c>
      <c r="AD547" s="5">
        <v>0</v>
      </c>
      <c r="AE547" s="5">
        <v>0</v>
      </c>
      <c r="AF547" s="5">
        <v>1</v>
      </c>
      <c r="AG547" s="5">
        <v>1</v>
      </c>
      <c r="AH547" s="5">
        <v>1</v>
      </c>
      <c r="AI547" s="3">
        <f t="shared" si="409"/>
        <v>3.1</v>
      </c>
      <c r="AJ547" s="5">
        <f t="shared" si="424"/>
        <v>1</v>
      </c>
      <c r="AK547" s="5">
        <f t="shared" si="399"/>
        <v>0</v>
      </c>
      <c r="AL547" s="5">
        <f t="shared" si="400"/>
        <v>0</v>
      </c>
      <c r="AM547" s="5">
        <f t="shared" si="426"/>
        <v>0</v>
      </c>
      <c r="AN547" s="5">
        <f t="shared" si="401"/>
        <v>0</v>
      </c>
      <c r="AO547" s="5">
        <f t="shared" si="427"/>
        <v>0</v>
      </c>
      <c r="AP547" s="11" t="s">
        <v>42</v>
      </c>
      <c r="AQ547" s="1">
        <v>3</v>
      </c>
      <c r="AR547" s="5">
        <v>0</v>
      </c>
      <c r="AS547" s="5">
        <v>0</v>
      </c>
      <c r="AT547" s="5">
        <v>1</v>
      </c>
      <c r="AU547" s="5">
        <v>0</v>
      </c>
      <c r="AV547" s="5">
        <v>0</v>
      </c>
      <c r="AW547" s="5">
        <v>0</v>
      </c>
      <c r="AX547" s="5">
        <v>1</v>
      </c>
      <c r="AY547" s="1">
        <f t="shared" si="430"/>
        <v>0</v>
      </c>
      <c r="AZ547" s="1">
        <f t="shared" si="431"/>
        <v>0</v>
      </c>
      <c r="BA547" s="1">
        <f t="shared" si="432"/>
        <v>0</v>
      </c>
      <c r="BB547" s="5">
        <v>0</v>
      </c>
      <c r="BC547" s="5">
        <v>0</v>
      </c>
      <c r="BD547" s="5">
        <v>1</v>
      </c>
      <c r="BE547" s="5">
        <f t="shared" si="433"/>
        <v>0</v>
      </c>
      <c r="BF547" s="5">
        <v>0</v>
      </c>
      <c r="BG547" s="5">
        <f t="shared" si="423"/>
        <v>0</v>
      </c>
      <c r="BH547" s="5">
        <f t="shared" si="423"/>
        <v>0</v>
      </c>
      <c r="BI547" s="5">
        <f t="shared" si="423"/>
        <v>0</v>
      </c>
      <c r="BJ547" s="5">
        <f t="shared" si="423"/>
        <v>0</v>
      </c>
      <c r="BK547" s="5">
        <f t="shared" si="423"/>
        <v>0</v>
      </c>
      <c r="BL547" s="5">
        <f t="shared" si="423"/>
        <v>0</v>
      </c>
      <c r="BM547" s="5">
        <f t="shared" si="423"/>
        <v>0</v>
      </c>
      <c r="BN547" s="5">
        <f t="shared" si="423"/>
        <v>0</v>
      </c>
      <c r="BO547" s="5">
        <f t="shared" si="422"/>
        <v>0</v>
      </c>
      <c r="BP547" s="5">
        <f t="shared" si="422"/>
        <v>0</v>
      </c>
      <c r="BQ547" s="5">
        <f t="shared" si="422"/>
        <v>0</v>
      </c>
      <c r="BR547" s="5">
        <f t="shared" si="422"/>
        <v>0</v>
      </c>
      <c r="BS547" s="5">
        <f t="shared" si="422"/>
        <v>0</v>
      </c>
      <c r="BT547" s="5">
        <f t="shared" si="422"/>
        <v>0</v>
      </c>
      <c r="BU547" s="5">
        <f t="shared" si="422"/>
        <v>0</v>
      </c>
      <c r="BV547" s="5">
        <f t="shared" si="422"/>
        <v>0</v>
      </c>
      <c r="BW547" s="5">
        <f t="shared" si="422"/>
        <v>0</v>
      </c>
      <c r="BX547" s="5">
        <f t="shared" si="422"/>
        <v>0</v>
      </c>
      <c r="BY547" s="5">
        <f t="shared" si="422"/>
        <v>0</v>
      </c>
      <c r="BZ547" s="5">
        <f t="shared" si="422"/>
        <v>0</v>
      </c>
      <c r="CA547" s="5">
        <f t="shared" si="422"/>
        <v>1</v>
      </c>
      <c r="CB547" s="5">
        <f t="shared" si="420"/>
        <v>0</v>
      </c>
      <c r="CC547" s="5">
        <f t="shared" si="420"/>
        <v>0</v>
      </c>
      <c r="CD547" s="5">
        <f t="shared" si="420"/>
        <v>0</v>
      </c>
      <c r="CE547" s="5">
        <f t="shared" si="420"/>
        <v>0</v>
      </c>
    </row>
    <row r="548" spans="1:83" x14ac:dyDescent="0.2">
      <c r="A548" s="11"/>
      <c r="B548" s="11"/>
      <c r="C548" s="1">
        <f>Growth!D553</f>
        <v>0</v>
      </c>
      <c r="D548" s="5" t="b">
        <f t="shared" si="410"/>
        <v>0</v>
      </c>
      <c r="E548" s="5">
        <v>2011</v>
      </c>
      <c r="F548" s="5">
        <f ca="1">LOOKUP($E548,frequence!$A$2:$A$35,frequence!L$2:L$35)</f>
        <v>33.053542446246631</v>
      </c>
      <c r="G548" s="5">
        <f ca="1">LOOKUP($E548,frequence!$A$2:$A$35,frequence!K$2:K$35)</f>
        <v>2.1388579511305732</v>
      </c>
      <c r="H548" s="5">
        <f ca="1">LOOKUP($E548,frequence!$A$2:$A$35,frequence!M$2:M$35)</f>
        <v>182.11948132765423</v>
      </c>
      <c r="I548" s="5">
        <v>1995</v>
      </c>
      <c r="J548" s="7">
        <f>LOOKUP(I548,CPI!A$69:A$103,CPI!O$69:O$103)</f>
        <v>1.4308136482939633</v>
      </c>
      <c r="K548" s="5">
        <v>2015</v>
      </c>
      <c r="L548" s="7">
        <f t="shared" ca="1" si="398"/>
        <v>1</v>
      </c>
      <c r="M548" s="7">
        <f t="shared" si="425"/>
        <v>0.6777777777777777</v>
      </c>
      <c r="N548" s="14">
        <f t="shared" si="434"/>
        <v>0.1111111111111111</v>
      </c>
      <c r="O548" s="1">
        <f ca="1">P548*J548*(1+Growth!G$6)^(2010-K548)</f>
        <v>-1.0486175944900893</v>
      </c>
      <c r="P548" s="2">
        <f t="shared" si="435"/>
        <v>-0.79</v>
      </c>
      <c r="Q548" s="3">
        <v>-0.79</v>
      </c>
      <c r="R548" s="21">
        <f t="shared" ca="1" si="411"/>
        <v>1.0995988594741812</v>
      </c>
      <c r="X548" s="2">
        <f t="shared" si="419"/>
        <v>-0.79</v>
      </c>
      <c r="AC548" s="1">
        <f t="shared" si="429"/>
        <v>6.1</v>
      </c>
      <c r="AD548" s="5">
        <v>0</v>
      </c>
      <c r="AE548" s="5">
        <v>0</v>
      </c>
      <c r="AF548" s="5">
        <v>1</v>
      </c>
      <c r="AG548" s="5">
        <v>1</v>
      </c>
      <c r="AH548" s="5">
        <v>1</v>
      </c>
      <c r="AI548" s="3">
        <f t="shared" si="409"/>
        <v>3.1</v>
      </c>
      <c r="AJ548" s="5">
        <f t="shared" si="424"/>
        <v>1</v>
      </c>
      <c r="AK548" s="5">
        <f t="shared" si="399"/>
        <v>0</v>
      </c>
      <c r="AL548" s="5">
        <f t="shared" si="400"/>
        <v>0</v>
      </c>
      <c r="AM548" s="5">
        <f t="shared" si="426"/>
        <v>0</v>
      </c>
      <c r="AN548" s="5">
        <f t="shared" si="401"/>
        <v>0</v>
      </c>
      <c r="AO548" s="5">
        <f t="shared" si="427"/>
        <v>0</v>
      </c>
      <c r="AP548" s="11" t="s">
        <v>42</v>
      </c>
      <c r="AQ548" s="1">
        <v>3</v>
      </c>
      <c r="AR548" s="5">
        <v>0</v>
      </c>
      <c r="AS548" s="5">
        <v>0</v>
      </c>
      <c r="AT548" s="5">
        <v>1</v>
      </c>
      <c r="AU548" s="5">
        <v>0</v>
      </c>
      <c r="AV548" s="5">
        <v>0</v>
      </c>
      <c r="AW548" s="5">
        <v>0</v>
      </c>
      <c r="AX548" s="5">
        <v>1</v>
      </c>
      <c r="AY548" s="1">
        <f t="shared" si="430"/>
        <v>0</v>
      </c>
      <c r="AZ548" s="1">
        <f t="shared" si="431"/>
        <v>0</v>
      </c>
      <c r="BA548" s="1">
        <f t="shared" si="432"/>
        <v>0</v>
      </c>
      <c r="BB548" s="5">
        <v>0</v>
      </c>
      <c r="BC548" s="5">
        <v>0</v>
      </c>
      <c r="BD548" s="5">
        <v>1</v>
      </c>
      <c r="BE548" s="5">
        <f t="shared" si="433"/>
        <v>0</v>
      </c>
      <c r="BF548" s="5">
        <v>0</v>
      </c>
      <c r="BG548" s="5">
        <f t="shared" si="423"/>
        <v>0</v>
      </c>
      <c r="BH548" s="5">
        <f t="shared" si="423"/>
        <v>0</v>
      </c>
      <c r="BI548" s="5">
        <f t="shared" si="423"/>
        <v>0</v>
      </c>
      <c r="BJ548" s="5">
        <f t="shared" si="423"/>
        <v>0</v>
      </c>
      <c r="BK548" s="5">
        <f t="shared" si="423"/>
        <v>0</v>
      </c>
      <c r="BL548" s="5">
        <f t="shared" si="423"/>
        <v>0</v>
      </c>
      <c r="BM548" s="5">
        <f t="shared" si="423"/>
        <v>0</v>
      </c>
      <c r="BN548" s="5">
        <f t="shared" ref="BN548:CB563" si="436">IF($E548=BN$2,1,0)</f>
        <v>0</v>
      </c>
      <c r="BO548" s="5">
        <f t="shared" si="436"/>
        <v>0</v>
      </c>
      <c r="BP548" s="5">
        <f t="shared" si="436"/>
        <v>0</v>
      </c>
      <c r="BQ548" s="5">
        <f t="shared" si="436"/>
        <v>0</v>
      </c>
      <c r="BR548" s="5">
        <f t="shared" si="436"/>
        <v>0</v>
      </c>
      <c r="BS548" s="5">
        <f t="shared" si="436"/>
        <v>0</v>
      </c>
      <c r="BT548" s="5">
        <f t="shared" si="436"/>
        <v>0</v>
      </c>
      <c r="BU548" s="5">
        <f t="shared" si="436"/>
        <v>0</v>
      </c>
      <c r="BV548" s="5">
        <f t="shared" si="436"/>
        <v>0</v>
      </c>
      <c r="BW548" s="5">
        <f t="shared" si="436"/>
        <v>0</v>
      </c>
      <c r="BX548" s="5">
        <f t="shared" si="436"/>
        <v>0</v>
      </c>
      <c r="BY548" s="5">
        <f t="shared" si="436"/>
        <v>0</v>
      </c>
      <c r="BZ548" s="5">
        <f t="shared" si="436"/>
        <v>0</v>
      </c>
      <c r="CA548" s="5">
        <f t="shared" si="436"/>
        <v>1</v>
      </c>
      <c r="CB548" s="5">
        <f t="shared" si="420"/>
        <v>0</v>
      </c>
      <c r="CC548" s="5">
        <f t="shared" si="420"/>
        <v>0</v>
      </c>
      <c r="CD548" s="5">
        <f t="shared" si="420"/>
        <v>0</v>
      </c>
      <c r="CE548" s="5">
        <f t="shared" si="420"/>
        <v>0</v>
      </c>
    </row>
    <row r="549" spans="1:83" x14ac:dyDescent="0.2">
      <c r="A549" s="11" t="s">
        <v>0</v>
      </c>
      <c r="B549" s="11" t="s">
        <v>164</v>
      </c>
      <c r="C549" s="1">
        <f>Growth!D554</f>
        <v>1</v>
      </c>
      <c r="D549" s="5">
        <f t="shared" si="410"/>
        <v>2012</v>
      </c>
      <c r="E549" s="5">
        <v>2012</v>
      </c>
      <c r="F549" s="5">
        <f ca="1">LOOKUP($E549,frequence!$A$2:$A$35,frequence!L$2:L$35)</f>
        <v>41.545638202606931</v>
      </c>
      <c r="G549" s="5">
        <f ca="1">LOOKUP($E549,frequence!$A$2:$A$35,frequence!K$2:K$35)</f>
        <v>3.8191206393393822</v>
      </c>
      <c r="H549" s="5">
        <f ca="1">LOOKUP($E549,frequence!$A$2:$A$35,frequence!M$2:M$35)</f>
        <v>265.64322815143237</v>
      </c>
      <c r="I549" s="5">
        <f>I199</f>
        <v>1990</v>
      </c>
      <c r="J549" s="7">
        <f>LOOKUP(I549,CPI!A$69:A$103,CPI!O$69:O$103)</f>
        <v>1.6683703136954862</v>
      </c>
      <c r="K549" s="5">
        <v>2015</v>
      </c>
      <c r="L549" s="7">
        <f t="shared" ca="1" si="398"/>
        <v>1</v>
      </c>
      <c r="M549" s="7">
        <f t="shared" si="425"/>
        <v>7.2</v>
      </c>
      <c r="N549" s="14">
        <v>1</v>
      </c>
      <c r="O549" s="1">
        <f ca="1">P549*J549*(1+Growth!G$6)^(2010-K549)</f>
        <v>44.884606942252525</v>
      </c>
      <c r="P549" s="2">
        <f t="shared" ref="P549:P550" si="437">Q549</f>
        <v>29</v>
      </c>
      <c r="Q549" s="3">
        <v>29</v>
      </c>
      <c r="R549" s="21">
        <f t="shared" ca="1" si="411"/>
        <v>2014.6279403605035</v>
      </c>
      <c r="U549" s="1">
        <v>1</v>
      </c>
      <c r="X549" s="2">
        <f t="shared" si="419"/>
        <v>29</v>
      </c>
      <c r="AA549" s="1">
        <v>65</v>
      </c>
      <c r="AC549" s="1">
        <f t="shared" ref="AC549" si="438">SUM(AD549:AI549)</f>
        <v>7.2</v>
      </c>
      <c r="AD549" s="5">
        <v>1</v>
      </c>
      <c r="AE549" s="5">
        <v>1</v>
      </c>
      <c r="AF549" s="5">
        <v>1</v>
      </c>
      <c r="AG549" s="5">
        <v>0</v>
      </c>
      <c r="AH549" s="5">
        <v>1</v>
      </c>
      <c r="AI549" s="3">
        <f t="shared" si="409"/>
        <v>3.2</v>
      </c>
      <c r="AJ549" s="5">
        <f t="shared" si="424"/>
        <v>1</v>
      </c>
      <c r="AK549" s="5">
        <f t="shared" si="399"/>
        <v>0</v>
      </c>
      <c r="AL549" s="5">
        <f t="shared" si="400"/>
        <v>0</v>
      </c>
      <c r="AM549" s="5">
        <f t="shared" si="426"/>
        <v>0</v>
      </c>
      <c r="AN549" s="5">
        <f t="shared" si="401"/>
        <v>0</v>
      </c>
      <c r="AO549" s="5">
        <f t="shared" si="427"/>
        <v>0</v>
      </c>
      <c r="AP549" s="11" t="s">
        <v>42</v>
      </c>
      <c r="AQ549" s="1">
        <v>3</v>
      </c>
      <c r="AR549" s="5">
        <v>0</v>
      </c>
      <c r="AS549" s="5">
        <v>0</v>
      </c>
      <c r="AT549" s="5">
        <v>1</v>
      </c>
      <c r="AU549" s="5">
        <v>0</v>
      </c>
      <c r="AV549" s="5">
        <v>0</v>
      </c>
      <c r="AW549" s="5">
        <v>0</v>
      </c>
      <c r="AX549" s="5">
        <v>1</v>
      </c>
      <c r="AY549" s="1">
        <f t="shared" ref="AY549" si="439">AJ549*$AD549*(1-$AV549)*(1-$AR549)</f>
        <v>1</v>
      </c>
      <c r="AZ549" s="1">
        <f t="shared" ref="AZ549" si="440">AM549*$AD549*(1-$AV549)*(1-$AR549)</f>
        <v>0</v>
      </c>
      <c r="BA549" s="1">
        <f t="shared" ref="BA549" si="441">AO549*$AD549*(1-$AV549)*(1-$AR549)</f>
        <v>0</v>
      </c>
      <c r="BB549" s="5">
        <v>0</v>
      </c>
      <c r="BC549" s="5">
        <v>0</v>
      </c>
      <c r="BD549" s="5">
        <v>0</v>
      </c>
      <c r="BE549" s="5">
        <f t="shared" ref="BE549" si="442">1-SUM(BB549:BD549)</f>
        <v>1</v>
      </c>
      <c r="BF549" s="5">
        <v>0</v>
      </c>
      <c r="BG549" s="5">
        <f t="shared" ref="BG549:BN564" si="443">IF($E549=BG$2,1,0)</f>
        <v>0</v>
      </c>
      <c r="BH549" s="5">
        <f t="shared" si="443"/>
        <v>0</v>
      </c>
      <c r="BI549" s="5">
        <f t="shared" si="443"/>
        <v>0</v>
      </c>
      <c r="BJ549" s="5">
        <f t="shared" si="443"/>
        <v>0</v>
      </c>
      <c r="BK549" s="5">
        <f t="shared" si="443"/>
        <v>0</v>
      </c>
      <c r="BL549" s="5">
        <f t="shared" si="443"/>
        <v>0</v>
      </c>
      <c r="BM549" s="5">
        <f t="shared" si="443"/>
        <v>0</v>
      </c>
      <c r="BN549" s="5">
        <f t="shared" si="436"/>
        <v>0</v>
      </c>
      <c r="BO549" s="5">
        <f t="shared" si="436"/>
        <v>0</v>
      </c>
      <c r="BP549" s="5">
        <f t="shared" si="436"/>
        <v>0</v>
      </c>
      <c r="BQ549" s="5">
        <f t="shared" si="436"/>
        <v>0</v>
      </c>
      <c r="BR549" s="5">
        <f t="shared" si="436"/>
        <v>0</v>
      </c>
      <c r="BS549" s="5">
        <f t="shared" si="436"/>
        <v>0</v>
      </c>
      <c r="BT549" s="5">
        <f t="shared" si="436"/>
        <v>0</v>
      </c>
      <c r="BU549" s="5">
        <f t="shared" si="436"/>
        <v>0</v>
      </c>
      <c r="BV549" s="5">
        <f t="shared" si="436"/>
        <v>0</v>
      </c>
      <c r="BW549" s="5">
        <f t="shared" si="436"/>
        <v>0</v>
      </c>
      <c r="BX549" s="5">
        <f t="shared" si="436"/>
        <v>0</v>
      </c>
      <c r="BY549" s="5">
        <f t="shared" si="436"/>
        <v>0</v>
      </c>
      <c r="BZ549" s="5">
        <f t="shared" si="436"/>
        <v>0</v>
      </c>
      <c r="CA549" s="5">
        <f t="shared" si="436"/>
        <v>0</v>
      </c>
      <c r="CB549" s="5">
        <f t="shared" si="420"/>
        <v>1</v>
      </c>
      <c r="CC549" s="5">
        <f t="shared" si="420"/>
        <v>0</v>
      </c>
      <c r="CD549" s="5">
        <f t="shared" si="420"/>
        <v>0</v>
      </c>
      <c r="CE549" s="5">
        <f t="shared" si="420"/>
        <v>0</v>
      </c>
    </row>
    <row r="550" spans="1:83" x14ac:dyDescent="0.2">
      <c r="A550" s="11" t="s">
        <v>221</v>
      </c>
      <c r="B550" s="11" t="s">
        <v>165</v>
      </c>
      <c r="C550" s="1">
        <f>Growth!D555</f>
        <v>1</v>
      </c>
      <c r="D550" s="5">
        <f t="shared" si="410"/>
        <v>2012</v>
      </c>
      <c r="E550" s="5">
        <v>2012</v>
      </c>
      <c r="F550" s="5">
        <f ca="1">LOOKUP($E550,frequence!$A$2:$A$35,frequence!L$2:L$35)</f>
        <v>41.545638202606931</v>
      </c>
      <c r="G550" s="5">
        <f ca="1">LOOKUP($E550,frequence!$A$2:$A$35,frequence!K$2:K$35)</f>
        <v>3.8191206393393822</v>
      </c>
      <c r="H550" s="5">
        <f ca="1">LOOKUP($E550,frequence!$A$2:$A$35,frequence!M$2:M$35)</f>
        <v>265.64322815143237</v>
      </c>
      <c r="I550" s="18">
        <v>2010</v>
      </c>
      <c r="J550" s="7">
        <f>LOOKUP(I550,CPI!A$69:A$103,CPI!O$69:O$103)</f>
        <v>1</v>
      </c>
      <c r="K550" s="5">
        <v>2020</v>
      </c>
      <c r="L550" s="7">
        <f t="shared" ca="1" si="398"/>
        <v>1</v>
      </c>
      <c r="M550" s="7">
        <f t="shared" si="425"/>
        <v>5.2</v>
      </c>
      <c r="N550" s="14">
        <v>1</v>
      </c>
      <c r="O550" s="1">
        <f ca="1">P550*J550*(1+Growth!G$6)^(2010-K550)</f>
        <v>91.51312335883901</v>
      </c>
      <c r="P550" s="2">
        <f t="shared" si="437"/>
        <v>106.33333333333333</v>
      </c>
      <c r="Q550" s="3">
        <f>29*44/12</f>
        <v>106.33333333333333</v>
      </c>
      <c r="R550" s="21">
        <f t="shared" ca="1" si="411"/>
        <v>8374.6517468900856</v>
      </c>
      <c r="X550" s="2">
        <f t="shared" si="419"/>
        <v>106.33333333333333</v>
      </c>
      <c r="AC550" s="1">
        <f t="shared" ref="AC550" si="444">SUM(AD550:AI550)</f>
        <v>5.2</v>
      </c>
      <c r="AD550" s="5">
        <v>0</v>
      </c>
      <c r="AE550" s="5">
        <v>0</v>
      </c>
      <c r="AF550" s="5">
        <v>1</v>
      </c>
      <c r="AG550" s="5">
        <v>0</v>
      </c>
      <c r="AH550" s="5">
        <v>1</v>
      </c>
      <c r="AI550" s="3">
        <f t="shared" si="409"/>
        <v>3.2</v>
      </c>
      <c r="AJ550" s="5">
        <f t="shared" si="424"/>
        <v>0</v>
      </c>
      <c r="AK550" s="5">
        <f t="shared" si="399"/>
        <v>0</v>
      </c>
      <c r="AL550" s="5">
        <f t="shared" si="400"/>
        <v>0</v>
      </c>
      <c r="AM550" s="5">
        <f t="shared" si="426"/>
        <v>0</v>
      </c>
      <c r="AN550" s="5">
        <f t="shared" si="401"/>
        <v>0</v>
      </c>
      <c r="AO550" s="5">
        <f t="shared" si="427"/>
        <v>0</v>
      </c>
      <c r="AP550" s="11" t="s">
        <v>42</v>
      </c>
      <c r="AQ550" s="11" t="s">
        <v>42</v>
      </c>
      <c r="AR550" s="5">
        <v>0</v>
      </c>
      <c r="AS550" s="5">
        <v>0</v>
      </c>
      <c r="AT550" s="5">
        <v>1</v>
      </c>
      <c r="AU550" s="5">
        <v>0</v>
      </c>
      <c r="AV550" s="5">
        <v>0</v>
      </c>
      <c r="AW550" s="5">
        <v>0</v>
      </c>
      <c r="AX550" s="5">
        <v>1</v>
      </c>
      <c r="AY550" s="1">
        <f t="shared" ref="AY550" si="445">AJ550*$AD550*(1-$AV550)*(1-$AR550)</f>
        <v>0</v>
      </c>
      <c r="AZ550" s="1">
        <f t="shared" ref="AZ550" si="446">AM550*$AD550*(1-$AV550)*(1-$AR550)</f>
        <v>0</v>
      </c>
      <c r="BA550" s="1">
        <f t="shared" ref="BA550" si="447">AO550*$AD550*(1-$AV550)*(1-$AR550)</f>
        <v>0</v>
      </c>
      <c r="BB550" s="5">
        <v>0</v>
      </c>
      <c r="BC550" s="5">
        <v>0</v>
      </c>
      <c r="BD550" s="5">
        <v>0</v>
      </c>
      <c r="BE550" s="5">
        <f t="shared" ref="BE550" si="448">1-SUM(BB550:BD550)</f>
        <v>1</v>
      </c>
      <c r="BF550" s="5">
        <v>0</v>
      </c>
      <c r="BG550" s="5">
        <f t="shared" si="443"/>
        <v>0</v>
      </c>
      <c r="BH550" s="5">
        <f t="shared" si="443"/>
        <v>0</v>
      </c>
      <c r="BI550" s="5">
        <f t="shared" si="443"/>
        <v>0</v>
      </c>
      <c r="BJ550" s="5">
        <f t="shared" si="443"/>
        <v>0</v>
      </c>
      <c r="BK550" s="5">
        <f t="shared" si="443"/>
        <v>0</v>
      </c>
      <c r="BL550" s="5">
        <f t="shared" si="443"/>
        <v>0</v>
      </c>
      <c r="BM550" s="5">
        <f t="shared" si="443"/>
        <v>0</v>
      </c>
      <c r="BN550" s="5">
        <f t="shared" si="436"/>
        <v>0</v>
      </c>
      <c r="BO550" s="5">
        <f t="shared" si="436"/>
        <v>0</v>
      </c>
      <c r="BP550" s="5">
        <f t="shared" si="436"/>
        <v>0</v>
      </c>
      <c r="BQ550" s="5">
        <f t="shared" si="436"/>
        <v>0</v>
      </c>
      <c r="BR550" s="5">
        <f t="shared" si="436"/>
        <v>0</v>
      </c>
      <c r="BS550" s="5">
        <f t="shared" si="436"/>
        <v>0</v>
      </c>
      <c r="BT550" s="5">
        <f t="shared" si="436"/>
        <v>0</v>
      </c>
      <c r="BU550" s="5">
        <f t="shared" si="436"/>
        <v>0</v>
      </c>
      <c r="BV550" s="5">
        <f t="shared" si="436"/>
        <v>0</v>
      </c>
      <c r="BW550" s="5">
        <f t="shared" si="436"/>
        <v>0</v>
      </c>
      <c r="BX550" s="5">
        <f t="shared" si="436"/>
        <v>0</v>
      </c>
      <c r="BY550" s="5">
        <f t="shared" si="436"/>
        <v>0</v>
      </c>
      <c r="BZ550" s="5">
        <f t="shared" si="436"/>
        <v>0</v>
      </c>
      <c r="CA550" s="5">
        <f t="shared" si="436"/>
        <v>0</v>
      </c>
      <c r="CB550" s="5">
        <f t="shared" si="420"/>
        <v>1</v>
      </c>
      <c r="CC550" s="5">
        <f t="shared" si="420"/>
        <v>0</v>
      </c>
      <c r="CD550" s="5">
        <f t="shared" si="420"/>
        <v>0</v>
      </c>
      <c r="CE550" s="5">
        <f t="shared" si="420"/>
        <v>0</v>
      </c>
    </row>
    <row r="551" spans="1:83" x14ac:dyDescent="0.2">
      <c r="A551" s="11" t="s">
        <v>168</v>
      </c>
      <c r="B551" s="11" t="s">
        <v>169</v>
      </c>
      <c r="C551" s="1">
        <f>Growth!D556</f>
        <v>0</v>
      </c>
      <c r="D551" s="5">
        <f t="shared" si="410"/>
        <v>2012</v>
      </c>
      <c r="E551" s="5">
        <v>2012</v>
      </c>
      <c r="F551" s="5">
        <f ca="1">LOOKUP($E551,frequence!$A$2:$A$35,frequence!L$2:L$35)</f>
        <v>41.545638202606931</v>
      </c>
      <c r="G551" s="5">
        <f ca="1">LOOKUP($E551,frequence!$A$2:$A$35,frequence!K$2:K$35)</f>
        <v>3.8191206393393822</v>
      </c>
      <c r="H551" s="5">
        <f ca="1">LOOKUP($E551,frequence!$A$2:$A$35,frequence!M$2:M$35)</f>
        <v>265.64322815143237</v>
      </c>
      <c r="I551" s="18">
        <v>2007</v>
      </c>
      <c r="J551" s="7">
        <f>LOOKUP(I551,CPI!A$69:A$103,CPI!O$69:O$103)</f>
        <v>1.0516730811895323</v>
      </c>
      <c r="K551" s="5">
        <v>2010</v>
      </c>
      <c r="L551" s="7">
        <f t="shared" ca="1" si="398"/>
        <v>1</v>
      </c>
      <c r="M551" s="7">
        <f t="shared" si="425"/>
        <v>0.13777777777777778</v>
      </c>
      <c r="N551" s="14">
        <f t="shared" ref="N551:N594" si="449">1/45</f>
        <v>2.2222222222222223E-2</v>
      </c>
      <c r="O551" s="1">
        <f ca="1">P551*J551*(1+Growth!G$6)^(2010-K551)</f>
        <v>21.033461623790647</v>
      </c>
      <c r="P551" s="2">
        <f t="shared" ref="P551" si="450">Q551</f>
        <v>20</v>
      </c>
      <c r="Q551" s="3">
        <v>20</v>
      </c>
      <c r="R551" s="21">
        <f t="shared" ca="1" si="411"/>
        <v>442.40650787947385</v>
      </c>
      <c r="X551" s="2">
        <f t="shared" si="419"/>
        <v>20</v>
      </c>
      <c r="AC551" s="1">
        <f t="shared" ref="AC551" si="451">SUM(AD551:AI551)</f>
        <v>6.2</v>
      </c>
      <c r="AD551" s="5">
        <v>1</v>
      </c>
      <c r="AE551" s="5">
        <v>0</v>
      </c>
      <c r="AF551" s="5">
        <v>1</v>
      </c>
      <c r="AG551" s="5">
        <v>0</v>
      </c>
      <c r="AH551" s="5">
        <v>1</v>
      </c>
      <c r="AI551" s="3">
        <f t="shared" si="409"/>
        <v>3.2</v>
      </c>
      <c r="AJ551" s="5">
        <f t="shared" si="424"/>
        <v>0</v>
      </c>
      <c r="AK551" s="5">
        <f t="shared" si="399"/>
        <v>0</v>
      </c>
      <c r="AL551" s="5">
        <f t="shared" si="400"/>
        <v>0</v>
      </c>
      <c r="AM551" s="5">
        <f t="shared" si="426"/>
        <v>0</v>
      </c>
      <c r="AN551" s="5">
        <f t="shared" si="401"/>
        <v>0</v>
      </c>
      <c r="AO551" s="5">
        <f t="shared" si="427"/>
        <v>0</v>
      </c>
      <c r="AP551" s="1">
        <v>2.5</v>
      </c>
      <c r="AQ551" s="1" t="s">
        <v>42</v>
      </c>
      <c r="AR551" s="5">
        <v>0</v>
      </c>
      <c r="AS551" s="5">
        <v>0</v>
      </c>
      <c r="AT551" s="5">
        <v>1</v>
      </c>
      <c r="AU551" s="5">
        <v>0</v>
      </c>
      <c r="AV551" s="5">
        <v>0</v>
      </c>
      <c r="AW551" s="5">
        <v>0</v>
      </c>
      <c r="AX551" s="5">
        <v>1</v>
      </c>
      <c r="AY551" s="1">
        <f t="shared" ref="AY551" si="452">AJ551*$AD551*(1-$AV551)*(1-$AR551)</f>
        <v>0</v>
      </c>
      <c r="AZ551" s="1">
        <f t="shared" ref="AZ551" si="453">AM551*$AD551*(1-$AV551)*(1-$AR551)</f>
        <v>0</v>
      </c>
      <c r="BA551" s="1">
        <f t="shared" ref="BA551" si="454">AO551*$AD551*(1-$AV551)*(1-$AR551)</f>
        <v>0</v>
      </c>
      <c r="BB551" s="5">
        <v>0</v>
      </c>
      <c r="BC551" s="5">
        <v>0</v>
      </c>
      <c r="BD551" s="5">
        <v>0</v>
      </c>
      <c r="BE551" s="5">
        <f t="shared" ref="BE551" si="455">1-SUM(BB551:BD551)</f>
        <v>1</v>
      </c>
      <c r="BF551" s="5">
        <v>0</v>
      </c>
      <c r="BG551" s="5">
        <f t="shared" si="443"/>
        <v>0</v>
      </c>
      <c r="BH551" s="5">
        <f t="shared" si="443"/>
        <v>0</v>
      </c>
      <c r="BI551" s="5">
        <f t="shared" si="443"/>
        <v>0</v>
      </c>
      <c r="BJ551" s="5">
        <f t="shared" si="443"/>
        <v>0</v>
      </c>
      <c r="BK551" s="5">
        <f t="shared" si="443"/>
        <v>0</v>
      </c>
      <c r="BL551" s="5">
        <f t="shared" si="443"/>
        <v>0</v>
      </c>
      <c r="BM551" s="5">
        <f t="shared" si="443"/>
        <v>0</v>
      </c>
      <c r="BN551" s="5">
        <f t="shared" si="436"/>
        <v>0</v>
      </c>
      <c r="BO551" s="5">
        <f t="shared" si="436"/>
        <v>0</v>
      </c>
      <c r="BP551" s="5">
        <f t="shared" si="436"/>
        <v>0</v>
      </c>
      <c r="BQ551" s="5">
        <f t="shared" si="436"/>
        <v>0</v>
      </c>
      <c r="BR551" s="5">
        <f t="shared" si="436"/>
        <v>0</v>
      </c>
      <c r="BS551" s="5">
        <f t="shared" si="436"/>
        <v>0</v>
      </c>
      <c r="BT551" s="5">
        <f t="shared" si="436"/>
        <v>0</v>
      </c>
      <c r="BU551" s="5">
        <f t="shared" si="436"/>
        <v>0</v>
      </c>
      <c r="BV551" s="5">
        <f t="shared" si="436"/>
        <v>0</v>
      </c>
      <c r="BW551" s="5">
        <f t="shared" si="436"/>
        <v>0</v>
      </c>
      <c r="BX551" s="5">
        <f t="shared" si="436"/>
        <v>0</v>
      </c>
      <c r="BY551" s="5">
        <f t="shared" si="436"/>
        <v>0</v>
      </c>
      <c r="BZ551" s="5">
        <f t="shared" si="436"/>
        <v>0</v>
      </c>
      <c r="CA551" s="5">
        <f t="shared" si="436"/>
        <v>0</v>
      </c>
      <c r="CB551" s="5">
        <f t="shared" si="436"/>
        <v>1</v>
      </c>
      <c r="CC551" s="5">
        <f t="shared" ref="CC551:CE570" si="456">IF($E551=CC$2,1,0)</f>
        <v>0</v>
      </c>
      <c r="CD551" s="5">
        <f t="shared" si="456"/>
        <v>0</v>
      </c>
      <c r="CE551" s="5">
        <f t="shared" si="456"/>
        <v>0</v>
      </c>
    </row>
    <row r="552" spans="1:83" x14ac:dyDescent="0.2">
      <c r="A552" s="11"/>
      <c r="B552" s="11"/>
      <c r="C552" s="1">
        <f>Growth!D557</f>
        <v>0</v>
      </c>
      <c r="D552" s="5" t="b">
        <f t="shared" si="410"/>
        <v>0</v>
      </c>
      <c r="E552" s="5">
        <v>2012</v>
      </c>
      <c r="F552" s="5">
        <f ca="1">LOOKUP($E552,frequence!$A$2:$A$35,frequence!L$2:L$35)</f>
        <v>41.545638202606931</v>
      </c>
      <c r="G552" s="5">
        <f ca="1">LOOKUP($E552,frequence!$A$2:$A$35,frequence!K$2:K$35)</f>
        <v>3.8191206393393822</v>
      </c>
      <c r="H552" s="5">
        <f ca="1">LOOKUP($E552,frequence!$A$2:$A$35,frequence!M$2:M$35)</f>
        <v>265.64322815143237</v>
      </c>
      <c r="I552" s="18">
        <v>2007</v>
      </c>
      <c r="J552" s="7">
        <f>LOOKUP(I552,CPI!A$69:A$103,CPI!O$69:O$103)</f>
        <v>1.0516730811895323</v>
      </c>
      <c r="K552" s="5">
        <v>2010</v>
      </c>
      <c r="L552" s="7">
        <f t="shared" ca="1" si="398"/>
        <v>1</v>
      </c>
      <c r="M552" s="7">
        <f t="shared" si="425"/>
        <v>0.13777777777777778</v>
      </c>
      <c r="N552" s="14">
        <f t="shared" si="449"/>
        <v>2.2222222222222223E-2</v>
      </c>
      <c r="O552" s="1">
        <f ca="1">P552*J552*(1+Growth!G$6)^(2010-K552)</f>
        <v>44.170269409960355</v>
      </c>
      <c r="P552" s="2">
        <f t="shared" ref="P552:P580" si="457">Q552</f>
        <v>42</v>
      </c>
      <c r="Q552" s="3">
        <v>42</v>
      </c>
      <c r="R552" s="21">
        <f t="shared" ca="1" si="411"/>
        <v>1951.0126997484795</v>
      </c>
      <c r="X552" s="2">
        <f t="shared" si="419"/>
        <v>42</v>
      </c>
      <c r="AC552" s="1">
        <f t="shared" ref="AC552:AC595" si="458">SUM(AD552:AI552)</f>
        <v>6.2</v>
      </c>
      <c r="AD552" s="5">
        <v>1</v>
      </c>
      <c r="AE552" s="5">
        <v>0</v>
      </c>
      <c r="AF552" s="5">
        <v>1</v>
      </c>
      <c r="AG552" s="5">
        <v>0</v>
      </c>
      <c r="AH552" s="5">
        <v>1</v>
      </c>
      <c r="AI552" s="3">
        <f t="shared" si="409"/>
        <v>3.2</v>
      </c>
      <c r="AJ552" s="5">
        <f t="shared" si="424"/>
        <v>0</v>
      </c>
      <c r="AK552" s="5">
        <f t="shared" si="399"/>
        <v>0</v>
      </c>
      <c r="AL552" s="5">
        <f t="shared" si="400"/>
        <v>0</v>
      </c>
      <c r="AM552" s="5">
        <f t="shared" si="426"/>
        <v>0</v>
      </c>
      <c r="AN552" s="5">
        <f t="shared" si="401"/>
        <v>0</v>
      </c>
      <c r="AO552" s="5">
        <f t="shared" si="427"/>
        <v>0</v>
      </c>
      <c r="AP552" s="1">
        <v>2.5</v>
      </c>
      <c r="AQ552" s="1" t="s">
        <v>42</v>
      </c>
      <c r="AR552" s="5">
        <v>0</v>
      </c>
      <c r="AS552" s="5">
        <v>0</v>
      </c>
      <c r="AT552" s="5">
        <v>1</v>
      </c>
      <c r="AU552" s="5">
        <v>0</v>
      </c>
      <c r="AV552" s="5">
        <v>0</v>
      </c>
      <c r="AW552" s="5">
        <v>0</v>
      </c>
      <c r="AX552" s="5">
        <v>1</v>
      </c>
      <c r="AY552" s="1">
        <f t="shared" ref="AY552:AY595" si="459">AJ552*$AD552*(1-$AV552)*(1-$AR552)</f>
        <v>0</v>
      </c>
      <c r="AZ552" s="1">
        <f t="shared" ref="AZ552:AZ595" si="460">AM552*$AD552*(1-$AV552)*(1-$AR552)</f>
        <v>0</v>
      </c>
      <c r="BA552" s="1">
        <f t="shared" ref="BA552:BA595" si="461">AO552*$AD552*(1-$AV552)*(1-$AR552)</f>
        <v>0</v>
      </c>
      <c r="BB552" s="5">
        <v>0</v>
      </c>
      <c r="BC552" s="5">
        <v>0</v>
      </c>
      <c r="BD552" s="5">
        <v>0</v>
      </c>
      <c r="BE552" s="5">
        <f t="shared" ref="BE552:BE595" si="462">1-SUM(BB552:BD552)</f>
        <v>1</v>
      </c>
      <c r="BF552" s="5">
        <v>0</v>
      </c>
      <c r="BG552" s="5">
        <f t="shared" si="443"/>
        <v>0</v>
      </c>
      <c r="BH552" s="5">
        <f t="shared" si="443"/>
        <v>0</v>
      </c>
      <c r="BI552" s="5">
        <f t="shared" si="443"/>
        <v>0</v>
      </c>
      <c r="BJ552" s="5">
        <f t="shared" si="443"/>
        <v>0</v>
      </c>
      <c r="BK552" s="5">
        <f t="shared" si="443"/>
        <v>0</v>
      </c>
      <c r="BL552" s="5">
        <f t="shared" si="443"/>
        <v>0</v>
      </c>
      <c r="BM552" s="5">
        <f t="shared" si="443"/>
        <v>0</v>
      </c>
      <c r="BN552" s="5">
        <f t="shared" si="436"/>
        <v>0</v>
      </c>
      <c r="BO552" s="5">
        <f t="shared" si="436"/>
        <v>0</v>
      </c>
      <c r="BP552" s="5">
        <f t="shared" si="436"/>
        <v>0</v>
      </c>
      <c r="BQ552" s="5">
        <f t="shared" si="436"/>
        <v>0</v>
      </c>
      <c r="BR552" s="5">
        <f t="shared" si="436"/>
        <v>0</v>
      </c>
      <c r="BS552" s="5">
        <f t="shared" si="436"/>
        <v>0</v>
      </c>
      <c r="BT552" s="5">
        <f t="shared" si="436"/>
        <v>0</v>
      </c>
      <c r="BU552" s="5">
        <f t="shared" si="436"/>
        <v>0</v>
      </c>
      <c r="BV552" s="5">
        <f t="shared" si="436"/>
        <v>0</v>
      </c>
      <c r="BW552" s="5">
        <f t="shared" si="436"/>
        <v>0</v>
      </c>
      <c r="BX552" s="5">
        <f t="shared" si="436"/>
        <v>0</v>
      </c>
      <c r="BY552" s="5">
        <f t="shared" si="436"/>
        <v>0</v>
      </c>
      <c r="BZ552" s="5">
        <f t="shared" si="436"/>
        <v>0</v>
      </c>
      <c r="CA552" s="5">
        <f t="shared" si="436"/>
        <v>0</v>
      </c>
      <c r="CB552" s="5">
        <f t="shared" si="436"/>
        <v>1</v>
      </c>
      <c r="CC552" s="5">
        <f t="shared" si="456"/>
        <v>0</v>
      </c>
      <c r="CD552" s="5">
        <f t="shared" si="456"/>
        <v>0</v>
      </c>
      <c r="CE552" s="5">
        <f t="shared" si="456"/>
        <v>0</v>
      </c>
    </row>
    <row r="553" spans="1:83" x14ac:dyDescent="0.2">
      <c r="A553" s="11"/>
      <c r="B553" s="11"/>
      <c r="C553" s="1">
        <f>Growth!D558</f>
        <v>0</v>
      </c>
      <c r="D553" s="5" t="b">
        <f t="shared" si="410"/>
        <v>0</v>
      </c>
      <c r="E553" s="5">
        <v>2012</v>
      </c>
      <c r="F553" s="5">
        <f ca="1">LOOKUP($E553,frequence!$A$2:$A$35,frequence!L$2:L$35)</f>
        <v>41.545638202606931</v>
      </c>
      <c r="G553" s="5">
        <f ca="1">LOOKUP($E553,frequence!$A$2:$A$35,frequence!K$2:K$35)</f>
        <v>3.8191206393393822</v>
      </c>
      <c r="H553" s="5">
        <f ca="1">LOOKUP($E553,frequence!$A$2:$A$35,frequence!M$2:M$35)</f>
        <v>265.64322815143237</v>
      </c>
      <c r="I553" s="18">
        <v>2007</v>
      </c>
      <c r="J553" s="7">
        <f>LOOKUP(I553,CPI!A$69:A$103,CPI!O$69:O$103)</f>
        <v>1.0516730811895323</v>
      </c>
      <c r="K553" s="5">
        <v>2010</v>
      </c>
      <c r="L553" s="7">
        <f t="shared" ca="1" si="398"/>
        <v>1</v>
      </c>
      <c r="M553" s="7">
        <f t="shared" si="425"/>
        <v>0.13777777777777778</v>
      </c>
      <c r="N553" s="14">
        <f t="shared" si="449"/>
        <v>2.2222222222222223E-2</v>
      </c>
      <c r="O553" s="1">
        <f ca="1">P553*J553*(1+Growth!G$6)^(2010-K553)</f>
        <v>211.38628931909599</v>
      </c>
      <c r="P553" s="2">
        <f t="shared" si="457"/>
        <v>201</v>
      </c>
      <c r="Q553" s="3">
        <v>201</v>
      </c>
      <c r="R553" s="21">
        <f t="shared" ca="1" si="411"/>
        <v>44684.163312096556</v>
      </c>
      <c r="X553" s="2">
        <f t="shared" si="419"/>
        <v>201</v>
      </c>
      <c r="AC553" s="1">
        <f t="shared" si="458"/>
        <v>6.2</v>
      </c>
      <c r="AD553" s="5">
        <v>1</v>
      </c>
      <c r="AE553" s="5">
        <v>0</v>
      </c>
      <c r="AF553" s="5">
        <v>1</v>
      </c>
      <c r="AG553" s="5">
        <v>0</v>
      </c>
      <c r="AH553" s="5">
        <v>1</v>
      </c>
      <c r="AI553" s="3">
        <f t="shared" si="409"/>
        <v>3.2</v>
      </c>
      <c r="AJ553" s="5">
        <f t="shared" si="424"/>
        <v>0</v>
      </c>
      <c r="AK553" s="5">
        <f t="shared" si="399"/>
        <v>0</v>
      </c>
      <c r="AL553" s="5">
        <f t="shared" si="400"/>
        <v>0</v>
      </c>
      <c r="AM553" s="5">
        <f t="shared" si="426"/>
        <v>0</v>
      </c>
      <c r="AN553" s="5">
        <f t="shared" si="401"/>
        <v>0</v>
      </c>
      <c r="AO553" s="5">
        <f t="shared" si="427"/>
        <v>0</v>
      </c>
      <c r="AP553" s="1">
        <v>2.5</v>
      </c>
      <c r="AQ553" s="1" t="s">
        <v>42</v>
      </c>
      <c r="AR553" s="5">
        <v>0</v>
      </c>
      <c r="AS553" s="5">
        <v>0</v>
      </c>
      <c r="AT553" s="5">
        <v>1</v>
      </c>
      <c r="AU553" s="5">
        <v>0</v>
      </c>
      <c r="AV553" s="5">
        <v>0</v>
      </c>
      <c r="AW553" s="5">
        <v>0</v>
      </c>
      <c r="AX553" s="5">
        <v>1</v>
      </c>
      <c r="AY553" s="1">
        <f t="shared" si="459"/>
        <v>0</v>
      </c>
      <c r="AZ553" s="1">
        <f t="shared" si="460"/>
        <v>0</v>
      </c>
      <c r="BA553" s="1">
        <f t="shared" si="461"/>
        <v>0</v>
      </c>
      <c r="BB553" s="5">
        <v>0</v>
      </c>
      <c r="BC553" s="5">
        <v>0</v>
      </c>
      <c r="BD553" s="5">
        <v>0</v>
      </c>
      <c r="BE553" s="5">
        <f t="shared" si="462"/>
        <v>1</v>
      </c>
      <c r="BF553" s="5">
        <v>0</v>
      </c>
      <c r="BG553" s="5">
        <f t="shared" si="443"/>
        <v>0</v>
      </c>
      <c r="BH553" s="5">
        <f t="shared" si="443"/>
        <v>0</v>
      </c>
      <c r="BI553" s="5">
        <f t="shared" si="443"/>
        <v>0</v>
      </c>
      <c r="BJ553" s="5">
        <f t="shared" si="443"/>
        <v>0</v>
      </c>
      <c r="BK553" s="5">
        <f t="shared" si="443"/>
        <v>0</v>
      </c>
      <c r="BL553" s="5">
        <f t="shared" si="443"/>
        <v>0</v>
      </c>
      <c r="BM553" s="5">
        <f t="shared" si="443"/>
        <v>0</v>
      </c>
      <c r="BN553" s="5">
        <f t="shared" si="436"/>
        <v>0</v>
      </c>
      <c r="BO553" s="5">
        <f t="shared" si="436"/>
        <v>0</v>
      </c>
      <c r="BP553" s="5">
        <f t="shared" si="436"/>
        <v>0</v>
      </c>
      <c r="BQ553" s="5">
        <f t="shared" si="436"/>
        <v>0</v>
      </c>
      <c r="BR553" s="5">
        <f t="shared" si="436"/>
        <v>0</v>
      </c>
      <c r="BS553" s="5">
        <f t="shared" si="436"/>
        <v>0</v>
      </c>
      <c r="BT553" s="5">
        <f t="shared" si="436"/>
        <v>0</v>
      </c>
      <c r="BU553" s="5">
        <f t="shared" si="436"/>
        <v>0</v>
      </c>
      <c r="BV553" s="5">
        <f t="shared" si="436"/>
        <v>0</v>
      </c>
      <c r="BW553" s="5">
        <f t="shared" si="436"/>
        <v>0</v>
      </c>
      <c r="BX553" s="5">
        <f t="shared" si="436"/>
        <v>0</v>
      </c>
      <c r="BY553" s="5">
        <f t="shared" si="436"/>
        <v>0</v>
      </c>
      <c r="BZ553" s="5">
        <f t="shared" si="436"/>
        <v>0</v>
      </c>
      <c r="CA553" s="5">
        <f t="shared" si="436"/>
        <v>0</v>
      </c>
      <c r="CB553" s="5">
        <f t="shared" si="436"/>
        <v>1</v>
      </c>
      <c r="CC553" s="5">
        <f t="shared" si="456"/>
        <v>0</v>
      </c>
      <c r="CD553" s="5">
        <f t="shared" si="456"/>
        <v>0</v>
      </c>
      <c r="CE553" s="5">
        <f t="shared" si="456"/>
        <v>0</v>
      </c>
    </row>
    <row r="554" spans="1:83" x14ac:dyDescent="0.2">
      <c r="A554" s="11"/>
      <c r="B554" s="11"/>
      <c r="C554" s="1">
        <f>Growth!D559</f>
        <v>0</v>
      </c>
      <c r="D554" s="5" t="b">
        <f t="shared" si="410"/>
        <v>0</v>
      </c>
      <c r="E554" s="5">
        <v>2012</v>
      </c>
      <c r="F554" s="5">
        <f ca="1">LOOKUP($E554,frequence!$A$2:$A$35,frequence!L$2:L$35)</f>
        <v>41.545638202606931</v>
      </c>
      <c r="G554" s="5">
        <f ca="1">LOOKUP($E554,frequence!$A$2:$A$35,frequence!K$2:K$35)</f>
        <v>3.8191206393393822</v>
      </c>
      <c r="H554" s="5">
        <f ca="1">LOOKUP($E554,frequence!$A$2:$A$35,frequence!M$2:M$35)</f>
        <v>265.64322815143237</v>
      </c>
      <c r="I554" s="18">
        <v>2007</v>
      </c>
      <c r="J554" s="7">
        <f>LOOKUP(I554,CPI!A$69:A$103,CPI!O$69:O$103)</f>
        <v>1.0516730811895323</v>
      </c>
      <c r="K554" s="5">
        <v>2010</v>
      </c>
      <c r="L554" s="7">
        <f t="shared" ca="1" si="398"/>
        <v>1</v>
      </c>
      <c r="M554" s="7">
        <f t="shared" si="425"/>
        <v>0.13777777777777778</v>
      </c>
      <c r="N554" s="14">
        <f t="shared" si="449"/>
        <v>2.2222222222222223E-2</v>
      </c>
      <c r="O554" s="1">
        <f ca="1">P554*J554*(1+Growth!G$6)^(2010-K554)</f>
        <v>25.240153948548773</v>
      </c>
      <c r="P554" s="2">
        <f t="shared" si="457"/>
        <v>24</v>
      </c>
      <c r="Q554" s="3">
        <v>24</v>
      </c>
      <c r="R554" s="21">
        <f t="shared" ca="1" si="411"/>
        <v>637.06537134644225</v>
      </c>
      <c r="X554" s="2">
        <f t="shared" si="419"/>
        <v>24</v>
      </c>
      <c r="AC554" s="1">
        <f t="shared" si="458"/>
        <v>6.2</v>
      </c>
      <c r="AD554" s="5">
        <v>1</v>
      </c>
      <c r="AE554" s="5">
        <v>0</v>
      </c>
      <c r="AF554" s="5">
        <v>1</v>
      </c>
      <c r="AG554" s="5">
        <v>0</v>
      </c>
      <c r="AH554" s="5">
        <v>1</v>
      </c>
      <c r="AI554" s="3">
        <f t="shared" si="409"/>
        <v>3.2</v>
      </c>
      <c r="AJ554" s="5">
        <f t="shared" si="424"/>
        <v>0</v>
      </c>
      <c r="AK554" s="5">
        <f t="shared" si="399"/>
        <v>0</v>
      </c>
      <c r="AL554" s="5">
        <f t="shared" si="400"/>
        <v>0</v>
      </c>
      <c r="AM554" s="5">
        <f t="shared" si="426"/>
        <v>0</v>
      </c>
      <c r="AN554" s="5">
        <f t="shared" si="401"/>
        <v>0</v>
      </c>
      <c r="AO554" s="5">
        <f t="shared" si="427"/>
        <v>0</v>
      </c>
      <c r="AP554" s="1">
        <v>2.5</v>
      </c>
      <c r="AQ554" s="1" t="s">
        <v>42</v>
      </c>
      <c r="AR554" s="5">
        <v>0</v>
      </c>
      <c r="AS554" s="5">
        <v>0</v>
      </c>
      <c r="AT554" s="5">
        <v>1</v>
      </c>
      <c r="AU554" s="5">
        <v>0</v>
      </c>
      <c r="AV554" s="5">
        <v>0</v>
      </c>
      <c r="AW554" s="5">
        <v>0</v>
      </c>
      <c r="AX554" s="5">
        <v>1</v>
      </c>
      <c r="AY554" s="1">
        <f t="shared" si="459"/>
        <v>0</v>
      </c>
      <c r="AZ554" s="1">
        <f t="shared" si="460"/>
        <v>0</v>
      </c>
      <c r="BA554" s="1">
        <f t="shared" si="461"/>
        <v>0</v>
      </c>
      <c r="BB554" s="5">
        <v>0</v>
      </c>
      <c r="BC554" s="5">
        <v>0</v>
      </c>
      <c r="BD554" s="5">
        <v>0</v>
      </c>
      <c r="BE554" s="5">
        <f t="shared" si="462"/>
        <v>1</v>
      </c>
      <c r="BF554" s="5">
        <v>0</v>
      </c>
      <c r="BG554" s="5">
        <f t="shared" si="443"/>
        <v>0</v>
      </c>
      <c r="BH554" s="5">
        <f t="shared" si="443"/>
        <v>0</v>
      </c>
      <c r="BI554" s="5">
        <f t="shared" si="443"/>
        <v>0</v>
      </c>
      <c r="BJ554" s="5">
        <f t="shared" si="443"/>
        <v>0</v>
      </c>
      <c r="BK554" s="5">
        <f t="shared" si="443"/>
        <v>0</v>
      </c>
      <c r="BL554" s="5">
        <f t="shared" si="443"/>
        <v>0</v>
      </c>
      <c r="BM554" s="5">
        <f t="shared" si="443"/>
        <v>0</v>
      </c>
      <c r="BN554" s="5">
        <f t="shared" si="436"/>
        <v>0</v>
      </c>
      <c r="BO554" s="5">
        <f t="shared" si="436"/>
        <v>0</v>
      </c>
      <c r="BP554" s="5">
        <f t="shared" si="436"/>
        <v>0</v>
      </c>
      <c r="BQ554" s="5">
        <f t="shared" si="436"/>
        <v>0</v>
      </c>
      <c r="BR554" s="5">
        <f t="shared" si="436"/>
        <v>0</v>
      </c>
      <c r="BS554" s="5">
        <f t="shared" si="436"/>
        <v>0</v>
      </c>
      <c r="BT554" s="5">
        <f t="shared" si="436"/>
        <v>0</v>
      </c>
      <c r="BU554" s="5">
        <f t="shared" si="436"/>
        <v>0</v>
      </c>
      <c r="BV554" s="5">
        <f t="shared" si="436"/>
        <v>0</v>
      </c>
      <c r="BW554" s="5">
        <f t="shared" si="436"/>
        <v>0</v>
      </c>
      <c r="BX554" s="5">
        <f t="shared" si="436"/>
        <v>0</v>
      </c>
      <c r="BY554" s="5">
        <f t="shared" si="436"/>
        <v>0</v>
      </c>
      <c r="BZ554" s="5">
        <f t="shared" si="436"/>
        <v>0</v>
      </c>
      <c r="CA554" s="5">
        <f t="shared" si="436"/>
        <v>0</v>
      </c>
      <c r="CB554" s="5">
        <f t="shared" si="436"/>
        <v>1</v>
      </c>
      <c r="CC554" s="5">
        <f t="shared" si="456"/>
        <v>0</v>
      </c>
      <c r="CD554" s="5">
        <f t="shared" si="456"/>
        <v>0</v>
      </c>
      <c r="CE554" s="5">
        <f t="shared" si="456"/>
        <v>0</v>
      </c>
    </row>
    <row r="555" spans="1:83" x14ac:dyDescent="0.2">
      <c r="A555" s="11"/>
      <c r="B555" s="11"/>
      <c r="C555" s="1">
        <f>Growth!D560</f>
        <v>0</v>
      </c>
      <c r="D555" s="5" t="b">
        <f t="shared" si="410"/>
        <v>0</v>
      </c>
      <c r="E555" s="5">
        <v>2012</v>
      </c>
      <c r="F555" s="5">
        <f ca="1">LOOKUP($E555,frequence!$A$2:$A$35,frequence!L$2:L$35)</f>
        <v>41.545638202606931</v>
      </c>
      <c r="G555" s="5">
        <f ca="1">LOOKUP($E555,frequence!$A$2:$A$35,frequence!K$2:K$35)</f>
        <v>3.8191206393393822</v>
      </c>
      <c r="H555" s="5">
        <f ca="1">LOOKUP($E555,frequence!$A$2:$A$35,frequence!M$2:M$35)</f>
        <v>265.64322815143237</v>
      </c>
      <c r="I555" s="18">
        <v>2007</v>
      </c>
      <c r="J555" s="7">
        <f>LOOKUP(I555,CPI!A$69:A$103,CPI!O$69:O$103)</f>
        <v>1.0516730811895323</v>
      </c>
      <c r="K555" s="5">
        <v>2010</v>
      </c>
      <c r="L555" s="7">
        <f t="shared" ca="1" si="398"/>
        <v>1</v>
      </c>
      <c r="M555" s="7">
        <f t="shared" si="425"/>
        <v>0.13777777777777778</v>
      </c>
      <c r="N555" s="14">
        <f t="shared" si="449"/>
        <v>2.2222222222222223E-2</v>
      </c>
      <c r="O555" s="1">
        <f ca="1">P555*J555*(1+Growth!G$6)^(2010-K555)</f>
        <v>52.583654059476615</v>
      </c>
      <c r="P555" s="2">
        <f t="shared" si="457"/>
        <v>50</v>
      </c>
      <c r="Q555" s="3">
        <v>50</v>
      </c>
      <c r="R555" s="21">
        <f t="shared" ca="1" si="411"/>
        <v>2765.0406742467117</v>
      </c>
      <c r="X555" s="2">
        <f t="shared" si="419"/>
        <v>50</v>
      </c>
      <c r="AC555" s="1">
        <f t="shared" si="458"/>
        <v>6.2</v>
      </c>
      <c r="AD555" s="5">
        <v>1</v>
      </c>
      <c r="AE555" s="5">
        <v>0</v>
      </c>
      <c r="AF555" s="5">
        <v>1</v>
      </c>
      <c r="AG555" s="5">
        <v>0</v>
      </c>
      <c r="AH555" s="5">
        <v>1</v>
      </c>
      <c r="AI555" s="3">
        <f t="shared" si="409"/>
        <v>3.2</v>
      </c>
      <c r="AJ555" s="5">
        <f t="shared" si="424"/>
        <v>0</v>
      </c>
      <c r="AK555" s="5">
        <f t="shared" si="399"/>
        <v>0</v>
      </c>
      <c r="AL555" s="5">
        <f t="shared" si="400"/>
        <v>0</v>
      </c>
      <c r="AM555" s="5">
        <f t="shared" si="426"/>
        <v>0</v>
      </c>
      <c r="AN555" s="5">
        <f t="shared" si="401"/>
        <v>0</v>
      </c>
      <c r="AO555" s="5">
        <f t="shared" si="427"/>
        <v>0</v>
      </c>
      <c r="AP555" s="1">
        <v>2.5</v>
      </c>
      <c r="AQ555" s="1" t="s">
        <v>42</v>
      </c>
      <c r="AR555" s="5">
        <v>0</v>
      </c>
      <c r="AS555" s="5">
        <v>0</v>
      </c>
      <c r="AT555" s="5">
        <v>1</v>
      </c>
      <c r="AU555" s="5">
        <v>0</v>
      </c>
      <c r="AV555" s="5">
        <v>0</v>
      </c>
      <c r="AW555" s="5">
        <v>0</v>
      </c>
      <c r="AX555" s="5">
        <v>1</v>
      </c>
      <c r="AY555" s="1">
        <f t="shared" si="459"/>
        <v>0</v>
      </c>
      <c r="AZ555" s="1">
        <f t="shared" si="460"/>
        <v>0</v>
      </c>
      <c r="BA555" s="1">
        <f t="shared" si="461"/>
        <v>0</v>
      </c>
      <c r="BB555" s="5">
        <v>0</v>
      </c>
      <c r="BC555" s="5">
        <v>0</v>
      </c>
      <c r="BD555" s="5">
        <v>0</v>
      </c>
      <c r="BE555" s="5">
        <f t="shared" si="462"/>
        <v>1</v>
      </c>
      <c r="BF555" s="5">
        <v>0</v>
      </c>
      <c r="BG555" s="5">
        <f t="shared" si="443"/>
        <v>0</v>
      </c>
      <c r="BH555" s="5">
        <f t="shared" si="443"/>
        <v>0</v>
      </c>
      <c r="BI555" s="5">
        <f t="shared" si="443"/>
        <v>0</v>
      </c>
      <c r="BJ555" s="5">
        <f t="shared" si="443"/>
        <v>0</v>
      </c>
      <c r="BK555" s="5">
        <f t="shared" si="443"/>
        <v>0</v>
      </c>
      <c r="BL555" s="5">
        <f t="shared" si="443"/>
        <v>0</v>
      </c>
      <c r="BM555" s="5">
        <f t="shared" si="443"/>
        <v>0</v>
      </c>
      <c r="BN555" s="5">
        <f t="shared" si="436"/>
        <v>0</v>
      </c>
      <c r="BO555" s="5">
        <f t="shared" si="436"/>
        <v>0</v>
      </c>
      <c r="BP555" s="5">
        <f t="shared" si="436"/>
        <v>0</v>
      </c>
      <c r="BQ555" s="5">
        <f t="shared" si="436"/>
        <v>0</v>
      </c>
      <c r="BR555" s="5">
        <f t="shared" si="436"/>
        <v>0</v>
      </c>
      <c r="BS555" s="5">
        <f t="shared" si="436"/>
        <v>0</v>
      </c>
      <c r="BT555" s="5">
        <f t="shared" si="436"/>
        <v>0</v>
      </c>
      <c r="BU555" s="5">
        <f t="shared" si="436"/>
        <v>0</v>
      </c>
      <c r="BV555" s="5">
        <f t="shared" si="436"/>
        <v>0</v>
      </c>
      <c r="BW555" s="5">
        <f t="shared" si="436"/>
        <v>0</v>
      </c>
      <c r="BX555" s="5">
        <f t="shared" si="436"/>
        <v>0</v>
      </c>
      <c r="BY555" s="5">
        <f t="shared" si="436"/>
        <v>0</v>
      </c>
      <c r="BZ555" s="5">
        <f t="shared" si="436"/>
        <v>0</v>
      </c>
      <c r="CA555" s="5">
        <f t="shared" si="436"/>
        <v>0</v>
      </c>
      <c r="CB555" s="5">
        <f t="shared" si="436"/>
        <v>1</v>
      </c>
      <c r="CC555" s="5">
        <f t="shared" si="456"/>
        <v>0</v>
      </c>
      <c r="CD555" s="5">
        <f t="shared" si="456"/>
        <v>0</v>
      </c>
      <c r="CE555" s="5">
        <f t="shared" si="456"/>
        <v>0</v>
      </c>
    </row>
    <row r="556" spans="1:83" x14ac:dyDescent="0.2">
      <c r="A556" s="11"/>
      <c r="B556" s="11"/>
      <c r="C556" s="1">
        <f>Growth!D561</f>
        <v>0</v>
      </c>
      <c r="D556" s="5" t="b">
        <f t="shared" si="410"/>
        <v>0</v>
      </c>
      <c r="E556" s="5">
        <v>2012</v>
      </c>
      <c r="F556" s="5">
        <f ca="1">LOOKUP($E556,frequence!$A$2:$A$35,frequence!L$2:L$35)</f>
        <v>41.545638202606931</v>
      </c>
      <c r="G556" s="5">
        <f ca="1">LOOKUP($E556,frequence!$A$2:$A$35,frequence!K$2:K$35)</f>
        <v>3.8191206393393822</v>
      </c>
      <c r="H556" s="5">
        <f ca="1">LOOKUP($E556,frequence!$A$2:$A$35,frequence!M$2:M$35)</f>
        <v>265.64322815143237</v>
      </c>
      <c r="I556" s="18">
        <v>2007</v>
      </c>
      <c r="J556" s="7">
        <f>LOOKUP(I556,CPI!A$69:A$103,CPI!O$69:O$103)</f>
        <v>1.0516730811895323</v>
      </c>
      <c r="K556" s="5">
        <v>2010</v>
      </c>
      <c r="L556" s="7">
        <f t="shared" ca="1" si="398"/>
        <v>1</v>
      </c>
      <c r="M556" s="7">
        <f t="shared" si="425"/>
        <v>0.13777777777777778</v>
      </c>
      <c r="N556" s="14">
        <f t="shared" si="449"/>
        <v>2.2222222222222223E-2</v>
      </c>
      <c r="O556" s="1">
        <f ca="1">P556*J556*(1+Growth!G$6)^(2010-K556)</f>
        <v>216.64465472504367</v>
      </c>
      <c r="P556" s="2">
        <f t="shared" si="457"/>
        <v>206</v>
      </c>
      <c r="Q556" s="3">
        <v>206</v>
      </c>
      <c r="R556" s="21">
        <f t="shared" ca="1" si="411"/>
        <v>46934.906420933381</v>
      </c>
      <c r="X556" s="2">
        <f t="shared" si="419"/>
        <v>206</v>
      </c>
      <c r="AC556" s="1">
        <f t="shared" si="458"/>
        <v>6.2</v>
      </c>
      <c r="AD556" s="5">
        <v>1</v>
      </c>
      <c r="AE556" s="5">
        <v>0</v>
      </c>
      <c r="AF556" s="5">
        <v>1</v>
      </c>
      <c r="AG556" s="5">
        <v>0</v>
      </c>
      <c r="AH556" s="5">
        <v>1</v>
      </c>
      <c r="AI556" s="3">
        <f t="shared" si="409"/>
        <v>3.2</v>
      </c>
      <c r="AJ556" s="5">
        <f t="shared" si="424"/>
        <v>0</v>
      </c>
      <c r="AK556" s="5">
        <f t="shared" si="399"/>
        <v>0</v>
      </c>
      <c r="AL556" s="5">
        <f t="shared" si="400"/>
        <v>0</v>
      </c>
      <c r="AM556" s="5">
        <f t="shared" si="426"/>
        <v>0</v>
      </c>
      <c r="AN556" s="5">
        <f t="shared" si="401"/>
        <v>0</v>
      </c>
      <c r="AO556" s="5">
        <f t="shared" si="427"/>
        <v>0</v>
      </c>
      <c r="AP556" s="1">
        <v>2.5</v>
      </c>
      <c r="AQ556" s="1" t="s">
        <v>42</v>
      </c>
      <c r="AR556" s="5">
        <v>0</v>
      </c>
      <c r="AS556" s="5">
        <v>0</v>
      </c>
      <c r="AT556" s="5">
        <v>1</v>
      </c>
      <c r="AU556" s="5">
        <v>0</v>
      </c>
      <c r="AV556" s="5">
        <v>0</v>
      </c>
      <c r="AW556" s="5">
        <v>0</v>
      </c>
      <c r="AX556" s="5">
        <v>1</v>
      </c>
      <c r="AY556" s="1">
        <f t="shared" si="459"/>
        <v>0</v>
      </c>
      <c r="AZ556" s="1">
        <f t="shared" si="460"/>
        <v>0</v>
      </c>
      <c r="BA556" s="1">
        <f t="shared" si="461"/>
        <v>0</v>
      </c>
      <c r="BB556" s="5">
        <v>0</v>
      </c>
      <c r="BC556" s="5">
        <v>0</v>
      </c>
      <c r="BD556" s="5">
        <v>0</v>
      </c>
      <c r="BE556" s="5">
        <f t="shared" si="462"/>
        <v>1</v>
      </c>
      <c r="BF556" s="5">
        <v>0</v>
      </c>
      <c r="BG556" s="5">
        <f t="shared" si="443"/>
        <v>0</v>
      </c>
      <c r="BH556" s="5">
        <f t="shared" si="443"/>
        <v>0</v>
      </c>
      <c r="BI556" s="5">
        <f t="shared" si="443"/>
        <v>0</v>
      </c>
      <c r="BJ556" s="5">
        <f t="shared" si="443"/>
        <v>0</v>
      </c>
      <c r="BK556" s="5">
        <f t="shared" si="443"/>
        <v>0</v>
      </c>
      <c r="BL556" s="5">
        <f t="shared" si="443"/>
        <v>0</v>
      </c>
      <c r="BM556" s="5">
        <f t="shared" si="443"/>
        <v>0</v>
      </c>
      <c r="BN556" s="5">
        <f t="shared" si="436"/>
        <v>0</v>
      </c>
      <c r="BO556" s="5">
        <f t="shared" si="436"/>
        <v>0</v>
      </c>
      <c r="BP556" s="5">
        <f t="shared" si="436"/>
        <v>0</v>
      </c>
      <c r="BQ556" s="5">
        <f t="shared" si="436"/>
        <v>0</v>
      </c>
      <c r="BR556" s="5">
        <f t="shared" si="436"/>
        <v>0</v>
      </c>
      <c r="BS556" s="5">
        <f t="shared" si="436"/>
        <v>0</v>
      </c>
      <c r="BT556" s="5">
        <f t="shared" si="436"/>
        <v>0</v>
      </c>
      <c r="BU556" s="5">
        <f t="shared" si="436"/>
        <v>0</v>
      </c>
      <c r="BV556" s="5">
        <f t="shared" si="436"/>
        <v>0</v>
      </c>
      <c r="BW556" s="5">
        <f t="shared" si="436"/>
        <v>0</v>
      </c>
      <c r="BX556" s="5">
        <f t="shared" si="436"/>
        <v>0</v>
      </c>
      <c r="BY556" s="5">
        <f t="shared" si="436"/>
        <v>0</v>
      </c>
      <c r="BZ556" s="5">
        <f t="shared" si="436"/>
        <v>0</v>
      </c>
      <c r="CA556" s="5">
        <f t="shared" si="436"/>
        <v>0</v>
      </c>
      <c r="CB556" s="5">
        <f t="shared" si="436"/>
        <v>1</v>
      </c>
      <c r="CC556" s="5">
        <f t="shared" si="456"/>
        <v>0</v>
      </c>
      <c r="CD556" s="5">
        <f t="shared" si="456"/>
        <v>0</v>
      </c>
      <c r="CE556" s="5">
        <f t="shared" si="456"/>
        <v>0</v>
      </c>
    </row>
    <row r="557" spans="1:83" x14ac:dyDescent="0.2">
      <c r="A557" s="11"/>
      <c r="B557" s="11"/>
      <c r="C557" s="1">
        <f>Growth!D562</f>
        <v>0</v>
      </c>
      <c r="D557" s="5" t="b">
        <f t="shared" si="410"/>
        <v>0</v>
      </c>
      <c r="E557" s="5">
        <v>2012</v>
      </c>
      <c r="F557" s="5">
        <f ca="1">LOOKUP($E557,frequence!$A$2:$A$35,frequence!L$2:L$35)</f>
        <v>41.545638202606931</v>
      </c>
      <c r="G557" s="5">
        <f ca="1">LOOKUP($E557,frequence!$A$2:$A$35,frequence!K$2:K$35)</f>
        <v>3.8191206393393822</v>
      </c>
      <c r="H557" s="5">
        <f ca="1">LOOKUP($E557,frequence!$A$2:$A$35,frequence!M$2:M$35)</f>
        <v>265.64322815143237</v>
      </c>
      <c r="I557" s="18">
        <v>2007</v>
      </c>
      <c r="J557" s="7">
        <f>LOOKUP(I557,CPI!A$69:A$103,CPI!O$69:O$103)</f>
        <v>1.0516730811895323</v>
      </c>
      <c r="K557" s="5">
        <v>2010</v>
      </c>
      <c r="L557" s="7">
        <f t="shared" ca="1" si="398"/>
        <v>1</v>
      </c>
      <c r="M557" s="7">
        <f t="shared" si="425"/>
        <v>0.13777777777777778</v>
      </c>
      <c r="N557" s="14">
        <f t="shared" si="449"/>
        <v>2.2222222222222223E-2</v>
      </c>
      <c r="O557" s="1">
        <f ca="1">P557*J557*(1+Growth!G$6)^(2010-K557)</f>
        <v>11.568403893084856</v>
      </c>
      <c r="P557" s="2">
        <f t="shared" si="457"/>
        <v>11</v>
      </c>
      <c r="Q557" s="3">
        <v>11</v>
      </c>
      <c r="R557" s="21">
        <f t="shared" ca="1" si="411"/>
        <v>133.82796863354085</v>
      </c>
      <c r="X557" s="2">
        <f t="shared" si="419"/>
        <v>11</v>
      </c>
      <c r="AC557" s="1">
        <f t="shared" si="458"/>
        <v>6.2</v>
      </c>
      <c r="AD557" s="5">
        <v>1</v>
      </c>
      <c r="AE557" s="5">
        <v>0</v>
      </c>
      <c r="AF557" s="5">
        <v>1</v>
      </c>
      <c r="AG557" s="5">
        <v>0</v>
      </c>
      <c r="AH557" s="5">
        <v>1</v>
      </c>
      <c r="AI557" s="3">
        <f t="shared" si="409"/>
        <v>3.2</v>
      </c>
      <c r="AJ557" s="5">
        <f t="shared" si="424"/>
        <v>0</v>
      </c>
      <c r="AK557" s="5">
        <f t="shared" si="399"/>
        <v>0</v>
      </c>
      <c r="AL557" s="5">
        <f t="shared" si="400"/>
        <v>0</v>
      </c>
      <c r="AM557" s="5">
        <f t="shared" si="426"/>
        <v>0</v>
      </c>
      <c r="AN557" s="5">
        <f t="shared" si="401"/>
        <v>0</v>
      </c>
      <c r="AO557" s="5">
        <f t="shared" si="427"/>
        <v>0</v>
      </c>
      <c r="AP557" s="1">
        <v>2.5</v>
      </c>
      <c r="AQ557" s="1" t="s">
        <v>42</v>
      </c>
      <c r="AR557" s="5">
        <v>0</v>
      </c>
      <c r="AS557" s="5">
        <v>0</v>
      </c>
      <c r="AT557" s="5">
        <v>1</v>
      </c>
      <c r="AU557" s="5">
        <v>0</v>
      </c>
      <c r="AV557" s="5">
        <v>0</v>
      </c>
      <c r="AW557" s="5">
        <v>0</v>
      </c>
      <c r="AX557" s="5">
        <v>1</v>
      </c>
      <c r="AY557" s="1">
        <f t="shared" si="459"/>
        <v>0</v>
      </c>
      <c r="AZ557" s="1">
        <f t="shared" si="460"/>
        <v>0</v>
      </c>
      <c r="BA557" s="1">
        <f t="shared" si="461"/>
        <v>0</v>
      </c>
      <c r="BB557" s="5">
        <v>0</v>
      </c>
      <c r="BC557" s="5">
        <v>0</v>
      </c>
      <c r="BD557" s="5">
        <v>0</v>
      </c>
      <c r="BE557" s="5">
        <f t="shared" si="462"/>
        <v>1</v>
      </c>
      <c r="BF557" s="5">
        <v>0</v>
      </c>
      <c r="BG557" s="5">
        <f t="shared" si="443"/>
        <v>0</v>
      </c>
      <c r="BH557" s="5">
        <f t="shared" si="443"/>
        <v>0</v>
      </c>
      <c r="BI557" s="5">
        <f t="shared" si="443"/>
        <v>0</v>
      </c>
      <c r="BJ557" s="5">
        <f t="shared" si="443"/>
        <v>0</v>
      </c>
      <c r="BK557" s="5">
        <f t="shared" si="443"/>
        <v>0</v>
      </c>
      <c r="BL557" s="5">
        <f t="shared" si="443"/>
        <v>0</v>
      </c>
      <c r="BM557" s="5">
        <f t="shared" si="443"/>
        <v>0</v>
      </c>
      <c r="BN557" s="5">
        <f t="shared" si="436"/>
        <v>0</v>
      </c>
      <c r="BO557" s="5">
        <f t="shared" si="436"/>
        <v>0</v>
      </c>
      <c r="BP557" s="5">
        <f t="shared" si="436"/>
        <v>0</v>
      </c>
      <c r="BQ557" s="5">
        <f t="shared" si="436"/>
        <v>0</v>
      </c>
      <c r="BR557" s="5">
        <f t="shared" si="436"/>
        <v>0</v>
      </c>
      <c r="BS557" s="5">
        <f t="shared" si="436"/>
        <v>0</v>
      </c>
      <c r="BT557" s="5">
        <f t="shared" si="436"/>
        <v>0</v>
      </c>
      <c r="BU557" s="5">
        <f t="shared" si="436"/>
        <v>0</v>
      </c>
      <c r="BV557" s="5">
        <f t="shared" si="436"/>
        <v>0</v>
      </c>
      <c r="BW557" s="5">
        <f t="shared" si="436"/>
        <v>0</v>
      </c>
      <c r="BX557" s="5">
        <f t="shared" si="436"/>
        <v>0</v>
      </c>
      <c r="BY557" s="5">
        <f t="shared" si="436"/>
        <v>0</v>
      </c>
      <c r="BZ557" s="5">
        <f t="shared" si="436"/>
        <v>0</v>
      </c>
      <c r="CA557" s="5">
        <f t="shared" si="436"/>
        <v>0</v>
      </c>
      <c r="CB557" s="5">
        <f t="shared" si="436"/>
        <v>1</v>
      </c>
      <c r="CC557" s="5">
        <f t="shared" si="456"/>
        <v>0</v>
      </c>
      <c r="CD557" s="5">
        <f t="shared" si="456"/>
        <v>0</v>
      </c>
      <c r="CE557" s="5">
        <f t="shared" si="456"/>
        <v>0</v>
      </c>
    </row>
    <row r="558" spans="1:83" x14ac:dyDescent="0.2">
      <c r="A558" s="11"/>
      <c r="B558" s="11"/>
      <c r="C558" s="1">
        <f>Growth!D563</f>
        <v>0</v>
      </c>
      <c r="D558" s="5" t="b">
        <f t="shared" si="410"/>
        <v>0</v>
      </c>
      <c r="E558" s="5">
        <v>2012</v>
      </c>
      <c r="F558" s="5">
        <f ca="1">LOOKUP($E558,frequence!$A$2:$A$35,frequence!L$2:L$35)</f>
        <v>41.545638202606931</v>
      </c>
      <c r="G558" s="5">
        <f ca="1">LOOKUP($E558,frequence!$A$2:$A$35,frequence!K$2:K$35)</f>
        <v>3.8191206393393822</v>
      </c>
      <c r="H558" s="5">
        <f ca="1">LOOKUP($E558,frequence!$A$2:$A$35,frequence!M$2:M$35)</f>
        <v>265.64322815143237</v>
      </c>
      <c r="I558" s="18">
        <v>2007</v>
      </c>
      <c r="J558" s="7">
        <f>LOOKUP(I558,CPI!A$69:A$103,CPI!O$69:O$103)</f>
        <v>1.0516730811895323</v>
      </c>
      <c r="K558" s="5">
        <v>2010</v>
      </c>
      <c r="L558" s="7">
        <f t="shared" ca="1" si="398"/>
        <v>1</v>
      </c>
      <c r="M558" s="7">
        <f t="shared" si="425"/>
        <v>0.13777777777777778</v>
      </c>
      <c r="N558" s="14">
        <f t="shared" si="449"/>
        <v>2.2222222222222223E-2</v>
      </c>
      <c r="O558" s="1">
        <f ca="1">P558*J558*(1+Growth!G$6)^(2010-K558)</f>
        <v>28.395173192117372</v>
      </c>
      <c r="P558" s="2">
        <f t="shared" si="457"/>
        <v>27</v>
      </c>
      <c r="Q558" s="3">
        <v>27</v>
      </c>
      <c r="R558" s="21">
        <f t="shared" ca="1" si="411"/>
        <v>806.28586061034105</v>
      </c>
      <c r="X558" s="2">
        <f t="shared" si="419"/>
        <v>27</v>
      </c>
      <c r="AC558" s="1">
        <f t="shared" si="458"/>
        <v>6.2</v>
      </c>
      <c r="AD558" s="5">
        <v>1</v>
      </c>
      <c r="AE558" s="5">
        <v>0</v>
      </c>
      <c r="AF558" s="5">
        <v>1</v>
      </c>
      <c r="AG558" s="5">
        <v>0</v>
      </c>
      <c r="AH558" s="5">
        <v>1</v>
      </c>
      <c r="AI558" s="3">
        <f t="shared" si="409"/>
        <v>3.2</v>
      </c>
      <c r="AJ558" s="5">
        <f t="shared" si="424"/>
        <v>0</v>
      </c>
      <c r="AK558" s="5">
        <f t="shared" si="399"/>
        <v>0</v>
      </c>
      <c r="AL558" s="5">
        <f t="shared" si="400"/>
        <v>0</v>
      </c>
      <c r="AM558" s="5">
        <f t="shared" si="426"/>
        <v>0</v>
      </c>
      <c r="AN558" s="5">
        <f t="shared" si="401"/>
        <v>0</v>
      </c>
      <c r="AO558" s="5">
        <f t="shared" si="427"/>
        <v>0</v>
      </c>
      <c r="AP558" s="1">
        <v>2.5</v>
      </c>
      <c r="AQ558" s="1" t="s">
        <v>42</v>
      </c>
      <c r="AR558" s="5">
        <v>0</v>
      </c>
      <c r="AS558" s="5">
        <v>0</v>
      </c>
      <c r="AT558" s="5">
        <v>1</v>
      </c>
      <c r="AU558" s="5">
        <v>0</v>
      </c>
      <c r="AV558" s="5">
        <v>0</v>
      </c>
      <c r="AW558" s="5">
        <v>0</v>
      </c>
      <c r="AX558" s="5">
        <v>1</v>
      </c>
      <c r="AY558" s="1">
        <f t="shared" si="459"/>
        <v>0</v>
      </c>
      <c r="AZ558" s="1">
        <f t="shared" si="460"/>
        <v>0</v>
      </c>
      <c r="BA558" s="1">
        <f t="shared" si="461"/>
        <v>0</v>
      </c>
      <c r="BB558" s="5">
        <v>0</v>
      </c>
      <c r="BC558" s="5">
        <v>0</v>
      </c>
      <c r="BD558" s="5">
        <v>0</v>
      </c>
      <c r="BE558" s="5">
        <f t="shared" si="462"/>
        <v>1</v>
      </c>
      <c r="BF558" s="5">
        <v>0</v>
      </c>
      <c r="BG558" s="5">
        <f t="shared" si="443"/>
        <v>0</v>
      </c>
      <c r="BH558" s="5">
        <f t="shared" si="443"/>
        <v>0</v>
      </c>
      <c r="BI558" s="5">
        <f t="shared" si="443"/>
        <v>0</v>
      </c>
      <c r="BJ558" s="5">
        <f t="shared" si="443"/>
        <v>0</v>
      </c>
      <c r="BK558" s="5">
        <f t="shared" si="443"/>
        <v>0</v>
      </c>
      <c r="BL558" s="5">
        <f t="shared" si="443"/>
        <v>0</v>
      </c>
      <c r="BM558" s="5">
        <f t="shared" si="443"/>
        <v>0</v>
      </c>
      <c r="BN558" s="5">
        <f t="shared" si="436"/>
        <v>0</v>
      </c>
      <c r="BO558" s="5">
        <f t="shared" si="436"/>
        <v>0</v>
      </c>
      <c r="BP558" s="5">
        <f t="shared" si="436"/>
        <v>0</v>
      </c>
      <c r="BQ558" s="5">
        <f t="shared" si="436"/>
        <v>0</v>
      </c>
      <c r="BR558" s="5">
        <f t="shared" si="436"/>
        <v>0</v>
      </c>
      <c r="BS558" s="5">
        <f t="shared" si="436"/>
        <v>0</v>
      </c>
      <c r="BT558" s="5">
        <f t="shared" si="436"/>
        <v>0</v>
      </c>
      <c r="BU558" s="5">
        <f t="shared" si="436"/>
        <v>0</v>
      </c>
      <c r="BV558" s="5">
        <f t="shared" si="436"/>
        <v>0</v>
      </c>
      <c r="BW558" s="5">
        <f t="shared" si="436"/>
        <v>0</v>
      </c>
      <c r="BX558" s="5">
        <f t="shared" si="436"/>
        <v>0</v>
      </c>
      <c r="BY558" s="5">
        <f t="shared" si="436"/>
        <v>0</v>
      </c>
      <c r="BZ558" s="5">
        <f t="shared" si="436"/>
        <v>0</v>
      </c>
      <c r="CA558" s="5">
        <f t="shared" si="436"/>
        <v>0</v>
      </c>
      <c r="CB558" s="5">
        <f t="shared" si="436"/>
        <v>1</v>
      </c>
      <c r="CC558" s="5">
        <f t="shared" si="456"/>
        <v>0</v>
      </c>
      <c r="CD558" s="5">
        <f t="shared" si="456"/>
        <v>0</v>
      </c>
      <c r="CE558" s="5">
        <f t="shared" si="456"/>
        <v>0</v>
      </c>
    </row>
    <row r="559" spans="1:83" x14ac:dyDescent="0.2">
      <c r="A559" s="11"/>
      <c r="B559" s="11"/>
      <c r="C559" s="1">
        <f>Growth!D564</f>
        <v>0</v>
      </c>
      <c r="D559" s="5" t="b">
        <f t="shared" si="410"/>
        <v>0</v>
      </c>
      <c r="E559" s="5">
        <v>2012</v>
      </c>
      <c r="F559" s="5">
        <f ca="1">LOOKUP($E559,frequence!$A$2:$A$35,frequence!L$2:L$35)</f>
        <v>41.545638202606931</v>
      </c>
      <c r="G559" s="5">
        <f ca="1">LOOKUP($E559,frequence!$A$2:$A$35,frequence!K$2:K$35)</f>
        <v>3.8191206393393822</v>
      </c>
      <c r="H559" s="5">
        <f ca="1">LOOKUP($E559,frequence!$A$2:$A$35,frequence!M$2:M$35)</f>
        <v>265.64322815143237</v>
      </c>
      <c r="I559" s="18">
        <v>2007</v>
      </c>
      <c r="J559" s="7">
        <f>LOOKUP(I559,CPI!A$69:A$103,CPI!O$69:O$103)</f>
        <v>1.0516730811895323</v>
      </c>
      <c r="K559" s="5">
        <v>2010</v>
      </c>
      <c r="L559" s="7">
        <f t="shared" ca="1" si="398"/>
        <v>1</v>
      </c>
      <c r="M559" s="7">
        <f t="shared" si="425"/>
        <v>0.13777777777777778</v>
      </c>
      <c r="N559" s="14">
        <f t="shared" si="449"/>
        <v>2.2222222222222223E-2</v>
      </c>
      <c r="O559" s="1">
        <f ca="1">P559*J559*(1+Growth!G$6)^(2010-K559)</f>
        <v>135.66582747344967</v>
      </c>
      <c r="P559" s="2">
        <f t="shared" si="457"/>
        <v>129</v>
      </c>
      <c r="Q559" s="3">
        <v>129</v>
      </c>
      <c r="R559" s="21">
        <f t="shared" ca="1" si="411"/>
        <v>18405.216744055811</v>
      </c>
      <c r="X559" s="2">
        <f t="shared" si="419"/>
        <v>129</v>
      </c>
      <c r="AC559" s="1">
        <f t="shared" si="458"/>
        <v>6.2</v>
      </c>
      <c r="AD559" s="5">
        <v>1</v>
      </c>
      <c r="AE559" s="5">
        <v>0</v>
      </c>
      <c r="AF559" s="5">
        <v>1</v>
      </c>
      <c r="AG559" s="5">
        <v>0</v>
      </c>
      <c r="AH559" s="5">
        <v>1</v>
      </c>
      <c r="AI559" s="3">
        <f t="shared" si="409"/>
        <v>3.2</v>
      </c>
      <c r="AJ559" s="5">
        <f t="shared" si="424"/>
        <v>0</v>
      </c>
      <c r="AK559" s="5">
        <f t="shared" si="399"/>
        <v>0</v>
      </c>
      <c r="AL559" s="5">
        <f t="shared" si="400"/>
        <v>0</v>
      </c>
      <c r="AM559" s="5">
        <f t="shared" si="426"/>
        <v>0</v>
      </c>
      <c r="AN559" s="5">
        <f t="shared" si="401"/>
        <v>0</v>
      </c>
      <c r="AO559" s="5">
        <f t="shared" si="427"/>
        <v>0</v>
      </c>
      <c r="AP559" s="1">
        <v>2.5</v>
      </c>
      <c r="AQ559" s="1" t="s">
        <v>42</v>
      </c>
      <c r="AR559" s="5">
        <v>0</v>
      </c>
      <c r="AS559" s="5">
        <v>0</v>
      </c>
      <c r="AT559" s="5">
        <v>1</v>
      </c>
      <c r="AU559" s="5">
        <v>0</v>
      </c>
      <c r="AV559" s="5">
        <v>0</v>
      </c>
      <c r="AW559" s="5">
        <v>0</v>
      </c>
      <c r="AX559" s="5">
        <v>1</v>
      </c>
      <c r="AY559" s="1">
        <f t="shared" si="459"/>
        <v>0</v>
      </c>
      <c r="AZ559" s="1">
        <f t="shared" si="460"/>
        <v>0</v>
      </c>
      <c r="BA559" s="1">
        <f t="shared" si="461"/>
        <v>0</v>
      </c>
      <c r="BB559" s="5">
        <v>0</v>
      </c>
      <c r="BC559" s="5">
        <v>0</v>
      </c>
      <c r="BD559" s="5">
        <v>0</v>
      </c>
      <c r="BE559" s="5">
        <f t="shared" si="462"/>
        <v>1</v>
      </c>
      <c r="BF559" s="5">
        <v>0</v>
      </c>
      <c r="BG559" s="5">
        <f t="shared" si="443"/>
        <v>0</v>
      </c>
      <c r="BH559" s="5">
        <f t="shared" si="443"/>
        <v>0</v>
      </c>
      <c r="BI559" s="5">
        <f t="shared" si="443"/>
        <v>0</v>
      </c>
      <c r="BJ559" s="5">
        <f t="shared" si="443"/>
        <v>0</v>
      </c>
      <c r="BK559" s="5">
        <f t="shared" si="443"/>
        <v>0</v>
      </c>
      <c r="BL559" s="5">
        <f t="shared" si="443"/>
        <v>0</v>
      </c>
      <c r="BM559" s="5">
        <f t="shared" si="443"/>
        <v>0</v>
      </c>
      <c r="BN559" s="5">
        <f t="shared" si="436"/>
        <v>0</v>
      </c>
      <c r="BO559" s="5">
        <f t="shared" si="436"/>
        <v>0</v>
      </c>
      <c r="BP559" s="5">
        <f t="shared" si="436"/>
        <v>0</v>
      </c>
      <c r="BQ559" s="5">
        <f t="shared" si="436"/>
        <v>0</v>
      </c>
      <c r="BR559" s="5">
        <f t="shared" si="436"/>
        <v>0</v>
      </c>
      <c r="BS559" s="5">
        <f t="shared" si="436"/>
        <v>0</v>
      </c>
      <c r="BT559" s="5">
        <f t="shared" si="436"/>
        <v>0</v>
      </c>
      <c r="BU559" s="5">
        <f t="shared" si="436"/>
        <v>0</v>
      </c>
      <c r="BV559" s="5">
        <f t="shared" si="436"/>
        <v>0</v>
      </c>
      <c r="BW559" s="5">
        <f t="shared" si="436"/>
        <v>0</v>
      </c>
      <c r="BX559" s="5">
        <f t="shared" si="436"/>
        <v>0</v>
      </c>
      <c r="BY559" s="5">
        <f t="shared" si="436"/>
        <v>0</v>
      </c>
      <c r="BZ559" s="5">
        <f t="shared" si="436"/>
        <v>0</v>
      </c>
      <c r="CA559" s="5">
        <f t="shared" si="436"/>
        <v>0</v>
      </c>
      <c r="CB559" s="5">
        <f t="shared" si="436"/>
        <v>1</v>
      </c>
      <c r="CC559" s="5">
        <f t="shared" si="456"/>
        <v>0</v>
      </c>
      <c r="CD559" s="5">
        <f t="shared" si="456"/>
        <v>0</v>
      </c>
      <c r="CE559" s="5">
        <f t="shared" si="456"/>
        <v>0</v>
      </c>
    </row>
    <row r="560" spans="1:83" x14ac:dyDescent="0.2">
      <c r="A560" s="11"/>
      <c r="B560" s="11"/>
      <c r="C560" s="1">
        <f>Growth!D565</f>
        <v>0</v>
      </c>
      <c r="D560" s="5" t="b">
        <f t="shared" si="410"/>
        <v>0</v>
      </c>
      <c r="E560" s="5">
        <v>2012</v>
      </c>
      <c r="F560" s="5">
        <f ca="1">LOOKUP($E560,frequence!$A$2:$A$35,frequence!L$2:L$35)</f>
        <v>41.545638202606931</v>
      </c>
      <c r="G560" s="5">
        <f ca="1">LOOKUP($E560,frequence!$A$2:$A$35,frequence!K$2:K$35)</f>
        <v>3.8191206393393822</v>
      </c>
      <c r="H560" s="5">
        <f ca="1">LOOKUP($E560,frequence!$A$2:$A$35,frequence!M$2:M$35)</f>
        <v>265.64322815143237</v>
      </c>
      <c r="I560" s="18">
        <v>2007</v>
      </c>
      <c r="J560" s="7">
        <f>LOOKUP(I560,CPI!A$69:A$103,CPI!O$69:O$103)</f>
        <v>1.0516730811895323</v>
      </c>
      <c r="K560" s="5">
        <v>2010</v>
      </c>
      <c r="L560" s="7">
        <f t="shared" ca="1" si="398"/>
        <v>1</v>
      </c>
      <c r="M560" s="7">
        <f t="shared" si="425"/>
        <v>0.13777777777777778</v>
      </c>
      <c r="N560" s="14">
        <f t="shared" si="449"/>
        <v>2.2222222222222223E-2</v>
      </c>
      <c r="O560" s="1">
        <f ca="1">P560*J560*(1+Growth!G$6)^(2010-K560)</f>
        <v>11.568403893084856</v>
      </c>
      <c r="P560" s="2">
        <f t="shared" si="457"/>
        <v>11</v>
      </c>
      <c r="Q560" s="3">
        <v>11</v>
      </c>
      <c r="R560" s="21">
        <f t="shared" ca="1" si="411"/>
        <v>133.82796863354085</v>
      </c>
      <c r="X560" s="2">
        <f t="shared" si="419"/>
        <v>11</v>
      </c>
      <c r="AC560" s="1">
        <f t="shared" si="458"/>
        <v>6.2</v>
      </c>
      <c r="AD560" s="5">
        <v>1</v>
      </c>
      <c r="AE560" s="5">
        <v>0</v>
      </c>
      <c r="AF560" s="5">
        <v>1</v>
      </c>
      <c r="AG560" s="5">
        <v>0</v>
      </c>
      <c r="AH560" s="5">
        <v>1</v>
      </c>
      <c r="AI560" s="3">
        <f t="shared" si="409"/>
        <v>3.2</v>
      </c>
      <c r="AJ560" s="5">
        <f t="shared" si="424"/>
        <v>0</v>
      </c>
      <c r="AK560" s="5">
        <f t="shared" si="399"/>
        <v>0</v>
      </c>
      <c r="AL560" s="5">
        <f t="shared" si="400"/>
        <v>0</v>
      </c>
      <c r="AM560" s="5">
        <f t="shared" si="426"/>
        <v>0</v>
      </c>
      <c r="AN560" s="5">
        <f t="shared" si="401"/>
        <v>0</v>
      </c>
      <c r="AO560" s="5">
        <f t="shared" si="427"/>
        <v>0</v>
      </c>
      <c r="AP560" s="1">
        <v>2.5</v>
      </c>
      <c r="AQ560" s="1" t="s">
        <v>42</v>
      </c>
      <c r="AR560" s="5">
        <v>0</v>
      </c>
      <c r="AS560" s="5">
        <v>0</v>
      </c>
      <c r="AT560" s="5">
        <v>1</v>
      </c>
      <c r="AU560" s="5">
        <v>0</v>
      </c>
      <c r="AV560" s="5">
        <v>0</v>
      </c>
      <c r="AW560" s="5">
        <v>0</v>
      </c>
      <c r="AX560" s="5">
        <v>1</v>
      </c>
      <c r="AY560" s="1">
        <f t="shared" si="459"/>
        <v>0</v>
      </c>
      <c r="AZ560" s="1">
        <f t="shared" si="460"/>
        <v>0</v>
      </c>
      <c r="BA560" s="1">
        <f t="shared" si="461"/>
        <v>0</v>
      </c>
      <c r="BB560" s="5">
        <v>0</v>
      </c>
      <c r="BC560" s="5">
        <v>0</v>
      </c>
      <c r="BD560" s="5">
        <v>0</v>
      </c>
      <c r="BE560" s="5">
        <f t="shared" si="462"/>
        <v>1</v>
      </c>
      <c r="BF560" s="5">
        <v>0</v>
      </c>
      <c r="BG560" s="5">
        <f t="shared" si="443"/>
        <v>0</v>
      </c>
      <c r="BH560" s="5">
        <f t="shared" si="443"/>
        <v>0</v>
      </c>
      <c r="BI560" s="5">
        <f t="shared" si="443"/>
        <v>0</v>
      </c>
      <c r="BJ560" s="5">
        <f t="shared" si="443"/>
        <v>0</v>
      </c>
      <c r="BK560" s="5">
        <f t="shared" si="443"/>
        <v>0</v>
      </c>
      <c r="BL560" s="5">
        <f t="shared" si="443"/>
        <v>0</v>
      </c>
      <c r="BM560" s="5">
        <f t="shared" si="443"/>
        <v>0</v>
      </c>
      <c r="BN560" s="5">
        <f t="shared" si="436"/>
        <v>0</v>
      </c>
      <c r="BO560" s="5">
        <f t="shared" si="436"/>
        <v>0</v>
      </c>
      <c r="BP560" s="5">
        <f t="shared" si="436"/>
        <v>0</v>
      </c>
      <c r="BQ560" s="5">
        <f t="shared" si="436"/>
        <v>0</v>
      </c>
      <c r="BR560" s="5">
        <f t="shared" si="436"/>
        <v>0</v>
      </c>
      <c r="BS560" s="5">
        <f t="shared" si="436"/>
        <v>0</v>
      </c>
      <c r="BT560" s="5">
        <f t="shared" si="436"/>
        <v>0</v>
      </c>
      <c r="BU560" s="5">
        <f t="shared" si="436"/>
        <v>0</v>
      </c>
      <c r="BV560" s="5">
        <f t="shared" si="436"/>
        <v>0</v>
      </c>
      <c r="BW560" s="5">
        <f t="shared" si="436"/>
        <v>0</v>
      </c>
      <c r="BX560" s="5">
        <f t="shared" si="436"/>
        <v>0</v>
      </c>
      <c r="BY560" s="5">
        <f t="shared" si="436"/>
        <v>0</v>
      </c>
      <c r="BZ560" s="5">
        <f t="shared" si="436"/>
        <v>0</v>
      </c>
      <c r="CA560" s="5">
        <f t="shared" si="436"/>
        <v>0</v>
      </c>
      <c r="CB560" s="5">
        <f t="shared" si="436"/>
        <v>1</v>
      </c>
      <c r="CC560" s="5">
        <f t="shared" si="456"/>
        <v>0</v>
      </c>
      <c r="CD560" s="5">
        <f t="shared" si="456"/>
        <v>0</v>
      </c>
      <c r="CE560" s="5">
        <f t="shared" si="456"/>
        <v>0</v>
      </c>
    </row>
    <row r="561" spans="1:83" x14ac:dyDescent="0.2">
      <c r="A561" s="11"/>
      <c r="B561" s="11"/>
      <c r="C561" s="1">
        <f>Growth!D566</f>
        <v>0</v>
      </c>
      <c r="D561" s="5" t="b">
        <f t="shared" si="410"/>
        <v>0</v>
      </c>
      <c r="E561" s="5">
        <v>2012</v>
      </c>
      <c r="F561" s="5">
        <f ca="1">LOOKUP($E561,frequence!$A$2:$A$35,frequence!L$2:L$35)</f>
        <v>41.545638202606931</v>
      </c>
      <c r="G561" s="5">
        <f ca="1">LOOKUP($E561,frequence!$A$2:$A$35,frequence!K$2:K$35)</f>
        <v>3.8191206393393822</v>
      </c>
      <c r="H561" s="5">
        <f ca="1">LOOKUP($E561,frequence!$A$2:$A$35,frequence!M$2:M$35)</f>
        <v>265.64322815143237</v>
      </c>
      <c r="I561" s="18">
        <v>2007</v>
      </c>
      <c r="J561" s="7">
        <f>LOOKUP(I561,CPI!A$69:A$103,CPI!O$69:O$103)</f>
        <v>1.0516730811895323</v>
      </c>
      <c r="K561" s="5">
        <v>2010</v>
      </c>
      <c r="L561" s="7">
        <f t="shared" ca="1" si="398"/>
        <v>1</v>
      </c>
      <c r="M561" s="7">
        <f t="shared" si="425"/>
        <v>0.13777777777777778</v>
      </c>
      <c r="N561" s="14">
        <f t="shared" si="449"/>
        <v>2.2222222222222223E-2</v>
      </c>
      <c r="O561" s="1">
        <f ca="1">P561*J561*(1+Growth!G$6)^(2010-K561)</f>
        <v>29.446846273306903</v>
      </c>
      <c r="P561" s="2">
        <f t="shared" si="457"/>
        <v>28</v>
      </c>
      <c r="Q561" s="3">
        <v>28</v>
      </c>
      <c r="R561" s="21">
        <f t="shared" ca="1" si="411"/>
        <v>867.11675544376862</v>
      </c>
      <c r="X561" s="2">
        <f t="shared" si="419"/>
        <v>28</v>
      </c>
      <c r="AC561" s="1">
        <f t="shared" si="458"/>
        <v>6.2</v>
      </c>
      <c r="AD561" s="5">
        <v>1</v>
      </c>
      <c r="AE561" s="5">
        <v>0</v>
      </c>
      <c r="AF561" s="5">
        <v>1</v>
      </c>
      <c r="AG561" s="5">
        <v>0</v>
      </c>
      <c r="AH561" s="5">
        <v>1</v>
      </c>
      <c r="AI561" s="3">
        <f t="shared" si="409"/>
        <v>3.2</v>
      </c>
      <c r="AJ561" s="5">
        <f t="shared" si="424"/>
        <v>0</v>
      </c>
      <c r="AK561" s="5">
        <f t="shared" si="399"/>
        <v>0</v>
      </c>
      <c r="AL561" s="5">
        <f t="shared" si="400"/>
        <v>0</v>
      </c>
      <c r="AM561" s="5">
        <f t="shared" si="426"/>
        <v>0</v>
      </c>
      <c r="AN561" s="5">
        <f t="shared" si="401"/>
        <v>0</v>
      </c>
      <c r="AO561" s="5">
        <f t="shared" si="427"/>
        <v>0</v>
      </c>
      <c r="AP561" s="1">
        <v>2.5</v>
      </c>
      <c r="AQ561" s="1" t="s">
        <v>42</v>
      </c>
      <c r="AR561" s="5">
        <v>0</v>
      </c>
      <c r="AS561" s="5">
        <v>0</v>
      </c>
      <c r="AT561" s="5">
        <v>1</v>
      </c>
      <c r="AU561" s="5">
        <v>0</v>
      </c>
      <c r="AV561" s="5">
        <v>0</v>
      </c>
      <c r="AW561" s="5">
        <v>0</v>
      </c>
      <c r="AX561" s="5">
        <v>1</v>
      </c>
      <c r="AY561" s="1">
        <f t="shared" si="459"/>
        <v>0</v>
      </c>
      <c r="AZ561" s="1">
        <f t="shared" si="460"/>
        <v>0</v>
      </c>
      <c r="BA561" s="1">
        <f t="shared" si="461"/>
        <v>0</v>
      </c>
      <c r="BB561" s="5">
        <v>0</v>
      </c>
      <c r="BC561" s="5">
        <v>0</v>
      </c>
      <c r="BD561" s="5">
        <v>0</v>
      </c>
      <c r="BE561" s="5">
        <f t="shared" si="462"/>
        <v>1</v>
      </c>
      <c r="BF561" s="5">
        <v>0</v>
      </c>
      <c r="BG561" s="5">
        <f t="shared" si="443"/>
        <v>0</v>
      </c>
      <c r="BH561" s="5">
        <f t="shared" si="443"/>
        <v>0</v>
      </c>
      <c r="BI561" s="5">
        <f t="shared" si="443"/>
        <v>0</v>
      </c>
      <c r="BJ561" s="5">
        <f t="shared" si="443"/>
        <v>0</v>
      </c>
      <c r="BK561" s="5">
        <f t="shared" si="443"/>
        <v>0</v>
      </c>
      <c r="BL561" s="5">
        <f t="shared" si="443"/>
        <v>0</v>
      </c>
      <c r="BM561" s="5">
        <f t="shared" si="443"/>
        <v>0</v>
      </c>
      <c r="BN561" s="5">
        <f t="shared" si="436"/>
        <v>0</v>
      </c>
      <c r="BO561" s="5">
        <f t="shared" si="436"/>
        <v>0</v>
      </c>
      <c r="BP561" s="5">
        <f t="shared" si="436"/>
        <v>0</v>
      </c>
      <c r="BQ561" s="5">
        <f t="shared" si="436"/>
        <v>0</v>
      </c>
      <c r="BR561" s="5">
        <f t="shared" si="436"/>
        <v>0</v>
      </c>
      <c r="BS561" s="5">
        <f t="shared" si="436"/>
        <v>0</v>
      </c>
      <c r="BT561" s="5">
        <f t="shared" si="436"/>
        <v>0</v>
      </c>
      <c r="BU561" s="5">
        <f t="shared" si="436"/>
        <v>0</v>
      </c>
      <c r="BV561" s="5">
        <f t="shared" si="436"/>
        <v>0</v>
      </c>
      <c r="BW561" s="5">
        <f t="shared" si="436"/>
        <v>0</v>
      </c>
      <c r="BX561" s="5">
        <f t="shared" si="436"/>
        <v>0</v>
      </c>
      <c r="BY561" s="5">
        <f t="shared" si="436"/>
        <v>0</v>
      </c>
      <c r="BZ561" s="5">
        <f t="shared" si="436"/>
        <v>0</v>
      </c>
      <c r="CA561" s="5">
        <f t="shared" si="436"/>
        <v>0</v>
      </c>
      <c r="CB561" s="5">
        <f t="shared" si="436"/>
        <v>1</v>
      </c>
      <c r="CC561" s="5">
        <f t="shared" si="456"/>
        <v>0</v>
      </c>
      <c r="CD561" s="5">
        <f t="shared" si="456"/>
        <v>0</v>
      </c>
      <c r="CE561" s="5">
        <f t="shared" si="456"/>
        <v>0</v>
      </c>
    </row>
    <row r="562" spans="1:83" x14ac:dyDescent="0.2">
      <c r="A562" s="11"/>
      <c r="B562" s="11"/>
      <c r="C562" s="1">
        <f>Growth!D567</f>
        <v>0</v>
      </c>
      <c r="D562" s="5" t="b">
        <f t="shared" si="410"/>
        <v>0</v>
      </c>
      <c r="E562" s="5">
        <v>2012</v>
      </c>
      <c r="F562" s="5">
        <f ca="1">LOOKUP($E562,frequence!$A$2:$A$35,frequence!L$2:L$35)</f>
        <v>41.545638202606931</v>
      </c>
      <c r="G562" s="5">
        <f ca="1">LOOKUP($E562,frequence!$A$2:$A$35,frequence!K$2:K$35)</f>
        <v>3.8191206393393822</v>
      </c>
      <c r="H562" s="5">
        <f ca="1">LOOKUP($E562,frequence!$A$2:$A$35,frequence!M$2:M$35)</f>
        <v>265.64322815143237</v>
      </c>
      <c r="I562" s="18">
        <v>2007</v>
      </c>
      <c r="J562" s="7">
        <f>LOOKUP(I562,CPI!A$69:A$103,CPI!O$69:O$103)</f>
        <v>1.0516730811895323</v>
      </c>
      <c r="K562" s="5">
        <v>2010</v>
      </c>
      <c r="L562" s="7">
        <f t="shared" ca="1" si="398"/>
        <v>1</v>
      </c>
      <c r="M562" s="7">
        <f t="shared" si="425"/>
        <v>0.13777777777777778</v>
      </c>
      <c r="N562" s="14">
        <f t="shared" si="449"/>
        <v>2.2222222222222223E-2</v>
      </c>
      <c r="O562" s="1">
        <f ca="1">P562*J562*(1+Growth!G$6)^(2010-K562)</f>
        <v>134.61415439226013</v>
      </c>
      <c r="P562" s="2">
        <f t="shared" si="457"/>
        <v>128</v>
      </c>
      <c r="Q562" s="3">
        <v>128</v>
      </c>
      <c r="R562" s="21">
        <f t="shared" ca="1" si="411"/>
        <v>18120.970562743249</v>
      </c>
      <c r="X562" s="2">
        <f t="shared" si="419"/>
        <v>128</v>
      </c>
      <c r="AC562" s="1">
        <f t="shared" si="458"/>
        <v>6.2</v>
      </c>
      <c r="AD562" s="5">
        <v>1</v>
      </c>
      <c r="AE562" s="5">
        <v>0</v>
      </c>
      <c r="AF562" s="5">
        <v>1</v>
      </c>
      <c r="AG562" s="5">
        <v>0</v>
      </c>
      <c r="AH562" s="5">
        <v>1</v>
      </c>
      <c r="AI562" s="3">
        <f t="shared" si="409"/>
        <v>3.2</v>
      </c>
      <c r="AJ562" s="5">
        <f t="shared" si="424"/>
        <v>0</v>
      </c>
      <c r="AK562" s="5">
        <f t="shared" si="399"/>
        <v>0</v>
      </c>
      <c r="AL562" s="5">
        <f t="shared" si="400"/>
        <v>0</v>
      </c>
      <c r="AM562" s="5">
        <f t="shared" si="426"/>
        <v>0</v>
      </c>
      <c r="AN562" s="5">
        <f t="shared" si="401"/>
        <v>0</v>
      </c>
      <c r="AO562" s="5">
        <f t="shared" si="427"/>
        <v>0</v>
      </c>
      <c r="AP562" s="1">
        <v>2.5</v>
      </c>
      <c r="AQ562" s="1" t="s">
        <v>42</v>
      </c>
      <c r="AR562" s="5">
        <v>0</v>
      </c>
      <c r="AS562" s="5">
        <v>0</v>
      </c>
      <c r="AT562" s="5">
        <v>1</v>
      </c>
      <c r="AU562" s="5">
        <v>0</v>
      </c>
      <c r="AV562" s="5">
        <v>0</v>
      </c>
      <c r="AW562" s="5">
        <v>0</v>
      </c>
      <c r="AX562" s="5">
        <v>1</v>
      </c>
      <c r="AY562" s="1">
        <f t="shared" si="459"/>
        <v>0</v>
      </c>
      <c r="AZ562" s="1">
        <f t="shared" si="460"/>
        <v>0</v>
      </c>
      <c r="BA562" s="1">
        <f t="shared" si="461"/>
        <v>0</v>
      </c>
      <c r="BB562" s="5">
        <v>0</v>
      </c>
      <c r="BC562" s="5">
        <v>0</v>
      </c>
      <c r="BD562" s="5">
        <v>0</v>
      </c>
      <c r="BE562" s="5">
        <f t="shared" si="462"/>
        <v>1</v>
      </c>
      <c r="BF562" s="5">
        <v>0</v>
      </c>
      <c r="BG562" s="5">
        <f t="shared" si="443"/>
        <v>0</v>
      </c>
      <c r="BH562" s="5">
        <f t="shared" si="443"/>
        <v>0</v>
      </c>
      <c r="BI562" s="5">
        <f t="shared" si="443"/>
        <v>0</v>
      </c>
      <c r="BJ562" s="5">
        <f t="shared" si="443"/>
        <v>0</v>
      </c>
      <c r="BK562" s="5">
        <f t="shared" si="443"/>
        <v>0</v>
      </c>
      <c r="BL562" s="5">
        <f t="shared" si="443"/>
        <v>0</v>
      </c>
      <c r="BM562" s="5">
        <f t="shared" si="443"/>
        <v>0</v>
      </c>
      <c r="BN562" s="5">
        <f t="shared" si="436"/>
        <v>0</v>
      </c>
      <c r="BO562" s="5">
        <f t="shared" si="436"/>
        <v>0</v>
      </c>
      <c r="BP562" s="5">
        <f t="shared" si="436"/>
        <v>0</v>
      </c>
      <c r="BQ562" s="5">
        <f t="shared" si="436"/>
        <v>0</v>
      </c>
      <c r="BR562" s="5">
        <f t="shared" si="436"/>
        <v>0</v>
      </c>
      <c r="BS562" s="5">
        <f t="shared" si="436"/>
        <v>0</v>
      </c>
      <c r="BT562" s="5">
        <f t="shared" si="436"/>
        <v>0</v>
      </c>
      <c r="BU562" s="5">
        <f t="shared" si="436"/>
        <v>0</v>
      </c>
      <c r="BV562" s="5">
        <f t="shared" si="436"/>
        <v>0</v>
      </c>
      <c r="BW562" s="5">
        <f t="shared" si="436"/>
        <v>0</v>
      </c>
      <c r="BX562" s="5">
        <f t="shared" si="436"/>
        <v>0</v>
      </c>
      <c r="BY562" s="5">
        <f t="shared" si="436"/>
        <v>0</v>
      </c>
      <c r="BZ562" s="5">
        <f t="shared" si="436"/>
        <v>0</v>
      </c>
      <c r="CA562" s="5">
        <f t="shared" si="436"/>
        <v>0</v>
      </c>
      <c r="CB562" s="5">
        <f t="shared" si="436"/>
        <v>1</v>
      </c>
      <c r="CC562" s="5">
        <f t="shared" si="456"/>
        <v>0</v>
      </c>
      <c r="CD562" s="5">
        <f t="shared" si="456"/>
        <v>0</v>
      </c>
      <c r="CE562" s="5">
        <f t="shared" si="456"/>
        <v>0</v>
      </c>
    </row>
    <row r="563" spans="1:83" x14ac:dyDescent="0.2">
      <c r="A563" s="11"/>
      <c r="B563" s="11"/>
      <c r="C563" s="1">
        <f>Growth!D568</f>
        <v>0</v>
      </c>
      <c r="D563" s="5" t="b">
        <f t="shared" si="410"/>
        <v>0</v>
      </c>
      <c r="E563" s="5">
        <v>2012</v>
      </c>
      <c r="F563" s="5">
        <f ca="1">LOOKUP($E563,frequence!$A$2:$A$35,frequence!L$2:L$35)</f>
        <v>41.545638202606931</v>
      </c>
      <c r="G563" s="5">
        <f ca="1">LOOKUP($E563,frequence!$A$2:$A$35,frequence!K$2:K$35)</f>
        <v>3.8191206393393822</v>
      </c>
      <c r="H563" s="5">
        <f ca="1">LOOKUP($E563,frequence!$A$2:$A$35,frequence!M$2:M$35)</f>
        <v>265.64322815143237</v>
      </c>
      <c r="I563" s="18">
        <v>2007</v>
      </c>
      <c r="J563" s="7">
        <f>LOOKUP(I563,CPI!A$69:A$103,CPI!O$69:O$103)</f>
        <v>1.0516730811895323</v>
      </c>
      <c r="K563" s="5">
        <v>2010</v>
      </c>
      <c r="L563" s="7">
        <f t="shared" ca="1" si="398"/>
        <v>1</v>
      </c>
      <c r="M563" s="7">
        <f t="shared" si="425"/>
        <v>0.13777777777777778</v>
      </c>
      <c r="N563" s="14">
        <f t="shared" si="449"/>
        <v>2.2222222222222223E-2</v>
      </c>
      <c r="O563" s="1">
        <f ca="1">P563*J563*(1+Growth!G$6)^(2010-K563)</f>
        <v>12.620076974274387</v>
      </c>
      <c r="P563" s="2">
        <f t="shared" si="457"/>
        <v>12</v>
      </c>
      <c r="Q563" s="3">
        <v>12</v>
      </c>
      <c r="R563" s="21">
        <f t="shared" ca="1" si="411"/>
        <v>159.26634283661056</v>
      </c>
      <c r="X563" s="2">
        <f t="shared" si="419"/>
        <v>12</v>
      </c>
      <c r="AC563" s="1">
        <f t="shared" si="458"/>
        <v>6.2</v>
      </c>
      <c r="AD563" s="5">
        <v>1</v>
      </c>
      <c r="AE563" s="5">
        <v>0</v>
      </c>
      <c r="AF563" s="5">
        <v>1</v>
      </c>
      <c r="AG563" s="5">
        <v>0</v>
      </c>
      <c r="AH563" s="5">
        <v>1</v>
      </c>
      <c r="AI563" s="3">
        <f t="shared" si="409"/>
        <v>3.2</v>
      </c>
      <c r="AJ563" s="5">
        <f t="shared" si="424"/>
        <v>0</v>
      </c>
      <c r="AK563" s="5">
        <f t="shared" si="399"/>
        <v>0</v>
      </c>
      <c r="AL563" s="5">
        <f t="shared" si="400"/>
        <v>0</v>
      </c>
      <c r="AM563" s="5">
        <f t="shared" si="426"/>
        <v>0</v>
      </c>
      <c r="AN563" s="5">
        <f t="shared" si="401"/>
        <v>0</v>
      </c>
      <c r="AO563" s="5">
        <f t="shared" si="427"/>
        <v>0</v>
      </c>
      <c r="AP563" s="1">
        <v>2.5</v>
      </c>
      <c r="AQ563" s="1" t="s">
        <v>42</v>
      </c>
      <c r="AR563" s="5">
        <v>0</v>
      </c>
      <c r="AS563" s="5">
        <v>0</v>
      </c>
      <c r="AT563" s="5">
        <v>1</v>
      </c>
      <c r="AU563" s="5">
        <v>0</v>
      </c>
      <c r="AV563" s="5">
        <v>0</v>
      </c>
      <c r="AW563" s="5">
        <v>0</v>
      </c>
      <c r="AX563" s="5">
        <v>1</v>
      </c>
      <c r="AY563" s="1">
        <f t="shared" si="459"/>
        <v>0</v>
      </c>
      <c r="AZ563" s="1">
        <f t="shared" si="460"/>
        <v>0</v>
      </c>
      <c r="BA563" s="1">
        <f t="shared" si="461"/>
        <v>0</v>
      </c>
      <c r="BB563" s="5">
        <v>0</v>
      </c>
      <c r="BC563" s="5">
        <v>0</v>
      </c>
      <c r="BD563" s="5">
        <v>0</v>
      </c>
      <c r="BE563" s="5">
        <f t="shared" si="462"/>
        <v>1</v>
      </c>
      <c r="BF563" s="5">
        <v>0</v>
      </c>
      <c r="BG563" s="5">
        <f t="shared" si="443"/>
        <v>0</v>
      </c>
      <c r="BH563" s="5">
        <f t="shared" si="443"/>
        <v>0</v>
      </c>
      <c r="BI563" s="5">
        <f t="shared" si="443"/>
        <v>0</v>
      </c>
      <c r="BJ563" s="5">
        <f t="shared" si="443"/>
        <v>0</v>
      </c>
      <c r="BK563" s="5">
        <f t="shared" si="443"/>
        <v>0</v>
      </c>
      <c r="BL563" s="5">
        <f t="shared" si="443"/>
        <v>0</v>
      </c>
      <c r="BM563" s="5">
        <f t="shared" si="443"/>
        <v>0</v>
      </c>
      <c r="BN563" s="5">
        <f t="shared" si="436"/>
        <v>0</v>
      </c>
      <c r="BO563" s="5">
        <f t="shared" si="436"/>
        <v>0</v>
      </c>
      <c r="BP563" s="5">
        <f t="shared" si="436"/>
        <v>0</v>
      </c>
      <c r="BQ563" s="5">
        <f t="shared" si="436"/>
        <v>0</v>
      </c>
      <c r="BR563" s="5">
        <f t="shared" si="436"/>
        <v>0</v>
      </c>
      <c r="BS563" s="5">
        <f t="shared" si="436"/>
        <v>0</v>
      </c>
      <c r="BT563" s="5">
        <f t="shared" si="436"/>
        <v>0</v>
      </c>
      <c r="BU563" s="5">
        <f t="shared" si="436"/>
        <v>0</v>
      </c>
      <c r="BV563" s="5">
        <f t="shared" si="436"/>
        <v>0</v>
      </c>
      <c r="BW563" s="5">
        <f t="shared" si="436"/>
        <v>0</v>
      </c>
      <c r="BX563" s="5">
        <f t="shared" si="436"/>
        <v>0</v>
      </c>
      <c r="BY563" s="5">
        <f t="shared" si="436"/>
        <v>0</v>
      </c>
      <c r="BZ563" s="5">
        <f t="shared" si="436"/>
        <v>0</v>
      </c>
      <c r="CA563" s="5">
        <f t="shared" si="436"/>
        <v>0</v>
      </c>
      <c r="CB563" s="5">
        <f t="shared" si="436"/>
        <v>1</v>
      </c>
      <c r="CC563" s="5">
        <f t="shared" si="456"/>
        <v>0</v>
      </c>
      <c r="CD563" s="5">
        <f t="shared" si="456"/>
        <v>0</v>
      </c>
      <c r="CE563" s="5">
        <f t="shared" si="456"/>
        <v>0</v>
      </c>
    </row>
    <row r="564" spans="1:83" x14ac:dyDescent="0.2">
      <c r="A564" s="11"/>
      <c r="B564" s="11"/>
      <c r="C564" s="1">
        <f>Growth!D569</f>
        <v>0</v>
      </c>
      <c r="D564" s="5" t="b">
        <f t="shared" si="410"/>
        <v>0</v>
      </c>
      <c r="E564" s="5">
        <v>2012</v>
      </c>
      <c r="F564" s="5">
        <f ca="1">LOOKUP($E564,frequence!$A$2:$A$35,frequence!L$2:L$35)</f>
        <v>41.545638202606931</v>
      </c>
      <c r="G564" s="5">
        <f ca="1">LOOKUP($E564,frequence!$A$2:$A$35,frequence!K$2:K$35)</f>
        <v>3.8191206393393822</v>
      </c>
      <c r="H564" s="5">
        <f ca="1">LOOKUP($E564,frequence!$A$2:$A$35,frequence!M$2:M$35)</f>
        <v>265.64322815143237</v>
      </c>
      <c r="I564" s="18">
        <v>2007</v>
      </c>
      <c r="J564" s="7">
        <f>LOOKUP(I564,CPI!A$69:A$103,CPI!O$69:O$103)</f>
        <v>1.0516730811895323</v>
      </c>
      <c r="K564" s="5">
        <v>2010</v>
      </c>
      <c r="L564" s="7">
        <f t="shared" ca="1" si="398"/>
        <v>1</v>
      </c>
      <c r="M564" s="7">
        <f t="shared" si="425"/>
        <v>0.13777777777777778</v>
      </c>
      <c r="N564" s="14">
        <f t="shared" si="449"/>
        <v>2.2222222222222223E-2</v>
      </c>
      <c r="O564" s="1">
        <f ca="1">P564*J564*(1+Growth!G$6)^(2010-K564)</f>
        <v>31.550192435685968</v>
      </c>
      <c r="P564" s="2">
        <f t="shared" si="457"/>
        <v>30</v>
      </c>
      <c r="Q564" s="3">
        <v>30</v>
      </c>
      <c r="R564" s="21">
        <f t="shared" ca="1" si="411"/>
        <v>995.41464272881603</v>
      </c>
      <c r="X564" s="2">
        <f t="shared" si="419"/>
        <v>30</v>
      </c>
      <c r="AC564" s="1">
        <f t="shared" si="458"/>
        <v>6.2</v>
      </c>
      <c r="AD564" s="5">
        <v>1</v>
      </c>
      <c r="AE564" s="5">
        <v>0</v>
      </c>
      <c r="AF564" s="5">
        <v>1</v>
      </c>
      <c r="AG564" s="5">
        <v>0</v>
      </c>
      <c r="AH564" s="5">
        <v>1</v>
      </c>
      <c r="AI564" s="3">
        <f t="shared" si="409"/>
        <v>3.2</v>
      </c>
      <c r="AJ564" s="5">
        <f t="shared" si="424"/>
        <v>0</v>
      </c>
      <c r="AK564" s="5">
        <f t="shared" si="399"/>
        <v>0</v>
      </c>
      <c r="AL564" s="5">
        <f t="shared" si="400"/>
        <v>0</v>
      </c>
      <c r="AM564" s="5">
        <f t="shared" si="426"/>
        <v>0</v>
      </c>
      <c r="AN564" s="5">
        <f t="shared" si="401"/>
        <v>0</v>
      </c>
      <c r="AO564" s="5">
        <f t="shared" si="427"/>
        <v>0</v>
      </c>
      <c r="AP564" s="1">
        <v>2.5</v>
      </c>
      <c r="AQ564" s="1" t="s">
        <v>42</v>
      </c>
      <c r="AR564" s="5">
        <v>0</v>
      </c>
      <c r="AS564" s="5">
        <v>0</v>
      </c>
      <c r="AT564" s="5">
        <v>1</v>
      </c>
      <c r="AU564" s="5">
        <v>0</v>
      </c>
      <c r="AV564" s="5">
        <v>0</v>
      </c>
      <c r="AW564" s="5">
        <v>0</v>
      </c>
      <c r="AX564" s="5">
        <v>1</v>
      </c>
      <c r="AY564" s="1">
        <f t="shared" si="459"/>
        <v>0</v>
      </c>
      <c r="AZ564" s="1">
        <f t="shared" si="460"/>
        <v>0</v>
      </c>
      <c r="BA564" s="1">
        <f t="shared" si="461"/>
        <v>0</v>
      </c>
      <c r="BB564" s="5">
        <v>0</v>
      </c>
      <c r="BC564" s="5">
        <v>0</v>
      </c>
      <c r="BD564" s="5">
        <v>0</v>
      </c>
      <c r="BE564" s="5">
        <f t="shared" si="462"/>
        <v>1</v>
      </c>
      <c r="BF564" s="5">
        <v>0</v>
      </c>
      <c r="BG564" s="5">
        <f t="shared" si="443"/>
        <v>0</v>
      </c>
      <c r="BH564" s="5">
        <f t="shared" si="443"/>
        <v>0</v>
      </c>
      <c r="BI564" s="5">
        <f t="shared" si="443"/>
        <v>0</v>
      </c>
      <c r="BJ564" s="5">
        <f t="shared" si="443"/>
        <v>0</v>
      </c>
      <c r="BK564" s="5">
        <f t="shared" si="443"/>
        <v>0</v>
      </c>
      <c r="BL564" s="5">
        <f t="shared" si="443"/>
        <v>0</v>
      </c>
      <c r="BM564" s="5">
        <f t="shared" si="443"/>
        <v>0</v>
      </c>
      <c r="BN564" s="5">
        <f t="shared" si="443"/>
        <v>0</v>
      </c>
      <c r="BO564" s="5">
        <f t="shared" ref="BO564:CC579" si="463">IF($E564=BO$2,1,0)</f>
        <v>0</v>
      </c>
      <c r="BP564" s="5">
        <f t="shared" si="463"/>
        <v>0</v>
      </c>
      <c r="BQ564" s="5">
        <f t="shared" si="463"/>
        <v>0</v>
      </c>
      <c r="BR564" s="5">
        <f t="shared" si="463"/>
        <v>0</v>
      </c>
      <c r="BS564" s="5">
        <f t="shared" si="463"/>
        <v>0</v>
      </c>
      <c r="BT564" s="5">
        <f t="shared" si="463"/>
        <v>0</v>
      </c>
      <c r="BU564" s="5">
        <f t="shared" si="463"/>
        <v>0</v>
      </c>
      <c r="BV564" s="5">
        <f t="shared" si="463"/>
        <v>0</v>
      </c>
      <c r="BW564" s="5">
        <f t="shared" si="463"/>
        <v>0</v>
      </c>
      <c r="BX564" s="5">
        <f t="shared" si="463"/>
        <v>0</v>
      </c>
      <c r="BY564" s="5">
        <f t="shared" si="463"/>
        <v>0</v>
      </c>
      <c r="BZ564" s="5">
        <f t="shared" si="463"/>
        <v>0</v>
      </c>
      <c r="CA564" s="5">
        <f t="shared" si="463"/>
        <v>0</v>
      </c>
      <c r="CB564" s="5">
        <f t="shared" si="463"/>
        <v>1</v>
      </c>
      <c r="CC564" s="5">
        <f t="shared" si="456"/>
        <v>0</v>
      </c>
      <c r="CD564" s="5">
        <f t="shared" si="456"/>
        <v>0</v>
      </c>
      <c r="CE564" s="5">
        <f t="shared" si="456"/>
        <v>0</v>
      </c>
    </row>
    <row r="565" spans="1:83" x14ac:dyDescent="0.2">
      <c r="A565" s="11"/>
      <c r="B565" s="11"/>
      <c r="C565" s="1">
        <f>Growth!D570</f>
        <v>0</v>
      </c>
      <c r="D565" s="5" t="b">
        <f t="shared" si="410"/>
        <v>0</v>
      </c>
      <c r="E565" s="5">
        <v>2012</v>
      </c>
      <c r="F565" s="5">
        <f ca="1">LOOKUP($E565,frequence!$A$2:$A$35,frequence!L$2:L$35)</f>
        <v>41.545638202606931</v>
      </c>
      <c r="G565" s="5">
        <f ca="1">LOOKUP($E565,frequence!$A$2:$A$35,frequence!K$2:K$35)</f>
        <v>3.8191206393393822</v>
      </c>
      <c r="H565" s="5">
        <f ca="1">LOOKUP($E565,frequence!$A$2:$A$35,frequence!M$2:M$35)</f>
        <v>265.64322815143237</v>
      </c>
      <c r="I565" s="18">
        <v>2007</v>
      </c>
      <c r="J565" s="7">
        <f>LOOKUP(I565,CPI!A$69:A$103,CPI!O$69:O$103)</f>
        <v>1.0516730811895323</v>
      </c>
      <c r="K565" s="5">
        <v>2010</v>
      </c>
      <c r="L565" s="7">
        <f t="shared" ca="1" si="398"/>
        <v>1</v>
      </c>
      <c r="M565" s="7">
        <f t="shared" si="425"/>
        <v>0.13777777777777778</v>
      </c>
      <c r="N565" s="14">
        <f t="shared" si="449"/>
        <v>2.2222222222222223E-2</v>
      </c>
      <c r="O565" s="1">
        <f ca="1">P565*J565*(1+Growth!G$6)^(2010-K565)</f>
        <v>145.13088520415545</v>
      </c>
      <c r="P565" s="2">
        <f t="shared" si="457"/>
        <v>138</v>
      </c>
      <c r="Q565" s="3">
        <v>138</v>
      </c>
      <c r="R565" s="21">
        <f t="shared" ca="1" si="411"/>
        <v>21062.973840141745</v>
      </c>
      <c r="X565" s="2">
        <f t="shared" si="419"/>
        <v>138</v>
      </c>
      <c r="AC565" s="1">
        <f t="shared" si="458"/>
        <v>6.2</v>
      </c>
      <c r="AD565" s="5">
        <v>1</v>
      </c>
      <c r="AE565" s="5">
        <v>0</v>
      </c>
      <c r="AF565" s="5">
        <v>1</v>
      </c>
      <c r="AG565" s="5">
        <v>0</v>
      </c>
      <c r="AH565" s="5">
        <v>1</v>
      </c>
      <c r="AI565" s="3">
        <f t="shared" si="409"/>
        <v>3.2</v>
      </c>
      <c r="AJ565" s="5">
        <f t="shared" si="424"/>
        <v>0</v>
      </c>
      <c r="AK565" s="5">
        <f t="shared" si="399"/>
        <v>0</v>
      </c>
      <c r="AL565" s="5">
        <f t="shared" si="400"/>
        <v>0</v>
      </c>
      <c r="AM565" s="5">
        <f t="shared" si="426"/>
        <v>0</v>
      </c>
      <c r="AN565" s="5">
        <f t="shared" si="401"/>
        <v>0</v>
      </c>
      <c r="AO565" s="5">
        <f t="shared" si="427"/>
        <v>0</v>
      </c>
      <c r="AP565" s="1">
        <v>2.5</v>
      </c>
      <c r="AQ565" s="1" t="s">
        <v>42</v>
      </c>
      <c r="AR565" s="5">
        <v>0</v>
      </c>
      <c r="AS565" s="5">
        <v>0</v>
      </c>
      <c r="AT565" s="5">
        <v>1</v>
      </c>
      <c r="AU565" s="5">
        <v>0</v>
      </c>
      <c r="AV565" s="5">
        <v>0</v>
      </c>
      <c r="AW565" s="5">
        <v>0</v>
      </c>
      <c r="AX565" s="5">
        <v>1</v>
      </c>
      <c r="AY565" s="1">
        <f t="shared" si="459"/>
        <v>0</v>
      </c>
      <c r="AZ565" s="1">
        <f t="shared" si="460"/>
        <v>0</v>
      </c>
      <c r="BA565" s="1">
        <f t="shared" si="461"/>
        <v>0</v>
      </c>
      <c r="BB565" s="5">
        <v>0</v>
      </c>
      <c r="BC565" s="5">
        <v>0</v>
      </c>
      <c r="BD565" s="5">
        <v>0</v>
      </c>
      <c r="BE565" s="5">
        <f t="shared" si="462"/>
        <v>1</v>
      </c>
      <c r="BF565" s="5">
        <v>0</v>
      </c>
      <c r="BG565" s="5">
        <f t="shared" ref="BG565:BN580" si="464">IF($E565=BG$2,1,0)</f>
        <v>0</v>
      </c>
      <c r="BH565" s="5">
        <f t="shared" si="464"/>
        <v>0</v>
      </c>
      <c r="BI565" s="5">
        <f t="shared" si="464"/>
        <v>0</v>
      </c>
      <c r="BJ565" s="5">
        <f t="shared" si="464"/>
        <v>0</v>
      </c>
      <c r="BK565" s="5">
        <f t="shared" si="464"/>
        <v>0</v>
      </c>
      <c r="BL565" s="5">
        <f t="shared" si="464"/>
        <v>0</v>
      </c>
      <c r="BM565" s="5">
        <f t="shared" si="464"/>
        <v>0</v>
      </c>
      <c r="BN565" s="5">
        <f t="shared" si="464"/>
        <v>0</v>
      </c>
      <c r="BO565" s="5">
        <f t="shared" si="463"/>
        <v>0</v>
      </c>
      <c r="BP565" s="5">
        <f t="shared" si="463"/>
        <v>0</v>
      </c>
      <c r="BQ565" s="5">
        <f t="shared" si="463"/>
        <v>0</v>
      </c>
      <c r="BR565" s="5">
        <f t="shared" si="463"/>
        <v>0</v>
      </c>
      <c r="BS565" s="5">
        <f t="shared" si="463"/>
        <v>0</v>
      </c>
      <c r="BT565" s="5">
        <f t="shared" si="463"/>
        <v>0</v>
      </c>
      <c r="BU565" s="5">
        <f t="shared" si="463"/>
        <v>0</v>
      </c>
      <c r="BV565" s="5">
        <f t="shared" si="463"/>
        <v>0</v>
      </c>
      <c r="BW565" s="5">
        <f t="shared" si="463"/>
        <v>0</v>
      </c>
      <c r="BX565" s="5">
        <f t="shared" si="463"/>
        <v>0</v>
      </c>
      <c r="BY565" s="5">
        <f t="shared" si="463"/>
        <v>0</v>
      </c>
      <c r="BZ565" s="5">
        <f t="shared" si="463"/>
        <v>0</v>
      </c>
      <c r="CA565" s="5">
        <f t="shared" si="463"/>
        <v>0</v>
      </c>
      <c r="CB565" s="5">
        <f t="shared" si="463"/>
        <v>1</v>
      </c>
      <c r="CC565" s="5">
        <f t="shared" si="456"/>
        <v>0</v>
      </c>
      <c r="CD565" s="5">
        <f t="shared" si="456"/>
        <v>0</v>
      </c>
      <c r="CE565" s="5">
        <f t="shared" si="456"/>
        <v>0</v>
      </c>
    </row>
    <row r="566" spans="1:83" x14ac:dyDescent="0.2">
      <c r="A566" s="11"/>
      <c r="B566" s="11"/>
      <c r="C566" s="1">
        <f>Growth!D571</f>
        <v>0</v>
      </c>
      <c r="D566" s="5" t="b">
        <f t="shared" si="410"/>
        <v>0</v>
      </c>
      <c r="E566" s="5">
        <v>2012</v>
      </c>
      <c r="F566" s="5">
        <f ca="1">LOOKUP($E566,frequence!$A$2:$A$35,frequence!L$2:L$35)</f>
        <v>41.545638202606931</v>
      </c>
      <c r="G566" s="5">
        <f ca="1">LOOKUP($E566,frequence!$A$2:$A$35,frequence!K$2:K$35)</f>
        <v>3.8191206393393822</v>
      </c>
      <c r="H566" s="5">
        <f ca="1">LOOKUP($E566,frequence!$A$2:$A$35,frequence!M$2:M$35)</f>
        <v>265.64322815143237</v>
      </c>
      <c r="I566" s="18">
        <v>2007</v>
      </c>
      <c r="J566" s="7">
        <f>LOOKUP(I566,CPI!A$69:A$103,CPI!O$69:O$103)</f>
        <v>1.0516730811895323</v>
      </c>
      <c r="K566" s="5">
        <v>2010</v>
      </c>
      <c r="L566" s="7">
        <f t="shared" ca="1" si="398"/>
        <v>1</v>
      </c>
      <c r="M566" s="7">
        <f t="shared" si="425"/>
        <v>0.13777777777777778</v>
      </c>
      <c r="N566" s="14">
        <f t="shared" si="449"/>
        <v>2.2222222222222223E-2</v>
      </c>
      <c r="O566" s="1">
        <f ca="1">P566*J566*(1+Growth!G$6)^(2010-K566)</f>
        <v>11.568403893084856</v>
      </c>
      <c r="P566" s="2">
        <f t="shared" si="457"/>
        <v>11</v>
      </c>
      <c r="Q566" s="3">
        <v>11</v>
      </c>
      <c r="R566" s="21">
        <f t="shared" ca="1" si="411"/>
        <v>133.82796863354085</v>
      </c>
      <c r="X566" s="2">
        <f t="shared" si="419"/>
        <v>11</v>
      </c>
      <c r="AC566" s="1">
        <f t="shared" si="458"/>
        <v>6.2</v>
      </c>
      <c r="AD566" s="5">
        <v>1</v>
      </c>
      <c r="AE566" s="5">
        <v>0</v>
      </c>
      <c r="AF566" s="5">
        <v>1</v>
      </c>
      <c r="AG566" s="5">
        <v>0</v>
      </c>
      <c r="AH566" s="5">
        <v>1</v>
      </c>
      <c r="AI566" s="3">
        <f t="shared" si="409"/>
        <v>3.2</v>
      </c>
      <c r="AJ566" s="5">
        <f t="shared" si="424"/>
        <v>0</v>
      </c>
      <c r="AK566" s="5">
        <f t="shared" si="399"/>
        <v>0</v>
      </c>
      <c r="AL566" s="5">
        <f t="shared" si="400"/>
        <v>0</v>
      </c>
      <c r="AM566" s="5">
        <f t="shared" si="426"/>
        <v>0</v>
      </c>
      <c r="AN566" s="5">
        <f t="shared" si="401"/>
        <v>0</v>
      </c>
      <c r="AO566" s="5">
        <f t="shared" si="427"/>
        <v>0</v>
      </c>
      <c r="AP566" s="1">
        <v>3</v>
      </c>
      <c r="AQ566" s="1" t="s">
        <v>42</v>
      </c>
      <c r="AR566" s="5">
        <v>0</v>
      </c>
      <c r="AS566" s="5">
        <v>0</v>
      </c>
      <c r="AT566" s="5">
        <v>1</v>
      </c>
      <c r="AU566" s="5">
        <v>0</v>
      </c>
      <c r="AV566" s="5">
        <v>0</v>
      </c>
      <c r="AW566" s="5">
        <v>0</v>
      </c>
      <c r="AX566" s="5">
        <v>1</v>
      </c>
      <c r="AY566" s="1">
        <f t="shared" si="459"/>
        <v>0</v>
      </c>
      <c r="AZ566" s="1">
        <f t="shared" si="460"/>
        <v>0</v>
      </c>
      <c r="BA566" s="1">
        <f t="shared" si="461"/>
        <v>0</v>
      </c>
      <c r="BB566" s="5">
        <v>0</v>
      </c>
      <c r="BC566" s="5">
        <v>0</v>
      </c>
      <c r="BD566" s="5">
        <v>0</v>
      </c>
      <c r="BE566" s="5">
        <f t="shared" si="462"/>
        <v>1</v>
      </c>
      <c r="BF566" s="5">
        <v>0</v>
      </c>
      <c r="BG566" s="5">
        <f t="shared" si="464"/>
        <v>0</v>
      </c>
      <c r="BH566" s="5">
        <f t="shared" si="464"/>
        <v>0</v>
      </c>
      <c r="BI566" s="5">
        <f t="shared" si="464"/>
        <v>0</v>
      </c>
      <c r="BJ566" s="5">
        <f t="shared" si="464"/>
        <v>0</v>
      </c>
      <c r="BK566" s="5">
        <f t="shared" si="464"/>
        <v>0</v>
      </c>
      <c r="BL566" s="5">
        <f t="shared" si="464"/>
        <v>0</v>
      </c>
      <c r="BM566" s="5">
        <f t="shared" si="464"/>
        <v>0</v>
      </c>
      <c r="BN566" s="5">
        <f t="shared" si="464"/>
        <v>0</v>
      </c>
      <c r="BO566" s="5">
        <f t="shared" si="463"/>
        <v>0</v>
      </c>
      <c r="BP566" s="5">
        <f t="shared" si="463"/>
        <v>0</v>
      </c>
      <c r="BQ566" s="5">
        <f t="shared" si="463"/>
        <v>0</v>
      </c>
      <c r="BR566" s="5">
        <f t="shared" si="463"/>
        <v>0</v>
      </c>
      <c r="BS566" s="5">
        <f t="shared" si="463"/>
        <v>0</v>
      </c>
      <c r="BT566" s="5">
        <f t="shared" si="463"/>
        <v>0</v>
      </c>
      <c r="BU566" s="5">
        <f t="shared" si="463"/>
        <v>0</v>
      </c>
      <c r="BV566" s="5">
        <f t="shared" si="463"/>
        <v>0</v>
      </c>
      <c r="BW566" s="5">
        <f t="shared" si="463"/>
        <v>0</v>
      </c>
      <c r="BX566" s="5">
        <f t="shared" si="463"/>
        <v>0</v>
      </c>
      <c r="BY566" s="5">
        <f t="shared" si="463"/>
        <v>0</v>
      </c>
      <c r="BZ566" s="5">
        <f t="shared" si="463"/>
        <v>0</v>
      </c>
      <c r="CA566" s="5">
        <f t="shared" si="463"/>
        <v>0</v>
      </c>
      <c r="CB566" s="5">
        <f t="shared" si="463"/>
        <v>1</v>
      </c>
      <c r="CC566" s="5">
        <f t="shared" si="456"/>
        <v>0</v>
      </c>
      <c r="CD566" s="5">
        <f t="shared" si="456"/>
        <v>0</v>
      </c>
      <c r="CE566" s="5">
        <f t="shared" si="456"/>
        <v>0</v>
      </c>
    </row>
    <row r="567" spans="1:83" x14ac:dyDescent="0.2">
      <c r="A567" s="11"/>
      <c r="B567" s="11"/>
      <c r="C567" s="1">
        <f>Growth!D572</f>
        <v>0</v>
      </c>
      <c r="D567" s="5" t="b">
        <f t="shared" si="410"/>
        <v>0</v>
      </c>
      <c r="E567" s="5">
        <v>2012</v>
      </c>
      <c r="F567" s="5">
        <f ca="1">LOOKUP($E567,frequence!$A$2:$A$35,frequence!L$2:L$35)</f>
        <v>41.545638202606931</v>
      </c>
      <c r="G567" s="5">
        <f ca="1">LOOKUP($E567,frequence!$A$2:$A$35,frequence!K$2:K$35)</f>
        <v>3.8191206393393822</v>
      </c>
      <c r="H567" s="5">
        <f ca="1">LOOKUP($E567,frequence!$A$2:$A$35,frequence!M$2:M$35)</f>
        <v>265.64322815143237</v>
      </c>
      <c r="I567" s="18">
        <v>2007</v>
      </c>
      <c r="J567" s="7">
        <f>LOOKUP(I567,CPI!A$69:A$103,CPI!O$69:O$103)</f>
        <v>1.0516730811895323</v>
      </c>
      <c r="K567" s="5">
        <v>2010</v>
      </c>
      <c r="L567" s="7">
        <f t="shared" ca="1" si="398"/>
        <v>1</v>
      </c>
      <c r="M567" s="7">
        <f t="shared" si="425"/>
        <v>0.13777777777777778</v>
      </c>
      <c r="N567" s="14">
        <f t="shared" si="449"/>
        <v>2.2222222222222223E-2</v>
      </c>
      <c r="O567" s="1">
        <f ca="1">P567*J567*(1+Growth!G$6)^(2010-K567)</f>
        <v>27.343500110927838</v>
      </c>
      <c r="P567" s="2">
        <f t="shared" si="457"/>
        <v>26</v>
      </c>
      <c r="Q567" s="3">
        <v>26</v>
      </c>
      <c r="R567" s="21">
        <f t="shared" ca="1" si="411"/>
        <v>747.6669983163107</v>
      </c>
      <c r="X567" s="2">
        <f t="shared" si="419"/>
        <v>26</v>
      </c>
      <c r="AC567" s="1">
        <f t="shared" si="458"/>
        <v>6.2</v>
      </c>
      <c r="AD567" s="5">
        <v>1</v>
      </c>
      <c r="AE567" s="5">
        <v>0</v>
      </c>
      <c r="AF567" s="5">
        <v>1</v>
      </c>
      <c r="AG567" s="5">
        <v>0</v>
      </c>
      <c r="AH567" s="5">
        <v>1</v>
      </c>
      <c r="AI567" s="3">
        <f t="shared" si="409"/>
        <v>3.2</v>
      </c>
      <c r="AJ567" s="5">
        <f t="shared" si="424"/>
        <v>0</v>
      </c>
      <c r="AK567" s="5">
        <f t="shared" si="399"/>
        <v>0</v>
      </c>
      <c r="AL567" s="5">
        <f t="shared" si="400"/>
        <v>0</v>
      </c>
      <c r="AM567" s="5">
        <f t="shared" si="426"/>
        <v>0</v>
      </c>
      <c r="AN567" s="5">
        <f t="shared" si="401"/>
        <v>0</v>
      </c>
      <c r="AO567" s="5">
        <f t="shared" si="427"/>
        <v>0</v>
      </c>
      <c r="AP567" s="1">
        <v>3</v>
      </c>
      <c r="AQ567" s="1" t="s">
        <v>42</v>
      </c>
      <c r="AR567" s="5">
        <v>0</v>
      </c>
      <c r="AS567" s="5">
        <v>0</v>
      </c>
      <c r="AT567" s="5">
        <v>1</v>
      </c>
      <c r="AU567" s="5">
        <v>0</v>
      </c>
      <c r="AV567" s="5">
        <v>0</v>
      </c>
      <c r="AW567" s="5">
        <v>0</v>
      </c>
      <c r="AX567" s="5">
        <v>1</v>
      </c>
      <c r="AY567" s="1">
        <f t="shared" si="459"/>
        <v>0</v>
      </c>
      <c r="AZ567" s="1">
        <f t="shared" si="460"/>
        <v>0</v>
      </c>
      <c r="BA567" s="1">
        <f t="shared" si="461"/>
        <v>0</v>
      </c>
      <c r="BB567" s="5">
        <v>0</v>
      </c>
      <c r="BC567" s="5">
        <v>0</v>
      </c>
      <c r="BD567" s="5">
        <v>0</v>
      </c>
      <c r="BE567" s="5">
        <f t="shared" si="462"/>
        <v>1</v>
      </c>
      <c r="BF567" s="5">
        <v>0</v>
      </c>
      <c r="BG567" s="5">
        <f t="shared" si="464"/>
        <v>0</v>
      </c>
      <c r="BH567" s="5">
        <f t="shared" si="464"/>
        <v>0</v>
      </c>
      <c r="BI567" s="5">
        <f t="shared" si="464"/>
        <v>0</v>
      </c>
      <c r="BJ567" s="5">
        <f t="shared" si="464"/>
        <v>0</v>
      </c>
      <c r="BK567" s="5">
        <f t="shared" si="464"/>
        <v>0</v>
      </c>
      <c r="BL567" s="5">
        <f t="shared" si="464"/>
        <v>0</v>
      </c>
      <c r="BM567" s="5">
        <f t="shared" si="464"/>
        <v>0</v>
      </c>
      <c r="BN567" s="5">
        <f t="shared" si="464"/>
        <v>0</v>
      </c>
      <c r="BO567" s="5">
        <f t="shared" si="463"/>
        <v>0</v>
      </c>
      <c r="BP567" s="5">
        <f t="shared" si="463"/>
        <v>0</v>
      </c>
      <c r="BQ567" s="5">
        <f t="shared" si="463"/>
        <v>0</v>
      </c>
      <c r="BR567" s="5">
        <f t="shared" si="463"/>
        <v>0</v>
      </c>
      <c r="BS567" s="5">
        <f t="shared" si="463"/>
        <v>0</v>
      </c>
      <c r="BT567" s="5">
        <f t="shared" si="463"/>
        <v>0</v>
      </c>
      <c r="BU567" s="5">
        <f t="shared" si="463"/>
        <v>0</v>
      </c>
      <c r="BV567" s="5">
        <f t="shared" si="463"/>
        <v>0</v>
      </c>
      <c r="BW567" s="5">
        <f t="shared" si="463"/>
        <v>0</v>
      </c>
      <c r="BX567" s="5">
        <f t="shared" si="463"/>
        <v>0</v>
      </c>
      <c r="BY567" s="5">
        <f t="shared" si="463"/>
        <v>0</v>
      </c>
      <c r="BZ567" s="5">
        <f t="shared" si="463"/>
        <v>0</v>
      </c>
      <c r="CA567" s="5">
        <f t="shared" si="463"/>
        <v>0</v>
      </c>
      <c r="CB567" s="5">
        <f t="shared" si="463"/>
        <v>1</v>
      </c>
      <c r="CC567" s="5">
        <f t="shared" si="456"/>
        <v>0</v>
      </c>
      <c r="CD567" s="5">
        <f t="shared" si="456"/>
        <v>0</v>
      </c>
      <c r="CE567" s="5">
        <f t="shared" si="456"/>
        <v>0</v>
      </c>
    </row>
    <row r="568" spans="1:83" x14ac:dyDescent="0.2">
      <c r="A568" s="11"/>
      <c r="B568" s="11"/>
      <c r="C568" s="1">
        <f>Growth!D573</f>
        <v>0</v>
      </c>
      <c r="D568" s="5" t="b">
        <f t="shared" si="410"/>
        <v>0</v>
      </c>
      <c r="E568" s="5">
        <v>2012</v>
      </c>
      <c r="F568" s="5">
        <f ca="1">LOOKUP($E568,frequence!$A$2:$A$35,frequence!L$2:L$35)</f>
        <v>41.545638202606931</v>
      </c>
      <c r="G568" s="5">
        <f ca="1">LOOKUP($E568,frequence!$A$2:$A$35,frequence!K$2:K$35)</f>
        <v>3.8191206393393822</v>
      </c>
      <c r="H568" s="5">
        <f ca="1">LOOKUP($E568,frequence!$A$2:$A$35,frequence!M$2:M$35)</f>
        <v>265.64322815143237</v>
      </c>
      <c r="I568" s="18">
        <v>2007</v>
      </c>
      <c r="J568" s="7">
        <f>LOOKUP(I568,CPI!A$69:A$103,CPI!O$69:O$103)</f>
        <v>1.0516730811895323</v>
      </c>
      <c r="K568" s="5">
        <v>2010</v>
      </c>
      <c r="L568" s="7">
        <f t="shared" ca="1" si="398"/>
        <v>1</v>
      </c>
      <c r="M568" s="7">
        <f t="shared" si="425"/>
        <v>0.13777777777777778</v>
      </c>
      <c r="N568" s="14">
        <f t="shared" si="449"/>
        <v>2.2222222222222223E-2</v>
      </c>
      <c r="O568" s="1">
        <f ca="1">P568*J568*(1+Growth!G$6)^(2010-K568)</f>
        <v>124.0974235803648</v>
      </c>
      <c r="P568" s="2">
        <f t="shared" si="457"/>
        <v>118</v>
      </c>
      <c r="Q568" s="3">
        <v>118</v>
      </c>
      <c r="R568" s="21">
        <f t="shared" ca="1" si="411"/>
        <v>15400.170539284483</v>
      </c>
      <c r="X568" s="2">
        <f t="shared" si="419"/>
        <v>118</v>
      </c>
      <c r="AC568" s="1">
        <f t="shared" si="458"/>
        <v>6.2</v>
      </c>
      <c r="AD568" s="5">
        <v>1</v>
      </c>
      <c r="AE568" s="5">
        <v>0</v>
      </c>
      <c r="AF568" s="5">
        <v>1</v>
      </c>
      <c r="AG568" s="5">
        <v>0</v>
      </c>
      <c r="AH568" s="5">
        <v>1</v>
      </c>
      <c r="AI568" s="3">
        <f t="shared" si="409"/>
        <v>3.2</v>
      </c>
      <c r="AJ568" s="5">
        <f t="shared" si="424"/>
        <v>0</v>
      </c>
      <c r="AK568" s="5">
        <f t="shared" si="399"/>
        <v>0</v>
      </c>
      <c r="AL568" s="5">
        <f t="shared" si="400"/>
        <v>0</v>
      </c>
      <c r="AM568" s="5">
        <f t="shared" si="426"/>
        <v>0</v>
      </c>
      <c r="AN568" s="5">
        <f t="shared" si="401"/>
        <v>0</v>
      </c>
      <c r="AO568" s="5">
        <f t="shared" si="427"/>
        <v>0</v>
      </c>
      <c r="AP568" s="1">
        <v>3</v>
      </c>
      <c r="AQ568" s="1" t="s">
        <v>42</v>
      </c>
      <c r="AR568" s="5">
        <v>0</v>
      </c>
      <c r="AS568" s="5">
        <v>0</v>
      </c>
      <c r="AT568" s="5">
        <v>1</v>
      </c>
      <c r="AU568" s="5">
        <v>0</v>
      </c>
      <c r="AV568" s="5">
        <v>0</v>
      </c>
      <c r="AW568" s="5">
        <v>0</v>
      </c>
      <c r="AX568" s="5">
        <v>1</v>
      </c>
      <c r="AY568" s="1">
        <f t="shared" si="459"/>
        <v>0</v>
      </c>
      <c r="AZ568" s="1">
        <f t="shared" si="460"/>
        <v>0</v>
      </c>
      <c r="BA568" s="1">
        <f t="shared" si="461"/>
        <v>0</v>
      </c>
      <c r="BB568" s="5">
        <v>0</v>
      </c>
      <c r="BC568" s="5">
        <v>0</v>
      </c>
      <c r="BD568" s="5">
        <v>0</v>
      </c>
      <c r="BE568" s="5">
        <f t="shared" si="462"/>
        <v>1</v>
      </c>
      <c r="BF568" s="5">
        <v>0</v>
      </c>
      <c r="BG568" s="5">
        <f t="shared" si="464"/>
        <v>0</v>
      </c>
      <c r="BH568" s="5">
        <f t="shared" si="464"/>
        <v>0</v>
      </c>
      <c r="BI568" s="5">
        <f t="shared" si="464"/>
        <v>0</v>
      </c>
      <c r="BJ568" s="5">
        <f t="shared" si="464"/>
        <v>0</v>
      </c>
      <c r="BK568" s="5">
        <f t="shared" si="464"/>
        <v>0</v>
      </c>
      <c r="BL568" s="5">
        <f t="shared" si="464"/>
        <v>0</v>
      </c>
      <c r="BM568" s="5">
        <f t="shared" si="464"/>
        <v>0</v>
      </c>
      <c r="BN568" s="5">
        <f t="shared" si="464"/>
        <v>0</v>
      </c>
      <c r="BO568" s="5">
        <f t="shared" si="463"/>
        <v>0</v>
      </c>
      <c r="BP568" s="5">
        <f t="shared" si="463"/>
        <v>0</v>
      </c>
      <c r="BQ568" s="5">
        <f t="shared" si="463"/>
        <v>0</v>
      </c>
      <c r="BR568" s="5">
        <f t="shared" si="463"/>
        <v>0</v>
      </c>
      <c r="BS568" s="5">
        <f t="shared" si="463"/>
        <v>0</v>
      </c>
      <c r="BT568" s="5">
        <f t="shared" si="463"/>
        <v>0</v>
      </c>
      <c r="BU568" s="5">
        <f t="shared" si="463"/>
        <v>0</v>
      </c>
      <c r="BV568" s="5">
        <f t="shared" si="463"/>
        <v>0</v>
      </c>
      <c r="BW568" s="5">
        <f t="shared" si="463"/>
        <v>0</v>
      </c>
      <c r="BX568" s="5">
        <f t="shared" si="463"/>
        <v>0</v>
      </c>
      <c r="BY568" s="5">
        <f t="shared" si="463"/>
        <v>0</v>
      </c>
      <c r="BZ568" s="5">
        <f t="shared" si="463"/>
        <v>0</v>
      </c>
      <c r="CA568" s="5">
        <f t="shared" si="463"/>
        <v>0</v>
      </c>
      <c r="CB568" s="5">
        <f t="shared" si="463"/>
        <v>1</v>
      </c>
      <c r="CC568" s="5">
        <f t="shared" si="456"/>
        <v>0</v>
      </c>
      <c r="CD568" s="5">
        <f t="shared" si="456"/>
        <v>0</v>
      </c>
      <c r="CE568" s="5">
        <f t="shared" si="456"/>
        <v>0</v>
      </c>
    </row>
    <row r="569" spans="1:83" x14ac:dyDescent="0.2">
      <c r="A569" s="11"/>
      <c r="B569" s="11"/>
      <c r="C569" s="1">
        <f>Growth!D574</f>
        <v>0</v>
      </c>
      <c r="D569" s="5" t="b">
        <f t="shared" si="410"/>
        <v>0</v>
      </c>
      <c r="E569" s="5">
        <v>2012</v>
      </c>
      <c r="F569" s="5">
        <f ca="1">LOOKUP($E569,frequence!$A$2:$A$35,frequence!L$2:L$35)</f>
        <v>41.545638202606931</v>
      </c>
      <c r="G569" s="5">
        <f ca="1">LOOKUP($E569,frequence!$A$2:$A$35,frequence!K$2:K$35)</f>
        <v>3.8191206393393822</v>
      </c>
      <c r="H569" s="5">
        <f ca="1">LOOKUP($E569,frequence!$A$2:$A$35,frequence!M$2:M$35)</f>
        <v>265.64322815143237</v>
      </c>
      <c r="I569" s="18">
        <v>2007</v>
      </c>
      <c r="J569" s="7">
        <f>LOOKUP(I569,CPI!A$69:A$103,CPI!O$69:O$103)</f>
        <v>1.0516730811895323</v>
      </c>
      <c r="K569" s="5">
        <v>2010</v>
      </c>
      <c r="L569" s="7">
        <f t="shared" ca="1" si="398"/>
        <v>1</v>
      </c>
      <c r="M569" s="7">
        <f t="shared" si="425"/>
        <v>0.13777777777777778</v>
      </c>
      <c r="N569" s="14">
        <f t="shared" si="449"/>
        <v>2.2222222222222223E-2</v>
      </c>
      <c r="O569" s="1">
        <f ca="1">P569*J569*(1+Growth!G$6)^(2010-K569)</f>
        <v>14.723423136653452</v>
      </c>
      <c r="P569" s="2">
        <f t="shared" si="457"/>
        <v>14</v>
      </c>
      <c r="Q569" s="3">
        <v>14</v>
      </c>
      <c r="R569" s="21">
        <f t="shared" ca="1" si="411"/>
        <v>216.77918886094216</v>
      </c>
      <c r="X569" s="2">
        <f t="shared" si="419"/>
        <v>14</v>
      </c>
      <c r="AC569" s="1">
        <f t="shared" si="458"/>
        <v>6.2</v>
      </c>
      <c r="AD569" s="5">
        <v>1</v>
      </c>
      <c r="AE569" s="5">
        <v>0</v>
      </c>
      <c r="AF569" s="5">
        <v>1</v>
      </c>
      <c r="AG569" s="5">
        <v>0</v>
      </c>
      <c r="AH569" s="5">
        <v>1</v>
      </c>
      <c r="AI569" s="3">
        <f t="shared" si="409"/>
        <v>3.2</v>
      </c>
      <c r="AJ569" s="5">
        <f t="shared" si="424"/>
        <v>0</v>
      </c>
      <c r="AK569" s="5">
        <f t="shared" si="399"/>
        <v>0</v>
      </c>
      <c r="AL569" s="5">
        <f t="shared" si="400"/>
        <v>0</v>
      </c>
      <c r="AM569" s="5">
        <f t="shared" si="426"/>
        <v>0</v>
      </c>
      <c r="AN569" s="5">
        <f t="shared" si="401"/>
        <v>0</v>
      </c>
      <c r="AO569" s="5">
        <f t="shared" si="427"/>
        <v>0</v>
      </c>
      <c r="AP569" s="1">
        <v>3</v>
      </c>
      <c r="AQ569" s="1" t="s">
        <v>42</v>
      </c>
      <c r="AR569" s="5">
        <v>0</v>
      </c>
      <c r="AS569" s="5">
        <v>0</v>
      </c>
      <c r="AT569" s="5">
        <v>1</v>
      </c>
      <c r="AU569" s="5">
        <v>0</v>
      </c>
      <c r="AV569" s="5">
        <v>0</v>
      </c>
      <c r="AW569" s="5">
        <v>0</v>
      </c>
      <c r="AX569" s="5">
        <v>1</v>
      </c>
      <c r="AY569" s="1">
        <f t="shared" si="459"/>
        <v>0</v>
      </c>
      <c r="AZ569" s="1">
        <f t="shared" si="460"/>
        <v>0</v>
      </c>
      <c r="BA569" s="1">
        <f t="shared" si="461"/>
        <v>0</v>
      </c>
      <c r="BB569" s="5">
        <v>0</v>
      </c>
      <c r="BC569" s="5">
        <v>0</v>
      </c>
      <c r="BD569" s="5">
        <v>0</v>
      </c>
      <c r="BE569" s="5">
        <f t="shared" si="462"/>
        <v>1</v>
      </c>
      <c r="BF569" s="5">
        <v>0</v>
      </c>
      <c r="BG569" s="5">
        <f t="shared" si="464"/>
        <v>0</v>
      </c>
      <c r="BH569" s="5">
        <f t="shared" si="464"/>
        <v>0</v>
      </c>
      <c r="BI569" s="5">
        <f t="shared" si="464"/>
        <v>0</v>
      </c>
      <c r="BJ569" s="5">
        <f t="shared" si="464"/>
        <v>0</v>
      </c>
      <c r="BK569" s="5">
        <f t="shared" si="464"/>
        <v>0</v>
      </c>
      <c r="BL569" s="5">
        <f t="shared" si="464"/>
        <v>0</v>
      </c>
      <c r="BM569" s="5">
        <f t="shared" si="464"/>
        <v>0</v>
      </c>
      <c r="BN569" s="5">
        <f t="shared" si="464"/>
        <v>0</v>
      </c>
      <c r="BO569" s="5">
        <f t="shared" si="463"/>
        <v>0</v>
      </c>
      <c r="BP569" s="5">
        <f t="shared" si="463"/>
        <v>0</v>
      </c>
      <c r="BQ569" s="5">
        <f t="shared" si="463"/>
        <v>0</v>
      </c>
      <c r="BR569" s="5">
        <f t="shared" si="463"/>
        <v>0</v>
      </c>
      <c r="BS569" s="5">
        <f t="shared" si="463"/>
        <v>0</v>
      </c>
      <c r="BT569" s="5">
        <f t="shared" si="463"/>
        <v>0</v>
      </c>
      <c r="BU569" s="5">
        <f t="shared" si="463"/>
        <v>0</v>
      </c>
      <c r="BV569" s="5">
        <f t="shared" si="463"/>
        <v>0</v>
      </c>
      <c r="BW569" s="5">
        <f t="shared" si="463"/>
        <v>0</v>
      </c>
      <c r="BX569" s="5">
        <f t="shared" si="463"/>
        <v>0</v>
      </c>
      <c r="BY569" s="5">
        <f t="shared" si="463"/>
        <v>0</v>
      </c>
      <c r="BZ569" s="5">
        <f t="shared" si="463"/>
        <v>0</v>
      </c>
      <c r="CA569" s="5">
        <f t="shared" si="463"/>
        <v>0</v>
      </c>
      <c r="CB569" s="5">
        <f t="shared" si="463"/>
        <v>1</v>
      </c>
      <c r="CC569" s="5">
        <f t="shared" si="456"/>
        <v>0</v>
      </c>
      <c r="CD569" s="5">
        <f t="shared" si="456"/>
        <v>0</v>
      </c>
      <c r="CE569" s="5">
        <f t="shared" si="456"/>
        <v>0</v>
      </c>
    </row>
    <row r="570" spans="1:83" x14ac:dyDescent="0.2">
      <c r="A570" s="11"/>
      <c r="B570" s="11"/>
      <c r="C570" s="1">
        <f>Growth!D575</f>
        <v>0</v>
      </c>
      <c r="D570" s="5" t="b">
        <f t="shared" si="410"/>
        <v>0</v>
      </c>
      <c r="E570" s="5">
        <v>2012</v>
      </c>
      <c r="F570" s="5">
        <f ca="1">LOOKUP($E570,frequence!$A$2:$A$35,frequence!L$2:L$35)</f>
        <v>41.545638202606931</v>
      </c>
      <c r="G570" s="5">
        <f ca="1">LOOKUP($E570,frequence!$A$2:$A$35,frequence!K$2:K$35)</f>
        <v>3.8191206393393822</v>
      </c>
      <c r="H570" s="5">
        <f ca="1">LOOKUP($E570,frequence!$A$2:$A$35,frequence!M$2:M$35)</f>
        <v>265.64322815143237</v>
      </c>
      <c r="I570" s="18">
        <v>2007</v>
      </c>
      <c r="J570" s="7">
        <f>LOOKUP(I570,CPI!A$69:A$103,CPI!O$69:O$103)</f>
        <v>1.0516730811895323</v>
      </c>
      <c r="K570" s="5">
        <v>2010</v>
      </c>
      <c r="L570" s="7">
        <f t="shared" ca="1" si="398"/>
        <v>1</v>
      </c>
      <c r="M570" s="7">
        <f t="shared" si="425"/>
        <v>0.13777777777777778</v>
      </c>
      <c r="N570" s="14">
        <f t="shared" si="449"/>
        <v>2.2222222222222223E-2</v>
      </c>
      <c r="O570" s="1">
        <f ca="1">P570*J570*(1+Growth!G$6)^(2010-K570)</f>
        <v>32.601865516875499</v>
      </c>
      <c r="P570" s="2">
        <f t="shared" si="457"/>
        <v>31</v>
      </c>
      <c r="Q570" s="3">
        <v>31</v>
      </c>
      <c r="R570" s="21">
        <f t="shared" ca="1" si="411"/>
        <v>1062.8816351804358</v>
      </c>
      <c r="X570" s="2">
        <f t="shared" si="419"/>
        <v>31</v>
      </c>
      <c r="AC570" s="1">
        <f t="shared" si="458"/>
        <v>6.2</v>
      </c>
      <c r="AD570" s="5">
        <v>1</v>
      </c>
      <c r="AE570" s="5">
        <v>0</v>
      </c>
      <c r="AF570" s="5">
        <v>1</v>
      </c>
      <c r="AG570" s="5">
        <v>0</v>
      </c>
      <c r="AH570" s="5">
        <v>1</v>
      </c>
      <c r="AI570" s="3">
        <f t="shared" si="409"/>
        <v>3.2</v>
      </c>
      <c r="AJ570" s="5">
        <f t="shared" si="424"/>
        <v>0</v>
      </c>
      <c r="AK570" s="5">
        <f t="shared" si="399"/>
        <v>0</v>
      </c>
      <c r="AL570" s="5">
        <f t="shared" si="400"/>
        <v>0</v>
      </c>
      <c r="AM570" s="5">
        <f t="shared" si="426"/>
        <v>0</v>
      </c>
      <c r="AN570" s="5">
        <f t="shared" si="401"/>
        <v>0</v>
      </c>
      <c r="AO570" s="5">
        <f t="shared" si="427"/>
        <v>0</v>
      </c>
      <c r="AP570" s="1">
        <v>3</v>
      </c>
      <c r="AQ570" s="1" t="s">
        <v>42</v>
      </c>
      <c r="AR570" s="5">
        <v>0</v>
      </c>
      <c r="AS570" s="5">
        <v>0</v>
      </c>
      <c r="AT570" s="5">
        <v>1</v>
      </c>
      <c r="AU570" s="5">
        <v>0</v>
      </c>
      <c r="AV570" s="5">
        <v>0</v>
      </c>
      <c r="AW570" s="5">
        <v>0</v>
      </c>
      <c r="AX570" s="5">
        <v>1</v>
      </c>
      <c r="AY570" s="1">
        <f t="shared" si="459"/>
        <v>0</v>
      </c>
      <c r="AZ570" s="1">
        <f t="shared" si="460"/>
        <v>0</v>
      </c>
      <c r="BA570" s="1">
        <f t="shared" si="461"/>
        <v>0</v>
      </c>
      <c r="BB570" s="5">
        <v>0</v>
      </c>
      <c r="BC570" s="5">
        <v>0</v>
      </c>
      <c r="BD570" s="5">
        <v>0</v>
      </c>
      <c r="BE570" s="5">
        <f t="shared" si="462"/>
        <v>1</v>
      </c>
      <c r="BF570" s="5">
        <v>0</v>
      </c>
      <c r="BG570" s="5">
        <f t="shared" si="464"/>
        <v>0</v>
      </c>
      <c r="BH570" s="5">
        <f t="shared" si="464"/>
        <v>0</v>
      </c>
      <c r="BI570" s="5">
        <f t="shared" si="464"/>
        <v>0</v>
      </c>
      <c r="BJ570" s="5">
        <f t="shared" si="464"/>
        <v>0</v>
      </c>
      <c r="BK570" s="5">
        <f t="shared" si="464"/>
        <v>0</v>
      </c>
      <c r="BL570" s="5">
        <f t="shared" si="464"/>
        <v>0</v>
      </c>
      <c r="BM570" s="5">
        <f t="shared" si="464"/>
        <v>0</v>
      </c>
      <c r="BN570" s="5">
        <f t="shared" si="464"/>
        <v>0</v>
      </c>
      <c r="BO570" s="5">
        <f t="shared" si="463"/>
        <v>0</v>
      </c>
      <c r="BP570" s="5">
        <f t="shared" si="463"/>
        <v>0</v>
      </c>
      <c r="BQ570" s="5">
        <f t="shared" si="463"/>
        <v>0</v>
      </c>
      <c r="BR570" s="5">
        <f t="shared" si="463"/>
        <v>0</v>
      </c>
      <c r="BS570" s="5">
        <f t="shared" si="463"/>
        <v>0</v>
      </c>
      <c r="BT570" s="5">
        <f t="shared" si="463"/>
        <v>0</v>
      </c>
      <c r="BU570" s="5">
        <f t="shared" si="463"/>
        <v>0</v>
      </c>
      <c r="BV570" s="5">
        <f t="shared" si="463"/>
        <v>0</v>
      </c>
      <c r="BW570" s="5">
        <f t="shared" si="463"/>
        <v>0</v>
      </c>
      <c r="BX570" s="5">
        <f t="shared" si="463"/>
        <v>0</v>
      </c>
      <c r="BY570" s="5">
        <f t="shared" si="463"/>
        <v>0</v>
      </c>
      <c r="BZ570" s="5">
        <f t="shared" si="463"/>
        <v>0</v>
      </c>
      <c r="CA570" s="5">
        <f t="shared" si="463"/>
        <v>0</v>
      </c>
      <c r="CB570" s="5">
        <f t="shared" si="463"/>
        <v>1</v>
      </c>
      <c r="CC570" s="5">
        <f t="shared" si="456"/>
        <v>0</v>
      </c>
      <c r="CD570" s="5">
        <f t="shared" si="456"/>
        <v>0</v>
      </c>
      <c r="CE570" s="5">
        <f t="shared" si="456"/>
        <v>0</v>
      </c>
    </row>
    <row r="571" spans="1:83" x14ac:dyDescent="0.2">
      <c r="A571" s="11"/>
      <c r="B571" s="11"/>
      <c r="C571" s="1">
        <f>Growth!D576</f>
        <v>0</v>
      </c>
      <c r="D571" s="5" t="b">
        <f t="shared" si="410"/>
        <v>0</v>
      </c>
      <c r="E571" s="5">
        <v>2012</v>
      </c>
      <c r="F571" s="5">
        <f ca="1">LOOKUP($E571,frequence!$A$2:$A$35,frequence!L$2:L$35)</f>
        <v>41.545638202606931</v>
      </c>
      <c r="G571" s="5">
        <f ca="1">LOOKUP($E571,frequence!$A$2:$A$35,frequence!K$2:K$35)</f>
        <v>3.8191206393393822</v>
      </c>
      <c r="H571" s="5">
        <f ca="1">LOOKUP($E571,frequence!$A$2:$A$35,frequence!M$2:M$35)</f>
        <v>265.64322815143237</v>
      </c>
      <c r="I571" s="18">
        <v>2007</v>
      </c>
      <c r="J571" s="7">
        <f>LOOKUP(I571,CPI!A$69:A$103,CPI!O$69:O$103)</f>
        <v>1.0516730811895323</v>
      </c>
      <c r="K571" s="5">
        <v>2010</v>
      </c>
      <c r="L571" s="7">
        <f t="shared" ca="1" si="398"/>
        <v>1</v>
      </c>
      <c r="M571" s="7">
        <f t="shared" si="425"/>
        <v>0.13777777777777778</v>
      </c>
      <c r="N571" s="14">
        <f t="shared" si="449"/>
        <v>2.2222222222222223E-2</v>
      </c>
      <c r="O571" s="1">
        <f ca="1">P571*J571*(1+Growth!G$6)^(2010-K571)</f>
        <v>136.7175005546392</v>
      </c>
      <c r="P571" s="2">
        <f t="shared" si="457"/>
        <v>130</v>
      </c>
      <c r="Q571" s="3">
        <v>130</v>
      </c>
      <c r="R571" s="21">
        <f t="shared" ca="1" si="411"/>
        <v>18691.67495790777</v>
      </c>
      <c r="X571" s="2">
        <f t="shared" si="419"/>
        <v>130</v>
      </c>
      <c r="AC571" s="1">
        <f t="shared" si="458"/>
        <v>6.2</v>
      </c>
      <c r="AD571" s="5">
        <v>1</v>
      </c>
      <c r="AE571" s="5">
        <v>0</v>
      </c>
      <c r="AF571" s="5">
        <v>1</v>
      </c>
      <c r="AG571" s="5">
        <v>0</v>
      </c>
      <c r="AH571" s="5">
        <v>1</v>
      </c>
      <c r="AI571" s="3">
        <f t="shared" si="409"/>
        <v>3.2</v>
      </c>
      <c r="AJ571" s="5">
        <f t="shared" si="424"/>
        <v>0</v>
      </c>
      <c r="AK571" s="5">
        <f t="shared" si="399"/>
        <v>0</v>
      </c>
      <c r="AL571" s="5">
        <f t="shared" si="400"/>
        <v>0</v>
      </c>
      <c r="AM571" s="5">
        <f t="shared" si="426"/>
        <v>0</v>
      </c>
      <c r="AN571" s="5">
        <f t="shared" si="401"/>
        <v>0</v>
      </c>
      <c r="AO571" s="5">
        <f t="shared" si="427"/>
        <v>0</v>
      </c>
      <c r="AP571" s="1">
        <v>3</v>
      </c>
      <c r="AQ571" s="1" t="s">
        <v>42</v>
      </c>
      <c r="AR571" s="5">
        <v>0</v>
      </c>
      <c r="AS571" s="5">
        <v>0</v>
      </c>
      <c r="AT571" s="5">
        <v>1</v>
      </c>
      <c r="AU571" s="5">
        <v>0</v>
      </c>
      <c r="AV571" s="5">
        <v>0</v>
      </c>
      <c r="AW571" s="5">
        <v>0</v>
      </c>
      <c r="AX571" s="5">
        <v>1</v>
      </c>
      <c r="AY571" s="1">
        <f t="shared" si="459"/>
        <v>0</v>
      </c>
      <c r="AZ571" s="1">
        <f t="shared" si="460"/>
        <v>0</v>
      </c>
      <c r="BA571" s="1">
        <f t="shared" si="461"/>
        <v>0</v>
      </c>
      <c r="BB571" s="5">
        <v>0</v>
      </c>
      <c r="BC571" s="5">
        <v>0</v>
      </c>
      <c r="BD571" s="5">
        <v>0</v>
      </c>
      <c r="BE571" s="5">
        <f t="shared" si="462"/>
        <v>1</v>
      </c>
      <c r="BF571" s="5">
        <v>0</v>
      </c>
      <c r="BG571" s="5">
        <f t="shared" si="464"/>
        <v>0</v>
      </c>
      <c r="BH571" s="5">
        <f t="shared" si="464"/>
        <v>0</v>
      </c>
      <c r="BI571" s="5">
        <f t="shared" si="464"/>
        <v>0</v>
      </c>
      <c r="BJ571" s="5">
        <f t="shared" si="464"/>
        <v>0</v>
      </c>
      <c r="BK571" s="5">
        <f t="shared" si="464"/>
        <v>0</v>
      </c>
      <c r="BL571" s="5">
        <f t="shared" si="464"/>
        <v>0</v>
      </c>
      <c r="BM571" s="5">
        <f t="shared" si="464"/>
        <v>0</v>
      </c>
      <c r="BN571" s="5">
        <f t="shared" si="464"/>
        <v>0</v>
      </c>
      <c r="BO571" s="5">
        <f t="shared" si="463"/>
        <v>0</v>
      </c>
      <c r="BP571" s="5">
        <f t="shared" si="463"/>
        <v>0</v>
      </c>
      <c r="BQ571" s="5">
        <f t="shared" si="463"/>
        <v>0</v>
      </c>
      <c r="BR571" s="5">
        <f t="shared" si="463"/>
        <v>0</v>
      </c>
      <c r="BS571" s="5">
        <f t="shared" si="463"/>
        <v>0</v>
      </c>
      <c r="BT571" s="5">
        <f t="shared" si="463"/>
        <v>0</v>
      </c>
      <c r="BU571" s="5">
        <f t="shared" si="463"/>
        <v>0</v>
      </c>
      <c r="BV571" s="5">
        <f t="shared" si="463"/>
        <v>0</v>
      </c>
      <c r="BW571" s="5">
        <f t="shared" si="463"/>
        <v>0</v>
      </c>
      <c r="BX571" s="5">
        <f t="shared" si="463"/>
        <v>0</v>
      </c>
      <c r="BY571" s="5">
        <f t="shared" si="463"/>
        <v>0</v>
      </c>
      <c r="BZ571" s="5">
        <f t="shared" si="463"/>
        <v>0</v>
      </c>
      <c r="CA571" s="5">
        <f t="shared" si="463"/>
        <v>0</v>
      </c>
      <c r="CB571" s="5">
        <f t="shared" si="463"/>
        <v>1</v>
      </c>
      <c r="CC571" s="5">
        <f t="shared" si="463"/>
        <v>0</v>
      </c>
      <c r="CD571" s="5">
        <f t="shared" ref="CD571:CE590" si="465">IF($E571=CD$2,1,0)</f>
        <v>0</v>
      </c>
      <c r="CE571" s="5">
        <f t="shared" si="465"/>
        <v>0</v>
      </c>
    </row>
    <row r="572" spans="1:83" x14ac:dyDescent="0.2">
      <c r="A572" s="11"/>
      <c r="B572" s="11"/>
      <c r="C572" s="1">
        <f>Growth!D577</f>
        <v>0</v>
      </c>
      <c r="D572" s="5" t="b">
        <f t="shared" si="410"/>
        <v>0</v>
      </c>
      <c r="E572" s="5">
        <v>2012</v>
      </c>
      <c r="F572" s="5">
        <f ca="1">LOOKUP($E572,frequence!$A$2:$A$35,frequence!L$2:L$35)</f>
        <v>41.545638202606931</v>
      </c>
      <c r="G572" s="5">
        <f ca="1">LOOKUP($E572,frequence!$A$2:$A$35,frequence!K$2:K$35)</f>
        <v>3.8191206393393822</v>
      </c>
      <c r="H572" s="5">
        <f ca="1">LOOKUP($E572,frequence!$A$2:$A$35,frequence!M$2:M$35)</f>
        <v>265.64322815143237</v>
      </c>
      <c r="I572" s="18">
        <v>2007</v>
      </c>
      <c r="J572" s="7">
        <f>LOOKUP(I572,CPI!A$69:A$103,CPI!O$69:O$103)</f>
        <v>1.0516730811895323</v>
      </c>
      <c r="K572" s="5">
        <v>2010</v>
      </c>
      <c r="L572" s="7">
        <f t="shared" ca="1" si="398"/>
        <v>1</v>
      </c>
      <c r="M572" s="7">
        <f t="shared" si="425"/>
        <v>0.13777777777777778</v>
      </c>
      <c r="N572" s="14">
        <f t="shared" si="449"/>
        <v>2.2222222222222223E-2</v>
      </c>
      <c r="O572" s="1">
        <f ca="1">P572*J572*(1+Growth!G$6)^(2010-K572)</f>
        <v>5.2583654059476617</v>
      </c>
      <c r="P572" s="2">
        <f t="shared" si="457"/>
        <v>5</v>
      </c>
      <c r="Q572" s="3">
        <v>5</v>
      </c>
      <c r="R572" s="21">
        <f t="shared" ca="1" si="411"/>
        <v>27.650406742467116</v>
      </c>
      <c r="X572" s="2">
        <f t="shared" si="419"/>
        <v>5</v>
      </c>
      <c r="AC572" s="1">
        <f t="shared" si="458"/>
        <v>6.2</v>
      </c>
      <c r="AD572" s="5">
        <v>1</v>
      </c>
      <c r="AE572" s="5">
        <v>0</v>
      </c>
      <c r="AF572" s="5">
        <v>1</v>
      </c>
      <c r="AG572" s="5">
        <v>0</v>
      </c>
      <c r="AH572" s="5">
        <v>1</v>
      </c>
      <c r="AI572" s="3">
        <f t="shared" si="409"/>
        <v>3.2</v>
      </c>
      <c r="AJ572" s="5">
        <f t="shared" si="424"/>
        <v>0</v>
      </c>
      <c r="AK572" s="5">
        <f t="shared" si="399"/>
        <v>0</v>
      </c>
      <c r="AL572" s="5">
        <f t="shared" si="400"/>
        <v>0</v>
      </c>
      <c r="AM572" s="5">
        <f t="shared" si="426"/>
        <v>0</v>
      </c>
      <c r="AN572" s="5">
        <f t="shared" si="401"/>
        <v>0</v>
      </c>
      <c r="AO572" s="5">
        <f t="shared" si="427"/>
        <v>0</v>
      </c>
      <c r="AP572" s="1">
        <v>3</v>
      </c>
      <c r="AQ572" s="1" t="s">
        <v>42</v>
      </c>
      <c r="AR572" s="5">
        <v>0</v>
      </c>
      <c r="AS572" s="5">
        <v>0</v>
      </c>
      <c r="AT572" s="5">
        <v>1</v>
      </c>
      <c r="AU572" s="5">
        <v>0</v>
      </c>
      <c r="AV572" s="5">
        <v>0</v>
      </c>
      <c r="AW572" s="5">
        <v>0</v>
      </c>
      <c r="AX572" s="5">
        <v>1</v>
      </c>
      <c r="AY572" s="1">
        <f t="shared" si="459"/>
        <v>0</v>
      </c>
      <c r="AZ572" s="1">
        <f t="shared" si="460"/>
        <v>0</v>
      </c>
      <c r="BA572" s="1">
        <f t="shared" si="461"/>
        <v>0</v>
      </c>
      <c r="BB572" s="5">
        <v>0</v>
      </c>
      <c r="BC572" s="5">
        <v>0</v>
      </c>
      <c r="BD572" s="5">
        <v>0</v>
      </c>
      <c r="BE572" s="5">
        <f t="shared" si="462"/>
        <v>1</v>
      </c>
      <c r="BF572" s="5">
        <v>0</v>
      </c>
      <c r="BG572" s="5">
        <f t="shared" si="464"/>
        <v>0</v>
      </c>
      <c r="BH572" s="5">
        <f t="shared" si="464"/>
        <v>0</v>
      </c>
      <c r="BI572" s="5">
        <f t="shared" si="464"/>
        <v>0</v>
      </c>
      <c r="BJ572" s="5">
        <f t="shared" si="464"/>
        <v>0</v>
      </c>
      <c r="BK572" s="5">
        <f t="shared" si="464"/>
        <v>0</v>
      </c>
      <c r="BL572" s="5">
        <f t="shared" si="464"/>
        <v>0</v>
      </c>
      <c r="BM572" s="5">
        <f t="shared" si="464"/>
        <v>0</v>
      </c>
      <c r="BN572" s="5">
        <f t="shared" si="464"/>
        <v>0</v>
      </c>
      <c r="BO572" s="5">
        <f t="shared" si="463"/>
        <v>0</v>
      </c>
      <c r="BP572" s="5">
        <f t="shared" si="463"/>
        <v>0</v>
      </c>
      <c r="BQ572" s="5">
        <f t="shared" si="463"/>
        <v>0</v>
      </c>
      <c r="BR572" s="5">
        <f t="shared" si="463"/>
        <v>0</v>
      </c>
      <c r="BS572" s="5">
        <f t="shared" si="463"/>
        <v>0</v>
      </c>
      <c r="BT572" s="5">
        <f t="shared" si="463"/>
        <v>0</v>
      </c>
      <c r="BU572" s="5">
        <f t="shared" si="463"/>
        <v>0</v>
      </c>
      <c r="BV572" s="5">
        <f t="shared" si="463"/>
        <v>0</v>
      </c>
      <c r="BW572" s="5">
        <f t="shared" si="463"/>
        <v>0</v>
      </c>
      <c r="BX572" s="5">
        <f t="shared" si="463"/>
        <v>0</v>
      </c>
      <c r="BY572" s="5">
        <f t="shared" si="463"/>
        <v>0</v>
      </c>
      <c r="BZ572" s="5">
        <f t="shared" si="463"/>
        <v>0</v>
      </c>
      <c r="CA572" s="5">
        <f t="shared" si="463"/>
        <v>0</v>
      </c>
      <c r="CB572" s="5">
        <f t="shared" si="463"/>
        <v>1</v>
      </c>
      <c r="CC572" s="5">
        <f t="shared" si="463"/>
        <v>0</v>
      </c>
      <c r="CD572" s="5">
        <f t="shared" si="465"/>
        <v>0</v>
      </c>
      <c r="CE572" s="5">
        <f t="shared" si="465"/>
        <v>0</v>
      </c>
    </row>
    <row r="573" spans="1:83" x14ac:dyDescent="0.2">
      <c r="A573" s="11"/>
      <c r="B573" s="11"/>
      <c r="C573" s="1">
        <f>Growth!D578</f>
        <v>0</v>
      </c>
      <c r="D573" s="5" t="b">
        <f t="shared" si="410"/>
        <v>0</v>
      </c>
      <c r="E573" s="5">
        <v>2012</v>
      </c>
      <c r="F573" s="5">
        <f ca="1">LOOKUP($E573,frequence!$A$2:$A$35,frequence!L$2:L$35)</f>
        <v>41.545638202606931</v>
      </c>
      <c r="G573" s="5">
        <f ca="1">LOOKUP($E573,frequence!$A$2:$A$35,frequence!K$2:K$35)</f>
        <v>3.8191206393393822</v>
      </c>
      <c r="H573" s="5">
        <f ca="1">LOOKUP($E573,frequence!$A$2:$A$35,frequence!M$2:M$35)</f>
        <v>265.64322815143237</v>
      </c>
      <c r="I573" s="18">
        <v>2007</v>
      </c>
      <c r="J573" s="7">
        <f>LOOKUP(I573,CPI!A$69:A$103,CPI!O$69:O$103)</f>
        <v>1.0516730811895323</v>
      </c>
      <c r="K573" s="5">
        <v>2010</v>
      </c>
      <c r="L573" s="7">
        <f t="shared" ca="1" si="398"/>
        <v>1</v>
      </c>
      <c r="M573" s="7">
        <f t="shared" si="425"/>
        <v>0.13777777777777778</v>
      </c>
      <c r="N573" s="14">
        <f t="shared" si="449"/>
        <v>2.2222222222222223E-2</v>
      </c>
      <c r="O573" s="1">
        <f ca="1">P573*J573*(1+Growth!G$6)^(2010-K573)</f>
        <v>15.775096217842984</v>
      </c>
      <c r="P573" s="2">
        <f t="shared" si="457"/>
        <v>15</v>
      </c>
      <c r="Q573" s="3">
        <v>15</v>
      </c>
      <c r="R573" s="21">
        <f t="shared" ca="1" si="411"/>
        <v>248.85366068220401</v>
      </c>
      <c r="X573" s="2">
        <f t="shared" si="419"/>
        <v>15</v>
      </c>
      <c r="AC573" s="1">
        <f t="shared" si="458"/>
        <v>6.2</v>
      </c>
      <c r="AD573" s="5">
        <v>1</v>
      </c>
      <c r="AE573" s="5">
        <v>0</v>
      </c>
      <c r="AF573" s="5">
        <v>1</v>
      </c>
      <c r="AG573" s="5">
        <v>0</v>
      </c>
      <c r="AH573" s="5">
        <v>1</v>
      </c>
      <c r="AI573" s="3">
        <f t="shared" si="409"/>
        <v>3.2</v>
      </c>
      <c r="AJ573" s="5">
        <f t="shared" si="424"/>
        <v>0</v>
      </c>
      <c r="AK573" s="5">
        <f t="shared" si="399"/>
        <v>0</v>
      </c>
      <c r="AL573" s="5">
        <f t="shared" si="400"/>
        <v>0</v>
      </c>
      <c r="AM573" s="5">
        <f t="shared" si="426"/>
        <v>0</v>
      </c>
      <c r="AN573" s="5">
        <f t="shared" si="401"/>
        <v>0</v>
      </c>
      <c r="AO573" s="5">
        <f t="shared" si="427"/>
        <v>0</v>
      </c>
      <c r="AP573" s="1">
        <v>3</v>
      </c>
      <c r="AQ573" s="1" t="s">
        <v>42</v>
      </c>
      <c r="AR573" s="5">
        <v>0</v>
      </c>
      <c r="AS573" s="5">
        <v>0</v>
      </c>
      <c r="AT573" s="5">
        <v>1</v>
      </c>
      <c r="AU573" s="5">
        <v>0</v>
      </c>
      <c r="AV573" s="5">
        <v>0</v>
      </c>
      <c r="AW573" s="5">
        <v>0</v>
      </c>
      <c r="AX573" s="5">
        <v>1</v>
      </c>
      <c r="AY573" s="1">
        <f t="shared" si="459"/>
        <v>0</v>
      </c>
      <c r="AZ573" s="1">
        <f t="shared" si="460"/>
        <v>0</v>
      </c>
      <c r="BA573" s="1">
        <f t="shared" si="461"/>
        <v>0</v>
      </c>
      <c r="BB573" s="5">
        <v>0</v>
      </c>
      <c r="BC573" s="5">
        <v>0</v>
      </c>
      <c r="BD573" s="5">
        <v>0</v>
      </c>
      <c r="BE573" s="5">
        <f t="shared" si="462"/>
        <v>1</v>
      </c>
      <c r="BF573" s="5">
        <v>0</v>
      </c>
      <c r="BG573" s="5">
        <f t="shared" si="464"/>
        <v>0</v>
      </c>
      <c r="BH573" s="5">
        <f t="shared" si="464"/>
        <v>0</v>
      </c>
      <c r="BI573" s="5">
        <f t="shared" si="464"/>
        <v>0</v>
      </c>
      <c r="BJ573" s="5">
        <f t="shared" si="464"/>
        <v>0</v>
      </c>
      <c r="BK573" s="5">
        <f t="shared" si="464"/>
        <v>0</v>
      </c>
      <c r="BL573" s="5">
        <f t="shared" si="464"/>
        <v>0</v>
      </c>
      <c r="BM573" s="5">
        <f t="shared" si="464"/>
        <v>0</v>
      </c>
      <c r="BN573" s="5">
        <f t="shared" si="464"/>
        <v>0</v>
      </c>
      <c r="BO573" s="5">
        <f t="shared" si="463"/>
        <v>0</v>
      </c>
      <c r="BP573" s="5">
        <f t="shared" si="463"/>
        <v>0</v>
      </c>
      <c r="BQ573" s="5">
        <f t="shared" si="463"/>
        <v>0</v>
      </c>
      <c r="BR573" s="5">
        <f t="shared" si="463"/>
        <v>0</v>
      </c>
      <c r="BS573" s="5">
        <f t="shared" si="463"/>
        <v>0</v>
      </c>
      <c r="BT573" s="5">
        <f t="shared" si="463"/>
        <v>0</v>
      </c>
      <c r="BU573" s="5">
        <f t="shared" si="463"/>
        <v>0</v>
      </c>
      <c r="BV573" s="5">
        <f t="shared" si="463"/>
        <v>0</v>
      </c>
      <c r="BW573" s="5">
        <f t="shared" si="463"/>
        <v>0</v>
      </c>
      <c r="BX573" s="5">
        <f t="shared" si="463"/>
        <v>0</v>
      </c>
      <c r="BY573" s="5">
        <f t="shared" si="463"/>
        <v>0</v>
      </c>
      <c r="BZ573" s="5">
        <f t="shared" si="463"/>
        <v>0</v>
      </c>
      <c r="CA573" s="5">
        <f t="shared" si="463"/>
        <v>0</v>
      </c>
      <c r="CB573" s="5">
        <f t="shared" si="463"/>
        <v>1</v>
      </c>
      <c r="CC573" s="5">
        <f t="shared" si="463"/>
        <v>0</v>
      </c>
      <c r="CD573" s="5">
        <f t="shared" si="465"/>
        <v>0</v>
      </c>
      <c r="CE573" s="5">
        <f t="shared" si="465"/>
        <v>0</v>
      </c>
    </row>
    <row r="574" spans="1:83" x14ac:dyDescent="0.2">
      <c r="A574" s="11"/>
      <c r="B574" s="11"/>
      <c r="C574" s="1">
        <f>Growth!D579</f>
        <v>0</v>
      </c>
      <c r="D574" s="5" t="b">
        <f t="shared" si="410"/>
        <v>0</v>
      </c>
      <c r="E574" s="5">
        <v>2012</v>
      </c>
      <c r="F574" s="5">
        <f ca="1">LOOKUP($E574,frequence!$A$2:$A$35,frequence!L$2:L$35)</f>
        <v>41.545638202606931</v>
      </c>
      <c r="G574" s="5">
        <f ca="1">LOOKUP($E574,frequence!$A$2:$A$35,frequence!K$2:K$35)</f>
        <v>3.8191206393393822</v>
      </c>
      <c r="H574" s="5">
        <f ca="1">LOOKUP($E574,frequence!$A$2:$A$35,frequence!M$2:M$35)</f>
        <v>265.64322815143237</v>
      </c>
      <c r="I574" s="18">
        <v>2007</v>
      </c>
      <c r="J574" s="7">
        <f>LOOKUP(I574,CPI!A$69:A$103,CPI!O$69:O$103)</f>
        <v>1.0516730811895323</v>
      </c>
      <c r="K574" s="5">
        <v>2010</v>
      </c>
      <c r="L574" s="7">
        <f t="shared" ca="1" si="398"/>
        <v>1</v>
      </c>
      <c r="M574" s="7">
        <f t="shared" si="425"/>
        <v>0.13777777777777778</v>
      </c>
      <c r="N574" s="14">
        <f t="shared" si="449"/>
        <v>2.2222222222222223E-2</v>
      </c>
      <c r="O574" s="1">
        <f ca="1">P574*J574*(1+Growth!G$6)^(2010-K574)</f>
        <v>67.307077196130066</v>
      </c>
      <c r="P574" s="2">
        <f t="shared" si="457"/>
        <v>64</v>
      </c>
      <c r="Q574" s="3">
        <v>64</v>
      </c>
      <c r="R574" s="21">
        <f t="shared" ca="1" si="411"/>
        <v>4530.2426406858121</v>
      </c>
      <c r="X574" s="2">
        <f t="shared" si="419"/>
        <v>64</v>
      </c>
      <c r="AC574" s="1">
        <f t="shared" si="458"/>
        <v>6.2</v>
      </c>
      <c r="AD574" s="5">
        <v>1</v>
      </c>
      <c r="AE574" s="5">
        <v>0</v>
      </c>
      <c r="AF574" s="5">
        <v>1</v>
      </c>
      <c r="AG574" s="5">
        <v>0</v>
      </c>
      <c r="AH574" s="5">
        <v>1</v>
      </c>
      <c r="AI574" s="3">
        <f t="shared" si="409"/>
        <v>3.2</v>
      </c>
      <c r="AJ574" s="5">
        <f t="shared" si="424"/>
        <v>0</v>
      </c>
      <c r="AK574" s="5">
        <f t="shared" si="399"/>
        <v>0</v>
      </c>
      <c r="AL574" s="5">
        <f t="shared" si="400"/>
        <v>0</v>
      </c>
      <c r="AM574" s="5">
        <f t="shared" si="426"/>
        <v>0</v>
      </c>
      <c r="AN574" s="5">
        <f t="shared" si="401"/>
        <v>0</v>
      </c>
      <c r="AO574" s="5">
        <f t="shared" si="427"/>
        <v>0</v>
      </c>
      <c r="AP574" s="1">
        <v>3</v>
      </c>
      <c r="AQ574" s="1" t="s">
        <v>42</v>
      </c>
      <c r="AR574" s="5">
        <v>0</v>
      </c>
      <c r="AS574" s="5">
        <v>0</v>
      </c>
      <c r="AT574" s="5">
        <v>1</v>
      </c>
      <c r="AU574" s="5">
        <v>0</v>
      </c>
      <c r="AV574" s="5">
        <v>0</v>
      </c>
      <c r="AW574" s="5">
        <v>0</v>
      </c>
      <c r="AX574" s="5">
        <v>1</v>
      </c>
      <c r="AY574" s="1">
        <f t="shared" si="459"/>
        <v>0</v>
      </c>
      <c r="AZ574" s="1">
        <f t="shared" si="460"/>
        <v>0</v>
      </c>
      <c r="BA574" s="1">
        <f t="shared" si="461"/>
        <v>0</v>
      </c>
      <c r="BB574" s="5">
        <v>0</v>
      </c>
      <c r="BC574" s="5">
        <v>0</v>
      </c>
      <c r="BD574" s="5">
        <v>0</v>
      </c>
      <c r="BE574" s="5">
        <f t="shared" si="462"/>
        <v>1</v>
      </c>
      <c r="BF574" s="5">
        <v>0</v>
      </c>
      <c r="BG574" s="5">
        <f t="shared" si="464"/>
        <v>0</v>
      </c>
      <c r="BH574" s="5">
        <f t="shared" si="464"/>
        <v>0</v>
      </c>
      <c r="BI574" s="5">
        <f t="shared" si="464"/>
        <v>0</v>
      </c>
      <c r="BJ574" s="5">
        <f t="shared" si="464"/>
        <v>0</v>
      </c>
      <c r="BK574" s="5">
        <f t="shared" si="464"/>
        <v>0</v>
      </c>
      <c r="BL574" s="5">
        <f t="shared" si="464"/>
        <v>0</v>
      </c>
      <c r="BM574" s="5">
        <f t="shared" si="464"/>
        <v>0</v>
      </c>
      <c r="BN574" s="5">
        <f t="shared" si="464"/>
        <v>0</v>
      </c>
      <c r="BO574" s="5">
        <f t="shared" si="463"/>
        <v>0</v>
      </c>
      <c r="BP574" s="5">
        <f t="shared" si="463"/>
        <v>0</v>
      </c>
      <c r="BQ574" s="5">
        <f t="shared" si="463"/>
        <v>0</v>
      </c>
      <c r="BR574" s="5">
        <f t="shared" si="463"/>
        <v>0</v>
      </c>
      <c r="BS574" s="5">
        <f t="shared" si="463"/>
        <v>0</v>
      </c>
      <c r="BT574" s="5">
        <f t="shared" si="463"/>
        <v>0</v>
      </c>
      <c r="BU574" s="5">
        <f t="shared" si="463"/>
        <v>0</v>
      </c>
      <c r="BV574" s="5">
        <f t="shared" si="463"/>
        <v>0</v>
      </c>
      <c r="BW574" s="5">
        <f t="shared" si="463"/>
        <v>0</v>
      </c>
      <c r="BX574" s="5">
        <f t="shared" si="463"/>
        <v>0</v>
      </c>
      <c r="BY574" s="5">
        <f t="shared" si="463"/>
        <v>0</v>
      </c>
      <c r="BZ574" s="5">
        <f t="shared" si="463"/>
        <v>0</v>
      </c>
      <c r="CA574" s="5">
        <f t="shared" si="463"/>
        <v>0</v>
      </c>
      <c r="CB574" s="5">
        <f t="shared" si="463"/>
        <v>1</v>
      </c>
      <c r="CC574" s="5">
        <f t="shared" si="463"/>
        <v>0</v>
      </c>
      <c r="CD574" s="5">
        <f t="shared" si="465"/>
        <v>0</v>
      </c>
      <c r="CE574" s="5">
        <f t="shared" si="465"/>
        <v>0</v>
      </c>
    </row>
    <row r="575" spans="1:83" x14ac:dyDescent="0.2">
      <c r="A575" s="11"/>
      <c r="B575" s="11"/>
      <c r="C575" s="1">
        <f>Growth!D580</f>
        <v>0</v>
      </c>
      <c r="D575" s="5" t="b">
        <f t="shared" si="410"/>
        <v>0</v>
      </c>
      <c r="E575" s="5">
        <v>2012</v>
      </c>
      <c r="F575" s="5">
        <f ca="1">LOOKUP($E575,frequence!$A$2:$A$35,frequence!L$2:L$35)</f>
        <v>41.545638202606931</v>
      </c>
      <c r="G575" s="5">
        <f ca="1">LOOKUP($E575,frequence!$A$2:$A$35,frequence!K$2:K$35)</f>
        <v>3.8191206393393822</v>
      </c>
      <c r="H575" s="5">
        <f ca="1">LOOKUP($E575,frequence!$A$2:$A$35,frequence!M$2:M$35)</f>
        <v>265.64322815143237</v>
      </c>
      <c r="I575" s="18">
        <v>2007</v>
      </c>
      <c r="J575" s="7">
        <f>LOOKUP(I575,CPI!A$69:A$103,CPI!O$69:O$103)</f>
        <v>1.0516730811895323</v>
      </c>
      <c r="K575" s="5">
        <v>2010</v>
      </c>
      <c r="L575" s="7">
        <f t="shared" ca="1" si="398"/>
        <v>1</v>
      </c>
      <c r="M575" s="7">
        <f t="shared" si="425"/>
        <v>0.13777777777777778</v>
      </c>
      <c r="N575" s="14">
        <f t="shared" si="449"/>
        <v>2.2222222222222223E-2</v>
      </c>
      <c r="O575" s="1">
        <f ca="1">P575*J575*(1+Growth!G$6)^(2010-K575)</f>
        <v>6.3100384871371933</v>
      </c>
      <c r="P575" s="2">
        <f t="shared" si="457"/>
        <v>6</v>
      </c>
      <c r="Q575" s="3">
        <v>6</v>
      </c>
      <c r="R575" s="21">
        <f t="shared" ca="1" si="411"/>
        <v>39.816585709152641</v>
      </c>
      <c r="X575" s="2">
        <f t="shared" si="419"/>
        <v>6</v>
      </c>
      <c r="AC575" s="1">
        <f t="shared" si="458"/>
        <v>6.2</v>
      </c>
      <c r="AD575" s="5">
        <v>1</v>
      </c>
      <c r="AE575" s="5">
        <v>0</v>
      </c>
      <c r="AF575" s="5">
        <v>1</v>
      </c>
      <c r="AG575" s="5">
        <v>0</v>
      </c>
      <c r="AH575" s="5">
        <v>1</v>
      </c>
      <c r="AI575" s="3">
        <f t="shared" si="409"/>
        <v>3.2</v>
      </c>
      <c r="AJ575" s="5">
        <f t="shared" si="424"/>
        <v>0</v>
      </c>
      <c r="AK575" s="5">
        <f t="shared" si="399"/>
        <v>0</v>
      </c>
      <c r="AL575" s="5">
        <f t="shared" si="400"/>
        <v>0</v>
      </c>
      <c r="AM575" s="5">
        <f t="shared" si="426"/>
        <v>0</v>
      </c>
      <c r="AN575" s="5">
        <f t="shared" si="401"/>
        <v>0</v>
      </c>
      <c r="AO575" s="5">
        <f t="shared" si="427"/>
        <v>0</v>
      </c>
      <c r="AP575" s="1">
        <v>3</v>
      </c>
      <c r="AQ575" s="1" t="s">
        <v>42</v>
      </c>
      <c r="AR575" s="5">
        <v>0</v>
      </c>
      <c r="AS575" s="5">
        <v>0</v>
      </c>
      <c r="AT575" s="5">
        <v>1</v>
      </c>
      <c r="AU575" s="5">
        <v>0</v>
      </c>
      <c r="AV575" s="5">
        <v>0</v>
      </c>
      <c r="AW575" s="5">
        <v>0</v>
      </c>
      <c r="AX575" s="5">
        <v>1</v>
      </c>
      <c r="AY575" s="1">
        <f t="shared" si="459"/>
        <v>0</v>
      </c>
      <c r="AZ575" s="1">
        <f t="shared" si="460"/>
        <v>0</v>
      </c>
      <c r="BA575" s="1">
        <f t="shared" si="461"/>
        <v>0</v>
      </c>
      <c r="BB575" s="5">
        <v>0</v>
      </c>
      <c r="BC575" s="5">
        <v>0</v>
      </c>
      <c r="BD575" s="5">
        <v>0</v>
      </c>
      <c r="BE575" s="5">
        <f t="shared" si="462"/>
        <v>1</v>
      </c>
      <c r="BF575" s="5">
        <v>0</v>
      </c>
      <c r="BG575" s="5">
        <f t="shared" si="464"/>
        <v>0</v>
      </c>
      <c r="BH575" s="5">
        <f t="shared" si="464"/>
        <v>0</v>
      </c>
      <c r="BI575" s="5">
        <f t="shared" si="464"/>
        <v>0</v>
      </c>
      <c r="BJ575" s="5">
        <f t="shared" si="464"/>
        <v>0</v>
      </c>
      <c r="BK575" s="5">
        <f t="shared" si="464"/>
        <v>0</v>
      </c>
      <c r="BL575" s="5">
        <f t="shared" si="464"/>
        <v>0</v>
      </c>
      <c r="BM575" s="5">
        <f t="shared" si="464"/>
        <v>0</v>
      </c>
      <c r="BN575" s="5">
        <f t="shared" si="464"/>
        <v>0</v>
      </c>
      <c r="BO575" s="5">
        <f t="shared" si="463"/>
        <v>0</v>
      </c>
      <c r="BP575" s="5">
        <f t="shared" si="463"/>
        <v>0</v>
      </c>
      <c r="BQ575" s="5">
        <f t="shared" si="463"/>
        <v>0</v>
      </c>
      <c r="BR575" s="5">
        <f t="shared" si="463"/>
        <v>0</v>
      </c>
      <c r="BS575" s="5">
        <f t="shared" si="463"/>
        <v>0</v>
      </c>
      <c r="BT575" s="5">
        <f t="shared" si="463"/>
        <v>0</v>
      </c>
      <c r="BU575" s="5">
        <f t="shared" si="463"/>
        <v>0</v>
      </c>
      <c r="BV575" s="5">
        <f t="shared" si="463"/>
        <v>0</v>
      </c>
      <c r="BW575" s="5">
        <f t="shared" si="463"/>
        <v>0</v>
      </c>
      <c r="BX575" s="5">
        <f t="shared" si="463"/>
        <v>0</v>
      </c>
      <c r="BY575" s="5">
        <f t="shared" si="463"/>
        <v>0</v>
      </c>
      <c r="BZ575" s="5">
        <f t="shared" si="463"/>
        <v>0</v>
      </c>
      <c r="CA575" s="5">
        <f t="shared" si="463"/>
        <v>0</v>
      </c>
      <c r="CB575" s="5">
        <f t="shared" si="463"/>
        <v>1</v>
      </c>
      <c r="CC575" s="5">
        <f t="shared" si="463"/>
        <v>0</v>
      </c>
      <c r="CD575" s="5">
        <f t="shared" si="465"/>
        <v>0</v>
      </c>
      <c r="CE575" s="5">
        <f t="shared" si="465"/>
        <v>0</v>
      </c>
    </row>
    <row r="576" spans="1:83" x14ac:dyDescent="0.2">
      <c r="A576" s="11"/>
      <c r="B576" s="11"/>
      <c r="C576" s="1">
        <f>Growth!D581</f>
        <v>0</v>
      </c>
      <c r="D576" s="5" t="b">
        <f t="shared" si="410"/>
        <v>0</v>
      </c>
      <c r="E576" s="5">
        <v>2012</v>
      </c>
      <c r="F576" s="5">
        <f ca="1">LOOKUP($E576,frequence!$A$2:$A$35,frequence!L$2:L$35)</f>
        <v>41.545638202606931</v>
      </c>
      <c r="G576" s="5">
        <f ca="1">LOOKUP($E576,frequence!$A$2:$A$35,frequence!K$2:K$35)</f>
        <v>3.8191206393393822</v>
      </c>
      <c r="H576" s="5">
        <f ca="1">LOOKUP($E576,frequence!$A$2:$A$35,frequence!M$2:M$35)</f>
        <v>265.64322815143237</v>
      </c>
      <c r="I576" s="18">
        <v>2007</v>
      </c>
      <c r="J576" s="7">
        <f>LOOKUP(I576,CPI!A$69:A$103,CPI!O$69:O$103)</f>
        <v>1.0516730811895323</v>
      </c>
      <c r="K576" s="5">
        <v>2010</v>
      </c>
      <c r="L576" s="7">
        <f t="shared" ca="1" si="398"/>
        <v>1</v>
      </c>
      <c r="M576" s="7">
        <f t="shared" si="425"/>
        <v>0.13777777777777778</v>
      </c>
      <c r="N576" s="14">
        <f t="shared" si="449"/>
        <v>2.2222222222222223E-2</v>
      </c>
      <c r="O576" s="1">
        <f ca="1">P576*J576*(1+Growth!G$6)^(2010-K576)</f>
        <v>18.930115461411582</v>
      </c>
      <c r="P576" s="2">
        <f t="shared" si="457"/>
        <v>18</v>
      </c>
      <c r="Q576" s="3">
        <v>18</v>
      </c>
      <c r="R576" s="21">
        <f t="shared" ca="1" si="411"/>
        <v>358.34927138237384</v>
      </c>
      <c r="X576" s="2">
        <f t="shared" si="419"/>
        <v>18</v>
      </c>
      <c r="AC576" s="1">
        <f t="shared" si="458"/>
        <v>6.2</v>
      </c>
      <c r="AD576" s="5">
        <v>1</v>
      </c>
      <c r="AE576" s="5">
        <v>0</v>
      </c>
      <c r="AF576" s="5">
        <v>1</v>
      </c>
      <c r="AG576" s="5">
        <v>0</v>
      </c>
      <c r="AH576" s="5">
        <v>1</v>
      </c>
      <c r="AI576" s="3">
        <f t="shared" si="409"/>
        <v>3.2</v>
      </c>
      <c r="AJ576" s="5">
        <f t="shared" si="424"/>
        <v>0</v>
      </c>
      <c r="AK576" s="5">
        <f t="shared" si="399"/>
        <v>0</v>
      </c>
      <c r="AL576" s="5">
        <f t="shared" si="400"/>
        <v>0</v>
      </c>
      <c r="AM576" s="5">
        <f t="shared" si="426"/>
        <v>0</v>
      </c>
      <c r="AN576" s="5">
        <f t="shared" si="401"/>
        <v>0</v>
      </c>
      <c r="AO576" s="5">
        <f t="shared" si="427"/>
        <v>0</v>
      </c>
      <c r="AP576" s="1">
        <v>3</v>
      </c>
      <c r="AQ576" s="1" t="s">
        <v>42</v>
      </c>
      <c r="AR576" s="5">
        <v>0</v>
      </c>
      <c r="AS576" s="5">
        <v>0</v>
      </c>
      <c r="AT576" s="5">
        <v>1</v>
      </c>
      <c r="AU576" s="5">
        <v>0</v>
      </c>
      <c r="AV576" s="5">
        <v>0</v>
      </c>
      <c r="AW576" s="5">
        <v>0</v>
      </c>
      <c r="AX576" s="5">
        <v>1</v>
      </c>
      <c r="AY576" s="1">
        <f t="shared" si="459"/>
        <v>0</v>
      </c>
      <c r="AZ576" s="1">
        <f t="shared" si="460"/>
        <v>0</v>
      </c>
      <c r="BA576" s="1">
        <f t="shared" si="461"/>
        <v>0</v>
      </c>
      <c r="BB576" s="5">
        <v>0</v>
      </c>
      <c r="BC576" s="5">
        <v>0</v>
      </c>
      <c r="BD576" s="5">
        <v>0</v>
      </c>
      <c r="BE576" s="5">
        <f t="shared" si="462"/>
        <v>1</v>
      </c>
      <c r="BF576" s="5">
        <v>0</v>
      </c>
      <c r="BG576" s="5">
        <f t="shared" si="464"/>
        <v>0</v>
      </c>
      <c r="BH576" s="5">
        <f t="shared" si="464"/>
        <v>0</v>
      </c>
      <c r="BI576" s="5">
        <f t="shared" si="464"/>
        <v>0</v>
      </c>
      <c r="BJ576" s="5">
        <f t="shared" si="464"/>
        <v>0</v>
      </c>
      <c r="BK576" s="5">
        <f t="shared" si="464"/>
        <v>0</v>
      </c>
      <c r="BL576" s="5">
        <f t="shared" si="464"/>
        <v>0</v>
      </c>
      <c r="BM576" s="5">
        <f t="shared" si="464"/>
        <v>0</v>
      </c>
      <c r="BN576" s="5">
        <f t="shared" si="464"/>
        <v>0</v>
      </c>
      <c r="BO576" s="5">
        <f t="shared" si="463"/>
        <v>0</v>
      </c>
      <c r="BP576" s="5">
        <f t="shared" si="463"/>
        <v>0</v>
      </c>
      <c r="BQ576" s="5">
        <f t="shared" si="463"/>
        <v>0</v>
      </c>
      <c r="BR576" s="5">
        <f t="shared" si="463"/>
        <v>0</v>
      </c>
      <c r="BS576" s="5">
        <f t="shared" si="463"/>
        <v>0</v>
      </c>
      <c r="BT576" s="5">
        <f t="shared" si="463"/>
        <v>0</v>
      </c>
      <c r="BU576" s="5">
        <f t="shared" si="463"/>
        <v>0</v>
      </c>
      <c r="BV576" s="5">
        <f t="shared" si="463"/>
        <v>0</v>
      </c>
      <c r="BW576" s="5">
        <f t="shared" si="463"/>
        <v>0</v>
      </c>
      <c r="BX576" s="5">
        <f t="shared" si="463"/>
        <v>0</v>
      </c>
      <c r="BY576" s="5">
        <f t="shared" si="463"/>
        <v>0</v>
      </c>
      <c r="BZ576" s="5">
        <f t="shared" si="463"/>
        <v>0</v>
      </c>
      <c r="CA576" s="5">
        <f t="shared" si="463"/>
        <v>0</v>
      </c>
      <c r="CB576" s="5">
        <f t="shared" si="463"/>
        <v>1</v>
      </c>
      <c r="CC576" s="5">
        <f t="shared" si="463"/>
        <v>0</v>
      </c>
      <c r="CD576" s="5">
        <f t="shared" si="465"/>
        <v>0</v>
      </c>
      <c r="CE576" s="5">
        <f t="shared" si="465"/>
        <v>0</v>
      </c>
    </row>
    <row r="577" spans="1:83" x14ac:dyDescent="0.2">
      <c r="A577" s="11"/>
      <c r="B577" s="11"/>
      <c r="C577" s="1">
        <f>Growth!D582</f>
        <v>0</v>
      </c>
      <c r="D577" s="5" t="b">
        <f t="shared" si="410"/>
        <v>0</v>
      </c>
      <c r="E577" s="5">
        <v>2012</v>
      </c>
      <c r="F577" s="5">
        <f ca="1">LOOKUP($E577,frequence!$A$2:$A$35,frequence!L$2:L$35)</f>
        <v>41.545638202606931</v>
      </c>
      <c r="G577" s="5">
        <f ca="1">LOOKUP($E577,frequence!$A$2:$A$35,frequence!K$2:K$35)</f>
        <v>3.8191206393393822</v>
      </c>
      <c r="H577" s="5">
        <f ca="1">LOOKUP($E577,frequence!$A$2:$A$35,frequence!M$2:M$35)</f>
        <v>265.64322815143237</v>
      </c>
      <c r="I577" s="18">
        <v>2007</v>
      </c>
      <c r="J577" s="7">
        <f>LOOKUP(I577,CPI!A$69:A$103,CPI!O$69:O$103)</f>
        <v>1.0516730811895323</v>
      </c>
      <c r="K577" s="5">
        <v>2010</v>
      </c>
      <c r="L577" s="7">
        <f t="shared" ca="1" si="398"/>
        <v>1</v>
      </c>
      <c r="M577" s="7">
        <f t="shared" si="425"/>
        <v>0.13777777777777778</v>
      </c>
      <c r="N577" s="14">
        <f t="shared" si="449"/>
        <v>2.2222222222222223E-2</v>
      </c>
      <c r="O577" s="1">
        <f ca="1">P577*J577*(1+Growth!G$6)^(2010-K577)</f>
        <v>75.720461845646327</v>
      </c>
      <c r="P577" s="2">
        <f t="shared" si="457"/>
        <v>72</v>
      </c>
      <c r="Q577" s="3">
        <v>72</v>
      </c>
      <c r="R577" s="21">
        <f t="shared" ca="1" si="411"/>
        <v>5733.5883421179815</v>
      </c>
      <c r="X577" s="2">
        <f t="shared" si="419"/>
        <v>72</v>
      </c>
      <c r="AC577" s="1">
        <f t="shared" si="458"/>
        <v>6.2</v>
      </c>
      <c r="AD577" s="5">
        <v>1</v>
      </c>
      <c r="AE577" s="5">
        <v>0</v>
      </c>
      <c r="AF577" s="5">
        <v>1</v>
      </c>
      <c r="AG577" s="5">
        <v>0</v>
      </c>
      <c r="AH577" s="5">
        <v>1</v>
      </c>
      <c r="AI577" s="3">
        <f t="shared" si="409"/>
        <v>3.2</v>
      </c>
      <c r="AJ577" s="5">
        <f t="shared" si="424"/>
        <v>0</v>
      </c>
      <c r="AK577" s="5">
        <f t="shared" si="399"/>
        <v>0</v>
      </c>
      <c r="AL577" s="5">
        <f t="shared" si="400"/>
        <v>0</v>
      </c>
      <c r="AM577" s="5">
        <f t="shared" si="426"/>
        <v>0</v>
      </c>
      <c r="AN577" s="5">
        <f t="shared" si="401"/>
        <v>0</v>
      </c>
      <c r="AO577" s="5">
        <f t="shared" si="427"/>
        <v>0</v>
      </c>
      <c r="AP577" s="1">
        <v>3</v>
      </c>
      <c r="AQ577" s="1" t="s">
        <v>42</v>
      </c>
      <c r="AR577" s="5">
        <v>0</v>
      </c>
      <c r="AS577" s="5">
        <v>0</v>
      </c>
      <c r="AT577" s="5">
        <v>1</v>
      </c>
      <c r="AU577" s="5">
        <v>0</v>
      </c>
      <c r="AV577" s="5">
        <v>0</v>
      </c>
      <c r="AW577" s="5">
        <v>0</v>
      </c>
      <c r="AX577" s="5">
        <v>1</v>
      </c>
      <c r="AY577" s="1">
        <f t="shared" si="459"/>
        <v>0</v>
      </c>
      <c r="AZ577" s="1">
        <f t="shared" si="460"/>
        <v>0</v>
      </c>
      <c r="BA577" s="1">
        <f t="shared" si="461"/>
        <v>0</v>
      </c>
      <c r="BB577" s="5">
        <v>0</v>
      </c>
      <c r="BC577" s="5">
        <v>0</v>
      </c>
      <c r="BD577" s="5">
        <v>0</v>
      </c>
      <c r="BE577" s="5">
        <f t="shared" si="462"/>
        <v>1</v>
      </c>
      <c r="BF577" s="5">
        <v>0</v>
      </c>
      <c r="BG577" s="5">
        <f t="shared" si="464"/>
        <v>0</v>
      </c>
      <c r="BH577" s="5">
        <f t="shared" si="464"/>
        <v>0</v>
      </c>
      <c r="BI577" s="5">
        <f t="shared" si="464"/>
        <v>0</v>
      </c>
      <c r="BJ577" s="5">
        <f t="shared" si="464"/>
        <v>0</v>
      </c>
      <c r="BK577" s="5">
        <f t="shared" si="464"/>
        <v>0</v>
      </c>
      <c r="BL577" s="5">
        <f t="shared" si="464"/>
        <v>0</v>
      </c>
      <c r="BM577" s="5">
        <f t="shared" si="464"/>
        <v>0</v>
      </c>
      <c r="BN577" s="5">
        <f t="shared" si="464"/>
        <v>0</v>
      </c>
      <c r="BO577" s="5">
        <f t="shared" si="463"/>
        <v>0</v>
      </c>
      <c r="BP577" s="5">
        <f t="shared" si="463"/>
        <v>0</v>
      </c>
      <c r="BQ577" s="5">
        <f t="shared" si="463"/>
        <v>0</v>
      </c>
      <c r="BR577" s="5">
        <f t="shared" si="463"/>
        <v>0</v>
      </c>
      <c r="BS577" s="5">
        <f t="shared" si="463"/>
        <v>0</v>
      </c>
      <c r="BT577" s="5">
        <f t="shared" si="463"/>
        <v>0</v>
      </c>
      <c r="BU577" s="5">
        <f t="shared" si="463"/>
        <v>0</v>
      </c>
      <c r="BV577" s="5">
        <f t="shared" si="463"/>
        <v>0</v>
      </c>
      <c r="BW577" s="5">
        <f t="shared" si="463"/>
        <v>0</v>
      </c>
      <c r="BX577" s="5">
        <f t="shared" si="463"/>
        <v>0</v>
      </c>
      <c r="BY577" s="5">
        <f t="shared" si="463"/>
        <v>0</v>
      </c>
      <c r="BZ577" s="5">
        <f t="shared" si="463"/>
        <v>0</v>
      </c>
      <c r="CA577" s="5">
        <f t="shared" si="463"/>
        <v>0</v>
      </c>
      <c r="CB577" s="5">
        <f t="shared" si="463"/>
        <v>1</v>
      </c>
      <c r="CC577" s="5">
        <f t="shared" si="463"/>
        <v>0</v>
      </c>
      <c r="CD577" s="5">
        <f t="shared" si="465"/>
        <v>0</v>
      </c>
      <c r="CE577" s="5">
        <f t="shared" si="465"/>
        <v>0</v>
      </c>
    </row>
    <row r="578" spans="1:83" x14ac:dyDescent="0.2">
      <c r="A578" s="11"/>
      <c r="B578" s="11"/>
      <c r="C578" s="1">
        <f>Growth!D583</f>
        <v>0</v>
      </c>
      <c r="D578" s="5" t="b">
        <f t="shared" si="410"/>
        <v>0</v>
      </c>
      <c r="E578" s="5">
        <v>2012</v>
      </c>
      <c r="F578" s="5">
        <f ca="1">LOOKUP($E578,frequence!$A$2:$A$35,frequence!L$2:L$35)</f>
        <v>41.545638202606931</v>
      </c>
      <c r="G578" s="5">
        <f ca="1">LOOKUP($E578,frequence!$A$2:$A$35,frequence!K$2:K$35)</f>
        <v>3.8191206393393822</v>
      </c>
      <c r="H578" s="5">
        <f ca="1">LOOKUP($E578,frequence!$A$2:$A$35,frequence!M$2:M$35)</f>
        <v>265.64322815143237</v>
      </c>
      <c r="I578" s="18">
        <v>2007</v>
      </c>
      <c r="J578" s="7">
        <f>LOOKUP(I578,CPI!A$69:A$103,CPI!O$69:O$103)</f>
        <v>1.0516730811895323</v>
      </c>
      <c r="K578" s="5">
        <v>2010</v>
      </c>
      <c r="L578" s="7">
        <f t="shared" ca="1" si="398"/>
        <v>1</v>
      </c>
      <c r="M578" s="7">
        <f t="shared" si="425"/>
        <v>0.13777777777777778</v>
      </c>
      <c r="N578" s="14">
        <f t="shared" si="449"/>
        <v>2.2222222222222223E-2</v>
      </c>
      <c r="O578" s="1">
        <f ca="1">P578*J578*(1+Growth!G$6)^(2010-K578)</f>
        <v>7.3617115683267258</v>
      </c>
      <c r="P578" s="2">
        <f t="shared" si="457"/>
        <v>7</v>
      </c>
      <c r="Q578" s="3">
        <v>7</v>
      </c>
      <c r="R578" s="21">
        <f t="shared" ca="1" si="411"/>
        <v>54.194797215235539</v>
      </c>
      <c r="X578" s="2">
        <f t="shared" si="419"/>
        <v>7</v>
      </c>
      <c r="AC578" s="1">
        <f t="shared" si="458"/>
        <v>6.2</v>
      </c>
      <c r="AD578" s="5">
        <v>1</v>
      </c>
      <c r="AE578" s="5">
        <v>0</v>
      </c>
      <c r="AF578" s="5">
        <v>1</v>
      </c>
      <c r="AG578" s="5">
        <v>0</v>
      </c>
      <c r="AH578" s="5">
        <v>1</v>
      </c>
      <c r="AI578" s="3">
        <f t="shared" si="409"/>
        <v>3.2</v>
      </c>
      <c r="AJ578" s="5">
        <f t="shared" si="424"/>
        <v>0</v>
      </c>
      <c r="AK578" s="5">
        <f t="shared" si="399"/>
        <v>0</v>
      </c>
      <c r="AL578" s="5">
        <f t="shared" si="400"/>
        <v>0</v>
      </c>
      <c r="AM578" s="5">
        <f t="shared" si="426"/>
        <v>0</v>
      </c>
      <c r="AN578" s="5">
        <f t="shared" si="401"/>
        <v>0</v>
      </c>
      <c r="AO578" s="5">
        <f t="shared" si="427"/>
        <v>0</v>
      </c>
      <c r="AP578" s="1">
        <v>3</v>
      </c>
      <c r="AQ578" s="1" t="s">
        <v>42</v>
      </c>
      <c r="AR578" s="5">
        <v>0</v>
      </c>
      <c r="AS578" s="5">
        <v>0</v>
      </c>
      <c r="AT578" s="5">
        <v>1</v>
      </c>
      <c r="AU578" s="5">
        <v>0</v>
      </c>
      <c r="AV578" s="5">
        <v>0</v>
      </c>
      <c r="AW578" s="5">
        <v>0</v>
      </c>
      <c r="AX578" s="5">
        <v>1</v>
      </c>
      <c r="AY578" s="1">
        <f t="shared" si="459"/>
        <v>0</v>
      </c>
      <c r="AZ578" s="1">
        <f t="shared" si="460"/>
        <v>0</v>
      </c>
      <c r="BA578" s="1">
        <f t="shared" si="461"/>
        <v>0</v>
      </c>
      <c r="BB578" s="5">
        <v>0</v>
      </c>
      <c r="BC578" s="5">
        <v>0</v>
      </c>
      <c r="BD578" s="5">
        <v>0</v>
      </c>
      <c r="BE578" s="5">
        <f t="shared" si="462"/>
        <v>1</v>
      </c>
      <c r="BF578" s="5">
        <v>0</v>
      </c>
      <c r="BG578" s="5">
        <f t="shared" si="464"/>
        <v>0</v>
      </c>
      <c r="BH578" s="5">
        <f t="shared" si="464"/>
        <v>0</v>
      </c>
      <c r="BI578" s="5">
        <f t="shared" si="464"/>
        <v>0</v>
      </c>
      <c r="BJ578" s="5">
        <f t="shared" si="464"/>
        <v>0</v>
      </c>
      <c r="BK578" s="5">
        <f t="shared" si="464"/>
        <v>0</v>
      </c>
      <c r="BL578" s="5">
        <f t="shared" si="464"/>
        <v>0</v>
      </c>
      <c r="BM578" s="5">
        <f t="shared" si="464"/>
        <v>0</v>
      </c>
      <c r="BN578" s="5">
        <f t="shared" si="464"/>
        <v>0</v>
      </c>
      <c r="BO578" s="5">
        <f t="shared" si="463"/>
        <v>0</v>
      </c>
      <c r="BP578" s="5">
        <f t="shared" si="463"/>
        <v>0</v>
      </c>
      <c r="BQ578" s="5">
        <f t="shared" si="463"/>
        <v>0</v>
      </c>
      <c r="BR578" s="5">
        <f t="shared" si="463"/>
        <v>0</v>
      </c>
      <c r="BS578" s="5">
        <f t="shared" si="463"/>
        <v>0</v>
      </c>
      <c r="BT578" s="5">
        <f t="shared" si="463"/>
        <v>0</v>
      </c>
      <c r="BU578" s="5">
        <f t="shared" si="463"/>
        <v>0</v>
      </c>
      <c r="BV578" s="5">
        <f t="shared" si="463"/>
        <v>0</v>
      </c>
      <c r="BW578" s="5">
        <f t="shared" si="463"/>
        <v>0</v>
      </c>
      <c r="BX578" s="5">
        <f t="shared" si="463"/>
        <v>0</v>
      </c>
      <c r="BY578" s="5">
        <f t="shared" si="463"/>
        <v>0</v>
      </c>
      <c r="BZ578" s="5">
        <f t="shared" si="463"/>
        <v>0</v>
      </c>
      <c r="CA578" s="5">
        <f t="shared" si="463"/>
        <v>0</v>
      </c>
      <c r="CB578" s="5">
        <f t="shared" si="463"/>
        <v>1</v>
      </c>
      <c r="CC578" s="5">
        <f t="shared" si="463"/>
        <v>0</v>
      </c>
      <c r="CD578" s="5">
        <f t="shared" si="465"/>
        <v>0</v>
      </c>
      <c r="CE578" s="5">
        <f t="shared" si="465"/>
        <v>0</v>
      </c>
    </row>
    <row r="579" spans="1:83" x14ac:dyDescent="0.2">
      <c r="A579" s="11"/>
      <c r="B579" s="11"/>
      <c r="C579" s="1">
        <f>Growth!D584</f>
        <v>0</v>
      </c>
      <c r="D579" s="5" t="b">
        <f t="shared" si="410"/>
        <v>0</v>
      </c>
      <c r="E579" s="5">
        <v>2012</v>
      </c>
      <c r="F579" s="5">
        <f ca="1">LOOKUP($E579,frequence!$A$2:$A$35,frequence!L$2:L$35)</f>
        <v>41.545638202606931</v>
      </c>
      <c r="G579" s="5">
        <f ca="1">LOOKUP($E579,frequence!$A$2:$A$35,frequence!K$2:K$35)</f>
        <v>3.8191206393393822</v>
      </c>
      <c r="H579" s="5">
        <f ca="1">LOOKUP($E579,frequence!$A$2:$A$35,frequence!M$2:M$35)</f>
        <v>265.64322815143237</v>
      </c>
      <c r="I579" s="18">
        <v>2007</v>
      </c>
      <c r="J579" s="7">
        <f>LOOKUP(I579,CPI!A$69:A$103,CPI!O$69:O$103)</f>
        <v>1.0516730811895323</v>
      </c>
      <c r="K579" s="5">
        <v>2010</v>
      </c>
      <c r="L579" s="7">
        <f t="shared" ca="1" si="398"/>
        <v>1</v>
      </c>
      <c r="M579" s="7">
        <f t="shared" si="425"/>
        <v>0.13777777777777778</v>
      </c>
      <c r="N579" s="14">
        <f t="shared" si="449"/>
        <v>2.2222222222222223E-2</v>
      </c>
      <c r="O579" s="1">
        <f ca="1">P579*J579*(1+Growth!G$6)^(2010-K579)</f>
        <v>19.981788542601112</v>
      </c>
      <c r="P579" s="2">
        <f t="shared" si="457"/>
        <v>19</v>
      </c>
      <c r="Q579" s="3">
        <v>19</v>
      </c>
      <c r="R579" s="21">
        <f t="shared" ca="1" si="411"/>
        <v>399.27187336122506</v>
      </c>
      <c r="X579" s="2">
        <f t="shared" si="419"/>
        <v>19</v>
      </c>
      <c r="AC579" s="1">
        <f t="shared" si="458"/>
        <v>6.2</v>
      </c>
      <c r="AD579" s="5">
        <v>1</v>
      </c>
      <c r="AE579" s="5">
        <v>0</v>
      </c>
      <c r="AF579" s="5">
        <v>1</v>
      </c>
      <c r="AG579" s="5">
        <v>0</v>
      </c>
      <c r="AH579" s="5">
        <v>1</v>
      </c>
      <c r="AI579" s="3">
        <f t="shared" si="409"/>
        <v>3.2</v>
      </c>
      <c r="AJ579" s="5">
        <f t="shared" si="424"/>
        <v>0</v>
      </c>
      <c r="AK579" s="5">
        <f t="shared" si="399"/>
        <v>0</v>
      </c>
      <c r="AL579" s="5">
        <f t="shared" si="400"/>
        <v>0</v>
      </c>
      <c r="AM579" s="5">
        <f t="shared" si="426"/>
        <v>0</v>
      </c>
      <c r="AN579" s="5">
        <f t="shared" si="401"/>
        <v>0</v>
      </c>
      <c r="AO579" s="5">
        <f t="shared" si="427"/>
        <v>0</v>
      </c>
      <c r="AP579" s="1">
        <v>3</v>
      </c>
      <c r="AQ579" s="1" t="s">
        <v>42</v>
      </c>
      <c r="AR579" s="5">
        <v>0</v>
      </c>
      <c r="AS579" s="5">
        <v>0</v>
      </c>
      <c r="AT579" s="5">
        <v>1</v>
      </c>
      <c r="AU579" s="5">
        <v>0</v>
      </c>
      <c r="AV579" s="5">
        <v>0</v>
      </c>
      <c r="AW579" s="5">
        <v>0</v>
      </c>
      <c r="AX579" s="5">
        <v>1</v>
      </c>
      <c r="AY579" s="1">
        <f t="shared" si="459"/>
        <v>0</v>
      </c>
      <c r="AZ579" s="1">
        <f t="shared" si="460"/>
        <v>0</v>
      </c>
      <c r="BA579" s="1">
        <f t="shared" si="461"/>
        <v>0</v>
      </c>
      <c r="BB579" s="5">
        <v>0</v>
      </c>
      <c r="BC579" s="5">
        <v>0</v>
      </c>
      <c r="BD579" s="5">
        <v>0</v>
      </c>
      <c r="BE579" s="5">
        <f t="shared" si="462"/>
        <v>1</v>
      </c>
      <c r="BF579" s="5">
        <v>0</v>
      </c>
      <c r="BG579" s="5">
        <f t="shared" si="464"/>
        <v>0</v>
      </c>
      <c r="BH579" s="5">
        <f t="shared" si="464"/>
        <v>0</v>
      </c>
      <c r="BI579" s="5">
        <f t="shared" si="464"/>
        <v>0</v>
      </c>
      <c r="BJ579" s="5">
        <f t="shared" si="464"/>
        <v>0</v>
      </c>
      <c r="BK579" s="5">
        <f t="shared" si="464"/>
        <v>0</v>
      </c>
      <c r="BL579" s="5">
        <f t="shared" si="464"/>
        <v>0</v>
      </c>
      <c r="BM579" s="5">
        <f t="shared" si="464"/>
        <v>0</v>
      </c>
      <c r="BN579" s="5">
        <f t="shared" si="464"/>
        <v>0</v>
      </c>
      <c r="BO579" s="5">
        <f t="shared" si="463"/>
        <v>0</v>
      </c>
      <c r="BP579" s="5">
        <f t="shared" si="463"/>
        <v>0</v>
      </c>
      <c r="BQ579" s="5">
        <f t="shared" si="463"/>
        <v>0</v>
      </c>
      <c r="BR579" s="5">
        <f t="shared" si="463"/>
        <v>0</v>
      </c>
      <c r="BS579" s="5">
        <f t="shared" si="463"/>
        <v>0</v>
      </c>
      <c r="BT579" s="5">
        <f t="shared" si="463"/>
        <v>0</v>
      </c>
      <c r="BU579" s="5">
        <f t="shared" si="463"/>
        <v>0</v>
      </c>
      <c r="BV579" s="5">
        <f t="shared" si="463"/>
        <v>0</v>
      </c>
      <c r="BW579" s="5">
        <f t="shared" si="463"/>
        <v>0</v>
      </c>
      <c r="BX579" s="5">
        <f t="shared" si="463"/>
        <v>0</v>
      </c>
      <c r="BY579" s="5">
        <f t="shared" si="463"/>
        <v>0</v>
      </c>
      <c r="BZ579" s="5">
        <f t="shared" si="463"/>
        <v>0</v>
      </c>
      <c r="CA579" s="5">
        <f t="shared" si="463"/>
        <v>0</v>
      </c>
      <c r="CB579" s="5">
        <f t="shared" si="463"/>
        <v>1</v>
      </c>
      <c r="CC579" s="5">
        <f t="shared" si="463"/>
        <v>0</v>
      </c>
      <c r="CD579" s="5">
        <f t="shared" si="465"/>
        <v>0</v>
      </c>
      <c r="CE579" s="5">
        <f t="shared" si="465"/>
        <v>0</v>
      </c>
    </row>
    <row r="580" spans="1:83" x14ac:dyDescent="0.2">
      <c r="A580" s="11"/>
      <c r="B580" s="11"/>
      <c r="C580" s="1">
        <f>Growth!D585</f>
        <v>0</v>
      </c>
      <c r="D580" s="5" t="b">
        <f t="shared" si="410"/>
        <v>0</v>
      </c>
      <c r="E580" s="5">
        <v>2012</v>
      </c>
      <c r="F580" s="5">
        <f ca="1">LOOKUP($E580,frequence!$A$2:$A$35,frequence!L$2:L$35)</f>
        <v>41.545638202606931</v>
      </c>
      <c r="G580" s="5">
        <f ca="1">LOOKUP($E580,frequence!$A$2:$A$35,frequence!K$2:K$35)</f>
        <v>3.8191206393393822</v>
      </c>
      <c r="H580" s="5">
        <f ca="1">LOOKUP($E580,frequence!$A$2:$A$35,frequence!M$2:M$35)</f>
        <v>265.64322815143237</v>
      </c>
      <c r="I580" s="18">
        <v>2007</v>
      </c>
      <c r="J580" s="7">
        <f>LOOKUP(I580,CPI!A$69:A$103,CPI!O$69:O$103)</f>
        <v>1.0516730811895323</v>
      </c>
      <c r="K580" s="5">
        <v>2010</v>
      </c>
      <c r="L580" s="7">
        <f t="shared" ca="1" si="398"/>
        <v>1</v>
      </c>
      <c r="M580" s="7">
        <f t="shared" si="425"/>
        <v>0.13777777777777778</v>
      </c>
      <c r="N580" s="14">
        <f t="shared" si="449"/>
        <v>2.2222222222222223E-2</v>
      </c>
      <c r="O580" s="1">
        <f ca="1">P580*J580*(1+Growth!G$6)^(2010-K580)</f>
        <v>80.978827251593984</v>
      </c>
      <c r="P580" s="2">
        <f t="shared" si="457"/>
        <v>77</v>
      </c>
      <c r="Q580" s="3">
        <v>77</v>
      </c>
      <c r="R580" s="21">
        <f t="shared" ca="1" si="411"/>
        <v>6557.5704630435002</v>
      </c>
      <c r="X580" s="2">
        <f t="shared" si="419"/>
        <v>77</v>
      </c>
      <c r="AC580" s="1">
        <f t="shared" si="458"/>
        <v>6.2</v>
      </c>
      <c r="AD580" s="5">
        <v>1</v>
      </c>
      <c r="AE580" s="5">
        <v>0</v>
      </c>
      <c r="AF580" s="5">
        <v>1</v>
      </c>
      <c r="AG580" s="5">
        <v>0</v>
      </c>
      <c r="AH580" s="5">
        <v>1</v>
      </c>
      <c r="AI580" s="3">
        <f t="shared" si="409"/>
        <v>3.2</v>
      </c>
      <c r="AJ580" s="5">
        <f t="shared" si="424"/>
        <v>0</v>
      </c>
      <c r="AK580" s="5">
        <f t="shared" si="399"/>
        <v>0</v>
      </c>
      <c r="AL580" s="5">
        <f t="shared" si="400"/>
        <v>0</v>
      </c>
      <c r="AM580" s="5">
        <f t="shared" si="426"/>
        <v>0</v>
      </c>
      <c r="AN580" s="5">
        <f t="shared" si="401"/>
        <v>0</v>
      </c>
      <c r="AO580" s="5">
        <f t="shared" si="427"/>
        <v>0</v>
      </c>
      <c r="AP580" s="1">
        <v>3</v>
      </c>
      <c r="AQ580" s="1" t="s">
        <v>42</v>
      </c>
      <c r="AR580" s="5">
        <v>0</v>
      </c>
      <c r="AS580" s="5">
        <v>0</v>
      </c>
      <c r="AT580" s="5">
        <v>1</v>
      </c>
      <c r="AU580" s="5">
        <v>0</v>
      </c>
      <c r="AV580" s="5">
        <v>0</v>
      </c>
      <c r="AW580" s="5">
        <v>0</v>
      </c>
      <c r="AX580" s="5">
        <v>1</v>
      </c>
      <c r="AY580" s="1">
        <f t="shared" si="459"/>
        <v>0</v>
      </c>
      <c r="AZ580" s="1">
        <f t="shared" si="460"/>
        <v>0</v>
      </c>
      <c r="BA580" s="1">
        <f t="shared" si="461"/>
        <v>0</v>
      </c>
      <c r="BB580" s="5">
        <v>0</v>
      </c>
      <c r="BC580" s="5">
        <v>0</v>
      </c>
      <c r="BD580" s="5">
        <v>0</v>
      </c>
      <c r="BE580" s="5">
        <f t="shared" si="462"/>
        <v>1</v>
      </c>
      <c r="BF580" s="5">
        <v>0</v>
      </c>
      <c r="BG580" s="5">
        <f t="shared" si="464"/>
        <v>0</v>
      </c>
      <c r="BH580" s="5">
        <f t="shared" si="464"/>
        <v>0</v>
      </c>
      <c r="BI580" s="5">
        <f t="shared" si="464"/>
        <v>0</v>
      </c>
      <c r="BJ580" s="5">
        <f t="shared" si="464"/>
        <v>0</v>
      </c>
      <c r="BK580" s="5">
        <f t="shared" si="464"/>
        <v>0</v>
      </c>
      <c r="BL580" s="5">
        <f t="shared" si="464"/>
        <v>0</v>
      </c>
      <c r="BM580" s="5">
        <f t="shared" si="464"/>
        <v>0</v>
      </c>
      <c r="BN580" s="5">
        <f t="shared" ref="BN580:CB595" si="466">IF($E580=BN$2,1,0)</f>
        <v>0</v>
      </c>
      <c r="BO580" s="5">
        <f t="shared" si="466"/>
        <v>0</v>
      </c>
      <c r="BP580" s="5">
        <f t="shared" si="466"/>
        <v>0</v>
      </c>
      <c r="BQ580" s="5">
        <f t="shared" si="466"/>
        <v>0</v>
      </c>
      <c r="BR580" s="5">
        <f t="shared" si="466"/>
        <v>0</v>
      </c>
      <c r="BS580" s="5">
        <f t="shared" si="466"/>
        <v>0</v>
      </c>
      <c r="BT580" s="5">
        <f t="shared" si="466"/>
        <v>0</v>
      </c>
      <c r="BU580" s="5">
        <f t="shared" si="466"/>
        <v>0</v>
      </c>
      <c r="BV580" s="5">
        <f t="shared" si="466"/>
        <v>0</v>
      </c>
      <c r="BW580" s="5">
        <f t="shared" si="466"/>
        <v>0</v>
      </c>
      <c r="BX580" s="5">
        <f t="shared" si="466"/>
        <v>0</v>
      </c>
      <c r="BY580" s="5">
        <f t="shared" si="466"/>
        <v>0</v>
      </c>
      <c r="BZ580" s="5">
        <f t="shared" si="466"/>
        <v>0</v>
      </c>
      <c r="CA580" s="5">
        <f t="shared" si="466"/>
        <v>0</v>
      </c>
      <c r="CB580" s="5">
        <f t="shared" si="466"/>
        <v>1</v>
      </c>
      <c r="CC580" s="5">
        <f t="shared" ref="CC580:CE599" si="467">IF($E580=CC$2,1,0)</f>
        <v>0</v>
      </c>
      <c r="CD580" s="5">
        <f t="shared" si="465"/>
        <v>0</v>
      </c>
      <c r="CE580" s="5">
        <f t="shared" si="465"/>
        <v>0</v>
      </c>
    </row>
    <row r="581" spans="1:83" x14ac:dyDescent="0.2">
      <c r="A581" s="11"/>
      <c r="B581" s="11"/>
      <c r="C581" s="1">
        <f>Growth!D586</f>
        <v>0</v>
      </c>
      <c r="D581" s="5" t="b">
        <f t="shared" si="410"/>
        <v>0</v>
      </c>
      <c r="E581" s="5">
        <v>2012</v>
      </c>
      <c r="F581" s="5">
        <f ca="1">LOOKUP($E581,frequence!$A$2:$A$35,frequence!L$2:L$35)</f>
        <v>41.545638202606931</v>
      </c>
      <c r="G581" s="5">
        <f ca="1">LOOKUP($E581,frequence!$A$2:$A$35,frequence!K$2:K$35)</f>
        <v>3.8191206393393822</v>
      </c>
      <c r="H581" s="5">
        <f ca="1">LOOKUP($E581,frequence!$A$2:$A$35,frequence!M$2:M$35)</f>
        <v>265.64322815143237</v>
      </c>
      <c r="I581" s="18">
        <v>2007</v>
      </c>
      <c r="J581" s="7">
        <f>LOOKUP(I581,CPI!A$69:A$103,CPI!O$69:O$103)</f>
        <v>1.0516730811895323</v>
      </c>
      <c r="K581" s="5">
        <v>2010</v>
      </c>
      <c r="L581" s="7">
        <f t="shared" ref="L581:L644" ca="1" si="468">IF(O581&lt;L$1,1,IF(O581&gt;L$2,0,1-(O581-L$1)/(L$2-L$1)))</f>
        <v>1</v>
      </c>
      <c r="M581" s="7">
        <f t="shared" si="425"/>
        <v>0.13777777777777778</v>
      </c>
      <c r="N581" s="14">
        <f t="shared" si="449"/>
        <v>2.2222222222222223E-2</v>
      </c>
      <c r="O581" s="1">
        <f ca="1">P581*J581*(1+Growth!G$6)^(2010-K581)</f>
        <v>2.1033461623790646</v>
      </c>
      <c r="P581" s="2">
        <f t="shared" ref="P581:P595" si="469">Q581</f>
        <v>2</v>
      </c>
      <c r="Q581" s="3">
        <v>2</v>
      </c>
      <c r="R581" s="21">
        <f t="shared" ca="1" si="411"/>
        <v>4.4240650787947384</v>
      </c>
      <c r="X581" s="2">
        <f t="shared" si="419"/>
        <v>2</v>
      </c>
      <c r="AC581" s="1">
        <f t="shared" si="458"/>
        <v>6.2</v>
      </c>
      <c r="AD581" s="5">
        <v>1</v>
      </c>
      <c r="AE581" s="5">
        <v>0</v>
      </c>
      <c r="AF581" s="5">
        <v>1</v>
      </c>
      <c r="AG581" s="5">
        <v>0</v>
      </c>
      <c r="AH581" s="5">
        <v>1</v>
      </c>
      <c r="AI581" s="3">
        <f t="shared" si="409"/>
        <v>3.2</v>
      </c>
      <c r="AJ581" s="5">
        <f t="shared" si="424"/>
        <v>0</v>
      </c>
      <c r="AK581" s="5">
        <f t="shared" ref="AK581:AK644" si="470">IF($AQ581=2,1,0)</f>
        <v>0</v>
      </c>
      <c r="AL581" s="5">
        <f t="shared" ref="AL581:AL644" si="471">IF($AQ581=1.5,1,0)</f>
        <v>0</v>
      </c>
      <c r="AM581" s="5">
        <f t="shared" si="426"/>
        <v>0</v>
      </c>
      <c r="AN581" s="5">
        <f t="shared" ref="AN581:AN644" si="472">IF($AQ581=0.1,1,0)</f>
        <v>0</v>
      </c>
      <c r="AO581" s="5">
        <f t="shared" si="427"/>
        <v>0</v>
      </c>
      <c r="AP581" s="1">
        <v>5</v>
      </c>
      <c r="AQ581" s="1" t="s">
        <v>42</v>
      </c>
      <c r="AR581" s="5">
        <v>0</v>
      </c>
      <c r="AS581" s="5">
        <v>0</v>
      </c>
      <c r="AT581" s="5">
        <v>1</v>
      </c>
      <c r="AU581" s="5">
        <v>0</v>
      </c>
      <c r="AV581" s="5">
        <v>0</v>
      </c>
      <c r="AW581" s="5">
        <v>0</v>
      </c>
      <c r="AX581" s="5">
        <v>1</v>
      </c>
      <c r="AY581" s="1">
        <f t="shared" si="459"/>
        <v>0</v>
      </c>
      <c r="AZ581" s="1">
        <f t="shared" si="460"/>
        <v>0</v>
      </c>
      <c r="BA581" s="1">
        <f t="shared" si="461"/>
        <v>0</v>
      </c>
      <c r="BB581" s="5">
        <v>0</v>
      </c>
      <c r="BC581" s="5">
        <v>0</v>
      </c>
      <c r="BD581" s="5">
        <v>0</v>
      </c>
      <c r="BE581" s="5">
        <f t="shared" si="462"/>
        <v>1</v>
      </c>
      <c r="BF581" s="5">
        <v>0</v>
      </c>
      <c r="BG581" s="5">
        <f t="shared" ref="BG581:BN596" si="473">IF($E581=BG$2,1,0)</f>
        <v>0</v>
      </c>
      <c r="BH581" s="5">
        <f t="shared" si="473"/>
        <v>0</v>
      </c>
      <c r="BI581" s="5">
        <f t="shared" si="473"/>
        <v>0</v>
      </c>
      <c r="BJ581" s="5">
        <f t="shared" si="473"/>
        <v>0</v>
      </c>
      <c r="BK581" s="5">
        <f t="shared" si="473"/>
        <v>0</v>
      </c>
      <c r="BL581" s="5">
        <f t="shared" si="473"/>
        <v>0</v>
      </c>
      <c r="BM581" s="5">
        <f t="shared" si="473"/>
        <v>0</v>
      </c>
      <c r="BN581" s="5">
        <f t="shared" si="466"/>
        <v>0</v>
      </c>
      <c r="BO581" s="5">
        <f t="shared" si="466"/>
        <v>0</v>
      </c>
      <c r="BP581" s="5">
        <f t="shared" si="466"/>
        <v>0</v>
      </c>
      <c r="BQ581" s="5">
        <f t="shared" si="466"/>
        <v>0</v>
      </c>
      <c r="BR581" s="5">
        <f t="shared" si="466"/>
        <v>0</v>
      </c>
      <c r="BS581" s="5">
        <f t="shared" si="466"/>
        <v>0</v>
      </c>
      <c r="BT581" s="5">
        <f t="shared" si="466"/>
        <v>0</v>
      </c>
      <c r="BU581" s="5">
        <f t="shared" si="466"/>
        <v>0</v>
      </c>
      <c r="BV581" s="5">
        <f t="shared" si="466"/>
        <v>0</v>
      </c>
      <c r="BW581" s="5">
        <f t="shared" si="466"/>
        <v>0</v>
      </c>
      <c r="BX581" s="5">
        <f t="shared" si="466"/>
        <v>0</v>
      </c>
      <c r="BY581" s="5">
        <f t="shared" si="466"/>
        <v>0</v>
      </c>
      <c r="BZ581" s="5">
        <f t="shared" si="466"/>
        <v>0</v>
      </c>
      <c r="CA581" s="5">
        <f t="shared" si="466"/>
        <v>0</v>
      </c>
      <c r="CB581" s="5">
        <f t="shared" si="466"/>
        <v>1</v>
      </c>
      <c r="CC581" s="5">
        <f t="shared" si="467"/>
        <v>0</v>
      </c>
      <c r="CD581" s="5">
        <f t="shared" si="465"/>
        <v>0</v>
      </c>
      <c r="CE581" s="5">
        <f t="shared" si="465"/>
        <v>0</v>
      </c>
    </row>
    <row r="582" spans="1:83" x14ac:dyDescent="0.2">
      <c r="A582" s="11"/>
      <c r="B582" s="11"/>
      <c r="C582" s="1">
        <f>Growth!D587</f>
        <v>0</v>
      </c>
      <c r="D582" s="5" t="b">
        <f t="shared" si="410"/>
        <v>0</v>
      </c>
      <c r="E582" s="5">
        <v>2012</v>
      </c>
      <c r="F582" s="5">
        <f ca="1">LOOKUP($E582,frequence!$A$2:$A$35,frequence!L$2:L$35)</f>
        <v>41.545638202606931</v>
      </c>
      <c r="G582" s="5">
        <f ca="1">LOOKUP($E582,frequence!$A$2:$A$35,frequence!K$2:K$35)</f>
        <v>3.8191206393393822</v>
      </c>
      <c r="H582" s="5">
        <f ca="1">LOOKUP($E582,frequence!$A$2:$A$35,frequence!M$2:M$35)</f>
        <v>265.64322815143237</v>
      </c>
      <c r="I582" s="18">
        <v>2007</v>
      </c>
      <c r="J582" s="7">
        <f>LOOKUP(I582,CPI!A$69:A$103,CPI!O$69:O$103)</f>
        <v>1.0516730811895323</v>
      </c>
      <c r="K582" s="5">
        <v>2010</v>
      </c>
      <c r="L582" s="7">
        <f t="shared" ca="1" si="468"/>
        <v>1</v>
      </c>
      <c r="M582" s="7">
        <f t="shared" si="425"/>
        <v>0.13777777777777778</v>
      </c>
      <c r="N582" s="14">
        <f t="shared" si="449"/>
        <v>2.2222222222222223E-2</v>
      </c>
      <c r="O582" s="1">
        <f ca="1">P582*J582*(1+Growth!G$6)^(2010-K582)</f>
        <v>6.3100384871371933</v>
      </c>
      <c r="P582" s="2">
        <f t="shared" si="469"/>
        <v>6</v>
      </c>
      <c r="Q582" s="3">
        <v>6</v>
      </c>
      <c r="R582" s="21">
        <f t="shared" ca="1" si="411"/>
        <v>39.816585709152641</v>
      </c>
      <c r="X582" s="2">
        <f t="shared" si="419"/>
        <v>6</v>
      </c>
      <c r="AC582" s="1">
        <f t="shared" si="458"/>
        <v>6.2</v>
      </c>
      <c r="AD582" s="5">
        <v>1</v>
      </c>
      <c r="AE582" s="5">
        <v>0</v>
      </c>
      <c r="AF582" s="5">
        <v>1</v>
      </c>
      <c r="AG582" s="5">
        <v>0</v>
      </c>
      <c r="AH582" s="5">
        <v>1</v>
      </c>
      <c r="AI582" s="3">
        <f t="shared" si="409"/>
        <v>3.2</v>
      </c>
      <c r="AJ582" s="5">
        <f t="shared" si="424"/>
        <v>0</v>
      </c>
      <c r="AK582" s="5">
        <f t="shared" si="470"/>
        <v>0</v>
      </c>
      <c r="AL582" s="5">
        <f t="shared" si="471"/>
        <v>0</v>
      </c>
      <c r="AM582" s="5">
        <f t="shared" si="426"/>
        <v>0</v>
      </c>
      <c r="AN582" s="5">
        <f t="shared" si="472"/>
        <v>0</v>
      </c>
      <c r="AO582" s="5">
        <f t="shared" si="427"/>
        <v>0</v>
      </c>
      <c r="AP582" s="1">
        <v>5</v>
      </c>
      <c r="AQ582" s="1" t="s">
        <v>42</v>
      </c>
      <c r="AR582" s="5">
        <v>0</v>
      </c>
      <c r="AS582" s="5">
        <v>0</v>
      </c>
      <c r="AT582" s="5">
        <v>1</v>
      </c>
      <c r="AU582" s="5">
        <v>0</v>
      </c>
      <c r="AV582" s="5">
        <v>0</v>
      </c>
      <c r="AW582" s="5">
        <v>0</v>
      </c>
      <c r="AX582" s="5">
        <v>1</v>
      </c>
      <c r="AY582" s="1">
        <f t="shared" si="459"/>
        <v>0</v>
      </c>
      <c r="AZ582" s="1">
        <f t="shared" si="460"/>
        <v>0</v>
      </c>
      <c r="BA582" s="1">
        <f t="shared" si="461"/>
        <v>0</v>
      </c>
      <c r="BB582" s="5">
        <v>0</v>
      </c>
      <c r="BC582" s="5">
        <v>0</v>
      </c>
      <c r="BD582" s="5">
        <v>0</v>
      </c>
      <c r="BE582" s="5">
        <f t="shared" si="462"/>
        <v>1</v>
      </c>
      <c r="BF582" s="5">
        <v>0</v>
      </c>
      <c r="BG582" s="5">
        <f t="shared" si="473"/>
        <v>0</v>
      </c>
      <c r="BH582" s="5">
        <f t="shared" si="473"/>
        <v>0</v>
      </c>
      <c r="BI582" s="5">
        <f t="shared" si="473"/>
        <v>0</v>
      </c>
      <c r="BJ582" s="5">
        <f t="shared" si="473"/>
        <v>0</v>
      </c>
      <c r="BK582" s="5">
        <f t="shared" si="473"/>
        <v>0</v>
      </c>
      <c r="BL582" s="5">
        <f t="shared" si="473"/>
        <v>0</v>
      </c>
      <c r="BM582" s="5">
        <f t="shared" si="473"/>
        <v>0</v>
      </c>
      <c r="BN582" s="5">
        <f t="shared" si="466"/>
        <v>0</v>
      </c>
      <c r="BO582" s="5">
        <f t="shared" si="466"/>
        <v>0</v>
      </c>
      <c r="BP582" s="5">
        <f t="shared" si="466"/>
        <v>0</v>
      </c>
      <c r="BQ582" s="5">
        <f t="shared" si="466"/>
        <v>0</v>
      </c>
      <c r="BR582" s="5">
        <f t="shared" si="466"/>
        <v>0</v>
      </c>
      <c r="BS582" s="5">
        <f t="shared" si="466"/>
        <v>0</v>
      </c>
      <c r="BT582" s="5">
        <f t="shared" si="466"/>
        <v>0</v>
      </c>
      <c r="BU582" s="5">
        <f t="shared" si="466"/>
        <v>0</v>
      </c>
      <c r="BV582" s="5">
        <f t="shared" si="466"/>
        <v>0</v>
      </c>
      <c r="BW582" s="5">
        <f t="shared" si="466"/>
        <v>0</v>
      </c>
      <c r="BX582" s="5">
        <f t="shared" si="466"/>
        <v>0</v>
      </c>
      <c r="BY582" s="5">
        <f t="shared" si="466"/>
        <v>0</v>
      </c>
      <c r="BZ582" s="5">
        <f t="shared" si="466"/>
        <v>0</v>
      </c>
      <c r="CA582" s="5">
        <f t="shared" si="466"/>
        <v>0</v>
      </c>
      <c r="CB582" s="5">
        <f t="shared" si="466"/>
        <v>1</v>
      </c>
      <c r="CC582" s="5">
        <f t="shared" si="467"/>
        <v>0</v>
      </c>
      <c r="CD582" s="5">
        <f t="shared" si="465"/>
        <v>0</v>
      </c>
      <c r="CE582" s="5">
        <f t="shared" si="465"/>
        <v>0</v>
      </c>
    </row>
    <row r="583" spans="1:83" x14ac:dyDescent="0.2">
      <c r="A583" s="11"/>
      <c r="B583" s="11"/>
      <c r="C583" s="1">
        <f>Growth!D588</f>
        <v>0</v>
      </c>
      <c r="D583" s="5" t="b">
        <f t="shared" si="410"/>
        <v>0</v>
      </c>
      <c r="E583" s="5">
        <v>2012</v>
      </c>
      <c r="F583" s="5">
        <f ca="1">LOOKUP($E583,frequence!$A$2:$A$35,frequence!L$2:L$35)</f>
        <v>41.545638202606931</v>
      </c>
      <c r="G583" s="5">
        <f ca="1">LOOKUP($E583,frequence!$A$2:$A$35,frequence!K$2:K$35)</f>
        <v>3.8191206393393822</v>
      </c>
      <c r="H583" s="5">
        <f ca="1">LOOKUP($E583,frequence!$A$2:$A$35,frequence!M$2:M$35)</f>
        <v>265.64322815143237</v>
      </c>
      <c r="I583" s="18">
        <v>2007</v>
      </c>
      <c r="J583" s="7">
        <f>LOOKUP(I583,CPI!A$69:A$103,CPI!O$69:O$103)</f>
        <v>1.0516730811895323</v>
      </c>
      <c r="K583" s="5">
        <v>2010</v>
      </c>
      <c r="L583" s="7">
        <f t="shared" ca="1" si="468"/>
        <v>1</v>
      </c>
      <c r="M583" s="7">
        <f t="shared" si="425"/>
        <v>0.13777777777777778</v>
      </c>
      <c r="N583" s="14">
        <f t="shared" si="449"/>
        <v>2.2222222222222223E-2</v>
      </c>
      <c r="O583" s="1">
        <f ca="1">P583*J583*(1+Growth!G$6)^(2010-K583)</f>
        <v>22.085134704980177</v>
      </c>
      <c r="P583" s="2">
        <f t="shared" si="469"/>
        <v>21</v>
      </c>
      <c r="Q583" s="3">
        <v>21</v>
      </c>
      <c r="R583" s="21">
        <f t="shared" ca="1" si="411"/>
        <v>487.75317493711987</v>
      </c>
      <c r="X583" s="2">
        <f t="shared" si="419"/>
        <v>21</v>
      </c>
      <c r="AC583" s="1">
        <f t="shared" si="458"/>
        <v>6.2</v>
      </c>
      <c r="AD583" s="5">
        <v>1</v>
      </c>
      <c r="AE583" s="5">
        <v>0</v>
      </c>
      <c r="AF583" s="5">
        <v>1</v>
      </c>
      <c r="AG583" s="5">
        <v>0</v>
      </c>
      <c r="AH583" s="5">
        <v>1</v>
      </c>
      <c r="AI583" s="3">
        <f t="shared" si="409"/>
        <v>3.2</v>
      </c>
      <c r="AJ583" s="5">
        <f t="shared" si="424"/>
        <v>0</v>
      </c>
      <c r="AK583" s="5">
        <f t="shared" si="470"/>
        <v>0</v>
      </c>
      <c r="AL583" s="5">
        <f t="shared" si="471"/>
        <v>0</v>
      </c>
      <c r="AM583" s="5">
        <f t="shared" si="426"/>
        <v>0</v>
      </c>
      <c r="AN583" s="5">
        <f t="shared" si="472"/>
        <v>0</v>
      </c>
      <c r="AO583" s="5">
        <f t="shared" si="427"/>
        <v>0</v>
      </c>
      <c r="AP583" s="1">
        <v>5</v>
      </c>
      <c r="AQ583" s="1" t="s">
        <v>42</v>
      </c>
      <c r="AR583" s="5">
        <v>0</v>
      </c>
      <c r="AS583" s="5">
        <v>0</v>
      </c>
      <c r="AT583" s="5">
        <v>1</v>
      </c>
      <c r="AU583" s="5">
        <v>0</v>
      </c>
      <c r="AV583" s="5">
        <v>0</v>
      </c>
      <c r="AW583" s="5">
        <v>0</v>
      </c>
      <c r="AX583" s="5">
        <v>1</v>
      </c>
      <c r="AY583" s="1">
        <f t="shared" si="459"/>
        <v>0</v>
      </c>
      <c r="AZ583" s="1">
        <f t="shared" si="460"/>
        <v>0</v>
      </c>
      <c r="BA583" s="1">
        <f t="shared" si="461"/>
        <v>0</v>
      </c>
      <c r="BB583" s="5">
        <v>0</v>
      </c>
      <c r="BC583" s="5">
        <v>0</v>
      </c>
      <c r="BD583" s="5">
        <v>0</v>
      </c>
      <c r="BE583" s="5">
        <f t="shared" si="462"/>
        <v>1</v>
      </c>
      <c r="BF583" s="5">
        <v>0</v>
      </c>
      <c r="BG583" s="5">
        <f t="shared" si="473"/>
        <v>0</v>
      </c>
      <c r="BH583" s="5">
        <f t="shared" si="473"/>
        <v>0</v>
      </c>
      <c r="BI583" s="5">
        <f t="shared" si="473"/>
        <v>0</v>
      </c>
      <c r="BJ583" s="5">
        <f t="shared" si="473"/>
        <v>0</v>
      </c>
      <c r="BK583" s="5">
        <f t="shared" si="473"/>
        <v>0</v>
      </c>
      <c r="BL583" s="5">
        <f t="shared" si="473"/>
        <v>0</v>
      </c>
      <c r="BM583" s="5">
        <f t="shared" si="473"/>
        <v>0</v>
      </c>
      <c r="BN583" s="5">
        <f t="shared" si="466"/>
        <v>0</v>
      </c>
      <c r="BO583" s="5">
        <f t="shared" si="466"/>
        <v>0</v>
      </c>
      <c r="BP583" s="5">
        <f t="shared" si="466"/>
        <v>0</v>
      </c>
      <c r="BQ583" s="5">
        <f t="shared" si="466"/>
        <v>0</v>
      </c>
      <c r="BR583" s="5">
        <f t="shared" si="466"/>
        <v>0</v>
      </c>
      <c r="BS583" s="5">
        <f t="shared" si="466"/>
        <v>0</v>
      </c>
      <c r="BT583" s="5">
        <f t="shared" si="466"/>
        <v>0</v>
      </c>
      <c r="BU583" s="5">
        <f t="shared" si="466"/>
        <v>0</v>
      </c>
      <c r="BV583" s="5">
        <f t="shared" si="466"/>
        <v>0</v>
      </c>
      <c r="BW583" s="5">
        <f t="shared" si="466"/>
        <v>0</v>
      </c>
      <c r="BX583" s="5">
        <f t="shared" si="466"/>
        <v>0</v>
      </c>
      <c r="BY583" s="5">
        <f t="shared" si="466"/>
        <v>0</v>
      </c>
      <c r="BZ583" s="5">
        <f t="shared" si="466"/>
        <v>0</v>
      </c>
      <c r="CA583" s="5">
        <f t="shared" si="466"/>
        <v>0</v>
      </c>
      <c r="CB583" s="5">
        <f t="shared" si="466"/>
        <v>1</v>
      </c>
      <c r="CC583" s="5">
        <f t="shared" si="467"/>
        <v>0</v>
      </c>
      <c r="CD583" s="5">
        <f t="shared" si="465"/>
        <v>0</v>
      </c>
      <c r="CE583" s="5">
        <f t="shared" si="465"/>
        <v>0</v>
      </c>
    </row>
    <row r="584" spans="1:83" x14ac:dyDescent="0.2">
      <c r="A584" s="11"/>
      <c r="B584" s="11"/>
      <c r="C584" s="1">
        <f>Growth!D589</f>
        <v>0</v>
      </c>
      <c r="D584" s="5" t="b">
        <f t="shared" si="410"/>
        <v>0</v>
      </c>
      <c r="E584" s="5">
        <v>2012</v>
      </c>
      <c r="F584" s="5">
        <f ca="1">LOOKUP($E584,frequence!$A$2:$A$35,frequence!L$2:L$35)</f>
        <v>41.545638202606931</v>
      </c>
      <c r="G584" s="5">
        <f ca="1">LOOKUP($E584,frequence!$A$2:$A$35,frequence!K$2:K$35)</f>
        <v>3.8191206393393822</v>
      </c>
      <c r="H584" s="5">
        <f ca="1">LOOKUP($E584,frequence!$A$2:$A$35,frequence!M$2:M$35)</f>
        <v>265.64322815143237</v>
      </c>
      <c r="I584" s="18">
        <v>2007</v>
      </c>
      <c r="J584" s="7">
        <f>LOOKUP(I584,CPI!A$69:A$103,CPI!O$69:O$103)</f>
        <v>1.0516730811895323</v>
      </c>
      <c r="K584" s="5">
        <v>2010</v>
      </c>
      <c r="L584" s="7">
        <f t="shared" ca="1" si="468"/>
        <v>1</v>
      </c>
      <c r="M584" s="7">
        <f t="shared" si="425"/>
        <v>0.13777777777777778</v>
      </c>
      <c r="N584" s="14">
        <f t="shared" si="449"/>
        <v>2.2222222222222223E-2</v>
      </c>
      <c r="O584" s="1">
        <f ca="1">P584*J584*(1+Growth!G$6)^(2010-K584)</f>
        <v>3.1550192435685966</v>
      </c>
      <c r="P584" s="2">
        <f t="shared" si="469"/>
        <v>3</v>
      </c>
      <c r="Q584" s="3">
        <v>3</v>
      </c>
      <c r="R584" s="21">
        <f t="shared" ca="1" si="411"/>
        <v>9.9541464272881601</v>
      </c>
      <c r="X584" s="2">
        <f t="shared" si="419"/>
        <v>3</v>
      </c>
      <c r="AC584" s="1">
        <f t="shared" si="458"/>
        <v>6.2</v>
      </c>
      <c r="AD584" s="5">
        <v>1</v>
      </c>
      <c r="AE584" s="5">
        <v>0</v>
      </c>
      <c r="AF584" s="5">
        <v>1</v>
      </c>
      <c r="AG584" s="5">
        <v>0</v>
      </c>
      <c r="AH584" s="5">
        <v>1</v>
      </c>
      <c r="AI584" s="3">
        <f t="shared" si="409"/>
        <v>3.2</v>
      </c>
      <c r="AJ584" s="5">
        <f t="shared" si="424"/>
        <v>0</v>
      </c>
      <c r="AK584" s="5">
        <f t="shared" si="470"/>
        <v>0</v>
      </c>
      <c r="AL584" s="5">
        <f t="shared" si="471"/>
        <v>0</v>
      </c>
      <c r="AM584" s="5">
        <f t="shared" si="426"/>
        <v>0</v>
      </c>
      <c r="AN584" s="5">
        <f t="shared" si="472"/>
        <v>0</v>
      </c>
      <c r="AO584" s="5">
        <f t="shared" si="427"/>
        <v>0</v>
      </c>
      <c r="AP584" s="1">
        <v>5</v>
      </c>
      <c r="AQ584" s="1" t="s">
        <v>42</v>
      </c>
      <c r="AR584" s="5">
        <v>0</v>
      </c>
      <c r="AS584" s="5">
        <v>0</v>
      </c>
      <c r="AT584" s="5">
        <v>1</v>
      </c>
      <c r="AU584" s="5">
        <v>0</v>
      </c>
      <c r="AV584" s="5">
        <v>0</v>
      </c>
      <c r="AW584" s="5">
        <v>0</v>
      </c>
      <c r="AX584" s="5">
        <v>1</v>
      </c>
      <c r="AY584" s="1">
        <f t="shared" si="459"/>
        <v>0</v>
      </c>
      <c r="AZ584" s="1">
        <f t="shared" si="460"/>
        <v>0</v>
      </c>
      <c r="BA584" s="1">
        <f t="shared" si="461"/>
        <v>0</v>
      </c>
      <c r="BB584" s="5">
        <v>0</v>
      </c>
      <c r="BC584" s="5">
        <v>0</v>
      </c>
      <c r="BD584" s="5">
        <v>0</v>
      </c>
      <c r="BE584" s="5">
        <f t="shared" si="462"/>
        <v>1</v>
      </c>
      <c r="BF584" s="5">
        <v>0</v>
      </c>
      <c r="BG584" s="5">
        <f t="shared" si="473"/>
        <v>0</v>
      </c>
      <c r="BH584" s="5">
        <f t="shared" si="473"/>
        <v>0</v>
      </c>
      <c r="BI584" s="5">
        <f t="shared" si="473"/>
        <v>0</v>
      </c>
      <c r="BJ584" s="5">
        <f t="shared" si="473"/>
        <v>0</v>
      </c>
      <c r="BK584" s="5">
        <f t="shared" si="473"/>
        <v>0</v>
      </c>
      <c r="BL584" s="5">
        <f t="shared" si="473"/>
        <v>0</v>
      </c>
      <c r="BM584" s="5">
        <f t="shared" si="473"/>
        <v>0</v>
      </c>
      <c r="BN584" s="5">
        <f t="shared" si="466"/>
        <v>0</v>
      </c>
      <c r="BO584" s="5">
        <f t="shared" si="466"/>
        <v>0</v>
      </c>
      <c r="BP584" s="5">
        <f t="shared" si="466"/>
        <v>0</v>
      </c>
      <c r="BQ584" s="5">
        <f t="shared" si="466"/>
        <v>0</v>
      </c>
      <c r="BR584" s="5">
        <f t="shared" si="466"/>
        <v>0</v>
      </c>
      <c r="BS584" s="5">
        <f t="shared" si="466"/>
        <v>0</v>
      </c>
      <c r="BT584" s="5">
        <f t="shared" si="466"/>
        <v>0</v>
      </c>
      <c r="BU584" s="5">
        <f t="shared" si="466"/>
        <v>0</v>
      </c>
      <c r="BV584" s="5">
        <f t="shared" si="466"/>
        <v>0</v>
      </c>
      <c r="BW584" s="5">
        <f t="shared" si="466"/>
        <v>0</v>
      </c>
      <c r="BX584" s="5">
        <f t="shared" si="466"/>
        <v>0</v>
      </c>
      <c r="BY584" s="5">
        <f t="shared" si="466"/>
        <v>0</v>
      </c>
      <c r="BZ584" s="5">
        <f t="shared" si="466"/>
        <v>0</v>
      </c>
      <c r="CA584" s="5">
        <f t="shared" si="466"/>
        <v>0</v>
      </c>
      <c r="CB584" s="5">
        <f t="shared" si="466"/>
        <v>1</v>
      </c>
      <c r="CC584" s="5">
        <f t="shared" si="467"/>
        <v>0</v>
      </c>
      <c r="CD584" s="5">
        <f t="shared" si="465"/>
        <v>0</v>
      </c>
      <c r="CE584" s="5">
        <f t="shared" si="465"/>
        <v>0</v>
      </c>
    </row>
    <row r="585" spans="1:83" x14ac:dyDescent="0.2">
      <c r="A585" s="11"/>
      <c r="B585" s="11"/>
      <c r="C585" s="1">
        <f>Growth!D590</f>
        <v>0</v>
      </c>
      <c r="D585" s="5" t="b">
        <f t="shared" si="410"/>
        <v>0</v>
      </c>
      <c r="E585" s="5">
        <v>2012</v>
      </c>
      <c r="F585" s="5">
        <f ca="1">LOOKUP($E585,frequence!$A$2:$A$35,frequence!L$2:L$35)</f>
        <v>41.545638202606931</v>
      </c>
      <c r="G585" s="5">
        <f ca="1">LOOKUP($E585,frequence!$A$2:$A$35,frequence!K$2:K$35)</f>
        <v>3.8191206393393822</v>
      </c>
      <c r="H585" s="5">
        <f ca="1">LOOKUP($E585,frequence!$A$2:$A$35,frequence!M$2:M$35)</f>
        <v>265.64322815143237</v>
      </c>
      <c r="I585" s="18">
        <v>2007</v>
      </c>
      <c r="J585" s="7">
        <f>LOOKUP(I585,CPI!A$69:A$103,CPI!O$69:O$103)</f>
        <v>1.0516730811895323</v>
      </c>
      <c r="K585" s="5">
        <v>2010</v>
      </c>
      <c r="L585" s="7">
        <f t="shared" ca="1" si="468"/>
        <v>1</v>
      </c>
      <c r="M585" s="7">
        <f t="shared" si="425"/>
        <v>0.13777777777777778</v>
      </c>
      <c r="N585" s="14">
        <f t="shared" si="449"/>
        <v>2.2222222222222223E-2</v>
      </c>
      <c r="O585" s="1">
        <f ca="1">P585*J585*(1+Growth!G$6)^(2010-K585)</f>
        <v>8.4133846495162583</v>
      </c>
      <c r="P585" s="2">
        <f t="shared" si="469"/>
        <v>8</v>
      </c>
      <c r="Q585" s="3">
        <v>8</v>
      </c>
      <c r="R585" s="21">
        <f t="shared" ca="1" si="411"/>
        <v>70.785041260715815</v>
      </c>
      <c r="X585" s="2">
        <f t="shared" si="419"/>
        <v>8</v>
      </c>
      <c r="AC585" s="1">
        <f t="shared" si="458"/>
        <v>6.2</v>
      </c>
      <c r="AD585" s="5">
        <v>1</v>
      </c>
      <c r="AE585" s="5">
        <v>0</v>
      </c>
      <c r="AF585" s="5">
        <v>1</v>
      </c>
      <c r="AG585" s="5">
        <v>0</v>
      </c>
      <c r="AH585" s="5">
        <v>1</v>
      </c>
      <c r="AI585" s="3">
        <f t="shared" ref="AI585:AI648" si="474">(E585-1980)/10</f>
        <v>3.2</v>
      </c>
      <c r="AJ585" s="5">
        <f t="shared" si="424"/>
        <v>0</v>
      </c>
      <c r="AK585" s="5">
        <f t="shared" si="470"/>
        <v>0</v>
      </c>
      <c r="AL585" s="5">
        <f t="shared" si="471"/>
        <v>0</v>
      </c>
      <c r="AM585" s="5">
        <f t="shared" si="426"/>
        <v>0</v>
      </c>
      <c r="AN585" s="5">
        <f t="shared" si="472"/>
        <v>0</v>
      </c>
      <c r="AO585" s="5">
        <f t="shared" si="427"/>
        <v>0</v>
      </c>
      <c r="AP585" s="1">
        <v>5</v>
      </c>
      <c r="AQ585" s="1" t="s">
        <v>42</v>
      </c>
      <c r="AR585" s="5">
        <v>0</v>
      </c>
      <c r="AS585" s="5">
        <v>0</v>
      </c>
      <c r="AT585" s="5">
        <v>1</v>
      </c>
      <c r="AU585" s="5">
        <v>0</v>
      </c>
      <c r="AV585" s="5">
        <v>0</v>
      </c>
      <c r="AW585" s="5">
        <v>0</v>
      </c>
      <c r="AX585" s="5">
        <v>1</v>
      </c>
      <c r="AY585" s="1">
        <f t="shared" si="459"/>
        <v>0</v>
      </c>
      <c r="AZ585" s="1">
        <f t="shared" si="460"/>
        <v>0</v>
      </c>
      <c r="BA585" s="1">
        <f t="shared" si="461"/>
        <v>0</v>
      </c>
      <c r="BB585" s="5">
        <v>0</v>
      </c>
      <c r="BC585" s="5">
        <v>0</v>
      </c>
      <c r="BD585" s="5">
        <v>0</v>
      </c>
      <c r="BE585" s="5">
        <f t="shared" si="462"/>
        <v>1</v>
      </c>
      <c r="BF585" s="5">
        <v>0</v>
      </c>
      <c r="BG585" s="5">
        <f t="shared" si="473"/>
        <v>0</v>
      </c>
      <c r="BH585" s="5">
        <f t="shared" si="473"/>
        <v>0</v>
      </c>
      <c r="BI585" s="5">
        <f t="shared" si="473"/>
        <v>0</v>
      </c>
      <c r="BJ585" s="5">
        <f t="shared" si="473"/>
        <v>0</v>
      </c>
      <c r="BK585" s="5">
        <f t="shared" si="473"/>
        <v>0</v>
      </c>
      <c r="BL585" s="5">
        <f t="shared" si="473"/>
        <v>0</v>
      </c>
      <c r="BM585" s="5">
        <f t="shared" si="473"/>
        <v>0</v>
      </c>
      <c r="BN585" s="5">
        <f t="shared" si="466"/>
        <v>0</v>
      </c>
      <c r="BO585" s="5">
        <f t="shared" si="466"/>
        <v>0</v>
      </c>
      <c r="BP585" s="5">
        <f t="shared" si="466"/>
        <v>0</v>
      </c>
      <c r="BQ585" s="5">
        <f t="shared" si="466"/>
        <v>0</v>
      </c>
      <c r="BR585" s="5">
        <f t="shared" si="466"/>
        <v>0</v>
      </c>
      <c r="BS585" s="5">
        <f t="shared" si="466"/>
        <v>0</v>
      </c>
      <c r="BT585" s="5">
        <f t="shared" si="466"/>
        <v>0</v>
      </c>
      <c r="BU585" s="5">
        <f t="shared" si="466"/>
        <v>0</v>
      </c>
      <c r="BV585" s="5">
        <f t="shared" si="466"/>
        <v>0</v>
      </c>
      <c r="BW585" s="5">
        <f t="shared" si="466"/>
        <v>0</v>
      </c>
      <c r="BX585" s="5">
        <f t="shared" si="466"/>
        <v>0</v>
      </c>
      <c r="BY585" s="5">
        <f t="shared" si="466"/>
        <v>0</v>
      </c>
      <c r="BZ585" s="5">
        <f t="shared" si="466"/>
        <v>0</v>
      </c>
      <c r="CA585" s="5">
        <f t="shared" si="466"/>
        <v>0</v>
      </c>
      <c r="CB585" s="5">
        <f t="shared" si="466"/>
        <v>1</v>
      </c>
      <c r="CC585" s="5">
        <f t="shared" si="467"/>
        <v>0</v>
      </c>
      <c r="CD585" s="5">
        <f t="shared" si="465"/>
        <v>0</v>
      </c>
      <c r="CE585" s="5">
        <f t="shared" si="465"/>
        <v>0</v>
      </c>
    </row>
    <row r="586" spans="1:83" x14ac:dyDescent="0.2">
      <c r="A586" s="11"/>
      <c r="B586" s="11"/>
      <c r="C586" s="1">
        <f>Growth!D591</f>
        <v>0</v>
      </c>
      <c r="D586" s="5" t="b">
        <f t="shared" ref="D586:D649" si="475">IF(B586&gt;0,E586)</f>
        <v>0</v>
      </c>
      <c r="E586" s="5">
        <v>2012</v>
      </c>
      <c r="F586" s="5">
        <f ca="1">LOOKUP($E586,frequence!$A$2:$A$35,frequence!L$2:L$35)</f>
        <v>41.545638202606931</v>
      </c>
      <c r="G586" s="5">
        <f ca="1">LOOKUP($E586,frequence!$A$2:$A$35,frequence!K$2:K$35)</f>
        <v>3.8191206393393822</v>
      </c>
      <c r="H586" s="5">
        <f ca="1">LOOKUP($E586,frequence!$A$2:$A$35,frequence!M$2:M$35)</f>
        <v>265.64322815143237</v>
      </c>
      <c r="I586" s="18">
        <v>2007</v>
      </c>
      <c r="J586" s="7">
        <f>LOOKUP(I586,CPI!A$69:A$103,CPI!O$69:O$103)</f>
        <v>1.0516730811895323</v>
      </c>
      <c r="K586" s="5">
        <v>2010</v>
      </c>
      <c r="L586" s="7">
        <f t="shared" ca="1" si="468"/>
        <v>1</v>
      </c>
      <c r="M586" s="7">
        <f t="shared" si="425"/>
        <v>0.13777777777777778</v>
      </c>
      <c r="N586" s="14">
        <f t="shared" si="449"/>
        <v>2.2222222222222223E-2</v>
      </c>
      <c r="O586" s="1">
        <f ca="1">P586*J586*(1+Growth!G$6)^(2010-K586)</f>
        <v>34.705211679254568</v>
      </c>
      <c r="P586" s="2">
        <f t="shared" si="469"/>
        <v>33</v>
      </c>
      <c r="Q586" s="3">
        <v>33</v>
      </c>
      <c r="R586" s="21">
        <f t="shared" ref="R586:R649" ca="1" si="476">O586*O586</f>
        <v>1204.4517177018677</v>
      </c>
      <c r="X586" s="2">
        <f t="shared" si="419"/>
        <v>33</v>
      </c>
      <c r="AC586" s="1">
        <f t="shared" si="458"/>
        <v>6.2</v>
      </c>
      <c r="AD586" s="5">
        <v>1</v>
      </c>
      <c r="AE586" s="5">
        <v>0</v>
      </c>
      <c r="AF586" s="5">
        <v>1</v>
      </c>
      <c r="AG586" s="5">
        <v>0</v>
      </c>
      <c r="AH586" s="5">
        <v>1</v>
      </c>
      <c r="AI586" s="3">
        <f t="shared" si="474"/>
        <v>3.2</v>
      </c>
      <c r="AJ586" s="5">
        <f t="shared" si="424"/>
        <v>0</v>
      </c>
      <c r="AK586" s="5">
        <f t="shared" si="470"/>
        <v>0</v>
      </c>
      <c r="AL586" s="5">
        <f t="shared" si="471"/>
        <v>0</v>
      </c>
      <c r="AM586" s="5">
        <f t="shared" si="426"/>
        <v>0</v>
      </c>
      <c r="AN586" s="5">
        <f t="shared" si="472"/>
        <v>0</v>
      </c>
      <c r="AO586" s="5">
        <f t="shared" si="427"/>
        <v>0</v>
      </c>
      <c r="AP586" s="1">
        <v>5</v>
      </c>
      <c r="AQ586" s="1" t="s">
        <v>42</v>
      </c>
      <c r="AR586" s="5">
        <v>0</v>
      </c>
      <c r="AS586" s="5">
        <v>0</v>
      </c>
      <c r="AT586" s="5">
        <v>1</v>
      </c>
      <c r="AU586" s="5">
        <v>0</v>
      </c>
      <c r="AV586" s="5">
        <v>0</v>
      </c>
      <c r="AW586" s="5">
        <v>0</v>
      </c>
      <c r="AX586" s="5">
        <v>1</v>
      </c>
      <c r="AY586" s="1">
        <f t="shared" si="459"/>
        <v>0</v>
      </c>
      <c r="AZ586" s="1">
        <f t="shared" si="460"/>
        <v>0</v>
      </c>
      <c r="BA586" s="1">
        <f t="shared" si="461"/>
        <v>0</v>
      </c>
      <c r="BB586" s="5">
        <v>0</v>
      </c>
      <c r="BC586" s="5">
        <v>0</v>
      </c>
      <c r="BD586" s="5">
        <v>0</v>
      </c>
      <c r="BE586" s="5">
        <f t="shared" si="462"/>
        <v>1</v>
      </c>
      <c r="BF586" s="5">
        <v>0</v>
      </c>
      <c r="BG586" s="5">
        <f t="shared" si="473"/>
        <v>0</v>
      </c>
      <c r="BH586" s="5">
        <f t="shared" si="473"/>
        <v>0</v>
      </c>
      <c r="BI586" s="5">
        <f t="shared" si="473"/>
        <v>0</v>
      </c>
      <c r="BJ586" s="5">
        <f t="shared" si="473"/>
        <v>0</v>
      </c>
      <c r="BK586" s="5">
        <f t="shared" si="473"/>
        <v>0</v>
      </c>
      <c r="BL586" s="5">
        <f t="shared" si="473"/>
        <v>0</v>
      </c>
      <c r="BM586" s="5">
        <f t="shared" si="473"/>
        <v>0</v>
      </c>
      <c r="BN586" s="5">
        <f t="shared" si="466"/>
        <v>0</v>
      </c>
      <c r="BO586" s="5">
        <f t="shared" si="466"/>
        <v>0</v>
      </c>
      <c r="BP586" s="5">
        <f t="shared" si="466"/>
        <v>0</v>
      </c>
      <c r="BQ586" s="5">
        <f t="shared" si="466"/>
        <v>0</v>
      </c>
      <c r="BR586" s="5">
        <f t="shared" si="466"/>
        <v>0</v>
      </c>
      <c r="BS586" s="5">
        <f t="shared" si="466"/>
        <v>0</v>
      </c>
      <c r="BT586" s="5">
        <f t="shared" si="466"/>
        <v>0</v>
      </c>
      <c r="BU586" s="5">
        <f t="shared" si="466"/>
        <v>0</v>
      </c>
      <c r="BV586" s="5">
        <f t="shared" si="466"/>
        <v>0</v>
      </c>
      <c r="BW586" s="5">
        <f t="shared" si="466"/>
        <v>0</v>
      </c>
      <c r="BX586" s="5">
        <f t="shared" si="466"/>
        <v>0</v>
      </c>
      <c r="BY586" s="5">
        <f t="shared" si="466"/>
        <v>0</v>
      </c>
      <c r="BZ586" s="5">
        <f t="shared" si="466"/>
        <v>0</v>
      </c>
      <c r="CA586" s="5">
        <f t="shared" si="466"/>
        <v>0</v>
      </c>
      <c r="CB586" s="5">
        <f t="shared" si="466"/>
        <v>1</v>
      </c>
      <c r="CC586" s="5">
        <f t="shared" si="467"/>
        <v>0</v>
      </c>
      <c r="CD586" s="5">
        <f t="shared" si="465"/>
        <v>0</v>
      </c>
      <c r="CE586" s="5">
        <f t="shared" si="465"/>
        <v>0</v>
      </c>
    </row>
    <row r="587" spans="1:83" x14ac:dyDescent="0.2">
      <c r="A587" s="11"/>
      <c r="B587" s="11"/>
      <c r="C587" s="1">
        <f>Growth!D592</f>
        <v>0</v>
      </c>
      <c r="D587" s="5" t="b">
        <f t="shared" si="475"/>
        <v>0</v>
      </c>
      <c r="E587" s="5">
        <v>2012</v>
      </c>
      <c r="F587" s="5">
        <f ca="1">LOOKUP($E587,frequence!$A$2:$A$35,frequence!L$2:L$35)</f>
        <v>41.545638202606931</v>
      </c>
      <c r="G587" s="5">
        <f ca="1">LOOKUP($E587,frequence!$A$2:$A$35,frequence!K$2:K$35)</f>
        <v>3.8191206393393822</v>
      </c>
      <c r="H587" s="5">
        <f ca="1">LOOKUP($E587,frequence!$A$2:$A$35,frequence!M$2:M$35)</f>
        <v>265.64322815143237</v>
      </c>
      <c r="I587" s="18">
        <v>2007</v>
      </c>
      <c r="J587" s="7">
        <f>LOOKUP(I587,CPI!A$69:A$103,CPI!O$69:O$103)</f>
        <v>1.0516730811895323</v>
      </c>
      <c r="K587" s="5">
        <v>2010</v>
      </c>
      <c r="L587" s="7">
        <f t="shared" ca="1" si="468"/>
        <v>1</v>
      </c>
      <c r="M587" s="7">
        <f t="shared" si="425"/>
        <v>0.13777777777777778</v>
      </c>
      <c r="N587" s="14">
        <f t="shared" si="449"/>
        <v>2.2222222222222223E-2</v>
      </c>
      <c r="O587" s="1">
        <f ca="1">P587*J587*(1+Growth!G$6)^(2010-K587)</f>
        <v>0</v>
      </c>
      <c r="P587" s="2">
        <f t="shared" si="469"/>
        <v>0</v>
      </c>
      <c r="Q587" s="3">
        <v>0</v>
      </c>
      <c r="R587" s="21">
        <f t="shared" ca="1" si="476"/>
        <v>0</v>
      </c>
      <c r="X587" s="2">
        <f t="shared" si="419"/>
        <v>0</v>
      </c>
      <c r="AC587" s="1">
        <f t="shared" si="458"/>
        <v>6.2</v>
      </c>
      <c r="AD587" s="5">
        <v>1</v>
      </c>
      <c r="AE587" s="5">
        <v>0</v>
      </c>
      <c r="AF587" s="5">
        <v>1</v>
      </c>
      <c r="AG587" s="5">
        <v>0</v>
      </c>
      <c r="AH587" s="5">
        <v>1</v>
      </c>
      <c r="AI587" s="3">
        <f t="shared" si="474"/>
        <v>3.2</v>
      </c>
      <c r="AJ587" s="5">
        <f t="shared" si="424"/>
        <v>0</v>
      </c>
      <c r="AK587" s="5">
        <f t="shared" si="470"/>
        <v>0</v>
      </c>
      <c r="AL587" s="5">
        <f t="shared" si="471"/>
        <v>0</v>
      </c>
      <c r="AM587" s="5">
        <f t="shared" si="426"/>
        <v>0</v>
      </c>
      <c r="AN587" s="5">
        <f t="shared" si="472"/>
        <v>0</v>
      </c>
      <c r="AO587" s="5">
        <f t="shared" si="427"/>
        <v>0</v>
      </c>
      <c r="AP587" s="1">
        <v>5</v>
      </c>
      <c r="AQ587" s="1" t="s">
        <v>42</v>
      </c>
      <c r="AR587" s="5">
        <v>0</v>
      </c>
      <c r="AS587" s="5">
        <v>0</v>
      </c>
      <c r="AT587" s="5">
        <v>1</v>
      </c>
      <c r="AU587" s="5">
        <v>0</v>
      </c>
      <c r="AV587" s="5">
        <v>0</v>
      </c>
      <c r="AW587" s="5">
        <v>0</v>
      </c>
      <c r="AX587" s="5">
        <v>1</v>
      </c>
      <c r="AY587" s="1">
        <f t="shared" si="459"/>
        <v>0</v>
      </c>
      <c r="AZ587" s="1">
        <f t="shared" si="460"/>
        <v>0</v>
      </c>
      <c r="BA587" s="1">
        <f t="shared" si="461"/>
        <v>0</v>
      </c>
      <c r="BB587" s="5">
        <v>0</v>
      </c>
      <c r="BC587" s="5">
        <v>0</v>
      </c>
      <c r="BD587" s="5">
        <v>0</v>
      </c>
      <c r="BE587" s="5">
        <f t="shared" si="462"/>
        <v>1</v>
      </c>
      <c r="BF587" s="5">
        <v>0</v>
      </c>
      <c r="BG587" s="5">
        <f t="shared" si="473"/>
        <v>0</v>
      </c>
      <c r="BH587" s="5">
        <f t="shared" si="473"/>
        <v>0</v>
      </c>
      <c r="BI587" s="5">
        <f t="shared" si="473"/>
        <v>0</v>
      </c>
      <c r="BJ587" s="5">
        <f t="shared" si="473"/>
        <v>0</v>
      </c>
      <c r="BK587" s="5">
        <f t="shared" si="473"/>
        <v>0</v>
      </c>
      <c r="BL587" s="5">
        <f t="shared" si="473"/>
        <v>0</v>
      </c>
      <c r="BM587" s="5">
        <f t="shared" si="473"/>
        <v>0</v>
      </c>
      <c r="BN587" s="5">
        <f t="shared" si="466"/>
        <v>0</v>
      </c>
      <c r="BO587" s="5">
        <f t="shared" si="466"/>
        <v>0</v>
      </c>
      <c r="BP587" s="5">
        <f t="shared" si="466"/>
        <v>0</v>
      </c>
      <c r="BQ587" s="5">
        <f t="shared" si="466"/>
        <v>0</v>
      </c>
      <c r="BR587" s="5">
        <f t="shared" si="466"/>
        <v>0</v>
      </c>
      <c r="BS587" s="5">
        <f t="shared" si="466"/>
        <v>0</v>
      </c>
      <c r="BT587" s="5">
        <f t="shared" si="466"/>
        <v>0</v>
      </c>
      <c r="BU587" s="5">
        <f t="shared" si="466"/>
        <v>0</v>
      </c>
      <c r="BV587" s="5">
        <f t="shared" si="466"/>
        <v>0</v>
      </c>
      <c r="BW587" s="5">
        <f t="shared" si="466"/>
        <v>0</v>
      </c>
      <c r="BX587" s="5">
        <f t="shared" si="466"/>
        <v>0</v>
      </c>
      <c r="BY587" s="5">
        <f t="shared" si="466"/>
        <v>0</v>
      </c>
      <c r="BZ587" s="5">
        <f t="shared" si="466"/>
        <v>0</v>
      </c>
      <c r="CA587" s="5">
        <f t="shared" si="466"/>
        <v>0</v>
      </c>
      <c r="CB587" s="5">
        <f t="shared" si="466"/>
        <v>1</v>
      </c>
      <c r="CC587" s="5">
        <f t="shared" si="467"/>
        <v>0</v>
      </c>
      <c r="CD587" s="5">
        <f t="shared" si="465"/>
        <v>0</v>
      </c>
      <c r="CE587" s="5">
        <f t="shared" si="465"/>
        <v>0</v>
      </c>
    </row>
    <row r="588" spans="1:83" x14ac:dyDescent="0.2">
      <c r="A588" s="11"/>
      <c r="B588" s="11"/>
      <c r="C588" s="1">
        <f>Growth!D593</f>
        <v>0</v>
      </c>
      <c r="D588" s="5" t="b">
        <f t="shared" si="475"/>
        <v>0</v>
      </c>
      <c r="E588" s="5">
        <v>2012</v>
      </c>
      <c r="F588" s="5">
        <f ca="1">LOOKUP($E588,frequence!$A$2:$A$35,frequence!L$2:L$35)</f>
        <v>41.545638202606931</v>
      </c>
      <c r="G588" s="5">
        <f ca="1">LOOKUP($E588,frequence!$A$2:$A$35,frequence!K$2:K$35)</f>
        <v>3.8191206393393822</v>
      </c>
      <c r="H588" s="5">
        <f ca="1">LOOKUP($E588,frequence!$A$2:$A$35,frequence!M$2:M$35)</f>
        <v>265.64322815143237</v>
      </c>
      <c r="I588" s="18">
        <v>2007</v>
      </c>
      <c r="J588" s="7">
        <f>LOOKUP(I588,CPI!A$69:A$103,CPI!O$69:O$103)</f>
        <v>1.0516730811895323</v>
      </c>
      <c r="K588" s="5">
        <v>2010</v>
      </c>
      <c r="L588" s="7">
        <f t="shared" ca="1" si="468"/>
        <v>1</v>
      </c>
      <c r="M588" s="7">
        <f t="shared" si="425"/>
        <v>0.13777777777777778</v>
      </c>
      <c r="N588" s="14">
        <f t="shared" si="449"/>
        <v>2.2222222222222223E-2</v>
      </c>
      <c r="O588" s="1">
        <f ca="1">P588*J588*(1+Growth!G$6)^(2010-K588)</f>
        <v>3.1550192435685966</v>
      </c>
      <c r="P588" s="2">
        <f t="shared" si="469"/>
        <v>3</v>
      </c>
      <c r="Q588" s="3">
        <v>3</v>
      </c>
      <c r="R588" s="21">
        <f t="shared" ca="1" si="476"/>
        <v>9.9541464272881601</v>
      </c>
      <c r="X588" s="2">
        <f t="shared" si="419"/>
        <v>3</v>
      </c>
      <c r="AC588" s="1">
        <f t="shared" si="458"/>
        <v>6.2</v>
      </c>
      <c r="AD588" s="5">
        <v>1</v>
      </c>
      <c r="AE588" s="5">
        <v>0</v>
      </c>
      <c r="AF588" s="5">
        <v>1</v>
      </c>
      <c r="AG588" s="5">
        <v>0</v>
      </c>
      <c r="AH588" s="5">
        <v>1</v>
      </c>
      <c r="AI588" s="3">
        <f t="shared" si="474"/>
        <v>3.2</v>
      </c>
      <c r="AJ588" s="5">
        <f t="shared" si="424"/>
        <v>0</v>
      </c>
      <c r="AK588" s="5">
        <f t="shared" si="470"/>
        <v>0</v>
      </c>
      <c r="AL588" s="5">
        <f t="shared" si="471"/>
        <v>0</v>
      </c>
      <c r="AM588" s="5">
        <f t="shared" si="426"/>
        <v>0</v>
      </c>
      <c r="AN588" s="5">
        <f t="shared" si="472"/>
        <v>0</v>
      </c>
      <c r="AO588" s="5">
        <f t="shared" si="427"/>
        <v>0</v>
      </c>
      <c r="AP588" s="1">
        <v>5</v>
      </c>
      <c r="AQ588" s="1" t="s">
        <v>42</v>
      </c>
      <c r="AR588" s="5">
        <v>0</v>
      </c>
      <c r="AS588" s="5">
        <v>0</v>
      </c>
      <c r="AT588" s="5">
        <v>1</v>
      </c>
      <c r="AU588" s="5">
        <v>0</v>
      </c>
      <c r="AV588" s="5">
        <v>0</v>
      </c>
      <c r="AW588" s="5">
        <v>0</v>
      </c>
      <c r="AX588" s="5">
        <v>1</v>
      </c>
      <c r="AY588" s="1">
        <f t="shared" si="459"/>
        <v>0</v>
      </c>
      <c r="AZ588" s="1">
        <f t="shared" si="460"/>
        <v>0</v>
      </c>
      <c r="BA588" s="1">
        <f t="shared" si="461"/>
        <v>0</v>
      </c>
      <c r="BB588" s="5">
        <v>0</v>
      </c>
      <c r="BC588" s="5">
        <v>0</v>
      </c>
      <c r="BD588" s="5">
        <v>0</v>
      </c>
      <c r="BE588" s="5">
        <f t="shared" si="462"/>
        <v>1</v>
      </c>
      <c r="BF588" s="5">
        <v>0</v>
      </c>
      <c r="BG588" s="5">
        <f t="shared" si="473"/>
        <v>0</v>
      </c>
      <c r="BH588" s="5">
        <f t="shared" si="473"/>
        <v>0</v>
      </c>
      <c r="BI588" s="5">
        <f t="shared" si="473"/>
        <v>0</v>
      </c>
      <c r="BJ588" s="5">
        <f t="shared" si="473"/>
        <v>0</v>
      </c>
      <c r="BK588" s="5">
        <f t="shared" si="473"/>
        <v>0</v>
      </c>
      <c r="BL588" s="5">
        <f t="shared" si="473"/>
        <v>0</v>
      </c>
      <c r="BM588" s="5">
        <f t="shared" si="473"/>
        <v>0</v>
      </c>
      <c r="BN588" s="5">
        <f t="shared" si="466"/>
        <v>0</v>
      </c>
      <c r="BO588" s="5">
        <f t="shared" si="466"/>
        <v>0</v>
      </c>
      <c r="BP588" s="5">
        <f t="shared" si="466"/>
        <v>0</v>
      </c>
      <c r="BQ588" s="5">
        <f t="shared" si="466"/>
        <v>0</v>
      </c>
      <c r="BR588" s="5">
        <f t="shared" si="466"/>
        <v>0</v>
      </c>
      <c r="BS588" s="5">
        <f t="shared" si="466"/>
        <v>0</v>
      </c>
      <c r="BT588" s="5">
        <f t="shared" si="466"/>
        <v>0</v>
      </c>
      <c r="BU588" s="5">
        <f t="shared" si="466"/>
        <v>0</v>
      </c>
      <c r="BV588" s="5">
        <f t="shared" si="466"/>
        <v>0</v>
      </c>
      <c r="BW588" s="5">
        <f t="shared" si="466"/>
        <v>0</v>
      </c>
      <c r="BX588" s="5">
        <f t="shared" si="466"/>
        <v>0</v>
      </c>
      <c r="BY588" s="5">
        <f t="shared" si="466"/>
        <v>0</v>
      </c>
      <c r="BZ588" s="5">
        <f t="shared" si="466"/>
        <v>0</v>
      </c>
      <c r="CA588" s="5">
        <f t="shared" si="466"/>
        <v>0</v>
      </c>
      <c r="CB588" s="5">
        <f t="shared" si="466"/>
        <v>1</v>
      </c>
      <c r="CC588" s="5">
        <f t="shared" si="467"/>
        <v>0</v>
      </c>
      <c r="CD588" s="5">
        <f t="shared" si="465"/>
        <v>0</v>
      </c>
      <c r="CE588" s="5">
        <f t="shared" si="465"/>
        <v>0</v>
      </c>
    </row>
    <row r="589" spans="1:83" x14ac:dyDescent="0.2">
      <c r="A589" s="11"/>
      <c r="B589" s="11"/>
      <c r="C589" s="1">
        <f>Growth!D594</f>
        <v>0</v>
      </c>
      <c r="D589" s="5" t="b">
        <f t="shared" si="475"/>
        <v>0</v>
      </c>
      <c r="E589" s="5">
        <v>2012</v>
      </c>
      <c r="F589" s="5">
        <f ca="1">LOOKUP($E589,frequence!$A$2:$A$35,frequence!L$2:L$35)</f>
        <v>41.545638202606931</v>
      </c>
      <c r="G589" s="5">
        <f ca="1">LOOKUP($E589,frequence!$A$2:$A$35,frequence!K$2:K$35)</f>
        <v>3.8191206393393822</v>
      </c>
      <c r="H589" s="5">
        <f ca="1">LOOKUP($E589,frequence!$A$2:$A$35,frequence!M$2:M$35)</f>
        <v>265.64322815143237</v>
      </c>
      <c r="I589" s="18">
        <v>2007</v>
      </c>
      <c r="J589" s="7">
        <f>LOOKUP(I589,CPI!A$69:A$103,CPI!O$69:O$103)</f>
        <v>1.0516730811895323</v>
      </c>
      <c r="K589" s="5">
        <v>2010</v>
      </c>
      <c r="L589" s="7">
        <f t="shared" ca="1" si="468"/>
        <v>1</v>
      </c>
      <c r="M589" s="7">
        <f t="shared" si="425"/>
        <v>0.13777777777777778</v>
      </c>
      <c r="N589" s="14">
        <f t="shared" si="449"/>
        <v>2.2222222222222223E-2</v>
      </c>
      <c r="O589" s="1">
        <f ca="1">P589*J589*(1+Growth!G$6)^(2010-K589)</f>
        <v>7.3617115683267258</v>
      </c>
      <c r="P589" s="2">
        <f t="shared" si="469"/>
        <v>7</v>
      </c>
      <c r="Q589" s="3">
        <v>7</v>
      </c>
      <c r="R589" s="21">
        <f t="shared" ca="1" si="476"/>
        <v>54.194797215235539</v>
      </c>
      <c r="X589" s="2">
        <f t="shared" si="419"/>
        <v>7</v>
      </c>
      <c r="AC589" s="1">
        <f t="shared" si="458"/>
        <v>6.2</v>
      </c>
      <c r="AD589" s="5">
        <v>1</v>
      </c>
      <c r="AE589" s="5">
        <v>0</v>
      </c>
      <c r="AF589" s="5">
        <v>1</v>
      </c>
      <c r="AG589" s="5">
        <v>0</v>
      </c>
      <c r="AH589" s="5">
        <v>1</v>
      </c>
      <c r="AI589" s="3">
        <f t="shared" si="474"/>
        <v>3.2</v>
      </c>
      <c r="AJ589" s="5">
        <f t="shared" si="424"/>
        <v>0</v>
      </c>
      <c r="AK589" s="5">
        <f t="shared" si="470"/>
        <v>0</v>
      </c>
      <c r="AL589" s="5">
        <f t="shared" si="471"/>
        <v>0</v>
      </c>
      <c r="AM589" s="5">
        <f t="shared" si="426"/>
        <v>0</v>
      </c>
      <c r="AN589" s="5">
        <f t="shared" si="472"/>
        <v>0</v>
      </c>
      <c r="AO589" s="5">
        <f t="shared" si="427"/>
        <v>0</v>
      </c>
      <c r="AP589" s="1">
        <v>5</v>
      </c>
      <c r="AQ589" s="1" t="s">
        <v>42</v>
      </c>
      <c r="AR589" s="5">
        <v>0</v>
      </c>
      <c r="AS589" s="5">
        <v>0</v>
      </c>
      <c r="AT589" s="5">
        <v>1</v>
      </c>
      <c r="AU589" s="5">
        <v>0</v>
      </c>
      <c r="AV589" s="5">
        <v>0</v>
      </c>
      <c r="AW589" s="5">
        <v>0</v>
      </c>
      <c r="AX589" s="5">
        <v>1</v>
      </c>
      <c r="AY589" s="1">
        <f t="shared" si="459"/>
        <v>0</v>
      </c>
      <c r="AZ589" s="1">
        <f t="shared" si="460"/>
        <v>0</v>
      </c>
      <c r="BA589" s="1">
        <f t="shared" si="461"/>
        <v>0</v>
      </c>
      <c r="BB589" s="5">
        <v>0</v>
      </c>
      <c r="BC589" s="5">
        <v>0</v>
      </c>
      <c r="BD589" s="5">
        <v>0</v>
      </c>
      <c r="BE589" s="5">
        <f t="shared" si="462"/>
        <v>1</v>
      </c>
      <c r="BF589" s="5">
        <v>0</v>
      </c>
      <c r="BG589" s="5">
        <f t="shared" si="473"/>
        <v>0</v>
      </c>
      <c r="BH589" s="5">
        <f t="shared" si="473"/>
        <v>0</v>
      </c>
      <c r="BI589" s="5">
        <f t="shared" si="473"/>
        <v>0</v>
      </c>
      <c r="BJ589" s="5">
        <f t="shared" si="473"/>
        <v>0</v>
      </c>
      <c r="BK589" s="5">
        <f t="shared" si="473"/>
        <v>0</v>
      </c>
      <c r="BL589" s="5">
        <f t="shared" si="473"/>
        <v>0</v>
      </c>
      <c r="BM589" s="5">
        <f t="shared" si="473"/>
        <v>0</v>
      </c>
      <c r="BN589" s="5">
        <f t="shared" si="466"/>
        <v>0</v>
      </c>
      <c r="BO589" s="5">
        <f t="shared" si="466"/>
        <v>0</v>
      </c>
      <c r="BP589" s="5">
        <f t="shared" si="466"/>
        <v>0</v>
      </c>
      <c r="BQ589" s="5">
        <f t="shared" si="466"/>
        <v>0</v>
      </c>
      <c r="BR589" s="5">
        <f t="shared" si="466"/>
        <v>0</v>
      </c>
      <c r="BS589" s="5">
        <f t="shared" si="466"/>
        <v>0</v>
      </c>
      <c r="BT589" s="5">
        <f t="shared" si="466"/>
        <v>0</v>
      </c>
      <c r="BU589" s="5">
        <f t="shared" si="466"/>
        <v>0</v>
      </c>
      <c r="BV589" s="5">
        <f t="shared" si="466"/>
        <v>0</v>
      </c>
      <c r="BW589" s="5">
        <f t="shared" si="466"/>
        <v>0</v>
      </c>
      <c r="BX589" s="5">
        <f t="shared" si="466"/>
        <v>0</v>
      </c>
      <c r="BY589" s="5">
        <f t="shared" si="466"/>
        <v>0</v>
      </c>
      <c r="BZ589" s="5">
        <f t="shared" si="466"/>
        <v>0</v>
      </c>
      <c r="CA589" s="5">
        <f t="shared" si="466"/>
        <v>0</v>
      </c>
      <c r="CB589" s="5">
        <f t="shared" si="466"/>
        <v>1</v>
      </c>
      <c r="CC589" s="5">
        <f t="shared" si="467"/>
        <v>0</v>
      </c>
      <c r="CD589" s="5">
        <f t="shared" si="465"/>
        <v>0</v>
      </c>
      <c r="CE589" s="5">
        <f t="shared" si="465"/>
        <v>0</v>
      </c>
    </row>
    <row r="590" spans="1:83" x14ac:dyDescent="0.2">
      <c r="A590" s="11"/>
      <c r="B590" s="11"/>
      <c r="C590" s="1">
        <f>Growth!D595</f>
        <v>0</v>
      </c>
      <c r="D590" s="5" t="b">
        <f t="shared" si="475"/>
        <v>0</v>
      </c>
      <c r="E590" s="5">
        <v>2012</v>
      </c>
      <c r="F590" s="5">
        <f ca="1">LOOKUP($E590,frequence!$A$2:$A$35,frequence!L$2:L$35)</f>
        <v>41.545638202606931</v>
      </c>
      <c r="G590" s="5">
        <f ca="1">LOOKUP($E590,frequence!$A$2:$A$35,frequence!K$2:K$35)</f>
        <v>3.8191206393393822</v>
      </c>
      <c r="H590" s="5">
        <f ca="1">LOOKUP($E590,frequence!$A$2:$A$35,frequence!M$2:M$35)</f>
        <v>265.64322815143237</v>
      </c>
      <c r="I590" s="18">
        <v>2007</v>
      </c>
      <c r="J590" s="7">
        <f>LOOKUP(I590,CPI!A$69:A$103,CPI!O$69:O$103)</f>
        <v>1.0516730811895323</v>
      </c>
      <c r="K590" s="5">
        <v>2010</v>
      </c>
      <c r="L590" s="7">
        <f t="shared" ca="1" si="468"/>
        <v>1</v>
      </c>
      <c r="M590" s="7">
        <f t="shared" si="425"/>
        <v>0.13777777777777778</v>
      </c>
      <c r="N590" s="14">
        <f t="shared" si="449"/>
        <v>2.2222222222222223E-2</v>
      </c>
      <c r="O590" s="1">
        <f ca="1">P590*J590*(1+Growth!G$6)^(2010-K590)</f>
        <v>1.0516730811895323</v>
      </c>
      <c r="P590" s="2">
        <f t="shared" si="469"/>
        <v>1</v>
      </c>
      <c r="Q590" s="3">
        <v>1</v>
      </c>
      <c r="R590" s="21">
        <f t="shared" ca="1" si="476"/>
        <v>1.1060162696986846</v>
      </c>
      <c r="X590" s="2">
        <f t="shared" si="419"/>
        <v>1</v>
      </c>
      <c r="AC590" s="1">
        <f t="shared" si="458"/>
        <v>6.2</v>
      </c>
      <c r="AD590" s="5">
        <v>1</v>
      </c>
      <c r="AE590" s="5">
        <v>0</v>
      </c>
      <c r="AF590" s="5">
        <v>1</v>
      </c>
      <c r="AG590" s="5">
        <v>0</v>
      </c>
      <c r="AH590" s="5">
        <v>1</v>
      </c>
      <c r="AI590" s="3">
        <f t="shared" si="474"/>
        <v>3.2</v>
      </c>
      <c r="AJ590" s="5">
        <f t="shared" si="424"/>
        <v>0</v>
      </c>
      <c r="AK590" s="5">
        <f t="shared" si="470"/>
        <v>0</v>
      </c>
      <c r="AL590" s="5">
        <f t="shared" si="471"/>
        <v>0</v>
      </c>
      <c r="AM590" s="5">
        <f t="shared" si="426"/>
        <v>0</v>
      </c>
      <c r="AN590" s="5">
        <f t="shared" si="472"/>
        <v>0</v>
      </c>
      <c r="AO590" s="5">
        <f t="shared" si="427"/>
        <v>0</v>
      </c>
      <c r="AP590" s="1">
        <v>5</v>
      </c>
      <c r="AQ590" s="1" t="s">
        <v>42</v>
      </c>
      <c r="AR590" s="5">
        <v>0</v>
      </c>
      <c r="AS590" s="5">
        <v>0</v>
      </c>
      <c r="AT590" s="5">
        <v>1</v>
      </c>
      <c r="AU590" s="5">
        <v>0</v>
      </c>
      <c r="AV590" s="5">
        <v>0</v>
      </c>
      <c r="AW590" s="5">
        <v>0</v>
      </c>
      <c r="AX590" s="5">
        <v>1</v>
      </c>
      <c r="AY590" s="1">
        <f t="shared" si="459"/>
        <v>0</v>
      </c>
      <c r="AZ590" s="1">
        <f t="shared" si="460"/>
        <v>0</v>
      </c>
      <c r="BA590" s="1">
        <f t="shared" si="461"/>
        <v>0</v>
      </c>
      <c r="BB590" s="5">
        <v>0</v>
      </c>
      <c r="BC590" s="5">
        <v>0</v>
      </c>
      <c r="BD590" s="5">
        <v>0</v>
      </c>
      <c r="BE590" s="5">
        <f t="shared" si="462"/>
        <v>1</v>
      </c>
      <c r="BF590" s="5">
        <v>0</v>
      </c>
      <c r="BG590" s="5">
        <f t="shared" si="473"/>
        <v>0</v>
      </c>
      <c r="BH590" s="5">
        <f t="shared" si="473"/>
        <v>0</v>
      </c>
      <c r="BI590" s="5">
        <f t="shared" si="473"/>
        <v>0</v>
      </c>
      <c r="BJ590" s="5">
        <f t="shared" si="473"/>
        <v>0</v>
      </c>
      <c r="BK590" s="5">
        <f t="shared" si="473"/>
        <v>0</v>
      </c>
      <c r="BL590" s="5">
        <f t="shared" si="473"/>
        <v>0</v>
      </c>
      <c r="BM590" s="5">
        <f t="shared" si="473"/>
        <v>0</v>
      </c>
      <c r="BN590" s="5">
        <f t="shared" si="466"/>
        <v>0</v>
      </c>
      <c r="BO590" s="5">
        <f t="shared" si="466"/>
        <v>0</v>
      </c>
      <c r="BP590" s="5">
        <f t="shared" si="466"/>
        <v>0</v>
      </c>
      <c r="BQ590" s="5">
        <f t="shared" si="466"/>
        <v>0</v>
      </c>
      <c r="BR590" s="5">
        <f t="shared" si="466"/>
        <v>0</v>
      </c>
      <c r="BS590" s="5">
        <f t="shared" si="466"/>
        <v>0</v>
      </c>
      <c r="BT590" s="5">
        <f t="shared" si="466"/>
        <v>0</v>
      </c>
      <c r="BU590" s="5">
        <f t="shared" si="466"/>
        <v>0</v>
      </c>
      <c r="BV590" s="5">
        <f t="shared" si="466"/>
        <v>0</v>
      </c>
      <c r="BW590" s="5">
        <f t="shared" si="466"/>
        <v>0</v>
      </c>
      <c r="BX590" s="5">
        <f t="shared" si="466"/>
        <v>0</v>
      </c>
      <c r="BY590" s="5">
        <f t="shared" si="466"/>
        <v>0</v>
      </c>
      <c r="BZ590" s="5">
        <f t="shared" si="466"/>
        <v>0</v>
      </c>
      <c r="CA590" s="5">
        <f t="shared" si="466"/>
        <v>0</v>
      </c>
      <c r="CB590" s="5">
        <f t="shared" si="466"/>
        <v>1</v>
      </c>
      <c r="CC590" s="5">
        <f t="shared" si="467"/>
        <v>0</v>
      </c>
      <c r="CD590" s="5">
        <f t="shared" si="465"/>
        <v>0</v>
      </c>
      <c r="CE590" s="5">
        <f t="shared" si="465"/>
        <v>0</v>
      </c>
    </row>
    <row r="591" spans="1:83" x14ac:dyDescent="0.2">
      <c r="A591" s="11"/>
      <c r="B591" s="11"/>
      <c r="C591" s="1">
        <f>Growth!D596</f>
        <v>0</v>
      </c>
      <c r="D591" s="5" t="b">
        <f t="shared" si="475"/>
        <v>0</v>
      </c>
      <c r="E591" s="5">
        <v>2012</v>
      </c>
      <c r="F591" s="5">
        <f ca="1">LOOKUP($E591,frequence!$A$2:$A$35,frequence!L$2:L$35)</f>
        <v>41.545638202606931</v>
      </c>
      <c r="G591" s="5">
        <f ca="1">LOOKUP($E591,frequence!$A$2:$A$35,frequence!K$2:K$35)</f>
        <v>3.8191206393393822</v>
      </c>
      <c r="H591" s="5">
        <f ca="1">LOOKUP($E591,frequence!$A$2:$A$35,frequence!M$2:M$35)</f>
        <v>265.64322815143237</v>
      </c>
      <c r="I591" s="18">
        <v>2007</v>
      </c>
      <c r="J591" s="7">
        <f>LOOKUP(I591,CPI!A$69:A$103,CPI!O$69:O$103)</f>
        <v>1.0516730811895323</v>
      </c>
      <c r="K591" s="5">
        <v>2010</v>
      </c>
      <c r="L591" s="7">
        <f t="shared" ca="1" si="468"/>
        <v>1</v>
      </c>
      <c r="M591" s="7">
        <f t="shared" si="425"/>
        <v>0.13777777777777778</v>
      </c>
      <c r="N591" s="14">
        <f t="shared" si="449"/>
        <v>2.2222222222222223E-2</v>
      </c>
      <c r="O591" s="1">
        <f ca="1">P591*J591*(1+Growth!G$6)^(2010-K591)</f>
        <v>6.3100384871371933</v>
      </c>
      <c r="P591" s="2">
        <f t="shared" si="469"/>
        <v>6</v>
      </c>
      <c r="Q591" s="3">
        <v>6</v>
      </c>
      <c r="R591" s="21">
        <f t="shared" ca="1" si="476"/>
        <v>39.816585709152641</v>
      </c>
      <c r="X591" s="2">
        <f t="shared" si="419"/>
        <v>6</v>
      </c>
      <c r="AC591" s="1">
        <f t="shared" si="458"/>
        <v>6.2</v>
      </c>
      <c r="AD591" s="5">
        <v>1</v>
      </c>
      <c r="AE591" s="5">
        <v>0</v>
      </c>
      <c r="AF591" s="5">
        <v>1</v>
      </c>
      <c r="AG591" s="5">
        <v>0</v>
      </c>
      <c r="AH591" s="5">
        <v>1</v>
      </c>
      <c r="AI591" s="3">
        <f t="shared" si="474"/>
        <v>3.2</v>
      </c>
      <c r="AJ591" s="5">
        <f t="shared" si="424"/>
        <v>0</v>
      </c>
      <c r="AK591" s="5">
        <f t="shared" si="470"/>
        <v>0</v>
      </c>
      <c r="AL591" s="5">
        <f t="shared" si="471"/>
        <v>0</v>
      </c>
      <c r="AM591" s="5">
        <f t="shared" si="426"/>
        <v>0</v>
      </c>
      <c r="AN591" s="5">
        <f t="shared" si="472"/>
        <v>0</v>
      </c>
      <c r="AO591" s="5">
        <f t="shared" si="427"/>
        <v>0</v>
      </c>
      <c r="AP591" s="1">
        <v>5</v>
      </c>
      <c r="AQ591" s="1" t="s">
        <v>42</v>
      </c>
      <c r="AR591" s="5">
        <v>0</v>
      </c>
      <c r="AS591" s="5">
        <v>0</v>
      </c>
      <c r="AT591" s="5">
        <v>1</v>
      </c>
      <c r="AU591" s="5">
        <v>0</v>
      </c>
      <c r="AV591" s="5">
        <v>0</v>
      </c>
      <c r="AW591" s="5">
        <v>0</v>
      </c>
      <c r="AX591" s="5">
        <v>1</v>
      </c>
      <c r="AY591" s="1">
        <f t="shared" si="459"/>
        <v>0</v>
      </c>
      <c r="AZ591" s="1">
        <f t="shared" si="460"/>
        <v>0</v>
      </c>
      <c r="BA591" s="1">
        <f t="shared" si="461"/>
        <v>0</v>
      </c>
      <c r="BB591" s="5">
        <v>0</v>
      </c>
      <c r="BC591" s="5">
        <v>0</v>
      </c>
      <c r="BD591" s="5">
        <v>0</v>
      </c>
      <c r="BE591" s="5">
        <f t="shared" si="462"/>
        <v>1</v>
      </c>
      <c r="BF591" s="5">
        <v>0</v>
      </c>
      <c r="BG591" s="5">
        <f t="shared" si="473"/>
        <v>0</v>
      </c>
      <c r="BH591" s="5">
        <f t="shared" si="473"/>
        <v>0</v>
      </c>
      <c r="BI591" s="5">
        <f t="shared" si="473"/>
        <v>0</v>
      </c>
      <c r="BJ591" s="5">
        <f t="shared" si="473"/>
        <v>0</v>
      </c>
      <c r="BK591" s="5">
        <f t="shared" si="473"/>
        <v>0</v>
      </c>
      <c r="BL591" s="5">
        <f t="shared" si="473"/>
        <v>0</v>
      </c>
      <c r="BM591" s="5">
        <f t="shared" si="473"/>
        <v>0</v>
      </c>
      <c r="BN591" s="5">
        <f t="shared" si="466"/>
        <v>0</v>
      </c>
      <c r="BO591" s="5">
        <f t="shared" si="466"/>
        <v>0</v>
      </c>
      <c r="BP591" s="5">
        <f t="shared" si="466"/>
        <v>0</v>
      </c>
      <c r="BQ591" s="5">
        <f t="shared" si="466"/>
        <v>0</v>
      </c>
      <c r="BR591" s="5">
        <f t="shared" si="466"/>
        <v>0</v>
      </c>
      <c r="BS591" s="5">
        <f t="shared" si="466"/>
        <v>0</v>
      </c>
      <c r="BT591" s="5">
        <f t="shared" si="466"/>
        <v>0</v>
      </c>
      <c r="BU591" s="5">
        <f t="shared" si="466"/>
        <v>0</v>
      </c>
      <c r="BV591" s="5">
        <f t="shared" si="466"/>
        <v>0</v>
      </c>
      <c r="BW591" s="5">
        <f t="shared" si="466"/>
        <v>0</v>
      </c>
      <c r="BX591" s="5">
        <f t="shared" si="466"/>
        <v>0</v>
      </c>
      <c r="BY591" s="5">
        <f t="shared" si="466"/>
        <v>0</v>
      </c>
      <c r="BZ591" s="5">
        <f t="shared" si="466"/>
        <v>0</v>
      </c>
      <c r="CA591" s="5">
        <f t="shared" si="466"/>
        <v>0</v>
      </c>
      <c r="CB591" s="5">
        <f t="shared" si="466"/>
        <v>1</v>
      </c>
      <c r="CC591" s="5">
        <f t="shared" si="467"/>
        <v>0</v>
      </c>
      <c r="CD591" s="5">
        <f t="shared" si="467"/>
        <v>0</v>
      </c>
      <c r="CE591" s="5">
        <f t="shared" si="467"/>
        <v>0</v>
      </c>
    </row>
    <row r="592" spans="1:83" x14ac:dyDescent="0.2">
      <c r="A592" s="11"/>
      <c r="B592" s="11"/>
      <c r="C592" s="1">
        <f>Growth!D597</f>
        <v>0</v>
      </c>
      <c r="D592" s="5" t="b">
        <f t="shared" si="475"/>
        <v>0</v>
      </c>
      <c r="E592" s="5">
        <v>2012</v>
      </c>
      <c r="F592" s="5">
        <f ca="1">LOOKUP($E592,frequence!$A$2:$A$35,frequence!L$2:L$35)</f>
        <v>41.545638202606931</v>
      </c>
      <c r="G592" s="5">
        <f ca="1">LOOKUP($E592,frequence!$A$2:$A$35,frequence!K$2:K$35)</f>
        <v>3.8191206393393822</v>
      </c>
      <c r="H592" s="5">
        <f ca="1">LOOKUP($E592,frequence!$A$2:$A$35,frequence!M$2:M$35)</f>
        <v>265.64322815143237</v>
      </c>
      <c r="I592" s="18">
        <v>2007</v>
      </c>
      <c r="J592" s="7">
        <f>LOOKUP(I592,CPI!A$69:A$103,CPI!O$69:O$103)</f>
        <v>1.0516730811895323</v>
      </c>
      <c r="K592" s="5">
        <v>2010</v>
      </c>
      <c r="L592" s="7">
        <f t="shared" ca="1" si="468"/>
        <v>1</v>
      </c>
      <c r="M592" s="7">
        <f t="shared" si="425"/>
        <v>0.13777777777777778</v>
      </c>
      <c r="N592" s="14">
        <f t="shared" si="449"/>
        <v>2.2222222222222223E-2</v>
      </c>
      <c r="O592" s="1">
        <f ca="1">P592*J592*(1+Growth!G$6)^(2010-K592)</f>
        <v>13.671750055463919</v>
      </c>
      <c r="P592" s="2">
        <f t="shared" si="469"/>
        <v>13</v>
      </c>
      <c r="Q592" s="3">
        <v>13</v>
      </c>
      <c r="R592" s="21">
        <f t="shared" ca="1" si="476"/>
        <v>186.91674957907767</v>
      </c>
      <c r="X592" s="2">
        <f t="shared" si="419"/>
        <v>13</v>
      </c>
      <c r="AC592" s="1">
        <f t="shared" si="458"/>
        <v>6.2</v>
      </c>
      <c r="AD592" s="5">
        <v>1</v>
      </c>
      <c r="AE592" s="5">
        <v>0</v>
      </c>
      <c r="AF592" s="5">
        <v>1</v>
      </c>
      <c r="AG592" s="5">
        <v>0</v>
      </c>
      <c r="AH592" s="5">
        <v>1</v>
      </c>
      <c r="AI592" s="3">
        <f t="shared" si="474"/>
        <v>3.2</v>
      </c>
      <c r="AJ592" s="5">
        <f t="shared" si="424"/>
        <v>0</v>
      </c>
      <c r="AK592" s="5">
        <f t="shared" si="470"/>
        <v>0</v>
      </c>
      <c r="AL592" s="5">
        <f t="shared" si="471"/>
        <v>0</v>
      </c>
      <c r="AM592" s="5">
        <f t="shared" si="426"/>
        <v>0</v>
      </c>
      <c r="AN592" s="5">
        <f t="shared" si="472"/>
        <v>0</v>
      </c>
      <c r="AO592" s="5">
        <f t="shared" si="427"/>
        <v>0</v>
      </c>
      <c r="AP592" s="1">
        <v>5</v>
      </c>
      <c r="AQ592" s="1" t="s">
        <v>42</v>
      </c>
      <c r="AR592" s="5">
        <v>0</v>
      </c>
      <c r="AS592" s="5">
        <v>0</v>
      </c>
      <c r="AT592" s="5">
        <v>1</v>
      </c>
      <c r="AU592" s="5">
        <v>0</v>
      </c>
      <c r="AV592" s="5">
        <v>0</v>
      </c>
      <c r="AW592" s="5">
        <v>0</v>
      </c>
      <c r="AX592" s="5">
        <v>1</v>
      </c>
      <c r="AY592" s="1">
        <f t="shared" si="459"/>
        <v>0</v>
      </c>
      <c r="AZ592" s="1">
        <f t="shared" si="460"/>
        <v>0</v>
      </c>
      <c r="BA592" s="1">
        <f t="shared" si="461"/>
        <v>0</v>
      </c>
      <c r="BB592" s="5">
        <v>0</v>
      </c>
      <c r="BC592" s="5">
        <v>0</v>
      </c>
      <c r="BD592" s="5">
        <v>0</v>
      </c>
      <c r="BE592" s="5">
        <f t="shared" si="462"/>
        <v>1</v>
      </c>
      <c r="BF592" s="5">
        <v>0</v>
      </c>
      <c r="BG592" s="5">
        <f t="shared" si="473"/>
        <v>0</v>
      </c>
      <c r="BH592" s="5">
        <f t="shared" si="473"/>
        <v>0</v>
      </c>
      <c r="BI592" s="5">
        <f t="shared" si="473"/>
        <v>0</v>
      </c>
      <c r="BJ592" s="5">
        <f t="shared" si="473"/>
        <v>0</v>
      </c>
      <c r="BK592" s="5">
        <f t="shared" si="473"/>
        <v>0</v>
      </c>
      <c r="BL592" s="5">
        <f t="shared" si="473"/>
        <v>0</v>
      </c>
      <c r="BM592" s="5">
        <f t="shared" si="473"/>
        <v>0</v>
      </c>
      <c r="BN592" s="5">
        <f t="shared" si="466"/>
        <v>0</v>
      </c>
      <c r="BO592" s="5">
        <f t="shared" si="466"/>
        <v>0</v>
      </c>
      <c r="BP592" s="5">
        <f t="shared" si="466"/>
        <v>0</v>
      </c>
      <c r="BQ592" s="5">
        <f t="shared" si="466"/>
        <v>0</v>
      </c>
      <c r="BR592" s="5">
        <f t="shared" si="466"/>
        <v>0</v>
      </c>
      <c r="BS592" s="5">
        <f t="shared" si="466"/>
        <v>0</v>
      </c>
      <c r="BT592" s="5">
        <f t="shared" si="466"/>
        <v>0</v>
      </c>
      <c r="BU592" s="5">
        <f t="shared" si="466"/>
        <v>0</v>
      </c>
      <c r="BV592" s="5">
        <f t="shared" si="466"/>
        <v>0</v>
      </c>
      <c r="BW592" s="5">
        <f t="shared" si="466"/>
        <v>0</v>
      </c>
      <c r="BX592" s="5">
        <f t="shared" si="466"/>
        <v>0</v>
      </c>
      <c r="BY592" s="5">
        <f t="shared" si="466"/>
        <v>0</v>
      </c>
      <c r="BZ592" s="5">
        <f t="shared" si="466"/>
        <v>0</v>
      </c>
      <c r="CA592" s="5">
        <f t="shared" si="466"/>
        <v>0</v>
      </c>
      <c r="CB592" s="5">
        <f t="shared" si="466"/>
        <v>1</v>
      </c>
      <c r="CC592" s="5">
        <f t="shared" si="467"/>
        <v>0</v>
      </c>
      <c r="CD592" s="5">
        <f t="shared" si="467"/>
        <v>0</v>
      </c>
      <c r="CE592" s="5">
        <f t="shared" si="467"/>
        <v>0</v>
      </c>
    </row>
    <row r="593" spans="1:83" x14ac:dyDescent="0.2">
      <c r="A593" s="11"/>
      <c r="B593" s="11"/>
      <c r="C593" s="1">
        <f>Growth!D598</f>
        <v>0</v>
      </c>
      <c r="D593" s="5" t="b">
        <f t="shared" si="475"/>
        <v>0</v>
      </c>
      <c r="E593" s="5">
        <v>2012</v>
      </c>
      <c r="F593" s="5">
        <f ca="1">LOOKUP($E593,frequence!$A$2:$A$35,frequence!L$2:L$35)</f>
        <v>41.545638202606931</v>
      </c>
      <c r="G593" s="5">
        <f ca="1">LOOKUP($E593,frequence!$A$2:$A$35,frequence!K$2:K$35)</f>
        <v>3.8191206393393822</v>
      </c>
      <c r="H593" s="5">
        <f ca="1">LOOKUP($E593,frequence!$A$2:$A$35,frequence!M$2:M$35)</f>
        <v>265.64322815143237</v>
      </c>
      <c r="I593" s="18">
        <v>2007</v>
      </c>
      <c r="J593" s="7">
        <f>LOOKUP(I593,CPI!A$69:A$103,CPI!O$69:O$103)</f>
        <v>1.0516730811895323</v>
      </c>
      <c r="K593" s="5">
        <v>2010</v>
      </c>
      <c r="L593" s="7">
        <f t="shared" ca="1" si="468"/>
        <v>1</v>
      </c>
      <c r="M593" s="7">
        <f t="shared" si="425"/>
        <v>0.13777777777777778</v>
      </c>
      <c r="N593" s="14">
        <f t="shared" si="449"/>
        <v>2.2222222222222223E-2</v>
      </c>
      <c r="O593" s="1">
        <f ca="1">P593*J593*(1+Growth!G$6)^(2010-K593)</f>
        <v>1.0516730811895323</v>
      </c>
      <c r="P593" s="2">
        <f t="shared" si="469"/>
        <v>1</v>
      </c>
      <c r="Q593" s="3">
        <v>1</v>
      </c>
      <c r="R593" s="21">
        <f t="shared" ca="1" si="476"/>
        <v>1.1060162696986846</v>
      </c>
      <c r="X593" s="2">
        <f t="shared" si="419"/>
        <v>1</v>
      </c>
      <c r="AC593" s="1">
        <f t="shared" si="458"/>
        <v>6.2</v>
      </c>
      <c r="AD593" s="5">
        <v>1</v>
      </c>
      <c r="AE593" s="5">
        <v>0</v>
      </c>
      <c r="AF593" s="5">
        <v>1</v>
      </c>
      <c r="AG593" s="5">
        <v>0</v>
      </c>
      <c r="AH593" s="5">
        <v>1</v>
      </c>
      <c r="AI593" s="3">
        <f t="shared" si="474"/>
        <v>3.2</v>
      </c>
      <c r="AJ593" s="5">
        <f t="shared" si="424"/>
        <v>0</v>
      </c>
      <c r="AK593" s="5">
        <f t="shared" si="470"/>
        <v>0</v>
      </c>
      <c r="AL593" s="5">
        <f t="shared" si="471"/>
        <v>0</v>
      </c>
      <c r="AM593" s="5">
        <f t="shared" si="426"/>
        <v>0</v>
      </c>
      <c r="AN593" s="5">
        <f t="shared" si="472"/>
        <v>0</v>
      </c>
      <c r="AO593" s="5">
        <f t="shared" si="427"/>
        <v>0</v>
      </c>
      <c r="AP593" s="1">
        <v>5</v>
      </c>
      <c r="AQ593" s="1" t="s">
        <v>42</v>
      </c>
      <c r="AR593" s="5">
        <v>0</v>
      </c>
      <c r="AS593" s="5">
        <v>0</v>
      </c>
      <c r="AT593" s="5">
        <v>1</v>
      </c>
      <c r="AU593" s="5">
        <v>0</v>
      </c>
      <c r="AV593" s="5">
        <v>0</v>
      </c>
      <c r="AW593" s="5">
        <v>0</v>
      </c>
      <c r="AX593" s="5">
        <v>1</v>
      </c>
      <c r="AY593" s="1">
        <f t="shared" si="459"/>
        <v>0</v>
      </c>
      <c r="AZ593" s="1">
        <f t="shared" si="460"/>
        <v>0</v>
      </c>
      <c r="BA593" s="1">
        <f t="shared" si="461"/>
        <v>0</v>
      </c>
      <c r="BB593" s="5">
        <v>0</v>
      </c>
      <c r="BC593" s="5">
        <v>0</v>
      </c>
      <c r="BD593" s="5">
        <v>0</v>
      </c>
      <c r="BE593" s="5">
        <f t="shared" si="462"/>
        <v>1</v>
      </c>
      <c r="BF593" s="5">
        <v>0</v>
      </c>
      <c r="BG593" s="5">
        <f t="shared" si="473"/>
        <v>0</v>
      </c>
      <c r="BH593" s="5">
        <f t="shared" si="473"/>
        <v>0</v>
      </c>
      <c r="BI593" s="5">
        <f t="shared" si="473"/>
        <v>0</v>
      </c>
      <c r="BJ593" s="5">
        <f t="shared" si="473"/>
        <v>0</v>
      </c>
      <c r="BK593" s="5">
        <f t="shared" si="473"/>
        <v>0</v>
      </c>
      <c r="BL593" s="5">
        <f t="shared" si="473"/>
        <v>0</v>
      </c>
      <c r="BM593" s="5">
        <f t="shared" si="473"/>
        <v>0</v>
      </c>
      <c r="BN593" s="5">
        <f t="shared" si="466"/>
        <v>0</v>
      </c>
      <c r="BO593" s="5">
        <f t="shared" si="466"/>
        <v>0</v>
      </c>
      <c r="BP593" s="5">
        <f t="shared" si="466"/>
        <v>0</v>
      </c>
      <c r="BQ593" s="5">
        <f t="shared" si="466"/>
        <v>0</v>
      </c>
      <c r="BR593" s="5">
        <f t="shared" si="466"/>
        <v>0</v>
      </c>
      <c r="BS593" s="5">
        <f t="shared" si="466"/>
        <v>0</v>
      </c>
      <c r="BT593" s="5">
        <f t="shared" si="466"/>
        <v>0</v>
      </c>
      <c r="BU593" s="5">
        <f t="shared" si="466"/>
        <v>0</v>
      </c>
      <c r="BV593" s="5">
        <f t="shared" si="466"/>
        <v>0</v>
      </c>
      <c r="BW593" s="5">
        <f t="shared" si="466"/>
        <v>0</v>
      </c>
      <c r="BX593" s="5">
        <f t="shared" si="466"/>
        <v>0</v>
      </c>
      <c r="BY593" s="5">
        <f t="shared" si="466"/>
        <v>0</v>
      </c>
      <c r="BZ593" s="5">
        <f t="shared" si="466"/>
        <v>0</v>
      </c>
      <c r="CA593" s="5">
        <f t="shared" si="466"/>
        <v>0</v>
      </c>
      <c r="CB593" s="5">
        <f t="shared" si="466"/>
        <v>1</v>
      </c>
      <c r="CC593" s="5">
        <f t="shared" si="467"/>
        <v>0</v>
      </c>
      <c r="CD593" s="5">
        <f t="shared" si="467"/>
        <v>0</v>
      </c>
      <c r="CE593" s="5">
        <f t="shared" si="467"/>
        <v>0</v>
      </c>
    </row>
    <row r="594" spans="1:83" x14ac:dyDescent="0.2">
      <c r="A594" s="11"/>
      <c r="B594" s="11"/>
      <c r="C594" s="1">
        <f>Growth!D599</f>
        <v>0</v>
      </c>
      <c r="D594" s="5" t="b">
        <f t="shared" si="475"/>
        <v>0</v>
      </c>
      <c r="E594" s="5">
        <v>2012</v>
      </c>
      <c r="F594" s="5">
        <f ca="1">LOOKUP($E594,frequence!$A$2:$A$35,frequence!L$2:L$35)</f>
        <v>41.545638202606931</v>
      </c>
      <c r="G594" s="5">
        <f ca="1">LOOKUP($E594,frequence!$A$2:$A$35,frequence!K$2:K$35)</f>
        <v>3.8191206393393822</v>
      </c>
      <c r="H594" s="5">
        <f ca="1">LOOKUP($E594,frequence!$A$2:$A$35,frequence!M$2:M$35)</f>
        <v>265.64322815143237</v>
      </c>
      <c r="I594" s="18">
        <v>2007</v>
      </c>
      <c r="J594" s="7">
        <f>LOOKUP(I594,CPI!A$69:A$103,CPI!O$69:O$103)</f>
        <v>1.0516730811895323</v>
      </c>
      <c r="K594" s="5">
        <v>2010</v>
      </c>
      <c r="L594" s="7">
        <f t="shared" ca="1" si="468"/>
        <v>1</v>
      </c>
      <c r="M594" s="7">
        <f t="shared" si="425"/>
        <v>0.13777777777777778</v>
      </c>
      <c r="N594" s="14">
        <f t="shared" si="449"/>
        <v>2.2222222222222223E-2</v>
      </c>
      <c r="O594" s="1">
        <f ca="1">P594*J594*(1+Growth!G$6)^(2010-K594)</f>
        <v>6.3100384871371933</v>
      </c>
      <c r="P594" s="2">
        <f t="shared" si="469"/>
        <v>6</v>
      </c>
      <c r="Q594" s="3">
        <v>6</v>
      </c>
      <c r="R594" s="21">
        <f t="shared" ca="1" si="476"/>
        <v>39.816585709152641</v>
      </c>
      <c r="X594" s="2">
        <f t="shared" si="419"/>
        <v>6</v>
      </c>
      <c r="AC594" s="1">
        <f t="shared" si="458"/>
        <v>6.2</v>
      </c>
      <c r="AD594" s="5">
        <v>1</v>
      </c>
      <c r="AE594" s="5">
        <v>0</v>
      </c>
      <c r="AF594" s="5">
        <v>1</v>
      </c>
      <c r="AG594" s="5">
        <v>0</v>
      </c>
      <c r="AH594" s="5">
        <v>1</v>
      </c>
      <c r="AI594" s="3">
        <f t="shared" si="474"/>
        <v>3.2</v>
      </c>
      <c r="AJ594" s="5">
        <f t="shared" si="424"/>
        <v>0</v>
      </c>
      <c r="AK594" s="5">
        <f t="shared" si="470"/>
        <v>0</v>
      </c>
      <c r="AL594" s="5">
        <f t="shared" si="471"/>
        <v>0</v>
      </c>
      <c r="AM594" s="5">
        <f t="shared" si="426"/>
        <v>0</v>
      </c>
      <c r="AN594" s="5">
        <f t="shared" si="472"/>
        <v>0</v>
      </c>
      <c r="AO594" s="5">
        <f t="shared" si="427"/>
        <v>0</v>
      </c>
      <c r="AP594" s="1">
        <v>5</v>
      </c>
      <c r="AQ594" s="1" t="s">
        <v>42</v>
      </c>
      <c r="AR594" s="5">
        <v>0</v>
      </c>
      <c r="AS594" s="5">
        <v>0</v>
      </c>
      <c r="AT594" s="5">
        <v>1</v>
      </c>
      <c r="AU594" s="5">
        <v>0</v>
      </c>
      <c r="AV594" s="5">
        <v>0</v>
      </c>
      <c r="AW594" s="5">
        <v>0</v>
      </c>
      <c r="AX594" s="5">
        <v>1</v>
      </c>
      <c r="AY594" s="1">
        <f t="shared" si="459"/>
        <v>0</v>
      </c>
      <c r="AZ594" s="1">
        <f t="shared" si="460"/>
        <v>0</v>
      </c>
      <c r="BA594" s="1">
        <f t="shared" si="461"/>
        <v>0</v>
      </c>
      <c r="BB594" s="5">
        <v>0</v>
      </c>
      <c r="BC594" s="5">
        <v>0</v>
      </c>
      <c r="BD594" s="5">
        <v>0</v>
      </c>
      <c r="BE594" s="5">
        <f t="shared" si="462"/>
        <v>1</v>
      </c>
      <c r="BF594" s="5">
        <v>0</v>
      </c>
      <c r="BG594" s="5">
        <f t="shared" si="473"/>
        <v>0</v>
      </c>
      <c r="BH594" s="5">
        <f t="shared" si="473"/>
        <v>0</v>
      </c>
      <c r="BI594" s="5">
        <f t="shared" si="473"/>
        <v>0</v>
      </c>
      <c r="BJ594" s="5">
        <f t="shared" si="473"/>
        <v>0</v>
      </c>
      <c r="BK594" s="5">
        <f t="shared" si="473"/>
        <v>0</v>
      </c>
      <c r="BL594" s="5">
        <f t="shared" si="473"/>
        <v>0</v>
      </c>
      <c r="BM594" s="5">
        <f t="shared" si="473"/>
        <v>0</v>
      </c>
      <c r="BN594" s="5">
        <f t="shared" si="466"/>
        <v>0</v>
      </c>
      <c r="BO594" s="5">
        <f t="shared" si="466"/>
        <v>0</v>
      </c>
      <c r="BP594" s="5">
        <f t="shared" si="466"/>
        <v>0</v>
      </c>
      <c r="BQ594" s="5">
        <f t="shared" si="466"/>
        <v>0</v>
      </c>
      <c r="BR594" s="5">
        <f t="shared" si="466"/>
        <v>0</v>
      </c>
      <c r="BS594" s="5">
        <f t="shared" si="466"/>
        <v>0</v>
      </c>
      <c r="BT594" s="5">
        <f t="shared" si="466"/>
        <v>0</v>
      </c>
      <c r="BU594" s="5">
        <f t="shared" si="466"/>
        <v>0</v>
      </c>
      <c r="BV594" s="5">
        <f t="shared" si="466"/>
        <v>0</v>
      </c>
      <c r="BW594" s="5">
        <f t="shared" si="466"/>
        <v>0</v>
      </c>
      <c r="BX594" s="5">
        <f t="shared" si="466"/>
        <v>0</v>
      </c>
      <c r="BY594" s="5">
        <f t="shared" si="466"/>
        <v>0</v>
      </c>
      <c r="BZ594" s="5">
        <f t="shared" si="466"/>
        <v>0</v>
      </c>
      <c r="CA594" s="5">
        <f t="shared" si="466"/>
        <v>0</v>
      </c>
      <c r="CB594" s="5">
        <f t="shared" si="466"/>
        <v>1</v>
      </c>
      <c r="CC594" s="5">
        <f t="shared" si="467"/>
        <v>0</v>
      </c>
      <c r="CD594" s="5">
        <f t="shared" si="467"/>
        <v>0</v>
      </c>
      <c r="CE594" s="5">
        <f t="shared" si="467"/>
        <v>0</v>
      </c>
    </row>
    <row r="595" spans="1:83" x14ac:dyDescent="0.2">
      <c r="A595" s="11"/>
      <c r="B595" s="11"/>
      <c r="C595" s="1">
        <f>Growth!D600</f>
        <v>0</v>
      </c>
      <c r="D595" s="5" t="b">
        <f t="shared" si="475"/>
        <v>0</v>
      </c>
      <c r="E595" s="5">
        <v>2012</v>
      </c>
      <c r="F595" s="5">
        <f ca="1">LOOKUP($E595,frequence!$A$2:$A$35,frequence!L$2:L$35)</f>
        <v>41.545638202606931</v>
      </c>
      <c r="G595" s="5">
        <f ca="1">LOOKUP($E595,frequence!$A$2:$A$35,frequence!K$2:K$35)</f>
        <v>3.8191206393393822</v>
      </c>
      <c r="H595" s="5">
        <f ca="1">LOOKUP($E595,frequence!$A$2:$A$35,frequence!M$2:M$35)</f>
        <v>265.64322815143237</v>
      </c>
      <c r="I595" s="18">
        <v>2007</v>
      </c>
      <c r="J595" s="7">
        <f>LOOKUP(I595,CPI!A$69:A$103,CPI!O$69:O$103)</f>
        <v>1.0516730811895323</v>
      </c>
      <c r="K595" s="5">
        <v>2010</v>
      </c>
      <c r="L595" s="7">
        <f t="shared" ca="1" si="468"/>
        <v>1</v>
      </c>
      <c r="M595" s="7">
        <f t="shared" si="425"/>
        <v>0.13777777777777778</v>
      </c>
      <c r="N595" s="14">
        <f>1/45</f>
        <v>2.2222222222222223E-2</v>
      </c>
      <c r="O595" s="1">
        <f ca="1">P595*J595*(1+Growth!G$6)^(2010-K595)</f>
        <v>13.671750055463919</v>
      </c>
      <c r="P595" s="2">
        <f t="shared" si="469"/>
        <v>13</v>
      </c>
      <c r="Q595" s="3">
        <v>13</v>
      </c>
      <c r="R595" s="21">
        <f t="shared" ca="1" si="476"/>
        <v>186.91674957907767</v>
      </c>
      <c r="X595" s="2">
        <f t="shared" si="419"/>
        <v>13</v>
      </c>
      <c r="AC595" s="1">
        <f t="shared" si="458"/>
        <v>6.2</v>
      </c>
      <c r="AD595" s="5">
        <v>1</v>
      </c>
      <c r="AE595" s="5">
        <v>0</v>
      </c>
      <c r="AF595" s="5">
        <v>1</v>
      </c>
      <c r="AG595" s="5">
        <v>0</v>
      </c>
      <c r="AH595" s="5">
        <v>1</v>
      </c>
      <c r="AI595" s="3">
        <f t="shared" si="474"/>
        <v>3.2</v>
      </c>
      <c r="AJ595" s="5">
        <f t="shared" si="424"/>
        <v>0</v>
      </c>
      <c r="AK595" s="5">
        <f t="shared" si="470"/>
        <v>0</v>
      </c>
      <c r="AL595" s="5">
        <f t="shared" si="471"/>
        <v>0</v>
      </c>
      <c r="AM595" s="5">
        <f t="shared" si="426"/>
        <v>0</v>
      </c>
      <c r="AN595" s="5">
        <f t="shared" si="472"/>
        <v>0</v>
      </c>
      <c r="AO595" s="5">
        <f t="shared" si="427"/>
        <v>0</v>
      </c>
      <c r="AP595" s="1">
        <v>5</v>
      </c>
      <c r="AQ595" s="1" t="s">
        <v>42</v>
      </c>
      <c r="AR595" s="5">
        <v>0</v>
      </c>
      <c r="AS595" s="5">
        <v>0</v>
      </c>
      <c r="AT595" s="5">
        <v>1</v>
      </c>
      <c r="AU595" s="5">
        <v>0</v>
      </c>
      <c r="AV595" s="5">
        <v>0</v>
      </c>
      <c r="AW595" s="5">
        <v>0</v>
      </c>
      <c r="AX595" s="5">
        <v>1</v>
      </c>
      <c r="AY595" s="1">
        <f t="shared" si="459"/>
        <v>0</v>
      </c>
      <c r="AZ595" s="1">
        <f t="shared" si="460"/>
        <v>0</v>
      </c>
      <c r="BA595" s="1">
        <f t="shared" si="461"/>
        <v>0</v>
      </c>
      <c r="BB595" s="5">
        <v>0</v>
      </c>
      <c r="BC595" s="5">
        <v>0</v>
      </c>
      <c r="BD595" s="5">
        <v>0</v>
      </c>
      <c r="BE595" s="5">
        <f t="shared" si="462"/>
        <v>1</v>
      </c>
      <c r="BF595" s="5">
        <v>0</v>
      </c>
      <c r="BG595" s="5">
        <f t="shared" si="473"/>
        <v>0</v>
      </c>
      <c r="BH595" s="5">
        <f t="shared" si="473"/>
        <v>0</v>
      </c>
      <c r="BI595" s="5">
        <f t="shared" si="473"/>
        <v>0</v>
      </c>
      <c r="BJ595" s="5">
        <f t="shared" si="473"/>
        <v>0</v>
      </c>
      <c r="BK595" s="5">
        <f t="shared" si="473"/>
        <v>0</v>
      </c>
      <c r="BL595" s="5">
        <f t="shared" si="473"/>
        <v>0</v>
      </c>
      <c r="BM595" s="5">
        <f t="shared" si="473"/>
        <v>0</v>
      </c>
      <c r="BN595" s="5">
        <f t="shared" si="466"/>
        <v>0</v>
      </c>
      <c r="BO595" s="5">
        <f t="shared" si="466"/>
        <v>0</v>
      </c>
      <c r="BP595" s="5">
        <f t="shared" si="466"/>
        <v>0</v>
      </c>
      <c r="BQ595" s="5">
        <f t="shared" si="466"/>
        <v>0</v>
      </c>
      <c r="BR595" s="5">
        <f t="shared" si="466"/>
        <v>0</v>
      </c>
      <c r="BS595" s="5">
        <f t="shared" si="466"/>
        <v>0</v>
      </c>
      <c r="BT595" s="5">
        <f t="shared" si="466"/>
        <v>0</v>
      </c>
      <c r="BU595" s="5">
        <f t="shared" si="466"/>
        <v>0</v>
      </c>
      <c r="BV595" s="5">
        <f t="shared" si="466"/>
        <v>0</v>
      </c>
      <c r="BW595" s="5">
        <f t="shared" si="466"/>
        <v>0</v>
      </c>
      <c r="BX595" s="5">
        <f t="shared" si="466"/>
        <v>0</v>
      </c>
      <c r="BY595" s="5">
        <f t="shared" si="466"/>
        <v>0</v>
      </c>
      <c r="BZ595" s="5">
        <f t="shared" si="466"/>
        <v>0</v>
      </c>
      <c r="CA595" s="5">
        <f t="shared" si="466"/>
        <v>0</v>
      </c>
      <c r="CB595" s="5">
        <f t="shared" ref="CB595:CE614" si="477">IF($E595=CB$2,1,0)</f>
        <v>1</v>
      </c>
      <c r="CC595" s="5">
        <f t="shared" si="467"/>
        <v>0</v>
      </c>
      <c r="CD595" s="5">
        <f t="shared" si="467"/>
        <v>0</v>
      </c>
      <c r="CE595" s="5">
        <f t="shared" si="467"/>
        <v>0</v>
      </c>
    </row>
    <row r="596" spans="1:83" x14ac:dyDescent="0.2">
      <c r="A596" s="11" t="s">
        <v>176</v>
      </c>
      <c r="B596" s="11" t="s">
        <v>177</v>
      </c>
      <c r="C596" s="1">
        <f>Growth!D601</f>
        <v>0</v>
      </c>
      <c r="D596" s="5">
        <f t="shared" si="475"/>
        <v>2012</v>
      </c>
      <c r="E596" s="5">
        <v>2012</v>
      </c>
      <c r="F596" s="5">
        <f ca="1">LOOKUP($E596,frequence!$A$2:$A$35,frequence!L$2:L$35)</f>
        <v>41.545638202606931</v>
      </c>
      <c r="G596" s="5">
        <f ca="1">LOOKUP($E596,frequence!$A$2:$A$35,frequence!K$2:K$35)</f>
        <v>3.8191206393393822</v>
      </c>
      <c r="H596" s="5">
        <f ca="1">LOOKUP($E596,frequence!$A$2:$A$35,frequence!M$2:M$35)</f>
        <v>265.64322815143237</v>
      </c>
      <c r="I596" s="16">
        <v>2007</v>
      </c>
      <c r="J596" s="7">
        <f>LOOKUP(I596,CPI!A$69:A$103,CPI!O$69:O$103)</f>
        <v>1.0516730811895323</v>
      </c>
      <c r="K596" s="5">
        <v>2010</v>
      </c>
      <c r="L596" s="7">
        <f t="shared" ca="1" si="468"/>
        <v>1</v>
      </c>
      <c r="M596" s="7">
        <f t="shared" si="425"/>
        <v>0.72093023255813959</v>
      </c>
      <c r="N596" s="14">
        <f>10/86</f>
        <v>0.11627906976744186</v>
      </c>
      <c r="O596" s="1">
        <f ca="1">P596*J596*(1+Growth!G$6)^(2010-K596)</f>
        <v>279.74503959641561</v>
      </c>
      <c r="P596" s="11">
        <v>266</v>
      </c>
      <c r="Q596" s="2">
        <f t="shared" ref="Q596:Q755" si="478">P596</f>
        <v>266</v>
      </c>
      <c r="R596" s="21">
        <f t="shared" ca="1" si="476"/>
        <v>78257.287178800136</v>
      </c>
      <c r="X596" s="2"/>
      <c r="AA596" s="1">
        <v>758</v>
      </c>
      <c r="AB596" s="1">
        <v>1774</v>
      </c>
      <c r="AC596" s="1">
        <f t="shared" ref="AC596:AC603" si="479">SUM(AD596:AI596)</f>
        <v>6.2</v>
      </c>
      <c r="AD596" s="5">
        <v>1</v>
      </c>
      <c r="AE596" s="5">
        <v>0</v>
      </c>
      <c r="AF596" s="5">
        <v>1</v>
      </c>
      <c r="AG596" s="5">
        <v>0</v>
      </c>
      <c r="AH596" s="5">
        <v>1</v>
      </c>
      <c r="AI596" s="3">
        <f t="shared" si="474"/>
        <v>3.2</v>
      </c>
      <c r="AJ596" s="5">
        <f t="shared" si="424"/>
        <v>0</v>
      </c>
      <c r="AK596" s="5">
        <f t="shared" si="470"/>
        <v>0</v>
      </c>
      <c r="AL596" s="5">
        <f t="shared" si="471"/>
        <v>0</v>
      </c>
      <c r="AM596" s="5">
        <f t="shared" si="426"/>
        <v>0</v>
      </c>
      <c r="AN596" s="5">
        <f t="shared" si="472"/>
        <v>0</v>
      </c>
      <c r="AO596" s="5">
        <f t="shared" si="427"/>
        <v>0</v>
      </c>
      <c r="AP596" s="1">
        <v>1</v>
      </c>
      <c r="AQ596" s="1" t="s">
        <v>42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1</v>
      </c>
      <c r="AY596" s="1">
        <f t="shared" ref="AY596:AY603" si="480">AJ596*$AD596*(1-$AV596)*(1-$AR596)</f>
        <v>0</v>
      </c>
      <c r="AZ596" s="1">
        <f t="shared" ref="AZ596:AZ603" si="481">AM596*$AD596*(1-$AV596)*(1-$AR596)</f>
        <v>0</v>
      </c>
      <c r="BA596" s="1">
        <f t="shared" ref="BA596:BA603" si="482">AO596*$AD596*(1-$AV596)*(1-$AR596)</f>
        <v>0</v>
      </c>
      <c r="BB596" s="5">
        <v>0</v>
      </c>
      <c r="BC596" s="5">
        <v>0</v>
      </c>
      <c r="BD596" s="5">
        <v>0</v>
      </c>
      <c r="BE596" s="5">
        <f t="shared" ref="BE596:BE603" si="483">1-SUM(BB596:BD596)</f>
        <v>1</v>
      </c>
      <c r="BF596" s="5">
        <v>0</v>
      </c>
      <c r="BG596" s="5">
        <f t="shared" si="473"/>
        <v>0</v>
      </c>
      <c r="BH596" s="5">
        <f t="shared" si="473"/>
        <v>0</v>
      </c>
      <c r="BI596" s="5">
        <f t="shared" si="473"/>
        <v>0</v>
      </c>
      <c r="BJ596" s="5">
        <f t="shared" si="473"/>
        <v>0</v>
      </c>
      <c r="BK596" s="5">
        <f t="shared" si="473"/>
        <v>0</v>
      </c>
      <c r="BL596" s="5">
        <f t="shared" si="473"/>
        <v>0</v>
      </c>
      <c r="BM596" s="5">
        <f t="shared" si="473"/>
        <v>0</v>
      </c>
      <c r="BN596" s="5">
        <f t="shared" si="473"/>
        <v>0</v>
      </c>
      <c r="BO596" s="5">
        <f t="shared" ref="BO596:CA611" si="484">IF($E596=BO$2,1,0)</f>
        <v>0</v>
      </c>
      <c r="BP596" s="5">
        <f t="shared" si="484"/>
        <v>0</v>
      </c>
      <c r="BQ596" s="5">
        <f t="shared" si="484"/>
        <v>0</v>
      </c>
      <c r="BR596" s="5">
        <f t="shared" si="484"/>
        <v>0</v>
      </c>
      <c r="BS596" s="5">
        <f t="shared" si="484"/>
        <v>0</v>
      </c>
      <c r="BT596" s="5">
        <f t="shared" si="484"/>
        <v>0</v>
      </c>
      <c r="BU596" s="5">
        <f t="shared" si="484"/>
        <v>0</v>
      </c>
      <c r="BV596" s="5">
        <f t="shared" si="484"/>
        <v>0</v>
      </c>
      <c r="BW596" s="5">
        <f t="shared" si="484"/>
        <v>0</v>
      </c>
      <c r="BX596" s="5">
        <f t="shared" si="484"/>
        <v>0</v>
      </c>
      <c r="BY596" s="5">
        <f t="shared" si="484"/>
        <v>0</v>
      </c>
      <c r="BZ596" s="5">
        <f t="shared" si="484"/>
        <v>0</v>
      </c>
      <c r="CA596" s="5">
        <f t="shared" si="484"/>
        <v>0</v>
      </c>
      <c r="CB596" s="5">
        <f t="shared" si="477"/>
        <v>1</v>
      </c>
      <c r="CC596" s="5">
        <f t="shared" si="467"/>
        <v>0</v>
      </c>
      <c r="CD596" s="5">
        <f t="shared" si="467"/>
        <v>0</v>
      </c>
      <c r="CE596" s="5">
        <f t="shared" si="467"/>
        <v>0</v>
      </c>
    </row>
    <row r="597" spans="1:83" x14ac:dyDescent="0.2">
      <c r="A597" s="11"/>
      <c r="B597" s="11"/>
      <c r="C597" s="1">
        <f>Growth!D602</f>
        <v>0</v>
      </c>
      <c r="D597" s="5" t="b">
        <f t="shared" si="475"/>
        <v>0</v>
      </c>
      <c r="E597" s="5">
        <v>2012</v>
      </c>
      <c r="F597" s="5">
        <f ca="1">LOOKUP($E597,frequence!$A$2:$A$35,frequence!L$2:L$35)</f>
        <v>41.545638202606931</v>
      </c>
      <c r="G597" s="5">
        <f ca="1">LOOKUP($E597,frequence!$A$2:$A$35,frequence!K$2:K$35)</f>
        <v>3.8191206393393822</v>
      </c>
      <c r="H597" s="5">
        <f ca="1">LOOKUP($E597,frequence!$A$2:$A$35,frequence!M$2:M$35)</f>
        <v>265.64322815143237</v>
      </c>
      <c r="I597" s="16">
        <v>2007</v>
      </c>
      <c r="J597" s="7">
        <f>LOOKUP(I597,CPI!A$69:A$103,CPI!O$69:O$103)</f>
        <v>1.0516730811895323</v>
      </c>
      <c r="K597" s="5">
        <v>2010</v>
      </c>
      <c r="L597" s="7">
        <f t="shared" ca="1" si="468"/>
        <v>1</v>
      </c>
      <c r="M597" s="7">
        <f t="shared" si="425"/>
        <v>0.72093023255813959</v>
      </c>
      <c r="N597" s="14">
        <f>10/86</f>
        <v>0.11627906976744186</v>
      </c>
      <c r="O597" s="1">
        <f ca="1">P597*J597*(1+Growth!G$6)^(2010-K597)</f>
        <v>128.30411590512293</v>
      </c>
      <c r="P597" s="11">
        <v>122</v>
      </c>
      <c r="Q597" s="2">
        <f t="shared" si="478"/>
        <v>122</v>
      </c>
      <c r="R597" s="21">
        <f t="shared" ca="1" si="476"/>
        <v>16461.946158195216</v>
      </c>
      <c r="X597" s="2"/>
      <c r="AA597" s="1">
        <v>357</v>
      </c>
      <c r="AB597" s="1">
        <v>810</v>
      </c>
      <c r="AC597" s="1">
        <f t="shared" si="479"/>
        <v>6.2</v>
      </c>
      <c r="AD597" s="5">
        <v>1</v>
      </c>
      <c r="AE597" s="5">
        <v>0</v>
      </c>
      <c r="AF597" s="5">
        <v>1</v>
      </c>
      <c r="AG597" s="5">
        <v>0</v>
      </c>
      <c r="AH597" s="5">
        <v>1</v>
      </c>
      <c r="AI597" s="3">
        <f t="shared" si="474"/>
        <v>3.2</v>
      </c>
      <c r="AJ597" s="5">
        <f t="shared" si="424"/>
        <v>0</v>
      </c>
      <c r="AK597" s="5">
        <f t="shared" si="470"/>
        <v>0</v>
      </c>
      <c r="AL597" s="5">
        <f t="shared" si="471"/>
        <v>0</v>
      </c>
      <c r="AM597" s="5">
        <f t="shared" si="426"/>
        <v>0</v>
      </c>
      <c r="AN597" s="5">
        <f t="shared" si="472"/>
        <v>0</v>
      </c>
      <c r="AO597" s="5">
        <f t="shared" si="427"/>
        <v>0</v>
      </c>
      <c r="AP597" s="1">
        <v>1.5</v>
      </c>
      <c r="AQ597" s="1" t="s">
        <v>42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1</v>
      </c>
      <c r="AY597" s="1">
        <f t="shared" si="480"/>
        <v>0</v>
      </c>
      <c r="AZ597" s="1">
        <f t="shared" si="481"/>
        <v>0</v>
      </c>
      <c r="BA597" s="1">
        <f t="shared" si="482"/>
        <v>0</v>
      </c>
      <c r="BB597" s="5">
        <v>0</v>
      </c>
      <c r="BC597" s="5">
        <v>0</v>
      </c>
      <c r="BD597" s="5">
        <v>0</v>
      </c>
      <c r="BE597" s="5">
        <f t="shared" si="483"/>
        <v>1</v>
      </c>
      <c r="BF597" s="5">
        <v>0</v>
      </c>
      <c r="BG597" s="5">
        <f t="shared" ref="BG597:BN612" si="485">IF($E597=BG$2,1,0)</f>
        <v>0</v>
      </c>
      <c r="BH597" s="5">
        <f t="shared" si="485"/>
        <v>0</v>
      </c>
      <c r="BI597" s="5">
        <f t="shared" si="485"/>
        <v>0</v>
      </c>
      <c r="BJ597" s="5">
        <f t="shared" si="485"/>
        <v>0</v>
      </c>
      <c r="BK597" s="5">
        <f t="shared" si="485"/>
        <v>0</v>
      </c>
      <c r="BL597" s="5">
        <f t="shared" si="485"/>
        <v>0</v>
      </c>
      <c r="BM597" s="5">
        <f t="shared" si="485"/>
        <v>0</v>
      </c>
      <c r="BN597" s="5">
        <f t="shared" si="485"/>
        <v>0</v>
      </c>
      <c r="BO597" s="5">
        <f t="shared" si="484"/>
        <v>0</v>
      </c>
      <c r="BP597" s="5">
        <f t="shared" si="484"/>
        <v>0</v>
      </c>
      <c r="BQ597" s="5">
        <f t="shared" si="484"/>
        <v>0</v>
      </c>
      <c r="BR597" s="5">
        <f t="shared" si="484"/>
        <v>0</v>
      </c>
      <c r="BS597" s="5">
        <f t="shared" si="484"/>
        <v>0</v>
      </c>
      <c r="BT597" s="5">
        <f t="shared" si="484"/>
        <v>0</v>
      </c>
      <c r="BU597" s="5">
        <f t="shared" si="484"/>
        <v>0</v>
      </c>
      <c r="BV597" s="5">
        <f t="shared" si="484"/>
        <v>0</v>
      </c>
      <c r="BW597" s="5">
        <f t="shared" si="484"/>
        <v>0</v>
      </c>
      <c r="BX597" s="5">
        <f t="shared" si="484"/>
        <v>0</v>
      </c>
      <c r="BY597" s="5">
        <f t="shared" si="484"/>
        <v>0</v>
      </c>
      <c r="BZ597" s="5">
        <f t="shared" si="484"/>
        <v>0</v>
      </c>
      <c r="CA597" s="5">
        <f t="shared" si="484"/>
        <v>0</v>
      </c>
      <c r="CB597" s="5">
        <f t="shared" si="477"/>
        <v>1</v>
      </c>
      <c r="CC597" s="5">
        <f t="shared" si="467"/>
        <v>0</v>
      </c>
      <c r="CD597" s="5">
        <f t="shared" si="467"/>
        <v>0</v>
      </c>
      <c r="CE597" s="5">
        <f t="shared" si="467"/>
        <v>0</v>
      </c>
    </row>
    <row r="598" spans="1:83" x14ac:dyDescent="0.2">
      <c r="A598" s="11"/>
      <c r="B598" s="11"/>
      <c r="C598" s="1">
        <f>Growth!D603</f>
        <v>0</v>
      </c>
      <c r="D598" s="5" t="b">
        <f t="shared" si="475"/>
        <v>0</v>
      </c>
      <c r="E598" s="5">
        <v>2012</v>
      </c>
      <c r="F598" s="5">
        <f ca="1">LOOKUP($E598,frequence!$A$2:$A$35,frequence!L$2:L$35)</f>
        <v>41.545638202606931</v>
      </c>
      <c r="G598" s="5">
        <f ca="1">LOOKUP($E598,frequence!$A$2:$A$35,frequence!K$2:K$35)</f>
        <v>3.8191206393393822</v>
      </c>
      <c r="H598" s="5">
        <f ca="1">LOOKUP($E598,frequence!$A$2:$A$35,frequence!M$2:M$35)</f>
        <v>265.64322815143237</v>
      </c>
      <c r="I598" s="16">
        <v>2007</v>
      </c>
      <c r="J598" s="7">
        <f>LOOKUP(I598,CPI!A$69:A$103,CPI!O$69:O$103)</f>
        <v>1.0516730811895323</v>
      </c>
      <c r="K598" s="5">
        <v>2010</v>
      </c>
      <c r="L598" s="7">
        <f t="shared" ca="1" si="468"/>
        <v>1</v>
      </c>
      <c r="M598" s="7">
        <f t="shared" si="425"/>
        <v>0.72093023255813959</v>
      </c>
      <c r="N598" s="14">
        <f>10/86</f>
        <v>0.11627906976744186</v>
      </c>
      <c r="O598" s="1">
        <f ca="1">P598*J598*(1+Growth!G$6)^(2010-K598)</f>
        <v>65.203731033750998</v>
      </c>
      <c r="P598" s="11">
        <v>62</v>
      </c>
      <c r="Q598" s="2">
        <f t="shared" si="478"/>
        <v>62</v>
      </c>
      <c r="R598" s="21">
        <f t="shared" ca="1" si="476"/>
        <v>4251.526540721743</v>
      </c>
      <c r="X598" s="2"/>
      <c r="AA598" s="1">
        <v>187</v>
      </c>
      <c r="AB598" s="1">
        <v>386</v>
      </c>
      <c r="AC598" s="1">
        <f t="shared" si="479"/>
        <v>6.2</v>
      </c>
      <c r="AD598" s="5">
        <v>1</v>
      </c>
      <c r="AE598" s="5">
        <v>0</v>
      </c>
      <c r="AF598" s="5">
        <v>1</v>
      </c>
      <c r="AG598" s="5">
        <v>0</v>
      </c>
      <c r="AH598" s="5">
        <v>1</v>
      </c>
      <c r="AI598" s="3">
        <f t="shared" si="474"/>
        <v>3.2</v>
      </c>
      <c r="AJ598" s="5">
        <f t="shared" si="424"/>
        <v>0</v>
      </c>
      <c r="AK598" s="5">
        <f t="shared" si="470"/>
        <v>0</v>
      </c>
      <c r="AL598" s="5">
        <f t="shared" si="471"/>
        <v>0</v>
      </c>
      <c r="AM598" s="5">
        <f t="shared" si="426"/>
        <v>0</v>
      </c>
      <c r="AN598" s="5">
        <f t="shared" si="472"/>
        <v>0</v>
      </c>
      <c r="AO598" s="5">
        <f t="shared" si="427"/>
        <v>0</v>
      </c>
      <c r="AP598" s="1">
        <v>2</v>
      </c>
      <c r="AQ598" s="1" t="s">
        <v>42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1</v>
      </c>
      <c r="AY598" s="1">
        <f t="shared" si="480"/>
        <v>0</v>
      </c>
      <c r="AZ598" s="1">
        <f t="shared" si="481"/>
        <v>0</v>
      </c>
      <c r="BA598" s="1">
        <f t="shared" si="482"/>
        <v>0</v>
      </c>
      <c r="BB598" s="5">
        <v>0</v>
      </c>
      <c r="BC598" s="5">
        <v>0</v>
      </c>
      <c r="BD598" s="5">
        <v>0</v>
      </c>
      <c r="BE598" s="5">
        <f t="shared" si="483"/>
        <v>1</v>
      </c>
      <c r="BF598" s="5">
        <v>0</v>
      </c>
      <c r="BG598" s="5">
        <f t="shared" si="485"/>
        <v>0</v>
      </c>
      <c r="BH598" s="5">
        <f t="shared" si="485"/>
        <v>0</v>
      </c>
      <c r="BI598" s="5">
        <f t="shared" si="485"/>
        <v>0</v>
      </c>
      <c r="BJ598" s="5">
        <f t="shared" si="485"/>
        <v>0</v>
      </c>
      <c r="BK598" s="5">
        <f t="shared" si="485"/>
        <v>0</v>
      </c>
      <c r="BL598" s="5">
        <f t="shared" si="485"/>
        <v>0</v>
      </c>
      <c r="BM598" s="5">
        <f t="shared" si="485"/>
        <v>0</v>
      </c>
      <c r="BN598" s="5">
        <f t="shared" si="485"/>
        <v>0</v>
      </c>
      <c r="BO598" s="5">
        <f t="shared" si="484"/>
        <v>0</v>
      </c>
      <c r="BP598" s="5">
        <f t="shared" si="484"/>
        <v>0</v>
      </c>
      <c r="BQ598" s="5">
        <f t="shared" si="484"/>
        <v>0</v>
      </c>
      <c r="BR598" s="5">
        <f t="shared" si="484"/>
        <v>0</v>
      </c>
      <c r="BS598" s="5">
        <f t="shared" si="484"/>
        <v>0</v>
      </c>
      <c r="BT598" s="5">
        <f t="shared" si="484"/>
        <v>0</v>
      </c>
      <c r="BU598" s="5">
        <f t="shared" si="484"/>
        <v>0</v>
      </c>
      <c r="BV598" s="5">
        <f t="shared" si="484"/>
        <v>0</v>
      </c>
      <c r="BW598" s="5">
        <f t="shared" si="484"/>
        <v>0</v>
      </c>
      <c r="BX598" s="5">
        <f t="shared" si="484"/>
        <v>0</v>
      </c>
      <c r="BY598" s="5">
        <f t="shared" si="484"/>
        <v>0</v>
      </c>
      <c r="BZ598" s="5">
        <f t="shared" si="484"/>
        <v>0</v>
      </c>
      <c r="CA598" s="5">
        <f t="shared" si="484"/>
        <v>0</v>
      </c>
      <c r="CB598" s="5">
        <f t="shared" si="477"/>
        <v>1</v>
      </c>
      <c r="CC598" s="5">
        <f t="shared" si="467"/>
        <v>0</v>
      </c>
      <c r="CD598" s="5">
        <f t="shared" si="467"/>
        <v>0</v>
      </c>
      <c r="CE598" s="5">
        <f t="shared" si="467"/>
        <v>0</v>
      </c>
    </row>
    <row r="599" spans="1:83" x14ac:dyDescent="0.2">
      <c r="A599" s="11"/>
      <c r="B599" s="11"/>
      <c r="C599" s="1">
        <f>Growth!D604</f>
        <v>0</v>
      </c>
      <c r="D599" s="5" t="b">
        <f t="shared" si="475"/>
        <v>0</v>
      </c>
      <c r="E599" s="5">
        <v>2012</v>
      </c>
      <c r="F599" s="5">
        <f ca="1">LOOKUP($E599,frequence!$A$2:$A$35,frequence!L$2:L$35)</f>
        <v>41.545638202606931</v>
      </c>
      <c r="G599" s="5">
        <f ca="1">LOOKUP($E599,frequence!$A$2:$A$35,frequence!K$2:K$35)</f>
        <v>3.8191206393393822</v>
      </c>
      <c r="H599" s="5">
        <f ca="1">LOOKUP($E599,frequence!$A$2:$A$35,frequence!M$2:M$35)</f>
        <v>265.64322815143237</v>
      </c>
      <c r="I599" s="16">
        <v>2007</v>
      </c>
      <c r="J599" s="7">
        <f>LOOKUP(I599,CPI!A$69:A$103,CPI!O$69:O$103)</f>
        <v>1.0516730811895323</v>
      </c>
      <c r="K599" s="5">
        <v>2010</v>
      </c>
      <c r="L599" s="7">
        <f t="shared" ca="1" si="468"/>
        <v>1</v>
      </c>
      <c r="M599" s="7">
        <f t="shared" si="425"/>
        <v>7.2093023255813959E-2</v>
      </c>
      <c r="N599" s="14">
        <f>1/86</f>
        <v>1.1627906976744186E-2</v>
      </c>
      <c r="O599" s="1">
        <f ca="1">P599*J599*(1+Growth!G$6)^(2010-K599)</f>
        <v>36.808557841633629</v>
      </c>
      <c r="P599" s="11">
        <v>35</v>
      </c>
      <c r="Q599" s="2">
        <f t="shared" si="478"/>
        <v>35</v>
      </c>
      <c r="R599" s="21">
        <f t="shared" ca="1" si="476"/>
        <v>1354.8699303808885</v>
      </c>
      <c r="X599" s="2"/>
      <c r="AA599" s="1">
        <v>107</v>
      </c>
      <c r="AB599" s="1">
        <v>221</v>
      </c>
      <c r="AC599" s="1">
        <f t="shared" si="479"/>
        <v>6.2</v>
      </c>
      <c r="AD599" s="5">
        <v>1</v>
      </c>
      <c r="AE599" s="5">
        <v>0</v>
      </c>
      <c r="AF599" s="5">
        <v>1</v>
      </c>
      <c r="AG599" s="5">
        <v>0</v>
      </c>
      <c r="AH599" s="5">
        <v>1</v>
      </c>
      <c r="AI599" s="3">
        <f t="shared" si="474"/>
        <v>3.2</v>
      </c>
      <c r="AJ599" s="5">
        <f t="shared" ref="AJ599:AJ662" si="486">IF($AQ599=3,1,0)</f>
        <v>0</v>
      </c>
      <c r="AK599" s="5">
        <f t="shared" si="470"/>
        <v>0</v>
      </c>
      <c r="AL599" s="5">
        <f t="shared" si="471"/>
        <v>0</v>
      </c>
      <c r="AM599" s="5">
        <f t="shared" si="426"/>
        <v>0</v>
      </c>
      <c r="AN599" s="5">
        <f t="shared" si="472"/>
        <v>0</v>
      </c>
      <c r="AO599" s="5">
        <f t="shared" si="427"/>
        <v>0</v>
      </c>
      <c r="AP599" s="1">
        <v>2.5</v>
      </c>
      <c r="AQ599" s="1" t="s">
        <v>42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1</v>
      </c>
      <c r="AY599" s="1">
        <f t="shared" si="480"/>
        <v>0</v>
      </c>
      <c r="AZ599" s="1">
        <f t="shared" si="481"/>
        <v>0</v>
      </c>
      <c r="BA599" s="1">
        <f t="shared" si="482"/>
        <v>0</v>
      </c>
      <c r="BB599" s="5">
        <v>0</v>
      </c>
      <c r="BC599" s="5">
        <v>0</v>
      </c>
      <c r="BD599" s="5">
        <v>0</v>
      </c>
      <c r="BE599" s="5">
        <f t="shared" si="483"/>
        <v>1</v>
      </c>
      <c r="BF599" s="5">
        <v>0</v>
      </c>
      <c r="BG599" s="5">
        <f t="shared" si="485"/>
        <v>0</v>
      </c>
      <c r="BH599" s="5">
        <f t="shared" si="485"/>
        <v>0</v>
      </c>
      <c r="BI599" s="5">
        <f t="shared" si="485"/>
        <v>0</v>
      </c>
      <c r="BJ599" s="5">
        <f t="shared" si="485"/>
        <v>0</v>
      </c>
      <c r="BK599" s="5">
        <f t="shared" si="485"/>
        <v>0</v>
      </c>
      <c r="BL599" s="5">
        <f t="shared" si="485"/>
        <v>0</v>
      </c>
      <c r="BM599" s="5">
        <f t="shared" si="485"/>
        <v>0</v>
      </c>
      <c r="BN599" s="5">
        <f t="shared" si="485"/>
        <v>0</v>
      </c>
      <c r="BO599" s="5">
        <f t="shared" si="484"/>
        <v>0</v>
      </c>
      <c r="BP599" s="5">
        <f t="shared" si="484"/>
        <v>0</v>
      </c>
      <c r="BQ599" s="5">
        <f t="shared" si="484"/>
        <v>0</v>
      </c>
      <c r="BR599" s="5">
        <f t="shared" si="484"/>
        <v>0</v>
      </c>
      <c r="BS599" s="5">
        <f t="shared" si="484"/>
        <v>0</v>
      </c>
      <c r="BT599" s="5">
        <f t="shared" si="484"/>
        <v>0</v>
      </c>
      <c r="BU599" s="5">
        <f t="shared" si="484"/>
        <v>0</v>
      </c>
      <c r="BV599" s="5">
        <f t="shared" si="484"/>
        <v>0</v>
      </c>
      <c r="BW599" s="5">
        <f t="shared" si="484"/>
        <v>0</v>
      </c>
      <c r="BX599" s="5">
        <f t="shared" si="484"/>
        <v>0</v>
      </c>
      <c r="BY599" s="5">
        <f t="shared" si="484"/>
        <v>0</v>
      </c>
      <c r="BZ599" s="5">
        <f t="shared" si="484"/>
        <v>0</v>
      </c>
      <c r="CA599" s="5">
        <f t="shared" si="484"/>
        <v>0</v>
      </c>
      <c r="CB599" s="5">
        <f t="shared" si="477"/>
        <v>1</v>
      </c>
      <c r="CC599" s="5">
        <f t="shared" si="467"/>
        <v>0</v>
      </c>
      <c r="CD599" s="5">
        <f t="shared" si="467"/>
        <v>0</v>
      </c>
      <c r="CE599" s="5">
        <f t="shared" si="467"/>
        <v>0</v>
      </c>
    </row>
    <row r="600" spans="1:83" x14ac:dyDescent="0.2">
      <c r="A600" s="11"/>
      <c r="B600" s="11"/>
      <c r="C600" s="1">
        <f>Growth!D605</f>
        <v>0</v>
      </c>
      <c r="D600" s="5" t="b">
        <f t="shared" si="475"/>
        <v>0</v>
      </c>
      <c r="E600" s="5">
        <v>2012</v>
      </c>
      <c r="F600" s="5">
        <f ca="1">LOOKUP($E600,frequence!$A$2:$A$35,frequence!L$2:L$35)</f>
        <v>41.545638202606931</v>
      </c>
      <c r="G600" s="5">
        <f ca="1">LOOKUP($E600,frequence!$A$2:$A$35,frequence!K$2:K$35)</f>
        <v>3.8191206393393822</v>
      </c>
      <c r="H600" s="5">
        <f ca="1">LOOKUP($E600,frequence!$A$2:$A$35,frequence!M$2:M$35)</f>
        <v>265.64322815143237</v>
      </c>
      <c r="I600" s="16">
        <v>2007</v>
      </c>
      <c r="J600" s="7">
        <f>LOOKUP(I600,CPI!A$69:A$103,CPI!O$69:O$103)</f>
        <v>1.0516730811895323</v>
      </c>
      <c r="K600" s="5">
        <v>2010</v>
      </c>
      <c r="L600" s="7">
        <f t="shared" ca="1" si="468"/>
        <v>1</v>
      </c>
      <c r="M600" s="7">
        <f t="shared" ref="M600:M663" si="487">N600*AC600</f>
        <v>7.2093023255813959E-2</v>
      </c>
      <c r="N600" s="14">
        <f>1/86</f>
        <v>1.1627906976744186E-2</v>
      </c>
      <c r="O600" s="1">
        <f ca="1">P600*J600*(1+Growth!G$6)^(2010-K600)</f>
        <v>22.085134704980177</v>
      </c>
      <c r="P600" s="11">
        <v>21</v>
      </c>
      <c r="Q600" s="2">
        <f t="shared" si="478"/>
        <v>21</v>
      </c>
      <c r="R600" s="21">
        <f t="shared" ca="1" si="476"/>
        <v>487.75317493711987</v>
      </c>
      <c r="X600" s="2"/>
      <c r="AA600" s="1">
        <v>65</v>
      </c>
      <c r="AB600" s="1">
        <v>134</v>
      </c>
      <c r="AC600" s="1">
        <f t="shared" si="479"/>
        <v>6.2</v>
      </c>
      <c r="AD600" s="5">
        <v>1</v>
      </c>
      <c r="AE600" s="5">
        <v>0</v>
      </c>
      <c r="AF600" s="5">
        <v>1</v>
      </c>
      <c r="AG600" s="5">
        <v>0</v>
      </c>
      <c r="AH600" s="5">
        <v>1</v>
      </c>
      <c r="AI600" s="3">
        <f t="shared" si="474"/>
        <v>3.2</v>
      </c>
      <c r="AJ600" s="5">
        <f t="shared" si="486"/>
        <v>0</v>
      </c>
      <c r="AK600" s="5">
        <f t="shared" si="470"/>
        <v>0</v>
      </c>
      <c r="AL600" s="5">
        <f t="shared" si="471"/>
        <v>0</v>
      </c>
      <c r="AM600" s="5">
        <f t="shared" si="426"/>
        <v>0</v>
      </c>
      <c r="AN600" s="5">
        <f t="shared" si="472"/>
        <v>0</v>
      </c>
      <c r="AO600" s="5">
        <f t="shared" si="427"/>
        <v>0</v>
      </c>
      <c r="AP600" s="1">
        <v>3</v>
      </c>
      <c r="AQ600" s="1" t="s">
        <v>42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1</v>
      </c>
      <c r="AY600" s="1">
        <f t="shared" si="480"/>
        <v>0</v>
      </c>
      <c r="AZ600" s="1">
        <f t="shared" si="481"/>
        <v>0</v>
      </c>
      <c r="BA600" s="1">
        <f t="shared" si="482"/>
        <v>0</v>
      </c>
      <c r="BB600" s="5">
        <v>0</v>
      </c>
      <c r="BC600" s="5">
        <v>0</v>
      </c>
      <c r="BD600" s="5">
        <v>0</v>
      </c>
      <c r="BE600" s="5">
        <f t="shared" si="483"/>
        <v>1</v>
      </c>
      <c r="BF600" s="5">
        <v>0</v>
      </c>
      <c r="BG600" s="5">
        <f t="shared" si="485"/>
        <v>0</v>
      </c>
      <c r="BH600" s="5">
        <f t="shared" si="485"/>
        <v>0</v>
      </c>
      <c r="BI600" s="5">
        <f t="shared" si="485"/>
        <v>0</v>
      </c>
      <c r="BJ600" s="5">
        <f t="shared" si="485"/>
        <v>0</v>
      </c>
      <c r="BK600" s="5">
        <f t="shared" si="485"/>
        <v>0</v>
      </c>
      <c r="BL600" s="5">
        <f t="shared" si="485"/>
        <v>0</v>
      </c>
      <c r="BM600" s="5">
        <f t="shared" si="485"/>
        <v>0</v>
      </c>
      <c r="BN600" s="5">
        <f t="shared" si="485"/>
        <v>0</v>
      </c>
      <c r="BO600" s="5">
        <f t="shared" si="484"/>
        <v>0</v>
      </c>
      <c r="BP600" s="5">
        <f t="shared" si="484"/>
        <v>0</v>
      </c>
      <c r="BQ600" s="5">
        <f t="shared" si="484"/>
        <v>0</v>
      </c>
      <c r="BR600" s="5">
        <f t="shared" si="484"/>
        <v>0</v>
      </c>
      <c r="BS600" s="5">
        <f t="shared" si="484"/>
        <v>0</v>
      </c>
      <c r="BT600" s="5">
        <f t="shared" si="484"/>
        <v>0</v>
      </c>
      <c r="BU600" s="5">
        <f t="shared" si="484"/>
        <v>0</v>
      </c>
      <c r="BV600" s="5">
        <f t="shared" si="484"/>
        <v>0</v>
      </c>
      <c r="BW600" s="5">
        <f t="shared" si="484"/>
        <v>0</v>
      </c>
      <c r="BX600" s="5">
        <f t="shared" si="484"/>
        <v>0</v>
      </c>
      <c r="BY600" s="5">
        <f t="shared" si="484"/>
        <v>0</v>
      </c>
      <c r="BZ600" s="5">
        <f t="shared" si="484"/>
        <v>0</v>
      </c>
      <c r="CA600" s="5">
        <f t="shared" si="484"/>
        <v>0</v>
      </c>
      <c r="CB600" s="5">
        <f t="shared" si="477"/>
        <v>1</v>
      </c>
      <c r="CC600" s="5">
        <f t="shared" si="477"/>
        <v>0</v>
      </c>
      <c r="CD600" s="5">
        <f t="shared" si="477"/>
        <v>0</v>
      </c>
      <c r="CE600" s="5">
        <f t="shared" si="477"/>
        <v>0</v>
      </c>
    </row>
    <row r="601" spans="1:83" x14ac:dyDescent="0.2">
      <c r="A601" s="11"/>
      <c r="B601" s="11"/>
      <c r="C601" s="1">
        <f>Growth!D606</f>
        <v>0</v>
      </c>
      <c r="D601" s="5" t="b">
        <f t="shared" si="475"/>
        <v>0</v>
      </c>
      <c r="E601" s="5">
        <v>2012</v>
      </c>
      <c r="F601" s="5">
        <f ca="1">LOOKUP($E601,frequence!$A$2:$A$35,frequence!L$2:L$35)</f>
        <v>41.545638202606931</v>
      </c>
      <c r="G601" s="5">
        <f ca="1">LOOKUP($E601,frequence!$A$2:$A$35,frequence!K$2:K$35)</f>
        <v>3.8191206393393822</v>
      </c>
      <c r="H601" s="5">
        <f ca="1">LOOKUP($E601,frequence!$A$2:$A$35,frequence!M$2:M$35)</f>
        <v>265.64322815143237</v>
      </c>
      <c r="I601" s="16">
        <v>2007</v>
      </c>
      <c r="J601" s="7">
        <f>LOOKUP(I601,CPI!A$69:A$103,CPI!O$69:O$103)</f>
        <v>1.0516730811895323</v>
      </c>
      <c r="K601" s="5">
        <v>2010</v>
      </c>
      <c r="L601" s="7">
        <f t="shared" ca="1" si="468"/>
        <v>1</v>
      </c>
      <c r="M601" s="7">
        <f t="shared" si="487"/>
        <v>7.2093023255813959E-2</v>
      </c>
      <c r="N601" s="14">
        <f>1/86</f>
        <v>1.1627906976744186E-2</v>
      </c>
      <c r="O601" s="1">
        <f ca="1">P601*J601*(1+Growth!G$6)^(2010-K601)</f>
        <v>5.2583654059476617</v>
      </c>
      <c r="P601" s="11">
        <v>5</v>
      </c>
      <c r="Q601" s="2">
        <f t="shared" si="478"/>
        <v>5</v>
      </c>
      <c r="R601" s="21">
        <f t="shared" ca="1" si="476"/>
        <v>27.650406742467116</v>
      </c>
      <c r="X601" s="2"/>
      <c r="AA601" s="1">
        <v>16</v>
      </c>
      <c r="AB601" s="1">
        <v>29</v>
      </c>
      <c r="AC601" s="1">
        <f t="shared" si="479"/>
        <v>6.2</v>
      </c>
      <c r="AD601" s="5">
        <v>1</v>
      </c>
      <c r="AE601" s="5">
        <v>0</v>
      </c>
      <c r="AF601" s="5">
        <v>1</v>
      </c>
      <c r="AG601" s="5">
        <v>0</v>
      </c>
      <c r="AH601" s="5">
        <v>1</v>
      </c>
      <c r="AI601" s="3">
        <f t="shared" si="474"/>
        <v>3.2</v>
      </c>
      <c r="AJ601" s="5">
        <f t="shared" si="486"/>
        <v>0</v>
      </c>
      <c r="AK601" s="5">
        <f t="shared" si="470"/>
        <v>0</v>
      </c>
      <c r="AL601" s="5">
        <f t="shared" si="471"/>
        <v>0</v>
      </c>
      <c r="AM601" s="5">
        <f t="shared" si="426"/>
        <v>0</v>
      </c>
      <c r="AN601" s="5">
        <f t="shared" si="472"/>
        <v>0</v>
      </c>
      <c r="AO601" s="5">
        <f t="shared" si="427"/>
        <v>0</v>
      </c>
      <c r="AP601" s="1">
        <v>5</v>
      </c>
      <c r="AQ601" s="1" t="s">
        <v>42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1</v>
      </c>
      <c r="AY601" s="1">
        <f t="shared" si="480"/>
        <v>0</v>
      </c>
      <c r="AZ601" s="1">
        <f t="shared" si="481"/>
        <v>0</v>
      </c>
      <c r="BA601" s="1">
        <f t="shared" si="482"/>
        <v>0</v>
      </c>
      <c r="BB601" s="5">
        <v>0</v>
      </c>
      <c r="BC601" s="5">
        <v>0</v>
      </c>
      <c r="BD601" s="5">
        <v>0</v>
      </c>
      <c r="BE601" s="5">
        <f t="shared" si="483"/>
        <v>1</v>
      </c>
      <c r="BF601" s="5">
        <v>0</v>
      </c>
      <c r="BG601" s="5">
        <f t="shared" si="485"/>
        <v>0</v>
      </c>
      <c r="BH601" s="5">
        <f t="shared" si="485"/>
        <v>0</v>
      </c>
      <c r="BI601" s="5">
        <f t="shared" si="485"/>
        <v>0</v>
      </c>
      <c r="BJ601" s="5">
        <f t="shared" si="485"/>
        <v>0</v>
      </c>
      <c r="BK601" s="5">
        <f t="shared" si="485"/>
        <v>0</v>
      </c>
      <c r="BL601" s="5">
        <f t="shared" si="485"/>
        <v>0</v>
      </c>
      <c r="BM601" s="5">
        <f t="shared" si="485"/>
        <v>0</v>
      </c>
      <c r="BN601" s="5">
        <f t="shared" si="485"/>
        <v>0</v>
      </c>
      <c r="BO601" s="5">
        <f t="shared" si="484"/>
        <v>0</v>
      </c>
      <c r="BP601" s="5">
        <f t="shared" si="484"/>
        <v>0</v>
      </c>
      <c r="BQ601" s="5">
        <f t="shared" si="484"/>
        <v>0</v>
      </c>
      <c r="BR601" s="5">
        <f t="shared" si="484"/>
        <v>0</v>
      </c>
      <c r="BS601" s="5">
        <f t="shared" si="484"/>
        <v>0</v>
      </c>
      <c r="BT601" s="5">
        <f t="shared" si="484"/>
        <v>0</v>
      </c>
      <c r="BU601" s="5">
        <f t="shared" si="484"/>
        <v>0</v>
      </c>
      <c r="BV601" s="5">
        <f t="shared" si="484"/>
        <v>0</v>
      </c>
      <c r="BW601" s="5">
        <f t="shared" si="484"/>
        <v>0</v>
      </c>
      <c r="BX601" s="5">
        <f t="shared" si="484"/>
        <v>0</v>
      </c>
      <c r="BY601" s="5">
        <f t="shared" si="484"/>
        <v>0</v>
      </c>
      <c r="BZ601" s="5">
        <f t="shared" si="484"/>
        <v>0</v>
      </c>
      <c r="CA601" s="5">
        <f t="shared" si="484"/>
        <v>0</v>
      </c>
      <c r="CB601" s="5">
        <f t="shared" si="477"/>
        <v>1</v>
      </c>
      <c r="CC601" s="5">
        <f t="shared" si="477"/>
        <v>0</v>
      </c>
      <c r="CD601" s="5">
        <f t="shared" si="477"/>
        <v>0</v>
      </c>
      <c r="CE601" s="5">
        <f t="shared" si="477"/>
        <v>0</v>
      </c>
    </row>
    <row r="602" spans="1:83" x14ac:dyDescent="0.2">
      <c r="A602" s="11"/>
      <c r="B602" s="11"/>
      <c r="C602" s="1">
        <f>Growth!D607</f>
        <v>0</v>
      </c>
      <c r="D602" s="5" t="b">
        <f t="shared" si="475"/>
        <v>0</v>
      </c>
      <c r="E602" s="5">
        <v>2012</v>
      </c>
      <c r="F602" s="5">
        <f ca="1">LOOKUP($E602,frequence!$A$2:$A$35,frequence!L$2:L$35)</f>
        <v>41.545638202606931</v>
      </c>
      <c r="G602" s="5">
        <f ca="1">LOOKUP($E602,frequence!$A$2:$A$35,frequence!K$2:K$35)</f>
        <v>3.8191206393393822</v>
      </c>
      <c r="H602" s="5">
        <f ca="1">LOOKUP($E602,frequence!$A$2:$A$35,frequence!M$2:M$35)</f>
        <v>265.64322815143237</v>
      </c>
      <c r="I602" s="16">
        <v>2007</v>
      </c>
      <c r="J602" s="7">
        <f>LOOKUP(I602,CPI!A$69:A$103,CPI!O$69:O$103)</f>
        <v>1.0516730811895323</v>
      </c>
      <c r="K602" s="5">
        <v>2010</v>
      </c>
      <c r="L602" s="7">
        <f t="shared" ca="1" si="468"/>
        <v>1</v>
      </c>
      <c r="M602" s="7">
        <f t="shared" si="487"/>
        <v>0.72093023255813959</v>
      </c>
      <c r="N602" s="14">
        <f>10/86</f>
        <v>0.11627906976744186</v>
      </c>
      <c r="O602" s="1">
        <f ca="1">P602*J602*(1+Growth!G$6)^(2010-K602)</f>
        <v>57.842019465424279</v>
      </c>
      <c r="P602" s="11">
        <v>55</v>
      </c>
      <c r="Q602" s="2">
        <f t="shared" si="478"/>
        <v>55</v>
      </c>
      <c r="R602" s="21">
        <f t="shared" ca="1" si="476"/>
        <v>3345.699215838521</v>
      </c>
      <c r="X602" s="2"/>
      <c r="AA602" s="1">
        <v>156</v>
      </c>
      <c r="AB602" s="1">
        <v>304</v>
      </c>
      <c r="AC602" s="1">
        <f t="shared" si="479"/>
        <v>6.2</v>
      </c>
      <c r="AD602" s="5">
        <v>1</v>
      </c>
      <c r="AE602" s="5">
        <v>0</v>
      </c>
      <c r="AF602" s="5">
        <v>1</v>
      </c>
      <c r="AG602" s="5">
        <v>0</v>
      </c>
      <c r="AH602" s="5">
        <v>1</v>
      </c>
      <c r="AI602" s="3">
        <f t="shared" si="474"/>
        <v>3.2</v>
      </c>
      <c r="AJ602" s="5">
        <f t="shared" si="486"/>
        <v>0</v>
      </c>
      <c r="AK602" s="5">
        <f t="shared" si="470"/>
        <v>0</v>
      </c>
      <c r="AL602" s="5">
        <f t="shared" si="471"/>
        <v>0</v>
      </c>
      <c r="AM602" s="5">
        <f t="shared" ref="AM602:AM665" si="488">IF($AQ602=1,1,0)</f>
        <v>0</v>
      </c>
      <c r="AN602" s="5">
        <f t="shared" si="472"/>
        <v>0</v>
      </c>
      <c r="AO602" s="5">
        <f t="shared" ref="AO602:AO665" si="489">IF($AQ602=0,1,0)</f>
        <v>0</v>
      </c>
      <c r="AP602" s="11" t="s">
        <v>42</v>
      </c>
      <c r="AQ602" s="1" t="s">
        <v>42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1</v>
      </c>
      <c r="AY602" s="1">
        <f t="shared" si="480"/>
        <v>0</v>
      </c>
      <c r="AZ602" s="1">
        <f t="shared" si="481"/>
        <v>0</v>
      </c>
      <c r="BA602" s="1">
        <f t="shared" si="482"/>
        <v>0</v>
      </c>
      <c r="BB602" s="5">
        <v>0</v>
      </c>
      <c r="BC602" s="5">
        <v>0</v>
      </c>
      <c r="BD602" s="5">
        <v>0</v>
      </c>
      <c r="BE602" s="5">
        <f t="shared" si="483"/>
        <v>1</v>
      </c>
      <c r="BF602" s="5">
        <v>0</v>
      </c>
      <c r="BG602" s="5">
        <f t="shared" si="485"/>
        <v>0</v>
      </c>
      <c r="BH602" s="5">
        <f t="shared" si="485"/>
        <v>0</v>
      </c>
      <c r="BI602" s="5">
        <f t="shared" si="485"/>
        <v>0</v>
      </c>
      <c r="BJ602" s="5">
        <f t="shared" si="485"/>
        <v>0</v>
      </c>
      <c r="BK602" s="5">
        <f t="shared" si="485"/>
        <v>0</v>
      </c>
      <c r="BL602" s="5">
        <f t="shared" si="485"/>
        <v>0</v>
      </c>
      <c r="BM602" s="5">
        <f t="shared" si="485"/>
        <v>0</v>
      </c>
      <c r="BN602" s="5">
        <f t="shared" si="485"/>
        <v>0</v>
      </c>
      <c r="BO602" s="5">
        <f t="shared" si="484"/>
        <v>0</v>
      </c>
      <c r="BP602" s="5">
        <f t="shared" si="484"/>
        <v>0</v>
      </c>
      <c r="BQ602" s="5">
        <f t="shared" si="484"/>
        <v>0</v>
      </c>
      <c r="BR602" s="5">
        <f t="shared" si="484"/>
        <v>0</v>
      </c>
      <c r="BS602" s="5">
        <f t="shared" si="484"/>
        <v>0</v>
      </c>
      <c r="BT602" s="5">
        <f t="shared" si="484"/>
        <v>0</v>
      </c>
      <c r="BU602" s="5">
        <f t="shared" si="484"/>
        <v>0</v>
      </c>
      <c r="BV602" s="5">
        <f t="shared" si="484"/>
        <v>0</v>
      </c>
      <c r="BW602" s="5">
        <f t="shared" si="484"/>
        <v>0</v>
      </c>
      <c r="BX602" s="5">
        <f t="shared" si="484"/>
        <v>0</v>
      </c>
      <c r="BY602" s="5">
        <f t="shared" si="484"/>
        <v>0</v>
      </c>
      <c r="BZ602" s="5">
        <f t="shared" si="484"/>
        <v>0</v>
      </c>
      <c r="CA602" s="5">
        <f t="shared" si="484"/>
        <v>0</v>
      </c>
      <c r="CB602" s="5">
        <f t="shared" si="477"/>
        <v>1</v>
      </c>
      <c r="CC602" s="5">
        <f t="shared" si="477"/>
        <v>0</v>
      </c>
      <c r="CD602" s="5">
        <f t="shared" si="477"/>
        <v>0</v>
      </c>
      <c r="CE602" s="5">
        <f t="shared" si="477"/>
        <v>0</v>
      </c>
    </row>
    <row r="603" spans="1:83" x14ac:dyDescent="0.2">
      <c r="A603" s="11"/>
      <c r="B603" s="11"/>
      <c r="C603" s="1">
        <f>Growth!D608</f>
        <v>0</v>
      </c>
      <c r="D603" s="5" t="b">
        <f t="shared" si="475"/>
        <v>0</v>
      </c>
      <c r="E603" s="5">
        <v>2012</v>
      </c>
      <c r="F603" s="5">
        <f ca="1">LOOKUP($E603,frequence!$A$2:$A$35,frequence!L$2:L$35)</f>
        <v>41.545638202606931</v>
      </c>
      <c r="G603" s="5">
        <f ca="1">LOOKUP($E603,frequence!$A$2:$A$35,frequence!K$2:K$35)</f>
        <v>3.8191206393393822</v>
      </c>
      <c r="H603" s="5">
        <f ca="1">LOOKUP($E603,frequence!$A$2:$A$35,frequence!M$2:M$35)</f>
        <v>265.64322815143237</v>
      </c>
      <c r="I603" s="16">
        <v>2007</v>
      </c>
      <c r="J603" s="7">
        <f>LOOKUP(I603,CPI!A$69:A$103,CPI!O$69:O$103)</f>
        <v>1.0516730811895323</v>
      </c>
      <c r="K603" s="5">
        <v>2010</v>
      </c>
      <c r="L603" s="7">
        <f t="shared" ca="1" si="468"/>
        <v>1</v>
      </c>
      <c r="M603" s="7">
        <f t="shared" si="487"/>
        <v>0.72093023255813959</v>
      </c>
      <c r="N603" s="14">
        <f>10/86</f>
        <v>0.11627906976744186</v>
      </c>
      <c r="O603" s="1">
        <f ca="1">P603*J603*(1+Growth!G$6)^(2010-K603)</f>
        <v>184.04278920816816</v>
      </c>
      <c r="P603" s="11">
        <v>175</v>
      </c>
      <c r="Q603" s="2">
        <f t="shared" si="478"/>
        <v>175</v>
      </c>
      <c r="R603" s="21">
        <f t="shared" ca="1" si="476"/>
        <v>33871.748259522217</v>
      </c>
      <c r="X603" s="2"/>
      <c r="AA603" s="1">
        <v>380</v>
      </c>
      <c r="AB603" s="1">
        <v>702</v>
      </c>
      <c r="AC603" s="1">
        <f t="shared" si="479"/>
        <v>6.2</v>
      </c>
      <c r="AD603" s="5">
        <v>1</v>
      </c>
      <c r="AE603" s="5">
        <v>0</v>
      </c>
      <c r="AF603" s="5">
        <v>1</v>
      </c>
      <c r="AG603" s="5">
        <v>0</v>
      </c>
      <c r="AH603" s="5">
        <v>1</v>
      </c>
      <c r="AI603" s="3">
        <f t="shared" si="474"/>
        <v>3.2</v>
      </c>
      <c r="AJ603" s="5">
        <f t="shared" si="486"/>
        <v>0</v>
      </c>
      <c r="AK603" s="5">
        <f t="shared" si="470"/>
        <v>0</v>
      </c>
      <c r="AL603" s="5">
        <f t="shared" si="471"/>
        <v>0</v>
      </c>
      <c r="AM603" s="5">
        <f t="shared" si="488"/>
        <v>0</v>
      </c>
      <c r="AN603" s="5">
        <f t="shared" si="472"/>
        <v>0</v>
      </c>
      <c r="AO603" s="5">
        <f t="shared" si="489"/>
        <v>0</v>
      </c>
      <c r="AP603" s="11" t="s">
        <v>42</v>
      </c>
      <c r="AQ603" s="1" t="s">
        <v>42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1</v>
      </c>
      <c r="AY603" s="1">
        <f t="shared" si="480"/>
        <v>0</v>
      </c>
      <c r="AZ603" s="1">
        <f t="shared" si="481"/>
        <v>0</v>
      </c>
      <c r="BA603" s="1">
        <f t="shared" si="482"/>
        <v>0</v>
      </c>
      <c r="BB603" s="5">
        <v>0</v>
      </c>
      <c r="BC603" s="5">
        <v>0</v>
      </c>
      <c r="BD603" s="5">
        <v>0</v>
      </c>
      <c r="BE603" s="5">
        <f t="shared" si="483"/>
        <v>1</v>
      </c>
      <c r="BF603" s="5">
        <v>0</v>
      </c>
      <c r="BG603" s="5">
        <f t="shared" si="485"/>
        <v>0</v>
      </c>
      <c r="BH603" s="5">
        <f t="shared" si="485"/>
        <v>0</v>
      </c>
      <c r="BI603" s="5">
        <f t="shared" si="485"/>
        <v>0</v>
      </c>
      <c r="BJ603" s="5">
        <f t="shared" si="485"/>
        <v>0</v>
      </c>
      <c r="BK603" s="5">
        <f t="shared" si="485"/>
        <v>0</v>
      </c>
      <c r="BL603" s="5">
        <f t="shared" si="485"/>
        <v>0</v>
      </c>
      <c r="BM603" s="5">
        <f t="shared" si="485"/>
        <v>0</v>
      </c>
      <c r="BN603" s="5">
        <f t="shared" si="485"/>
        <v>0</v>
      </c>
      <c r="BO603" s="5">
        <f t="shared" si="484"/>
        <v>0</v>
      </c>
      <c r="BP603" s="5">
        <f t="shared" si="484"/>
        <v>0</v>
      </c>
      <c r="BQ603" s="5">
        <f t="shared" si="484"/>
        <v>0</v>
      </c>
      <c r="BR603" s="5">
        <f t="shared" si="484"/>
        <v>0</v>
      </c>
      <c r="BS603" s="5">
        <f t="shared" si="484"/>
        <v>0</v>
      </c>
      <c r="BT603" s="5">
        <f t="shared" si="484"/>
        <v>0</v>
      </c>
      <c r="BU603" s="5">
        <f t="shared" si="484"/>
        <v>0</v>
      </c>
      <c r="BV603" s="5">
        <f t="shared" si="484"/>
        <v>0</v>
      </c>
      <c r="BW603" s="5">
        <f t="shared" si="484"/>
        <v>0</v>
      </c>
      <c r="BX603" s="5">
        <f t="shared" si="484"/>
        <v>0</v>
      </c>
      <c r="BY603" s="5">
        <f t="shared" si="484"/>
        <v>0</v>
      </c>
      <c r="BZ603" s="5">
        <f t="shared" si="484"/>
        <v>0</v>
      </c>
      <c r="CA603" s="5">
        <f t="shared" si="484"/>
        <v>0</v>
      </c>
      <c r="CB603" s="5">
        <f t="shared" si="477"/>
        <v>1</v>
      </c>
      <c r="CC603" s="5">
        <f t="shared" si="477"/>
        <v>0</v>
      </c>
      <c r="CD603" s="5">
        <f t="shared" si="477"/>
        <v>0</v>
      </c>
      <c r="CE603" s="5">
        <f t="shared" si="477"/>
        <v>0</v>
      </c>
    </row>
    <row r="604" spans="1:83" x14ac:dyDescent="0.2">
      <c r="A604" s="11"/>
      <c r="B604" s="11"/>
      <c r="C604" s="1">
        <f>Growth!D609</f>
        <v>0</v>
      </c>
      <c r="D604" s="5" t="b">
        <f t="shared" si="475"/>
        <v>0</v>
      </c>
      <c r="E604" s="5">
        <v>2012</v>
      </c>
      <c r="F604" s="5">
        <f ca="1">LOOKUP($E604,frequence!$A$2:$A$35,frequence!L$2:L$35)</f>
        <v>41.545638202606931</v>
      </c>
      <c r="G604" s="5">
        <f ca="1">LOOKUP($E604,frequence!$A$2:$A$35,frequence!K$2:K$35)</f>
        <v>3.8191206393393822</v>
      </c>
      <c r="H604" s="5">
        <f ca="1">LOOKUP($E604,frequence!$A$2:$A$35,frequence!M$2:M$35)</f>
        <v>265.64322815143237</v>
      </c>
      <c r="I604" s="16">
        <v>2007</v>
      </c>
      <c r="J604" s="7">
        <f>LOOKUP(I604,CPI!A$69:A$103,CPI!O$69:O$103)</f>
        <v>1.0516730811895323</v>
      </c>
      <c r="K604" s="5">
        <v>2010</v>
      </c>
      <c r="L604" s="7">
        <f t="shared" ca="1" si="468"/>
        <v>1</v>
      </c>
      <c r="M604" s="7">
        <f t="shared" si="487"/>
        <v>7.2093023255813959E-2</v>
      </c>
      <c r="N604" s="14">
        <f>1/86</f>
        <v>1.1627906976744186E-2</v>
      </c>
      <c r="O604" s="1">
        <f ca="1">P604*J604*(1+Growth!G$6)^(2010-K604)</f>
        <v>14.723423136653452</v>
      </c>
      <c r="P604" s="11">
        <v>14</v>
      </c>
      <c r="Q604" s="2">
        <f t="shared" si="478"/>
        <v>14</v>
      </c>
      <c r="R604" s="21">
        <f t="shared" ca="1" si="476"/>
        <v>216.77918886094216</v>
      </c>
      <c r="X604" s="2"/>
      <c r="AC604" s="1">
        <f t="shared" ref="AC604:AC609" si="490">SUM(AD604:AI604)</f>
        <v>6.2</v>
      </c>
      <c r="AD604" s="5">
        <v>1</v>
      </c>
      <c r="AE604" s="5">
        <v>0</v>
      </c>
      <c r="AF604" s="5">
        <v>1</v>
      </c>
      <c r="AG604" s="5">
        <v>0</v>
      </c>
      <c r="AH604" s="5">
        <v>1</v>
      </c>
      <c r="AI604" s="3">
        <f t="shared" si="474"/>
        <v>3.2</v>
      </c>
      <c r="AJ604" s="5">
        <f t="shared" si="486"/>
        <v>0</v>
      </c>
      <c r="AK604" s="5">
        <f t="shared" si="470"/>
        <v>0</v>
      </c>
      <c r="AL604" s="5">
        <f t="shared" si="471"/>
        <v>0</v>
      </c>
      <c r="AM604" s="5">
        <f t="shared" si="488"/>
        <v>0</v>
      </c>
      <c r="AN604" s="5">
        <f t="shared" si="472"/>
        <v>0</v>
      </c>
      <c r="AO604" s="5">
        <f t="shared" si="489"/>
        <v>0</v>
      </c>
      <c r="AP604" s="1">
        <v>2.5</v>
      </c>
      <c r="AQ604" s="1" t="s">
        <v>42</v>
      </c>
      <c r="AR604" s="5">
        <v>0</v>
      </c>
      <c r="AS604" s="5">
        <v>1</v>
      </c>
      <c r="AT604" s="5">
        <v>0</v>
      </c>
      <c r="AU604" s="5">
        <v>0</v>
      </c>
      <c r="AV604" s="5">
        <v>0</v>
      </c>
      <c r="AW604" s="5">
        <v>0</v>
      </c>
      <c r="AX604" s="5">
        <v>1</v>
      </c>
      <c r="AY604" s="1">
        <f t="shared" ref="AY604:AY609" si="491">AJ604*$AD604*(1-$AV604)*(1-$AR604)</f>
        <v>0</v>
      </c>
      <c r="AZ604" s="1">
        <f t="shared" ref="AZ604:AZ609" si="492">AM604*$AD604*(1-$AV604)*(1-$AR604)</f>
        <v>0</v>
      </c>
      <c r="BA604" s="1">
        <f t="shared" ref="BA604:BA609" si="493">AO604*$AD604*(1-$AV604)*(1-$AR604)</f>
        <v>0</v>
      </c>
      <c r="BB604" s="5">
        <v>0</v>
      </c>
      <c r="BC604" s="5">
        <v>0</v>
      </c>
      <c r="BD604" s="5">
        <v>0</v>
      </c>
      <c r="BE604" s="5">
        <f t="shared" ref="BE604:BE609" si="494">1-SUM(BB604:BD604)</f>
        <v>1</v>
      </c>
      <c r="BF604" s="5">
        <v>0</v>
      </c>
      <c r="BG604" s="5">
        <f t="shared" si="485"/>
        <v>0</v>
      </c>
      <c r="BH604" s="5">
        <f t="shared" si="485"/>
        <v>0</v>
      </c>
      <c r="BI604" s="5">
        <f t="shared" si="485"/>
        <v>0</v>
      </c>
      <c r="BJ604" s="5">
        <f t="shared" si="485"/>
        <v>0</v>
      </c>
      <c r="BK604" s="5">
        <f t="shared" si="485"/>
        <v>0</v>
      </c>
      <c r="BL604" s="5">
        <f t="shared" si="485"/>
        <v>0</v>
      </c>
      <c r="BM604" s="5">
        <f t="shared" si="485"/>
        <v>0</v>
      </c>
      <c r="BN604" s="5">
        <f t="shared" si="485"/>
        <v>0</v>
      </c>
      <c r="BO604" s="5">
        <f t="shared" si="484"/>
        <v>0</v>
      </c>
      <c r="BP604" s="5">
        <f t="shared" si="484"/>
        <v>0</v>
      </c>
      <c r="BQ604" s="5">
        <f t="shared" si="484"/>
        <v>0</v>
      </c>
      <c r="BR604" s="5">
        <f t="shared" si="484"/>
        <v>0</v>
      </c>
      <c r="BS604" s="5">
        <f t="shared" si="484"/>
        <v>0</v>
      </c>
      <c r="BT604" s="5">
        <f t="shared" si="484"/>
        <v>0</v>
      </c>
      <c r="BU604" s="5">
        <f t="shared" si="484"/>
        <v>0</v>
      </c>
      <c r="BV604" s="5">
        <f t="shared" si="484"/>
        <v>0</v>
      </c>
      <c r="BW604" s="5">
        <f t="shared" si="484"/>
        <v>0</v>
      </c>
      <c r="BX604" s="5">
        <f t="shared" si="484"/>
        <v>0</v>
      </c>
      <c r="BY604" s="5">
        <f t="shared" si="484"/>
        <v>0</v>
      </c>
      <c r="BZ604" s="5">
        <f t="shared" si="484"/>
        <v>0</v>
      </c>
      <c r="CA604" s="5">
        <f t="shared" si="484"/>
        <v>0</v>
      </c>
      <c r="CB604" s="5">
        <f t="shared" si="477"/>
        <v>1</v>
      </c>
      <c r="CC604" s="5">
        <f t="shared" si="477"/>
        <v>0</v>
      </c>
      <c r="CD604" s="5">
        <f t="shared" si="477"/>
        <v>0</v>
      </c>
      <c r="CE604" s="5">
        <f t="shared" si="477"/>
        <v>0</v>
      </c>
    </row>
    <row r="605" spans="1:83" x14ac:dyDescent="0.2">
      <c r="A605" s="11"/>
      <c r="B605" s="11"/>
      <c r="C605" s="1">
        <f>Growth!D610</f>
        <v>0</v>
      </c>
      <c r="D605" s="5" t="b">
        <f t="shared" si="475"/>
        <v>0</v>
      </c>
      <c r="E605" s="5">
        <v>2012</v>
      </c>
      <c r="F605" s="5">
        <f ca="1">LOOKUP($E605,frequence!$A$2:$A$35,frequence!L$2:L$35)</f>
        <v>41.545638202606931</v>
      </c>
      <c r="G605" s="5">
        <f ca="1">LOOKUP($E605,frequence!$A$2:$A$35,frequence!K$2:K$35)</f>
        <v>3.8191206393393822</v>
      </c>
      <c r="H605" s="5">
        <f ca="1">LOOKUP($E605,frequence!$A$2:$A$35,frequence!M$2:M$35)</f>
        <v>265.64322815143237</v>
      </c>
      <c r="I605" s="16">
        <v>2007</v>
      </c>
      <c r="J605" s="7">
        <f>LOOKUP(I605,CPI!A$69:A$103,CPI!O$69:O$103)</f>
        <v>1.0516730811895323</v>
      </c>
      <c r="K605" s="5">
        <v>2010</v>
      </c>
      <c r="L605" s="7">
        <f t="shared" ca="1" si="468"/>
        <v>1</v>
      </c>
      <c r="M605" s="7">
        <f t="shared" si="487"/>
        <v>7.2093023255813959E-2</v>
      </c>
      <c r="N605" s="14">
        <f>1/86</f>
        <v>1.1627906976744186E-2</v>
      </c>
      <c r="O605" s="1">
        <f ca="1">P605*J605*(1+Growth!G$6)^(2010-K605)</f>
        <v>6.3100384871371933</v>
      </c>
      <c r="P605" s="11">
        <v>6</v>
      </c>
      <c r="Q605" s="2">
        <f t="shared" si="478"/>
        <v>6</v>
      </c>
      <c r="R605" s="21">
        <f t="shared" ca="1" si="476"/>
        <v>39.816585709152641</v>
      </c>
      <c r="X605" s="2"/>
      <c r="AC605" s="1">
        <f t="shared" si="490"/>
        <v>6.2</v>
      </c>
      <c r="AD605" s="5">
        <v>1</v>
      </c>
      <c r="AE605" s="5">
        <v>0</v>
      </c>
      <c r="AF605" s="5">
        <v>1</v>
      </c>
      <c r="AG605" s="5">
        <v>0</v>
      </c>
      <c r="AH605" s="5">
        <v>1</v>
      </c>
      <c r="AI605" s="3">
        <f t="shared" si="474"/>
        <v>3.2</v>
      </c>
      <c r="AJ605" s="5">
        <f t="shared" si="486"/>
        <v>0</v>
      </c>
      <c r="AK605" s="5">
        <f t="shared" si="470"/>
        <v>0</v>
      </c>
      <c r="AL605" s="5">
        <f t="shared" si="471"/>
        <v>0</v>
      </c>
      <c r="AM605" s="5">
        <f t="shared" si="488"/>
        <v>0</v>
      </c>
      <c r="AN605" s="5">
        <f t="shared" si="472"/>
        <v>0</v>
      </c>
      <c r="AO605" s="5">
        <f t="shared" si="489"/>
        <v>0</v>
      </c>
      <c r="AP605" s="1">
        <v>3</v>
      </c>
      <c r="AQ605" s="1" t="s">
        <v>42</v>
      </c>
      <c r="AR605" s="5">
        <v>0</v>
      </c>
      <c r="AS605" s="5">
        <v>1</v>
      </c>
      <c r="AT605" s="5">
        <v>0</v>
      </c>
      <c r="AU605" s="5">
        <v>0</v>
      </c>
      <c r="AV605" s="5">
        <v>0</v>
      </c>
      <c r="AW605" s="5">
        <v>0</v>
      </c>
      <c r="AX605" s="5">
        <v>1</v>
      </c>
      <c r="AY605" s="1">
        <f t="shared" si="491"/>
        <v>0</v>
      </c>
      <c r="AZ605" s="1">
        <f t="shared" si="492"/>
        <v>0</v>
      </c>
      <c r="BA605" s="1">
        <f t="shared" si="493"/>
        <v>0</v>
      </c>
      <c r="BB605" s="5">
        <v>0</v>
      </c>
      <c r="BC605" s="5">
        <v>0</v>
      </c>
      <c r="BD605" s="5">
        <v>0</v>
      </c>
      <c r="BE605" s="5">
        <f t="shared" si="494"/>
        <v>1</v>
      </c>
      <c r="BF605" s="5">
        <v>0</v>
      </c>
      <c r="BG605" s="5">
        <f t="shared" si="485"/>
        <v>0</v>
      </c>
      <c r="BH605" s="5">
        <f t="shared" si="485"/>
        <v>0</v>
      </c>
      <c r="BI605" s="5">
        <f t="shared" si="485"/>
        <v>0</v>
      </c>
      <c r="BJ605" s="5">
        <f t="shared" si="485"/>
        <v>0</v>
      </c>
      <c r="BK605" s="5">
        <f t="shared" si="485"/>
        <v>0</v>
      </c>
      <c r="BL605" s="5">
        <f t="shared" si="485"/>
        <v>0</v>
      </c>
      <c r="BM605" s="5">
        <f t="shared" si="485"/>
        <v>0</v>
      </c>
      <c r="BN605" s="5">
        <f t="shared" si="485"/>
        <v>0</v>
      </c>
      <c r="BO605" s="5">
        <f t="shared" si="484"/>
        <v>0</v>
      </c>
      <c r="BP605" s="5">
        <f t="shared" si="484"/>
        <v>0</v>
      </c>
      <c r="BQ605" s="5">
        <f t="shared" si="484"/>
        <v>0</v>
      </c>
      <c r="BR605" s="5">
        <f t="shared" si="484"/>
        <v>0</v>
      </c>
      <c r="BS605" s="5">
        <f t="shared" si="484"/>
        <v>0</v>
      </c>
      <c r="BT605" s="5">
        <f t="shared" si="484"/>
        <v>0</v>
      </c>
      <c r="BU605" s="5">
        <f t="shared" si="484"/>
        <v>0</v>
      </c>
      <c r="BV605" s="5">
        <f t="shared" si="484"/>
        <v>0</v>
      </c>
      <c r="BW605" s="5">
        <f t="shared" si="484"/>
        <v>0</v>
      </c>
      <c r="BX605" s="5">
        <f t="shared" si="484"/>
        <v>0</v>
      </c>
      <c r="BY605" s="5">
        <f t="shared" si="484"/>
        <v>0</v>
      </c>
      <c r="BZ605" s="5">
        <f t="shared" si="484"/>
        <v>0</v>
      </c>
      <c r="CA605" s="5">
        <f t="shared" si="484"/>
        <v>0</v>
      </c>
      <c r="CB605" s="5">
        <f t="shared" si="477"/>
        <v>1</v>
      </c>
      <c r="CC605" s="5">
        <f t="shared" si="477"/>
        <v>0</v>
      </c>
      <c r="CD605" s="5">
        <f t="shared" si="477"/>
        <v>0</v>
      </c>
      <c r="CE605" s="5">
        <f t="shared" si="477"/>
        <v>0</v>
      </c>
    </row>
    <row r="606" spans="1:83" x14ac:dyDescent="0.2">
      <c r="A606" s="11"/>
      <c r="B606" s="11"/>
      <c r="C606" s="1">
        <f>Growth!D611</f>
        <v>0</v>
      </c>
      <c r="D606" s="5" t="b">
        <f t="shared" si="475"/>
        <v>0</v>
      </c>
      <c r="E606" s="5">
        <v>2012</v>
      </c>
      <c r="F606" s="5">
        <f ca="1">LOOKUP($E606,frequence!$A$2:$A$35,frequence!L$2:L$35)</f>
        <v>41.545638202606931</v>
      </c>
      <c r="G606" s="5">
        <f ca="1">LOOKUP($E606,frequence!$A$2:$A$35,frequence!K$2:K$35)</f>
        <v>3.8191206393393822</v>
      </c>
      <c r="H606" s="5">
        <f ca="1">LOOKUP($E606,frequence!$A$2:$A$35,frequence!M$2:M$35)</f>
        <v>265.64322815143237</v>
      </c>
      <c r="I606" s="16">
        <v>2007</v>
      </c>
      <c r="J606" s="7">
        <f>LOOKUP(I606,CPI!A$69:A$103,CPI!O$69:O$103)</f>
        <v>1.0516730811895323</v>
      </c>
      <c r="K606" s="5">
        <v>2010</v>
      </c>
      <c r="L606" s="7">
        <f t="shared" ca="1" si="468"/>
        <v>1</v>
      </c>
      <c r="M606" s="7">
        <f t="shared" si="487"/>
        <v>7.2093023255813959E-2</v>
      </c>
      <c r="N606" s="14">
        <f>1/86</f>
        <v>1.1627906976744186E-2</v>
      </c>
      <c r="O606" s="1">
        <f ca="1">P606*J606*(1+Growth!G$6)^(2010-K606)</f>
        <v>-1.4723423136653451</v>
      </c>
      <c r="P606" s="11">
        <v>-1.4</v>
      </c>
      <c r="Q606" s="2">
        <f t="shared" si="478"/>
        <v>-1.4</v>
      </c>
      <c r="R606" s="21">
        <f t="shared" ca="1" si="476"/>
        <v>2.1677918886094214</v>
      </c>
      <c r="X606" s="2"/>
      <c r="AC606" s="1">
        <f t="shared" si="490"/>
        <v>6.2</v>
      </c>
      <c r="AD606" s="5">
        <v>1</v>
      </c>
      <c r="AE606" s="5">
        <v>0</v>
      </c>
      <c r="AF606" s="5">
        <v>1</v>
      </c>
      <c r="AG606" s="5">
        <v>0</v>
      </c>
      <c r="AH606" s="5">
        <v>1</v>
      </c>
      <c r="AI606" s="3">
        <f t="shared" si="474"/>
        <v>3.2</v>
      </c>
      <c r="AJ606" s="5">
        <f t="shared" si="486"/>
        <v>0</v>
      </c>
      <c r="AK606" s="5">
        <f t="shared" si="470"/>
        <v>0</v>
      </c>
      <c r="AL606" s="5">
        <f t="shared" si="471"/>
        <v>0</v>
      </c>
      <c r="AM606" s="5">
        <f t="shared" si="488"/>
        <v>0</v>
      </c>
      <c r="AN606" s="5">
        <f t="shared" si="472"/>
        <v>0</v>
      </c>
      <c r="AO606" s="5">
        <f t="shared" si="489"/>
        <v>0</v>
      </c>
      <c r="AP606" s="1">
        <v>5</v>
      </c>
      <c r="AQ606" s="1" t="s">
        <v>42</v>
      </c>
      <c r="AR606" s="5">
        <v>0</v>
      </c>
      <c r="AS606" s="5">
        <v>1</v>
      </c>
      <c r="AT606" s="5">
        <v>0</v>
      </c>
      <c r="AU606" s="5">
        <v>0</v>
      </c>
      <c r="AV606" s="5">
        <v>0</v>
      </c>
      <c r="AW606" s="5">
        <v>0</v>
      </c>
      <c r="AX606" s="5">
        <v>1</v>
      </c>
      <c r="AY606" s="1">
        <f t="shared" si="491"/>
        <v>0</v>
      </c>
      <c r="AZ606" s="1">
        <f t="shared" si="492"/>
        <v>0</v>
      </c>
      <c r="BA606" s="1">
        <f t="shared" si="493"/>
        <v>0</v>
      </c>
      <c r="BB606" s="5">
        <v>0</v>
      </c>
      <c r="BC606" s="5">
        <v>0</v>
      </c>
      <c r="BD606" s="5">
        <v>0</v>
      </c>
      <c r="BE606" s="5">
        <f t="shared" si="494"/>
        <v>1</v>
      </c>
      <c r="BF606" s="5">
        <v>0</v>
      </c>
      <c r="BG606" s="5">
        <f t="shared" si="485"/>
        <v>0</v>
      </c>
      <c r="BH606" s="5">
        <f t="shared" si="485"/>
        <v>0</v>
      </c>
      <c r="BI606" s="5">
        <f t="shared" si="485"/>
        <v>0</v>
      </c>
      <c r="BJ606" s="5">
        <f t="shared" si="485"/>
        <v>0</v>
      </c>
      <c r="BK606" s="5">
        <f t="shared" si="485"/>
        <v>0</v>
      </c>
      <c r="BL606" s="5">
        <f t="shared" si="485"/>
        <v>0</v>
      </c>
      <c r="BM606" s="5">
        <f t="shared" si="485"/>
        <v>0</v>
      </c>
      <c r="BN606" s="5">
        <f t="shared" si="485"/>
        <v>0</v>
      </c>
      <c r="BO606" s="5">
        <f t="shared" si="484"/>
        <v>0</v>
      </c>
      <c r="BP606" s="5">
        <f t="shared" si="484"/>
        <v>0</v>
      </c>
      <c r="BQ606" s="5">
        <f t="shared" si="484"/>
        <v>0</v>
      </c>
      <c r="BR606" s="5">
        <f t="shared" si="484"/>
        <v>0</v>
      </c>
      <c r="BS606" s="5">
        <f t="shared" si="484"/>
        <v>0</v>
      </c>
      <c r="BT606" s="5">
        <f t="shared" si="484"/>
        <v>0</v>
      </c>
      <c r="BU606" s="5">
        <f t="shared" si="484"/>
        <v>0</v>
      </c>
      <c r="BV606" s="5">
        <f t="shared" si="484"/>
        <v>0</v>
      </c>
      <c r="BW606" s="5">
        <f t="shared" si="484"/>
        <v>0</v>
      </c>
      <c r="BX606" s="5">
        <f t="shared" si="484"/>
        <v>0</v>
      </c>
      <c r="BY606" s="5">
        <f t="shared" si="484"/>
        <v>0</v>
      </c>
      <c r="BZ606" s="5">
        <f t="shared" si="484"/>
        <v>0</v>
      </c>
      <c r="CA606" s="5">
        <f t="shared" si="484"/>
        <v>0</v>
      </c>
      <c r="CB606" s="5">
        <f t="shared" si="477"/>
        <v>1</v>
      </c>
      <c r="CC606" s="5">
        <f t="shared" si="477"/>
        <v>0</v>
      </c>
      <c r="CD606" s="5">
        <f t="shared" si="477"/>
        <v>0</v>
      </c>
      <c r="CE606" s="5">
        <f t="shared" si="477"/>
        <v>0</v>
      </c>
    </row>
    <row r="607" spans="1:83" x14ac:dyDescent="0.2">
      <c r="A607" s="11"/>
      <c r="B607" s="11"/>
      <c r="C607" s="1">
        <f>Growth!D612</f>
        <v>0</v>
      </c>
      <c r="D607" s="5" t="b">
        <f t="shared" si="475"/>
        <v>0</v>
      </c>
      <c r="E607" s="5">
        <v>2012</v>
      </c>
      <c r="F607" s="5">
        <f ca="1">LOOKUP($E607,frequence!$A$2:$A$35,frequence!L$2:L$35)</f>
        <v>41.545638202606931</v>
      </c>
      <c r="G607" s="5">
        <f ca="1">LOOKUP($E607,frequence!$A$2:$A$35,frequence!K$2:K$35)</f>
        <v>3.8191206393393822</v>
      </c>
      <c r="H607" s="5">
        <f ca="1">LOOKUP($E607,frequence!$A$2:$A$35,frequence!M$2:M$35)</f>
        <v>265.64322815143237</v>
      </c>
      <c r="I607" s="16">
        <v>2007</v>
      </c>
      <c r="J607" s="7">
        <f>LOOKUP(I607,CPI!A$69:A$103,CPI!O$69:O$103)</f>
        <v>1.0516730811895323</v>
      </c>
      <c r="K607" s="5">
        <v>2010</v>
      </c>
      <c r="L607" s="7">
        <f t="shared" ca="1" si="468"/>
        <v>1</v>
      </c>
      <c r="M607" s="7">
        <f t="shared" si="487"/>
        <v>0.72093023255813959</v>
      </c>
      <c r="N607" s="14">
        <f>10/86</f>
        <v>0.11627906976744186</v>
      </c>
      <c r="O607" s="1">
        <f ca="1">P607*J607*(1+Growth!G$6)^(2010-K607)</f>
        <v>152.49259677248219</v>
      </c>
      <c r="P607" s="11">
        <v>145</v>
      </c>
      <c r="Q607" s="2">
        <f t="shared" si="478"/>
        <v>145</v>
      </c>
      <c r="R607" s="21">
        <f t="shared" ca="1" si="476"/>
        <v>23253.992070414846</v>
      </c>
      <c r="X607" s="2"/>
      <c r="AC607" s="1">
        <f t="shared" si="490"/>
        <v>6.2</v>
      </c>
      <c r="AD607" s="5">
        <v>1</v>
      </c>
      <c r="AE607" s="5">
        <v>0</v>
      </c>
      <c r="AF607" s="5">
        <v>1</v>
      </c>
      <c r="AG607" s="5">
        <v>0</v>
      </c>
      <c r="AH607" s="5">
        <v>1</v>
      </c>
      <c r="AI607" s="3">
        <f t="shared" si="474"/>
        <v>3.2</v>
      </c>
      <c r="AJ607" s="5">
        <f t="shared" si="486"/>
        <v>0</v>
      </c>
      <c r="AK607" s="5">
        <f t="shared" si="470"/>
        <v>0</v>
      </c>
      <c r="AL607" s="5">
        <f t="shared" si="471"/>
        <v>0</v>
      </c>
      <c r="AM607" s="5">
        <f t="shared" si="488"/>
        <v>0</v>
      </c>
      <c r="AN607" s="5">
        <f t="shared" si="472"/>
        <v>0</v>
      </c>
      <c r="AO607" s="5">
        <f t="shared" si="489"/>
        <v>0</v>
      </c>
      <c r="AP607" s="1">
        <v>2.5</v>
      </c>
      <c r="AQ607" s="1" t="s">
        <v>42</v>
      </c>
      <c r="AR607" s="5">
        <v>1</v>
      </c>
      <c r="AS607" s="5">
        <v>1</v>
      </c>
      <c r="AT607" s="5">
        <v>0</v>
      </c>
      <c r="AU607" s="5">
        <v>0</v>
      </c>
      <c r="AV607" s="5">
        <v>0</v>
      </c>
      <c r="AW607" s="5">
        <v>0</v>
      </c>
      <c r="AX607" s="5">
        <v>1</v>
      </c>
      <c r="AY607" s="1">
        <f t="shared" si="491"/>
        <v>0</v>
      </c>
      <c r="AZ607" s="1">
        <f t="shared" si="492"/>
        <v>0</v>
      </c>
      <c r="BA607" s="1">
        <f t="shared" si="493"/>
        <v>0</v>
      </c>
      <c r="BB607" s="5">
        <v>0</v>
      </c>
      <c r="BC607" s="5">
        <v>0</v>
      </c>
      <c r="BD607" s="5">
        <v>0</v>
      </c>
      <c r="BE607" s="5">
        <f t="shared" si="494"/>
        <v>1</v>
      </c>
      <c r="BF607" s="5">
        <v>0</v>
      </c>
      <c r="BG607" s="5">
        <f t="shared" si="485"/>
        <v>0</v>
      </c>
      <c r="BH607" s="5">
        <f t="shared" si="485"/>
        <v>0</v>
      </c>
      <c r="BI607" s="5">
        <f t="shared" si="485"/>
        <v>0</v>
      </c>
      <c r="BJ607" s="5">
        <f t="shared" si="485"/>
        <v>0</v>
      </c>
      <c r="BK607" s="5">
        <f t="shared" si="485"/>
        <v>0</v>
      </c>
      <c r="BL607" s="5">
        <f t="shared" si="485"/>
        <v>0</v>
      </c>
      <c r="BM607" s="5">
        <f t="shared" si="485"/>
        <v>0</v>
      </c>
      <c r="BN607" s="5">
        <f t="shared" si="485"/>
        <v>0</v>
      </c>
      <c r="BO607" s="5">
        <f t="shared" si="484"/>
        <v>0</v>
      </c>
      <c r="BP607" s="5">
        <f t="shared" si="484"/>
        <v>0</v>
      </c>
      <c r="BQ607" s="5">
        <f t="shared" si="484"/>
        <v>0</v>
      </c>
      <c r="BR607" s="5">
        <f t="shared" si="484"/>
        <v>0</v>
      </c>
      <c r="BS607" s="5">
        <f t="shared" si="484"/>
        <v>0</v>
      </c>
      <c r="BT607" s="5">
        <f t="shared" si="484"/>
        <v>0</v>
      </c>
      <c r="BU607" s="5">
        <f t="shared" si="484"/>
        <v>0</v>
      </c>
      <c r="BV607" s="5">
        <f t="shared" si="484"/>
        <v>0</v>
      </c>
      <c r="BW607" s="5">
        <f t="shared" si="484"/>
        <v>0</v>
      </c>
      <c r="BX607" s="5">
        <f t="shared" si="484"/>
        <v>0</v>
      </c>
      <c r="BY607" s="5">
        <f t="shared" si="484"/>
        <v>0</v>
      </c>
      <c r="BZ607" s="5">
        <f t="shared" si="484"/>
        <v>0</v>
      </c>
      <c r="CA607" s="5">
        <f t="shared" si="484"/>
        <v>0</v>
      </c>
      <c r="CB607" s="5">
        <f t="shared" si="477"/>
        <v>1</v>
      </c>
      <c r="CC607" s="5">
        <f t="shared" si="477"/>
        <v>0</v>
      </c>
      <c r="CD607" s="5">
        <f t="shared" si="477"/>
        <v>0</v>
      </c>
      <c r="CE607" s="5">
        <f t="shared" si="477"/>
        <v>0</v>
      </c>
    </row>
    <row r="608" spans="1:83" x14ac:dyDescent="0.2">
      <c r="A608" s="11"/>
      <c r="B608" s="11"/>
      <c r="C608" s="1">
        <f>Growth!D613</f>
        <v>0</v>
      </c>
      <c r="D608" s="5" t="b">
        <f t="shared" si="475"/>
        <v>0</v>
      </c>
      <c r="E608" s="5">
        <v>2012</v>
      </c>
      <c r="F608" s="5">
        <f ca="1">LOOKUP($E608,frequence!$A$2:$A$35,frequence!L$2:L$35)</f>
        <v>41.545638202606931</v>
      </c>
      <c r="G608" s="5">
        <f ca="1">LOOKUP($E608,frequence!$A$2:$A$35,frequence!K$2:K$35)</f>
        <v>3.8191206393393822</v>
      </c>
      <c r="H608" s="5">
        <f ca="1">LOOKUP($E608,frequence!$A$2:$A$35,frequence!M$2:M$35)</f>
        <v>265.64322815143237</v>
      </c>
      <c r="I608" s="16">
        <v>2007</v>
      </c>
      <c r="J608" s="7">
        <f>LOOKUP(I608,CPI!A$69:A$103,CPI!O$69:O$103)</f>
        <v>1.0516730811895323</v>
      </c>
      <c r="K608" s="5">
        <v>2010</v>
      </c>
      <c r="L608" s="7">
        <f t="shared" ca="1" si="468"/>
        <v>1</v>
      </c>
      <c r="M608" s="7">
        <f t="shared" si="487"/>
        <v>0.72093023255813959</v>
      </c>
      <c r="N608" s="14">
        <f>10/86</f>
        <v>0.11627906976744186</v>
      </c>
      <c r="O608" s="1">
        <f ca="1">P608*J608*(1+Growth!G$6)^(2010-K608)</f>
        <v>73.617115683267258</v>
      </c>
      <c r="P608" s="11">
        <v>70</v>
      </c>
      <c r="Q608" s="2">
        <f t="shared" si="478"/>
        <v>70</v>
      </c>
      <c r="R608" s="21">
        <f t="shared" ca="1" si="476"/>
        <v>5419.479721523554</v>
      </c>
      <c r="X608" s="2"/>
      <c r="AC608" s="1">
        <f t="shared" si="490"/>
        <v>6.2</v>
      </c>
      <c r="AD608" s="5">
        <v>1</v>
      </c>
      <c r="AE608" s="5">
        <v>0</v>
      </c>
      <c r="AF608" s="5">
        <v>1</v>
      </c>
      <c r="AG608" s="5">
        <v>0</v>
      </c>
      <c r="AH608" s="5">
        <v>1</v>
      </c>
      <c r="AI608" s="3">
        <f t="shared" si="474"/>
        <v>3.2</v>
      </c>
      <c r="AJ608" s="5">
        <f t="shared" si="486"/>
        <v>0</v>
      </c>
      <c r="AK608" s="5">
        <f t="shared" si="470"/>
        <v>0</v>
      </c>
      <c r="AL608" s="5">
        <f t="shared" si="471"/>
        <v>0</v>
      </c>
      <c r="AM608" s="5">
        <f t="shared" si="488"/>
        <v>0</v>
      </c>
      <c r="AN608" s="5">
        <f t="shared" si="472"/>
        <v>0</v>
      </c>
      <c r="AO608" s="5">
        <f t="shared" si="489"/>
        <v>0</v>
      </c>
      <c r="AP608" s="1">
        <v>3</v>
      </c>
      <c r="AQ608" s="1" t="s">
        <v>42</v>
      </c>
      <c r="AR608" s="5">
        <v>1</v>
      </c>
      <c r="AS608" s="5">
        <v>1</v>
      </c>
      <c r="AT608" s="5">
        <v>0</v>
      </c>
      <c r="AU608" s="5">
        <v>0</v>
      </c>
      <c r="AV608" s="5">
        <v>0</v>
      </c>
      <c r="AW608" s="5">
        <v>0</v>
      </c>
      <c r="AX608" s="5">
        <v>1</v>
      </c>
      <c r="AY608" s="1">
        <f t="shared" si="491"/>
        <v>0</v>
      </c>
      <c r="AZ608" s="1">
        <f t="shared" si="492"/>
        <v>0</v>
      </c>
      <c r="BA608" s="1">
        <f t="shared" si="493"/>
        <v>0</v>
      </c>
      <c r="BB608" s="5">
        <v>0</v>
      </c>
      <c r="BC608" s="5">
        <v>0</v>
      </c>
      <c r="BD608" s="5">
        <v>0</v>
      </c>
      <c r="BE608" s="5">
        <f t="shared" si="494"/>
        <v>1</v>
      </c>
      <c r="BF608" s="5">
        <v>0</v>
      </c>
      <c r="BG608" s="5">
        <f t="shared" si="485"/>
        <v>0</v>
      </c>
      <c r="BH608" s="5">
        <f t="shared" si="485"/>
        <v>0</v>
      </c>
      <c r="BI608" s="5">
        <f t="shared" si="485"/>
        <v>0</v>
      </c>
      <c r="BJ608" s="5">
        <f t="shared" si="485"/>
        <v>0</v>
      </c>
      <c r="BK608" s="5">
        <f t="shared" si="485"/>
        <v>0</v>
      </c>
      <c r="BL608" s="5">
        <f t="shared" si="485"/>
        <v>0</v>
      </c>
      <c r="BM608" s="5">
        <f t="shared" si="485"/>
        <v>0</v>
      </c>
      <c r="BN608" s="5">
        <f t="shared" si="485"/>
        <v>0</v>
      </c>
      <c r="BO608" s="5">
        <f t="shared" si="484"/>
        <v>0</v>
      </c>
      <c r="BP608" s="5">
        <f t="shared" si="484"/>
        <v>0</v>
      </c>
      <c r="BQ608" s="5">
        <f t="shared" si="484"/>
        <v>0</v>
      </c>
      <c r="BR608" s="5">
        <f t="shared" si="484"/>
        <v>0</v>
      </c>
      <c r="BS608" s="5">
        <f t="shared" si="484"/>
        <v>0</v>
      </c>
      <c r="BT608" s="5">
        <f t="shared" si="484"/>
        <v>0</v>
      </c>
      <c r="BU608" s="5">
        <f t="shared" si="484"/>
        <v>0</v>
      </c>
      <c r="BV608" s="5">
        <f t="shared" si="484"/>
        <v>0</v>
      </c>
      <c r="BW608" s="5">
        <f t="shared" si="484"/>
        <v>0</v>
      </c>
      <c r="BX608" s="5">
        <f t="shared" si="484"/>
        <v>0</v>
      </c>
      <c r="BY608" s="5">
        <f t="shared" si="484"/>
        <v>0</v>
      </c>
      <c r="BZ608" s="5">
        <f t="shared" si="484"/>
        <v>0</v>
      </c>
      <c r="CA608" s="5">
        <f t="shared" si="484"/>
        <v>0</v>
      </c>
      <c r="CB608" s="5">
        <f t="shared" si="477"/>
        <v>1</v>
      </c>
      <c r="CC608" s="5">
        <f t="shared" si="477"/>
        <v>0</v>
      </c>
      <c r="CD608" s="5">
        <f t="shared" si="477"/>
        <v>0</v>
      </c>
      <c r="CE608" s="5">
        <f t="shared" si="477"/>
        <v>0</v>
      </c>
    </row>
    <row r="609" spans="1:83" x14ac:dyDescent="0.2">
      <c r="A609" s="11"/>
      <c r="B609" s="11"/>
      <c r="C609" s="1">
        <f>Growth!D614</f>
        <v>0</v>
      </c>
      <c r="D609" s="5" t="b">
        <f t="shared" si="475"/>
        <v>0</v>
      </c>
      <c r="E609" s="5">
        <v>2012</v>
      </c>
      <c r="F609" s="5">
        <f ca="1">LOOKUP($E609,frequence!$A$2:$A$35,frequence!L$2:L$35)</f>
        <v>41.545638202606931</v>
      </c>
      <c r="G609" s="5">
        <f ca="1">LOOKUP($E609,frequence!$A$2:$A$35,frequence!K$2:K$35)</f>
        <v>3.8191206393393822</v>
      </c>
      <c r="H609" s="5">
        <f ca="1">LOOKUP($E609,frequence!$A$2:$A$35,frequence!M$2:M$35)</f>
        <v>265.64322815143237</v>
      </c>
      <c r="I609" s="16">
        <v>2007</v>
      </c>
      <c r="J609" s="7">
        <f>LOOKUP(I609,CPI!A$69:A$103,CPI!O$69:O$103)</f>
        <v>1.0516730811895323</v>
      </c>
      <c r="K609" s="5">
        <v>2010</v>
      </c>
      <c r="L609" s="7">
        <f t="shared" ca="1" si="468"/>
        <v>1</v>
      </c>
      <c r="M609" s="7">
        <f t="shared" si="487"/>
        <v>0.72093023255813959</v>
      </c>
      <c r="N609" s="14">
        <f>10/86</f>
        <v>0.11627906976744186</v>
      </c>
      <c r="O609" s="1">
        <f ca="1">P609*J609*(1+Growth!G$6)^(2010-K609)</f>
        <v>1.0516730811895323</v>
      </c>
      <c r="P609" s="11">
        <v>1</v>
      </c>
      <c r="Q609" s="2">
        <f t="shared" si="478"/>
        <v>1</v>
      </c>
      <c r="R609" s="21">
        <f t="shared" ca="1" si="476"/>
        <v>1.1060162696986846</v>
      </c>
      <c r="X609" s="2"/>
      <c r="AC609" s="1">
        <f t="shared" si="490"/>
        <v>6.2</v>
      </c>
      <c r="AD609" s="5">
        <v>1</v>
      </c>
      <c r="AE609" s="5">
        <v>0</v>
      </c>
      <c r="AF609" s="5">
        <v>1</v>
      </c>
      <c r="AG609" s="5">
        <v>0</v>
      </c>
      <c r="AH609" s="5">
        <v>1</v>
      </c>
      <c r="AI609" s="3">
        <f t="shared" si="474"/>
        <v>3.2</v>
      </c>
      <c r="AJ609" s="5">
        <f t="shared" si="486"/>
        <v>0</v>
      </c>
      <c r="AK609" s="5">
        <f t="shared" si="470"/>
        <v>0</v>
      </c>
      <c r="AL609" s="5">
        <f t="shared" si="471"/>
        <v>0</v>
      </c>
      <c r="AM609" s="5">
        <f t="shared" si="488"/>
        <v>0</v>
      </c>
      <c r="AN609" s="5">
        <f t="shared" si="472"/>
        <v>0</v>
      </c>
      <c r="AO609" s="5">
        <f t="shared" si="489"/>
        <v>0</v>
      </c>
      <c r="AP609" s="1">
        <v>5</v>
      </c>
      <c r="AQ609" s="1" t="s">
        <v>42</v>
      </c>
      <c r="AR609" s="5">
        <v>1</v>
      </c>
      <c r="AS609" s="5">
        <v>1</v>
      </c>
      <c r="AT609" s="5">
        <v>0</v>
      </c>
      <c r="AU609" s="5">
        <v>0</v>
      </c>
      <c r="AV609" s="5">
        <v>0</v>
      </c>
      <c r="AW609" s="5">
        <v>0</v>
      </c>
      <c r="AX609" s="5">
        <v>1</v>
      </c>
      <c r="AY609" s="1">
        <f t="shared" si="491"/>
        <v>0</v>
      </c>
      <c r="AZ609" s="1">
        <f t="shared" si="492"/>
        <v>0</v>
      </c>
      <c r="BA609" s="1">
        <f t="shared" si="493"/>
        <v>0</v>
      </c>
      <c r="BB609" s="5">
        <v>0</v>
      </c>
      <c r="BC609" s="5">
        <v>0</v>
      </c>
      <c r="BD609" s="5">
        <v>0</v>
      </c>
      <c r="BE609" s="5">
        <f t="shared" si="494"/>
        <v>1</v>
      </c>
      <c r="BF609" s="5">
        <v>0</v>
      </c>
      <c r="BG609" s="5">
        <f t="shared" si="485"/>
        <v>0</v>
      </c>
      <c r="BH609" s="5">
        <f t="shared" si="485"/>
        <v>0</v>
      </c>
      <c r="BI609" s="5">
        <f t="shared" si="485"/>
        <v>0</v>
      </c>
      <c r="BJ609" s="5">
        <f t="shared" si="485"/>
        <v>0</v>
      </c>
      <c r="BK609" s="5">
        <f t="shared" si="485"/>
        <v>0</v>
      </c>
      <c r="BL609" s="5">
        <f t="shared" si="485"/>
        <v>0</v>
      </c>
      <c r="BM609" s="5">
        <f t="shared" si="485"/>
        <v>0</v>
      </c>
      <c r="BN609" s="5">
        <f t="shared" si="485"/>
        <v>0</v>
      </c>
      <c r="BO609" s="5">
        <f t="shared" si="484"/>
        <v>0</v>
      </c>
      <c r="BP609" s="5">
        <f t="shared" si="484"/>
        <v>0</v>
      </c>
      <c r="BQ609" s="5">
        <f t="shared" si="484"/>
        <v>0</v>
      </c>
      <c r="BR609" s="5">
        <f t="shared" si="484"/>
        <v>0</v>
      </c>
      <c r="BS609" s="5">
        <f t="shared" si="484"/>
        <v>0</v>
      </c>
      <c r="BT609" s="5">
        <f t="shared" si="484"/>
        <v>0</v>
      </c>
      <c r="BU609" s="5">
        <f t="shared" si="484"/>
        <v>0</v>
      </c>
      <c r="BV609" s="5">
        <f t="shared" si="484"/>
        <v>0</v>
      </c>
      <c r="BW609" s="5">
        <f t="shared" si="484"/>
        <v>0</v>
      </c>
      <c r="BX609" s="5">
        <f t="shared" si="484"/>
        <v>0</v>
      </c>
      <c r="BY609" s="5">
        <f t="shared" si="484"/>
        <v>0</v>
      </c>
      <c r="BZ609" s="5">
        <f t="shared" si="484"/>
        <v>0</v>
      </c>
      <c r="CA609" s="5">
        <f t="shared" si="484"/>
        <v>0</v>
      </c>
      <c r="CB609" s="5">
        <f t="shared" si="477"/>
        <v>1</v>
      </c>
      <c r="CC609" s="5">
        <f t="shared" si="477"/>
        <v>0</v>
      </c>
      <c r="CD609" s="5">
        <f t="shared" si="477"/>
        <v>0</v>
      </c>
      <c r="CE609" s="5">
        <f t="shared" si="477"/>
        <v>0</v>
      </c>
    </row>
    <row r="610" spans="1:83" x14ac:dyDescent="0.2">
      <c r="A610" s="11" t="s">
        <v>178</v>
      </c>
      <c r="B610" s="11" t="s">
        <v>179</v>
      </c>
      <c r="C610" s="1">
        <f>Growth!D615</f>
        <v>0.1</v>
      </c>
      <c r="D610" s="5">
        <f t="shared" si="475"/>
        <v>2012</v>
      </c>
      <c r="E610" s="5">
        <v>2012</v>
      </c>
      <c r="F610" s="5">
        <f ca="1">LOOKUP($E610,frequence!$A$2:$A$35,frequence!L$2:L$35)</f>
        <v>41.545638202606931</v>
      </c>
      <c r="G610" s="5">
        <f ca="1">LOOKUP($E610,frequence!$A$2:$A$35,frequence!K$2:K$35)</f>
        <v>3.8191206393393822</v>
      </c>
      <c r="H610" s="5">
        <f ca="1">LOOKUP($E610,frequence!$A$2:$A$35,frequence!M$2:M$35)</f>
        <v>265.64322815143237</v>
      </c>
      <c r="I610" s="18">
        <v>2005</v>
      </c>
      <c r="J610" s="7">
        <f>LOOKUP(I610,CPI!A$69:A$103,CPI!O$69:O$103)</f>
        <v>1.1165181771633383</v>
      </c>
      <c r="K610" s="5">
        <v>2015</v>
      </c>
      <c r="L610" s="7">
        <f t="shared" ca="1" si="468"/>
        <v>1</v>
      </c>
      <c r="M610" s="7">
        <f t="shared" si="487"/>
        <v>0.62000000000000011</v>
      </c>
      <c r="N610" s="14">
        <v>0.1</v>
      </c>
      <c r="O610" s="1">
        <f ca="1">P610*J610*(1+Growth!G$6)^(2010-K610)</f>
        <v>43.399706823466232</v>
      </c>
      <c r="P610" s="11">
        <v>41.9</v>
      </c>
      <c r="Q610" s="2">
        <f t="shared" si="478"/>
        <v>41.9</v>
      </c>
      <c r="R610" s="21">
        <f t="shared" ca="1" si="476"/>
        <v>1883.5345523628214</v>
      </c>
      <c r="X610" s="2"/>
      <c r="AC610" s="1">
        <f t="shared" ref="AC610:AC611" si="495">SUM(AD610:AI610)</f>
        <v>6.2</v>
      </c>
      <c r="AD610" s="5">
        <v>1</v>
      </c>
      <c r="AE610" s="5">
        <v>0</v>
      </c>
      <c r="AF610" s="5">
        <v>1</v>
      </c>
      <c r="AG610" s="5">
        <v>0</v>
      </c>
      <c r="AH610" s="5">
        <v>1</v>
      </c>
      <c r="AI610" s="3">
        <f t="shared" si="474"/>
        <v>3.2</v>
      </c>
      <c r="AJ610" s="5">
        <f t="shared" si="486"/>
        <v>1</v>
      </c>
      <c r="AK610" s="5">
        <f t="shared" si="470"/>
        <v>0</v>
      </c>
      <c r="AL610" s="5">
        <f t="shared" si="471"/>
        <v>0</v>
      </c>
      <c r="AM610" s="5">
        <f t="shared" si="488"/>
        <v>0</v>
      </c>
      <c r="AN610" s="5">
        <f t="shared" si="472"/>
        <v>0</v>
      </c>
      <c r="AO610" s="5">
        <f t="shared" si="489"/>
        <v>0</v>
      </c>
      <c r="AP610" s="11" t="s">
        <v>42</v>
      </c>
      <c r="AQ610" s="1">
        <v>3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1</v>
      </c>
      <c r="AY610" s="1">
        <f t="shared" ref="AY610:AY611" si="496">AJ610*$AD610*(1-$AV610)*(1-$AR610)</f>
        <v>1</v>
      </c>
      <c r="AZ610" s="1">
        <f t="shared" ref="AZ610:AZ611" si="497">AM610*$AD610*(1-$AV610)*(1-$AR610)</f>
        <v>0</v>
      </c>
      <c r="BA610" s="1">
        <f t="shared" ref="BA610:BA611" si="498">AO610*$AD610*(1-$AV610)*(1-$AR610)</f>
        <v>0</v>
      </c>
      <c r="BB610" s="5">
        <v>0</v>
      </c>
      <c r="BC610" s="5">
        <v>0</v>
      </c>
      <c r="BD610" s="5">
        <v>0</v>
      </c>
      <c r="BE610" s="5">
        <f t="shared" ref="BE610:BE611" si="499">1-SUM(BB610:BD610)</f>
        <v>1</v>
      </c>
      <c r="BF610" s="5">
        <v>1</v>
      </c>
      <c r="BG610" s="5">
        <f t="shared" si="485"/>
        <v>0</v>
      </c>
      <c r="BH610" s="5">
        <f t="shared" si="485"/>
        <v>0</v>
      </c>
      <c r="BI610" s="5">
        <f t="shared" si="485"/>
        <v>0</v>
      </c>
      <c r="BJ610" s="5">
        <f t="shared" si="485"/>
        <v>0</v>
      </c>
      <c r="BK610" s="5">
        <f t="shared" si="485"/>
        <v>0</v>
      </c>
      <c r="BL610" s="5">
        <f t="shared" si="485"/>
        <v>0</v>
      </c>
      <c r="BM610" s="5">
        <f t="shared" si="485"/>
        <v>0</v>
      </c>
      <c r="BN610" s="5">
        <f t="shared" si="485"/>
        <v>0</v>
      </c>
      <c r="BO610" s="5">
        <f t="shared" si="484"/>
        <v>0</v>
      </c>
      <c r="BP610" s="5">
        <f t="shared" si="484"/>
        <v>0</v>
      </c>
      <c r="BQ610" s="5">
        <f t="shared" si="484"/>
        <v>0</v>
      </c>
      <c r="BR610" s="5">
        <f t="shared" si="484"/>
        <v>0</v>
      </c>
      <c r="BS610" s="5">
        <f t="shared" si="484"/>
        <v>0</v>
      </c>
      <c r="BT610" s="5">
        <f t="shared" si="484"/>
        <v>0</v>
      </c>
      <c r="BU610" s="5">
        <f t="shared" si="484"/>
        <v>0</v>
      </c>
      <c r="BV610" s="5">
        <f t="shared" si="484"/>
        <v>0</v>
      </c>
      <c r="BW610" s="5">
        <f t="shared" si="484"/>
        <v>0</v>
      </c>
      <c r="BX610" s="5">
        <f t="shared" si="484"/>
        <v>0</v>
      </c>
      <c r="BY610" s="5">
        <f t="shared" si="484"/>
        <v>0</v>
      </c>
      <c r="BZ610" s="5">
        <f t="shared" si="484"/>
        <v>0</v>
      </c>
      <c r="CA610" s="5">
        <f t="shared" si="484"/>
        <v>0</v>
      </c>
      <c r="CB610" s="5">
        <f t="shared" si="477"/>
        <v>1</v>
      </c>
      <c r="CC610" s="5">
        <f t="shared" si="477"/>
        <v>0</v>
      </c>
      <c r="CD610" s="5">
        <f t="shared" si="477"/>
        <v>0</v>
      </c>
      <c r="CE610" s="5">
        <f t="shared" si="477"/>
        <v>0</v>
      </c>
    </row>
    <row r="611" spans="1:83" x14ac:dyDescent="0.2">
      <c r="A611" s="11"/>
      <c r="B611" s="11"/>
      <c r="C611" s="1">
        <f>Growth!D616</f>
        <v>0.9</v>
      </c>
      <c r="D611" s="5" t="b">
        <f t="shared" si="475"/>
        <v>0</v>
      </c>
      <c r="E611" s="5">
        <v>2012</v>
      </c>
      <c r="F611" s="5">
        <f ca="1">LOOKUP($E611,frequence!$A$2:$A$35,frequence!L$2:L$35)</f>
        <v>41.545638202606931</v>
      </c>
      <c r="G611" s="5">
        <f ca="1">LOOKUP($E611,frequence!$A$2:$A$35,frequence!K$2:K$35)</f>
        <v>3.8191206393393822</v>
      </c>
      <c r="H611" s="5">
        <f ca="1">LOOKUP($E611,frequence!$A$2:$A$35,frequence!M$2:M$35)</f>
        <v>265.64322815143237</v>
      </c>
      <c r="I611" s="18">
        <v>2005</v>
      </c>
      <c r="J611" s="7">
        <f>LOOKUP(I611,CPI!A$69:A$103,CPI!O$69:O$103)</f>
        <v>1.1165181771633383</v>
      </c>
      <c r="K611" s="5">
        <v>2015</v>
      </c>
      <c r="L611" s="7">
        <f t="shared" ca="1" si="468"/>
        <v>1</v>
      </c>
      <c r="M611" s="7">
        <f t="shared" si="487"/>
        <v>5.58</v>
      </c>
      <c r="N611" s="14">
        <v>0.9</v>
      </c>
      <c r="O611" s="1">
        <f ca="1">P611*J611*(1+Growth!G$6)^(2010-K611)</f>
        <v>43.896887235763693</v>
      </c>
      <c r="P611" s="11">
        <v>42.38</v>
      </c>
      <c r="Q611" s="2">
        <f t="shared" si="478"/>
        <v>42.38</v>
      </c>
      <c r="R611" s="21">
        <f t="shared" ca="1" si="476"/>
        <v>1926.9367089893533</v>
      </c>
      <c r="X611" s="2"/>
      <c r="AC611" s="1">
        <f t="shared" si="495"/>
        <v>6.2</v>
      </c>
      <c r="AD611" s="5">
        <v>1</v>
      </c>
      <c r="AE611" s="5">
        <v>0</v>
      </c>
      <c r="AF611" s="5">
        <v>1</v>
      </c>
      <c r="AG611" s="5">
        <v>0</v>
      </c>
      <c r="AH611" s="5">
        <v>1</v>
      </c>
      <c r="AI611" s="3">
        <f t="shared" si="474"/>
        <v>3.2</v>
      </c>
      <c r="AJ611" s="5">
        <f t="shared" si="486"/>
        <v>1</v>
      </c>
      <c r="AK611" s="5">
        <f t="shared" si="470"/>
        <v>0</v>
      </c>
      <c r="AL611" s="5">
        <f t="shared" si="471"/>
        <v>0</v>
      </c>
      <c r="AM611" s="5">
        <f t="shared" si="488"/>
        <v>0</v>
      </c>
      <c r="AN611" s="5">
        <f t="shared" si="472"/>
        <v>0</v>
      </c>
      <c r="AO611" s="5">
        <f t="shared" si="489"/>
        <v>0</v>
      </c>
      <c r="AP611" s="11" t="s">
        <v>42</v>
      </c>
      <c r="AQ611" s="1">
        <v>3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1</v>
      </c>
      <c r="AY611" s="1">
        <f t="shared" si="496"/>
        <v>1</v>
      </c>
      <c r="AZ611" s="1">
        <f t="shared" si="497"/>
        <v>0</v>
      </c>
      <c r="BA611" s="1">
        <f t="shared" si="498"/>
        <v>0</v>
      </c>
      <c r="BB611" s="5">
        <v>0</v>
      </c>
      <c r="BC611" s="5">
        <v>0</v>
      </c>
      <c r="BD611" s="5">
        <v>0</v>
      </c>
      <c r="BE611" s="5">
        <f t="shared" si="499"/>
        <v>1</v>
      </c>
      <c r="BF611" s="5">
        <v>1</v>
      </c>
      <c r="BG611" s="5">
        <f t="shared" si="485"/>
        <v>0</v>
      </c>
      <c r="BH611" s="5">
        <f t="shared" si="485"/>
        <v>0</v>
      </c>
      <c r="BI611" s="5">
        <f t="shared" si="485"/>
        <v>0</v>
      </c>
      <c r="BJ611" s="5">
        <f t="shared" si="485"/>
        <v>0</v>
      </c>
      <c r="BK611" s="5">
        <f t="shared" si="485"/>
        <v>0</v>
      </c>
      <c r="BL611" s="5">
        <f t="shared" si="485"/>
        <v>0</v>
      </c>
      <c r="BM611" s="5">
        <f t="shared" si="485"/>
        <v>0</v>
      </c>
      <c r="BN611" s="5">
        <f t="shared" si="485"/>
        <v>0</v>
      </c>
      <c r="BO611" s="5">
        <f t="shared" si="484"/>
        <v>0</v>
      </c>
      <c r="BP611" s="5">
        <f t="shared" si="484"/>
        <v>0</v>
      </c>
      <c r="BQ611" s="5">
        <f t="shared" si="484"/>
        <v>0</v>
      </c>
      <c r="BR611" s="5">
        <f t="shared" si="484"/>
        <v>0</v>
      </c>
      <c r="BS611" s="5">
        <f t="shared" si="484"/>
        <v>0</v>
      </c>
      <c r="BT611" s="5">
        <f t="shared" si="484"/>
        <v>0</v>
      </c>
      <c r="BU611" s="5">
        <f t="shared" si="484"/>
        <v>0</v>
      </c>
      <c r="BV611" s="5">
        <f t="shared" si="484"/>
        <v>0</v>
      </c>
      <c r="BW611" s="5">
        <f t="shared" si="484"/>
        <v>0</v>
      </c>
      <c r="BX611" s="5">
        <f t="shared" si="484"/>
        <v>0</v>
      </c>
      <c r="BY611" s="5">
        <f t="shared" si="484"/>
        <v>0</v>
      </c>
      <c r="BZ611" s="5">
        <f t="shared" si="484"/>
        <v>0</v>
      </c>
      <c r="CA611" s="5">
        <f t="shared" si="484"/>
        <v>0</v>
      </c>
      <c r="CB611" s="5">
        <f t="shared" si="477"/>
        <v>1</v>
      </c>
      <c r="CC611" s="5">
        <f t="shared" si="477"/>
        <v>0</v>
      </c>
      <c r="CD611" s="5">
        <f t="shared" si="477"/>
        <v>0</v>
      </c>
      <c r="CE611" s="5">
        <f t="shared" si="477"/>
        <v>0</v>
      </c>
    </row>
    <row r="612" spans="1:83" x14ac:dyDescent="0.2">
      <c r="A612" s="11" t="s">
        <v>180</v>
      </c>
      <c r="B612" s="11" t="s">
        <v>181</v>
      </c>
      <c r="C612" s="1">
        <f>Growth!D617</f>
        <v>0</v>
      </c>
      <c r="D612" s="5">
        <f t="shared" si="475"/>
        <v>2012</v>
      </c>
      <c r="E612" s="5">
        <v>2012</v>
      </c>
      <c r="F612" s="5">
        <f ca="1">LOOKUP($E612,frequence!$A$2:$A$35,frequence!L$2:L$35)</f>
        <v>41.545638202606931</v>
      </c>
      <c r="G612" s="5">
        <f ca="1">LOOKUP($E612,frequence!$A$2:$A$35,frequence!K$2:K$35)</f>
        <v>3.8191206393393822</v>
      </c>
      <c r="H612" s="5">
        <f ca="1">LOOKUP($E612,frequence!$A$2:$A$35,frequence!M$2:M$35)</f>
        <v>265.64322815143237</v>
      </c>
      <c r="I612" s="18">
        <v>2005</v>
      </c>
      <c r="J612" s="7">
        <f>LOOKUP(I612,CPI!A$69:A$103,CPI!O$69:O$103)</f>
        <v>1.1165181771633383</v>
      </c>
      <c r="K612" s="5">
        <v>2015</v>
      </c>
      <c r="L612" s="7">
        <f t="shared" ca="1" si="468"/>
        <v>1</v>
      </c>
      <c r="M612" s="7">
        <f t="shared" si="487"/>
        <v>4.3055555555555555E-2</v>
      </c>
      <c r="N612" s="14">
        <f>1/144</f>
        <v>6.9444444444444441E-3</v>
      </c>
      <c r="O612" s="1">
        <f ca="1">P612*J612*(1+Growth!G$6)^(2010-K612)</f>
        <v>38.324323447929608</v>
      </c>
      <c r="P612" s="11">
        <v>37</v>
      </c>
      <c r="Q612" s="2">
        <f t="shared" si="478"/>
        <v>37</v>
      </c>
      <c r="R612" s="21">
        <f t="shared" ca="1" si="476"/>
        <v>1468.7537677415271</v>
      </c>
      <c r="X612" s="2"/>
      <c r="AC612" s="1">
        <f t="shared" ref="AC612" si="500">SUM(AD612:AI612)</f>
        <v>6.2</v>
      </c>
      <c r="AD612" s="5">
        <v>1</v>
      </c>
      <c r="AE612" s="5">
        <v>0</v>
      </c>
      <c r="AF612" s="5">
        <v>1</v>
      </c>
      <c r="AG612" s="5">
        <v>0</v>
      </c>
      <c r="AH612" s="5">
        <v>1</v>
      </c>
      <c r="AI612" s="3">
        <f t="shared" si="474"/>
        <v>3.2</v>
      </c>
      <c r="AJ612" s="5">
        <f t="shared" si="486"/>
        <v>1</v>
      </c>
      <c r="AK612" s="5">
        <f t="shared" si="470"/>
        <v>0</v>
      </c>
      <c r="AL612" s="5">
        <f t="shared" si="471"/>
        <v>0</v>
      </c>
      <c r="AM612" s="5">
        <f t="shared" si="488"/>
        <v>0</v>
      </c>
      <c r="AN612" s="5">
        <f t="shared" si="472"/>
        <v>0</v>
      </c>
      <c r="AO612" s="5">
        <f t="shared" si="489"/>
        <v>0</v>
      </c>
      <c r="AP612" s="11">
        <v>3</v>
      </c>
      <c r="AQ612" s="1">
        <v>3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1</v>
      </c>
      <c r="AY612" s="1">
        <f t="shared" ref="AY612:AY675" si="501">AJ612*$AD612*(1-$AV612)*(1-$AR612)</f>
        <v>1</v>
      </c>
      <c r="AZ612" s="1">
        <f t="shared" ref="AZ612:AZ675" si="502">AM612*$AD612*(1-$AV612)*(1-$AR612)</f>
        <v>0</v>
      </c>
      <c r="BA612" s="1">
        <f t="shared" ref="BA612:BA675" si="503">AO612*$AD612*(1-$AV612)*(1-$AR612)</f>
        <v>0</v>
      </c>
      <c r="BB612" s="5">
        <v>0</v>
      </c>
      <c r="BC612" s="5">
        <v>0</v>
      </c>
      <c r="BD612" s="5">
        <v>0</v>
      </c>
      <c r="BE612" s="5">
        <f t="shared" ref="BE612:BE675" si="504">1-SUM(BB612:BD612)</f>
        <v>1</v>
      </c>
      <c r="BF612" s="5">
        <v>1</v>
      </c>
      <c r="BG612" s="5">
        <f t="shared" si="485"/>
        <v>0</v>
      </c>
      <c r="BH612" s="5">
        <f t="shared" si="485"/>
        <v>0</v>
      </c>
      <c r="BI612" s="5">
        <f t="shared" si="485"/>
        <v>0</v>
      </c>
      <c r="BJ612" s="5">
        <f t="shared" si="485"/>
        <v>0</v>
      </c>
      <c r="BK612" s="5">
        <f t="shared" si="485"/>
        <v>0</v>
      </c>
      <c r="BL612" s="5">
        <f t="shared" si="485"/>
        <v>0</v>
      </c>
      <c r="BM612" s="5">
        <f t="shared" si="485"/>
        <v>0</v>
      </c>
      <c r="BN612" s="5">
        <f t="shared" ref="BN612:CB627" si="505">IF($E612=BN$2,1,0)</f>
        <v>0</v>
      </c>
      <c r="BO612" s="5">
        <f t="shared" si="505"/>
        <v>0</v>
      </c>
      <c r="BP612" s="5">
        <f t="shared" si="505"/>
        <v>0</v>
      </c>
      <c r="BQ612" s="5">
        <f t="shared" si="505"/>
        <v>0</v>
      </c>
      <c r="BR612" s="5">
        <f t="shared" si="505"/>
        <v>0</v>
      </c>
      <c r="BS612" s="5">
        <f t="shared" si="505"/>
        <v>0</v>
      </c>
      <c r="BT612" s="5">
        <f t="shared" si="505"/>
        <v>0</v>
      </c>
      <c r="BU612" s="5">
        <f t="shared" si="505"/>
        <v>0</v>
      </c>
      <c r="BV612" s="5">
        <f t="shared" si="505"/>
        <v>0</v>
      </c>
      <c r="BW612" s="5">
        <f t="shared" si="505"/>
        <v>0</v>
      </c>
      <c r="BX612" s="5">
        <f t="shared" si="505"/>
        <v>0</v>
      </c>
      <c r="BY612" s="5">
        <f t="shared" si="505"/>
        <v>0</v>
      </c>
      <c r="BZ612" s="5">
        <f t="shared" si="505"/>
        <v>0</v>
      </c>
      <c r="CA612" s="5">
        <f t="shared" si="505"/>
        <v>0</v>
      </c>
      <c r="CB612" s="5">
        <f t="shared" si="477"/>
        <v>1</v>
      </c>
      <c r="CC612" s="5">
        <f t="shared" si="477"/>
        <v>0</v>
      </c>
      <c r="CD612" s="5">
        <f t="shared" si="477"/>
        <v>0</v>
      </c>
      <c r="CE612" s="5">
        <f t="shared" si="477"/>
        <v>0</v>
      </c>
    </row>
    <row r="613" spans="1:83" x14ac:dyDescent="0.2">
      <c r="A613" s="11"/>
      <c r="B613" s="11"/>
      <c r="C613" s="1">
        <f>Growth!D618</f>
        <v>0</v>
      </c>
      <c r="D613" s="5" t="b">
        <f t="shared" si="475"/>
        <v>0</v>
      </c>
      <c r="E613" s="5">
        <v>2012</v>
      </c>
      <c r="F613" s="5">
        <f ca="1">LOOKUP($E613,frequence!$A$2:$A$35,frequence!L$2:L$35)</f>
        <v>41.545638202606931</v>
      </c>
      <c r="G613" s="5">
        <f ca="1">LOOKUP($E613,frequence!$A$2:$A$35,frequence!K$2:K$35)</f>
        <v>3.8191206393393822</v>
      </c>
      <c r="H613" s="5">
        <f ca="1">LOOKUP($E613,frequence!$A$2:$A$35,frequence!M$2:M$35)</f>
        <v>265.64322815143237</v>
      </c>
      <c r="I613" s="18">
        <v>2005</v>
      </c>
      <c r="J613" s="7">
        <f>LOOKUP(I613,CPI!A$69:A$103,CPI!O$69:O$103)</f>
        <v>1.1165181771633383</v>
      </c>
      <c r="K613" s="5">
        <v>2015</v>
      </c>
      <c r="L613" s="7">
        <f t="shared" ca="1" si="468"/>
        <v>1</v>
      </c>
      <c r="M613" s="7">
        <f t="shared" si="487"/>
        <v>4.3055555555555555E-2</v>
      </c>
      <c r="N613" s="14">
        <f t="shared" ref="N613:N676" si="506">1/144</f>
        <v>6.9444444444444441E-3</v>
      </c>
      <c r="O613" s="1">
        <f ca="1">P613*J613*(1+Growth!G$6)^(2010-K613)</f>
        <v>40.395908499169046</v>
      </c>
      <c r="P613" s="11">
        <v>39</v>
      </c>
      <c r="Q613" s="2">
        <f t="shared" si="478"/>
        <v>39</v>
      </c>
      <c r="R613" s="21">
        <f t="shared" ca="1" si="476"/>
        <v>1631.829423473238</v>
      </c>
      <c r="X613" s="2"/>
      <c r="AC613" s="1">
        <f t="shared" ref="AC613:AC676" si="507">SUM(AD613:AI613)</f>
        <v>6.2</v>
      </c>
      <c r="AD613" s="5">
        <v>1</v>
      </c>
      <c r="AE613" s="5">
        <v>0</v>
      </c>
      <c r="AF613" s="5">
        <v>1</v>
      </c>
      <c r="AG613" s="5">
        <v>0</v>
      </c>
      <c r="AH613" s="5">
        <v>1</v>
      </c>
      <c r="AI613" s="3">
        <f t="shared" si="474"/>
        <v>3.2</v>
      </c>
      <c r="AJ613" s="5">
        <f t="shared" si="486"/>
        <v>1</v>
      </c>
      <c r="AK613" s="5">
        <f t="shared" si="470"/>
        <v>0</v>
      </c>
      <c r="AL613" s="5">
        <f t="shared" si="471"/>
        <v>0</v>
      </c>
      <c r="AM613" s="5">
        <f t="shared" si="488"/>
        <v>0</v>
      </c>
      <c r="AN613" s="5">
        <f t="shared" si="472"/>
        <v>0</v>
      </c>
      <c r="AO613" s="5">
        <f t="shared" si="489"/>
        <v>0</v>
      </c>
      <c r="AP613" s="11">
        <v>3</v>
      </c>
      <c r="AQ613" s="1">
        <v>3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1</v>
      </c>
      <c r="AY613" s="1">
        <f t="shared" si="501"/>
        <v>1</v>
      </c>
      <c r="AZ613" s="1">
        <f t="shared" si="502"/>
        <v>0</v>
      </c>
      <c r="BA613" s="1">
        <f t="shared" si="503"/>
        <v>0</v>
      </c>
      <c r="BB613" s="5">
        <v>0</v>
      </c>
      <c r="BC613" s="5">
        <v>0</v>
      </c>
      <c r="BD613" s="5">
        <v>0</v>
      </c>
      <c r="BE613" s="5">
        <f t="shared" si="504"/>
        <v>1</v>
      </c>
      <c r="BF613" s="5">
        <v>1</v>
      </c>
      <c r="BG613" s="5">
        <f t="shared" ref="BG613:BN628" si="508">IF($E613=BG$2,1,0)</f>
        <v>0</v>
      </c>
      <c r="BH613" s="5">
        <f t="shared" si="508"/>
        <v>0</v>
      </c>
      <c r="BI613" s="5">
        <f t="shared" si="508"/>
        <v>0</v>
      </c>
      <c r="BJ613" s="5">
        <f t="shared" si="508"/>
        <v>0</v>
      </c>
      <c r="BK613" s="5">
        <f t="shared" si="508"/>
        <v>0</v>
      </c>
      <c r="BL613" s="5">
        <f t="shared" si="508"/>
        <v>0</v>
      </c>
      <c r="BM613" s="5">
        <f t="shared" si="508"/>
        <v>0</v>
      </c>
      <c r="BN613" s="5">
        <f t="shared" si="505"/>
        <v>0</v>
      </c>
      <c r="BO613" s="5">
        <f t="shared" si="505"/>
        <v>0</v>
      </c>
      <c r="BP613" s="5">
        <f t="shared" si="505"/>
        <v>0</v>
      </c>
      <c r="BQ613" s="5">
        <f t="shared" si="505"/>
        <v>0</v>
      </c>
      <c r="BR613" s="5">
        <f t="shared" si="505"/>
        <v>0</v>
      </c>
      <c r="BS613" s="5">
        <f t="shared" si="505"/>
        <v>0</v>
      </c>
      <c r="BT613" s="5">
        <f t="shared" si="505"/>
        <v>0</v>
      </c>
      <c r="BU613" s="5">
        <f t="shared" si="505"/>
        <v>0</v>
      </c>
      <c r="BV613" s="5">
        <f t="shared" si="505"/>
        <v>0</v>
      </c>
      <c r="BW613" s="5">
        <f t="shared" si="505"/>
        <v>0</v>
      </c>
      <c r="BX613" s="5">
        <f t="shared" si="505"/>
        <v>0</v>
      </c>
      <c r="BY613" s="5">
        <f t="shared" si="505"/>
        <v>0</v>
      </c>
      <c r="BZ613" s="5">
        <f t="shared" si="505"/>
        <v>0</v>
      </c>
      <c r="CA613" s="5">
        <f t="shared" si="505"/>
        <v>0</v>
      </c>
      <c r="CB613" s="5">
        <f t="shared" si="477"/>
        <v>1</v>
      </c>
      <c r="CC613" s="5">
        <f t="shared" si="477"/>
        <v>0</v>
      </c>
      <c r="CD613" s="5">
        <f t="shared" si="477"/>
        <v>0</v>
      </c>
      <c r="CE613" s="5">
        <f t="shared" si="477"/>
        <v>0</v>
      </c>
    </row>
    <row r="614" spans="1:83" x14ac:dyDescent="0.2">
      <c r="A614" s="11"/>
      <c r="B614" s="11"/>
      <c r="C614" s="1">
        <f>Growth!D619</f>
        <v>0</v>
      </c>
      <c r="D614" s="5" t="b">
        <f t="shared" si="475"/>
        <v>0</v>
      </c>
      <c r="E614" s="5">
        <v>2012</v>
      </c>
      <c r="F614" s="5">
        <f ca="1">LOOKUP($E614,frequence!$A$2:$A$35,frequence!L$2:L$35)</f>
        <v>41.545638202606931</v>
      </c>
      <c r="G614" s="5">
        <f ca="1">LOOKUP($E614,frequence!$A$2:$A$35,frequence!K$2:K$35)</f>
        <v>3.8191206393393822</v>
      </c>
      <c r="H614" s="5">
        <f ca="1">LOOKUP($E614,frequence!$A$2:$A$35,frequence!M$2:M$35)</f>
        <v>265.64322815143237</v>
      </c>
      <c r="I614" s="18">
        <v>2005</v>
      </c>
      <c r="J614" s="7">
        <f>LOOKUP(I614,CPI!A$69:A$103,CPI!O$69:O$103)</f>
        <v>1.1165181771633383</v>
      </c>
      <c r="K614" s="5">
        <v>2015</v>
      </c>
      <c r="L614" s="7">
        <f t="shared" ca="1" si="468"/>
        <v>1</v>
      </c>
      <c r="M614" s="7">
        <f t="shared" si="487"/>
        <v>4.3055555555555555E-2</v>
      </c>
      <c r="N614" s="14">
        <f t="shared" si="506"/>
        <v>6.9444444444444441E-3</v>
      </c>
      <c r="O614" s="1">
        <f ca="1">P614*J614*(1+Growth!G$6)^(2010-K614)</f>
        <v>37.288530922309889</v>
      </c>
      <c r="P614" s="11">
        <v>36</v>
      </c>
      <c r="Q614" s="2">
        <f t="shared" si="478"/>
        <v>36</v>
      </c>
      <c r="R614" s="21">
        <f t="shared" ca="1" si="476"/>
        <v>1390.4345383440607</v>
      </c>
      <c r="X614" s="2"/>
      <c r="AC614" s="1">
        <f t="shared" si="507"/>
        <v>6.2</v>
      </c>
      <c r="AD614" s="5">
        <v>1</v>
      </c>
      <c r="AE614" s="5">
        <v>0</v>
      </c>
      <c r="AF614" s="5">
        <v>1</v>
      </c>
      <c r="AG614" s="5">
        <v>0</v>
      </c>
      <c r="AH614" s="5">
        <v>1</v>
      </c>
      <c r="AI614" s="3">
        <f t="shared" si="474"/>
        <v>3.2</v>
      </c>
      <c r="AJ614" s="5">
        <f t="shared" si="486"/>
        <v>1</v>
      </c>
      <c r="AK614" s="5">
        <f t="shared" si="470"/>
        <v>0</v>
      </c>
      <c r="AL614" s="5">
        <f t="shared" si="471"/>
        <v>0</v>
      </c>
      <c r="AM614" s="5">
        <f t="shared" si="488"/>
        <v>0</v>
      </c>
      <c r="AN614" s="5">
        <f t="shared" si="472"/>
        <v>0</v>
      </c>
      <c r="AO614" s="5">
        <f t="shared" si="489"/>
        <v>0</v>
      </c>
      <c r="AP614" s="11">
        <v>3</v>
      </c>
      <c r="AQ614" s="1">
        <v>3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1</v>
      </c>
      <c r="AY614" s="1">
        <f t="shared" si="501"/>
        <v>1</v>
      </c>
      <c r="AZ614" s="1">
        <f t="shared" si="502"/>
        <v>0</v>
      </c>
      <c r="BA614" s="1">
        <f t="shared" si="503"/>
        <v>0</v>
      </c>
      <c r="BB614" s="5">
        <v>0</v>
      </c>
      <c r="BC614" s="5">
        <v>0</v>
      </c>
      <c r="BD614" s="5">
        <v>0</v>
      </c>
      <c r="BE614" s="5">
        <f t="shared" si="504"/>
        <v>1</v>
      </c>
      <c r="BF614" s="5">
        <v>1</v>
      </c>
      <c r="BG614" s="5">
        <f t="shared" si="508"/>
        <v>0</v>
      </c>
      <c r="BH614" s="5">
        <f t="shared" si="508"/>
        <v>0</v>
      </c>
      <c r="BI614" s="5">
        <f t="shared" si="508"/>
        <v>0</v>
      </c>
      <c r="BJ614" s="5">
        <f t="shared" si="508"/>
        <v>0</v>
      </c>
      <c r="BK614" s="5">
        <f t="shared" si="508"/>
        <v>0</v>
      </c>
      <c r="BL614" s="5">
        <f t="shared" si="508"/>
        <v>0</v>
      </c>
      <c r="BM614" s="5">
        <f t="shared" si="508"/>
        <v>0</v>
      </c>
      <c r="BN614" s="5">
        <f t="shared" si="505"/>
        <v>0</v>
      </c>
      <c r="BO614" s="5">
        <f t="shared" si="505"/>
        <v>0</v>
      </c>
      <c r="BP614" s="5">
        <f t="shared" si="505"/>
        <v>0</v>
      </c>
      <c r="BQ614" s="5">
        <f t="shared" si="505"/>
        <v>0</v>
      </c>
      <c r="BR614" s="5">
        <f t="shared" si="505"/>
        <v>0</v>
      </c>
      <c r="BS614" s="5">
        <f t="shared" si="505"/>
        <v>0</v>
      </c>
      <c r="BT614" s="5">
        <f t="shared" si="505"/>
        <v>0</v>
      </c>
      <c r="BU614" s="5">
        <f t="shared" si="505"/>
        <v>0</v>
      </c>
      <c r="BV614" s="5">
        <f t="shared" si="505"/>
        <v>0</v>
      </c>
      <c r="BW614" s="5">
        <f t="shared" si="505"/>
        <v>0</v>
      </c>
      <c r="BX614" s="5">
        <f t="shared" si="505"/>
        <v>0</v>
      </c>
      <c r="BY614" s="5">
        <f t="shared" si="505"/>
        <v>0</v>
      </c>
      <c r="BZ614" s="5">
        <f t="shared" si="505"/>
        <v>0</v>
      </c>
      <c r="CA614" s="5">
        <f t="shared" si="505"/>
        <v>0</v>
      </c>
      <c r="CB614" s="5">
        <f t="shared" si="477"/>
        <v>1</v>
      </c>
      <c r="CC614" s="5">
        <f t="shared" si="477"/>
        <v>0</v>
      </c>
      <c r="CD614" s="5">
        <f t="shared" si="477"/>
        <v>0</v>
      </c>
      <c r="CE614" s="5">
        <f t="shared" si="477"/>
        <v>0</v>
      </c>
    </row>
    <row r="615" spans="1:83" x14ac:dyDescent="0.2">
      <c r="A615" s="11"/>
      <c r="B615" s="11"/>
      <c r="C615" s="1">
        <f>Growth!D620</f>
        <v>0</v>
      </c>
      <c r="D615" s="5" t="b">
        <f t="shared" si="475"/>
        <v>0</v>
      </c>
      <c r="E615" s="5">
        <v>2012</v>
      </c>
      <c r="F615" s="5">
        <f ca="1">LOOKUP($E615,frequence!$A$2:$A$35,frequence!L$2:L$35)</f>
        <v>41.545638202606931</v>
      </c>
      <c r="G615" s="5">
        <f ca="1">LOOKUP($E615,frequence!$A$2:$A$35,frequence!K$2:K$35)</f>
        <v>3.8191206393393822</v>
      </c>
      <c r="H615" s="5">
        <f ca="1">LOOKUP($E615,frequence!$A$2:$A$35,frequence!M$2:M$35)</f>
        <v>265.64322815143237</v>
      </c>
      <c r="I615" s="18">
        <v>2005</v>
      </c>
      <c r="J615" s="7">
        <f>LOOKUP(I615,CPI!A$69:A$103,CPI!O$69:O$103)</f>
        <v>1.1165181771633383</v>
      </c>
      <c r="K615" s="5">
        <v>2015</v>
      </c>
      <c r="L615" s="7">
        <f t="shared" ca="1" si="468"/>
        <v>1</v>
      </c>
      <c r="M615" s="7">
        <f t="shared" si="487"/>
        <v>4.3055555555555555E-2</v>
      </c>
      <c r="N615" s="14">
        <f t="shared" si="506"/>
        <v>6.9444444444444441E-3</v>
      </c>
      <c r="O615" s="1">
        <f ca="1">P615*J615*(1+Growth!G$6)^(2010-K615)</f>
        <v>50.75383375536623</v>
      </c>
      <c r="P615" s="11">
        <v>49</v>
      </c>
      <c r="Q615" s="2">
        <f t="shared" si="478"/>
        <v>49</v>
      </c>
      <c r="R615" s="21">
        <f t="shared" ca="1" si="476"/>
        <v>2575.9516408673526</v>
      </c>
      <c r="X615" s="2"/>
      <c r="AC615" s="1">
        <f t="shared" si="507"/>
        <v>6.2</v>
      </c>
      <c r="AD615" s="5">
        <v>1</v>
      </c>
      <c r="AE615" s="5">
        <v>0</v>
      </c>
      <c r="AF615" s="5">
        <v>1</v>
      </c>
      <c r="AG615" s="5">
        <v>0</v>
      </c>
      <c r="AH615" s="5">
        <v>1</v>
      </c>
      <c r="AI615" s="3">
        <f t="shared" si="474"/>
        <v>3.2</v>
      </c>
      <c r="AJ615" s="5">
        <f t="shared" si="486"/>
        <v>1</v>
      </c>
      <c r="AK615" s="5">
        <f t="shared" si="470"/>
        <v>0</v>
      </c>
      <c r="AL615" s="5">
        <f t="shared" si="471"/>
        <v>0</v>
      </c>
      <c r="AM615" s="5">
        <f t="shared" si="488"/>
        <v>0</v>
      </c>
      <c r="AN615" s="5">
        <f t="shared" si="472"/>
        <v>0</v>
      </c>
      <c r="AO615" s="5">
        <f t="shared" si="489"/>
        <v>0</v>
      </c>
      <c r="AP615" s="11">
        <v>3</v>
      </c>
      <c r="AQ615" s="1">
        <v>3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1</v>
      </c>
      <c r="AY615" s="1">
        <f t="shared" si="501"/>
        <v>1</v>
      </c>
      <c r="AZ615" s="1">
        <f t="shared" si="502"/>
        <v>0</v>
      </c>
      <c r="BA615" s="1">
        <f t="shared" si="503"/>
        <v>0</v>
      </c>
      <c r="BB615" s="5">
        <v>0</v>
      </c>
      <c r="BC615" s="5">
        <v>0</v>
      </c>
      <c r="BD615" s="5">
        <v>0</v>
      </c>
      <c r="BE615" s="5">
        <f t="shared" si="504"/>
        <v>1</v>
      </c>
      <c r="BF615" s="5">
        <v>1</v>
      </c>
      <c r="BG615" s="5">
        <f t="shared" si="508"/>
        <v>0</v>
      </c>
      <c r="BH615" s="5">
        <f t="shared" si="508"/>
        <v>0</v>
      </c>
      <c r="BI615" s="5">
        <f t="shared" si="508"/>
        <v>0</v>
      </c>
      <c r="BJ615" s="5">
        <f t="shared" si="508"/>
        <v>0</v>
      </c>
      <c r="BK615" s="5">
        <f t="shared" si="508"/>
        <v>0</v>
      </c>
      <c r="BL615" s="5">
        <f t="shared" si="508"/>
        <v>0</v>
      </c>
      <c r="BM615" s="5">
        <f t="shared" si="508"/>
        <v>0</v>
      </c>
      <c r="BN615" s="5">
        <f t="shared" si="505"/>
        <v>0</v>
      </c>
      <c r="BO615" s="5">
        <f t="shared" si="505"/>
        <v>0</v>
      </c>
      <c r="BP615" s="5">
        <f t="shared" si="505"/>
        <v>0</v>
      </c>
      <c r="BQ615" s="5">
        <f t="shared" si="505"/>
        <v>0</v>
      </c>
      <c r="BR615" s="5">
        <f t="shared" si="505"/>
        <v>0</v>
      </c>
      <c r="BS615" s="5">
        <f t="shared" si="505"/>
        <v>0</v>
      </c>
      <c r="BT615" s="5">
        <f t="shared" si="505"/>
        <v>0</v>
      </c>
      <c r="BU615" s="5">
        <f t="shared" si="505"/>
        <v>0</v>
      </c>
      <c r="BV615" s="5">
        <f t="shared" si="505"/>
        <v>0</v>
      </c>
      <c r="BW615" s="5">
        <f t="shared" si="505"/>
        <v>0</v>
      </c>
      <c r="BX615" s="5">
        <f t="shared" si="505"/>
        <v>0</v>
      </c>
      <c r="BY615" s="5">
        <f t="shared" si="505"/>
        <v>0</v>
      </c>
      <c r="BZ615" s="5">
        <f t="shared" si="505"/>
        <v>0</v>
      </c>
      <c r="CA615" s="5">
        <f t="shared" si="505"/>
        <v>0</v>
      </c>
      <c r="CB615" s="5">
        <f t="shared" si="505"/>
        <v>1</v>
      </c>
      <c r="CC615" s="5">
        <f t="shared" ref="CC615:CE634" si="509">IF($E615=CC$2,1,0)</f>
        <v>0</v>
      </c>
      <c r="CD615" s="5">
        <f t="shared" si="509"/>
        <v>0</v>
      </c>
      <c r="CE615" s="5">
        <f t="shared" si="509"/>
        <v>0</v>
      </c>
    </row>
    <row r="616" spans="1:83" x14ac:dyDescent="0.2">
      <c r="A616" s="11"/>
      <c r="B616" s="11"/>
      <c r="C616" s="1">
        <f>Growth!D621</f>
        <v>0</v>
      </c>
      <c r="D616" s="5" t="b">
        <f t="shared" si="475"/>
        <v>0</v>
      </c>
      <c r="E616" s="5">
        <v>2012</v>
      </c>
      <c r="F616" s="5">
        <f ca="1">LOOKUP($E616,frequence!$A$2:$A$35,frequence!L$2:L$35)</f>
        <v>41.545638202606931</v>
      </c>
      <c r="G616" s="5">
        <f ca="1">LOOKUP($E616,frequence!$A$2:$A$35,frequence!K$2:K$35)</f>
        <v>3.8191206393393822</v>
      </c>
      <c r="H616" s="5">
        <f ca="1">LOOKUP($E616,frequence!$A$2:$A$35,frequence!M$2:M$35)</f>
        <v>265.64322815143237</v>
      </c>
      <c r="I616" s="18">
        <v>2005</v>
      </c>
      <c r="J616" s="7">
        <f>LOOKUP(I616,CPI!A$69:A$103,CPI!O$69:O$103)</f>
        <v>1.1165181771633383</v>
      </c>
      <c r="K616" s="5">
        <v>2015</v>
      </c>
      <c r="L616" s="7">
        <f t="shared" ca="1" si="468"/>
        <v>1</v>
      </c>
      <c r="M616" s="7">
        <f t="shared" si="487"/>
        <v>4.3055555555555555E-2</v>
      </c>
      <c r="N616" s="14">
        <f t="shared" si="506"/>
        <v>6.9444444444444441E-3</v>
      </c>
      <c r="O616" s="1">
        <f ca="1">P616*J616*(1+Growth!G$6)^(2010-K616)</f>
        <v>26.930605666112697</v>
      </c>
      <c r="P616" s="11">
        <v>26</v>
      </c>
      <c r="Q616" s="2">
        <f t="shared" si="478"/>
        <v>26</v>
      </c>
      <c r="R616" s="21">
        <f t="shared" ca="1" si="476"/>
        <v>725.25752154366137</v>
      </c>
      <c r="X616" s="2"/>
      <c r="AC616" s="1">
        <f t="shared" si="507"/>
        <v>6.2</v>
      </c>
      <c r="AD616" s="5">
        <v>1</v>
      </c>
      <c r="AE616" s="5">
        <v>0</v>
      </c>
      <c r="AF616" s="5">
        <v>1</v>
      </c>
      <c r="AG616" s="5">
        <v>0</v>
      </c>
      <c r="AH616" s="5">
        <v>1</v>
      </c>
      <c r="AI616" s="3">
        <f t="shared" si="474"/>
        <v>3.2</v>
      </c>
      <c r="AJ616" s="5">
        <f t="shared" si="486"/>
        <v>1</v>
      </c>
      <c r="AK616" s="5">
        <f t="shared" si="470"/>
        <v>0</v>
      </c>
      <c r="AL616" s="5">
        <f t="shared" si="471"/>
        <v>0</v>
      </c>
      <c r="AM616" s="5">
        <f t="shared" si="488"/>
        <v>0</v>
      </c>
      <c r="AN616" s="5">
        <f t="shared" si="472"/>
        <v>0</v>
      </c>
      <c r="AO616" s="5">
        <f t="shared" si="489"/>
        <v>0</v>
      </c>
      <c r="AP616" s="11">
        <v>3</v>
      </c>
      <c r="AQ616" s="1">
        <v>3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1</v>
      </c>
      <c r="AY616" s="1">
        <f t="shared" si="501"/>
        <v>1</v>
      </c>
      <c r="AZ616" s="1">
        <f t="shared" si="502"/>
        <v>0</v>
      </c>
      <c r="BA616" s="1">
        <f t="shared" si="503"/>
        <v>0</v>
      </c>
      <c r="BB616" s="5">
        <v>0</v>
      </c>
      <c r="BC616" s="5">
        <v>0</v>
      </c>
      <c r="BD616" s="5">
        <v>0</v>
      </c>
      <c r="BE616" s="5">
        <f t="shared" si="504"/>
        <v>1</v>
      </c>
      <c r="BF616" s="5">
        <v>1</v>
      </c>
      <c r="BG616" s="5">
        <f t="shared" si="508"/>
        <v>0</v>
      </c>
      <c r="BH616" s="5">
        <f t="shared" si="508"/>
        <v>0</v>
      </c>
      <c r="BI616" s="5">
        <f t="shared" si="508"/>
        <v>0</v>
      </c>
      <c r="BJ616" s="5">
        <f t="shared" si="508"/>
        <v>0</v>
      </c>
      <c r="BK616" s="5">
        <f t="shared" si="508"/>
        <v>0</v>
      </c>
      <c r="BL616" s="5">
        <f t="shared" si="508"/>
        <v>0</v>
      </c>
      <c r="BM616" s="5">
        <f t="shared" si="508"/>
        <v>0</v>
      </c>
      <c r="BN616" s="5">
        <f t="shared" si="505"/>
        <v>0</v>
      </c>
      <c r="BO616" s="5">
        <f t="shared" si="505"/>
        <v>0</v>
      </c>
      <c r="BP616" s="5">
        <f t="shared" si="505"/>
        <v>0</v>
      </c>
      <c r="BQ616" s="5">
        <f t="shared" si="505"/>
        <v>0</v>
      </c>
      <c r="BR616" s="5">
        <f t="shared" si="505"/>
        <v>0</v>
      </c>
      <c r="BS616" s="5">
        <f t="shared" si="505"/>
        <v>0</v>
      </c>
      <c r="BT616" s="5">
        <f t="shared" si="505"/>
        <v>0</v>
      </c>
      <c r="BU616" s="5">
        <f t="shared" si="505"/>
        <v>0</v>
      </c>
      <c r="BV616" s="5">
        <f t="shared" si="505"/>
        <v>0</v>
      </c>
      <c r="BW616" s="5">
        <f t="shared" si="505"/>
        <v>0</v>
      </c>
      <c r="BX616" s="5">
        <f t="shared" si="505"/>
        <v>0</v>
      </c>
      <c r="BY616" s="5">
        <f t="shared" si="505"/>
        <v>0</v>
      </c>
      <c r="BZ616" s="5">
        <f t="shared" si="505"/>
        <v>0</v>
      </c>
      <c r="CA616" s="5">
        <f t="shared" si="505"/>
        <v>0</v>
      </c>
      <c r="CB616" s="5">
        <f t="shared" si="505"/>
        <v>1</v>
      </c>
      <c r="CC616" s="5">
        <f t="shared" si="509"/>
        <v>0</v>
      </c>
      <c r="CD616" s="5">
        <f t="shared" si="509"/>
        <v>0</v>
      </c>
      <c r="CE616" s="5">
        <f t="shared" si="509"/>
        <v>0</v>
      </c>
    </row>
    <row r="617" spans="1:83" x14ac:dyDescent="0.2">
      <c r="A617" s="11"/>
      <c r="B617" s="11"/>
      <c r="C617" s="1">
        <f>Growth!D622</f>
        <v>0</v>
      </c>
      <c r="D617" s="5" t="b">
        <f t="shared" si="475"/>
        <v>0</v>
      </c>
      <c r="E617" s="5">
        <v>2012</v>
      </c>
      <c r="F617" s="5">
        <f ca="1">LOOKUP($E617,frequence!$A$2:$A$35,frequence!L$2:L$35)</f>
        <v>41.545638202606931</v>
      </c>
      <c r="G617" s="5">
        <f ca="1">LOOKUP($E617,frequence!$A$2:$A$35,frequence!K$2:K$35)</f>
        <v>3.8191206393393822</v>
      </c>
      <c r="H617" s="5">
        <f ca="1">LOOKUP($E617,frequence!$A$2:$A$35,frequence!M$2:M$35)</f>
        <v>265.64322815143237</v>
      </c>
      <c r="I617" s="18">
        <v>2005</v>
      </c>
      <c r="J617" s="7">
        <f>LOOKUP(I617,CPI!A$69:A$103,CPI!O$69:O$103)</f>
        <v>1.1165181771633383</v>
      </c>
      <c r="K617" s="5">
        <v>2015</v>
      </c>
      <c r="L617" s="7">
        <f t="shared" ca="1" si="468"/>
        <v>1</v>
      </c>
      <c r="M617" s="7">
        <f t="shared" si="487"/>
        <v>4.3055555555555555E-2</v>
      </c>
      <c r="N617" s="14">
        <f t="shared" si="506"/>
        <v>6.9444444444444441E-3</v>
      </c>
      <c r="O617" s="1">
        <f ca="1">P617*J617*(1+Growth!G$6)^(2010-K617)</f>
        <v>50.75383375536623</v>
      </c>
      <c r="P617" s="11">
        <v>49</v>
      </c>
      <c r="Q617" s="2">
        <f t="shared" si="478"/>
        <v>49</v>
      </c>
      <c r="R617" s="21">
        <f t="shared" ca="1" si="476"/>
        <v>2575.9516408673526</v>
      </c>
      <c r="X617" s="2"/>
      <c r="AC617" s="1">
        <f t="shared" si="507"/>
        <v>6.2</v>
      </c>
      <c r="AD617" s="5">
        <v>1</v>
      </c>
      <c r="AE617" s="5">
        <v>0</v>
      </c>
      <c r="AF617" s="5">
        <v>1</v>
      </c>
      <c r="AG617" s="5">
        <v>0</v>
      </c>
      <c r="AH617" s="5">
        <v>1</v>
      </c>
      <c r="AI617" s="3">
        <f t="shared" si="474"/>
        <v>3.2</v>
      </c>
      <c r="AJ617" s="5">
        <f t="shared" si="486"/>
        <v>1</v>
      </c>
      <c r="AK617" s="5">
        <f t="shared" si="470"/>
        <v>0</v>
      </c>
      <c r="AL617" s="5">
        <f t="shared" si="471"/>
        <v>0</v>
      </c>
      <c r="AM617" s="5">
        <f t="shared" si="488"/>
        <v>0</v>
      </c>
      <c r="AN617" s="5">
        <f t="shared" si="472"/>
        <v>0</v>
      </c>
      <c r="AO617" s="5">
        <f t="shared" si="489"/>
        <v>0</v>
      </c>
      <c r="AP617" s="11">
        <v>3</v>
      </c>
      <c r="AQ617" s="1">
        <v>3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1</v>
      </c>
      <c r="AY617" s="1">
        <f t="shared" si="501"/>
        <v>1</v>
      </c>
      <c r="AZ617" s="1">
        <f t="shared" si="502"/>
        <v>0</v>
      </c>
      <c r="BA617" s="1">
        <f t="shared" si="503"/>
        <v>0</v>
      </c>
      <c r="BB617" s="5">
        <v>0</v>
      </c>
      <c r="BC617" s="5">
        <v>0</v>
      </c>
      <c r="BD617" s="5">
        <v>0</v>
      </c>
      <c r="BE617" s="5">
        <f t="shared" si="504"/>
        <v>1</v>
      </c>
      <c r="BF617" s="5">
        <v>1</v>
      </c>
      <c r="BG617" s="5">
        <f t="shared" si="508"/>
        <v>0</v>
      </c>
      <c r="BH617" s="5">
        <f t="shared" si="508"/>
        <v>0</v>
      </c>
      <c r="BI617" s="5">
        <f t="shared" si="508"/>
        <v>0</v>
      </c>
      <c r="BJ617" s="5">
        <f t="shared" si="508"/>
        <v>0</v>
      </c>
      <c r="BK617" s="5">
        <f t="shared" si="508"/>
        <v>0</v>
      </c>
      <c r="BL617" s="5">
        <f t="shared" si="508"/>
        <v>0</v>
      </c>
      <c r="BM617" s="5">
        <f t="shared" si="508"/>
        <v>0</v>
      </c>
      <c r="BN617" s="5">
        <f t="shared" si="505"/>
        <v>0</v>
      </c>
      <c r="BO617" s="5">
        <f t="shared" si="505"/>
        <v>0</v>
      </c>
      <c r="BP617" s="5">
        <f t="shared" si="505"/>
        <v>0</v>
      </c>
      <c r="BQ617" s="5">
        <f t="shared" si="505"/>
        <v>0</v>
      </c>
      <c r="BR617" s="5">
        <f t="shared" si="505"/>
        <v>0</v>
      </c>
      <c r="BS617" s="5">
        <f t="shared" si="505"/>
        <v>0</v>
      </c>
      <c r="BT617" s="5">
        <f t="shared" si="505"/>
        <v>0</v>
      </c>
      <c r="BU617" s="5">
        <f t="shared" si="505"/>
        <v>0</v>
      </c>
      <c r="BV617" s="5">
        <f t="shared" si="505"/>
        <v>0</v>
      </c>
      <c r="BW617" s="5">
        <f t="shared" si="505"/>
        <v>0</v>
      </c>
      <c r="BX617" s="5">
        <f t="shared" si="505"/>
        <v>0</v>
      </c>
      <c r="BY617" s="5">
        <f t="shared" si="505"/>
        <v>0</v>
      </c>
      <c r="BZ617" s="5">
        <f t="shared" si="505"/>
        <v>0</v>
      </c>
      <c r="CA617" s="5">
        <f t="shared" si="505"/>
        <v>0</v>
      </c>
      <c r="CB617" s="5">
        <f t="shared" si="505"/>
        <v>1</v>
      </c>
      <c r="CC617" s="5">
        <f t="shared" si="509"/>
        <v>0</v>
      </c>
      <c r="CD617" s="5">
        <f t="shared" si="509"/>
        <v>0</v>
      </c>
      <c r="CE617" s="5">
        <f t="shared" si="509"/>
        <v>0</v>
      </c>
    </row>
    <row r="618" spans="1:83" x14ac:dyDescent="0.2">
      <c r="A618" s="11"/>
      <c r="B618" s="11"/>
      <c r="C618" s="1">
        <f>Growth!D623</f>
        <v>0</v>
      </c>
      <c r="D618" s="5" t="b">
        <f t="shared" si="475"/>
        <v>0</v>
      </c>
      <c r="E618" s="5">
        <v>2012</v>
      </c>
      <c r="F618" s="5">
        <f ca="1">LOOKUP($E618,frequence!$A$2:$A$35,frequence!L$2:L$35)</f>
        <v>41.545638202606931</v>
      </c>
      <c r="G618" s="5">
        <f ca="1">LOOKUP($E618,frequence!$A$2:$A$35,frequence!K$2:K$35)</f>
        <v>3.8191206393393822</v>
      </c>
      <c r="H618" s="5">
        <f ca="1">LOOKUP($E618,frequence!$A$2:$A$35,frequence!M$2:M$35)</f>
        <v>265.64322815143237</v>
      </c>
      <c r="I618" s="18">
        <v>2005</v>
      </c>
      <c r="J618" s="7">
        <f>LOOKUP(I618,CPI!A$69:A$103,CPI!O$69:O$103)</f>
        <v>1.1165181771633383</v>
      </c>
      <c r="K618" s="5">
        <v>2015</v>
      </c>
      <c r="L618" s="7">
        <f t="shared" ca="1" si="468"/>
        <v>1</v>
      </c>
      <c r="M618" s="7">
        <f t="shared" si="487"/>
        <v>4.3055555555555555E-2</v>
      </c>
      <c r="N618" s="14">
        <f t="shared" si="506"/>
        <v>6.9444444444444441E-3</v>
      </c>
      <c r="O618" s="1">
        <f ca="1">P618*J618*(1+Growth!G$6)^(2010-K618)</f>
        <v>31.07377576859157</v>
      </c>
      <c r="P618" s="11">
        <v>30</v>
      </c>
      <c r="Q618" s="2">
        <f t="shared" si="478"/>
        <v>30</v>
      </c>
      <c r="R618" s="21">
        <f t="shared" ca="1" si="476"/>
        <v>965.57954051670868</v>
      </c>
      <c r="X618" s="2"/>
      <c r="AC618" s="1">
        <f t="shared" si="507"/>
        <v>6.2</v>
      </c>
      <c r="AD618" s="5">
        <v>1</v>
      </c>
      <c r="AE618" s="5">
        <v>0</v>
      </c>
      <c r="AF618" s="5">
        <v>1</v>
      </c>
      <c r="AG618" s="5">
        <v>0</v>
      </c>
      <c r="AH618" s="5">
        <v>1</v>
      </c>
      <c r="AI618" s="3">
        <f t="shared" si="474"/>
        <v>3.2</v>
      </c>
      <c r="AJ618" s="5">
        <f t="shared" si="486"/>
        <v>1</v>
      </c>
      <c r="AK618" s="5">
        <f t="shared" si="470"/>
        <v>0</v>
      </c>
      <c r="AL618" s="5">
        <f t="shared" si="471"/>
        <v>0</v>
      </c>
      <c r="AM618" s="5">
        <f t="shared" si="488"/>
        <v>0</v>
      </c>
      <c r="AN618" s="5">
        <f t="shared" si="472"/>
        <v>0</v>
      </c>
      <c r="AO618" s="5">
        <f t="shared" si="489"/>
        <v>0</v>
      </c>
      <c r="AP618" s="11">
        <v>3</v>
      </c>
      <c r="AQ618" s="1">
        <v>3</v>
      </c>
      <c r="AR618" s="5">
        <v>0</v>
      </c>
      <c r="AS618" s="5">
        <v>0</v>
      </c>
      <c r="AT618" s="5">
        <v>0</v>
      </c>
      <c r="AU618" s="5">
        <v>0</v>
      </c>
      <c r="AV618" s="5">
        <v>0</v>
      </c>
      <c r="AW618" s="5">
        <v>0</v>
      </c>
      <c r="AX618" s="5">
        <v>1</v>
      </c>
      <c r="AY618" s="1">
        <f t="shared" si="501"/>
        <v>1</v>
      </c>
      <c r="AZ618" s="1">
        <f t="shared" si="502"/>
        <v>0</v>
      </c>
      <c r="BA618" s="1">
        <f t="shared" si="503"/>
        <v>0</v>
      </c>
      <c r="BB618" s="5">
        <v>0</v>
      </c>
      <c r="BC618" s="5">
        <v>0</v>
      </c>
      <c r="BD618" s="5">
        <v>0</v>
      </c>
      <c r="BE618" s="5">
        <f t="shared" si="504"/>
        <v>1</v>
      </c>
      <c r="BF618" s="5">
        <v>1</v>
      </c>
      <c r="BG618" s="5">
        <f t="shared" si="508"/>
        <v>0</v>
      </c>
      <c r="BH618" s="5">
        <f t="shared" si="508"/>
        <v>0</v>
      </c>
      <c r="BI618" s="5">
        <f t="shared" si="508"/>
        <v>0</v>
      </c>
      <c r="BJ618" s="5">
        <f t="shared" si="508"/>
        <v>0</v>
      </c>
      <c r="BK618" s="5">
        <f t="shared" si="508"/>
        <v>0</v>
      </c>
      <c r="BL618" s="5">
        <f t="shared" si="508"/>
        <v>0</v>
      </c>
      <c r="BM618" s="5">
        <f t="shared" si="508"/>
        <v>0</v>
      </c>
      <c r="BN618" s="5">
        <f t="shared" si="505"/>
        <v>0</v>
      </c>
      <c r="BO618" s="5">
        <f t="shared" si="505"/>
        <v>0</v>
      </c>
      <c r="BP618" s="5">
        <f t="shared" si="505"/>
        <v>0</v>
      </c>
      <c r="BQ618" s="5">
        <f t="shared" si="505"/>
        <v>0</v>
      </c>
      <c r="BR618" s="5">
        <f t="shared" si="505"/>
        <v>0</v>
      </c>
      <c r="BS618" s="5">
        <f t="shared" si="505"/>
        <v>0</v>
      </c>
      <c r="BT618" s="5">
        <f t="shared" si="505"/>
        <v>0</v>
      </c>
      <c r="BU618" s="5">
        <f t="shared" si="505"/>
        <v>0</v>
      </c>
      <c r="BV618" s="5">
        <f t="shared" si="505"/>
        <v>0</v>
      </c>
      <c r="BW618" s="5">
        <f t="shared" si="505"/>
        <v>0</v>
      </c>
      <c r="BX618" s="5">
        <f t="shared" si="505"/>
        <v>0</v>
      </c>
      <c r="BY618" s="5">
        <f t="shared" si="505"/>
        <v>0</v>
      </c>
      <c r="BZ618" s="5">
        <f t="shared" si="505"/>
        <v>0</v>
      </c>
      <c r="CA618" s="5">
        <f t="shared" si="505"/>
        <v>0</v>
      </c>
      <c r="CB618" s="5">
        <f t="shared" si="505"/>
        <v>1</v>
      </c>
      <c r="CC618" s="5">
        <f t="shared" si="509"/>
        <v>0</v>
      </c>
      <c r="CD618" s="5">
        <f t="shared" si="509"/>
        <v>0</v>
      </c>
      <c r="CE618" s="5">
        <f t="shared" si="509"/>
        <v>0</v>
      </c>
    </row>
    <row r="619" spans="1:83" x14ac:dyDescent="0.2">
      <c r="A619" s="11"/>
      <c r="B619" s="11"/>
      <c r="C619" s="1">
        <f>Growth!D624</f>
        <v>0</v>
      </c>
      <c r="D619" s="5" t="b">
        <f t="shared" si="475"/>
        <v>0</v>
      </c>
      <c r="E619" s="5">
        <v>2012</v>
      </c>
      <c r="F619" s="5">
        <f ca="1">LOOKUP($E619,frequence!$A$2:$A$35,frequence!L$2:L$35)</f>
        <v>41.545638202606931</v>
      </c>
      <c r="G619" s="5">
        <f ca="1">LOOKUP($E619,frequence!$A$2:$A$35,frequence!K$2:K$35)</f>
        <v>3.8191206393393822</v>
      </c>
      <c r="H619" s="5">
        <f ca="1">LOOKUP($E619,frequence!$A$2:$A$35,frequence!M$2:M$35)</f>
        <v>265.64322815143237</v>
      </c>
      <c r="I619" s="18">
        <v>2005</v>
      </c>
      <c r="J619" s="7">
        <f>LOOKUP(I619,CPI!A$69:A$103,CPI!O$69:O$103)</f>
        <v>1.1165181771633383</v>
      </c>
      <c r="K619" s="5">
        <v>2015</v>
      </c>
      <c r="L619" s="7">
        <f t="shared" ca="1" si="468"/>
        <v>1</v>
      </c>
      <c r="M619" s="7">
        <f t="shared" si="487"/>
        <v>4.3055555555555555E-2</v>
      </c>
      <c r="N619" s="14">
        <f t="shared" si="506"/>
        <v>6.9444444444444441E-3</v>
      </c>
      <c r="O619" s="1">
        <f ca="1">P619*J619*(1+Growth!G$6)^(2010-K619)</f>
        <v>40.395908499169046</v>
      </c>
      <c r="P619" s="11">
        <v>39</v>
      </c>
      <c r="Q619" s="2">
        <f t="shared" si="478"/>
        <v>39</v>
      </c>
      <c r="R619" s="21">
        <f t="shared" ca="1" si="476"/>
        <v>1631.829423473238</v>
      </c>
      <c r="X619" s="2"/>
      <c r="AC619" s="1">
        <f t="shared" si="507"/>
        <v>6.2</v>
      </c>
      <c r="AD619" s="5">
        <v>1</v>
      </c>
      <c r="AE619" s="5">
        <v>0</v>
      </c>
      <c r="AF619" s="5">
        <v>1</v>
      </c>
      <c r="AG619" s="5">
        <v>0</v>
      </c>
      <c r="AH619" s="5">
        <v>1</v>
      </c>
      <c r="AI619" s="3">
        <f t="shared" si="474"/>
        <v>3.2</v>
      </c>
      <c r="AJ619" s="5">
        <f t="shared" si="486"/>
        <v>1</v>
      </c>
      <c r="AK619" s="5">
        <f t="shared" si="470"/>
        <v>0</v>
      </c>
      <c r="AL619" s="5">
        <f t="shared" si="471"/>
        <v>0</v>
      </c>
      <c r="AM619" s="5">
        <f t="shared" si="488"/>
        <v>0</v>
      </c>
      <c r="AN619" s="5">
        <f t="shared" si="472"/>
        <v>0</v>
      </c>
      <c r="AO619" s="5">
        <f t="shared" si="489"/>
        <v>0</v>
      </c>
      <c r="AP619" s="11">
        <v>3</v>
      </c>
      <c r="AQ619" s="1">
        <v>3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1</v>
      </c>
      <c r="AY619" s="1">
        <f t="shared" si="501"/>
        <v>1</v>
      </c>
      <c r="AZ619" s="1">
        <f t="shared" si="502"/>
        <v>0</v>
      </c>
      <c r="BA619" s="1">
        <f t="shared" si="503"/>
        <v>0</v>
      </c>
      <c r="BB619" s="5">
        <v>0</v>
      </c>
      <c r="BC619" s="5">
        <v>0</v>
      </c>
      <c r="BD619" s="5">
        <v>0</v>
      </c>
      <c r="BE619" s="5">
        <f t="shared" si="504"/>
        <v>1</v>
      </c>
      <c r="BF619" s="5">
        <v>1</v>
      </c>
      <c r="BG619" s="5">
        <f t="shared" si="508"/>
        <v>0</v>
      </c>
      <c r="BH619" s="5">
        <f t="shared" si="508"/>
        <v>0</v>
      </c>
      <c r="BI619" s="5">
        <f t="shared" si="508"/>
        <v>0</v>
      </c>
      <c r="BJ619" s="5">
        <f t="shared" si="508"/>
        <v>0</v>
      </c>
      <c r="BK619" s="5">
        <f t="shared" si="508"/>
        <v>0</v>
      </c>
      <c r="BL619" s="5">
        <f t="shared" si="508"/>
        <v>0</v>
      </c>
      <c r="BM619" s="5">
        <f t="shared" si="508"/>
        <v>0</v>
      </c>
      <c r="BN619" s="5">
        <f t="shared" si="505"/>
        <v>0</v>
      </c>
      <c r="BO619" s="5">
        <f t="shared" si="505"/>
        <v>0</v>
      </c>
      <c r="BP619" s="5">
        <f t="shared" si="505"/>
        <v>0</v>
      </c>
      <c r="BQ619" s="5">
        <f t="shared" si="505"/>
        <v>0</v>
      </c>
      <c r="BR619" s="5">
        <f t="shared" si="505"/>
        <v>0</v>
      </c>
      <c r="BS619" s="5">
        <f t="shared" si="505"/>
        <v>0</v>
      </c>
      <c r="BT619" s="5">
        <f t="shared" si="505"/>
        <v>0</v>
      </c>
      <c r="BU619" s="5">
        <f t="shared" si="505"/>
        <v>0</v>
      </c>
      <c r="BV619" s="5">
        <f t="shared" si="505"/>
        <v>0</v>
      </c>
      <c r="BW619" s="5">
        <f t="shared" si="505"/>
        <v>0</v>
      </c>
      <c r="BX619" s="5">
        <f t="shared" si="505"/>
        <v>0</v>
      </c>
      <c r="BY619" s="5">
        <f t="shared" si="505"/>
        <v>0</v>
      </c>
      <c r="BZ619" s="5">
        <f t="shared" si="505"/>
        <v>0</v>
      </c>
      <c r="CA619" s="5">
        <f t="shared" si="505"/>
        <v>0</v>
      </c>
      <c r="CB619" s="5">
        <f t="shared" si="505"/>
        <v>1</v>
      </c>
      <c r="CC619" s="5">
        <f t="shared" si="509"/>
        <v>0</v>
      </c>
      <c r="CD619" s="5">
        <f t="shared" si="509"/>
        <v>0</v>
      </c>
      <c r="CE619" s="5">
        <f t="shared" si="509"/>
        <v>0</v>
      </c>
    </row>
    <row r="620" spans="1:83" x14ac:dyDescent="0.2">
      <c r="A620" s="11"/>
      <c r="B620" s="11"/>
      <c r="C620" s="1">
        <f>Growth!D625</f>
        <v>0</v>
      </c>
      <c r="D620" s="5" t="b">
        <f t="shared" si="475"/>
        <v>0</v>
      </c>
      <c r="E620" s="5">
        <v>2012</v>
      </c>
      <c r="F620" s="5">
        <f ca="1">LOOKUP($E620,frequence!$A$2:$A$35,frequence!L$2:L$35)</f>
        <v>41.545638202606931</v>
      </c>
      <c r="G620" s="5">
        <f ca="1">LOOKUP($E620,frequence!$A$2:$A$35,frequence!K$2:K$35)</f>
        <v>3.8191206393393822</v>
      </c>
      <c r="H620" s="5">
        <f ca="1">LOOKUP($E620,frequence!$A$2:$A$35,frequence!M$2:M$35)</f>
        <v>265.64322815143237</v>
      </c>
      <c r="I620" s="18">
        <v>2005</v>
      </c>
      <c r="J620" s="7">
        <f>LOOKUP(I620,CPI!A$69:A$103,CPI!O$69:O$103)</f>
        <v>1.1165181771633383</v>
      </c>
      <c r="K620" s="5">
        <v>2015</v>
      </c>
      <c r="L620" s="7">
        <f t="shared" ca="1" si="468"/>
        <v>1</v>
      </c>
      <c r="M620" s="7">
        <f t="shared" si="487"/>
        <v>4.3055555555555555E-2</v>
      </c>
      <c r="N620" s="14">
        <f t="shared" si="506"/>
        <v>6.9444444444444441E-3</v>
      </c>
      <c r="O620" s="1">
        <f ca="1">P620*J620*(1+Growth!G$6)^(2010-K620)</f>
        <v>43.503286076028203</v>
      </c>
      <c r="P620" s="11">
        <v>42</v>
      </c>
      <c r="Q620" s="2">
        <f t="shared" si="478"/>
        <v>42</v>
      </c>
      <c r="R620" s="21">
        <f t="shared" ca="1" si="476"/>
        <v>1892.5358994127494</v>
      </c>
      <c r="X620" s="2"/>
      <c r="AC620" s="1">
        <f t="shared" si="507"/>
        <v>6.2</v>
      </c>
      <c r="AD620" s="5">
        <v>1</v>
      </c>
      <c r="AE620" s="5">
        <v>0</v>
      </c>
      <c r="AF620" s="5">
        <v>1</v>
      </c>
      <c r="AG620" s="5">
        <v>0</v>
      </c>
      <c r="AH620" s="5">
        <v>1</v>
      </c>
      <c r="AI620" s="3">
        <f t="shared" si="474"/>
        <v>3.2</v>
      </c>
      <c r="AJ620" s="5">
        <f t="shared" si="486"/>
        <v>1</v>
      </c>
      <c r="AK620" s="5">
        <f t="shared" si="470"/>
        <v>0</v>
      </c>
      <c r="AL620" s="5">
        <f t="shared" si="471"/>
        <v>0</v>
      </c>
      <c r="AM620" s="5">
        <f t="shared" si="488"/>
        <v>0</v>
      </c>
      <c r="AN620" s="5">
        <f t="shared" si="472"/>
        <v>0</v>
      </c>
      <c r="AO620" s="5">
        <f t="shared" si="489"/>
        <v>0</v>
      </c>
      <c r="AP620" s="11">
        <v>3</v>
      </c>
      <c r="AQ620" s="1">
        <v>3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1</v>
      </c>
      <c r="AY620" s="1">
        <f t="shared" si="501"/>
        <v>1</v>
      </c>
      <c r="AZ620" s="1">
        <f t="shared" si="502"/>
        <v>0</v>
      </c>
      <c r="BA620" s="1">
        <f t="shared" si="503"/>
        <v>0</v>
      </c>
      <c r="BB620" s="5">
        <v>0</v>
      </c>
      <c r="BC620" s="5">
        <v>0</v>
      </c>
      <c r="BD620" s="5">
        <v>0</v>
      </c>
      <c r="BE620" s="5">
        <f t="shared" si="504"/>
        <v>1</v>
      </c>
      <c r="BF620" s="5">
        <v>1</v>
      </c>
      <c r="BG620" s="5">
        <f t="shared" si="508"/>
        <v>0</v>
      </c>
      <c r="BH620" s="5">
        <f t="shared" si="508"/>
        <v>0</v>
      </c>
      <c r="BI620" s="5">
        <f t="shared" si="508"/>
        <v>0</v>
      </c>
      <c r="BJ620" s="5">
        <f t="shared" si="508"/>
        <v>0</v>
      </c>
      <c r="BK620" s="5">
        <f t="shared" si="508"/>
        <v>0</v>
      </c>
      <c r="BL620" s="5">
        <f t="shared" si="508"/>
        <v>0</v>
      </c>
      <c r="BM620" s="5">
        <f t="shared" si="508"/>
        <v>0</v>
      </c>
      <c r="BN620" s="5">
        <f t="shared" si="505"/>
        <v>0</v>
      </c>
      <c r="BO620" s="5">
        <f t="shared" si="505"/>
        <v>0</v>
      </c>
      <c r="BP620" s="5">
        <f t="shared" si="505"/>
        <v>0</v>
      </c>
      <c r="BQ620" s="5">
        <f t="shared" si="505"/>
        <v>0</v>
      </c>
      <c r="BR620" s="5">
        <f t="shared" si="505"/>
        <v>0</v>
      </c>
      <c r="BS620" s="5">
        <f t="shared" si="505"/>
        <v>0</v>
      </c>
      <c r="BT620" s="5">
        <f t="shared" si="505"/>
        <v>0</v>
      </c>
      <c r="BU620" s="5">
        <f t="shared" si="505"/>
        <v>0</v>
      </c>
      <c r="BV620" s="5">
        <f t="shared" si="505"/>
        <v>0</v>
      </c>
      <c r="BW620" s="5">
        <f t="shared" si="505"/>
        <v>0</v>
      </c>
      <c r="BX620" s="5">
        <f t="shared" si="505"/>
        <v>0</v>
      </c>
      <c r="BY620" s="5">
        <f t="shared" si="505"/>
        <v>0</v>
      </c>
      <c r="BZ620" s="5">
        <f t="shared" si="505"/>
        <v>0</v>
      </c>
      <c r="CA620" s="5">
        <f t="shared" si="505"/>
        <v>0</v>
      </c>
      <c r="CB620" s="5">
        <f t="shared" si="505"/>
        <v>1</v>
      </c>
      <c r="CC620" s="5">
        <f t="shared" si="509"/>
        <v>0</v>
      </c>
      <c r="CD620" s="5">
        <f t="shared" si="509"/>
        <v>0</v>
      </c>
      <c r="CE620" s="5">
        <f t="shared" si="509"/>
        <v>0</v>
      </c>
    </row>
    <row r="621" spans="1:83" x14ac:dyDescent="0.2">
      <c r="A621" s="11"/>
      <c r="B621" s="11"/>
      <c r="C621" s="1">
        <f>Growth!D626</f>
        <v>0</v>
      </c>
      <c r="D621" s="5" t="b">
        <f t="shared" si="475"/>
        <v>0</v>
      </c>
      <c r="E621" s="5">
        <v>2012</v>
      </c>
      <c r="F621" s="5">
        <f ca="1">LOOKUP($E621,frequence!$A$2:$A$35,frequence!L$2:L$35)</f>
        <v>41.545638202606931</v>
      </c>
      <c r="G621" s="5">
        <f ca="1">LOOKUP($E621,frequence!$A$2:$A$35,frequence!K$2:K$35)</f>
        <v>3.8191206393393822</v>
      </c>
      <c r="H621" s="5">
        <f ca="1">LOOKUP($E621,frequence!$A$2:$A$35,frequence!M$2:M$35)</f>
        <v>265.64322815143237</v>
      </c>
      <c r="I621" s="18">
        <v>2005</v>
      </c>
      <c r="J621" s="7">
        <f>LOOKUP(I621,CPI!A$69:A$103,CPI!O$69:O$103)</f>
        <v>1.1165181771633383</v>
      </c>
      <c r="K621" s="5">
        <v>2015</v>
      </c>
      <c r="L621" s="7">
        <f t="shared" ca="1" si="468"/>
        <v>1</v>
      </c>
      <c r="M621" s="7">
        <f t="shared" si="487"/>
        <v>4.3055555555555555E-2</v>
      </c>
      <c r="N621" s="14">
        <f t="shared" si="506"/>
        <v>6.9444444444444441E-3</v>
      </c>
      <c r="O621" s="1">
        <f ca="1">P621*J621*(1+Growth!G$6)^(2010-K621)</f>
        <v>65.254929114042298</v>
      </c>
      <c r="P621" s="11">
        <v>63</v>
      </c>
      <c r="Q621" s="2">
        <f t="shared" si="478"/>
        <v>63</v>
      </c>
      <c r="R621" s="21">
        <f t="shared" ca="1" si="476"/>
        <v>4258.2057736786855</v>
      </c>
      <c r="X621" s="2"/>
      <c r="AC621" s="1">
        <f t="shared" si="507"/>
        <v>6.2</v>
      </c>
      <c r="AD621" s="5">
        <v>1</v>
      </c>
      <c r="AE621" s="5">
        <v>0</v>
      </c>
      <c r="AF621" s="5">
        <v>1</v>
      </c>
      <c r="AG621" s="5">
        <v>0</v>
      </c>
      <c r="AH621" s="5">
        <v>1</v>
      </c>
      <c r="AI621" s="3">
        <f t="shared" si="474"/>
        <v>3.2</v>
      </c>
      <c r="AJ621" s="5">
        <f t="shared" si="486"/>
        <v>1</v>
      </c>
      <c r="AK621" s="5">
        <f t="shared" si="470"/>
        <v>0</v>
      </c>
      <c r="AL621" s="5">
        <f t="shared" si="471"/>
        <v>0</v>
      </c>
      <c r="AM621" s="5">
        <f t="shared" si="488"/>
        <v>0</v>
      </c>
      <c r="AN621" s="5">
        <f t="shared" si="472"/>
        <v>0</v>
      </c>
      <c r="AO621" s="5">
        <f t="shared" si="489"/>
        <v>0</v>
      </c>
      <c r="AP621" s="11">
        <v>3</v>
      </c>
      <c r="AQ621" s="1">
        <v>3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1</v>
      </c>
      <c r="AY621" s="1">
        <f t="shared" si="501"/>
        <v>1</v>
      </c>
      <c r="AZ621" s="1">
        <f t="shared" si="502"/>
        <v>0</v>
      </c>
      <c r="BA621" s="1">
        <f t="shared" si="503"/>
        <v>0</v>
      </c>
      <c r="BB621" s="5">
        <v>0</v>
      </c>
      <c r="BC621" s="5">
        <v>0</v>
      </c>
      <c r="BD621" s="5">
        <v>0</v>
      </c>
      <c r="BE621" s="5">
        <f t="shared" si="504"/>
        <v>1</v>
      </c>
      <c r="BF621" s="5">
        <v>1</v>
      </c>
      <c r="BG621" s="5">
        <f t="shared" si="508"/>
        <v>0</v>
      </c>
      <c r="BH621" s="5">
        <f t="shared" si="508"/>
        <v>0</v>
      </c>
      <c r="BI621" s="5">
        <f t="shared" si="508"/>
        <v>0</v>
      </c>
      <c r="BJ621" s="5">
        <f t="shared" si="508"/>
        <v>0</v>
      </c>
      <c r="BK621" s="5">
        <f t="shared" si="508"/>
        <v>0</v>
      </c>
      <c r="BL621" s="5">
        <f t="shared" si="508"/>
        <v>0</v>
      </c>
      <c r="BM621" s="5">
        <f t="shared" si="508"/>
        <v>0</v>
      </c>
      <c r="BN621" s="5">
        <f t="shared" si="505"/>
        <v>0</v>
      </c>
      <c r="BO621" s="5">
        <f t="shared" si="505"/>
        <v>0</v>
      </c>
      <c r="BP621" s="5">
        <f t="shared" si="505"/>
        <v>0</v>
      </c>
      <c r="BQ621" s="5">
        <f t="shared" si="505"/>
        <v>0</v>
      </c>
      <c r="BR621" s="5">
        <f t="shared" si="505"/>
        <v>0</v>
      </c>
      <c r="BS621" s="5">
        <f t="shared" si="505"/>
        <v>0</v>
      </c>
      <c r="BT621" s="5">
        <f t="shared" si="505"/>
        <v>0</v>
      </c>
      <c r="BU621" s="5">
        <f t="shared" si="505"/>
        <v>0</v>
      </c>
      <c r="BV621" s="5">
        <f t="shared" si="505"/>
        <v>0</v>
      </c>
      <c r="BW621" s="5">
        <f t="shared" si="505"/>
        <v>0</v>
      </c>
      <c r="BX621" s="5">
        <f t="shared" si="505"/>
        <v>0</v>
      </c>
      <c r="BY621" s="5">
        <f t="shared" si="505"/>
        <v>0</v>
      </c>
      <c r="BZ621" s="5">
        <f t="shared" si="505"/>
        <v>0</v>
      </c>
      <c r="CA621" s="5">
        <f t="shared" si="505"/>
        <v>0</v>
      </c>
      <c r="CB621" s="5">
        <f t="shared" si="505"/>
        <v>1</v>
      </c>
      <c r="CC621" s="5">
        <f t="shared" si="509"/>
        <v>0</v>
      </c>
      <c r="CD621" s="5">
        <f t="shared" si="509"/>
        <v>0</v>
      </c>
      <c r="CE621" s="5">
        <f t="shared" si="509"/>
        <v>0</v>
      </c>
    </row>
    <row r="622" spans="1:83" x14ac:dyDescent="0.2">
      <c r="A622" s="11"/>
      <c r="B622" s="11"/>
      <c r="C622" s="1">
        <f>Growth!D627</f>
        <v>0</v>
      </c>
      <c r="D622" s="5" t="b">
        <f t="shared" si="475"/>
        <v>0</v>
      </c>
      <c r="E622" s="5">
        <v>2012</v>
      </c>
      <c r="F622" s="5">
        <f ca="1">LOOKUP($E622,frequence!$A$2:$A$35,frequence!L$2:L$35)</f>
        <v>41.545638202606931</v>
      </c>
      <c r="G622" s="5">
        <f ca="1">LOOKUP($E622,frequence!$A$2:$A$35,frequence!K$2:K$35)</f>
        <v>3.8191206393393822</v>
      </c>
      <c r="H622" s="5">
        <f ca="1">LOOKUP($E622,frequence!$A$2:$A$35,frequence!M$2:M$35)</f>
        <v>265.64322815143237</v>
      </c>
      <c r="I622" s="18">
        <v>2005</v>
      </c>
      <c r="J622" s="7">
        <f>LOOKUP(I622,CPI!A$69:A$103,CPI!O$69:O$103)</f>
        <v>1.1165181771633383</v>
      </c>
      <c r="K622" s="5">
        <v>2015</v>
      </c>
      <c r="L622" s="7">
        <f t="shared" ca="1" si="468"/>
        <v>1</v>
      </c>
      <c r="M622" s="7">
        <f t="shared" si="487"/>
        <v>4.3055555555555555E-2</v>
      </c>
      <c r="N622" s="14">
        <f t="shared" si="506"/>
        <v>6.9444444444444441E-3</v>
      </c>
      <c r="O622" s="1">
        <f ca="1">P622*J622*(1+Growth!G$6)^(2010-K622)</f>
        <v>36.25273839669017</v>
      </c>
      <c r="P622" s="11">
        <v>35</v>
      </c>
      <c r="Q622" s="2">
        <f t="shared" si="478"/>
        <v>35</v>
      </c>
      <c r="R622" s="21">
        <f t="shared" ca="1" si="476"/>
        <v>1314.2610412588538</v>
      </c>
      <c r="X622" s="2"/>
      <c r="AC622" s="1">
        <f t="shared" si="507"/>
        <v>6.2</v>
      </c>
      <c r="AD622" s="5">
        <v>1</v>
      </c>
      <c r="AE622" s="5">
        <v>0</v>
      </c>
      <c r="AF622" s="5">
        <v>1</v>
      </c>
      <c r="AG622" s="5">
        <v>0</v>
      </c>
      <c r="AH622" s="5">
        <v>1</v>
      </c>
      <c r="AI622" s="3">
        <f t="shared" si="474"/>
        <v>3.2</v>
      </c>
      <c r="AJ622" s="5">
        <f t="shared" si="486"/>
        <v>1</v>
      </c>
      <c r="AK622" s="5">
        <f t="shared" si="470"/>
        <v>0</v>
      </c>
      <c r="AL622" s="5">
        <f t="shared" si="471"/>
        <v>0</v>
      </c>
      <c r="AM622" s="5">
        <f t="shared" si="488"/>
        <v>0</v>
      </c>
      <c r="AN622" s="5">
        <f t="shared" si="472"/>
        <v>0</v>
      </c>
      <c r="AO622" s="5">
        <f t="shared" si="489"/>
        <v>0</v>
      </c>
      <c r="AP622" s="11">
        <v>3</v>
      </c>
      <c r="AQ622" s="1">
        <v>3</v>
      </c>
      <c r="AR622" s="5">
        <v>0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1</v>
      </c>
      <c r="AY622" s="1">
        <f t="shared" si="501"/>
        <v>1</v>
      </c>
      <c r="AZ622" s="1">
        <f t="shared" si="502"/>
        <v>0</v>
      </c>
      <c r="BA622" s="1">
        <f t="shared" si="503"/>
        <v>0</v>
      </c>
      <c r="BB622" s="5">
        <v>0</v>
      </c>
      <c r="BC622" s="5">
        <v>0</v>
      </c>
      <c r="BD622" s="5">
        <v>0</v>
      </c>
      <c r="BE622" s="5">
        <f t="shared" si="504"/>
        <v>1</v>
      </c>
      <c r="BF622" s="5">
        <v>1</v>
      </c>
      <c r="BG622" s="5">
        <f t="shared" si="508"/>
        <v>0</v>
      </c>
      <c r="BH622" s="5">
        <f t="shared" si="508"/>
        <v>0</v>
      </c>
      <c r="BI622" s="5">
        <f t="shared" si="508"/>
        <v>0</v>
      </c>
      <c r="BJ622" s="5">
        <f t="shared" si="508"/>
        <v>0</v>
      </c>
      <c r="BK622" s="5">
        <f t="shared" si="508"/>
        <v>0</v>
      </c>
      <c r="BL622" s="5">
        <f t="shared" si="508"/>
        <v>0</v>
      </c>
      <c r="BM622" s="5">
        <f t="shared" si="508"/>
        <v>0</v>
      </c>
      <c r="BN622" s="5">
        <f t="shared" si="505"/>
        <v>0</v>
      </c>
      <c r="BO622" s="5">
        <f t="shared" si="505"/>
        <v>0</v>
      </c>
      <c r="BP622" s="5">
        <f t="shared" si="505"/>
        <v>0</v>
      </c>
      <c r="BQ622" s="5">
        <f t="shared" si="505"/>
        <v>0</v>
      </c>
      <c r="BR622" s="5">
        <f t="shared" si="505"/>
        <v>0</v>
      </c>
      <c r="BS622" s="5">
        <f t="shared" si="505"/>
        <v>0</v>
      </c>
      <c r="BT622" s="5">
        <f t="shared" si="505"/>
        <v>0</v>
      </c>
      <c r="BU622" s="5">
        <f t="shared" si="505"/>
        <v>0</v>
      </c>
      <c r="BV622" s="5">
        <f t="shared" si="505"/>
        <v>0</v>
      </c>
      <c r="BW622" s="5">
        <f t="shared" si="505"/>
        <v>0</v>
      </c>
      <c r="BX622" s="5">
        <f t="shared" si="505"/>
        <v>0</v>
      </c>
      <c r="BY622" s="5">
        <f t="shared" si="505"/>
        <v>0</v>
      </c>
      <c r="BZ622" s="5">
        <f t="shared" si="505"/>
        <v>0</v>
      </c>
      <c r="CA622" s="5">
        <f t="shared" si="505"/>
        <v>0</v>
      </c>
      <c r="CB622" s="5">
        <f t="shared" si="505"/>
        <v>1</v>
      </c>
      <c r="CC622" s="5">
        <f t="shared" si="509"/>
        <v>0</v>
      </c>
      <c r="CD622" s="5">
        <f t="shared" si="509"/>
        <v>0</v>
      </c>
      <c r="CE622" s="5">
        <f t="shared" si="509"/>
        <v>0</v>
      </c>
    </row>
    <row r="623" spans="1:83" x14ac:dyDescent="0.2">
      <c r="A623" s="11"/>
      <c r="B623" s="11"/>
      <c r="C623" s="1">
        <f>Growth!D628</f>
        <v>0</v>
      </c>
      <c r="D623" s="5" t="b">
        <f t="shared" si="475"/>
        <v>0</v>
      </c>
      <c r="E623" s="5">
        <v>2012</v>
      </c>
      <c r="F623" s="5">
        <f ca="1">LOOKUP($E623,frequence!$A$2:$A$35,frequence!L$2:L$35)</f>
        <v>41.545638202606931</v>
      </c>
      <c r="G623" s="5">
        <f ca="1">LOOKUP($E623,frequence!$A$2:$A$35,frequence!K$2:K$35)</f>
        <v>3.8191206393393822</v>
      </c>
      <c r="H623" s="5">
        <f ca="1">LOOKUP($E623,frequence!$A$2:$A$35,frequence!M$2:M$35)</f>
        <v>265.64322815143237</v>
      </c>
      <c r="I623" s="18">
        <v>2005</v>
      </c>
      <c r="J623" s="7">
        <f>LOOKUP(I623,CPI!A$69:A$103,CPI!O$69:O$103)</f>
        <v>1.1165181771633383</v>
      </c>
      <c r="K623" s="5">
        <v>2015</v>
      </c>
      <c r="L623" s="7">
        <f t="shared" ca="1" si="468"/>
        <v>1</v>
      </c>
      <c r="M623" s="7">
        <f t="shared" si="487"/>
        <v>4.3055555555555555E-2</v>
      </c>
      <c r="N623" s="14">
        <f t="shared" si="506"/>
        <v>6.9444444444444441E-3</v>
      </c>
      <c r="O623" s="1">
        <f ca="1">P623*J623*(1+Growth!G$6)^(2010-K623)</f>
        <v>34.181153345450724</v>
      </c>
      <c r="P623" s="11">
        <v>33</v>
      </c>
      <c r="Q623" s="2">
        <f t="shared" si="478"/>
        <v>33</v>
      </c>
      <c r="R623" s="21">
        <f t="shared" ca="1" si="476"/>
        <v>1168.3512440252173</v>
      </c>
      <c r="X623" s="2"/>
      <c r="AC623" s="1">
        <f t="shared" si="507"/>
        <v>6.2</v>
      </c>
      <c r="AD623" s="5">
        <v>1</v>
      </c>
      <c r="AE623" s="5">
        <v>0</v>
      </c>
      <c r="AF623" s="5">
        <v>1</v>
      </c>
      <c r="AG623" s="5">
        <v>0</v>
      </c>
      <c r="AH623" s="5">
        <v>1</v>
      </c>
      <c r="AI623" s="3">
        <f t="shared" si="474"/>
        <v>3.2</v>
      </c>
      <c r="AJ623" s="5">
        <f t="shared" si="486"/>
        <v>1</v>
      </c>
      <c r="AK623" s="5">
        <f t="shared" si="470"/>
        <v>0</v>
      </c>
      <c r="AL623" s="5">
        <f t="shared" si="471"/>
        <v>0</v>
      </c>
      <c r="AM623" s="5">
        <f t="shared" si="488"/>
        <v>0</v>
      </c>
      <c r="AN623" s="5">
        <f t="shared" si="472"/>
        <v>0</v>
      </c>
      <c r="AO623" s="5">
        <f t="shared" si="489"/>
        <v>0</v>
      </c>
      <c r="AP623" s="11">
        <v>3</v>
      </c>
      <c r="AQ623" s="1">
        <v>3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1</v>
      </c>
      <c r="AY623" s="1">
        <f t="shared" si="501"/>
        <v>1</v>
      </c>
      <c r="AZ623" s="1">
        <f t="shared" si="502"/>
        <v>0</v>
      </c>
      <c r="BA623" s="1">
        <f t="shared" si="503"/>
        <v>0</v>
      </c>
      <c r="BB623" s="5">
        <v>0</v>
      </c>
      <c r="BC623" s="5">
        <v>0</v>
      </c>
      <c r="BD623" s="5">
        <v>0</v>
      </c>
      <c r="BE623" s="5">
        <f t="shared" si="504"/>
        <v>1</v>
      </c>
      <c r="BF623" s="5">
        <v>1</v>
      </c>
      <c r="BG623" s="5">
        <f t="shared" si="508"/>
        <v>0</v>
      </c>
      <c r="BH623" s="5">
        <f t="shared" si="508"/>
        <v>0</v>
      </c>
      <c r="BI623" s="5">
        <f t="shared" si="508"/>
        <v>0</v>
      </c>
      <c r="BJ623" s="5">
        <f t="shared" si="508"/>
        <v>0</v>
      </c>
      <c r="BK623" s="5">
        <f t="shared" si="508"/>
        <v>0</v>
      </c>
      <c r="BL623" s="5">
        <f t="shared" si="508"/>
        <v>0</v>
      </c>
      <c r="BM623" s="5">
        <f t="shared" si="508"/>
        <v>0</v>
      </c>
      <c r="BN623" s="5">
        <f t="shared" si="505"/>
        <v>0</v>
      </c>
      <c r="BO623" s="5">
        <f t="shared" si="505"/>
        <v>0</v>
      </c>
      <c r="BP623" s="5">
        <f t="shared" si="505"/>
        <v>0</v>
      </c>
      <c r="BQ623" s="5">
        <f t="shared" si="505"/>
        <v>0</v>
      </c>
      <c r="BR623" s="5">
        <f t="shared" si="505"/>
        <v>0</v>
      </c>
      <c r="BS623" s="5">
        <f t="shared" si="505"/>
        <v>0</v>
      </c>
      <c r="BT623" s="5">
        <f t="shared" si="505"/>
        <v>0</v>
      </c>
      <c r="BU623" s="5">
        <f t="shared" si="505"/>
        <v>0</v>
      </c>
      <c r="BV623" s="5">
        <f t="shared" si="505"/>
        <v>0</v>
      </c>
      <c r="BW623" s="5">
        <f t="shared" si="505"/>
        <v>0</v>
      </c>
      <c r="BX623" s="5">
        <f t="shared" si="505"/>
        <v>0</v>
      </c>
      <c r="BY623" s="5">
        <f t="shared" si="505"/>
        <v>0</v>
      </c>
      <c r="BZ623" s="5">
        <f t="shared" si="505"/>
        <v>0</v>
      </c>
      <c r="CA623" s="5">
        <f t="shared" si="505"/>
        <v>0</v>
      </c>
      <c r="CB623" s="5">
        <f t="shared" si="505"/>
        <v>1</v>
      </c>
      <c r="CC623" s="5">
        <f t="shared" si="509"/>
        <v>0</v>
      </c>
      <c r="CD623" s="5">
        <f t="shared" si="509"/>
        <v>0</v>
      </c>
      <c r="CE623" s="5">
        <f t="shared" si="509"/>
        <v>0</v>
      </c>
    </row>
    <row r="624" spans="1:83" x14ac:dyDescent="0.2">
      <c r="A624" s="11"/>
      <c r="B624" s="11"/>
      <c r="C624" s="1">
        <f>Growth!D629</f>
        <v>0</v>
      </c>
      <c r="D624" s="5" t="b">
        <f t="shared" si="475"/>
        <v>0</v>
      </c>
      <c r="E624" s="5">
        <v>2012</v>
      </c>
      <c r="F624" s="5">
        <f ca="1">LOOKUP($E624,frequence!$A$2:$A$35,frequence!L$2:L$35)</f>
        <v>41.545638202606931</v>
      </c>
      <c r="G624" s="5">
        <f ca="1">LOOKUP($E624,frequence!$A$2:$A$35,frequence!K$2:K$35)</f>
        <v>3.8191206393393822</v>
      </c>
      <c r="H624" s="5">
        <f ca="1">LOOKUP($E624,frequence!$A$2:$A$35,frequence!M$2:M$35)</f>
        <v>265.64322815143237</v>
      </c>
      <c r="I624" s="18">
        <v>2005</v>
      </c>
      <c r="J624" s="7">
        <f>LOOKUP(I624,CPI!A$69:A$103,CPI!O$69:O$103)</f>
        <v>1.1165181771633383</v>
      </c>
      <c r="K624" s="5">
        <v>2015</v>
      </c>
      <c r="L624" s="7">
        <f t="shared" ca="1" si="468"/>
        <v>1</v>
      </c>
      <c r="M624" s="7">
        <f t="shared" si="487"/>
        <v>4.3055555555555555E-2</v>
      </c>
      <c r="N624" s="14">
        <f t="shared" si="506"/>
        <v>6.9444444444444441E-3</v>
      </c>
      <c r="O624" s="1">
        <f ca="1">P624*J624*(1+Growth!G$6)^(2010-K624)</f>
        <v>48.682248704126799</v>
      </c>
      <c r="P624" s="11">
        <v>47</v>
      </c>
      <c r="Q624" s="2">
        <f t="shared" si="478"/>
        <v>47</v>
      </c>
      <c r="R624" s="21">
        <f t="shared" ca="1" si="476"/>
        <v>2369.9613388904554</v>
      </c>
      <c r="X624" s="2"/>
      <c r="AC624" s="1">
        <f t="shared" si="507"/>
        <v>6.2</v>
      </c>
      <c r="AD624" s="5">
        <v>1</v>
      </c>
      <c r="AE624" s="5">
        <v>0</v>
      </c>
      <c r="AF624" s="5">
        <v>1</v>
      </c>
      <c r="AG624" s="5">
        <v>0</v>
      </c>
      <c r="AH624" s="5">
        <v>1</v>
      </c>
      <c r="AI624" s="3">
        <f t="shared" si="474"/>
        <v>3.2</v>
      </c>
      <c r="AJ624" s="5">
        <f t="shared" si="486"/>
        <v>1</v>
      </c>
      <c r="AK624" s="5">
        <f t="shared" si="470"/>
        <v>0</v>
      </c>
      <c r="AL624" s="5">
        <f t="shared" si="471"/>
        <v>0</v>
      </c>
      <c r="AM624" s="5">
        <f t="shared" si="488"/>
        <v>0</v>
      </c>
      <c r="AN624" s="5">
        <f t="shared" si="472"/>
        <v>0</v>
      </c>
      <c r="AO624" s="5">
        <f t="shared" si="489"/>
        <v>0</v>
      </c>
      <c r="AP624" s="11">
        <v>3</v>
      </c>
      <c r="AQ624" s="1">
        <v>3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1</v>
      </c>
      <c r="AY624" s="1">
        <f t="shared" si="501"/>
        <v>1</v>
      </c>
      <c r="AZ624" s="1">
        <f t="shared" si="502"/>
        <v>0</v>
      </c>
      <c r="BA624" s="1">
        <f t="shared" si="503"/>
        <v>0</v>
      </c>
      <c r="BB624" s="5">
        <v>0</v>
      </c>
      <c r="BC624" s="5">
        <v>0</v>
      </c>
      <c r="BD624" s="5">
        <v>0</v>
      </c>
      <c r="BE624" s="5">
        <f t="shared" si="504"/>
        <v>1</v>
      </c>
      <c r="BF624" s="5">
        <v>1</v>
      </c>
      <c r="BG624" s="5">
        <f t="shared" si="508"/>
        <v>0</v>
      </c>
      <c r="BH624" s="5">
        <f t="shared" si="508"/>
        <v>0</v>
      </c>
      <c r="BI624" s="5">
        <f t="shared" si="508"/>
        <v>0</v>
      </c>
      <c r="BJ624" s="5">
        <f t="shared" si="508"/>
        <v>0</v>
      </c>
      <c r="BK624" s="5">
        <f t="shared" si="508"/>
        <v>0</v>
      </c>
      <c r="BL624" s="5">
        <f t="shared" si="508"/>
        <v>0</v>
      </c>
      <c r="BM624" s="5">
        <f t="shared" si="508"/>
        <v>0</v>
      </c>
      <c r="BN624" s="5">
        <f t="shared" si="505"/>
        <v>0</v>
      </c>
      <c r="BO624" s="5">
        <f t="shared" si="505"/>
        <v>0</v>
      </c>
      <c r="BP624" s="5">
        <f t="shared" si="505"/>
        <v>0</v>
      </c>
      <c r="BQ624" s="5">
        <f t="shared" si="505"/>
        <v>0</v>
      </c>
      <c r="BR624" s="5">
        <f t="shared" si="505"/>
        <v>0</v>
      </c>
      <c r="BS624" s="5">
        <f t="shared" si="505"/>
        <v>0</v>
      </c>
      <c r="BT624" s="5">
        <f t="shared" si="505"/>
        <v>0</v>
      </c>
      <c r="BU624" s="5">
        <f t="shared" si="505"/>
        <v>0</v>
      </c>
      <c r="BV624" s="5">
        <f t="shared" si="505"/>
        <v>0</v>
      </c>
      <c r="BW624" s="5">
        <f t="shared" si="505"/>
        <v>0</v>
      </c>
      <c r="BX624" s="5">
        <f t="shared" si="505"/>
        <v>0</v>
      </c>
      <c r="BY624" s="5">
        <f t="shared" si="505"/>
        <v>0</v>
      </c>
      <c r="BZ624" s="5">
        <f t="shared" si="505"/>
        <v>0</v>
      </c>
      <c r="CA624" s="5">
        <f t="shared" si="505"/>
        <v>0</v>
      </c>
      <c r="CB624" s="5">
        <f t="shared" si="505"/>
        <v>1</v>
      </c>
      <c r="CC624" s="5">
        <f t="shared" si="509"/>
        <v>0</v>
      </c>
      <c r="CD624" s="5">
        <f t="shared" si="509"/>
        <v>0</v>
      </c>
      <c r="CE624" s="5">
        <f t="shared" si="509"/>
        <v>0</v>
      </c>
    </row>
    <row r="625" spans="1:83" x14ac:dyDescent="0.2">
      <c r="A625" s="11"/>
      <c r="B625" s="11"/>
      <c r="C625" s="1">
        <f>Growth!D630</f>
        <v>0</v>
      </c>
      <c r="D625" s="5" t="b">
        <f t="shared" si="475"/>
        <v>0</v>
      </c>
      <c r="E625" s="5">
        <v>2012</v>
      </c>
      <c r="F625" s="5">
        <f ca="1">LOOKUP($E625,frequence!$A$2:$A$35,frequence!L$2:L$35)</f>
        <v>41.545638202606931</v>
      </c>
      <c r="G625" s="5">
        <f ca="1">LOOKUP($E625,frequence!$A$2:$A$35,frequence!K$2:K$35)</f>
        <v>3.8191206393393822</v>
      </c>
      <c r="H625" s="5">
        <f ca="1">LOOKUP($E625,frequence!$A$2:$A$35,frequence!M$2:M$35)</f>
        <v>265.64322815143237</v>
      </c>
      <c r="I625" s="18">
        <v>2005</v>
      </c>
      <c r="J625" s="7">
        <f>LOOKUP(I625,CPI!A$69:A$103,CPI!O$69:O$103)</f>
        <v>1.1165181771633383</v>
      </c>
      <c r="K625" s="5">
        <v>2015</v>
      </c>
      <c r="L625" s="7">
        <f t="shared" ca="1" si="468"/>
        <v>1</v>
      </c>
      <c r="M625" s="7">
        <f t="shared" si="487"/>
        <v>4.3055555555555555E-2</v>
      </c>
      <c r="N625" s="14">
        <f t="shared" si="506"/>
        <v>6.9444444444444441E-3</v>
      </c>
      <c r="O625" s="1">
        <f ca="1">P625*J625*(1+Growth!G$6)^(2010-K625)</f>
        <v>23.823228089253536</v>
      </c>
      <c r="P625" s="11">
        <v>23</v>
      </c>
      <c r="Q625" s="2">
        <f t="shared" si="478"/>
        <v>23</v>
      </c>
      <c r="R625" s="21">
        <f t="shared" ca="1" si="476"/>
        <v>567.54619659259868</v>
      </c>
      <c r="X625" s="2"/>
      <c r="AC625" s="1">
        <f t="shared" si="507"/>
        <v>6.2</v>
      </c>
      <c r="AD625" s="5">
        <v>1</v>
      </c>
      <c r="AE625" s="5">
        <v>0</v>
      </c>
      <c r="AF625" s="5">
        <v>1</v>
      </c>
      <c r="AG625" s="5">
        <v>0</v>
      </c>
      <c r="AH625" s="5">
        <v>1</v>
      </c>
      <c r="AI625" s="3">
        <f t="shared" si="474"/>
        <v>3.2</v>
      </c>
      <c r="AJ625" s="5">
        <f t="shared" si="486"/>
        <v>1</v>
      </c>
      <c r="AK625" s="5">
        <f t="shared" si="470"/>
        <v>0</v>
      </c>
      <c r="AL625" s="5">
        <f t="shared" si="471"/>
        <v>0</v>
      </c>
      <c r="AM625" s="5">
        <f t="shared" si="488"/>
        <v>0</v>
      </c>
      <c r="AN625" s="5">
        <f t="shared" si="472"/>
        <v>0</v>
      </c>
      <c r="AO625" s="5">
        <f t="shared" si="489"/>
        <v>0</v>
      </c>
      <c r="AP625" s="11">
        <v>3</v>
      </c>
      <c r="AQ625" s="1">
        <v>3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1</v>
      </c>
      <c r="AY625" s="1">
        <f t="shared" si="501"/>
        <v>1</v>
      </c>
      <c r="AZ625" s="1">
        <f t="shared" si="502"/>
        <v>0</v>
      </c>
      <c r="BA625" s="1">
        <f t="shared" si="503"/>
        <v>0</v>
      </c>
      <c r="BB625" s="5">
        <v>0</v>
      </c>
      <c r="BC625" s="5">
        <v>0</v>
      </c>
      <c r="BD625" s="5">
        <v>0</v>
      </c>
      <c r="BE625" s="5">
        <f t="shared" si="504"/>
        <v>1</v>
      </c>
      <c r="BF625" s="5">
        <v>1</v>
      </c>
      <c r="BG625" s="5">
        <f t="shared" si="508"/>
        <v>0</v>
      </c>
      <c r="BH625" s="5">
        <f t="shared" si="508"/>
        <v>0</v>
      </c>
      <c r="BI625" s="5">
        <f t="shared" si="508"/>
        <v>0</v>
      </c>
      <c r="BJ625" s="5">
        <f t="shared" si="508"/>
        <v>0</v>
      </c>
      <c r="BK625" s="5">
        <f t="shared" si="508"/>
        <v>0</v>
      </c>
      <c r="BL625" s="5">
        <f t="shared" si="508"/>
        <v>0</v>
      </c>
      <c r="BM625" s="5">
        <f t="shared" si="508"/>
        <v>0</v>
      </c>
      <c r="BN625" s="5">
        <f t="shared" si="505"/>
        <v>0</v>
      </c>
      <c r="BO625" s="5">
        <f t="shared" si="505"/>
        <v>0</v>
      </c>
      <c r="BP625" s="5">
        <f t="shared" si="505"/>
        <v>0</v>
      </c>
      <c r="BQ625" s="5">
        <f t="shared" si="505"/>
        <v>0</v>
      </c>
      <c r="BR625" s="5">
        <f t="shared" si="505"/>
        <v>0</v>
      </c>
      <c r="BS625" s="5">
        <f t="shared" si="505"/>
        <v>0</v>
      </c>
      <c r="BT625" s="5">
        <f t="shared" si="505"/>
        <v>0</v>
      </c>
      <c r="BU625" s="5">
        <f t="shared" si="505"/>
        <v>0</v>
      </c>
      <c r="BV625" s="5">
        <f t="shared" si="505"/>
        <v>0</v>
      </c>
      <c r="BW625" s="5">
        <f t="shared" si="505"/>
        <v>0</v>
      </c>
      <c r="BX625" s="5">
        <f t="shared" si="505"/>
        <v>0</v>
      </c>
      <c r="BY625" s="5">
        <f t="shared" si="505"/>
        <v>0</v>
      </c>
      <c r="BZ625" s="5">
        <f t="shared" si="505"/>
        <v>0</v>
      </c>
      <c r="CA625" s="5">
        <f t="shared" si="505"/>
        <v>0</v>
      </c>
      <c r="CB625" s="5">
        <f t="shared" si="505"/>
        <v>1</v>
      </c>
      <c r="CC625" s="5">
        <f t="shared" si="509"/>
        <v>0</v>
      </c>
      <c r="CD625" s="5">
        <f t="shared" si="509"/>
        <v>0</v>
      </c>
      <c r="CE625" s="5">
        <f t="shared" si="509"/>
        <v>0</v>
      </c>
    </row>
    <row r="626" spans="1:83" x14ac:dyDescent="0.2">
      <c r="A626" s="11"/>
      <c r="B626" s="11"/>
      <c r="C626" s="1">
        <f>Growth!D631</f>
        <v>0</v>
      </c>
      <c r="D626" s="5" t="b">
        <f t="shared" si="475"/>
        <v>0</v>
      </c>
      <c r="E626" s="5">
        <v>2012</v>
      </c>
      <c r="F626" s="5">
        <f ca="1">LOOKUP($E626,frequence!$A$2:$A$35,frequence!L$2:L$35)</f>
        <v>41.545638202606931</v>
      </c>
      <c r="G626" s="5">
        <f ca="1">LOOKUP($E626,frequence!$A$2:$A$35,frequence!K$2:K$35)</f>
        <v>3.8191206393393822</v>
      </c>
      <c r="H626" s="5">
        <f ca="1">LOOKUP($E626,frequence!$A$2:$A$35,frequence!M$2:M$35)</f>
        <v>265.64322815143237</v>
      </c>
      <c r="I626" s="18">
        <v>2005</v>
      </c>
      <c r="J626" s="7">
        <f>LOOKUP(I626,CPI!A$69:A$103,CPI!O$69:O$103)</f>
        <v>1.1165181771633383</v>
      </c>
      <c r="K626" s="5">
        <v>2015</v>
      </c>
      <c r="L626" s="7">
        <f t="shared" ca="1" si="468"/>
        <v>1</v>
      </c>
      <c r="M626" s="7">
        <f t="shared" si="487"/>
        <v>4.3055555555555555E-2</v>
      </c>
      <c r="N626" s="14">
        <f t="shared" si="506"/>
        <v>6.9444444444444441E-3</v>
      </c>
      <c r="O626" s="1">
        <f ca="1">P626*J626*(1+Growth!G$6)^(2010-K626)</f>
        <v>45.574871127267635</v>
      </c>
      <c r="P626" s="11">
        <v>44</v>
      </c>
      <c r="Q626" s="2">
        <f t="shared" si="478"/>
        <v>44</v>
      </c>
      <c r="R626" s="21">
        <f t="shared" ca="1" si="476"/>
        <v>2077.0688782670532</v>
      </c>
      <c r="X626" s="2"/>
      <c r="AC626" s="1">
        <f t="shared" si="507"/>
        <v>6.2</v>
      </c>
      <c r="AD626" s="5">
        <v>1</v>
      </c>
      <c r="AE626" s="5">
        <v>0</v>
      </c>
      <c r="AF626" s="5">
        <v>1</v>
      </c>
      <c r="AG626" s="5">
        <v>0</v>
      </c>
      <c r="AH626" s="5">
        <v>1</v>
      </c>
      <c r="AI626" s="3">
        <f t="shared" si="474"/>
        <v>3.2</v>
      </c>
      <c r="AJ626" s="5">
        <f t="shared" si="486"/>
        <v>1</v>
      </c>
      <c r="AK626" s="5">
        <f t="shared" si="470"/>
        <v>0</v>
      </c>
      <c r="AL626" s="5">
        <f t="shared" si="471"/>
        <v>0</v>
      </c>
      <c r="AM626" s="5">
        <f t="shared" si="488"/>
        <v>0</v>
      </c>
      <c r="AN626" s="5">
        <f t="shared" si="472"/>
        <v>0</v>
      </c>
      <c r="AO626" s="5">
        <f t="shared" si="489"/>
        <v>0</v>
      </c>
      <c r="AP626" s="11">
        <v>3</v>
      </c>
      <c r="AQ626" s="1">
        <v>3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1</v>
      </c>
      <c r="AY626" s="1">
        <f t="shared" si="501"/>
        <v>1</v>
      </c>
      <c r="AZ626" s="1">
        <f t="shared" si="502"/>
        <v>0</v>
      </c>
      <c r="BA626" s="1">
        <f t="shared" si="503"/>
        <v>0</v>
      </c>
      <c r="BB626" s="5">
        <v>0</v>
      </c>
      <c r="BC626" s="5">
        <v>0</v>
      </c>
      <c r="BD626" s="5">
        <v>0</v>
      </c>
      <c r="BE626" s="5">
        <f t="shared" si="504"/>
        <v>1</v>
      </c>
      <c r="BF626" s="5">
        <v>1</v>
      </c>
      <c r="BG626" s="5">
        <f t="shared" si="508"/>
        <v>0</v>
      </c>
      <c r="BH626" s="5">
        <f t="shared" si="508"/>
        <v>0</v>
      </c>
      <c r="BI626" s="5">
        <f t="shared" si="508"/>
        <v>0</v>
      </c>
      <c r="BJ626" s="5">
        <f t="shared" si="508"/>
        <v>0</v>
      </c>
      <c r="BK626" s="5">
        <f t="shared" si="508"/>
        <v>0</v>
      </c>
      <c r="BL626" s="5">
        <f t="shared" si="508"/>
        <v>0</v>
      </c>
      <c r="BM626" s="5">
        <f t="shared" si="508"/>
        <v>0</v>
      </c>
      <c r="BN626" s="5">
        <f t="shared" si="505"/>
        <v>0</v>
      </c>
      <c r="BO626" s="5">
        <f t="shared" si="505"/>
        <v>0</v>
      </c>
      <c r="BP626" s="5">
        <f t="shared" si="505"/>
        <v>0</v>
      </c>
      <c r="BQ626" s="5">
        <f t="shared" si="505"/>
        <v>0</v>
      </c>
      <c r="BR626" s="5">
        <f t="shared" si="505"/>
        <v>0</v>
      </c>
      <c r="BS626" s="5">
        <f t="shared" si="505"/>
        <v>0</v>
      </c>
      <c r="BT626" s="5">
        <f t="shared" si="505"/>
        <v>0</v>
      </c>
      <c r="BU626" s="5">
        <f t="shared" si="505"/>
        <v>0</v>
      </c>
      <c r="BV626" s="5">
        <f t="shared" si="505"/>
        <v>0</v>
      </c>
      <c r="BW626" s="5">
        <f t="shared" si="505"/>
        <v>0</v>
      </c>
      <c r="BX626" s="5">
        <f t="shared" si="505"/>
        <v>0</v>
      </c>
      <c r="BY626" s="5">
        <f t="shared" si="505"/>
        <v>0</v>
      </c>
      <c r="BZ626" s="5">
        <f t="shared" si="505"/>
        <v>0</v>
      </c>
      <c r="CA626" s="5">
        <f t="shared" si="505"/>
        <v>0</v>
      </c>
      <c r="CB626" s="5">
        <f t="shared" si="505"/>
        <v>1</v>
      </c>
      <c r="CC626" s="5">
        <f t="shared" si="509"/>
        <v>0</v>
      </c>
      <c r="CD626" s="5">
        <f t="shared" si="509"/>
        <v>0</v>
      </c>
      <c r="CE626" s="5">
        <f t="shared" si="509"/>
        <v>0</v>
      </c>
    </row>
    <row r="627" spans="1:83" x14ac:dyDescent="0.2">
      <c r="A627" s="11"/>
      <c r="B627" s="11"/>
      <c r="C627" s="1">
        <f>Growth!D632</f>
        <v>0</v>
      </c>
      <c r="D627" s="5" t="b">
        <f t="shared" si="475"/>
        <v>0</v>
      </c>
      <c r="E627" s="5">
        <v>2012</v>
      </c>
      <c r="F627" s="5">
        <f ca="1">LOOKUP($E627,frequence!$A$2:$A$35,frequence!L$2:L$35)</f>
        <v>41.545638202606931</v>
      </c>
      <c r="G627" s="5">
        <f ca="1">LOOKUP($E627,frequence!$A$2:$A$35,frequence!K$2:K$35)</f>
        <v>3.8191206393393822</v>
      </c>
      <c r="H627" s="5">
        <f ca="1">LOOKUP($E627,frequence!$A$2:$A$35,frequence!M$2:M$35)</f>
        <v>265.64322815143237</v>
      </c>
      <c r="I627" s="18">
        <v>2005</v>
      </c>
      <c r="J627" s="7">
        <f>LOOKUP(I627,CPI!A$69:A$103,CPI!O$69:O$103)</f>
        <v>1.1165181771633383</v>
      </c>
      <c r="K627" s="5">
        <v>2015</v>
      </c>
      <c r="L627" s="7">
        <f t="shared" ca="1" si="468"/>
        <v>1</v>
      </c>
      <c r="M627" s="7">
        <f t="shared" si="487"/>
        <v>4.3055555555555555E-2</v>
      </c>
      <c r="N627" s="14">
        <f t="shared" si="506"/>
        <v>6.9444444444444441E-3</v>
      </c>
      <c r="O627" s="1">
        <f ca="1">P627*J627*(1+Growth!G$6)^(2010-K627)</f>
        <v>43.503286076028203</v>
      </c>
      <c r="P627" s="11">
        <v>42</v>
      </c>
      <c r="Q627" s="2">
        <f t="shared" si="478"/>
        <v>42</v>
      </c>
      <c r="R627" s="21">
        <f t="shared" ca="1" si="476"/>
        <v>1892.5358994127494</v>
      </c>
      <c r="X627" s="2"/>
      <c r="AC627" s="1">
        <f t="shared" si="507"/>
        <v>6.2</v>
      </c>
      <c r="AD627" s="5">
        <v>1</v>
      </c>
      <c r="AE627" s="5">
        <v>0</v>
      </c>
      <c r="AF627" s="5">
        <v>1</v>
      </c>
      <c r="AG627" s="5">
        <v>0</v>
      </c>
      <c r="AH627" s="5">
        <v>1</v>
      </c>
      <c r="AI627" s="3">
        <f t="shared" si="474"/>
        <v>3.2</v>
      </c>
      <c r="AJ627" s="5">
        <f t="shared" si="486"/>
        <v>1</v>
      </c>
      <c r="AK627" s="5">
        <f t="shared" si="470"/>
        <v>0</v>
      </c>
      <c r="AL627" s="5">
        <f t="shared" si="471"/>
        <v>0</v>
      </c>
      <c r="AM627" s="5">
        <f t="shared" si="488"/>
        <v>0</v>
      </c>
      <c r="AN627" s="5">
        <f t="shared" si="472"/>
        <v>0</v>
      </c>
      <c r="AO627" s="5">
        <f t="shared" si="489"/>
        <v>0</v>
      </c>
      <c r="AP627" s="11">
        <v>3</v>
      </c>
      <c r="AQ627" s="1">
        <v>3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1</v>
      </c>
      <c r="AY627" s="1">
        <f t="shared" si="501"/>
        <v>1</v>
      </c>
      <c r="AZ627" s="1">
        <f t="shared" si="502"/>
        <v>0</v>
      </c>
      <c r="BA627" s="1">
        <f t="shared" si="503"/>
        <v>0</v>
      </c>
      <c r="BB627" s="5">
        <v>0</v>
      </c>
      <c r="BC627" s="5">
        <v>0</v>
      </c>
      <c r="BD627" s="5">
        <v>0</v>
      </c>
      <c r="BE627" s="5">
        <f t="shared" si="504"/>
        <v>1</v>
      </c>
      <c r="BF627" s="5">
        <v>1</v>
      </c>
      <c r="BG627" s="5">
        <f t="shared" si="508"/>
        <v>0</v>
      </c>
      <c r="BH627" s="5">
        <f t="shared" si="508"/>
        <v>0</v>
      </c>
      <c r="BI627" s="5">
        <f t="shared" si="508"/>
        <v>0</v>
      </c>
      <c r="BJ627" s="5">
        <f t="shared" si="508"/>
        <v>0</v>
      </c>
      <c r="BK627" s="5">
        <f t="shared" si="508"/>
        <v>0</v>
      </c>
      <c r="BL627" s="5">
        <f t="shared" si="508"/>
        <v>0</v>
      </c>
      <c r="BM627" s="5">
        <f t="shared" si="508"/>
        <v>0</v>
      </c>
      <c r="BN627" s="5">
        <f t="shared" si="505"/>
        <v>0</v>
      </c>
      <c r="BO627" s="5">
        <f t="shared" si="505"/>
        <v>0</v>
      </c>
      <c r="BP627" s="5">
        <f t="shared" si="505"/>
        <v>0</v>
      </c>
      <c r="BQ627" s="5">
        <f t="shared" si="505"/>
        <v>0</v>
      </c>
      <c r="BR627" s="5">
        <f t="shared" si="505"/>
        <v>0</v>
      </c>
      <c r="BS627" s="5">
        <f t="shared" si="505"/>
        <v>0</v>
      </c>
      <c r="BT627" s="5">
        <f t="shared" si="505"/>
        <v>0</v>
      </c>
      <c r="BU627" s="5">
        <f t="shared" si="505"/>
        <v>0</v>
      </c>
      <c r="BV627" s="5">
        <f t="shared" si="505"/>
        <v>0</v>
      </c>
      <c r="BW627" s="5">
        <f t="shared" si="505"/>
        <v>0</v>
      </c>
      <c r="BX627" s="5">
        <f t="shared" si="505"/>
        <v>0</v>
      </c>
      <c r="BY627" s="5">
        <f t="shared" si="505"/>
        <v>0</v>
      </c>
      <c r="BZ627" s="5">
        <f t="shared" si="505"/>
        <v>0</v>
      </c>
      <c r="CA627" s="5">
        <f t="shared" si="505"/>
        <v>0</v>
      </c>
      <c r="CB627" s="5">
        <f t="shared" si="505"/>
        <v>1</v>
      </c>
      <c r="CC627" s="5">
        <f t="shared" si="509"/>
        <v>0</v>
      </c>
      <c r="CD627" s="5">
        <f t="shared" si="509"/>
        <v>0</v>
      </c>
      <c r="CE627" s="5">
        <f t="shared" si="509"/>
        <v>0</v>
      </c>
    </row>
    <row r="628" spans="1:83" x14ac:dyDescent="0.2">
      <c r="A628" s="11"/>
      <c r="B628" s="11"/>
      <c r="C628" s="1">
        <f>Growth!D633</f>
        <v>0</v>
      </c>
      <c r="D628" s="5" t="b">
        <f t="shared" si="475"/>
        <v>0</v>
      </c>
      <c r="E628" s="5">
        <v>2012</v>
      </c>
      <c r="F628" s="5">
        <f ca="1">LOOKUP($E628,frequence!$A$2:$A$35,frequence!L$2:L$35)</f>
        <v>41.545638202606931</v>
      </c>
      <c r="G628" s="5">
        <f ca="1">LOOKUP($E628,frequence!$A$2:$A$35,frequence!K$2:K$35)</f>
        <v>3.8191206393393822</v>
      </c>
      <c r="H628" s="5">
        <f ca="1">LOOKUP($E628,frequence!$A$2:$A$35,frequence!M$2:M$35)</f>
        <v>265.64322815143237</v>
      </c>
      <c r="I628" s="18">
        <v>2005</v>
      </c>
      <c r="J628" s="7">
        <f>LOOKUP(I628,CPI!A$69:A$103,CPI!O$69:O$103)</f>
        <v>1.1165181771633383</v>
      </c>
      <c r="K628" s="5">
        <v>2015</v>
      </c>
      <c r="L628" s="7">
        <f t="shared" ca="1" si="468"/>
        <v>1</v>
      </c>
      <c r="M628" s="7">
        <f t="shared" si="487"/>
        <v>4.3055555555555555E-2</v>
      </c>
      <c r="N628" s="14">
        <f t="shared" si="506"/>
        <v>6.9444444444444441E-3</v>
      </c>
      <c r="O628" s="1">
        <f ca="1">P628*J628*(1+Growth!G$6)^(2010-K628)</f>
        <v>49.718041229746518</v>
      </c>
      <c r="P628" s="11">
        <v>48</v>
      </c>
      <c r="Q628" s="2">
        <f t="shared" si="478"/>
        <v>48</v>
      </c>
      <c r="R628" s="21">
        <f t="shared" ca="1" si="476"/>
        <v>2471.8836237227747</v>
      </c>
      <c r="X628" s="2"/>
      <c r="AC628" s="1">
        <f t="shared" si="507"/>
        <v>6.2</v>
      </c>
      <c r="AD628" s="5">
        <v>1</v>
      </c>
      <c r="AE628" s="5">
        <v>0</v>
      </c>
      <c r="AF628" s="5">
        <v>1</v>
      </c>
      <c r="AG628" s="5">
        <v>0</v>
      </c>
      <c r="AH628" s="5">
        <v>1</v>
      </c>
      <c r="AI628" s="3">
        <f t="shared" si="474"/>
        <v>3.2</v>
      </c>
      <c r="AJ628" s="5">
        <f t="shared" si="486"/>
        <v>1</v>
      </c>
      <c r="AK628" s="5">
        <f t="shared" si="470"/>
        <v>0</v>
      </c>
      <c r="AL628" s="5">
        <f t="shared" si="471"/>
        <v>0</v>
      </c>
      <c r="AM628" s="5">
        <f t="shared" si="488"/>
        <v>0</v>
      </c>
      <c r="AN628" s="5">
        <f t="shared" si="472"/>
        <v>0</v>
      </c>
      <c r="AO628" s="5">
        <f t="shared" si="489"/>
        <v>0</v>
      </c>
      <c r="AP628" s="11">
        <v>3</v>
      </c>
      <c r="AQ628" s="1">
        <v>3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1</v>
      </c>
      <c r="AY628" s="1">
        <f t="shared" si="501"/>
        <v>1</v>
      </c>
      <c r="AZ628" s="1">
        <f t="shared" si="502"/>
        <v>0</v>
      </c>
      <c r="BA628" s="1">
        <f t="shared" si="503"/>
        <v>0</v>
      </c>
      <c r="BB628" s="5">
        <v>0</v>
      </c>
      <c r="BC628" s="5">
        <v>0</v>
      </c>
      <c r="BD628" s="5">
        <v>0</v>
      </c>
      <c r="BE628" s="5">
        <f t="shared" si="504"/>
        <v>1</v>
      </c>
      <c r="BF628" s="5">
        <v>1</v>
      </c>
      <c r="BG628" s="5">
        <f t="shared" si="508"/>
        <v>0</v>
      </c>
      <c r="BH628" s="5">
        <f t="shared" si="508"/>
        <v>0</v>
      </c>
      <c r="BI628" s="5">
        <f t="shared" si="508"/>
        <v>0</v>
      </c>
      <c r="BJ628" s="5">
        <f t="shared" si="508"/>
        <v>0</v>
      </c>
      <c r="BK628" s="5">
        <f t="shared" si="508"/>
        <v>0</v>
      </c>
      <c r="BL628" s="5">
        <f t="shared" si="508"/>
        <v>0</v>
      </c>
      <c r="BM628" s="5">
        <f t="shared" si="508"/>
        <v>0</v>
      </c>
      <c r="BN628" s="5">
        <f t="shared" si="508"/>
        <v>0</v>
      </c>
      <c r="BO628" s="5">
        <f t="shared" ref="BO628:CC643" si="510">IF($E628=BO$2,1,0)</f>
        <v>0</v>
      </c>
      <c r="BP628" s="5">
        <f t="shared" si="510"/>
        <v>0</v>
      </c>
      <c r="BQ628" s="5">
        <f t="shared" si="510"/>
        <v>0</v>
      </c>
      <c r="BR628" s="5">
        <f t="shared" si="510"/>
        <v>0</v>
      </c>
      <c r="BS628" s="5">
        <f t="shared" si="510"/>
        <v>0</v>
      </c>
      <c r="BT628" s="5">
        <f t="shared" si="510"/>
        <v>0</v>
      </c>
      <c r="BU628" s="5">
        <f t="shared" si="510"/>
        <v>0</v>
      </c>
      <c r="BV628" s="5">
        <f t="shared" si="510"/>
        <v>0</v>
      </c>
      <c r="BW628" s="5">
        <f t="shared" si="510"/>
        <v>0</v>
      </c>
      <c r="BX628" s="5">
        <f t="shared" si="510"/>
        <v>0</v>
      </c>
      <c r="BY628" s="5">
        <f t="shared" si="510"/>
        <v>0</v>
      </c>
      <c r="BZ628" s="5">
        <f t="shared" si="510"/>
        <v>0</v>
      </c>
      <c r="CA628" s="5">
        <f t="shared" si="510"/>
        <v>0</v>
      </c>
      <c r="CB628" s="5">
        <f t="shared" si="510"/>
        <v>1</v>
      </c>
      <c r="CC628" s="5">
        <f t="shared" si="509"/>
        <v>0</v>
      </c>
      <c r="CD628" s="5">
        <f t="shared" si="509"/>
        <v>0</v>
      </c>
      <c r="CE628" s="5">
        <f t="shared" si="509"/>
        <v>0</v>
      </c>
    </row>
    <row r="629" spans="1:83" x14ac:dyDescent="0.2">
      <c r="A629" s="11"/>
      <c r="B629" s="11"/>
      <c r="C629" s="1">
        <f>Growth!D634</f>
        <v>0</v>
      </c>
      <c r="D629" s="5" t="b">
        <f t="shared" si="475"/>
        <v>0</v>
      </c>
      <c r="E629" s="5">
        <v>2012</v>
      </c>
      <c r="F629" s="5">
        <f ca="1">LOOKUP($E629,frequence!$A$2:$A$35,frequence!L$2:L$35)</f>
        <v>41.545638202606931</v>
      </c>
      <c r="G629" s="5">
        <f ca="1">LOOKUP($E629,frequence!$A$2:$A$35,frequence!K$2:K$35)</f>
        <v>3.8191206393393822</v>
      </c>
      <c r="H629" s="5">
        <f ca="1">LOOKUP($E629,frequence!$A$2:$A$35,frequence!M$2:M$35)</f>
        <v>265.64322815143237</v>
      </c>
      <c r="I629" s="18">
        <v>2005</v>
      </c>
      <c r="J629" s="7">
        <f>LOOKUP(I629,CPI!A$69:A$103,CPI!O$69:O$103)</f>
        <v>1.1165181771633383</v>
      </c>
      <c r="K629" s="5">
        <v>2015</v>
      </c>
      <c r="L629" s="7">
        <f t="shared" ca="1" si="468"/>
        <v>1</v>
      </c>
      <c r="M629" s="7">
        <f t="shared" si="487"/>
        <v>4.3055555555555555E-2</v>
      </c>
      <c r="N629" s="14">
        <f t="shared" si="506"/>
        <v>6.9444444444444441E-3</v>
      </c>
      <c r="O629" s="1">
        <f ca="1">P629*J629*(1+Growth!G$6)^(2010-K629)</f>
        <v>38.324323447929608</v>
      </c>
      <c r="P629" s="11">
        <v>37</v>
      </c>
      <c r="Q629" s="2">
        <f t="shared" si="478"/>
        <v>37</v>
      </c>
      <c r="R629" s="21">
        <f t="shared" ca="1" si="476"/>
        <v>1468.7537677415271</v>
      </c>
      <c r="X629" s="2"/>
      <c r="AC629" s="1">
        <f t="shared" si="507"/>
        <v>6.2</v>
      </c>
      <c r="AD629" s="5">
        <v>1</v>
      </c>
      <c r="AE629" s="5">
        <v>0</v>
      </c>
      <c r="AF629" s="5">
        <v>1</v>
      </c>
      <c r="AG629" s="5">
        <v>0</v>
      </c>
      <c r="AH629" s="5">
        <v>1</v>
      </c>
      <c r="AI629" s="3">
        <f t="shared" si="474"/>
        <v>3.2</v>
      </c>
      <c r="AJ629" s="5">
        <f t="shared" si="486"/>
        <v>1</v>
      </c>
      <c r="AK629" s="5">
        <f t="shared" si="470"/>
        <v>0</v>
      </c>
      <c r="AL629" s="5">
        <f t="shared" si="471"/>
        <v>0</v>
      </c>
      <c r="AM629" s="5">
        <f t="shared" si="488"/>
        <v>0</v>
      </c>
      <c r="AN629" s="5">
        <f t="shared" si="472"/>
        <v>0</v>
      </c>
      <c r="AO629" s="5">
        <f t="shared" si="489"/>
        <v>0</v>
      </c>
      <c r="AP629" s="11">
        <v>3</v>
      </c>
      <c r="AQ629" s="1">
        <v>3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1</v>
      </c>
      <c r="AY629" s="1">
        <f t="shared" si="501"/>
        <v>1</v>
      </c>
      <c r="AZ629" s="1">
        <f t="shared" si="502"/>
        <v>0</v>
      </c>
      <c r="BA629" s="1">
        <f t="shared" si="503"/>
        <v>0</v>
      </c>
      <c r="BB629" s="5">
        <v>0</v>
      </c>
      <c r="BC629" s="5">
        <v>0</v>
      </c>
      <c r="BD629" s="5">
        <v>0</v>
      </c>
      <c r="BE629" s="5">
        <f t="shared" si="504"/>
        <v>1</v>
      </c>
      <c r="BF629" s="5">
        <v>1</v>
      </c>
      <c r="BG629" s="5">
        <f t="shared" ref="BG629:BN644" si="511">IF($E629=BG$2,1,0)</f>
        <v>0</v>
      </c>
      <c r="BH629" s="5">
        <f t="shared" si="511"/>
        <v>0</v>
      </c>
      <c r="BI629" s="5">
        <f t="shared" si="511"/>
        <v>0</v>
      </c>
      <c r="BJ629" s="5">
        <f t="shared" si="511"/>
        <v>0</v>
      </c>
      <c r="BK629" s="5">
        <f t="shared" si="511"/>
        <v>0</v>
      </c>
      <c r="BL629" s="5">
        <f t="shared" si="511"/>
        <v>0</v>
      </c>
      <c r="BM629" s="5">
        <f t="shared" si="511"/>
        <v>0</v>
      </c>
      <c r="BN629" s="5">
        <f t="shared" si="511"/>
        <v>0</v>
      </c>
      <c r="BO629" s="5">
        <f t="shared" si="510"/>
        <v>0</v>
      </c>
      <c r="BP629" s="5">
        <f t="shared" si="510"/>
        <v>0</v>
      </c>
      <c r="BQ629" s="5">
        <f t="shared" si="510"/>
        <v>0</v>
      </c>
      <c r="BR629" s="5">
        <f t="shared" si="510"/>
        <v>0</v>
      </c>
      <c r="BS629" s="5">
        <f t="shared" si="510"/>
        <v>0</v>
      </c>
      <c r="BT629" s="5">
        <f t="shared" si="510"/>
        <v>0</v>
      </c>
      <c r="BU629" s="5">
        <f t="shared" si="510"/>
        <v>0</v>
      </c>
      <c r="BV629" s="5">
        <f t="shared" si="510"/>
        <v>0</v>
      </c>
      <c r="BW629" s="5">
        <f t="shared" si="510"/>
        <v>0</v>
      </c>
      <c r="BX629" s="5">
        <f t="shared" si="510"/>
        <v>0</v>
      </c>
      <c r="BY629" s="5">
        <f t="shared" si="510"/>
        <v>0</v>
      </c>
      <c r="BZ629" s="5">
        <f t="shared" si="510"/>
        <v>0</v>
      </c>
      <c r="CA629" s="5">
        <f t="shared" si="510"/>
        <v>0</v>
      </c>
      <c r="CB629" s="5">
        <f t="shared" si="510"/>
        <v>1</v>
      </c>
      <c r="CC629" s="5">
        <f t="shared" si="509"/>
        <v>0</v>
      </c>
      <c r="CD629" s="5">
        <f t="shared" si="509"/>
        <v>0</v>
      </c>
      <c r="CE629" s="5">
        <f t="shared" si="509"/>
        <v>0</v>
      </c>
    </row>
    <row r="630" spans="1:83" x14ac:dyDescent="0.2">
      <c r="A630" s="11"/>
      <c r="B630" s="11"/>
      <c r="C630" s="1">
        <f>Growth!D635</f>
        <v>0</v>
      </c>
      <c r="D630" s="5" t="b">
        <f t="shared" si="475"/>
        <v>0</v>
      </c>
      <c r="E630" s="5">
        <v>2012</v>
      </c>
      <c r="F630" s="5">
        <f ca="1">LOOKUP($E630,frequence!$A$2:$A$35,frequence!L$2:L$35)</f>
        <v>41.545638202606931</v>
      </c>
      <c r="G630" s="5">
        <f ca="1">LOOKUP($E630,frequence!$A$2:$A$35,frequence!K$2:K$35)</f>
        <v>3.8191206393393822</v>
      </c>
      <c r="H630" s="5">
        <f ca="1">LOOKUP($E630,frequence!$A$2:$A$35,frequence!M$2:M$35)</f>
        <v>265.64322815143237</v>
      </c>
      <c r="I630" s="18">
        <v>2005</v>
      </c>
      <c r="J630" s="7">
        <f>LOOKUP(I630,CPI!A$69:A$103,CPI!O$69:O$103)</f>
        <v>1.1165181771633383</v>
      </c>
      <c r="K630" s="5">
        <v>2015</v>
      </c>
      <c r="L630" s="7">
        <f t="shared" ca="1" si="468"/>
        <v>1</v>
      </c>
      <c r="M630" s="7">
        <f t="shared" si="487"/>
        <v>4.3055555555555555E-2</v>
      </c>
      <c r="N630" s="14">
        <f t="shared" si="506"/>
        <v>6.9444444444444441E-3</v>
      </c>
      <c r="O630" s="1">
        <f ca="1">P630*J630*(1+Growth!G$6)^(2010-K630)</f>
        <v>46.610663652887361</v>
      </c>
      <c r="P630" s="11">
        <v>45</v>
      </c>
      <c r="Q630" s="2">
        <f t="shared" si="478"/>
        <v>45</v>
      </c>
      <c r="R630" s="21">
        <f t="shared" ca="1" si="476"/>
        <v>2172.5539661625949</v>
      </c>
      <c r="X630" s="2"/>
      <c r="AC630" s="1">
        <f t="shared" si="507"/>
        <v>6.2</v>
      </c>
      <c r="AD630" s="5">
        <v>1</v>
      </c>
      <c r="AE630" s="5">
        <v>0</v>
      </c>
      <c r="AF630" s="5">
        <v>1</v>
      </c>
      <c r="AG630" s="5">
        <v>0</v>
      </c>
      <c r="AH630" s="5">
        <v>1</v>
      </c>
      <c r="AI630" s="3">
        <f t="shared" si="474"/>
        <v>3.2</v>
      </c>
      <c r="AJ630" s="5">
        <f t="shared" si="486"/>
        <v>0</v>
      </c>
      <c r="AK630" s="5">
        <f t="shared" si="470"/>
        <v>0</v>
      </c>
      <c r="AL630" s="5">
        <f t="shared" si="471"/>
        <v>0</v>
      </c>
      <c r="AM630" s="5">
        <f t="shared" si="488"/>
        <v>0</v>
      </c>
      <c r="AN630" s="5">
        <f t="shared" si="472"/>
        <v>0</v>
      </c>
      <c r="AO630" s="5">
        <f t="shared" si="489"/>
        <v>0</v>
      </c>
      <c r="AP630" s="11">
        <v>3</v>
      </c>
      <c r="AQ630" s="1">
        <v>0.95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1</v>
      </c>
      <c r="AY630" s="1">
        <f t="shared" si="501"/>
        <v>0</v>
      </c>
      <c r="AZ630" s="1">
        <f t="shared" si="502"/>
        <v>0</v>
      </c>
      <c r="BA630" s="1">
        <f t="shared" si="503"/>
        <v>0</v>
      </c>
      <c r="BB630" s="5">
        <v>0</v>
      </c>
      <c r="BC630" s="5">
        <v>0</v>
      </c>
      <c r="BD630" s="5">
        <v>0</v>
      </c>
      <c r="BE630" s="5">
        <f t="shared" si="504"/>
        <v>1</v>
      </c>
      <c r="BF630" s="5">
        <v>1</v>
      </c>
      <c r="BG630" s="5">
        <f t="shared" si="511"/>
        <v>0</v>
      </c>
      <c r="BH630" s="5">
        <f t="shared" si="511"/>
        <v>0</v>
      </c>
      <c r="BI630" s="5">
        <f t="shared" si="511"/>
        <v>0</v>
      </c>
      <c r="BJ630" s="5">
        <f t="shared" si="511"/>
        <v>0</v>
      </c>
      <c r="BK630" s="5">
        <f t="shared" si="511"/>
        <v>0</v>
      </c>
      <c r="BL630" s="5">
        <f t="shared" si="511"/>
        <v>0</v>
      </c>
      <c r="BM630" s="5">
        <f t="shared" si="511"/>
        <v>0</v>
      </c>
      <c r="BN630" s="5">
        <f t="shared" si="511"/>
        <v>0</v>
      </c>
      <c r="BO630" s="5">
        <f t="shared" si="510"/>
        <v>0</v>
      </c>
      <c r="BP630" s="5">
        <f t="shared" si="510"/>
        <v>0</v>
      </c>
      <c r="BQ630" s="5">
        <f t="shared" si="510"/>
        <v>0</v>
      </c>
      <c r="BR630" s="5">
        <f t="shared" si="510"/>
        <v>0</v>
      </c>
      <c r="BS630" s="5">
        <f t="shared" si="510"/>
        <v>0</v>
      </c>
      <c r="BT630" s="5">
        <f t="shared" si="510"/>
        <v>0</v>
      </c>
      <c r="BU630" s="5">
        <f t="shared" si="510"/>
        <v>0</v>
      </c>
      <c r="BV630" s="5">
        <f t="shared" si="510"/>
        <v>0</v>
      </c>
      <c r="BW630" s="5">
        <f t="shared" si="510"/>
        <v>0</v>
      </c>
      <c r="BX630" s="5">
        <f t="shared" si="510"/>
        <v>0</v>
      </c>
      <c r="BY630" s="5">
        <f t="shared" si="510"/>
        <v>0</v>
      </c>
      <c r="BZ630" s="5">
        <f t="shared" si="510"/>
        <v>0</v>
      </c>
      <c r="CA630" s="5">
        <f t="shared" si="510"/>
        <v>0</v>
      </c>
      <c r="CB630" s="5">
        <f t="shared" si="510"/>
        <v>1</v>
      </c>
      <c r="CC630" s="5">
        <f t="shared" si="509"/>
        <v>0</v>
      </c>
      <c r="CD630" s="5">
        <f t="shared" si="509"/>
        <v>0</v>
      </c>
      <c r="CE630" s="5">
        <f t="shared" si="509"/>
        <v>0</v>
      </c>
    </row>
    <row r="631" spans="1:83" x14ac:dyDescent="0.2">
      <c r="A631" s="11"/>
      <c r="B631" s="11"/>
      <c r="C631" s="1">
        <f>Growth!D636</f>
        <v>0</v>
      </c>
      <c r="D631" s="5" t="b">
        <f t="shared" si="475"/>
        <v>0</v>
      </c>
      <c r="E631" s="5">
        <v>2012</v>
      </c>
      <c r="F631" s="5">
        <f ca="1">LOOKUP($E631,frequence!$A$2:$A$35,frequence!L$2:L$35)</f>
        <v>41.545638202606931</v>
      </c>
      <c r="G631" s="5">
        <f ca="1">LOOKUP($E631,frequence!$A$2:$A$35,frequence!K$2:K$35)</f>
        <v>3.8191206393393822</v>
      </c>
      <c r="H631" s="5">
        <f ca="1">LOOKUP($E631,frequence!$A$2:$A$35,frequence!M$2:M$35)</f>
        <v>265.64322815143237</v>
      </c>
      <c r="I631" s="18">
        <v>2005</v>
      </c>
      <c r="J631" s="7">
        <f>LOOKUP(I631,CPI!A$69:A$103,CPI!O$69:O$103)</f>
        <v>1.1165181771633383</v>
      </c>
      <c r="K631" s="5">
        <v>2015</v>
      </c>
      <c r="L631" s="7">
        <f t="shared" ca="1" si="468"/>
        <v>1</v>
      </c>
      <c r="M631" s="7">
        <f t="shared" si="487"/>
        <v>4.3055555555555555E-2</v>
      </c>
      <c r="N631" s="14">
        <f t="shared" si="506"/>
        <v>6.9444444444444441E-3</v>
      </c>
      <c r="O631" s="1">
        <f ca="1">P631*J631*(1+Growth!G$6)^(2010-K631)</f>
        <v>50.75383375536623</v>
      </c>
      <c r="P631" s="11">
        <v>49</v>
      </c>
      <c r="Q631" s="2">
        <f t="shared" si="478"/>
        <v>49</v>
      </c>
      <c r="R631" s="21">
        <f t="shared" ca="1" si="476"/>
        <v>2575.9516408673526</v>
      </c>
      <c r="X631" s="2"/>
      <c r="AC631" s="1">
        <f t="shared" si="507"/>
        <v>6.2</v>
      </c>
      <c r="AD631" s="5">
        <v>1</v>
      </c>
      <c r="AE631" s="5">
        <v>0</v>
      </c>
      <c r="AF631" s="5">
        <v>1</v>
      </c>
      <c r="AG631" s="5">
        <v>0</v>
      </c>
      <c r="AH631" s="5">
        <v>1</v>
      </c>
      <c r="AI631" s="3">
        <f t="shared" si="474"/>
        <v>3.2</v>
      </c>
      <c r="AJ631" s="5">
        <f t="shared" si="486"/>
        <v>0</v>
      </c>
      <c r="AK631" s="5">
        <f t="shared" si="470"/>
        <v>0</v>
      </c>
      <c r="AL631" s="5">
        <f t="shared" si="471"/>
        <v>0</v>
      </c>
      <c r="AM631" s="5">
        <f t="shared" si="488"/>
        <v>0</v>
      </c>
      <c r="AN631" s="5">
        <f t="shared" si="472"/>
        <v>0</v>
      </c>
      <c r="AO631" s="5">
        <f t="shared" si="489"/>
        <v>0</v>
      </c>
      <c r="AP631" s="11">
        <v>3</v>
      </c>
      <c r="AQ631" s="1">
        <v>0.95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1</v>
      </c>
      <c r="AY631" s="1">
        <f t="shared" si="501"/>
        <v>0</v>
      </c>
      <c r="AZ631" s="1">
        <f t="shared" si="502"/>
        <v>0</v>
      </c>
      <c r="BA631" s="1">
        <f t="shared" si="503"/>
        <v>0</v>
      </c>
      <c r="BB631" s="5">
        <v>0</v>
      </c>
      <c r="BC631" s="5">
        <v>0</v>
      </c>
      <c r="BD631" s="5">
        <v>0</v>
      </c>
      <c r="BE631" s="5">
        <f t="shared" si="504"/>
        <v>1</v>
      </c>
      <c r="BF631" s="5">
        <v>1</v>
      </c>
      <c r="BG631" s="5">
        <f t="shared" si="511"/>
        <v>0</v>
      </c>
      <c r="BH631" s="5">
        <f t="shared" si="511"/>
        <v>0</v>
      </c>
      <c r="BI631" s="5">
        <f t="shared" si="511"/>
        <v>0</v>
      </c>
      <c r="BJ631" s="5">
        <f t="shared" si="511"/>
        <v>0</v>
      </c>
      <c r="BK631" s="5">
        <f t="shared" si="511"/>
        <v>0</v>
      </c>
      <c r="BL631" s="5">
        <f t="shared" si="511"/>
        <v>0</v>
      </c>
      <c r="BM631" s="5">
        <f t="shared" si="511"/>
        <v>0</v>
      </c>
      <c r="BN631" s="5">
        <f t="shared" si="511"/>
        <v>0</v>
      </c>
      <c r="BO631" s="5">
        <f t="shared" si="510"/>
        <v>0</v>
      </c>
      <c r="BP631" s="5">
        <f t="shared" si="510"/>
        <v>0</v>
      </c>
      <c r="BQ631" s="5">
        <f t="shared" si="510"/>
        <v>0</v>
      </c>
      <c r="BR631" s="5">
        <f t="shared" si="510"/>
        <v>0</v>
      </c>
      <c r="BS631" s="5">
        <f t="shared" si="510"/>
        <v>0</v>
      </c>
      <c r="BT631" s="5">
        <f t="shared" si="510"/>
        <v>0</v>
      </c>
      <c r="BU631" s="5">
        <f t="shared" si="510"/>
        <v>0</v>
      </c>
      <c r="BV631" s="5">
        <f t="shared" si="510"/>
        <v>0</v>
      </c>
      <c r="BW631" s="5">
        <f t="shared" si="510"/>
        <v>0</v>
      </c>
      <c r="BX631" s="5">
        <f t="shared" si="510"/>
        <v>0</v>
      </c>
      <c r="BY631" s="5">
        <f t="shared" si="510"/>
        <v>0</v>
      </c>
      <c r="BZ631" s="5">
        <f t="shared" si="510"/>
        <v>0</v>
      </c>
      <c r="CA631" s="5">
        <f t="shared" si="510"/>
        <v>0</v>
      </c>
      <c r="CB631" s="5">
        <f t="shared" si="510"/>
        <v>1</v>
      </c>
      <c r="CC631" s="5">
        <f t="shared" si="509"/>
        <v>0</v>
      </c>
      <c r="CD631" s="5">
        <f t="shared" si="509"/>
        <v>0</v>
      </c>
      <c r="CE631" s="5">
        <f t="shared" si="509"/>
        <v>0</v>
      </c>
    </row>
    <row r="632" spans="1:83" x14ac:dyDescent="0.2">
      <c r="A632" s="11"/>
      <c r="B632" s="11"/>
      <c r="C632" s="1">
        <f>Growth!D637</f>
        <v>0</v>
      </c>
      <c r="D632" s="5" t="b">
        <f t="shared" si="475"/>
        <v>0</v>
      </c>
      <c r="E632" s="5">
        <v>2012</v>
      </c>
      <c r="F632" s="5">
        <f ca="1">LOOKUP($E632,frequence!$A$2:$A$35,frequence!L$2:L$35)</f>
        <v>41.545638202606931</v>
      </c>
      <c r="G632" s="5">
        <f ca="1">LOOKUP($E632,frequence!$A$2:$A$35,frequence!K$2:K$35)</f>
        <v>3.8191206393393822</v>
      </c>
      <c r="H632" s="5">
        <f ca="1">LOOKUP($E632,frequence!$A$2:$A$35,frequence!M$2:M$35)</f>
        <v>265.64322815143237</v>
      </c>
      <c r="I632" s="18">
        <v>2005</v>
      </c>
      <c r="J632" s="7">
        <f>LOOKUP(I632,CPI!A$69:A$103,CPI!O$69:O$103)</f>
        <v>1.1165181771633383</v>
      </c>
      <c r="K632" s="5">
        <v>2015</v>
      </c>
      <c r="L632" s="7">
        <f t="shared" ca="1" si="468"/>
        <v>1</v>
      </c>
      <c r="M632" s="7">
        <f t="shared" si="487"/>
        <v>4.3055555555555555E-2</v>
      </c>
      <c r="N632" s="14">
        <f t="shared" si="506"/>
        <v>6.9444444444444441E-3</v>
      </c>
      <c r="O632" s="1">
        <f ca="1">P632*J632*(1+Growth!G$6)^(2010-K632)</f>
        <v>44.539078601647923</v>
      </c>
      <c r="P632" s="11">
        <v>43</v>
      </c>
      <c r="Q632" s="2">
        <f t="shared" si="478"/>
        <v>43</v>
      </c>
      <c r="R632" s="21">
        <f t="shared" ca="1" si="476"/>
        <v>1983.7295226837718</v>
      </c>
      <c r="X632" s="2"/>
      <c r="AC632" s="1">
        <f t="shared" si="507"/>
        <v>6.2</v>
      </c>
      <c r="AD632" s="5">
        <v>1</v>
      </c>
      <c r="AE632" s="5">
        <v>0</v>
      </c>
      <c r="AF632" s="5">
        <v>1</v>
      </c>
      <c r="AG632" s="5">
        <v>0</v>
      </c>
      <c r="AH632" s="5">
        <v>1</v>
      </c>
      <c r="AI632" s="3">
        <f t="shared" si="474"/>
        <v>3.2</v>
      </c>
      <c r="AJ632" s="5">
        <f t="shared" si="486"/>
        <v>0</v>
      </c>
      <c r="AK632" s="5">
        <f t="shared" si="470"/>
        <v>0</v>
      </c>
      <c r="AL632" s="5">
        <f t="shared" si="471"/>
        <v>0</v>
      </c>
      <c r="AM632" s="5">
        <f t="shared" si="488"/>
        <v>0</v>
      </c>
      <c r="AN632" s="5">
        <f t="shared" si="472"/>
        <v>0</v>
      </c>
      <c r="AO632" s="5">
        <f t="shared" si="489"/>
        <v>0</v>
      </c>
      <c r="AP632" s="11">
        <v>3</v>
      </c>
      <c r="AQ632" s="1">
        <v>0.95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1</v>
      </c>
      <c r="AY632" s="1">
        <f t="shared" si="501"/>
        <v>0</v>
      </c>
      <c r="AZ632" s="1">
        <f t="shared" si="502"/>
        <v>0</v>
      </c>
      <c r="BA632" s="1">
        <f t="shared" si="503"/>
        <v>0</v>
      </c>
      <c r="BB632" s="5">
        <v>0</v>
      </c>
      <c r="BC632" s="5">
        <v>0</v>
      </c>
      <c r="BD632" s="5">
        <v>0</v>
      </c>
      <c r="BE632" s="5">
        <f t="shared" si="504"/>
        <v>1</v>
      </c>
      <c r="BF632" s="5">
        <v>1</v>
      </c>
      <c r="BG632" s="5">
        <f t="shared" si="511"/>
        <v>0</v>
      </c>
      <c r="BH632" s="5">
        <f t="shared" si="511"/>
        <v>0</v>
      </c>
      <c r="BI632" s="5">
        <f t="shared" si="511"/>
        <v>0</v>
      </c>
      <c r="BJ632" s="5">
        <f t="shared" si="511"/>
        <v>0</v>
      </c>
      <c r="BK632" s="5">
        <f t="shared" si="511"/>
        <v>0</v>
      </c>
      <c r="BL632" s="5">
        <f t="shared" si="511"/>
        <v>0</v>
      </c>
      <c r="BM632" s="5">
        <f t="shared" si="511"/>
        <v>0</v>
      </c>
      <c r="BN632" s="5">
        <f t="shared" si="511"/>
        <v>0</v>
      </c>
      <c r="BO632" s="5">
        <f t="shared" si="510"/>
        <v>0</v>
      </c>
      <c r="BP632" s="5">
        <f t="shared" si="510"/>
        <v>0</v>
      </c>
      <c r="BQ632" s="5">
        <f t="shared" si="510"/>
        <v>0</v>
      </c>
      <c r="BR632" s="5">
        <f t="shared" si="510"/>
        <v>0</v>
      </c>
      <c r="BS632" s="5">
        <f t="shared" si="510"/>
        <v>0</v>
      </c>
      <c r="BT632" s="5">
        <f t="shared" si="510"/>
        <v>0</v>
      </c>
      <c r="BU632" s="5">
        <f t="shared" si="510"/>
        <v>0</v>
      </c>
      <c r="BV632" s="5">
        <f t="shared" si="510"/>
        <v>0</v>
      </c>
      <c r="BW632" s="5">
        <f t="shared" si="510"/>
        <v>0</v>
      </c>
      <c r="BX632" s="5">
        <f t="shared" si="510"/>
        <v>0</v>
      </c>
      <c r="BY632" s="5">
        <f t="shared" si="510"/>
        <v>0</v>
      </c>
      <c r="BZ632" s="5">
        <f t="shared" si="510"/>
        <v>0</v>
      </c>
      <c r="CA632" s="5">
        <f t="shared" si="510"/>
        <v>0</v>
      </c>
      <c r="CB632" s="5">
        <f t="shared" si="510"/>
        <v>1</v>
      </c>
      <c r="CC632" s="5">
        <f t="shared" si="509"/>
        <v>0</v>
      </c>
      <c r="CD632" s="5">
        <f t="shared" si="509"/>
        <v>0</v>
      </c>
      <c r="CE632" s="5">
        <f t="shared" si="509"/>
        <v>0</v>
      </c>
    </row>
    <row r="633" spans="1:83" x14ac:dyDescent="0.2">
      <c r="A633" s="11"/>
      <c r="B633" s="11"/>
      <c r="C633" s="1">
        <f>Growth!D638</f>
        <v>0</v>
      </c>
      <c r="D633" s="5" t="b">
        <f t="shared" si="475"/>
        <v>0</v>
      </c>
      <c r="E633" s="5">
        <v>2012</v>
      </c>
      <c r="F633" s="5">
        <f ca="1">LOOKUP($E633,frequence!$A$2:$A$35,frequence!L$2:L$35)</f>
        <v>41.545638202606931</v>
      </c>
      <c r="G633" s="5">
        <f ca="1">LOOKUP($E633,frequence!$A$2:$A$35,frequence!K$2:K$35)</f>
        <v>3.8191206393393822</v>
      </c>
      <c r="H633" s="5">
        <f ca="1">LOOKUP($E633,frequence!$A$2:$A$35,frequence!M$2:M$35)</f>
        <v>265.64322815143237</v>
      </c>
      <c r="I633" s="18">
        <v>2005</v>
      </c>
      <c r="J633" s="7">
        <f>LOOKUP(I633,CPI!A$69:A$103,CPI!O$69:O$103)</f>
        <v>1.1165181771633383</v>
      </c>
      <c r="K633" s="5">
        <v>2015</v>
      </c>
      <c r="L633" s="7">
        <f t="shared" ca="1" si="468"/>
        <v>1</v>
      </c>
      <c r="M633" s="7">
        <f t="shared" si="487"/>
        <v>4.3055555555555555E-2</v>
      </c>
      <c r="N633" s="14">
        <f t="shared" si="506"/>
        <v>6.9444444444444441E-3</v>
      </c>
      <c r="O633" s="1">
        <f ca="1">P633*J633*(1+Growth!G$6)^(2010-K633)</f>
        <v>72.505476793380339</v>
      </c>
      <c r="P633" s="11">
        <v>70</v>
      </c>
      <c r="Q633" s="2">
        <f t="shared" si="478"/>
        <v>70</v>
      </c>
      <c r="R633" s="21">
        <f t="shared" ca="1" si="476"/>
        <v>5257.0441650354151</v>
      </c>
      <c r="X633" s="2"/>
      <c r="AC633" s="1">
        <f t="shared" si="507"/>
        <v>6.2</v>
      </c>
      <c r="AD633" s="5">
        <v>1</v>
      </c>
      <c r="AE633" s="5">
        <v>0</v>
      </c>
      <c r="AF633" s="5">
        <v>1</v>
      </c>
      <c r="AG633" s="5">
        <v>0</v>
      </c>
      <c r="AH633" s="5">
        <v>1</v>
      </c>
      <c r="AI633" s="3">
        <f t="shared" si="474"/>
        <v>3.2</v>
      </c>
      <c r="AJ633" s="5">
        <f t="shared" si="486"/>
        <v>0</v>
      </c>
      <c r="AK633" s="5">
        <f t="shared" si="470"/>
        <v>0</v>
      </c>
      <c r="AL633" s="5">
        <f t="shared" si="471"/>
        <v>0</v>
      </c>
      <c r="AM633" s="5">
        <f t="shared" si="488"/>
        <v>0</v>
      </c>
      <c r="AN633" s="5">
        <f t="shared" si="472"/>
        <v>0</v>
      </c>
      <c r="AO633" s="5">
        <f t="shared" si="489"/>
        <v>0</v>
      </c>
      <c r="AP633" s="11">
        <v>3</v>
      </c>
      <c r="AQ633" s="1">
        <v>0.95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1</v>
      </c>
      <c r="AY633" s="1">
        <f t="shared" si="501"/>
        <v>0</v>
      </c>
      <c r="AZ633" s="1">
        <f t="shared" si="502"/>
        <v>0</v>
      </c>
      <c r="BA633" s="1">
        <f t="shared" si="503"/>
        <v>0</v>
      </c>
      <c r="BB633" s="5">
        <v>0</v>
      </c>
      <c r="BC633" s="5">
        <v>0</v>
      </c>
      <c r="BD633" s="5">
        <v>0</v>
      </c>
      <c r="BE633" s="5">
        <f t="shared" si="504"/>
        <v>1</v>
      </c>
      <c r="BF633" s="5">
        <v>1</v>
      </c>
      <c r="BG633" s="5">
        <f t="shared" si="511"/>
        <v>0</v>
      </c>
      <c r="BH633" s="5">
        <f t="shared" si="511"/>
        <v>0</v>
      </c>
      <c r="BI633" s="5">
        <f t="shared" si="511"/>
        <v>0</v>
      </c>
      <c r="BJ633" s="5">
        <f t="shared" si="511"/>
        <v>0</v>
      </c>
      <c r="BK633" s="5">
        <f t="shared" si="511"/>
        <v>0</v>
      </c>
      <c r="BL633" s="5">
        <f t="shared" si="511"/>
        <v>0</v>
      </c>
      <c r="BM633" s="5">
        <f t="shared" si="511"/>
        <v>0</v>
      </c>
      <c r="BN633" s="5">
        <f t="shared" si="511"/>
        <v>0</v>
      </c>
      <c r="BO633" s="5">
        <f t="shared" si="510"/>
        <v>0</v>
      </c>
      <c r="BP633" s="5">
        <f t="shared" si="510"/>
        <v>0</v>
      </c>
      <c r="BQ633" s="5">
        <f t="shared" si="510"/>
        <v>0</v>
      </c>
      <c r="BR633" s="5">
        <f t="shared" si="510"/>
        <v>0</v>
      </c>
      <c r="BS633" s="5">
        <f t="shared" si="510"/>
        <v>0</v>
      </c>
      <c r="BT633" s="5">
        <f t="shared" si="510"/>
        <v>0</v>
      </c>
      <c r="BU633" s="5">
        <f t="shared" si="510"/>
        <v>0</v>
      </c>
      <c r="BV633" s="5">
        <f t="shared" si="510"/>
        <v>0</v>
      </c>
      <c r="BW633" s="5">
        <f t="shared" si="510"/>
        <v>0</v>
      </c>
      <c r="BX633" s="5">
        <f t="shared" si="510"/>
        <v>0</v>
      </c>
      <c r="BY633" s="5">
        <f t="shared" si="510"/>
        <v>0</v>
      </c>
      <c r="BZ633" s="5">
        <f t="shared" si="510"/>
        <v>0</v>
      </c>
      <c r="CA633" s="5">
        <f t="shared" si="510"/>
        <v>0</v>
      </c>
      <c r="CB633" s="5">
        <f t="shared" si="510"/>
        <v>1</v>
      </c>
      <c r="CC633" s="5">
        <f t="shared" si="509"/>
        <v>0</v>
      </c>
      <c r="CD633" s="5">
        <f t="shared" si="509"/>
        <v>0</v>
      </c>
      <c r="CE633" s="5">
        <f t="shared" si="509"/>
        <v>0</v>
      </c>
    </row>
    <row r="634" spans="1:83" x14ac:dyDescent="0.2">
      <c r="A634" s="11"/>
      <c r="B634" s="11"/>
      <c r="C634" s="1">
        <f>Growth!D639</f>
        <v>0</v>
      </c>
      <c r="D634" s="5" t="b">
        <f t="shared" si="475"/>
        <v>0</v>
      </c>
      <c r="E634" s="5">
        <v>2012</v>
      </c>
      <c r="F634" s="5">
        <f ca="1">LOOKUP($E634,frequence!$A$2:$A$35,frequence!L$2:L$35)</f>
        <v>41.545638202606931</v>
      </c>
      <c r="G634" s="5">
        <f ca="1">LOOKUP($E634,frequence!$A$2:$A$35,frequence!K$2:K$35)</f>
        <v>3.8191206393393822</v>
      </c>
      <c r="H634" s="5">
        <f ca="1">LOOKUP($E634,frequence!$A$2:$A$35,frequence!M$2:M$35)</f>
        <v>265.64322815143237</v>
      </c>
      <c r="I634" s="18">
        <v>2005</v>
      </c>
      <c r="J634" s="7">
        <f>LOOKUP(I634,CPI!A$69:A$103,CPI!O$69:O$103)</f>
        <v>1.1165181771633383</v>
      </c>
      <c r="K634" s="5">
        <v>2015</v>
      </c>
      <c r="L634" s="7">
        <f t="shared" ca="1" si="468"/>
        <v>1</v>
      </c>
      <c r="M634" s="7">
        <f t="shared" si="487"/>
        <v>4.3055555555555555E-2</v>
      </c>
      <c r="N634" s="14">
        <f t="shared" si="506"/>
        <v>6.9444444444444441E-3</v>
      </c>
      <c r="O634" s="1">
        <f ca="1">P634*J634*(1+Growth!G$6)^(2010-K634)</f>
        <v>46.610663652887361</v>
      </c>
      <c r="P634" s="11">
        <v>45</v>
      </c>
      <c r="Q634" s="2">
        <f t="shared" si="478"/>
        <v>45</v>
      </c>
      <c r="R634" s="21">
        <f t="shared" ca="1" si="476"/>
        <v>2172.5539661625949</v>
      </c>
      <c r="X634" s="2"/>
      <c r="AC634" s="1">
        <f t="shared" si="507"/>
        <v>6.2</v>
      </c>
      <c r="AD634" s="5">
        <v>1</v>
      </c>
      <c r="AE634" s="5">
        <v>0</v>
      </c>
      <c r="AF634" s="5">
        <v>1</v>
      </c>
      <c r="AG634" s="5">
        <v>0</v>
      </c>
      <c r="AH634" s="5">
        <v>1</v>
      </c>
      <c r="AI634" s="3">
        <f t="shared" si="474"/>
        <v>3.2</v>
      </c>
      <c r="AJ634" s="5">
        <f t="shared" si="486"/>
        <v>0</v>
      </c>
      <c r="AK634" s="5">
        <f t="shared" si="470"/>
        <v>0</v>
      </c>
      <c r="AL634" s="5">
        <f t="shared" si="471"/>
        <v>0</v>
      </c>
      <c r="AM634" s="5">
        <f t="shared" si="488"/>
        <v>0</v>
      </c>
      <c r="AN634" s="5">
        <f t="shared" si="472"/>
        <v>0</v>
      </c>
      <c r="AO634" s="5">
        <f t="shared" si="489"/>
        <v>0</v>
      </c>
      <c r="AP634" s="11">
        <v>3</v>
      </c>
      <c r="AQ634" s="1">
        <v>0.95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1</v>
      </c>
      <c r="AY634" s="1">
        <f t="shared" si="501"/>
        <v>0</v>
      </c>
      <c r="AZ634" s="1">
        <f t="shared" si="502"/>
        <v>0</v>
      </c>
      <c r="BA634" s="1">
        <f t="shared" si="503"/>
        <v>0</v>
      </c>
      <c r="BB634" s="5">
        <v>0</v>
      </c>
      <c r="BC634" s="5">
        <v>0</v>
      </c>
      <c r="BD634" s="5">
        <v>0</v>
      </c>
      <c r="BE634" s="5">
        <f t="shared" si="504"/>
        <v>1</v>
      </c>
      <c r="BF634" s="5">
        <v>1</v>
      </c>
      <c r="BG634" s="5">
        <f t="shared" si="511"/>
        <v>0</v>
      </c>
      <c r="BH634" s="5">
        <f t="shared" si="511"/>
        <v>0</v>
      </c>
      <c r="BI634" s="5">
        <f t="shared" si="511"/>
        <v>0</v>
      </c>
      <c r="BJ634" s="5">
        <f t="shared" si="511"/>
        <v>0</v>
      </c>
      <c r="BK634" s="5">
        <f t="shared" si="511"/>
        <v>0</v>
      </c>
      <c r="BL634" s="5">
        <f t="shared" si="511"/>
        <v>0</v>
      </c>
      <c r="BM634" s="5">
        <f t="shared" si="511"/>
        <v>0</v>
      </c>
      <c r="BN634" s="5">
        <f t="shared" si="511"/>
        <v>0</v>
      </c>
      <c r="BO634" s="5">
        <f t="shared" si="510"/>
        <v>0</v>
      </c>
      <c r="BP634" s="5">
        <f t="shared" si="510"/>
        <v>0</v>
      </c>
      <c r="BQ634" s="5">
        <f t="shared" si="510"/>
        <v>0</v>
      </c>
      <c r="BR634" s="5">
        <f t="shared" si="510"/>
        <v>0</v>
      </c>
      <c r="BS634" s="5">
        <f t="shared" si="510"/>
        <v>0</v>
      </c>
      <c r="BT634" s="5">
        <f t="shared" si="510"/>
        <v>0</v>
      </c>
      <c r="BU634" s="5">
        <f t="shared" si="510"/>
        <v>0</v>
      </c>
      <c r="BV634" s="5">
        <f t="shared" si="510"/>
        <v>0</v>
      </c>
      <c r="BW634" s="5">
        <f t="shared" si="510"/>
        <v>0</v>
      </c>
      <c r="BX634" s="5">
        <f t="shared" si="510"/>
        <v>0</v>
      </c>
      <c r="BY634" s="5">
        <f t="shared" si="510"/>
        <v>0</v>
      </c>
      <c r="BZ634" s="5">
        <f t="shared" si="510"/>
        <v>0</v>
      </c>
      <c r="CA634" s="5">
        <f t="shared" si="510"/>
        <v>0</v>
      </c>
      <c r="CB634" s="5">
        <f t="shared" si="510"/>
        <v>1</v>
      </c>
      <c r="CC634" s="5">
        <f t="shared" si="509"/>
        <v>0</v>
      </c>
      <c r="CD634" s="5">
        <f t="shared" si="509"/>
        <v>0</v>
      </c>
      <c r="CE634" s="5">
        <f t="shared" si="509"/>
        <v>0</v>
      </c>
    </row>
    <row r="635" spans="1:83" x14ac:dyDescent="0.2">
      <c r="A635" s="11"/>
      <c r="B635" s="11"/>
      <c r="C635" s="1">
        <f>Growth!D640</f>
        <v>0</v>
      </c>
      <c r="D635" s="5" t="b">
        <f t="shared" si="475"/>
        <v>0</v>
      </c>
      <c r="E635" s="5">
        <v>2012</v>
      </c>
      <c r="F635" s="5">
        <f ca="1">LOOKUP($E635,frequence!$A$2:$A$35,frequence!L$2:L$35)</f>
        <v>41.545638202606931</v>
      </c>
      <c r="G635" s="5">
        <f ca="1">LOOKUP($E635,frequence!$A$2:$A$35,frequence!K$2:K$35)</f>
        <v>3.8191206393393822</v>
      </c>
      <c r="H635" s="5">
        <f ca="1">LOOKUP($E635,frequence!$A$2:$A$35,frequence!M$2:M$35)</f>
        <v>265.64322815143237</v>
      </c>
      <c r="I635" s="18">
        <v>2005</v>
      </c>
      <c r="J635" s="7">
        <f>LOOKUP(I635,CPI!A$69:A$103,CPI!O$69:O$103)</f>
        <v>1.1165181771633383</v>
      </c>
      <c r="K635" s="5">
        <v>2015</v>
      </c>
      <c r="L635" s="7">
        <f t="shared" ca="1" si="468"/>
        <v>1</v>
      </c>
      <c r="M635" s="7">
        <f t="shared" si="487"/>
        <v>4.3055555555555555E-2</v>
      </c>
      <c r="N635" s="14">
        <f t="shared" si="506"/>
        <v>6.9444444444444441E-3</v>
      </c>
      <c r="O635" s="1">
        <f ca="1">P635*J635*(1+Growth!G$6)^(2010-K635)</f>
        <v>88.042364677676119</v>
      </c>
      <c r="P635" s="11">
        <v>85</v>
      </c>
      <c r="Q635" s="2">
        <f t="shared" si="478"/>
        <v>85</v>
      </c>
      <c r="R635" s="21">
        <f t="shared" ca="1" si="476"/>
        <v>7751.4579780369113</v>
      </c>
      <c r="X635" s="2"/>
      <c r="AC635" s="1">
        <f t="shared" si="507"/>
        <v>6.2</v>
      </c>
      <c r="AD635" s="5">
        <v>1</v>
      </c>
      <c r="AE635" s="5">
        <v>0</v>
      </c>
      <c r="AF635" s="5">
        <v>1</v>
      </c>
      <c r="AG635" s="5">
        <v>0</v>
      </c>
      <c r="AH635" s="5">
        <v>1</v>
      </c>
      <c r="AI635" s="3">
        <f t="shared" si="474"/>
        <v>3.2</v>
      </c>
      <c r="AJ635" s="5">
        <f t="shared" si="486"/>
        <v>0</v>
      </c>
      <c r="AK635" s="5">
        <f t="shared" si="470"/>
        <v>0</v>
      </c>
      <c r="AL635" s="5">
        <f t="shared" si="471"/>
        <v>0</v>
      </c>
      <c r="AM635" s="5">
        <f t="shared" si="488"/>
        <v>0</v>
      </c>
      <c r="AN635" s="5">
        <f t="shared" si="472"/>
        <v>0</v>
      </c>
      <c r="AO635" s="5">
        <f t="shared" si="489"/>
        <v>0</v>
      </c>
      <c r="AP635" s="11">
        <v>3</v>
      </c>
      <c r="AQ635" s="1">
        <v>0.95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1</v>
      </c>
      <c r="AY635" s="1">
        <f t="shared" si="501"/>
        <v>0</v>
      </c>
      <c r="AZ635" s="1">
        <f t="shared" si="502"/>
        <v>0</v>
      </c>
      <c r="BA635" s="1">
        <f t="shared" si="503"/>
        <v>0</v>
      </c>
      <c r="BB635" s="5">
        <v>0</v>
      </c>
      <c r="BC635" s="5">
        <v>0</v>
      </c>
      <c r="BD635" s="5">
        <v>0</v>
      </c>
      <c r="BE635" s="5">
        <f t="shared" si="504"/>
        <v>1</v>
      </c>
      <c r="BF635" s="5">
        <v>1</v>
      </c>
      <c r="BG635" s="5">
        <f t="shared" si="511"/>
        <v>0</v>
      </c>
      <c r="BH635" s="5">
        <f t="shared" si="511"/>
        <v>0</v>
      </c>
      <c r="BI635" s="5">
        <f t="shared" si="511"/>
        <v>0</v>
      </c>
      <c r="BJ635" s="5">
        <f t="shared" si="511"/>
        <v>0</v>
      </c>
      <c r="BK635" s="5">
        <f t="shared" si="511"/>
        <v>0</v>
      </c>
      <c r="BL635" s="5">
        <f t="shared" si="511"/>
        <v>0</v>
      </c>
      <c r="BM635" s="5">
        <f t="shared" si="511"/>
        <v>0</v>
      </c>
      <c r="BN635" s="5">
        <f t="shared" si="511"/>
        <v>0</v>
      </c>
      <c r="BO635" s="5">
        <f t="shared" si="510"/>
        <v>0</v>
      </c>
      <c r="BP635" s="5">
        <f t="shared" si="510"/>
        <v>0</v>
      </c>
      <c r="BQ635" s="5">
        <f t="shared" si="510"/>
        <v>0</v>
      </c>
      <c r="BR635" s="5">
        <f t="shared" si="510"/>
        <v>0</v>
      </c>
      <c r="BS635" s="5">
        <f t="shared" si="510"/>
        <v>0</v>
      </c>
      <c r="BT635" s="5">
        <f t="shared" si="510"/>
        <v>0</v>
      </c>
      <c r="BU635" s="5">
        <f t="shared" si="510"/>
        <v>0</v>
      </c>
      <c r="BV635" s="5">
        <f t="shared" si="510"/>
        <v>0</v>
      </c>
      <c r="BW635" s="5">
        <f t="shared" si="510"/>
        <v>0</v>
      </c>
      <c r="BX635" s="5">
        <f t="shared" si="510"/>
        <v>0</v>
      </c>
      <c r="BY635" s="5">
        <f t="shared" si="510"/>
        <v>0</v>
      </c>
      <c r="BZ635" s="5">
        <f t="shared" si="510"/>
        <v>0</v>
      </c>
      <c r="CA635" s="5">
        <f t="shared" si="510"/>
        <v>0</v>
      </c>
      <c r="CB635" s="5">
        <f t="shared" si="510"/>
        <v>1</v>
      </c>
      <c r="CC635" s="5">
        <f t="shared" si="510"/>
        <v>0</v>
      </c>
      <c r="CD635" s="5">
        <f t="shared" ref="CD635:CE654" si="512">IF($E635=CD$2,1,0)</f>
        <v>0</v>
      </c>
      <c r="CE635" s="5">
        <f t="shared" si="512"/>
        <v>0</v>
      </c>
    </row>
    <row r="636" spans="1:83" x14ac:dyDescent="0.2">
      <c r="A636" s="11"/>
      <c r="B636" s="11"/>
      <c r="C636" s="1">
        <f>Growth!D641</f>
        <v>0</v>
      </c>
      <c r="D636" s="5" t="b">
        <f t="shared" si="475"/>
        <v>0</v>
      </c>
      <c r="E636" s="5">
        <v>2012</v>
      </c>
      <c r="F636" s="5">
        <f ca="1">LOOKUP($E636,frequence!$A$2:$A$35,frequence!L$2:L$35)</f>
        <v>41.545638202606931</v>
      </c>
      <c r="G636" s="5">
        <f ca="1">LOOKUP($E636,frequence!$A$2:$A$35,frequence!K$2:K$35)</f>
        <v>3.8191206393393822</v>
      </c>
      <c r="H636" s="5">
        <f ca="1">LOOKUP($E636,frequence!$A$2:$A$35,frequence!M$2:M$35)</f>
        <v>265.64322815143237</v>
      </c>
      <c r="I636" s="18">
        <v>2005</v>
      </c>
      <c r="J636" s="7">
        <f>LOOKUP(I636,CPI!A$69:A$103,CPI!O$69:O$103)</f>
        <v>1.1165181771633383</v>
      </c>
      <c r="K636" s="5">
        <v>2015</v>
      </c>
      <c r="L636" s="7">
        <f t="shared" ca="1" si="468"/>
        <v>1</v>
      </c>
      <c r="M636" s="7">
        <f t="shared" si="487"/>
        <v>4.3055555555555555E-2</v>
      </c>
      <c r="N636" s="14">
        <f t="shared" si="506"/>
        <v>6.9444444444444441E-3</v>
      </c>
      <c r="O636" s="1">
        <f ca="1">P636*J636*(1+Growth!G$6)^(2010-K636)</f>
        <v>35.21694587107045</v>
      </c>
      <c r="P636" s="11">
        <v>34</v>
      </c>
      <c r="Q636" s="2">
        <f t="shared" si="478"/>
        <v>34</v>
      </c>
      <c r="R636" s="21">
        <f t="shared" ca="1" si="476"/>
        <v>1240.2332764859061</v>
      </c>
      <c r="X636" s="2"/>
      <c r="AC636" s="1">
        <f t="shared" si="507"/>
        <v>6.2</v>
      </c>
      <c r="AD636" s="5">
        <v>1</v>
      </c>
      <c r="AE636" s="5">
        <v>0</v>
      </c>
      <c r="AF636" s="5">
        <v>1</v>
      </c>
      <c r="AG636" s="5">
        <v>0</v>
      </c>
      <c r="AH636" s="5">
        <v>1</v>
      </c>
      <c r="AI636" s="3">
        <f t="shared" si="474"/>
        <v>3.2</v>
      </c>
      <c r="AJ636" s="5">
        <f t="shared" si="486"/>
        <v>0</v>
      </c>
      <c r="AK636" s="5">
        <f t="shared" si="470"/>
        <v>0</v>
      </c>
      <c r="AL636" s="5">
        <f t="shared" si="471"/>
        <v>0</v>
      </c>
      <c r="AM636" s="5">
        <f t="shared" si="488"/>
        <v>0</v>
      </c>
      <c r="AN636" s="5">
        <f t="shared" si="472"/>
        <v>0</v>
      </c>
      <c r="AO636" s="5">
        <f t="shared" si="489"/>
        <v>0</v>
      </c>
      <c r="AP636" s="11">
        <v>3</v>
      </c>
      <c r="AQ636" s="1">
        <v>0.95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1</v>
      </c>
      <c r="AY636" s="1">
        <f t="shared" si="501"/>
        <v>0</v>
      </c>
      <c r="AZ636" s="1">
        <f t="shared" si="502"/>
        <v>0</v>
      </c>
      <c r="BA636" s="1">
        <f t="shared" si="503"/>
        <v>0</v>
      </c>
      <c r="BB636" s="5">
        <v>0</v>
      </c>
      <c r="BC636" s="5">
        <v>0</v>
      </c>
      <c r="BD636" s="5">
        <v>0</v>
      </c>
      <c r="BE636" s="5">
        <f t="shared" si="504"/>
        <v>1</v>
      </c>
      <c r="BF636" s="5">
        <v>1</v>
      </c>
      <c r="BG636" s="5">
        <f t="shared" si="511"/>
        <v>0</v>
      </c>
      <c r="BH636" s="5">
        <f t="shared" si="511"/>
        <v>0</v>
      </c>
      <c r="BI636" s="5">
        <f t="shared" si="511"/>
        <v>0</v>
      </c>
      <c r="BJ636" s="5">
        <f t="shared" si="511"/>
        <v>0</v>
      </c>
      <c r="BK636" s="5">
        <f t="shared" si="511"/>
        <v>0</v>
      </c>
      <c r="BL636" s="5">
        <f t="shared" si="511"/>
        <v>0</v>
      </c>
      <c r="BM636" s="5">
        <f t="shared" si="511"/>
        <v>0</v>
      </c>
      <c r="BN636" s="5">
        <f t="shared" si="511"/>
        <v>0</v>
      </c>
      <c r="BO636" s="5">
        <f t="shared" si="510"/>
        <v>0</v>
      </c>
      <c r="BP636" s="5">
        <f t="shared" si="510"/>
        <v>0</v>
      </c>
      <c r="BQ636" s="5">
        <f t="shared" si="510"/>
        <v>0</v>
      </c>
      <c r="BR636" s="5">
        <f t="shared" si="510"/>
        <v>0</v>
      </c>
      <c r="BS636" s="5">
        <f t="shared" si="510"/>
        <v>0</v>
      </c>
      <c r="BT636" s="5">
        <f t="shared" si="510"/>
        <v>0</v>
      </c>
      <c r="BU636" s="5">
        <f t="shared" si="510"/>
        <v>0</v>
      </c>
      <c r="BV636" s="5">
        <f t="shared" si="510"/>
        <v>0</v>
      </c>
      <c r="BW636" s="5">
        <f t="shared" si="510"/>
        <v>0</v>
      </c>
      <c r="BX636" s="5">
        <f t="shared" si="510"/>
        <v>0</v>
      </c>
      <c r="BY636" s="5">
        <f t="shared" si="510"/>
        <v>0</v>
      </c>
      <c r="BZ636" s="5">
        <f t="shared" si="510"/>
        <v>0</v>
      </c>
      <c r="CA636" s="5">
        <f t="shared" si="510"/>
        <v>0</v>
      </c>
      <c r="CB636" s="5">
        <f t="shared" si="510"/>
        <v>1</v>
      </c>
      <c r="CC636" s="5">
        <f t="shared" si="510"/>
        <v>0</v>
      </c>
      <c r="CD636" s="5">
        <f t="shared" si="512"/>
        <v>0</v>
      </c>
      <c r="CE636" s="5">
        <f t="shared" si="512"/>
        <v>0</v>
      </c>
    </row>
    <row r="637" spans="1:83" x14ac:dyDescent="0.2">
      <c r="A637" s="11"/>
      <c r="B637" s="11"/>
      <c r="C637" s="1">
        <f>Growth!D642</f>
        <v>0</v>
      </c>
      <c r="D637" s="5" t="b">
        <f t="shared" si="475"/>
        <v>0</v>
      </c>
      <c r="E637" s="5">
        <v>2012</v>
      </c>
      <c r="F637" s="5">
        <f ca="1">LOOKUP($E637,frequence!$A$2:$A$35,frequence!L$2:L$35)</f>
        <v>41.545638202606931</v>
      </c>
      <c r="G637" s="5">
        <f ca="1">LOOKUP($E637,frequence!$A$2:$A$35,frequence!K$2:K$35)</f>
        <v>3.8191206393393822</v>
      </c>
      <c r="H637" s="5">
        <f ca="1">LOOKUP($E637,frequence!$A$2:$A$35,frequence!M$2:M$35)</f>
        <v>265.64322815143237</v>
      </c>
      <c r="I637" s="18">
        <v>2005</v>
      </c>
      <c r="J637" s="7">
        <f>LOOKUP(I637,CPI!A$69:A$103,CPI!O$69:O$103)</f>
        <v>1.1165181771633383</v>
      </c>
      <c r="K637" s="5">
        <v>2015</v>
      </c>
      <c r="L637" s="7">
        <f t="shared" ca="1" si="468"/>
        <v>1</v>
      </c>
      <c r="M637" s="7">
        <f t="shared" si="487"/>
        <v>4.3055555555555555E-2</v>
      </c>
      <c r="N637" s="14">
        <f t="shared" si="506"/>
        <v>6.9444444444444441E-3</v>
      </c>
      <c r="O637" s="1">
        <f ca="1">P637*J637*(1+Growth!G$6)^(2010-K637)</f>
        <v>49.718041229746518</v>
      </c>
      <c r="P637" s="11">
        <v>48</v>
      </c>
      <c r="Q637" s="2">
        <f t="shared" si="478"/>
        <v>48</v>
      </c>
      <c r="R637" s="21">
        <f t="shared" ca="1" si="476"/>
        <v>2471.8836237227747</v>
      </c>
      <c r="X637" s="2"/>
      <c r="AC637" s="1">
        <f t="shared" si="507"/>
        <v>6.2</v>
      </c>
      <c r="AD637" s="5">
        <v>1</v>
      </c>
      <c r="AE637" s="5">
        <v>0</v>
      </c>
      <c r="AF637" s="5">
        <v>1</v>
      </c>
      <c r="AG637" s="5">
        <v>0</v>
      </c>
      <c r="AH637" s="5">
        <v>1</v>
      </c>
      <c r="AI637" s="3">
        <f t="shared" si="474"/>
        <v>3.2</v>
      </c>
      <c r="AJ637" s="5">
        <f t="shared" si="486"/>
        <v>0</v>
      </c>
      <c r="AK637" s="5">
        <f t="shared" si="470"/>
        <v>0</v>
      </c>
      <c r="AL637" s="5">
        <f t="shared" si="471"/>
        <v>0</v>
      </c>
      <c r="AM637" s="5">
        <f t="shared" si="488"/>
        <v>0</v>
      </c>
      <c r="AN637" s="5">
        <f t="shared" si="472"/>
        <v>0</v>
      </c>
      <c r="AO637" s="5">
        <f t="shared" si="489"/>
        <v>0</v>
      </c>
      <c r="AP637" s="11">
        <v>3</v>
      </c>
      <c r="AQ637" s="1">
        <v>0.95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1</v>
      </c>
      <c r="AY637" s="1">
        <f t="shared" si="501"/>
        <v>0</v>
      </c>
      <c r="AZ637" s="1">
        <f t="shared" si="502"/>
        <v>0</v>
      </c>
      <c r="BA637" s="1">
        <f t="shared" si="503"/>
        <v>0</v>
      </c>
      <c r="BB637" s="5">
        <v>0</v>
      </c>
      <c r="BC637" s="5">
        <v>0</v>
      </c>
      <c r="BD637" s="5">
        <v>0</v>
      </c>
      <c r="BE637" s="5">
        <f t="shared" si="504"/>
        <v>1</v>
      </c>
      <c r="BF637" s="5">
        <v>1</v>
      </c>
      <c r="BG637" s="5">
        <f t="shared" si="511"/>
        <v>0</v>
      </c>
      <c r="BH637" s="5">
        <f t="shared" si="511"/>
        <v>0</v>
      </c>
      <c r="BI637" s="5">
        <f t="shared" si="511"/>
        <v>0</v>
      </c>
      <c r="BJ637" s="5">
        <f t="shared" si="511"/>
        <v>0</v>
      </c>
      <c r="BK637" s="5">
        <f t="shared" si="511"/>
        <v>0</v>
      </c>
      <c r="BL637" s="5">
        <f t="shared" si="511"/>
        <v>0</v>
      </c>
      <c r="BM637" s="5">
        <f t="shared" si="511"/>
        <v>0</v>
      </c>
      <c r="BN637" s="5">
        <f t="shared" si="511"/>
        <v>0</v>
      </c>
      <c r="BO637" s="5">
        <f t="shared" si="510"/>
        <v>0</v>
      </c>
      <c r="BP637" s="5">
        <f t="shared" si="510"/>
        <v>0</v>
      </c>
      <c r="BQ637" s="5">
        <f t="shared" si="510"/>
        <v>0</v>
      </c>
      <c r="BR637" s="5">
        <f t="shared" si="510"/>
        <v>0</v>
      </c>
      <c r="BS637" s="5">
        <f t="shared" si="510"/>
        <v>0</v>
      </c>
      <c r="BT637" s="5">
        <f t="shared" si="510"/>
        <v>0</v>
      </c>
      <c r="BU637" s="5">
        <f t="shared" si="510"/>
        <v>0</v>
      </c>
      <c r="BV637" s="5">
        <f t="shared" si="510"/>
        <v>0</v>
      </c>
      <c r="BW637" s="5">
        <f t="shared" si="510"/>
        <v>0</v>
      </c>
      <c r="BX637" s="5">
        <f t="shared" si="510"/>
        <v>0</v>
      </c>
      <c r="BY637" s="5">
        <f t="shared" si="510"/>
        <v>0</v>
      </c>
      <c r="BZ637" s="5">
        <f t="shared" si="510"/>
        <v>0</v>
      </c>
      <c r="CA637" s="5">
        <f t="shared" si="510"/>
        <v>0</v>
      </c>
      <c r="CB637" s="5">
        <f t="shared" si="510"/>
        <v>1</v>
      </c>
      <c r="CC637" s="5">
        <f t="shared" si="510"/>
        <v>0</v>
      </c>
      <c r="CD637" s="5">
        <f t="shared" si="512"/>
        <v>0</v>
      </c>
      <c r="CE637" s="5">
        <f t="shared" si="512"/>
        <v>0</v>
      </c>
    </row>
    <row r="638" spans="1:83" x14ac:dyDescent="0.2">
      <c r="A638" s="11"/>
      <c r="B638" s="11"/>
      <c r="C638" s="1">
        <f>Growth!D643</f>
        <v>0</v>
      </c>
      <c r="D638" s="5" t="b">
        <f t="shared" si="475"/>
        <v>0</v>
      </c>
      <c r="E638" s="5">
        <v>2012</v>
      </c>
      <c r="F638" s="5">
        <f ca="1">LOOKUP($E638,frequence!$A$2:$A$35,frequence!L$2:L$35)</f>
        <v>41.545638202606931</v>
      </c>
      <c r="G638" s="5">
        <f ca="1">LOOKUP($E638,frequence!$A$2:$A$35,frequence!K$2:K$35)</f>
        <v>3.8191206393393822</v>
      </c>
      <c r="H638" s="5">
        <f ca="1">LOOKUP($E638,frequence!$A$2:$A$35,frequence!M$2:M$35)</f>
        <v>265.64322815143237</v>
      </c>
      <c r="I638" s="18">
        <v>2005</v>
      </c>
      <c r="J638" s="7">
        <f>LOOKUP(I638,CPI!A$69:A$103,CPI!O$69:O$103)</f>
        <v>1.1165181771633383</v>
      </c>
      <c r="K638" s="5">
        <v>2015</v>
      </c>
      <c r="L638" s="7">
        <f t="shared" ca="1" si="468"/>
        <v>1</v>
      </c>
      <c r="M638" s="7">
        <f t="shared" si="487"/>
        <v>4.3055555555555555E-2</v>
      </c>
      <c r="N638" s="14">
        <f t="shared" si="506"/>
        <v>6.9444444444444441E-3</v>
      </c>
      <c r="O638" s="1">
        <f ca="1">P638*J638*(1+Growth!G$6)^(2010-K638)</f>
        <v>63.183344062802867</v>
      </c>
      <c r="P638" s="11">
        <v>61</v>
      </c>
      <c r="Q638" s="2">
        <f t="shared" si="478"/>
        <v>61</v>
      </c>
      <c r="R638" s="21">
        <f t="shared" ca="1" si="476"/>
        <v>3992.1349669585261</v>
      </c>
      <c r="X638" s="2"/>
      <c r="AC638" s="1">
        <f t="shared" si="507"/>
        <v>6.2</v>
      </c>
      <c r="AD638" s="5">
        <v>1</v>
      </c>
      <c r="AE638" s="5">
        <v>0</v>
      </c>
      <c r="AF638" s="5">
        <v>1</v>
      </c>
      <c r="AG638" s="5">
        <v>0</v>
      </c>
      <c r="AH638" s="5">
        <v>1</v>
      </c>
      <c r="AI638" s="3">
        <f t="shared" si="474"/>
        <v>3.2</v>
      </c>
      <c r="AJ638" s="5">
        <f t="shared" si="486"/>
        <v>0</v>
      </c>
      <c r="AK638" s="5">
        <f t="shared" si="470"/>
        <v>0</v>
      </c>
      <c r="AL638" s="5">
        <f t="shared" si="471"/>
        <v>0</v>
      </c>
      <c r="AM638" s="5">
        <f t="shared" si="488"/>
        <v>0</v>
      </c>
      <c r="AN638" s="5">
        <f t="shared" si="472"/>
        <v>0</v>
      </c>
      <c r="AO638" s="5">
        <f t="shared" si="489"/>
        <v>0</v>
      </c>
      <c r="AP638" s="11">
        <v>3</v>
      </c>
      <c r="AQ638" s="1">
        <v>0.95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1</v>
      </c>
      <c r="AY638" s="1">
        <f t="shared" si="501"/>
        <v>0</v>
      </c>
      <c r="AZ638" s="1">
        <f t="shared" si="502"/>
        <v>0</v>
      </c>
      <c r="BA638" s="1">
        <f t="shared" si="503"/>
        <v>0</v>
      </c>
      <c r="BB638" s="5">
        <v>0</v>
      </c>
      <c r="BC638" s="5">
        <v>0</v>
      </c>
      <c r="BD638" s="5">
        <v>0</v>
      </c>
      <c r="BE638" s="5">
        <f t="shared" si="504"/>
        <v>1</v>
      </c>
      <c r="BF638" s="5">
        <v>1</v>
      </c>
      <c r="BG638" s="5">
        <f t="shared" si="511"/>
        <v>0</v>
      </c>
      <c r="BH638" s="5">
        <f t="shared" si="511"/>
        <v>0</v>
      </c>
      <c r="BI638" s="5">
        <f t="shared" si="511"/>
        <v>0</v>
      </c>
      <c r="BJ638" s="5">
        <f t="shared" si="511"/>
        <v>0</v>
      </c>
      <c r="BK638" s="5">
        <f t="shared" si="511"/>
        <v>0</v>
      </c>
      <c r="BL638" s="5">
        <f t="shared" si="511"/>
        <v>0</v>
      </c>
      <c r="BM638" s="5">
        <f t="shared" si="511"/>
        <v>0</v>
      </c>
      <c r="BN638" s="5">
        <f t="shared" si="511"/>
        <v>0</v>
      </c>
      <c r="BO638" s="5">
        <f t="shared" si="510"/>
        <v>0</v>
      </c>
      <c r="BP638" s="5">
        <f t="shared" si="510"/>
        <v>0</v>
      </c>
      <c r="BQ638" s="5">
        <f t="shared" si="510"/>
        <v>0</v>
      </c>
      <c r="BR638" s="5">
        <f t="shared" si="510"/>
        <v>0</v>
      </c>
      <c r="BS638" s="5">
        <f t="shared" si="510"/>
        <v>0</v>
      </c>
      <c r="BT638" s="5">
        <f t="shared" si="510"/>
        <v>0</v>
      </c>
      <c r="BU638" s="5">
        <f t="shared" si="510"/>
        <v>0</v>
      </c>
      <c r="BV638" s="5">
        <f t="shared" si="510"/>
        <v>0</v>
      </c>
      <c r="BW638" s="5">
        <f t="shared" si="510"/>
        <v>0</v>
      </c>
      <c r="BX638" s="5">
        <f t="shared" si="510"/>
        <v>0</v>
      </c>
      <c r="BY638" s="5">
        <f t="shared" si="510"/>
        <v>0</v>
      </c>
      <c r="BZ638" s="5">
        <f t="shared" si="510"/>
        <v>0</v>
      </c>
      <c r="CA638" s="5">
        <f t="shared" si="510"/>
        <v>0</v>
      </c>
      <c r="CB638" s="5">
        <f t="shared" si="510"/>
        <v>1</v>
      </c>
      <c r="CC638" s="5">
        <f t="shared" si="510"/>
        <v>0</v>
      </c>
      <c r="CD638" s="5">
        <f t="shared" si="512"/>
        <v>0</v>
      </c>
      <c r="CE638" s="5">
        <f t="shared" si="512"/>
        <v>0</v>
      </c>
    </row>
    <row r="639" spans="1:83" x14ac:dyDescent="0.2">
      <c r="A639" s="11"/>
      <c r="B639" s="11"/>
      <c r="C639" s="1">
        <f>Growth!D644</f>
        <v>0</v>
      </c>
      <c r="D639" s="5" t="b">
        <f t="shared" si="475"/>
        <v>0</v>
      </c>
      <c r="E639" s="5">
        <v>2012</v>
      </c>
      <c r="F639" s="5">
        <f ca="1">LOOKUP($E639,frequence!$A$2:$A$35,frequence!L$2:L$35)</f>
        <v>41.545638202606931</v>
      </c>
      <c r="G639" s="5">
        <f ca="1">LOOKUP($E639,frequence!$A$2:$A$35,frequence!K$2:K$35)</f>
        <v>3.8191206393393822</v>
      </c>
      <c r="H639" s="5">
        <f ca="1">LOOKUP($E639,frequence!$A$2:$A$35,frequence!M$2:M$35)</f>
        <v>265.64322815143237</v>
      </c>
      <c r="I639" s="18">
        <v>2005</v>
      </c>
      <c r="J639" s="7">
        <f>LOOKUP(I639,CPI!A$69:A$103,CPI!O$69:O$103)</f>
        <v>1.1165181771633383</v>
      </c>
      <c r="K639" s="5">
        <v>2015</v>
      </c>
      <c r="L639" s="7">
        <f t="shared" ca="1" si="468"/>
        <v>1</v>
      </c>
      <c r="M639" s="7">
        <f t="shared" si="487"/>
        <v>4.3055555555555555E-2</v>
      </c>
      <c r="N639" s="14">
        <f t="shared" si="506"/>
        <v>6.9444444444444441E-3</v>
      </c>
      <c r="O639" s="1">
        <f ca="1">P639*J639*(1+Growth!G$6)^(2010-K639)</f>
        <v>101.50766751073246</v>
      </c>
      <c r="P639" s="11">
        <v>98</v>
      </c>
      <c r="Q639" s="2">
        <f t="shared" si="478"/>
        <v>98</v>
      </c>
      <c r="R639" s="21">
        <f t="shared" ca="1" si="476"/>
        <v>10303.80656346941</v>
      </c>
      <c r="X639" s="2"/>
      <c r="AC639" s="1">
        <f t="shared" si="507"/>
        <v>6.2</v>
      </c>
      <c r="AD639" s="5">
        <v>1</v>
      </c>
      <c r="AE639" s="5">
        <v>0</v>
      </c>
      <c r="AF639" s="5">
        <v>1</v>
      </c>
      <c r="AG639" s="5">
        <v>0</v>
      </c>
      <c r="AH639" s="5">
        <v>1</v>
      </c>
      <c r="AI639" s="3">
        <f t="shared" si="474"/>
        <v>3.2</v>
      </c>
      <c r="AJ639" s="5">
        <f t="shared" si="486"/>
        <v>0</v>
      </c>
      <c r="AK639" s="5">
        <f t="shared" si="470"/>
        <v>0</v>
      </c>
      <c r="AL639" s="5">
        <f t="shared" si="471"/>
        <v>0</v>
      </c>
      <c r="AM639" s="5">
        <f t="shared" si="488"/>
        <v>0</v>
      </c>
      <c r="AN639" s="5">
        <f t="shared" si="472"/>
        <v>0</v>
      </c>
      <c r="AO639" s="5">
        <f t="shared" si="489"/>
        <v>0</v>
      </c>
      <c r="AP639" s="11">
        <v>3</v>
      </c>
      <c r="AQ639" s="1">
        <v>0.95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1</v>
      </c>
      <c r="AY639" s="1">
        <f t="shared" si="501"/>
        <v>0</v>
      </c>
      <c r="AZ639" s="1">
        <f t="shared" si="502"/>
        <v>0</v>
      </c>
      <c r="BA639" s="1">
        <f t="shared" si="503"/>
        <v>0</v>
      </c>
      <c r="BB639" s="5">
        <v>0</v>
      </c>
      <c r="BC639" s="5">
        <v>0</v>
      </c>
      <c r="BD639" s="5">
        <v>0</v>
      </c>
      <c r="BE639" s="5">
        <f t="shared" si="504"/>
        <v>1</v>
      </c>
      <c r="BF639" s="5">
        <v>1</v>
      </c>
      <c r="BG639" s="5">
        <f t="shared" si="511"/>
        <v>0</v>
      </c>
      <c r="BH639" s="5">
        <f t="shared" si="511"/>
        <v>0</v>
      </c>
      <c r="BI639" s="5">
        <f t="shared" si="511"/>
        <v>0</v>
      </c>
      <c r="BJ639" s="5">
        <f t="shared" si="511"/>
        <v>0</v>
      </c>
      <c r="BK639" s="5">
        <f t="shared" si="511"/>
        <v>0</v>
      </c>
      <c r="BL639" s="5">
        <f t="shared" si="511"/>
        <v>0</v>
      </c>
      <c r="BM639" s="5">
        <f t="shared" si="511"/>
        <v>0</v>
      </c>
      <c r="BN639" s="5">
        <f t="shared" si="511"/>
        <v>0</v>
      </c>
      <c r="BO639" s="5">
        <f t="shared" si="510"/>
        <v>0</v>
      </c>
      <c r="BP639" s="5">
        <f t="shared" si="510"/>
        <v>0</v>
      </c>
      <c r="BQ639" s="5">
        <f t="shared" si="510"/>
        <v>0</v>
      </c>
      <c r="BR639" s="5">
        <f t="shared" si="510"/>
        <v>0</v>
      </c>
      <c r="BS639" s="5">
        <f t="shared" si="510"/>
        <v>0</v>
      </c>
      <c r="BT639" s="5">
        <f t="shared" si="510"/>
        <v>0</v>
      </c>
      <c r="BU639" s="5">
        <f t="shared" si="510"/>
        <v>0</v>
      </c>
      <c r="BV639" s="5">
        <f t="shared" si="510"/>
        <v>0</v>
      </c>
      <c r="BW639" s="5">
        <f t="shared" si="510"/>
        <v>0</v>
      </c>
      <c r="BX639" s="5">
        <f t="shared" si="510"/>
        <v>0</v>
      </c>
      <c r="BY639" s="5">
        <f t="shared" si="510"/>
        <v>0</v>
      </c>
      <c r="BZ639" s="5">
        <f t="shared" si="510"/>
        <v>0</v>
      </c>
      <c r="CA639" s="5">
        <f t="shared" si="510"/>
        <v>0</v>
      </c>
      <c r="CB639" s="5">
        <f t="shared" si="510"/>
        <v>1</v>
      </c>
      <c r="CC639" s="5">
        <f t="shared" si="510"/>
        <v>0</v>
      </c>
      <c r="CD639" s="5">
        <f t="shared" si="512"/>
        <v>0</v>
      </c>
      <c r="CE639" s="5">
        <f t="shared" si="512"/>
        <v>0</v>
      </c>
    </row>
    <row r="640" spans="1:83" x14ac:dyDescent="0.2">
      <c r="A640" s="11"/>
      <c r="B640" s="11"/>
      <c r="C640" s="1">
        <f>Growth!D645</f>
        <v>0</v>
      </c>
      <c r="D640" s="5" t="b">
        <f t="shared" si="475"/>
        <v>0</v>
      </c>
      <c r="E640" s="5">
        <v>2012</v>
      </c>
      <c r="F640" s="5">
        <f ca="1">LOOKUP($E640,frequence!$A$2:$A$35,frequence!L$2:L$35)</f>
        <v>41.545638202606931</v>
      </c>
      <c r="G640" s="5">
        <f ca="1">LOOKUP($E640,frequence!$A$2:$A$35,frequence!K$2:K$35)</f>
        <v>3.8191206393393822</v>
      </c>
      <c r="H640" s="5">
        <f ca="1">LOOKUP($E640,frequence!$A$2:$A$35,frequence!M$2:M$35)</f>
        <v>265.64322815143237</v>
      </c>
      <c r="I640" s="18">
        <v>2005</v>
      </c>
      <c r="J640" s="7">
        <f>LOOKUP(I640,CPI!A$69:A$103,CPI!O$69:O$103)</f>
        <v>1.1165181771633383</v>
      </c>
      <c r="K640" s="5">
        <v>2015</v>
      </c>
      <c r="L640" s="7">
        <f t="shared" ca="1" si="468"/>
        <v>1</v>
      </c>
      <c r="M640" s="7">
        <f t="shared" si="487"/>
        <v>4.3055555555555555E-2</v>
      </c>
      <c r="N640" s="14">
        <f t="shared" si="506"/>
        <v>6.9444444444444441E-3</v>
      </c>
      <c r="O640" s="1">
        <f ca="1">P640*J640*(1+Growth!G$6)^(2010-K640)</f>
        <v>49.718041229746518</v>
      </c>
      <c r="P640" s="11">
        <v>48</v>
      </c>
      <c r="Q640" s="2">
        <f t="shared" si="478"/>
        <v>48</v>
      </c>
      <c r="R640" s="21">
        <f t="shared" ca="1" si="476"/>
        <v>2471.8836237227747</v>
      </c>
      <c r="X640" s="2"/>
      <c r="AC640" s="1">
        <f t="shared" si="507"/>
        <v>6.2</v>
      </c>
      <c r="AD640" s="5">
        <v>1</v>
      </c>
      <c r="AE640" s="5">
        <v>0</v>
      </c>
      <c r="AF640" s="5">
        <v>1</v>
      </c>
      <c r="AG640" s="5">
        <v>0</v>
      </c>
      <c r="AH640" s="5">
        <v>1</v>
      </c>
      <c r="AI640" s="3">
        <f t="shared" si="474"/>
        <v>3.2</v>
      </c>
      <c r="AJ640" s="5">
        <f t="shared" si="486"/>
        <v>0</v>
      </c>
      <c r="AK640" s="5">
        <f t="shared" si="470"/>
        <v>0</v>
      </c>
      <c r="AL640" s="5">
        <f t="shared" si="471"/>
        <v>0</v>
      </c>
      <c r="AM640" s="5">
        <f t="shared" si="488"/>
        <v>0</v>
      </c>
      <c r="AN640" s="5">
        <f t="shared" si="472"/>
        <v>0</v>
      </c>
      <c r="AO640" s="5">
        <f t="shared" si="489"/>
        <v>0</v>
      </c>
      <c r="AP640" s="11">
        <v>3</v>
      </c>
      <c r="AQ640" s="1">
        <v>0.95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1</v>
      </c>
      <c r="AY640" s="1">
        <f t="shared" si="501"/>
        <v>0</v>
      </c>
      <c r="AZ640" s="1">
        <f t="shared" si="502"/>
        <v>0</v>
      </c>
      <c r="BA640" s="1">
        <f t="shared" si="503"/>
        <v>0</v>
      </c>
      <c r="BB640" s="5">
        <v>0</v>
      </c>
      <c r="BC640" s="5">
        <v>0</v>
      </c>
      <c r="BD640" s="5">
        <v>0</v>
      </c>
      <c r="BE640" s="5">
        <f t="shared" si="504"/>
        <v>1</v>
      </c>
      <c r="BF640" s="5">
        <v>1</v>
      </c>
      <c r="BG640" s="5">
        <f t="shared" si="511"/>
        <v>0</v>
      </c>
      <c r="BH640" s="5">
        <f t="shared" si="511"/>
        <v>0</v>
      </c>
      <c r="BI640" s="5">
        <f t="shared" si="511"/>
        <v>0</v>
      </c>
      <c r="BJ640" s="5">
        <f t="shared" si="511"/>
        <v>0</v>
      </c>
      <c r="BK640" s="5">
        <f t="shared" si="511"/>
        <v>0</v>
      </c>
      <c r="BL640" s="5">
        <f t="shared" si="511"/>
        <v>0</v>
      </c>
      <c r="BM640" s="5">
        <f t="shared" si="511"/>
        <v>0</v>
      </c>
      <c r="BN640" s="5">
        <f t="shared" si="511"/>
        <v>0</v>
      </c>
      <c r="BO640" s="5">
        <f t="shared" si="510"/>
        <v>0</v>
      </c>
      <c r="BP640" s="5">
        <f t="shared" si="510"/>
        <v>0</v>
      </c>
      <c r="BQ640" s="5">
        <f t="shared" si="510"/>
        <v>0</v>
      </c>
      <c r="BR640" s="5">
        <f t="shared" si="510"/>
        <v>0</v>
      </c>
      <c r="BS640" s="5">
        <f t="shared" si="510"/>
        <v>0</v>
      </c>
      <c r="BT640" s="5">
        <f t="shared" si="510"/>
        <v>0</v>
      </c>
      <c r="BU640" s="5">
        <f t="shared" si="510"/>
        <v>0</v>
      </c>
      <c r="BV640" s="5">
        <f t="shared" si="510"/>
        <v>0</v>
      </c>
      <c r="BW640" s="5">
        <f t="shared" si="510"/>
        <v>0</v>
      </c>
      <c r="BX640" s="5">
        <f t="shared" si="510"/>
        <v>0</v>
      </c>
      <c r="BY640" s="5">
        <f t="shared" si="510"/>
        <v>0</v>
      </c>
      <c r="BZ640" s="5">
        <f t="shared" si="510"/>
        <v>0</v>
      </c>
      <c r="CA640" s="5">
        <f t="shared" si="510"/>
        <v>0</v>
      </c>
      <c r="CB640" s="5">
        <f t="shared" si="510"/>
        <v>1</v>
      </c>
      <c r="CC640" s="5">
        <f t="shared" si="510"/>
        <v>0</v>
      </c>
      <c r="CD640" s="5">
        <f t="shared" si="512"/>
        <v>0</v>
      </c>
      <c r="CE640" s="5">
        <f t="shared" si="512"/>
        <v>0</v>
      </c>
    </row>
    <row r="641" spans="1:83" x14ac:dyDescent="0.2">
      <c r="A641" s="11"/>
      <c r="B641" s="11"/>
      <c r="C641" s="1">
        <f>Growth!D646</f>
        <v>0</v>
      </c>
      <c r="D641" s="5" t="b">
        <f t="shared" si="475"/>
        <v>0</v>
      </c>
      <c r="E641" s="5">
        <v>2012</v>
      </c>
      <c r="F641" s="5">
        <f ca="1">LOOKUP($E641,frequence!$A$2:$A$35,frequence!L$2:L$35)</f>
        <v>41.545638202606931</v>
      </c>
      <c r="G641" s="5">
        <f ca="1">LOOKUP($E641,frequence!$A$2:$A$35,frequence!K$2:K$35)</f>
        <v>3.8191206393393822</v>
      </c>
      <c r="H641" s="5">
        <f ca="1">LOOKUP($E641,frequence!$A$2:$A$35,frequence!M$2:M$35)</f>
        <v>265.64322815143237</v>
      </c>
      <c r="I641" s="18">
        <v>2005</v>
      </c>
      <c r="J641" s="7">
        <f>LOOKUP(I641,CPI!A$69:A$103,CPI!O$69:O$103)</f>
        <v>1.1165181771633383</v>
      </c>
      <c r="K641" s="5">
        <v>2015</v>
      </c>
      <c r="L641" s="7">
        <f t="shared" ca="1" si="468"/>
        <v>1</v>
      </c>
      <c r="M641" s="7">
        <f t="shared" si="487"/>
        <v>4.3055555555555555E-2</v>
      </c>
      <c r="N641" s="14">
        <f t="shared" si="506"/>
        <v>6.9444444444444441E-3</v>
      </c>
      <c r="O641" s="1">
        <f ca="1">P641*J641*(1+Growth!G$6)^(2010-K641)</f>
        <v>45.574871127267635</v>
      </c>
      <c r="P641" s="11">
        <v>44</v>
      </c>
      <c r="Q641" s="2">
        <f t="shared" si="478"/>
        <v>44</v>
      </c>
      <c r="R641" s="21">
        <f t="shared" ca="1" si="476"/>
        <v>2077.0688782670532</v>
      </c>
      <c r="X641" s="2"/>
      <c r="AC641" s="1">
        <f t="shared" si="507"/>
        <v>6.2</v>
      </c>
      <c r="AD641" s="5">
        <v>1</v>
      </c>
      <c r="AE641" s="5">
        <v>0</v>
      </c>
      <c r="AF641" s="5">
        <v>1</v>
      </c>
      <c r="AG641" s="5">
        <v>0</v>
      </c>
      <c r="AH641" s="5">
        <v>1</v>
      </c>
      <c r="AI641" s="3">
        <f t="shared" si="474"/>
        <v>3.2</v>
      </c>
      <c r="AJ641" s="5">
        <f t="shared" si="486"/>
        <v>0</v>
      </c>
      <c r="AK641" s="5">
        <f t="shared" si="470"/>
        <v>0</v>
      </c>
      <c r="AL641" s="5">
        <f t="shared" si="471"/>
        <v>0</v>
      </c>
      <c r="AM641" s="5">
        <f t="shared" si="488"/>
        <v>0</v>
      </c>
      <c r="AN641" s="5">
        <f t="shared" si="472"/>
        <v>0</v>
      </c>
      <c r="AO641" s="5">
        <f t="shared" si="489"/>
        <v>0</v>
      </c>
      <c r="AP641" s="11">
        <v>3</v>
      </c>
      <c r="AQ641" s="1">
        <v>0.95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1</v>
      </c>
      <c r="AY641" s="1">
        <f t="shared" si="501"/>
        <v>0</v>
      </c>
      <c r="AZ641" s="1">
        <f t="shared" si="502"/>
        <v>0</v>
      </c>
      <c r="BA641" s="1">
        <f t="shared" si="503"/>
        <v>0</v>
      </c>
      <c r="BB641" s="5">
        <v>0</v>
      </c>
      <c r="BC641" s="5">
        <v>0</v>
      </c>
      <c r="BD641" s="5">
        <v>0</v>
      </c>
      <c r="BE641" s="5">
        <f t="shared" si="504"/>
        <v>1</v>
      </c>
      <c r="BF641" s="5">
        <v>1</v>
      </c>
      <c r="BG641" s="5">
        <f t="shared" si="511"/>
        <v>0</v>
      </c>
      <c r="BH641" s="5">
        <f t="shared" si="511"/>
        <v>0</v>
      </c>
      <c r="BI641" s="5">
        <f t="shared" si="511"/>
        <v>0</v>
      </c>
      <c r="BJ641" s="5">
        <f t="shared" si="511"/>
        <v>0</v>
      </c>
      <c r="BK641" s="5">
        <f t="shared" si="511"/>
        <v>0</v>
      </c>
      <c r="BL641" s="5">
        <f t="shared" si="511"/>
        <v>0</v>
      </c>
      <c r="BM641" s="5">
        <f t="shared" si="511"/>
        <v>0</v>
      </c>
      <c r="BN641" s="5">
        <f t="shared" si="511"/>
        <v>0</v>
      </c>
      <c r="BO641" s="5">
        <f t="shared" si="510"/>
        <v>0</v>
      </c>
      <c r="BP641" s="5">
        <f t="shared" si="510"/>
        <v>0</v>
      </c>
      <c r="BQ641" s="5">
        <f t="shared" si="510"/>
        <v>0</v>
      </c>
      <c r="BR641" s="5">
        <f t="shared" si="510"/>
        <v>0</v>
      </c>
      <c r="BS641" s="5">
        <f t="shared" si="510"/>
        <v>0</v>
      </c>
      <c r="BT641" s="5">
        <f t="shared" si="510"/>
        <v>0</v>
      </c>
      <c r="BU641" s="5">
        <f t="shared" si="510"/>
        <v>0</v>
      </c>
      <c r="BV641" s="5">
        <f t="shared" si="510"/>
        <v>0</v>
      </c>
      <c r="BW641" s="5">
        <f t="shared" si="510"/>
        <v>0</v>
      </c>
      <c r="BX641" s="5">
        <f t="shared" si="510"/>
        <v>0</v>
      </c>
      <c r="BY641" s="5">
        <f t="shared" si="510"/>
        <v>0</v>
      </c>
      <c r="BZ641" s="5">
        <f t="shared" si="510"/>
        <v>0</v>
      </c>
      <c r="CA641" s="5">
        <f t="shared" si="510"/>
        <v>0</v>
      </c>
      <c r="CB641" s="5">
        <f t="shared" si="510"/>
        <v>1</v>
      </c>
      <c r="CC641" s="5">
        <f t="shared" si="510"/>
        <v>0</v>
      </c>
      <c r="CD641" s="5">
        <f t="shared" si="512"/>
        <v>0</v>
      </c>
      <c r="CE641" s="5">
        <f t="shared" si="512"/>
        <v>0</v>
      </c>
    </row>
    <row r="642" spans="1:83" x14ac:dyDescent="0.2">
      <c r="A642" s="11"/>
      <c r="B642" s="11"/>
      <c r="C642" s="1">
        <f>Growth!D647</f>
        <v>0</v>
      </c>
      <c r="D642" s="5" t="b">
        <f t="shared" si="475"/>
        <v>0</v>
      </c>
      <c r="E642" s="5">
        <v>2012</v>
      </c>
      <c r="F642" s="5">
        <f ca="1">LOOKUP($E642,frequence!$A$2:$A$35,frequence!L$2:L$35)</f>
        <v>41.545638202606931</v>
      </c>
      <c r="G642" s="5">
        <f ca="1">LOOKUP($E642,frequence!$A$2:$A$35,frequence!K$2:K$35)</f>
        <v>3.8191206393393822</v>
      </c>
      <c r="H642" s="5">
        <f ca="1">LOOKUP($E642,frequence!$A$2:$A$35,frequence!M$2:M$35)</f>
        <v>265.64322815143237</v>
      </c>
      <c r="I642" s="18">
        <v>2005</v>
      </c>
      <c r="J642" s="7">
        <f>LOOKUP(I642,CPI!A$69:A$103,CPI!O$69:O$103)</f>
        <v>1.1165181771633383</v>
      </c>
      <c r="K642" s="5">
        <v>2015</v>
      </c>
      <c r="L642" s="7">
        <f t="shared" ca="1" si="468"/>
        <v>1</v>
      </c>
      <c r="M642" s="7">
        <f t="shared" si="487"/>
        <v>4.3055555555555555E-2</v>
      </c>
      <c r="N642" s="14">
        <f t="shared" si="506"/>
        <v>6.9444444444444441E-3</v>
      </c>
      <c r="O642" s="1">
        <f ca="1">P642*J642*(1+Growth!G$6)^(2010-K642)</f>
        <v>78.720231947098654</v>
      </c>
      <c r="P642" s="11">
        <v>76</v>
      </c>
      <c r="Q642" s="2">
        <f t="shared" si="478"/>
        <v>76</v>
      </c>
      <c r="R642" s="21">
        <f t="shared" ca="1" si="476"/>
        <v>6196.8749178050111</v>
      </c>
      <c r="X642" s="2"/>
      <c r="AC642" s="1">
        <f t="shared" si="507"/>
        <v>6.2</v>
      </c>
      <c r="AD642" s="5">
        <v>1</v>
      </c>
      <c r="AE642" s="5">
        <v>0</v>
      </c>
      <c r="AF642" s="5">
        <v>1</v>
      </c>
      <c r="AG642" s="5">
        <v>0</v>
      </c>
      <c r="AH642" s="5">
        <v>1</v>
      </c>
      <c r="AI642" s="3">
        <f t="shared" si="474"/>
        <v>3.2</v>
      </c>
      <c r="AJ642" s="5">
        <f t="shared" si="486"/>
        <v>0</v>
      </c>
      <c r="AK642" s="5">
        <f t="shared" si="470"/>
        <v>0</v>
      </c>
      <c r="AL642" s="5">
        <f t="shared" si="471"/>
        <v>0</v>
      </c>
      <c r="AM642" s="5">
        <f t="shared" si="488"/>
        <v>0</v>
      </c>
      <c r="AN642" s="5">
        <f t="shared" si="472"/>
        <v>0</v>
      </c>
      <c r="AO642" s="5">
        <f t="shared" si="489"/>
        <v>0</v>
      </c>
      <c r="AP642" s="11">
        <v>3</v>
      </c>
      <c r="AQ642" s="1">
        <v>0.95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1</v>
      </c>
      <c r="AY642" s="1">
        <f t="shared" si="501"/>
        <v>0</v>
      </c>
      <c r="AZ642" s="1">
        <f t="shared" si="502"/>
        <v>0</v>
      </c>
      <c r="BA642" s="1">
        <f t="shared" si="503"/>
        <v>0</v>
      </c>
      <c r="BB642" s="5">
        <v>0</v>
      </c>
      <c r="BC642" s="5">
        <v>0</v>
      </c>
      <c r="BD642" s="5">
        <v>0</v>
      </c>
      <c r="BE642" s="5">
        <f t="shared" si="504"/>
        <v>1</v>
      </c>
      <c r="BF642" s="5">
        <v>1</v>
      </c>
      <c r="BG642" s="5">
        <f t="shared" si="511"/>
        <v>0</v>
      </c>
      <c r="BH642" s="5">
        <f t="shared" si="511"/>
        <v>0</v>
      </c>
      <c r="BI642" s="5">
        <f t="shared" si="511"/>
        <v>0</v>
      </c>
      <c r="BJ642" s="5">
        <f t="shared" si="511"/>
        <v>0</v>
      </c>
      <c r="BK642" s="5">
        <f t="shared" si="511"/>
        <v>0</v>
      </c>
      <c r="BL642" s="5">
        <f t="shared" si="511"/>
        <v>0</v>
      </c>
      <c r="BM642" s="5">
        <f t="shared" si="511"/>
        <v>0</v>
      </c>
      <c r="BN642" s="5">
        <f t="shared" si="511"/>
        <v>0</v>
      </c>
      <c r="BO642" s="5">
        <f t="shared" si="510"/>
        <v>0</v>
      </c>
      <c r="BP642" s="5">
        <f t="shared" si="510"/>
        <v>0</v>
      </c>
      <c r="BQ642" s="5">
        <f t="shared" si="510"/>
        <v>0</v>
      </c>
      <c r="BR642" s="5">
        <f t="shared" si="510"/>
        <v>0</v>
      </c>
      <c r="BS642" s="5">
        <f t="shared" si="510"/>
        <v>0</v>
      </c>
      <c r="BT642" s="5">
        <f t="shared" si="510"/>
        <v>0</v>
      </c>
      <c r="BU642" s="5">
        <f t="shared" si="510"/>
        <v>0</v>
      </c>
      <c r="BV642" s="5">
        <f t="shared" si="510"/>
        <v>0</v>
      </c>
      <c r="BW642" s="5">
        <f t="shared" si="510"/>
        <v>0</v>
      </c>
      <c r="BX642" s="5">
        <f t="shared" si="510"/>
        <v>0</v>
      </c>
      <c r="BY642" s="5">
        <f t="shared" si="510"/>
        <v>0</v>
      </c>
      <c r="BZ642" s="5">
        <f t="shared" si="510"/>
        <v>0</v>
      </c>
      <c r="CA642" s="5">
        <f t="shared" si="510"/>
        <v>0</v>
      </c>
      <c r="CB642" s="5">
        <f t="shared" si="510"/>
        <v>1</v>
      </c>
      <c r="CC642" s="5">
        <f t="shared" si="510"/>
        <v>0</v>
      </c>
      <c r="CD642" s="5">
        <f t="shared" si="512"/>
        <v>0</v>
      </c>
      <c r="CE642" s="5">
        <f t="shared" si="512"/>
        <v>0</v>
      </c>
    </row>
    <row r="643" spans="1:83" x14ac:dyDescent="0.2">
      <c r="A643" s="11"/>
      <c r="B643" s="11"/>
      <c r="C643" s="1">
        <f>Growth!D648</f>
        <v>0</v>
      </c>
      <c r="D643" s="5" t="b">
        <f t="shared" si="475"/>
        <v>0</v>
      </c>
      <c r="E643" s="5">
        <v>2012</v>
      </c>
      <c r="F643" s="5">
        <f ca="1">LOOKUP($E643,frequence!$A$2:$A$35,frequence!L$2:L$35)</f>
        <v>41.545638202606931</v>
      </c>
      <c r="G643" s="5">
        <f ca="1">LOOKUP($E643,frequence!$A$2:$A$35,frequence!K$2:K$35)</f>
        <v>3.8191206393393822</v>
      </c>
      <c r="H643" s="5">
        <f ca="1">LOOKUP($E643,frequence!$A$2:$A$35,frequence!M$2:M$35)</f>
        <v>265.64322815143237</v>
      </c>
      <c r="I643" s="18">
        <v>2005</v>
      </c>
      <c r="J643" s="7">
        <f>LOOKUP(I643,CPI!A$69:A$103,CPI!O$69:O$103)</f>
        <v>1.1165181771633383</v>
      </c>
      <c r="K643" s="5">
        <v>2015</v>
      </c>
      <c r="L643" s="7">
        <f t="shared" ca="1" si="468"/>
        <v>1</v>
      </c>
      <c r="M643" s="7">
        <f t="shared" si="487"/>
        <v>4.3055555555555555E-2</v>
      </c>
      <c r="N643" s="14">
        <f t="shared" si="506"/>
        <v>6.9444444444444441E-3</v>
      </c>
      <c r="O643" s="1">
        <f ca="1">P643*J643*(1+Growth!G$6)^(2010-K643)</f>
        <v>48.682248704126799</v>
      </c>
      <c r="P643" s="11">
        <v>47</v>
      </c>
      <c r="Q643" s="2">
        <f t="shared" si="478"/>
        <v>47</v>
      </c>
      <c r="R643" s="21">
        <f t="shared" ca="1" si="476"/>
        <v>2369.9613388904554</v>
      </c>
      <c r="X643" s="2"/>
      <c r="AC643" s="1">
        <f t="shared" si="507"/>
        <v>6.2</v>
      </c>
      <c r="AD643" s="5">
        <v>1</v>
      </c>
      <c r="AE643" s="5">
        <v>0</v>
      </c>
      <c r="AF643" s="5">
        <v>1</v>
      </c>
      <c r="AG643" s="5">
        <v>0</v>
      </c>
      <c r="AH643" s="5">
        <v>1</v>
      </c>
      <c r="AI643" s="3">
        <f t="shared" si="474"/>
        <v>3.2</v>
      </c>
      <c r="AJ643" s="5">
        <f t="shared" si="486"/>
        <v>0</v>
      </c>
      <c r="AK643" s="5">
        <f t="shared" si="470"/>
        <v>0</v>
      </c>
      <c r="AL643" s="5">
        <f t="shared" si="471"/>
        <v>0</v>
      </c>
      <c r="AM643" s="5">
        <f t="shared" si="488"/>
        <v>0</v>
      </c>
      <c r="AN643" s="5">
        <f t="shared" si="472"/>
        <v>0</v>
      </c>
      <c r="AO643" s="5">
        <f t="shared" si="489"/>
        <v>0</v>
      </c>
      <c r="AP643" s="11">
        <v>3</v>
      </c>
      <c r="AQ643" s="1">
        <v>0.95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1</v>
      </c>
      <c r="AY643" s="1">
        <f t="shared" si="501"/>
        <v>0</v>
      </c>
      <c r="AZ643" s="1">
        <f t="shared" si="502"/>
        <v>0</v>
      </c>
      <c r="BA643" s="1">
        <f t="shared" si="503"/>
        <v>0</v>
      </c>
      <c r="BB643" s="5">
        <v>0</v>
      </c>
      <c r="BC643" s="5">
        <v>0</v>
      </c>
      <c r="BD643" s="5">
        <v>0</v>
      </c>
      <c r="BE643" s="5">
        <f t="shared" si="504"/>
        <v>1</v>
      </c>
      <c r="BF643" s="5">
        <v>1</v>
      </c>
      <c r="BG643" s="5">
        <f t="shared" si="511"/>
        <v>0</v>
      </c>
      <c r="BH643" s="5">
        <f t="shared" si="511"/>
        <v>0</v>
      </c>
      <c r="BI643" s="5">
        <f t="shared" si="511"/>
        <v>0</v>
      </c>
      <c r="BJ643" s="5">
        <f t="shared" si="511"/>
        <v>0</v>
      </c>
      <c r="BK643" s="5">
        <f t="shared" si="511"/>
        <v>0</v>
      </c>
      <c r="BL643" s="5">
        <f t="shared" si="511"/>
        <v>0</v>
      </c>
      <c r="BM643" s="5">
        <f t="shared" si="511"/>
        <v>0</v>
      </c>
      <c r="BN643" s="5">
        <f t="shared" si="511"/>
        <v>0</v>
      </c>
      <c r="BO643" s="5">
        <f t="shared" si="510"/>
        <v>0</v>
      </c>
      <c r="BP643" s="5">
        <f t="shared" si="510"/>
        <v>0</v>
      </c>
      <c r="BQ643" s="5">
        <f t="shared" si="510"/>
        <v>0</v>
      </c>
      <c r="BR643" s="5">
        <f t="shared" si="510"/>
        <v>0</v>
      </c>
      <c r="BS643" s="5">
        <f t="shared" si="510"/>
        <v>0</v>
      </c>
      <c r="BT643" s="5">
        <f t="shared" si="510"/>
        <v>0</v>
      </c>
      <c r="BU643" s="5">
        <f t="shared" si="510"/>
        <v>0</v>
      </c>
      <c r="BV643" s="5">
        <f t="shared" si="510"/>
        <v>0</v>
      </c>
      <c r="BW643" s="5">
        <f t="shared" si="510"/>
        <v>0</v>
      </c>
      <c r="BX643" s="5">
        <f t="shared" si="510"/>
        <v>0</v>
      </c>
      <c r="BY643" s="5">
        <f t="shared" si="510"/>
        <v>0</v>
      </c>
      <c r="BZ643" s="5">
        <f t="shared" si="510"/>
        <v>0</v>
      </c>
      <c r="CA643" s="5">
        <f t="shared" si="510"/>
        <v>0</v>
      </c>
      <c r="CB643" s="5">
        <f t="shared" si="510"/>
        <v>1</v>
      </c>
      <c r="CC643" s="5">
        <f t="shared" si="510"/>
        <v>0</v>
      </c>
      <c r="CD643" s="5">
        <f t="shared" si="512"/>
        <v>0</v>
      </c>
      <c r="CE643" s="5">
        <f t="shared" si="512"/>
        <v>0</v>
      </c>
    </row>
    <row r="644" spans="1:83" x14ac:dyDescent="0.2">
      <c r="A644" s="11"/>
      <c r="B644" s="11"/>
      <c r="C644" s="1">
        <f>Growth!D649</f>
        <v>0</v>
      </c>
      <c r="D644" s="5" t="b">
        <f t="shared" si="475"/>
        <v>0</v>
      </c>
      <c r="E644" s="5">
        <v>2012</v>
      </c>
      <c r="F644" s="5">
        <f ca="1">LOOKUP($E644,frequence!$A$2:$A$35,frequence!L$2:L$35)</f>
        <v>41.545638202606931</v>
      </c>
      <c r="G644" s="5">
        <f ca="1">LOOKUP($E644,frequence!$A$2:$A$35,frequence!K$2:K$35)</f>
        <v>3.8191206393393822</v>
      </c>
      <c r="H644" s="5">
        <f ca="1">LOOKUP($E644,frequence!$A$2:$A$35,frequence!M$2:M$35)</f>
        <v>265.64322815143237</v>
      </c>
      <c r="I644" s="18">
        <v>2005</v>
      </c>
      <c r="J644" s="7">
        <f>LOOKUP(I644,CPI!A$69:A$103,CPI!O$69:O$103)</f>
        <v>1.1165181771633383</v>
      </c>
      <c r="K644" s="5">
        <v>2015</v>
      </c>
      <c r="L644" s="7">
        <f t="shared" ca="1" si="468"/>
        <v>1</v>
      </c>
      <c r="M644" s="7">
        <f t="shared" si="487"/>
        <v>4.3055555555555555E-2</v>
      </c>
      <c r="N644" s="14">
        <f t="shared" si="506"/>
        <v>6.9444444444444441E-3</v>
      </c>
      <c r="O644" s="1">
        <f ca="1">P644*J644*(1+Growth!G$6)^(2010-K644)</f>
        <v>84.934987100816954</v>
      </c>
      <c r="P644" s="11">
        <v>82</v>
      </c>
      <c r="Q644" s="2">
        <f t="shared" si="478"/>
        <v>82</v>
      </c>
      <c r="R644" s="21">
        <f t="shared" ca="1" si="476"/>
        <v>7213.9520338159427</v>
      </c>
      <c r="X644" s="2"/>
      <c r="AC644" s="1">
        <f t="shared" si="507"/>
        <v>6.2</v>
      </c>
      <c r="AD644" s="5">
        <v>1</v>
      </c>
      <c r="AE644" s="5">
        <v>0</v>
      </c>
      <c r="AF644" s="5">
        <v>1</v>
      </c>
      <c r="AG644" s="5">
        <v>0</v>
      </c>
      <c r="AH644" s="5">
        <v>1</v>
      </c>
      <c r="AI644" s="3">
        <f t="shared" si="474"/>
        <v>3.2</v>
      </c>
      <c r="AJ644" s="5">
        <f t="shared" si="486"/>
        <v>0</v>
      </c>
      <c r="AK644" s="5">
        <f t="shared" si="470"/>
        <v>0</v>
      </c>
      <c r="AL644" s="5">
        <f t="shared" si="471"/>
        <v>0</v>
      </c>
      <c r="AM644" s="5">
        <f t="shared" si="488"/>
        <v>0</v>
      </c>
      <c r="AN644" s="5">
        <f t="shared" si="472"/>
        <v>0</v>
      </c>
      <c r="AO644" s="5">
        <f t="shared" si="489"/>
        <v>0</v>
      </c>
      <c r="AP644" s="11">
        <v>3</v>
      </c>
      <c r="AQ644" s="1">
        <v>0.95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1</v>
      </c>
      <c r="AY644" s="1">
        <f t="shared" si="501"/>
        <v>0</v>
      </c>
      <c r="AZ644" s="1">
        <f t="shared" si="502"/>
        <v>0</v>
      </c>
      <c r="BA644" s="1">
        <f t="shared" si="503"/>
        <v>0</v>
      </c>
      <c r="BB644" s="5">
        <v>0</v>
      </c>
      <c r="BC644" s="5">
        <v>0</v>
      </c>
      <c r="BD644" s="5">
        <v>0</v>
      </c>
      <c r="BE644" s="5">
        <f t="shared" si="504"/>
        <v>1</v>
      </c>
      <c r="BF644" s="5">
        <v>1</v>
      </c>
      <c r="BG644" s="5">
        <f t="shared" si="511"/>
        <v>0</v>
      </c>
      <c r="BH644" s="5">
        <f t="shared" si="511"/>
        <v>0</v>
      </c>
      <c r="BI644" s="5">
        <f t="shared" si="511"/>
        <v>0</v>
      </c>
      <c r="BJ644" s="5">
        <f t="shared" si="511"/>
        <v>0</v>
      </c>
      <c r="BK644" s="5">
        <f t="shared" si="511"/>
        <v>0</v>
      </c>
      <c r="BL644" s="5">
        <f t="shared" si="511"/>
        <v>0</v>
      </c>
      <c r="BM644" s="5">
        <f t="shared" si="511"/>
        <v>0</v>
      </c>
      <c r="BN644" s="5">
        <f t="shared" ref="BN644:CB659" si="513">IF($E644=BN$2,1,0)</f>
        <v>0</v>
      </c>
      <c r="BO644" s="5">
        <f t="shared" si="513"/>
        <v>0</v>
      </c>
      <c r="BP644" s="5">
        <f t="shared" si="513"/>
        <v>0</v>
      </c>
      <c r="BQ644" s="5">
        <f t="shared" si="513"/>
        <v>0</v>
      </c>
      <c r="BR644" s="5">
        <f t="shared" si="513"/>
        <v>0</v>
      </c>
      <c r="BS644" s="5">
        <f t="shared" si="513"/>
        <v>0</v>
      </c>
      <c r="BT644" s="5">
        <f t="shared" si="513"/>
        <v>0</v>
      </c>
      <c r="BU644" s="5">
        <f t="shared" si="513"/>
        <v>0</v>
      </c>
      <c r="BV644" s="5">
        <f t="shared" si="513"/>
        <v>0</v>
      </c>
      <c r="BW644" s="5">
        <f t="shared" si="513"/>
        <v>0</v>
      </c>
      <c r="BX644" s="5">
        <f t="shared" si="513"/>
        <v>0</v>
      </c>
      <c r="BY644" s="5">
        <f t="shared" si="513"/>
        <v>0</v>
      </c>
      <c r="BZ644" s="5">
        <f t="shared" si="513"/>
        <v>0</v>
      </c>
      <c r="CA644" s="5">
        <f t="shared" si="513"/>
        <v>0</v>
      </c>
      <c r="CB644" s="5">
        <f t="shared" si="513"/>
        <v>1</v>
      </c>
      <c r="CC644" s="5">
        <f t="shared" ref="CC644:CE663" si="514">IF($E644=CC$2,1,0)</f>
        <v>0</v>
      </c>
      <c r="CD644" s="5">
        <f t="shared" si="512"/>
        <v>0</v>
      </c>
      <c r="CE644" s="5">
        <f t="shared" si="512"/>
        <v>0</v>
      </c>
    </row>
    <row r="645" spans="1:83" x14ac:dyDescent="0.2">
      <c r="A645" s="11"/>
      <c r="B645" s="11"/>
      <c r="C645" s="1">
        <f>Growth!D650</f>
        <v>0</v>
      </c>
      <c r="D645" s="5" t="b">
        <f t="shared" si="475"/>
        <v>0</v>
      </c>
      <c r="E645" s="5">
        <v>2012</v>
      </c>
      <c r="F645" s="5">
        <f ca="1">LOOKUP($E645,frequence!$A$2:$A$35,frequence!L$2:L$35)</f>
        <v>41.545638202606931</v>
      </c>
      <c r="G645" s="5">
        <f ca="1">LOOKUP($E645,frequence!$A$2:$A$35,frequence!K$2:K$35)</f>
        <v>3.8191206393393822</v>
      </c>
      <c r="H645" s="5">
        <f ca="1">LOOKUP($E645,frequence!$A$2:$A$35,frequence!M$2:M$35)</f>
        <v>265.64322815143237</v>
      </c>
      <c r="I645" s="18">
        <v>2005</v>
      </c>
      <c r="J645" s="7">
        <f>LOOKUP(I645,CPI!A$69:A$103,CPI!O$69:O$103)</f>
        <v>1.1165181771633383</v>
      </c>
      <c r="K645" s="5">
        <v>2015</v>
      </c>
      <c r="L645" s="7">
        <f t="shared" ref="L645:L708" ca="1" si="515">IF(O645&lt;L$1,1,IF(O645&gt;L$2,0,1-(O645-L$1)/(L$2-L$1)))</f>
        <v>1</v>
      </c>
      <c r="M645" s="7">
        <f t="shared" si="487"/>
        <v>4.3055555555555555E-2</v>
      </c>
      <c r="N645" s="14">
        <f t="shared" si="506"/>
        <v>6.9444444444444441E-3</v>
      </c>
      <c r="O645" s="1">
        <f ca="1">P645*J645*(1+Growth!G$6)^(2010-K645)</f>
        <v>78.720231947098654</v>
      </c>
      <c r="P645" s="11">
        <v>76</v>
      </c>
      <c r="Q645" s="2">
        <f t="shared" si="478"/>
        <v>76</v>
      </c>
      <c r="R645" s="21">
        <f t="shared" ca="1" si="476"/>
        <v>6196.8749178050111</v>
      </c>
      <c r="X645" s="2"/>
      <c r="AC645" s="1">
        <f t="shared" si="507"/>
        <v>6.2</v>
      </c>
      <c r="AD645" s="5">
        <v>1</v>
      </c>
      <c r="AE645" s="5">
        <v>0</v>
      </c>
      <c r="AF645" s="5">
        <v>1</v>
      </c>
      <c r="AG645" s="5">
        <v>0</v>
      </c>
      <c r="AH645" s="5">
        <v>1</v>
      </c>
      <c r="AI645" s="3">
        <f t="shared" si="474"/>
        <v>3.2</v>
      </c>
      <c r="AJ645" s="5">
        <f t="shared" si="486"/>
        <v>0</v>
      </c>
      <c r="AK645" s="5">
        <f t="shared" ref="AK645:AK708" si="516">IF($AQ645=2,1,0)</f>
        <v>0</v>
      </c>
      <c r="AL645" s="5">
        <f t="shared" ref="AL645:AL708" si="517">IF($AQ645=1.5,1,0)</f>
        <v>0</v>
      </c>
      <c r="AM645" s="5">
        <f t="shared" si="488"/>
        <v>0</v>
      </c>
      <c r="AN645" s="5">
        <f t="shared" ref="AN645:AN708" si="518">IF($AQ645=0.1,1,0)</f>
        <v>0</v>
      </c>
      <c r="AO645" s="5">
        <f t="shared" si="489"/>
        <v>0</v>
      </c>
      <c r="AP645" s="11">
        <v>3</v>
      </c>
      <c r="AQ645" s="1">
        <v>0.95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1</v>
      </c>
      <c r="AY645" s="1">
        <f t="shared" si="501"/>
        <v>0</v>
      </c>
      <c r="AZ645" s="1">
        <f t="shared" si="502"/>
        <v>0</v>
      </c>
      <c r="BA645" s="1">
        <f t="shared" si="503"/>
        <v>0</v>
      </c>
      <c r="BB645" s="5">
        <v>0</v>
      </c>
      <c r="BC645" s="5">
        <v>0</v>
      </c>
      <c r="BD645" s="5">
        <v>0</v>
      </c>
      <c r="BE645" s="5">
        <f t="shared" si="504"/>
        <v>1</v>
      </c>
      <c r="BF645" s="5">
        <v>1</v>
      </c>
      <c r="BG645" s="5">
        <f t="shared" ref="BG645:BN660" si="519">IF($E645=BG$2,1,0)</f>
        <v>0</v>
      </c>
      <c r="BH645" s="5">
        <f t="shared" si="519"/>
        <v>0</v>
      </c>
      <c r="BI645" s="5">
        <f t="shared" si="519"/>
        <v>0</v>
      </c>
      <c r="BJ645" s="5">
        <f t="shared" si="519"/>
        <v>0</v>
      </c>
      <c r="BK645" s="5">
        <f t="shared" si="519"/>
        <v>0</v>
      </c>
      <c r="BL645" s="5">
        <f t="shared" si="519"/>
        <v>0</v>
      </c>
      <c r="BM645" s="5">
        <f t="shared" si="519"/>
        <v>0</v>
      </c>
      <c r="BN645" s="5">
        <f t="shared" si="513"/>
        <v>0</v>
      </c>
      <c r="BO645" s="5">
        <f t="shared" si="513"/>
        <v>0</v>
      </c>
      <c r="BP645" s="5">
        <f t="shared" si="513"/>
        <v>0</v>
      </c>
      <c r="BQ645" s="5">
        <f t="shared" si="513"/>
        <v>0</v>
      </c>
      <c r="BR645" s="5">
        <f t="shared" si="513"/>
        <v>0</v>
      </c>
      <c r="BS645" s="5">
        <f t="shared" si="513"/>
        <v>0</v>
      </c>
      <c r="BT645" s="5">
        <f t="shared" si="513"/>
        <v>0</v>
      </c>
      <c r="BU645" s="5">
        <f t="shared" si="513"/>
        <v>0</v>
      </c>
      <c r="BV645" s="5">
        <f t="shared" si="513"/>
        <v>0</v>
      </c>
      <c r="BW645" s="5">
        <f t="shared" si="513"/>
        <v>0</v>
      </c>
      <c r="BX645" s="5">
        <f t="shared" si="513"/>
        <v>0</v>
      </c>
      <c r="BY645" s="5">
        <f t="shared" si="513"/>
        <v>0</v>
      </c>
      <c r="BZ645" s="5">
        <f t="shared" si="513"/>
        <v>0</v>
      </c>
      <c r="CA645" s="5">
        <f t="shared" si="513"/>
        <v>0</v>
      </c>
      <c r="CB645" s="5">
        <f t="shared" si="513"/>
        <v>1</v>
      </c>
      <c r="CC645" s="5">
        <f t="shared" si="514"/>
        <v>0</v>
      </c>
      <c r="CD645" s="5">
        <f t="shared" si="512"/>
        <v>0</v>
      </c>
      <c r="CE645" s="5">
        <f t="shared" si="512"/>
        <v>0</v>
      </c>
    </row>
    <row r="646" spans="1:83" x14ac:dyDescent="0.2">
      <c r="A646" s="11"/>
      <c r="B646" s="11"/>
      <c r="C646" s="1">
        <f>Growth!D651</f>
        <v>0</v>
      </c>
      <c r="D646" s="5" t="b">
        <f t="shared" si="475"/>
        <v>0</v>
      </c>
      <c r="E646" s="5">
        <v>2012</v>
      </c>
      <c r="F646" s="5">
        <f ca="1">LOOKUP($E646,frequence!$A$2:$A$35,frequence!L$2:L$35)</f>
        <v>41.545638202606931</v>
      </c>
      <c r="G646" s="5">
        <f ca="1">LOOKUP($E646,frequence!$A$2:$A$35,frequence!K$2:K$35)</f>
        <v>3.8191206393393822</v>
      </c>
      <c r="H646" s="5">
        <f ca="1">LOOKUP($E646,frequence!$A$2:$A$35,frequence!M$2:M$35)</f>
        <v>265.64322815143237</v>
      </c>
      <c r="I646" s="18">
        <v>2005</v>
      </c>
      <c r="J646" s="7">
        <f>LOOKUP(I646,CPI!A$69:A$103,CPI!O$69:O$103)</f>
        <v>1.1165181771633383</v>
      </c>
      <c r="K646" s="5">
        <v>2015</v>
      </c>
      <c r="L646" s="7">
        <f t="shared" ca="1" si="515"/>
        <v>1</v>
      </c>
      <c r="M646" s="7">
        <f t="shared" si="487"/>
        <v>4.3055555555555555E-2</v>
      </c>
      <c r="N646" s="14">
        <f t="shared" si="506"/>
        <v>6.9444444444444441E-3</v>
      </c>
      <c r="O646" s="1">
        <f ca="1">P646*J646*(1+Growth!G$6)^(2010-K646)</f>
        <v>93.221327305774722</v>
      </c>
      <c r="P646" s="11">
        <v>90</v>
      </c>
      <c r="Q646" s="2">
        <f t="shared" si="478"/>
        <v>90</v>
      </c>
      <c r="R646" s="21">
        <f t="shared" ca="1" si="476"/>
        <v>8690.2158646503794</v>
      </c>
      <c r="X646" s="2"/>
      <c r="AC646" s="1">
        <f t="shared" si="507"/>
        <v>6.2</v>
      </c>
      <c r="AD646" s="5">
        <v>1</v>
      </c>
      <c r="AE646" s="5">
        <v>0</v>
      </c>
      <c r="AF646" s="5">
        <v>1</v>
      </c>
      <c r="AG646" s="5">
        <v>0</v>
      </c>
      <c r="AH646" s="5">
        <v>1</v>
      </c>
      <c r="AI646" s="3">
        <f t="shared" si="474"/>
        <v>3.2</v>
      </c>
      <c r="AJ646" s="5">
        <f t="shared" si="486"/>
        <v>0</v>
      </c>
      <c r="AK646" s="5">
        <f t="shared" si="516"/>
        <v>0</v>
      </c>
      <c r="AL646" s="5">
        <f t="shared" si="517"/>
        <v>0</v>
      </c>
      <c r="AM646" s="5">
        <f t="shared" si="488"/>
        <v>0</v>
      </c>
      <c r="AN646" s="5">
        <f t="shared" si="518"/>
        <v>0</v>
      </c>
      <c r="AO646" s="5">
        <f t="shared" si="489"/>
        <v>0</v>
      </c>
      <c r="AP646" s="11">
        <v>3</v>
      </c>
      <c r="AQ646" s="1">
        <v>0.95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1</v>
      </c>
      <c r="AY646" s="1">
        <f t="shared" si="501"/>
        <v>0</v>
      </c>
      <c r="AZ646" s="1">
        <f t="shared" si="502"/>
        <v>0</v>
      </c>
      <c r="BA646" s="1">
        <f t="shared" si="503"/>
        <v>0</v>
      </c>
      <c r="BB646" s="5">
        <v>0</v>
      </c>
      <c r="BC646" s="5">
        <v>0</v>
      </c>
      <c r="BD646" s="5">
        <v>0</v>
      </c>
      <c r="BE646" s="5">
        <f t="shared" si="504"/>
        <v>1</v>
      </c>
      <c r="BF646" s="5">
        <v>1</v>
      </c>
      <c r="BG646" s="5">
        <f t="shared" si="519"/>
        <v>0</v>
      </c>
      <c r="BH646" s="5">
        <f t="shared" si="519"/>
        <v>0</v>
      </c>
      <c r="BI646" s="5">
        <f t="shared" si="519"/>
        <v>0</v>
      </c>
      <c r="BJ646" s="5">
        <f t="shared" si="519"/>
        <v>0</v>
      </c>
      <c r="BK646" s="5">
        <f t="shared" si="519"/>
        <v>0</v>
      </c>
      <c r="BL646" s="5">
        <f t="shared" si="519"/>
        <v>0</v>
      </c>
      <c r="BM646" s="5">
        <f t="shared" si="519"/>
        <v>0</v>
      </c>
      <c r="BN646" s="5">
        <f t="shared" si="513"/>
        <v>0</v>
      </c>
      <c r="BO646" s="5">
        <f t="shared" si="513"/>
        <v>0</v>
      </c>
      <c r="BP646" s="5">
        <f t="shared" si="513"/>
        <v>0</v>
      </c>
      <c r="BQ646" s="5">
        <f t="shared" si="513"/>
        <v>0</v>
      </c>
      <c r="BR646" s="5">
        <f t="shared" si="513"/>
        <v>0</v>
      </c>
      <c r="BS646" s="5">
        <f t="shared" si="513"/>
        <v>0</v>
      </c>
      <c r="BT646" s="5">
        <f t="shared" si="513"/>
        <v>0</v>
      </c>
      <c r="BU646" s="5">
        <f t="shared" si="513"/>
        <v>0</v>
      </c>
      <c r="BV646" s="5">
        <f t="shared" si="513"/>
        <v>0</v>
      </c>
      <c r="BW646" s="5">
        <f t="shared" si="513"/>
        <v>0</v>
      </c>
      <c r="BX646" s="5">
        <f t="shared" si="513"/>
        <v>0</v>
      </c>
      <c r="BY646" s="5">
        <f t="shared" si="513"/>
        <v>0</v>
      </c>
      <c r="BZ646" s="5">
        <f t="shared" si="513"/>
        <v>0</v>
      </c>
      <c r="CA646" s="5">
        <f t="shared" si="513"/>
        <v>0</v>
      </c>
      <c r="CB646" s="5">
        <f t="shared" si="513"/>
        <v>1</v>
      </c>
      <c r="CC646" s="5">
        <f t="shared" si="514"/>
        <v>0</v>
      </c>
      <c r="CD646" s="5">
        <f t="shared" si="512"/>
        <v>0</v>
      </c>
      <c r="CE646" s="5">
        <f t="shared" si="512"/>
        <v>0</v>
      </c>
    </row>
    <row r="647" spans="1:83" x14ac:dyDescent="0.2">
      <c r="A647" s="11"/>
      <c r="B647" s="11"/>
      <c r="C647" s="1">
        <f>Growth!D652</f>
        <v>0</v>
      </c>
      <c r="D647" s="5" t="b">
        <f t="shared" si="475"/>
        <v>0</v>
      </c>
      <c r="E647" s="5">
        <v>2012</v>
      </c>
      <c r="F647" s="5">
        <f ca="1">LOOKUP($E647,frequence!$A$2:$A$35,frequence!L$2:L$35)</f>
        <v>41.545638202606931</v>
      </c>
      <c r="G647" s="5">
        <f ca="1">LOOKUP($E647,frequence!$A$2:$A$35,frequence!K$2:K$35)</f>
        <v>3.8191206393393822</v>
      </c>
      <c r="H647" s="5">
        <f ca="1">LOOKUP($E647,frequence!$A$2:$A$35,frequence!M$2:M$35)</f>
        <v>265.64322815143237</v>
      </c>
      <c r="I647" s="18">
        <v>2005</v>
      </c>
      <c r="J647" s="7">
        <f>LOOKUP(I647,CPI!A$69:A$103,CPI!O$69:O$103)</f>
        <v>1.1165181771633383</v>
      </c>
      <c r="K647" s="5">
        <v>2015</v>
      </c>
      <c r="L647" s="7">
        <f t="shared" ca="1" si="515"/>
        <v>1</v>
      </c>
      <c r="M647" s="7">
        <f t="shared" si="487"/>
        <v>4.3055555555555555E-2</v>
      </c>
      <c r="N647" s="14">
        <f t="shared" si="506"/>
        <v>6.9444444444444441E-3</v>
      </c>
      <c r="O647" s="1">
        <f ca="1">P647*J647*(1+Growth!G$6)^(2010-K647)</f>
        <v>87.006572152056407</v>
      </c>
      <c r="P647" s="11">
        <v>84</v>
      </c>
      <c r="Q647" s="2">
        <f t="shared" si="478"/>
        <v>84</v>
      </c>
      <c r="R647" s="21">
        <f t="shared" ca="1" si="476"/>
        <v>7570.1435976509974</v>
      </c>
      <c r="X647" s="2"/>
      <c r="AC647" s="1">
        <f t="shared" si="507"/>
        <v>6.2</v>
      </c>
      <c r="AD647" s="5">
        <v>1</v>
      </c>
      <c r="AE647" s="5">
        <v>0</v>
      </c>
      <c r="AF647" s="5">
        <v>1</v>
      </c>
      <c r="AG647" s="5">
        <v>0</v>
      </c>
      <c r="AH647" s="5">
        <v>1</v>
      </c>
      <c r="AI647" s="3">
        <f t="shared" si="474"/>
        <v>3.2</v>
      </c>
      <c r="AJ647" s="5">
        <f t="shared" si="486"/>
        <v>0</v>
      </c>
      <c r="AK647" s="5">
        <f t="shared" si="516"/>
        <v>0</v>
      </c>
      <c r="AL647" s="5">
        <f t="shared" si="517"/>
        <v>0</v>
      </c>
      <c r="AM647" s="5">
        <f t="shared" si="488"/>
        <v>0</v>
      </c>
      <c r="AN647" s="5">
        <f t="shared" si="518"/>
        <v>0</v>
      </c>
      <c r="AO647" s="5">
        <f t="shared" si="489"/>
        <v>0</v>
      </c>
      <c r="AP647" s="11">
        <v>3</v>
      </c>
      <c r="AQ647" s="1">
        <v>0.95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1</v>
      </c>
      <c r="AY647" s="1">
        <f t="shared" si="501"/>
        <v>0</v>
      </c>
      <c r="AZ647" s="1">
        <f t="shared" si="502"/>
        <v>0</v>
      </c>
      <c r="BA647" s="1">
        <f t="shared" si="503"/>
        <v>0</v>
      </c>
      <c r="BB647" s="5">
        <v>0</v>
      </c>
      <c r="BC647" s="5">
        <v>0</v>
      </c>
      <c r="BD647" s="5">
        <v>0</v>
      </c>
      <c r="BE647" s="5">
        <f t="shared" si="504"/>
        <v>1</v>
      </c>
      <c r="BF647" s="5">
        <v>1</v>
      </c>
      <c r="BG647" s="5">
        <f t="shared" si="519"/>
        <v>0</v>
      </c>
      <c r="BH647" s="5">
        <f t="shared" si="519"/>
        <v>0</v>
      </c>
      <c r="BI647" s="5">
        <f t="shared" si="519"/>
        <v>0</v>
      </c>
      <c r="BJ647" s="5">
        <f t="shared" si="519"/>
        <v>0</v>
      </c>
      <c r="BK647" s="5">
        <f t="shared" si="519"/>
        <v>0</v>
      </c>
      <c r="BL647" s="5">
        <f t="shared" si="519"/>
        <v>0</v>
      </c>
      <c r="BM647" s="5">
        <f t="shared" si="519"/>
        <v>0</v>
      </c>
      <c r="BN647" s="5">
        <f t="shared" si="513"/>
        <v>0</v>
      </c>
      <c r="BO647" s="5">
        <f t="shared" si="513"/>
        <v>0</v>
      </c>
      <c r="BP647" s="5">
        <f t="shared" si="513"/>
        <v>0</v>
      </c>
      <c r="BQ647" s="5">
        <f t="shared" si="513"/>
        <v>0</v>
      </c>
      <c r="BR647" s="5">
        <f t="shared" si="513"/>
        <v>0</v>
      </c>
      <c r="BS647" s="5">
        <f t="shared" si="513"/>
        <v>0</v>
      </c>
      <c r="BT647" s="5">
        <f t="shared" si="513"/>
        <v>0</v>
      </c>
      <c r="BU647" s="5">
        <f t="shared" si="513"/>
        <v>0</v>
      </c>
      <c r="BV647" s="5">
        <f t="shared" si="513"/>
        <v>0</v>
      </c>
      <c r="BW647" s="5">
        <f t="shared" si="513"/>
        <v>0</v>
      </c>
      <c r="BX647" s="5">
        <f t="shared" si="513"/>
        <v>0</v>
      </c>
      <c r="BY647" s="5">
        <f t="shared" si="513"/>
        <v>0</v>
      </c>
      <c r="BZ647" s="5">
        <f t="shared" si="513"/>
        <v>0</v>
      </c>
      <c r="CA647" s="5">
        <f t="shared" si="513"/>
        <v>0</v>
      </c>
      <c r="CB647" s="5">
        <f t="shared" si="513"/>
        <v>1</v>
      </c>
      <c r="CC647" s="5">
        <f t="shared" si="514"/>
        <v>0</v>
      </c>
      <c r="CD647" s="5">
        <f t="shared" si="512"/>
        <v>0</v>
      </c>
      <c r="CE647" s="5">
        <f t="shared" si="512"/>
        <v>0</v>
      </c>
    </row>
    <row r="648" spans="1:83" x14ac:dyDescent="0.2">
      <c r="A648" s="11"/>
      <c r="B648" s="11"/>
      <c r="C648" s="1">
        <f>Growth!D653</f>
        <v>0</v>
      </c>
      <c r="D648" s="5" t="b">
        <f t="shared" si="475"/>
        <v>0</v>
      </c>
      <c r="E648" s="5">
        <v>2012</v>
      </c>
      <c r="F648" s="5">
        <f ca="1">LOOKUP($E648,frequence!$A$2:$A$35,frequence!L$2:L$35)</f>
        <v>41.545638202606931</v>
      </c>
      <c r="G648" s="5">
        <f ca="1">LOOKUP($E648,frequence!$A$2:$A$35,frequence!K$2:K$35)</f>
        <v>3.8191206393393822</v>
      </c>
      <c r="H648" s="5">
        <f ca="1">LOOKUP($E648,frequence!$A$2:$A$35,frequence!M$2:M$35)</f>
        <v>265.64322815143237</v>
      </c>
      <c r="I648" s="18">
        <v>2005</v>
      </c>
      <c r="J648" s="7">
        <f>LOOKUP(I648,CPI!A$69:A$103,CPI!O$69:O$103)</f>
        <v>1.1165181771633383</v>
      </c>
      <c r="K648" s="5">
        <v>2015</v>
      </c>
      <c r="L648" s="7">
        <f t="shared" ca="1" si="515"/>
        <v>1</v>
      </c>
      <c r="M648" s="7">
        <f t="shared" si="487"/>
        <v>4.3055555555555555E-2</v>
      </c>
      <c r="N648" s="14">
        <f t="shared" si="506"/>
        <v>6.9444444444444441E-3</v>
      </c>
      <c r="O648" s="1">
        <f ca="1">P648*J648*(1+Growth!G$6)^(2010-K648)</f>
        <v>53.861211332225395</v>
      </c>
      <c r="P648" s="11">
        <v>52</v>
      </c>
      <c r="Q648" s="2">
        <f t="shared" si="478"/>
        <v>52</v>
      </c>
      <c r="R648" s="21">
        <f t="shared" ca="1" si="476"/>
        <v>2901.0300861746455</v>
      </c>
      <c r="X648" s="2"/>
      <c r="AC648" s="1">
        <f t="shared" si="507"/>
        <v>6.2</v>
      </c>
      <c r="AD648" s="5">
        <v>1</v>
      </c>
      <c r="AE648" s="5">
        <v>0</v>
      </c>
      <c r="AF648" s="5">
        <v>1</v>
      </c>
      <c r="AG648" s="5">
        <v>0</v>
      </c>
      <c r="AH648" s="5">
        <v>1</v>
      </c>
      <c r="AI648" s="3">
        <f t="shared" si="474"/>
        <v>3.2</v>
      </c>
      <c r="AJ648" s="5">
        <f t="shared" si="486"/>
        <v>0</v>
      </c>
      <c r="AK648" s="5">
        <f t="shared" si="516"/>
        <v>0</v>
      </c>
      <c r="AL648" s="5">
        <f t="shared" si="517"/>
        <v>0</v>
      </c>
      <c r="AM648" s="5">
        <f t="shared" si="488"/>
        <v>0</v>
      </c>
      <c r="AN648" s="5">
        <f t="shared" si="518"/>
        <v>0</v>
      </c>
      <c r="AO648" s="5">
        <f t="shared" si="489"/>
        <v>0</v>
      </c>
      <c r="AP648" s="11">
        <v>3</v>
      </c>
      <c r="AQ648" s="1">
        <v>0.14000000000000001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1</v>
      </c>
      <c r="AY648" s="1">
        <f t="shared" si="501"/>
        <v>0</v>
      </c>
      <c r="AZ648" s="1">
        <f t="shared" si="502"/>
        <v>0</v>
      </c>
      <c r="BA648" s="1">
        <f t="shared" si="503"/>
        <v>0</v>
      </c>
      <c r="BB648" s="5">
        <v>0</v>
      </c>
      <c r="BC648" s="5">
        <v>0</v>
      </c>
      <c r="BD648" s="5">
        <v>0</v>
      </c>
      <c r="BE648" s="5">
        <f t="shared" si="504"/>
        <v>1</v>
      </c>
      <c r="BF648" s="5">
        <v>1</v>
      </c>
      <c r="BG648" s="5">
        <f t="shared" si="519"/>
        <v>0</v>
      </c>
      <c r="BH648" s="5">
        <f t="shared" si="519"/>
        <v>0</v>
      </c>
      <c r="BI648" s="5">
        <f t="shared" si="519"/>
        <v>0</v>
      </c>
      <c r="BJ648" s="5">
        <f t="shared" si="519"/>
        <v>0</v>
      </c>
      <c r="BK648" s="5">
        <f t="shared" si="519"/>
        <v>0</v>
      </c>
      <c r="BL648" s="5">
        <f t="shared" si="519"/>
        <v>0</v>
      </c>
      <c r="BM648" s="5">
        <f t="shared" si="519"/>
        <v>0</v>
      </c>
      <c r="BN648" s="5">
        <f t="shared" si="513"/>
        <v>0</v>
      </c>
      <c r="BO648" s="5">
        <f t="shared" si="513"/>
        <v>0</v>
      </c>
      <c r="BP648" s="5">
        <f t="shared" si="513"/>
        <v>0</v>
      </c>
      <c r="BQ648" s="5">
        <f t="shared" si="513"/>
        <v>0</v>
      </c>
      <c r="BR648" s="5">
        <f t="shared" si="513"/>
        <v>0</v>
      </c>
      <c r="BS648" s="5">
        <f t="shared" si="513"/>
        <v>0</v>
      </c>
      <c r="BT648" s="5">
        <f t="shared" si="513"/>
        <v>0</v>
      </c>
      <c r="BU648" s="5">
        <f t="shared" si="513"/>
        <v>0</v>
      </c>
      <c r="BV648" s="5">
        <f t="shared" si="513"/>
        <v>0</v>
      </c>
      <c r="BW648" s="5">
        <f t="shared" si="513"/>
        <v>0</v>
      </c>
      <c r="BX648" s="5">
        <f t="shared" si="513"/>
        <v>0</v>
      </c>
      <c r="BY648" s="5">
        <f t="shared" si="513"/>
        <v>0</v>
      </c>
      <c r="BZ648" s="5">
        <f t="shared" si="513"/>
        <v>0</v>
      </c>
      <c r="CA648" s="5">
        <f t="shared" si="513"/>
        <v>0</v>
      </c>
      <c r="CB648" s="5">
        <f t="shared" si="513"/>
        <v>1</v>
      </c>
      <c r="CC648" s="5">
        <f t="shared" si="514"/>
        <v>0</v>
      </c>
      <c r="CD648" s="5">
        <f t="shared" si="512"/>
        <v>0</v>
      </c>
      <c r="CE648" s="5">
        <f t="shared" si="512"/>
        <v>0</v>
      </c>
    </row>
    <row r="649" spans="1:83" x14ac:dyDescent="0.2">
      <c r="A649" s="11"/>
      <c r="B649" s="11"/>
      <c r="C649" s="1">
        <f>Growth!D654</f>
        <v>0</v>
      </c>
      <c r="D649" s="5" t="b">
        <f t="shared" si="475"/>
        <v>0</v>
      </c>
      <c r="E649" s="5">
        <v>2012</v>
      </c>
      <c r="F649" s="5">
        <f ca="1">LOOKUP($E649,frequence!$A$2:$A$35,frequence!L$2:L$35)</f>
        <v>41.545638202606931</v>
      </c>
      <c r="G649" s="5">
        <f ca="1">LOOKUP($E649,frequence!$A$2:$A$35,frequence!K$2:K$35)</f>
        <v>3.8191206393393822</v>
      </c>
      <c r="H649" s="5">
        <f ca="1">LOOKUP($E649,frequence!$A$2:$A$35,frequence!M$2:M$35)</f>
        <v>265.64322815143237</v>
      </c>
      <c r="I649" s="18">
        <v>2005</v>
      </c>
      <c r="J649" s="7">
        <f>LOOKUP(I649,CPI!A$69:A$103,CPI!O$69:O$103)</f>
        <v>1.1165181771633383</v>
      </c>
      <c r="K649" s="5">
        <v>2015</v>
      </c>
      <c r="L649" s="7">
        <f t="shared" ca="1" si="515"/>
        <v>1</v>
      </c>
      <c r="M649" s="7">
        <f t="shared" si="487"/>
        <v>4.3055555555555555E-2</v>
      </c>
      <c r="N649" s="14">
        <f t="shared" si="506"/>
        <v>6.9444444444444441E-3</v>
      </c>
      <c r="O649" s="1">
        <f ca="1">P649*J649*(1+Growth!G$6)^(2010-K649)</f>
        <v>60.075966485943709</v>
      </c>
      <c r="P649" s="11">
        <v>58</v>
      </c>
      <c r="Q649" s="2">
        <f t="shared" si="478"/>
        <v>58</v>
      </c>
      <c r="R649" s="21">
        <f t="shared" ca="1" si="476"/>
        <v>3609.1217492202318</v>
      </c>
      <c r="X649" s="2"/>
      <c r="AC649" s="1">
        <f t="shared" si="507"/>
        <v>6.2</v>
      </c>
      <c r="AD649" s="5">
        <v>1</v>
      </c>
      <c r="AE649" s="5">
        <v>0</v>
      </c>
      <c r="AF649" s="5">
        <v>1</v>
      </c>
      <c r="AG649" s="5">
        <v>0</v>
      </c>
      <c r="AH649" s="5">
        <v>1</v>
      </c>
      <c r="AI649" s="3">
        <f t="shared" ref="AI649:AI712" si="520">(E649-1980)/10</f>
        <v>3.2</v>
      </c>
      <c r="AJ649" s="5">
        <f t="shared" si="486"/>
        <v>0</v>
      </c>
      <c r="AK649" s="5">
        <f t="shared" si="516"/>
        <v>0</v>
      </c>
      <c r="AL649" s="5">
        <f t="shared" si="517"/>
        <v>0</v>
      </c>
      <c r="AM649" s="5">
        <f t="shared" si="488"/>
        <v>0</v>
      </c>
      <c r="AN649" s="5">
        <f t="shared" si="518"/>
        <v>0</v>
      </c>
      <c r="AO649" s="5">
        <f t="shared" si="489"/>
        <v>0</v>
      </c>
      <c r="AP649" s="11">
        <v>3</v>
      </c>
      <c r="AQ649" s="1">
        <v>0.14000000000000001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1</v>
      </c>
      <c r="AY649" s="1">
        <f t="shared" si="501"/>
        <v>0</v>
      </c>
      <c r="AZ649" s="1">
        <f t="shared" si="502"/>
        <v>0</v>
      </c>
      <c r="BA649" s="1">
        <f t="shared" si="503"/>
        <v>0</v>
      </c>
      <c r="BB649" s="5">
        <v>0</v>
      </c>
      <c r="BC649" s="5">
        <v>0</v>
      </c>
      <c r="BD649" s="5">
        <v>0</v>
      </c>
      <c r="BE649" s="5">
        <f t="shared" si="504"/>
        <v>1</v>
      </c>
      <c r="BF649" s="5">
        <v>1</v>
      </c>
      <c r="BG649" s="5">
        <f t="shared" si="519"/>
        <v>0</v>
      </c>
      <c r="BH649" s="5">
        <f t="shared" si="519"/>
        <v>0</v>
      </c>
      <c r="BI649" s="5">
        <f t="shared" si="519"/>
        <v>0</v>
      </c>
      <c r="BJ649" s="5">
        <f t="shared" si="519"/>
        <v>0</v>
      </c>
      <c r="BK649" s="5">
        <f t="shared" si="519"/>
        <v>0</v>
      </c>
      <c r="BL649" s="5">
        <f t="shared" si="519"/>
        <v>0</v>
      </c>
      <c r="BM649" s="5">
        <f t="shared" si="519"/>
        <v>0</v>
      </c>
      <c r="BN649" s="5">
        <f t="shared" si="513"/>
        <v>0</v>
      </c>
      <c r="BO649" s="5">
        <f t="shared" si="513"/>
        <v>0</v>
      </c>
      <c r="BP649" s="5">
        <f t="shared" si="513"/>
        <v>0</v>
      </c>
      <c r="BQ649" s="5">
        <f t="shared" si="513"/>
        <v>0</v>
      </c>
      <c r="BR649" s="5">
        <f t="shared" si="513"/>
        <v>0</v>
      </c>
      <c r="BS649" s="5">
        <f t="shared" si="513"/>
        <v>0</v>
      </c>
      <c r="BT649" s="5">
        <f t="shared" si="513"/>
        <v>0</v>
      </c>
      <c r="BU649" s="5">
        <f t="shared" si="513"/>
        <v>0</v>
      </c>
      <c r="BV649" s="5">
        <f t="shared" si="513"/>
        <v>0</v>
      </c>
      <c r="BW649" s="5">
        <f t="shared" si="513"/>
        <v>0</v>
      </c>
      <c r="BX649" s="5">
        <f t="shared" si="513"/>
        <v>0</v>
      </c>
      <c r="BY649" s="5">
        <f t="shared" si="513"/>
        <v>0</v>
      </c>
      <c r="BZ649" s="5">
        <f t="shared" si="513"/>
        <v>0</v>
      </c>
      <c r="CA649" s="5">
        <f t="shared" si="513"/>
        <v>0</v>
      </c>
      <c r="CB649" s="5">
        <f t="shared" si="513"/>
        <v>1</v>
      </c>
      <c r="CC649" s="5">
        <f t="shared" si="514"/>
        <v>0</v>
      </c>
      <c r="CD649" s="5">
        <f t="shared" si="512"/>
        <v>0</v>
      </c>
      <c r="CE649" s="5">
        <f t="shared" si="512"/>
        <v>0</v>
      </c>
    </row>
    <row r="650" spans="1:83" x14ac:dyDescent="0.2">
      <c r="A650" s="11"/>
      <c r="B650" s="11"/>
      <c r="C650" s="1">
        <f>Growth!D655</f>
        <v>0</v>
      </c>
      <c r="D650" s="5" t="b">
        <f t="shared" ref="D650:D713" si="521">IF(B650&gt;0,E650)</f>
        <v>0</v>
      </c>
      <c r="E650" s="5">
        <v>2012</v>
      </c>
      <c r="F650" s="5">
        <f ca="1">LOOKUP($E650,frequence!$A$2:$A$35,frequence!L$2:L$35)</f>
        <v>41.545638202606931</v>
      </c>
      <c r="G650" s="5">
        <f ca="1">LOOKUP($E650,frequence!$A$2:$A$35,frequence!K$2:K$35)</f>
        <v>3.8191206393393822</v>
      </c>
      <c r="H650" s="5">
        <f ca="1">LOOKUP($E650,frequence!$A$2:$A$35,frequence!M$2:M$35)</f>
        <v>265.64322815143237</v>
      </c>
      <c r="I650" s="18">
        <v>2005</v>
      </c>
      <c r="J650" s="7">
        <f>LOOKUP(I650,CPI!A$69:A$103,CPI!O$69:O$103)</f>
        <v>1.1165181771633383</v>
      </c>
      <c r="K650" s="5">
        <v>2015</v>
      </c>
      <c r="L650" s="7">
        <f t="shared" ca="1" si="515"/>
        <v>1</v>
      </c>
      <c r="M650" s="7">
        <f t="shared" si="487"/>
        <v>4.3055555555555555E-2</v>
      </c>
      <c r="N650" s="14">
        <f t="shared" si="506"/>
        <v>6.9444444444444441E-3</v>
      </c>
      <c r="O650" s="1">
        <f ca="1">P650*J650*(1+Growth!G$6)^(2010-K650)</f>
        <v>49.718041229746518</v>
      </c>
      <c r="P650" s="11">
        <v>48</v>
      </c>
      <c r="Q650" s="2">
        <f t="shared" si="478"/>
        <v>48</v>
      </c>
      <c r="R650" s="21">
        <f t="shared" ref="R650:R713" ca="1" si="522">O650*O650</f>
        <v>2471.8836237227747</v>
      </c>
      <c r="X650" s="2"/>
      <c r="AC650" s="1">
        <f t="shared" si="507"/>
        <v>6.2</v>
      </c>
      <c r="AD650" s="5">
        <v>1</v>
      </c>
      <c r="AE650" s="5">
        <v>0</v>
      </c>
      <c r="AF650" s="5">
        <v>1</v>
      </c>
      <c r="AG650" s="5">
        <v>0</v>
      </c>
      <c r="AH650" s="5">
        <v>1</v>
      </c>
      <c r="AI650" s="3">
        <f t="shared" si="520"/>
        <v>3.2</v>
      </c>
      <c r="AJ650" s="5">
        <f t="shared" si="486"/>
        <v>0</v>
      </c>
      <c r="AK650" s="5">
        <f t="shared" si="516"/>
        <v>0</v>
      </c>
      <c r="AL650" s="5">
        <f t="shared" si="517"/>
        <v>0</v>
      </c>
      <c r="AM650" s="5">
        <f t="shared" si="488"/>
        <v>0</v>
      </c>
      <c r="AN650" s="5">
        <f t="shared" si="518"/>
        <v>0</v>
      </c>
      <c r="AO650" s="5">
        <f t="shared" si="489"/>
        <v>0</v>
      </c>
      <c r="AP650" s="11">
        <v>3</v>
      </c>
      <c r="AQ650" s="1">
        <v>0.14000000000000001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1</v>
      </c>
      <c r="AY650" s="1">
        <f t="shared" si="501"/>
        <v>0</v>
      </c>
      <c r="AZ650" s="1">
        <f t="shared" si="502"/>
        <v>0</v>
      </c>
      <c r="BA650" s="1">
        <f t="shared" si="503"/>
        <v>0</v>
      </c>
      <c r="BB650" s="5">
        <v>0</v>
      </c>
      <c r="BC650" s="5">
        <v>0</v>
      </c>
      <c r="BD650" s="5">
        <v>0</v>
      </c>
      <c r="BE650" s="5">
        <f t="shared" si="504"/>
        <v>1</v>
      </c>
      <c r="BF650" s="5">
        <v>1</v>
      </c>
      <c r="BG650" s="5">
        <f t="shared" si="519"/>
        <v>0</v>
      </c>
      <c r="BH650" s="5">
        <f t="shared" si="519"/>
        <v>0</v>
      </c>
      <c r="BI650" s="5">
        <f t="shared" si="519"/>
        <v>0</v>
      </c>
      <c r="BJ650" s="5">
        <f t="shared" si="519"/>
        <v>0</v>
      </c>
      <c r="BK650" s="5">
        <f t="shared" si="519"/>
        <v>0</v>
      </c>
      <c r="BL650" s="5">
        <f t="shared" si="519"/>
        <v>0</v>
      </c>
      <c r="BM650" s="5">
        <f t="shared" si="519"/>
        <v>0</v>
      </c>
      <c r="BN650" s="5">
        <f t="shared" si="513"/>
        <v>0</v>
      </c>
      <c r="BO650" s="5">
        <f t="shared" si="513"/>
        <v>0</v>
      </c>
      <c r="BP650" s="5">
        <f t="shared" si="513"/>
        <v>0</v>
      </c>
      <c r="BQ650" s="5">
        <f t="shared" si="513"/>
        <v>0</v>
      </c>
      <c r="BR650" s="5">
        <f t="shared" si="513"/>
        <v>0</v>
      </c>
      <c r="BS650" s="5">
        <f t="shared" si="513"/>
        <v>0</v>
      </c>
      <c r="BT650" s="5">
        <f t="shared" si="513"/>
        <v>0</v>
      </c>
      <c r="BU650" s="5">
        <f t="shared" si="513"/>
        <v>0</v>
      </c>
      <c r="BV650" s="5">
        <f t="shared" si="513"/>
        <v>0</v>
      </c>
      <c r="BW650" s="5">
        <f t="shared" si="513"/>
        <v>0</v>
      </c>
      <c r="BX650" s="5">
        <f t="shared" si="513"/>
        <v>0</v>
      </c>
      <c r="BY650" s="5">
        <f t="shared" si="513"/>
        <v>0</v>
      </c>
      <c r="BZ650" s="5">
        <f t="shared" si="513"/>
        <v>0</v>
      </c>
      <c r="CA650" s="5">
        <f t="shared" si="513"/>
        <v>0</v>
      </c>
      <c r="CB650" s="5">
        <f t="shared" si="513"/>
        <v>1</v>
      </c>
      <c r="CC650" s="5">
        <f t="shared" si="514"/>
        <v>0</v>
      </c>
      <c r="CD650" s="5">
        <f t="shared" si="512"/>
        <v>0</v>
      </c>
      <c r="CE650" s="5">
        <f t="shared" si="512"/>
        <v>0</v>
      </c>
    </row>
    <row r="651" spans="1:83" x14ac:dyDescent="0.2">
      <c r="A651" s="11"/>
      <c r="B651" s="11"/>
      <c r="C651" s="1">
        <f>Growth!D656</f>
        <v>0</v>
      </c>
      <c r="D651" s="5" t="b">
        <f t="shared" si="521"/>
        <v>0</v>
      </c>
      <c r="E651" s="5">
        <v>2012</v>
      </c>
      <c r="F651" s="5">
        <f ca="1">LOOKUP($E651,frequence!$A$2:$A$35,frequence!L$2:L$35)</f>
        <v>41.545638202606931</v>
      </c>
      <c r="G651" s="5">
        <f ca="1">LOOKUP($E651,frequence!$A$2:$A$35,frequence!K$2:K$35)</f>
        <v>3.8191206393393822</v>
      </c>
      <c r="H651" s="5">
        <f ca="1">LOOKUP($E651,frequence!$A$2:$A$35,frequence!M$2:M$35)</f>
        <v>265.64322815143237</v>
      </c>
      <c r="I651" s="18">
        <v>2005</v>
      </c>
      <c r="J651" s="7">
        <f>LOOKUP(I651,CPI!A$69:A$103,CPI!O$69:O$103)</f>
        <v>1.1165181771633383</v>
      </c>
      <c r="K651" s="5">
        <v>2015</v>
      </c>
      <c r="L651" s="7">
        <f t="shared" ca="1" si="515"/>
        <v>1</v>
      </c>
      <c r="M651" s="7">
        <f t="shared" si="487"/>
        <v>4.3055555555555555E-2</v>
      </c>
      <c r="N651" s="14">
        <f t="shared" si="506"/>
        <v>6.9444444444444441E-3</v>
      </c>
      <c r="O651" s="1">
        <f ca="1">P651*J651*(1+Growth!G$6)^(2010-K651)</f>
        <v>92.185534780154995</v>
      </c>
      <c r="P651" s="11">
        <v>89</v>
      </c>
      <c r="Q651" s="2">
        <f t="shared" si="478"/>
        <v>89</v>
      </c>
      <c r="R651" s="21">
        <f t="shared" ca="1" si="522"/>
        <v>8498.1728227031672</v>
      </c>
      <c r="X651" s="2"/>
      <c r="AC651" s="1">
        <f t="shared" si="507"/>
        <v>6.2</v>
      </c>
      <c r="AD651" s="5">
        <v>1</v>
      </c>
      <c r="AE651" s="5">
        <v>0</v>
      </c>
      <c r="AF651" s="5">
        <v>1</v>
      </c>
      <c r="AG651" s="5">
        <v>0</v>
      </c>
      <c r="AH651" s="5">
        <v>1</v>
      </c>
      <c r="AI651" s="3">
        <f t="shared" si="520"/>
        <v>3.2</v>
      </c>
      <c r="AJ651" s="5">
        <f t="shared" si="486"/>
        <v>0</v>
      </c>
      <c r="AK651" s="5">
        <f t="shared" si="516"/>
        <v>0</v>
      </c>
      <c r="AL651" s="5">
        <f t="shared" si="517"/>
        <v>0</v>
      </c>
      <c r="AM651" s="5">
        <f t="shared" si="488"/>
        <v>0</v>
      </c>
      <c r="AN651" s="5">
        <f t="shared" si="518"/>
        <v>0</v>
      </c>
      <c r="AO651" s="5">
        <f t="shared" si="489"/>
        <v>0</v>
      </c>
      <c r="AP651" s="11">
        <v>3</v>
      </c>
      <c r="AQ651" s="1">
        <v>0.14000000000000001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1</v>
      </c>
      <c r="AY651" s="1">
        <f t="shared" si="501"/>
        <v>0</v>
      </c>
      <c r="AZ651" s="1">
        <f t="shared" si="502"/>
        <v>0</v>
      </c>
      <c r="BA651" s="1">
        <f t="shared" si="503"/>
        <v>0</v>
      </c>
      <c r="BB651" s="5">
        <v>0</v>
      </c>
      <c r="BC651" s="5">
        <v>0</v>
      </c>
      <c r="BD651" s="5">
        <v>0</v>
      </c>
      <c r="BE651" s="5">
        <f t="shared" si="504"/>
        <v>1</v>
      </c>
      <c r="BF651" s="5">
        <v>1</v>
      </c>
      <c r="BG651" s="5">
        <f t="shared" si="519"/>
        <v>0</v>
      </c>
      <c r="BH651" s="5">
        <f t="shared" si="519"/>
        <v>0</v>
      </c>
      <c r="BI651" s="5">
        <f t="shared" si="519"/>
        <v>0</v>
      </c>
      <c r="BJ651" s="5">
        <f t="shared" si="519"/>
        <v>0</v>
      </c>
      <c r="BK651" s="5">
        <f t="shared" si="519"/>
        <v>0</v>
      </c>
      <c r="BL651" s="5">
        <f t="shared" si="519"/>
        <v>0</v>
      </c>
      <c r="BM651" s="5">
        <f t="shared" si="519"/>
        <v>0</v>
      </c>
      <c r="BN651" s="5">
        <f t="shared" si="513"/>
        <v>0</v>
      </c>
      <c r="BO651" s="5">
        <f t="shared" si="513"/>
        <v>0</v>
      </c>
      <c r="BP651" s="5">
        <f t="shared" si="513"/>
        <v>0</v>
      </c>
      <c r="BQ651" s="5">
        <f t="shared" si="513"/>
        <v>0</v>
      </c>
      <c r="BR651" s="5">
        <f t="shared" si="513"/>
        <v>0</v>
      </c>
      <c r="BS651" s="5">
        <f t="shared" si="513"/>
        <v>0</v>
      </c>
      <c r="BT651" s="5">
        <f t="shared" si="513"/>
        <v>0</v>
      </c>
      <c r="BU651" s="5">
        <f t="shared" si="513"/>
        <v>0</v>
      </c>
      <c r="BV651" s="5">
        <f t="shared" si="513"/>
        <v>0</v>
      </c>
      <c r="BW651" s="5">
        <f t="shared" si="513"/>
        <v>0</v>
      </c>
      <c r="BX651" s="5">
        <f t="shared" si="513"/>
        <v>0</v>
      </c>
      <c r="BY651" s="5">
        <f t="shared" si="513"/>
        <v>0</v>
      </c>
      <c r="BZ651" s="5">
        <f t="shared" si="513"/>
        <v>0</v>
      </c>
      <c r="CA651" s="5">
        <f t="shared" si="513"/>
        <v>0</v>
      </c>
      <c r="CB651" s="5">
        <f t="shared" si="513"/>
        <v>1</v>
      </c>
      <c r="CC651" s="5">
        <f t="shared" si="514"/>
        <v>0</v>
      </c>
      <c r="CD651" s="5">
        <f t="shared" si="512"/>
        <v>0</v>
      </c>
      <c r="CE651" s="5">
        <f t="shared" si="512"/>
        <v>0</v>
      </c>
    </row>
    <row r="652" spans="1:83" x14ac:dyDescent="0.2">
      <c r="A652" s="11"/>
      <c r="B652" s="11"/>
      <c r="C652" s="1">
        <f>Growth!D657</f>
        <v>0</v>
      </c>
      <c r="D652" s="5" t="b">
        <f t="shared" si="521"/>
        <v>0</v>
      </c>
      <c r="E652" s="5">
        <v>2012</v>
      </c>
      <c r="F652" s="5">
        <f ca="1">LOOKUP($E652,frequence!$A$2:$A$35,frequence!L$2:L$35)</f>
        <v>41.545638202606931</v>
      </c>
      <c r="G652" s="5">
        <f ca="1">LOOKUP($E652,frequence!$A$2:$A$35,frequence!K$2:K$35)</f>
        <v>3.8191206393393822</v>
      </c>
      <c r="H652" s="5">
        <f ca="1">LOOKUP($E652,frequence!$A$2:$A$35,frequence!M$2:M$35)</f>
        <v>265.64322815143237</v>
      </c>
      <c r="I652" s="18">
        <v>2005</v>
      </c>
      <c r="J652" s="7">
        <f>LOOKUP(I652,CPI!A$69:A$103,CPI!O$69:O$103)</f>
        <v>1.1165181771633383</v>
      </c>
      <c r="K652" s="5">
        <v>2015</v>
      </c>
      <c r="L652" s="7">
        <f t="shared" ca="1" si="515"/>
        <v>1</v>
      </c>
      <c r="M652" s="7">
        <f t="shared" si="487"/>
        <v>4.3055555555555555E-2</v>
      </c>
      <c r="N652" s="14">
        <f t="shared" si="506"/>
        <v>6.9444444444444441E-3</v>
      </c>
      <c r="O652" s="1">
        <f ca="1">P652*J652*(1+Growth!G$6)^(2010-K652)</f>
        <v>67.32651416528175</v>
      </c>
      <c r="P652" s="11">
        <v>65</v>
      </c>
      <c r="Q652" s="2">
        <f t="shared" si="478"/>
        <v>65</v>
      </c>
      <c r="R652" s="21">
        <f t="shared" ca="1" si="522"/>
        <v>4532.8595096478839</v>
      </c>
      <c r="X652" s="2"/>
      <c r="AC652" s="1">
        <f t="shared" si="507"/>
        <v>6.2</v>
      </c>
      <c r="AD652" s="5">
        <v>1</v>
      </c>
      <c r="AE652" s="5">
        <v>0</v>
      </c>
      <c r="AF652" s="5">
        <v>1</v>
      </c>
      <c r="AG652" s="5">
        <v>0</v>
      </c>
      <c r="AH652" s="5">
        <v>1</v>
      </c>
      <c r="AI652" s="3">
        <f t="shared" si="520"/>
        <v>3.2</v>
      </c>
      <c r="AJ652" s="5">
        <f t="shared" si="486"/>
        <v>0</v>
      </c>
      <c r="AK652" s="5">
        <f t="shared" si="516"/>
        <v>0</v>
      </c>
      <c r="AL652" s="5">
        <f t="shared" si="517"/>
        <v>0</v>
      </c>
      <c r="AM652" s="5">
        <f t="shared" si="488"/>
        <v>0</v>
      </c>
      <c r="AN652" s="5">
        <f t="shared" si="518"/>
        <v>0</v>
      </c>
      <c r="AO652" s="5">
        <f t="shared" si="489"/>
        <v>0</v>
      </c>
      <c r="AP652" s="11">
        <v>3</v>
      </c>
      <c r="AQ652" s="1">
        <v>0.14000000000000001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1</v>
      </c>
      <c r="AY652" s="1">
        <f t="shared" si="501"/>
        <v>0</v>
      </c>
      <c r="AZ652" s="1">
        <f t="shared" si="502"/>
        <v>0</v>
      </c>
      <c r="BA652" s="1">
        <f t="shared" si="503"/>
        <v>0</v>
      </c>
      <c r="BB652" s="5">
        <v>0</v>
      </c>
      <c r="BC652" s="5">
        <v>0</v>
      </c>
      <c r="BD652" s="5">
        <v>0</v>
      </c>
      <c r="BE652" s="5">
        <f t="shared" si="504"/>
        <v>1</v>
      </c>
      <c r="BF652" s="5">
        <v>1</v>
      </c>
      <c r="BG652" s="5">
        <f t="shared" si="519"/>
        <v>0</v>
      </c>
      <c r="BH652" s="5">
        <f t="shared" si="519"/>
        <v>0</v>
      </c>
      <c r="BI652" s="5">
        <f t="shared" si="519"/>
        <v>0</v>
      </c>
      <c r="BJ652" s="5">
        <f t="shared" si="519"/>
        <v>0</v>
      </c>
      <c r="BK652" s="5">
        <f t="shared" si="519"/>
        <v>0</v>
      </c>
      <c r="BL652" s="5">
        <f t="shared" si="519"/>
        <v>0</v>
      </c>
      <c r="BM652" s="5">
        <f t="shared" si="519"/>
        <v>0</v>
      </c>
      <c r="BN652" s="5">
        <f t="shared" si="513"/>
        <v>0</v>
      </c>
      <c r="BO652" s="5">
        <f t="shared" si="513"/>
        <v>0</v>
      </c>
      <c r="BP652" s="5">
        <f t="shared" si="513"/>
        <v>0</v>
      </c>
      <c r="BQ652" s="5">
        <f t="shared" si="513"/>
        <v>0</v>
      </c>
      <c r="BR652" s="5">
        <f t="shared" si="513"/>
        <v>0</v>
      </c>
      <c r="BS652" s="5">
        <f t="shared" si="513"/>
        <v>0</v>
      </c>
      <c r="BT652" s="5">
        <f t="shared" si="513"/>
        <v>0</v>
      </c>
      <c r="BU652" s="5">
        <f t="shared" si="513"/>
        <v>0</v>
      </c>
      <c r="BV652" s="5">
        <f t="shared" si="513"/>
        <v>0</v>
      </c>
      <c r="BW652" s="5">
        <f t="shared" si="513"/>
        <v>0</v>
      </c>
      <c r="BX652" s="5">
        <f t="shared" si="513"/>
        <v>0</v>
      </c>
      <c r="BY652" s="5">
        <f t="shared" si="513"/>
        <v>0</v>
      </c>
      <c r="BZ652" s="5">
        <f t="shared" si="513"/>
        <v>0</v>
      </c>
      <c r="CA652" s="5">
        <f t="shared" si="513"/>
        <v>0</v>
      </c>
      <c r="CB652" s="5">
        <f t="shared" si="513"/>
        <v>1</v>
      </c>
      <c r="CC652" s="5">
        <f t="shared" si="514"/>
        <v>0</v>
      </c>
      <c r="CD652" s="5">
        <f t="shared" si="512"/>
        <v>0</v>
      </c>
      <c r="CE652" s="5">
        <f t="shared" si="512"/>
        <v>0</v>
      </c>
    </row>
    <row r="653" spans="1:83" x14ac:dyDescent="0.2">
      <c r="A653" s="11"/>
      <c r="B653" s="11"/>
      <c r="C653" s="1">
        <f>Growth!D658</f>
        <v>0</v>
      </c>
      <c r="D653" s="5" t="b">
        <f t="shared" si="521"/>
        <v>0</v>
      </c>
      <c r="E653" s="5">
        <v>2012</v>
      </c>
      <c r="F653" s="5">
        <f ca="1">LOOKUP($E653,frequence!$A$2:$A$35,frequence!L$2:L$35)</f>
        <v>41.545638202606931</v>
      </c>
      <c r="G653" s="5">
        <f ca="1">LOOKUP($E653,frequence!$A$2:$A$35,frequence!K$2:K$35)</f>
        <v>3.8191206393393822</v>
      </c>
      <c r="H653" s="5">
        <f ca="1">LOOKUP($E653,frequence!$A$2:$A$35,frequence!M$2:M$35)</f>
        <v>265.64322815143237</v>
      </c>
      <c r="I653" s="18">
        <v>2005</v>
      </c>
      <c r="J653" s="7">
        <f>LOOKUP(I653,CPI!A$69:A$103,CPI!O$69:O$103)</f>
        <v>1.1165181771633383</v>
      </c>
      <c r="K653" s="5">
        <v>2015</v>
      </c>
      <c r="L653" s="7">
        <f t="shared" ca="1" si="515"/>
        <v>1</v>
      </c>
      <c r="M653" s="7">
        <f t="shared" si="487"/>
        <v>4.3055555555555555E-2</v>
      </c>
      <c r="N653" s="14">
        <f t="shared" si="506"/>
        <v>6.9444444444444441E-3</v>
      </c>
      <c r="O653" s="1">
        <f ca="1">P653*J653*(1+Growth!G$6)^(2010-K653)</f>
        <v>134.6530283305635</v>
      </c>
      <c r="P653" s="11">
        <v>130</v>
      </c>
      <c r="Q653" s="2">
        <f t="shared" si="478"/>
        <v>130</v>
      </c>
      <c r="R653" s="21">
        <f t="shared" ca="1" si="522"/>
        <v>18131.438038591536</v>
      </c>
      <c r="X653" s="2"/>
      <c r="AC653" s="1">
        <f t="shared" si="507"/>
        <v>6.2</v>
      </c>
      <c r="AD653" s="5">
        <v>1</v>
      </c>
      <c r="AE653" s="5">
        <v>0</v>
      </c>
      <c r="AF653" s="5">
        <v>1</v>
      </c>
      <c r="AG653" s="5">
        <v>0</v>
      </c>
      <c r="AH653" s="5">
        <v>1</v>
      </c>
      <c r="AI653" s="3">
        <f t="shared" si="520"/>
        <v>3.2</v>
      </c>
      <c r="AJ653" s="5">
        <f t="shared" si="486"/>
        <v>0</v>
      </c>
      <c r="AK653" s="5">
        <f t="shared" si="516"/>
        <v>0</v>
      </c>
      <c r="AL653" s="5">
        <f t="shared" si="517"/>
        <v>0</v>
      </c>
      <c r="AM653" s="5">
        <f t="shared" si="488"/>
        <v>0</v>
      </c>
      <c r="AN653" s="5">
        <f t="shared" si="518"/>
        <v>0</v>
      </c>
      <c r="AO653" s="5">
        <f t="shared" si="489"/>
        <v>0</v>
      </c>
      <c r="AP653" s="11">
        <v>3</v>
      </c>
      <c r="AQ653" s="1">
        <v>0.14000000000000001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1</v>
      </c>
      <c r="AY653" s="1">
        <f t="shared" si="501"/>
        <v>0</v>
      </c>
      <c r="AZ653" s="1">
        <f t="shared" si="502"/>
        <v>0</v>
      </c>
      <c r="BA653" s="1">
        <f t="shared" si="503"/>
        <v>0</v>
      </c>
      <c r="BB653" s="5">
        <v>0</v>
      </c>
      <c r="BC653" s="5">
        <v>0</v>
      </c>
      <c r="BD653" s="5">
        <v>0</v>
      </c>
      <c r="BE653" s="5">
        <f t="shared" si="504"/>
        <v>1</v>
      </c>
      <c r="BF653" s="5">
        <v>1</v>
      </c>
      <c r="BG653" s="5">
        <f t="shared" si="519"/>
        <v>0</v>
      </c>
      <c r="BH653" s="5">
        <f t="shared" si="519"/>
        <v>0</v>
      </c>
      <c r="BI653" s="5">
        <f t="shared" si="519"/>
        <v>0</v>
      </c>
      <c r="BJ653" s="5">
        <f t="shared" si="519"/>
        <v>0</v>
      </c>
      <c r="BK653" s="5">
        <f t="shared" si="519"/>
        <v>0</v>
      </c>
      <c r="BL653" s="5">
        <f t="shared" si="519"/>
        <v>0</v>
      </c>
      <c r="BM653" s="5">
        <f t="shared" si="519"/>
        <v>0</v>
      </c>
      <c r="BN653" s="5">
        <f t="shared" si="513"/>
        <v>0</v>
      </c>
      <c r="BO653" s="5">
        <f t="shared" si="513"/>
        <v>0</v>
      </c>
      <c r="BP653" s="5">
        <f t="shared" si="513"/>
        <v>0</v>
      </c>
      <c r="BQ653" s="5">
        <f t="shared" si="513"/>
        <v>0</v>
      </c>
      <c r="BR653" s="5">
        <f t="shared" si="513"/>
        <v>0</v>
      </c>
      <c r="BS653" s="5">
        <f t="shared" si="513"/>
        <v>0</v>
      </c>
      <c r="BT653" s="5">
        <f t="shared" si="513"/>
        <v>0</v>
      </c>
      <c r="BU653" s="5">
        <f t="shared" si="513"/>
        <v>0</v>
      </c>
      <c r="BV653" s="5">
        <f t="shared" si="513"/>
        <v>0</v>
      </c>
      <c r="BW653" s="5">
        <f t="shared" si="513"/>
        <v>0</v>
      </c>
      <c r="BX653" s="5">
        <f t="shared" si="513"/>
        <v>0</v>
      </c>
      <c r="BY653" s="5">
        <f t="shared" si="513"/>
        <v>0</v>
      </c>
      <c r="BZ653" s="5">
        <f t="shared" si="513"/>
        <v>0</v>
      </c>
      <c r="CA653" s="5">
        <f t="shared" si="513"/>
        <v>0</v>
      </c>
      <c r="CB653" s="5">
        <f t="shared" si="513"/>
        <v>1</v>
      </c>
      <c r="CC653" s="5">
        <f t="shared" si="514"/>
        <v>0</v>
      </c>
      <c r="CD653" s="5">
        <f t="shared" si="512"/>
        <v>0</v>
      </c>
      <c r="CE653" s="5">
        <f t="shared" si="512"/>
        <v>0</v>
      </c>
    </row>
    <row r="654" spans="1:83" x14ac:dyDescent="0.2">
      <c r="A654" s="11"/>
      <c r="B654" s="11"/>
      <c r="C654" s="1">
        <f>Growth!D659</f>
        <v>0</v>
      </c>
      <c r="D654" s="5" t="b">
        <f t="shared" si="521"/>
        <v>0</v>
      </c>
      <c r="E654" s="5">
        <v>2012</v>
      </c>
      <c r="F654" s="5">
        <f ca="1">LOOKUP($E654,frequence!$A$2:$A$35,frequence!L$2:L$35)</f>
        <v>41.545638202606931</v>
      </c>
      <c r="G654" s="5">
        <f ca="1">LOOKUP($E654,frequence!$A$2:$A$35,frequence!K$2:K$35)</f>
        <v>3.8191206393393822</v>
      </c>
      <c r="H654" s="5">
        <f ca="1">LOOKUP($E654,frequence!$A$2:$A$35,frequence!M$2:M$35)</f>
        <v>265.64322815143237</v>
      </c>
      <c r="I654" s="18">
        <v>2005</v>
      </c>
      <c r="J654" s="7">
        <f>LOOKUP(I654,CPI!A$69:A$103,CPI!O$69:O$103)</f>
        <v>1.1165181771633383</v>
      </c>
      <c r="K654" s="5">
        <v>2015</v>
      </c>
      <c r="L654" s="7">
        <f t="shared" ca="1" si="515"/>
        <v>1</v>
      </c>
      <c r="M654" s="7">
        <f t="shared" si="487"/>
        <v>4.3055555555555555E-2</v>
      </c>
      <c r="N654" s="14">
        <f t="shared" si="506"/>
        <v>6.9444444444444441E-3</v>
      </c>
      <c r="O654" s="1">
        <f ca="1">P654*J654*(1+Growth!G$6)^(2010-K654)</f>
        <v>37.288530922309889</v>
      </c>
      <c r="P654" s="11">
        <v>36</v>
      </c>
      <c r="Q654" s="2">
        <f t="shared" si="478"/>
        <v>36</v>
      </c>
      <c r="R654" s="21">
        <f t="shared" ca="1" si="522"/>
        <v>1390.4345383440607</v>
      </c>
      <c r="X654" s="2"/>
      <c r="AC654" s="1">
        <f t="shared" si="507"/>
        <v>6.2</v>
      </c>
      <c r="AD654" s="5">
        <v>1</v>
      </c>
      <c r="AE654" s="5">
        <v>0</v>
      </c>
      <c r="AF654" s="5">
        <v>1</v>
      </c>
      <c r="AG654" s="5">
        <v>0</v>
      </c>
      <c r="AH654" s="5">
        <v>1</v>
      </c>
      <c r="AI654" s="3">
        <f t="shared" si="520"/>
        <v>3.2</v>
      </c>
      <c r="AJ654" s="5">
        <f t="shared" si="486"/>
        <v>0</v>
      </c>
      <c r="AK654" s="5">
        <f t="shared" si="516"/>
        <v>0</v>
      </c>
      <c r="AL654" s="5">
        <f t="shared" si="517"/>
        <v>0</v>
      </c>
      <c r="AM654" s="5">
        <f t="shared" si="488"/>
        <v>0</v>
      </c>
      <c r="AN654" s="5">
        <f t="shared" si="518"/>
        <v>0</v>
      </c>
      <c r="AO654" s="5">
        <f t="shared" si="489"/>
        <v>0</v>
      </c>
      <c r="AP654" s="11">
        <v>3</v>
      </c>
      <c r="AQ654" s="1">
        <v>0.14000000000000001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1</v>
      </c>
      <c r="AY654" s="1">
        <f t="shared" si="501"/>
        <v>0</v>
      </c>
      <c r="AZ654" s="1">
        <f t="shared" si="502"/>
        <v>0</v>
      </c>
      <c r="BA654" s="1">
        <f t="shared" si="503"/>
        <v>0</v>
      </c>
      <c r="BB654" s="5">
        <v>0</v>
      </c>
      <c r="BC654" s="5">
        <v>0</v>
      </c>
      <c r="BD654" s="5">
        <v>0</v>
      </c>
      <c r="BE654" s="5">
        <f t="shared" si="504"/>
        <v>1</v>
      </c>
      <c r="BF654" s="5">
        <v>1</v>
      </c>
      <c r="BG654" s="5">
        <f t="shared" si="519"/>
        <v>0</v>
      </c>
      <c r="BH654" s="5">
        <f t="shared" si="519"/>
        <v>0</v>
      </c>
      <c r="BI654" s="5">
        <f t="shared" si="519"/>
        <v>0</v>
      </c>
      <c r="BJ654" s="5">
        <f t="shared" si="519"/>
        <v>0</v>
      </c>
      <c r="BK654" s="5">
        <f t="shared" si="519"/>
        <v>0</v>
      </c>
      <c r="BL654" s="5">
        <f t="shared" si="519"/>
        <v>0</v>
      </c>
      <c r="BM654" s="5">
        <f t="shared" si="519"/>
        <v>0</v>
      </c>
      <c r="BN654" s="5">
        <f t="shared" si="513"/>
        <v>0</v>
      </c>
      <c r="BO654" s="5">
        <f t="shared" si="513"/>
        <v>0</v>
      </c>
      <c r="BP654" s="5">
        <f t="shared" si="513"/>
        <v>0</v>
      </c>
      <c r="BQ654" s="5">
        <f t="shared" si="513"/>
        <v>0</v>
      </c>
      <c r="BR654" s="5">
        <f t="shared" si="513"/>
        <v>0</v>
      </c>
      <c r="BS654" s="5">
        <f t="shared" si="513"/>
        <v>0</v>
      </c>
      <c r="BT654" s="5">
        <f t="shared" si="513"/>
        <v>0</v>
      </c>
      <c r="BU654" s="5">
        <f t="shared" si="513"/>
        <v>0</v>
      </c>
      <c r="BV654" s="5">
        <f t="shared" si="513"/>
        <v>0</v>
      </c>
      <c r="BW654" s="5">
        <f t="shared" si="513"/>
        <v>0</v>
      </c>
      <c r="BX654" s="5">
        <f t="shared" si="513"/>
        <v>0</v>
      </c>
      <c r="BY654" s="5">
        <f t="shared" si="513"/>
        <v>0</v>
      </c>
      <c r="BZ654" s="5">
        <f t="shared" si="513"/>
        <v>0</v>
      </c>
      <c r="CA654" s="5">
        <f t="shared" si="513"/>
        <v>0</v>
      </c>
      <c r="CB654" s="5">
        <f t="shared" si="513"/>
        <v>1</v>
      </c>
      <c r="CC654" s="5">
        <f t="shared" si="514"/>
        <v>0</v>
      </c>
      <c r="CD654" s="5">
        <f t="shared" si="512"/>
        <v>0</v>
      </c>
      <c r="CE654" s="5">
        <f t="shared" si="512"/>
        <v>0</v>
      </c>
    </row>
    <row r="655" spans="1:83" x14ac:dyDescent="0.2">
      <c r="A655" s="11"/>
      <c r="B655" s="11"/>
      <c r="C655" s="1">
        <f>Growth!D660</f>
        <v>0</v>
      </c>
      <c r="D655" s="5" t="b">
        <f t="shared" si="521"/>
        <v>0</v>
      </c>
      <c r="E655" s="5">
        <v>2012</v>
      </c>
      <c r="F655" s="5">
        <f ca="1">LOOKUP($E655,frequence!$A$2:$A$35,frequence!L$2:L$35)</f>
        <v>41.545638202606931</v>
      </c>
      <c r="G655" s="5">
        <f ca="1">LOOKUP($E655,frequence!$A$2:$A$35,frequence!K$2:K$35)</f>
        <v>3.8191206393393822</v>
      </c>
      <c r="H655" s="5">
        <f ca="1">LOOKUP($E655,frequence!$A$2:$A$35,frequence!M$2:M$35)</f>
        <v>265.64322815143237</v>
      </c>
      <c r="I655" s="18">
        <v>2005</v>
      </c>
      <c r="J655" s="7">
        <f>LOOKUP(I655,CPI!A$69:A$103,CPI!O$69:O$103)</f>
        <v>1.1165181771633383</v>
      </c>
      <c r="K655" s="5">
        <v>2015</v>
      </c>
      <c r="L655" s="7">
        <f t="shared" ca="1" si="515"/>
        <v>1</v>
      </c>
      <c r="M655" s="7">
        <f t="shared" si="487"/>
        <v>4.3055555555555555E-2</v>
      </c>
      <c r="N655" s="14">
        <f t="shared" si="506"/>
        <v>6.9444444444444441E-3</v>
      </c>
      <c r="O655" s="1">
        <f ca="1">P655*J655*(1+Growth!G$6)^(2010-K655)</f>
        <v>56.968588909084552</v>
      </c>
      <c r="P655" s="11">
        <v>55</v>
      </c>
      <c r="Q655" s="2">
        <f t="shared" si="478"/>
        <v>55</v>
      </c>
      <c r="R655" s="21">
        <f t="shared" ca="1" si="522"/>
        <v>3245.4201222922716</v>
      </c>
      <c r="X655" s="2"/>
      <c r="AC655" s="1">
        <f t="shared" si="507"/>
        <v>6.2</v>
      </c>
      <c r="AD655" s="5">
        <v>1</v>
      </c>
      <c r="AE655" s="5">
        <v>0</v>
      </c>
      <c r="AF655" s="5">
        <v>1</v>
      </c>
      <c r="AG655" s="5">
        <v>0</v>
      </c>
      <c r="AH655" s="5">
        <v>1</v>
      </c>
      <c r="AI655" s="3">
        <f t="shared" si="520"/>
        <v>3.2</v>
      </c>
      <c r="AJ655" s="5">
        <f t="shared" si="486"/>
        <v>0</v>
      </c>
      <c r="AK655" s="5">
        <f t="shared" si="516"/>
        <v>0</v>
      </c>
      <c r="AL655" s="5">
        <f t="shared" si="517"/>
        <v>0</v>
      </c>
      <c r="AM655" s="5">
        <f t="shared" si="488"/>
        <v>0</v>
      </c>
      <c r="AN655" s="5">
        <f t="shared" si="518"/>
        <v>0</v>
      </c>
      <c r="AO655" s="5">
        <f t="shared" si="489"/>
        <v>0</v>
      </c>
      <c r="AP655" s="11">
        <v>3</v>
      </c>
      <c r="AQ655" s="1">
        <v>0.14000000000000001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1</v>
      </c>
      <c r="AY655" s="1">
        <f t="shared" si="501"/>
        <v>0</v>
      </c>
      <c r="AZ655" s="1">
        <f t="shared" si="502"/>
        <v>0</v>
      </c>
      <c r="BA655" s="1">
        <f t="shared" si="503"/>
        <v>0</v>
      </c>
      <c r="BB655" s="5">
        <v>0</v>
      </c>
      <c r="BC655" s="5">
        <v>0</v>
      </c>
      <c r="BD655" s="5">
        <v>0</v>
      </c>
      <c r="BE655" s="5">
        <f t="shared" si="504"/>
        <v>1</v>
      </c>
      <c r="BF655" s="5">
        <v>1</v>
      </c>
      <c r="BG655" s="5">
        <f t="shared" si="519"/>
        <v>0</v>
      </c>
      <c r="BH655" s="5">
        <f t="shared" si="519"/>
        <v>0</v>
      </c>
      <c r="BI655" s="5">
        <f t="shared" si="519"/>
        <v>0</v>
      </c>
      <c r="BJ655" s="5">
        <f t="shared" si="519"/>
        <v>0</v>
      </c>
      <c r="BK655" s="5">
        <f t="shared" si="519"/>
        <v>0</v>
      </c>
      <c r="BL655" s="5">
        <f t="shared" si="519"/>
        <v>0</v>
      </c>
      <c r="BM655" s="5">
        <f t="shared" si="519"/>
        <v>0</v>
      </c>
      <c r="BN655" s="5">
        <f t="shared" si="513"/>
        <v>0</v>
      </c>
      <c r="BO655" s="5">
        <f t="shared" si="513"/>
        <v>0</v>
      </c>
      <c r="BP655" s="5">
        <f t="shared" si="513"/>
        <v>0</v>
      </c>
      <c r="BQ655" s="5">
        <f t="shared" si="513"/>
        <v>0</v>
      </c>
      <c r="BR655" s="5">
        <f t="shared" si="513"/>
        <v>0</v>
      </c>
      <c r="BS655" s="5">
        <f t="shared" si="513"/>
        <v>0</v>
      </c>
      <c r="BT655" s="5">
        <f t="shared" si="513"/>
        <v>0</v>
      </c>
      <c r="BU655" s="5">
        <f t="shared" si="513"/>
        <v>0</v>
      </c>
      <c r="BV655" s="5">
        <f t="shared" si="513"/>
        <v>0</v>
      </c>
      <c r="BW655" s="5">
        <f t="shared" si="513"/>
        <v>0</v>
      </c>
      <c r="BX655" s="5">
        <f t="shared" si="513"/>
        <v>0</v>
      </c>
      <c r="BY655" s="5">
        <f t="shared" si="513"/>
        <v>0</v>
      </c>
      <c r="BZ655" s="5">
        <f t="shared" si="513"/>
        <v>0</v>
      </c>
      <c r="CA655" s="5">
        <f t="shared" si="513"/>
        <v>0</v>
      </c>
      <c r="CB655" s="5">
        <f t="shared" si="513"/>
        <v>1</v>
      </c>
      <c r="CC655" s="5">
        <f t="shared" si="514"/>
        <v>0</v>
      </c>
      <c r="CD655" s="5">
        <f t="shared" si="514"/>
        <v>0</v>
      </c>
      <c r="CE655" s="5">
        <f t="shared" si="514"/>
        <v>0</v>
      </c>
    </row>
    <row r="656" spans="1:83" x14ac:dyDescent="0.2">
      <c r="A656" s="11"/>
      <c r="B656" s="11"/>
      <c r="C656" s="1">
        <f>Growth!D661</f>
        <v>0</v>
      </c>
      <c r="D656" s="5" t="b">
        <f t="shared" si="521"/>
        <v>0</v>
      </c>
      <c r="E656" s="5">
        <v>2012</v>
      </c>
      <c r="F656" s="5">
        <f ca="1">LOOKUP($E656,frequence!$A$2:$A$35,frequence!L$2:L$35)</f>
        <v>41.545638202606931</v>
      </c>
      <c r="G656" s="5">
        <f ca="1">LOOKUP($E656,frequence!$A$2:$A$35,frequence!K$2:K$35)</f>
        <v>3.8191206393393822</v>
      </c>
      <c r="H656" s="5">
        <f ca="1">LOOKUP($E656,frequence!$A$2:$A$35,frequence!M$2:M$35)</f>
        <v>265.64322815143237</v>
      </c>
      <c r="I656" s="18">
        <v>2005</v>
      </c>
      <c r="J656" s="7">
        <f>LOOKUP(I656,CPI!A$69:A$103,CPI!O$69:O$103)</f>
        <v>1.1165181771633383</v>
      </c>
      <c r="K656" s="5">
        <v>2015</v>
      </c>
      <c r="L656" s="7">
        <f t="shared" ca="1" si="515"/>
        <v>1</v>
      </c>
      <c r="M656" s="7">
        <f t="shared" si="487"/>
        <v>4.3055555555555555E-2</v>
      </c>
      <c r="N656" s="14">
        <f t="shared" si="506"/>
        <v>6.9444444444444441E-3</v>
      </c>
      <c r="O656" s="1">
        <f ca="1">P656*J656*(1+Growth!G$6)^(2010-K656)</f>
        <v>93.221327305774722</v>
      </c>
      <c r="P656" s="11">
        <v>90</v>
      </c>
      <c r="Q656" s="2">
        <f t="shared" si="478"/>
        <v>90</v>
      </c>
      <c r="R656" s="21">
        <f t="shared" ca="1" si="522"/>
        <v>8690.2158646503794</v>
      </c>
      <c r="X656" s="2"/>
      <c r="AC656" s="1">
        <f t="shared" si="507"/>
        <v>6.2</v>
      </c>
      <c r="AD656" s="5">
        <v>1</v>
      </c>
      <c r="AE656" s="5">
        <v>0</v>
      </c>
      <c r="AF656" s="5">
        <v>1</v>
      </c>
      <c r="AG656" s="5">
        <v>0</v>
      </c>
      <c r="AH656" s="5">
        <v>1</v>
      </c>
      <c r="AI656" s="3">
        <f t="shared" si="520"/>
        <v>3.2</v>
      </c>
      <c r="AJ656" s="5">
        <f t="shared" si="486"/>
        <v>0</v>
      </c>
      <c r="AK656" s="5">
        <f t="shared" si="516"/>
        <v>0</v>
      </c>
      <c r="AL656" s="5">
        <f t="shared" si="517"/>
        <v>0</v>
      </c>
      <c r="AM656" s="5">
        <f t="shared" si="488"/>
        <v>0</v>
      </c>
      <c r="AN656" s="5">
        <f t="shared" si="518"/>
        <v>0</v>
      </c>
      <c r="AO656" s="5">
        <f t="shared" si="489"/>
        <v>0</v>
      </c>
      <c r="AP656" s="11">
        <v>3</v>
      </c>
      <c r="AQ656" s="1">
        <v>0.14000000000000001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1</v>
      </c>
      <c r="AY656" s="1">
        <f t="shared" si="501"/>
        <v>0</v>
      </c>
      <c r="AZ656" s="1">
        <f t="shared" si="502"/>
        <v>0</v>
      </c>
      <c r="BA656" s="1">
        <f t="shared" si="503"/>
        <v>0</v>
      </c>
      <c r="BB656" s="5">
        <v>0</v>
      </c>
      <c r="BC656" s="5">
        <v>0</v>
      </c>
      <c r="BD656" s="5">
        <v>0</v>
      </c>
      <c r="BE656" s="5">
        <f t="shared" si="504"/>
        <v>1</v>
      </c>
      <c r="BF656" s="5">
        <v>1</v>
      </c>
      <c r="BG656" s="5">
        <f t="shared" si="519"/>
        <v>0</v>
      </c>
      <c r="BH656" s="5">
        <f t="shared" si="519"/>
        <v>0</v>
      </c>
      <c r="BI656" s="5">
        <f t="shared" si="519"/>
        <v>0</v>
      </c>
      <c r="BJ656" s="5">
        <f t="shared" si="519"/>
        <v>0</v>
      </c>
      <c r="BK656" s="5">
        <f t="shared" si="519"/>
        <v>0</v>
      </c>
      <c r="BL656" s="5">
        <f t="shared" si="519"/>
        <v>0</v>
      </c>
      <c r="BM656" s="5">
        <f t="shared" si="519"/>
        <v>0</v>
      </c>
      <c r="BN656" s="5">
        <f t="shared" si="513"/>
        <v>0</v>
      </c>
      <c r="BO656" s="5">
        <f t="shared" si="513"/>
        <v>0</v>
      </c>
      <c r="BP656" s="5">
        <f t="shared" si="513"/>
        <v>0</v>
      </c>
      <c r="BQ656" s="5">
        <f t="shared" si="513"/>
        <v>0</v>
      </c>
      <c r="BR656" s="5">
        <f t="shared" si="513"/>
        <v>0</v>
      </c>
      <c r="BS656" s="5">
        <f t="shared" si="513"/>
        <v>0</v>
      </c>
      <c r="BT656" s="5">
        <f t="shared" si="513"/>
        <v>0</v>
      </c>
      <c r="BU656" s="5">
        <f t="shared" si="513"/>
        <v>0</v>
      </c>
      <c r="BV656" s="5">
        <f t="shared" si="513"/>
        <v>0</v>
      </c>
      <c r="BW656" s="5">
        <f t="shared" si="513"/>
        <v>0</v>
      </c>
      <c r="BX656" s="5">
        <f t="shared" si="513"/>
        <v>0</v>
      </c>
      <c r="BY656" s="5">
        <f t="shared" si="513"/>
        <v>0</v>
      </c>
      <c r="BZ656" s="5">
        <f t="shared" si="513"/>
        <v>0</v>
      </c>
      <c r="CA656" s="5">
        <f t="shared" si="513"/>
        <v>0</v>
      </c>
      <c r="CB656" s="5">
        <f t="shared" si="513"/>
        <v>1</v>
      </c>
      <c r="CC656" s="5">
        <f t="shared" si="514"/>
        <v>0</v>
      </c>
      <c r="CD656" s="5">
        <f t="shared" si="514"/>
        <v>0</v>
      </c>
      <c r="CE656" s="5">
        <f t="shared" si="514"/>
        <v>0</v>
      </c>
    </row>
    <row r="657" spans="1:83" x14ac:dyDescent="0.2">
      <c r="A657" s="11"/>
      <c r="B657" s="11"/>
      <c r="C657" s="1">
        <f>Growth!D662</f>
        <v>0</v>
      </c>
      <c r="D657" s="5" t="b">
        <f t="shared" si="521"/>
        <v>0</v>
      </c>
      <c r="E657" s="5">
        <v>2012</v>
      </c>
      <c r="F657" s="5">
        <f ca="1">LOOKUP($E657,frequence!$A$2:$A$35,frequence!L$2:L$35)</f>
        <v>41.545638202606931</v>
      </c>
      <c r="G657" s="5">
        <f ca="1">LOOKUP($E657,frequence!$A$2:$A$35,frequence!K$2:K$35)</f>
        <v>3.8191206393393822</v>
      </c>
      <c r="H657" s="5">
        <f ca="1">LOOKUP($E657,frequence!$A$2:$A$35,frequence!M$2:M$35)</f>
        <v>265.64322815143237</v>
      </c>
      <c r="I657" s="18">
        <v>2005</v>
      </c>
      <c r="J657" s="7">
        <f>LOOKUP(I657,CPI!A$69:A$103,CPI!O$69:O$103)</f>
        <v>1.1165181771633383</v>
      </c>
      <c r="K657" s="5">
        <v>2015</v>
      </c>
      <c r="L657" s="7">
        <f t="shared" ca="1" si="515"/>
        <v>1</v>
      </c>
      <c r="M657" s="7">
        <f t="shared" si="487"/>
        <v>4.3055555555555555E-2</v>
      </c>
      <c r="N657" s="14">
        <f t="shared" si="506"/>
        <v>6.9444444444444441E-3</v>
      </c>
      <c r="O657" s="1">
        <f ca="1">P657*J657*(1+Growth!G$6)^(2010-K657)</f>
        <v>143.97516106114097</v>
      </c>
      <c r="P657" s="11">
        <v>139</v>
      </c>
      <c r="Q657" s="2">
        <f t="shared" si="478"/>
        <v>139</v>
      </c>
      <c r="R657" s="21">
        <f t="shared" ca="1" si="522"/>
        <v>20728.847002581482</v>
      </c>
      <c r="X657" s="2"/>
      <c r="AC657" s="1">
        <f t="shared" si="507"/>
        <v>6.2</v>
      </c>
      <c r="AD657" s="5">
        <v>1</v>
      </c>
      <c r="AE657" s="5">
        <v>0</v>
      </c>
      <c r="AF657" s="5">
        <v>1</v>
      </c>
      <c r="AG657" s="5">
        <v>0</v>
      </c>
      <c r="AH657" s="5">
        <v>1</v>
      </c>
      <c r="AI657" s="3">
        <f t="shared" si="520"/>
        <v>3.2</v>
      </c>
      <c r="AJ657" s="5">
        <f t="shared" si="486"/>
        <v>0</v>
      </c>
      <c r="AK657" s="5">
        <f t="shared" si="516"/>
        <v>0</v>
      </c>
      <c r="AL657" s="5">
        <f t="shared" si="517"/>
        <v>0</v>
      </c>
      <c r="AM657" s="5">
        <f t="shared" si="488"/>
        <v>0</v>
      </c>
      <c r="AN657" s="5">
        <f t="shared" si="518"/>
        <v>0</v>
      </c>
      <c r="AO657" s="5">
        <f t="shared" si="489"/>
        <v>0</v>
      </c>
      <c r="AP657" s="11">
        <v>3</v>
      </c>
      <c r="AQ657" s="1">
        <v>0.14000000000000001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1</v>
      </c>
      <c r="AY657" s="1">
        <f t="shared" si="501"/>
        <v>0</v>
      </c>
      <c r="AZ657" s="1">
        <f t="shared" si="502"/>
        <v>0</v>
      </c>
      <c r="BA657" s="1">
        <f t="shared" si="503"/>
        <v>0</v>
      </c>
      <c r="BB657" s="5">
        <v>0</v>
      </c>
      <c r="BC657" s="5">
        <v>0</v>
      </c>
      <c r="BD657" s="5">
        <v>0</v>
      </c>
      <c r="BE657" s="5">
        <f t="shared" si="504"/>
        <v>1</v>
      </c>
      <c r="BF657" s="5">
        <v>1</v>
      </c>
      <c r="BG657" s="5">
        <f t="shared" si="519"/>
        <v>0</v>
      </c>
      <c r="BH657" s="5">
        <f t="shared" si="519"/>
        <v>0</v>
      </c>
      <c r="BI657" s="5">
        <f t="shared" si="519"/>
        <v>0</v>
      </c>
      <c r="BJ657" s="5">
        <f t="shared" si="519"/>
        <v>0</v>
      </c>
      <c r="BK657" s="5">
        <f t="shared" si="519"/>
        <v>0</v>
      </c>
      <c r="BL657" s="5">
        <f t="shared" si="519"/>
        <v>0</v>
      </c>
      <c r="BM657" s="5">
        <f t="shared" si="519"/>
        <v>0</v>
      </c>
      <c r="BN657" s="5">
        <f t="shared" si="513"/>
        <v>0</v>
      </c>
      <c r="BO657" s="5">
        <f t="shared" si="513"/>
        <v>0</v>
      </c>
      <c r="BP657" s="5">
        <f t="shared" si="513"/>
        <v>0</v>
      </c>
      <c r="BQ657" s="5">
        <f t="shared" si="513"/>
        <v>0</v>
      </c>
      <c r="BR657" s="5">
        <f t="shared" si="513"/>
        <v>0</v>
      </c>
      <c r="BS657" s="5">
        <f t="shared" si="513"/>
        <v>0</v>
      </c>
      <c r="BT657" s="5">
        <f t="shared" si="513"/>
        <v>0</v>
      </c>
      <c r="BU657" s="5">
        <f t="shared" si="513"/>
        <v>0</v>
      </c>
      <c r="BV657" s="5">
        <f t="shared" si="513"/>
        <v>0</v>
      </c>
      <c r="BW657" s="5">
        <f t="shared" si="513"/>
        <v>0</v>
      </c>
      <c r="BX657" s="5">
        <f t="shared" si="513"/>
        <v>0</v>
      </c>
      <c r="BY657" s="5">
        <f t="shared" si="513"/>
        <v>0</v>
      </c>
      <c r="BZ657" s="5">
        <f t="shared" si="513"/>
        <v>0</v>
      </c>
      <c r="CA657" s="5">
        <f t="shared" si="513"/>
        <v>0</v>
      </c>
      <c r="CB657" s="5">
        <f t="shared" si="513"/>
        <v>1</v>
      </c>
      <c r="CC657" s="5">
        <f t="shared" si="514"/>
        <v>0</v>
      </c>
      <c r="CD657" s="5">
        <f t="shared" si="514"/>
        <v>0</v>
      </c>
      <c r="CE657" s="5">
        <f t="shared" si="514"/>
        <v>0</v>
      </c>
    </row>
    <row r="658" spans="1:83" x14ac:dyDescent="0.2">
      <c r="A658" s="11"/>
      <c r="B658" s="11"/>
      <c r="C658" s="1">
        <f>Growth!D663</f>
        <v>0</v>
      </c>
      <c r="D658" s="5" t="b">
        <f t="shared" si="521"/>
        <v>0</v>
      </c>
      <c r="E658" s="5">
        <v>2012</v>
      </c>
      <c r="F658" s="5">
        <f ca="1">LOOKUP($E658,frequence!$A$2:$A$35,frequence!L$2:L$35)</f>
        <v>41.545638202606931</v>
      </c>
      <c r="G658" s="5">
        <f ca="1">LOOKUP($E658,frequence!$A$2:$A$35,frequence!K$2:K$35)</f>
        <v>3.8191206393393822</v>
      </c>
      <c r="H658" s="5">
        <f ca="1">LOOKUP($E658,frequence!$A$2:$A$35,frequence!M$2:M$35)</f>
        <v>265.64322815143237</v>
      </c>
      <c r="I658" s="18">
        <v>2005</v>
      </c>
      <c r="J658" s="7">
        <f>LOOKUP(I658,CPI!A$69:A$103,CPI!O$69:O$103)</f>
        <v>1.1165181771633383</v>
      </c>
      <c r="K658" s="5">
        <v>2015</v>
      </c>
      <c r="L658" s="7">
        <f t="shared" ca="1" si="515"/>
        <v>1</v>
      </c>
      <c r="M658" s="7">
        <f t="shared" si="487"/>
        <v>4.3055555555555555E-2</v>
      </c>
      <c r="N658" s="14">
        <f t="shared" si="506"/>
        <v>6.9444444444444441E-3</v>
      </c>
      <c r="O658" s="1">
        <f ca="1">P658*J658*(1+Growth!G$6)^(2010-K658)</f>
        <v>59.040173960323983</v>
      </c>
      <c r="P658" s="11">
        <v>57</v>
      </c>
      <c r="Q658" s="2">
        <f t="shared" si="478"/>
        <v>57</v>
      </c>
      <c r="R658" s="21">
        <f t="shared" ca="1" si="522"/>
        <v>3485.742141265318</v>
      </c>
      <c r="X658" s="2"/>
      <c r="AC658" s="1">
        <f t="shared" si="507"/>
        <v>6.2</v>
      </c>
      <c r="AD658" s="5">
        <v>1</v>
      </c>
      <c r="AE658" s="5">
        <v>0</v>
      </c>
      <c r="AF658" s="5">
        <v>1</v>
      </c>
      <c r="AG658" s="5">
        <v>0</v>
      </c>
      <c r="AH658" s="5">
        <v>1</v>
      </c>
      <c r="AI658" s="3">
        <f t="shared" si="520"/>
        <v>3.2</v>
      </c>
      <c r="AJ658" s="5">
        <f t="shared" si="486"/>
        <v>0</v>
      </c>
      <c r="AK658" s="5">
        <f t="shared" si="516"/>
        <v>0</v>
      </c>
      <c r="AL658" s="5">
        <f t="shared" si="517"/>
        <v>0</v>
      </c>
      <c r="AM658" s="5">
        <f t="shared" si="488"/>
        <v>0</v>
      </c>
      <c r="AN658" s="5">
        <f t="shared" si="518"/>
        <v>0</v>
      </c>
      <c r="AO658" s="5">
        <f t="shared" si="489"/>
        <v>0</v>
      </c>
      <c r="AP658" s="11">
        <v>3</v>
      </c>
      <c r="AQ658" s="1">
        <v>0.14000000000000001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1</v>
      </c>
      <c r="AY658" s="1">
        <f t="shared" si="501"/>
        <v>0</v>
      </c>
      <c r="AZ658" s="1">
        <f t="shared" si="502"/>
        <v>0</v>
      </c>
      <c r="BA658" s="1">
        <f t="shared" si="503"/>
        <v>0</v>
      </c>
      <c r="BB658" s="5">
        <v>0</v>
      </c>
      <c r="BC658" s="5">
        <v>0</v>
      </c>
      <c r="BD658" s="5">
        <v>0</v>
      </c>
      <c r="BE658" s="5">
        <f t="shared" si="504"/>
        <v>1</v>
      </c>
      <c r="BF658" s="5">
        <v>1</v>
      </c>
      <c r="BG658" s="5">
        <f t="shared" si="519"/>
        <v>0</v>
      </c>
      <c r="BH658" s="5">
        <f t="shared" si="519"/>
        <v>0</v>
      </c>
      <c r="BI658" s="5">
        <f t="shared" si="519"/>
        <v>0</v>
      </c>
      <c r="BJ658" s="5">
        <f t="shared" si="519"/>
        <v>0</v>
      </c>
      <c r="BK658" s="5">
        <f t="shared" si="519"/>
        <v>0</v>
      </c>
      <c r="BL658" s="5">
        <f t="shared" si="519"/>
        <v>0</v>
      </c>
      <c r="BM658" s="5">
        <f t="shared" si="519"/>
        <v>0</v>
      </c>
      <c r="BN658" s="5">
        <f t="shared" si="513"/>
        <v>0</v>
      </c>
      <c r="BO658" s="5">
        <f t="shared" si="513"/>
        <v>0</v>
      </c>
      <c r="BP658" s="5">
        <f t="shared" si="513"/>
        <v>0</v>
      </c>
      <c r="BQ658" s="5">
        <f t="shared" si="513"/>
        <v>0</v>
      </c>
      <c r="BR658" s="5">
        <f t="shared" si="513"/>
        <v>0</v>
      </c>
      <c r="BS658" s="5">
        <f t="shared" si="513"/>
        <v>0</v>
      </c>
      <c r="BT658" s="5">
        <f t="shared" si="513"/>
        <v>0</v>
      </c>
      <c r="BU658" s="5">
        <f t="shared" si="513"/>
        <v>0</v>
      </c>
      <c r="BV658" s="5">
        <f t="shared" si="513"/>
        <v>0</v>
      </c>
      <c r="BW658" s="5">
        <f t="shared" si="513"/>
        <v>0</v>
      </c>
      <c r="BX658" s="5">
        <f t="shared" si="513"/>
        <v>0</v>
      </c>
      <c r="BY658" s="5">
        <f t="shared" si="513"/>
        <v>0</v>
      </c>
      <c r="BZ658" s="5">
        <f t="shared" si="513"/>
        <v>0</v>
      </c>
      <c r="CA658" s="5">
        <f t="shared" si="513"/>
        <v>0</v>
      </c>
      <c r="CB658" s="5">
        <f t="shared" si="513"/>
        <v>1</v>
      </c>
      <c r="CC658" s="5">
        <f t="shared" si="514"/>
        <v>0</v>
      </c>
      <c r="CD658" s="5">
        <f t="shared" si="514"/>
        <v>0</v>
      </c>
      <c r="CE658" s="5">
        <f t="shared" si="514"/>
        <v>0</v>
      </c>
    </row>
    <row r="659" spans="1:83" x14ac:dyDescent="0.2">
      <c r="A659" s="11"/>
      <c r="B659" s="11"/>
      <c r="C659" s="1">
        <f>Growth!D664</f>
        <v>0</v>
      </c>
      <c r="D659" s="5" t="b">
        <f t="shared" si="521"/>
        <v>0</v>
      </c>
      <c r="E659" s="5">
        <v>2012</v>
      </c>
      <c r="F659" s="5">
        <f ca="1">LOOKUP($E659,frequence!$A$2:$A$35,frequence!L$2:L$35)</f>
        <v>41.545638202606931</v>
      </c>
      <c r="G659" s="5">
        <f ca="1">LOOKUP($E659,frequence!$A$2:$A$35,frequence!K$2:K$35)</f>
        <v>3.8191206393393822</v>
      </c>
      <c r="H659" s="5">
        <f ca="1">LOOKUP($E659,frequence!$A$2:$A$35,frequence!M$2:M$35)</f>
        <v>265.64322815143237</v>
      </c>
      <c r="I659" s="18">
        <v>2005</v>
      </c>
      <c r="J659" s="7">
        <f>LOOKUP(I659,CPI!A$69:A$103,CPI!O$69:O$103)</f>
        <v>1.1165181771633383</v>
      </c>
      <c r="K659" s="5">
        <v>2015</v>
      </c>
      <c r="L659" s="7">
        <f t="shared" ca="1" si="515"/>
        <v>1</v>
      </c>
      <c r="M659" s="7">
        <f t="shared" si="487"/>
        <v>4.3055555555555555E-2</v>
      </c>
      <c r="N659" s="14">
        <f t="shared" si="506"/>
        <v>6.9444444444444441E-3</v>
      </c>
      <c r="O659" s="1">
        <f ca="1">P659*J659*(1+Growth!G$6)^(2010-K659)</f>
        <v>53.861211332225395</v>
      </c>
      <c r="P659" s="11">
        <v>52</v>
      </c>
      <c r="Q659" s="2">
        <f t="shared" si="478"/>
        <v>52</v>
      </c>
      <c r="R659" s="21">
        <f t="shared" ca="1" si="522"/>
        <v>2901.0300861746455</v>
      </c>
      <c r="X659" s="2"/>
      <c r="AC659" s="1">
        <f t="shared" si="507"/>
        <v>6.2</v>
      </c>
      <c r="AD659" s="5">
        <v>1</v>
      </c>
      <c r="AE659" s="5">
        <v>0</v>
      </c>
      <c r="AF659" s="5">
        <v>1</v>
      </c>
      <c r="AG659" s="5">
        <v>0</v>
      </c>
      <c r="AH659" s="5">
        <v>1</v>
      </c>
      <c r="AI659" s="3">
        <f t="shared" si="520"/>
        <v>3.2</v>
      </c>
      <c r="AJ659" s="5">
        <f t="shared" si="486"/>
        <v>0</v>
      </c>
      <c r="AK659" s="5">
        <f t="shared" si="516"/>
        <v>0</v>
      </c>
      <c r="AL659" s="5">
        <f t="shared" si="517"/>
        <v>0</v>
      </c>
      <c r="AM659" s="5">
        <f t="shared" si="488"/>
        <v>0</v>
      </c>
      <c r="AN659" s="5">
        <f t="shared" si="518"/>
        <v>0</v>
      </c>
      <c r="AO659" s="5">
        <f t="shared" si="489"/>
        <v>0</v>
      </c>
      <c r="AP659" s="11">
        <v>3</v>
      </c>
      <c r="AQ659" s="1">
        <v>0.14000000000000001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1</v>
      </c>
      <c r="AY659" s="1">
        <f t="shared" si="501"/>
        <v>0</v>
      </c>
      <c r="AZ659" s="1">
        <f t="shared" si="502"/>
        <v>0</v>
      </c>
      <c r="BA659" s="1">
        <f t="shared" si="503"/>
        <v>0</v>
      </c>
      <c r="BB659" s="5">
        <v>0</v>
      </c>
      <c r="BC659" s="5">
        <v>0</v>
      </c>
      <c r="BD659" s="5">
        <v>0</v>
      </c>
      <c r="BE659" s="5">
        <f t="shared" si="504"/>
        <v>1</v>
      </c>
      <c r="BF659" s="5">
        <v>1</v>
      </c>
      <c r="BG659" s="5">
        <f t="shared" si="519"/>
        <v>0</v>
      </c>
      <c r="BH659" s="5">
        <f t="shared" si="519"/>
        <v>0</v>
      </c>
      <c r="BI659" s="5">
        <f t="shared" si="519"/>
        <v>0</v>
      </c>
      <c r="BJ659" s="5">
        <f t="shared" si="519"/>
        <v>0</v>
      </c>
      <c r="BK659" s="5">
        <f t="shared" si="519"/>
        <v>0</v>
      </c>
      <c r="BL659" s="5">
        <f t="shared" si="519"/>
        <v>0</v>
      </c>
      <c r="BM659" s="5">
        <f t="shared" si="519"/>
        <v>0</v>
      </c>
      <c r="BN659" s="5">
        <f t="shared" si="513"/>
        <v>0</v>
      </c>
      <c r="BO659" s="5">
        <f t="shared" si="513"/>
        <v>0</v>
      </c>
      <c r="BP659" s="5">
        <f t="shared" si="513"/>
        <v>0</v>
      </c>
      <c r="BQ659" s="5">
        <f t="shared" si="513"/>
        <v>0</v>
      </c>
      <c r="BR659" s="5">
        <f t="shared" si="513"/>
        <v>0</v>
      </c>
      <c r="BS659" s="5">
        <f t="shared" si="513"/>
        <v>0</v>
      </c>
      <c r="BT659" s="5">
        <f t="shared" si="513"/>
        <v>0</v>
      </c>
      <c r="BU659" s="5">
        <f t="shared" si="513"/>
        <v>0</v>
      </c>
      <c r="BV659" s="5">
        <f t="shared" si="513"/>
        <v>0</v>
      </c>
      <c r="BW659" s="5">
        <f t="shared" si="513"/>
        <v>0</v>
      </c>
      <c r="BX659" s="5">
        <f t="shared" si="513"/>
        <v>0</v>
      </c>
      <c r="BY659" s="5">
        <f t="shared" si="513"/>
        <v>0</v>
      </c>
      <c r="BZ659" s="5">
        <f t="shared" si="513"/>
        <v>0</v>
      </c>
      <c r="CA659" s="5">
        <f t="shared" si="513"/>
        <v>0</v>
      </c>
      <c r="CB659" s="5">
        <f t="shared" ref="CB659:CE678" si="523">IF($E659=CB$2,1,0)</f>
        <v>1</v>
      </c>
      <c r="CC659" s="5">
        <f t="shared" si="514"/>
        <v>0</v>
      </c>
      <c r="CD659" s="5">
        <f t="shared" si="514"/>
        <v>0</v>
      </c>
      <c r="CE659" s="5">
        <f t="shared" si="514"/>
        <v>0</v>
      </c>
    </row>
    <row r="660" spans="1:83" x14ac:dyDescent="0.2">
      <c r="A660" s="11"/>
      <c r="B660" s="11"/>
      <c r="C660" s="1">
        <f>Growth!D665</f>
        <v>0</v>
      </c>
      <c r="D660" s="5" t="b">
        <f t="shared" si="521"/>
        <v>0</v>
      </c>
      <c r="E660" s="5">
        <v>2012</v>
      </c>
      <c r="F660" s="5">
        <f ca="1">LOOKUP($E660,frequence!$A$2:$A$35,frequence!L$2:L$35)</f>
        <v>41.545638202606931</v>
      </c>
      <c r="G660" s="5">
        <f ca="1">LOOKUP($E660,frequence!$A$2:$A$35,frequence!K$2:K$35)</f>
        <v>3.8191206393393822</v>
      </c>
      <c r="H660" s="5">
        <f ca="1">LOOKUP($E660,frequence!$A$2:$A$35,frequence!M$2:M$35)</f>
        <v>265.64322815143237</v>
      </c>
      <c r="I660" s="18">
        <v>2005</v>
      </c>
      <c r="J660" s="7">
        <f>LOOKUP(I660,CPI!A$69:A$103,CPI!O$69:O$103)</f>
        <v>1.1165181771633383</v>
      </c>
      <c r="K660" s="5">
        <v>2015</v>
      </c>
      <c r="L660" s="7">
        <f t="shared" ca="1" si="515"/>
        <v>1</v>
      </c>
      <c r="M660" s="7">
        <f t="shared" si="487"/>
        <v>4.3055555555555555E-2</v>
      </c>
      <c r="N660" s="14">
        <f t="shared" si="506"/>
        <v>6.9444444444444441E-3</v>
      </c>
      <c r="O660" s="1">
        <f ca="1">P660*J660*(1+Growth!G$6)^(2010-K660)</f>
        <v>107.72242266445079</v>
      </c>
      <c r="P660" s="11">
        <v>104</v>
      </c>
      <c r="Q660" s="2">
        <f t="shared" si="478"/>
        <v>104</v>
      </c>
      <c r="R660" s="21">
        <f t="shared" ca="1" si="522"/>
        <v>11604.120344698582</v>
      </c>
      <c r="X660" s="2"/>
      <c r="AC660" s="1">
        <f t="shared" si="507"/>
        <v>6.2</v>
      </c>
      <c r="AD660" s="5">
        <v>1</v>
      </c>
      <c r="AE660" s="5">
        <v>0</v>
      </c>
      <c r="AF660" s="5">
        <v>1</v>
      </c>
      <c r="AG660" s="5">
        <v>0</v>
      </c>
      <c r="AH660" s="5">
        <v>1</v>
      </c>
      <c r="AI660" s="3">
        <f t="shared" si="520"/>
        <v>3.2</v>
      </c>
      <c r="AJ660" s="5">
        <f t="shared" si="486"/>
        <v>0</v>
      </c>
      <c r="AK660" s="5">
        <f t="shared" si="516"/>
        <v>0</v>
      </c>
      <c r="AL660" s="5">
        <f t="shared" si="517"/>
        <v>0</v>
      </c>
      <c r="AM660" s="5">
        <f t="shared" si="488"/>
        <v>0</v>
      </c>
      <c r="AN660" s="5">
        <f t="shared" si="518"/>
        <v>0</v>
      </c>
      <c r="AO660" s="5">
        <f t="shared" si="489"/>
        <v>0</v>
      </c>
      <c r="AP660" s="11">
        <v>3</v>
      </c>
      <c r="AQ660" s="1">
        <v>0.14000000000000001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1</v>
      </c>
      <c r="AY660" s="1">
        <f t="shared" si="501"/>
        <v>0</v>
      </c>
      <c r="AZ660" s="1">
        <f t="shared" si="502"/>
        <v>0</v>
      </c>
      <c r="BA660" s="1">
        <f t="shared" si="503"/>
        <v>0</v>
      </c>
      <c r="BB660" s="5">
        <v>0</v>
      </c>
      <c r="BC660" s="5">
        <v>0</v>
      </c>
      <c r="BD660" s="5">
        <v>0</v>
      </c>
      <c r="BE660" s="5">
        <f t="shared" si="504"/>
        <v>1</v>
      </c>
      <c r="BF660" s="5">
        <v>1</v>
      </c>
      <c r="BG660" s="5">
        <f t="shared" si="519"/>
        <v>0</v>
      </c>
      <c r="BH660" s="5">
        <f t="shared" si="519"/>
        <v>0</v>
      </c>
      <c r="BI660" s="5">
        <f t="shared" si="519"/>
        <v>0</v>
      </c>
      <c r="BJ660" s="5">
        <f t="shared" si="519"/>
        <v>0</v>
      </c>
      <c r="BK660" s="5">
        <f t="shared" si="519"/>
        <v>0</v>
      </c>
      <c r="BL660" s="5">
        <f t="shared" si="519"/>
        <v>0</v>
      </c>
      <c r="BM660" s="5">
        <f t="shared" si="519"/>
        <v>0</v>
      </c>
      <c r="BN660" s="5">
        <f t="shared" si="519"/>
        <v>0</v>
      </c>
      <c r="BO660" s="5">
        <f t="shared" ref="BO660:CA675" si="524">IF($E660=BO$2,1,0)</f>
        <v>0</v>
      </c>
      <c r="BP660" s="5">
        <f t="shared" si="524"/>
        <v>0</v>
      </c>
      <c r="BQ660" s="5">
        <f t="shared" si="524"/>
        <v>0</v>
      </c>
      <c r="BR660" s="5">
        <f t="shared" si="524"/>
        <v>0</v>
      </c>
      <c r="BS660" s="5">
        <f t="shared" si="524"/>
        <v>0</v>
      </c>
      <c r="BT660" s="5">
        <f t="shared" si="524"/>
        <v>0</v>
      </c>
      <c r="BU660" s="5">
        <f t="shared" si="524"/>
        <v>0</v>
      </c>
      <c r="BV660" s="5">
        <f t="shared" si="524"/>
        <v>0</v>
      </c>
      <c r="BW660" s="5">
        <f t="shared" si="524"/>
        <v>0</v>
      </c>
      <c r="BX660" s="5">
        <f t="shared" si="524"/>
        <v>0</v>
      </c>
      <c r="BY660" s="5">
        <f t="shared" si="524"/>
        <v>0</v>
      </c>
      <c r="BZ660" s="5">
        <f t="shared" si="524"/>
        <v>0</v>
      </c>
      <c r="CA660" s="5">
        <f t="shared" si="524"/>
        <v>0</v>
      </c>
      <c r="CB660" s="5">
        <f t="shared" si="523"/>
        <v>1</v>
      </c>
      <c r="CC660" s="5">
        <f t="shared" si="514"/>
        <v>0</v>
      </c>
      <c r="CD660" s="5">
        <f t="shared" si="514"/>
        <v>0</v>
      </c>
      <c r="CE660" s="5">
        <f t="shared" si="514"/>
        <v>0</v>
      </c>
    </row>
    <row r="661" spans="1:83" x14ac:dyDescent="0.2">
      <c r="A661" s="11"/>
      <c r="B661" s="11"/>
      <c r="C661" s="1">
        <f>Growth!D666</f>
        <v>0</v>
      </c>
      <c r="D661" s="5" t="b">
        <f t="shared" si="521"/>
        <v>0</v>
      </c>
      <c r="E661" s="5">
        <v>2012</v>
      </c>
      <c r="F661" s="5">
        <f ca="1">LOOKUP($E661,frequence!$A$2:$A$35,frequence!L$2:L$35)</f>
        <v>41.545638202606931</v>
      </c>
      <c r="G661" s="5">
        <f ca="1">LOOKUP($E661,frequence!$A$2:$A$35,frequence!K$2:K$35)</f>
        <v>3.8191206393393822</v>
      </c>
      <c r="H661" s="5">
        <f ca="1">LOOKUP($E661,frequence!$A$2:$A$35,frequence!M$2:M$35)</f>
        <v>265.64322815143237</v>
      </c>
      <c r="I661" s="18">
        <v>2005</v>
      </c>
      <c r="J661" s="7">
        <f>LOOKUP(I661,CPI!A$69:A$103,CPI!O$69:O$103)</f>
        <v>1.1165181771633383</v>
      </c>
      <c r="K661" s="5">
        <v>2015</v>
      </c>
      <c r="L661" s="7">
        <f t="shared" ca="1" si="515"/>
        <v>1</v>
      </c>
      <c r="M661" s="7">
        <f t="shared" si="487"/>
        <v>4.3055555555555555E-2</v>
      </c>
      <c r="N661" s="14">
        <f t="shared" si="506"/>
        <v>6.9444444444444441E-3</v>
      </c>
      <c r="O661" s="1">
        <f ca="1">P661*J661*(1+Growth!G$6)^(2010-K661)</f>
        <v>75.612854370239489</v>
      </c>
      <c r="P661" s="11">
        <v>73</v>
      </c>
      <c r="Q661" s="2">
        <f t="shared" si="478"/>
        <v>73</v>
      </c>
      <c r="R661" s="21">
        <f t="shared" ca="1" si="522"/>
        <v>5717.3037460150454</v>
      </c>
      <c r="X661" s="2"/>
      <c r="AC661" s="1">
        <f t="shared" si="507"/>
        <v>6.2</v>
      </c>
      <c r="AD661" s="5">
        <v>1</v>
      </c>
      <c r="AE661" s="5">
        <v>0</v>
      </c>
      <c r="AF661" s="5">
        <v>1</v>
      </c>
      <c r="AG661" s="5">
        <v>0</v>
      </c>
      <c r="AH661" s="5">
        <v>1</v>
      </c>
      <c r="AI661" s="3">
        <f t="shared" si="520"/>
        <v>3.2</v>
      </c>
      <c r="AJ661" s="5">
        <f t="shared" si="486"/>
        <v>0</v>
      </c>
      <c r="AK661" s="5">
        <f t="shared" si="516"/>
        <v>0</v>
      </c>
      <c r="AL661" s="5">
        <f t="shared" si="517"/>
        <v>0</v>
      </c>
      <c r="AM661" s="5">
        <f t="shared" si="488"/>
        <v>0</v>
      </c>
      <c r="AN661" s="5">
        <f t="shared" si="518"/>
        <v>0</v>
      </c>
      <c r="AO661" s="5">
        <f t="shared" si="489"/>
        <v>0</v>
      </c>
      <c r="AP661" s="11">
        <v>3</v>
      </c>
      <c r="AQ661" s="1">
        <v>0.14000000000000001</v>
      </c>
      <c r="AR661" s="5">
        <v>0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1</v>
      </c>
      <c r="AY661" s="1">
        <f t="shared" si="501"/>
        <v>0</v>
      </c>
      <c r="AZ661" s="1">
        <f t="shared" si="502"/>
        <v>0</v>
      </c>
      <c r="BA661" s="1">
        <f t="shared" si="503"/>
        <v>0</v>
      </c>
      <c r="BB661" s="5">
        <v>0</v>
      </c>
      <c r="BC661" s="5">
        <v>0</v>
      </c>
      <c r="BD661" s="5">
        <v>0</v>
      </c>
      <c r="BE661" s="5">
        <f t="shared" si="504"/>
        <v>1</v>
      </c>
      <c r="BF661" s="5">
        <v>1</v>
      </c>
      <c r="BG661" s="5">
        <f t="shared" ref="BG661:BN676" si="525">IF($E661=BG$2,1,0)</f>
        <v>0</v>
      </c>
      <c r="BH661" s="5">
        <f t="shared" si="525"/>
        <v>0</v>
      </c>
      <c r="BI661" s="5">
        <f t="shared" si="525"/>
        <v>0</v>
      </c>
      <c r="BJ661" s="5">
        <f t="shared" si="525"/>
        <v>0</v>
      </c>
      <c r="BK661" s="5">
        <f t="shared" si="525"/>
        <v>0</v>
      </c>
      <c r="BL661" s="5">
        <f t="shared" si="525"/>
        <v>0</v>
      </c>
      <c r="BM661" s="5">
        <f t="shared" si="525"/>
        <v>0</v>
      </c>
      <c r="BN661" s="5">
        <f t="shared" si="525"/>
        <v>0</v>
      </c>
      <c r="BO661" s="5">
        <f t="shared" si="524"/>
        <v>0</v>
      </c>
      <c r="BP661" s="5">
        <f t="shared" si="524"/>
        <v>0</v>
      </c>
      <c r="BQ661" s="5">
        <f t="shared" si="524"/>
        <v>0</v>
      </c>
      <c r="BR661" s="5">
        <f t="shared" si="524"/>
        <v>0</v>
      </c>
      <c r="BS661" s="5">
        <f t="shared" si="524"/>
        <v>0</v>
      </c>
      <c r="BT661" s="5">
        <f t="shared" si="524"/>
        <v>0</v>
      </c>
      <c r="BU661" s="5">
        <f t="shared" si="524"/>
        <v>0</v>
      </c>
      <c r="BV661" s="5">
        <f t="shared" si="524"/>
        <v>0</v>
      </c>
      <c r="BW661" s="5">
        <f t="shared" si="524"/>
        <v>0</v>
      </c>
      <c r="BX661" s="5">
        <f t="shared" si="524"/>
        <v>0</v>
      </c>
      <c r="BY661" s="5">
        <f t="shared" si="524"/>
        <v>0</v>
      </c>
      <c r="BZ661" s="5">
        <f t="shared" si="524"/>
        <v>0</v>
      </c>
      <c r="CA661" s="5">
        <f t="shared" si="524"/>
        <v>0</v>
      </c>
      <c r="CB661" s="5">
        <f t="shared" si="523"/>
        <v>1</v>
      </c>
      <c r="CC661" s="5">
        <f t="shared" si="514"/>
        <v>0</v>
      </c>
      <c r="CD661" s="5">
        <f t="shared" si="514"/>
        <v>0</v>
      </c>
      <c r="CE661" s="5">
        <f t="shared" si="514"/>
        <v>0</v>
      </c>
    </row>
    <row r="662" spans="1:83" x14ac:dyDescent="0.2">
      <c r="A662" s="11"/>
      <c r="B662" s="11"/>
      <c r="C662" s="1">
        <f>Growth!D667</f>
        <v>0</v>
      </c>
      <c r="D662" s="5" t="b">
        <f t="shared" si="521"/>
        <v>0</v>
      </c>
      <c r="E662" s="5">
        <v>2012</v>
      </c>
      <c r="F662" s="5">
        <f ca="1">LOOKUP($E662,frequence!$A$2:$A$35,frequence!L$2:L$35)</f>
        <v>41.545638202606931</v>
      </c>
      <c r="G662" s="5">
        <f ca="1">LOOKUP($E662,frequence!$A$2:$A$35,frequence!K$2:K$35)</f>
        <v>3.8191206393393822</v>
      </c>
      <c r="H662" s="5">
        <f ca="1">LOOKUP($E662,frequence!$A$2:$A$35,frequence!M$2:M$35)</f>
        <v>265.64322815143237</v>
      </c>
      <c r="I662" s="18">
        <v>2005</v>
      </c>
      <c r="J662" s="7">
        <f>LOOKUP(I662,CPI!A$69:A$103,CPI!O$69:O$103)</f>
        <v>1.1165181771633383</v>
      </c>
      <c r="K662" s="5">
        <v>2015</v>
      </c>
      <c r="L662" s="7">
        <f t="shared" ca="1" si="515"/>
        <v>1</v>
      </c>
      <c r="M662" s="7">
        <f t="shared" si="487"/>
        <v>4.3055555555555555E-2</v>
      </c>
      <c r="N662" s="14">
        <f t="shared" si="506"/>
        <v>6.9444444444444441E-3</v>
      </c>
      <c r="O662" s="1">
        <f ca="1">P662*J662*(1+Growth!G$6)^(2010-K662)</f>
        <v>152.26150126609872</v>
      </c>
      <c r="P662" s="11">
        <v>147</v>
      </c>
      <c r="Q662" s="2">
        <f t="shared" si="478"/>
        <v>147</v>
      </c>
      <c r="R662" s="21">
        <f t="shared" ca="1" si="522"/>
        <v>23183.564767806183</v>
      </c>
      <c r="X662" s="2"/>
      <c r="AC662" s="1">
        <f t="shared" si="507"/>
        <v>6.2</v>
      </c>
      <c r="AD662" s="5">
        <v>1</v>
      </c>
      <c r="AE662" s="5">
        <v>0</v>
      </c>
      <c r="AF662" s="5">
        <v>1</v>
      </c>
      <c r="AG662" s="5">
        <v>0</v>
      </c>
      <c r="AH662" s="5">
        <v>1</v>
      </c>
      <c r="AI662" s="3">
        <f t="shared" si="520"/>
        <v>3.2</v>
      </c>
      <c r="AJ662" s="5">
        <f t="shared" si="486"/>
        <v>0</v>
      </c>
      <c r="AK662" s="5">
        <f t="shared" si="516"/>
        <v>0</v>
      </c>
      <c r="AL662" s="5">
        <f t="shared" si="517"/>
        <v>0</v>
      </c>
      <c r="AM662" s="5">
        <f t="shared" si="488"/>
        <v>0</v>
      </c>
      <c r="AN662" s="5">
        <f t="shared" si="518"/>
        <v>0</v>
      </c>
      <c r="AO662" s="5">
        <f t="shared" si="489"/>
        <v>0</v>
      </c>
      <c r="AP662" s="11">
        <v>3</v>
      </c>
      <c r="AQ662" s="1">
        <v>0.14000000000000001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1</v>
      </c>
      <c r="AY662" s="1">
        <f t="shared" si="501"/>
        <v>0</v>
      </c>
      <c r="AZ662" s="1">
        <f t="shared" si="502"/>
        <v>0</v>
      </c>
      <c r="BA662" s="1">
        <f t="shared" si="503"/>
        <v>0</v>
      </c>
      <c r="BB662" s="5">
        <v>0</v>
      </c>
      <c r="BC662" s="5">
        <v>0</v>
      </c>
      <c r="BD662" s="5">
        <v>0</v>
      </c>
      <c r="BE662" s="5">
        <f t="shared" si="504"/>
        <v>1</v>
      </c>
      <c r="BF662" s="5">
        <v>1</v>
      </c>
      <c r="BG662" s="5">
        <f t="shared" si="525"/>
        <v>0</v>
      </c>
      <c r="BH662" s="5">
        <f t="shared" si="525"/>
        <v>0</v>
      </c>
      <c r="BI662" s="5">
        <f t="shared" si="525"/>
        <v>0</v>
      </c>
      <c r="BJ662" s="5">
        <f t="shared" si="525"/>
        <v>0</v>
      </c>
      <c r="BK662" s="5">
        <f t="shared" si="525"/>
        <v>0</v>
      </c>
      <c r="BL662" s="5">
        <f t="shared" si="525"/>
        <v>0</v>
      </c>
      <c r="BM662" s="5">
        <f t="shared" si="525"/>
        <v>0</v>
      </c>
      <c r="BN662" s="5">
        <f t="shared" si="525"/>
        <v>0</v>
      </c>
      <c r="BO662" s="5">
        <f t="shared" si="524"/>
        <v>0</v>
      </c>
      <c r="BP662" s="5">
        <f t="shared" si="524"/>
        <v>0</v>
      </c>
      <c r="BQ662" s="5">
        <f t="shared" si="524"/>
        <v>0</v>
      </c>
      <c r="BR662" s="5">
        <f t="shared" si="524"/>
        <v>0</v>
      </c>
      <c r="BS662" s="5">
        <f t="shared" si="524"/>
        <v>0</v>
      </c>
      <c r="BT662" s="5">
        <f t="shared" si="524"/>
        <v>0</v>
      </c>
      <c r="BU662" s="5">
        <f t="shared" si="524"/>
        <v>0</v>
      </c>
      <c r="BV662" s="5">
        <f t="shared" si="524"/>
        <v>0</v>
      </c>
      <c r="BW662" s="5">
        <f t="shared" si="524"/>
        <v>0</v>
      </c>
      <c r="BX662" s="5">
        <f t="shared" si="524"/>
        <v>0</v>
      </c>
      <c r="BY662" s="5">
        <f t="shared" si="524"/>
        <v>0</v>
      </c>
      <c r="BZ662" s="5">
        <f t="shared" si="524"/>
        <v>0</v>
      </c>
      <c r="CA662" s="5">
        <f t="shared" si="524"/>
        <v>0</v>
      </c>
      <c r="CB662" s="5">
        <f t="shared" si="523"/>
        <v>1</v>
      </c>
      <c r="CC662" s="5">
        <f t="shared" si="514"/>
        <v>0</v>
      </c>
      <c r="CD662" s="5">
        <f t="shared" si="514"/>
        <v>0</v>
      </c>
      <c r="CE662" s="5">
        <f t="shared" si="514"/>
        <v>0</v>
      </c>
    </row>
    <row r="663" spans="1:83" x14ac:dyDescent="0.2">
      <c r="A663" s="11"/>
      <c r="B663" s="11"/>
      <c r="C663" s="1">
        <f>Growth!D668</f>
        <v>0</v>
      </c>
      <c r="D663" s="5" t="b">
        <f t="shared" si="521"/>
        <v>0</v>
      </c>
      <c r="E663" s="5">
        <v>2012</v>
      </c>
      <c r="F663" s="5">
        <f ca="1">LOOKUP($E663,frequence!$A$2:$A$35,frequence!L$2:L$35)</f>
        <v>41.545638202606931</v>
      </c>
      <c r="G663" s="5">
        <f ca="1">LOOKUP($E663,frequence!$A$2:$A$35,frequence!K$2:K$35)</f>
        <v>3.8191206393393822</v>
      </c>
      <c r="H663" s="5">
        <f ca="1">LOOKUP($E663,frequence!$A$2:$A$35,frequence!M$2:M$35)</f>
        <v>265.64322815143237</v>
      </c>
      <c r="I663" s="18">
        <v>2005</v>
      </c>
      <c r="J663" s="7">
        <f>LOOKUP(I663,CPI!A$69:A$103,CPI!O$69:O$103)</f>
        <v>1.1165181771633383</v>
      </c>
      <c r="K663" s="5">
        <v>2015</v>
      </c>
      <c r="L663" s="7">
        <f t="shared" ca="1" si="515"/>
        <v>1</v>
      </c>
      <c r="M663" s="7">
        <f t="shared" si="487"/>
        <v>4.3055555555555555E-2</v>
      </c>
      <c r="N663" s="14">
        <f t="shared" si="506"/>
        <v>6.9444444444444441E-3</v>
      </c>
      <c r="O663" s="1">
        <f ca="1">P663*J663*(1+Growth!G$6)^(2010-K663)</f>
        <v>134.6530283305635</v>
      </c>
      <c r="P663" s="11">
        <v>130</v>
      </c>
      <c r="Q663" s="2">
        <f t="shared" si="478"/>
        <v>130</v>
      </c>
      <c r="R663" s="21">
        <f t="shared" ca="1" si="522"/>
        <v>18131.438038591536</v>
      </c>
      <c r="X663" s="2"/>
      <c r="AC663" s="1">
        <f t="shared" si="507"/>
        <v>6.2</v>
      </c>
      <c r="AD663" s="5">
        <v>1</v>
      </c>
      <c r="AE663" s="5">
        <v>0</v>
      </c>
      <c r="AF663" s="5">
        <v>1</v>
      </c>
      <c r="AG663" s="5">
        <v>0</v>
      </c>
      <c r="AH663" s="5">
        <v>1</v>
      </c>
      <c r="AI663" s="3">
        <f t="shared" si="520"/>
        <v>3.2</v>
      </c>
      <c r="AJ663" s="5">
        <f t="shared" ref="AJ663:AJ726" si="526">IF($AQ663=3,1,0)</f>
        <v>0</v>
      </c>
      <c r="AK663" s="5">
        <f t="shared" si="516"/>
        <v>0</v>
      </c>
      <c r="AL663" s="5">
        <f t="shared" si="517"/>
        <v>0</v>
      </c>
      <c r="AM663" s="5">
        <f t="shared" si="488"/>
        <v>0</v>
      </c>
      <c r="AN663" s="5">
        <f t="shared" si="518"/>
        <v>0</v>
      </c>
      <c r="AO663" s="5">
        <f t="shared" si="489"/>
        <v>0</v>
      </c>
      <c r="AP663" s="11">
        <v>3</v>
      </c>
      <c r="AQ663" s="1">
        <v>0.14000000000000001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1</v>
      </c>
      <c r="AY663" s="1">
        <f t="shared" si="501"/>
        <v>0</v>
      </c>
      <c r="AZ663" s="1">
        <f t="shared" si="502"/>
        <v>0</v>
      </c>
      <c r="BA663" s="1">
        <f t="shared" si="503"/>
        <v>0</v>
      </c>
      <c r="BB663" s="5">
        <v>0</v>
      </c>
      <c r="BC663" s="5">
        <v>0</v>
      </c>
      <c r="BD663" s="5">
        <v>0</v>
      </c>
      <c r="BE663" s="5">
        <f t="shared" si="504"/>
        <v>1</v>
      </c>
      <c r="BF663" s="5">
        <v>1</v>
      </c>
      <c r="BG663" s="5">
        <f t="shared" si="525"/>
        <v>0</v>
      </c>
      <c r="BH663" s="5">
        <f t="shared" si="525"/>
        <v>0</v>
      </c>
      <c r="BI663" s="5">
        <f t="shared" si="525"/>
        <v>0</v>
      </c>
      <c r="BJ663" s="5">
        <f t="shared" si="525"/>
        <v>0</v>
      </c>
      <c r="BK663" s="5">
        <f t="shared" si="525"/>
        <v>0</v>
      </c>
      <c r="BL663" s="5">
        <f t="shared" si="525"/>
        <v>0</v>
      </c>
      <c r="BM663" s="5">
        <f t="shared" si="525"/>
        <v>0</v>
      </c>
      <c r="BN663" s="5">
        <f t="shared" si="525"/>
        <v>0</v>
      </c>
      <c r="BO663" s="5">
        <f t="shared" si="524"/>
        <v>0</v>
      </c>
      <c r="BP663" s="5">
        <f t="shared" si="524"/>
        <v>0</v>
      </c>
      <c r="BQ663" s="5">
        <f t="shared" si="524"/>
        <v>0</v>
      </c>
      <c r="BR663" s="5">
        <f t="shared" si="524"/>
        <v>0</v>
      </c>
      <c r="BS663" s="5">
        <f t="shared" si="524"/>
        <v>0</v>
      </c>
      <c r="BT663" s="5">
        <f t="shared" si="524"/>
        <v>0</v>
      </c>
      <c r="BU663" s="5">
        <f t="shared" si="524"/>
        <v>0</v>
      </c>
      <c r="BV663" s="5">
        <f t="shared" si="524"/>
        <v>0</v>
      </c>
      <c r="BW663" s="5">
        <f t="shared" si="524"/>
        <v>0</v>
      </c>
      <c r="BX663" s="5">
        <f t="shared" si="524"/>
        <v>0</v>
      </c>
      <c r="BY663" s="5">
        <f t="shared" si="524"/>
        <v>0</v>
      </c>
      <c r="BZ663" s="5">
        <f t="shared" si="524"/>
        <v>0</v>
      </c>
      <c r="CA663" s="5">
        <f t="shared" si="524"/>
        <v>0</v>
      </c>
      <c r="CB663" s="5">
        <f t="shared" si="523"/>
        <v>1</v>
      </c>
      <c r="CC663" s="5">
        <f t="shared" si="514"/>
        <v>0</v>
      </c>
      <c r="CD663" s="5">
        <f t="shared" si="514"/>
        <v>0</v>
      </c>
      <c r="CE663" s="5">
        <f t="shared" si="514"/>
        <v>0</v>
      </c>
    </row>
    <row r="664" spans="1:83" x14ac:dyDescent="0.2">
      <c r="A664" s="11"/>
      <c r="B664" s="11"/>
      <c r="C664" s="1">
        <f>Growth!D669</f>
        <v>0</v>
      </c>
      <c r="D664" s="5" t="b">
        <f t="shared" si="521"/>
        <v>0</v>
      </c>
      <c r="E664" s="5">
        <v>2012</v>
      </c>
      <c r="F664" s="5">
        <f ca="1">LOOKUP($E664,frequence!$A$2:$A$35,frequence!L$2:L$35)</f>
        <v>41.545638202606931</v>
      </c>
      <c r="G664" s="5">
        <f ca="1">LOOKUP($E664,frequence!$A$2:$A$35,frequence!K$2:K$35)</f>
        <v>3.8191206393393822</v>
      </c>
      <c r="H664" s="5">
        <f ca="1">LOOKUP($E664,frequence!$A$2:$A$35,frequence!M$2:M$35)</f>
        <v>265.64322815143237</v>
      </c>
      <c r="I664" s="18">
        <v>2005</v>
      </c>
      <c r="J664" s="7">
        <f>LOOKUP(I664,CPI!A$69:A$103,CPI!O$69:O$103)</f>
        <v>1.1165181771633383</v>
      </c>
      <c r="K664" s="5">
        <v>2015</v>
      </c>
      <c r="L664" s="7">
        <f t="shared" ca="1" si="515"/>
        <v>1</v>
      </c>
      <c r="M664" s="7">
        <f t="shared" ref="M664:M727" si="527">N664*AC664</f>
        <v>4.3055555555555555E-2</v>
      </c>
      <c r="N664" s="14">
        <f t="shared" si="506"/>
        <v>6.9444444444444441E-3</v>
      </c>
      <c r="O664" s="1">
        <f ca="1">P664*J664*(1+Growth!G$6)^(2010-K664)</f>
        <v>156.4046713685776</v>
      </c>
      <c r="P664" s="11">
        <v>151</v>
      </c>
      <c r="Q664" s="2">
        <f t="shared" si="478"/>
        <v>151</v>
      </c>
      <c r="R664" s="21">
        <f t="shared" ca="1" si="522"/>
        <v>24462.421225912756</v>
      </c>
      <c r="X664" s="2"/>
      <c r="AC664" s="1">
        <f t="shared" si="507"/>
        <v>6.2</v>
      </c>
      <c r="AD664" s="5">
        <v>1</v>
      </c>
      <c r="AE664" s="5">
        <v>0</v>
      </c>
      <c r="AF664" s="5">
        <v>1</v>
      </c>
      <c r="AG664" s="5">
        <v>0</v>
      </c>
      <c r="AH664" s="5">
        <v>1</v>
      </c>
      <c r="AI664" s="3">
        <f t="shared" si="520"/>
        <v>3.2</v>
      </c>
      <c r="AJ664" s="5">
        <f t="shared" si="526"/>
        <v>0</v>
      </c>
      <c r="AK664" s="5">
        <f t="shared" si="516"/>
        <v>0</v>
      </c>
      <c r="AL664" s="5">
        <f t="shared" si="517"/>
        <v>0</v>
      </c>
      <c r="AM664" s="5">
        <f t="shared" si="488"/>
        <v>0</v>
      </c>
      <c r="AN664" s="5">
        <f t="shared" si="518"/>
        <v>0</v>
      </c>
      <c r="AO664" s="5">
        <f t="shared" si="489"/>
        <v>0</v>
      </c>
      <c r="AP664" s="11">
        <v>3</v>
      </c>
      <c r="AQ664" s="1">
        <v>0.14000000000000001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1</v>
      </c>
      <c r="AY664" s="1">
        <f t="shared" si="501"/>
        <v>0</v>
      </c>
      <c r="AZ664" s="1">
        <f t="shared" si="502"/>
        <v>0</v>
      </c>
      <c r="BA664" s="1">
        <f t="shared" si="503"/>
        <v>0</v>
      </c>
      <c r="BB664" s="5">
        <v>0</v>
      </c>
      <c r="BC664" s="5">
        <v>0</v>
      </c>
      <c r="BD664" s="5">
        <v>0</v>
      </c>
      <c r="BE664" s="5">
        <f t="shared" si="504"/>
        <v>1</v>
      </c>
      <c r="BF664" s="5">
        <v>1</v>
      </c>
      <c r="BG664" s="5">
        <f t="shared" si="525"/>
        <v>0</v>
      </c>
      <c r="BH664" s="5">
        <f t="shared" si="525"/>
        <v>0</v>
      </c>
      <c r="BI664" s="5">
        <f t="shared" si="525"/>
        <v>0</v>
      </c>
      <c r="BJ664" s="5">
        <f t="shared" si="525"/>
        <v>0</v>
      </c>
      <c r="BK664" s="5">
        <f t="shared" si="525"/>
        <v>0</v>
      </c>
      <c r="BL664" s="5">
        <f t="shared" si="525"/>
        <v>0</v>
      </c>
      <c r="BM664" s="5">
        <f t="shared" si="525"/>
        <v>0</v>
      </c>
      <c r="BN664" s="5">
        <f t="shared" si="525"/>
        <v>0</v>
      </c>
      <c r="BO664" s="5">
        <f t="shared" si="524"/>
        <v>0</v>
      </c>
      <c r="BP664" s="5">
        <f t="shared" si="524"/>
        <v>0</v>
      </c>
      <c r="BQ664" s="5">
        <f t="shared" si="524"/>
        <v>0</v>
      </c>
      <c r="BR664" s="5">
        <f t="shared" si="524"/>
        <v>0</v>
      </c>
      <c r="BS664" s="5">
        <f t="shared" si="524"/>
        <v>0</v>
      </c>
      <c r="BT664" s="5">
        <f t="shared" si="524"/>
        <v>0</v>
      </c>
      <c r="BU664" s="5">
        <f t="shared" si="524"/>
        <v>0</v>
      </c>
      <c r="BV664" s="5">
        <f t="shared" si="524"/>
        <v>0</v>
      </c>
      <c r="BW664" s="5">
        <f t="shared" si="524"/>
        <v>0</v>
      </c>
      <c r="BX664" s="5">
        <f t="shared" si="524"/>
        <v>0</v>
      </c>
      <c r="BY664" s="5">
        <f t="shared" si="524"/>
        <v>0</v>
      </c>
      <c r="BZ664" s="5">
        <f t="shared" si="524"/>
        <v>0</v>
      </c>
      <c r="CA664" s="5">
        <f t="shared" si="524"/>
        <v>0</v>
      </c>
      <c r="CB664" s="5">
        <f t="shared" si="523"/>
        <v>1</v>
      </c>
      <c r="CC664" s="5">
        <f t="shared" si="523"/>
        <v>0</v>
      </c>
      <c r="CD664" s="5">
        <f t="shared" si="523"/>
        <v>0</v>
      </c>
      <c r="CE664" s="5">
        <f t="shared" si="523"/>
        <v>0</v>
      </c>
    </row>
    <row r="665" spans="1:83" x14ac:dyDescent="0.2">
      <c r="A665" s="11"/>
      <c r="B665" s="11"/>
      <c r="C665" s="1">
        <f>Growth!D670</f>
        <v>0</v>
      </c>
      <c r="D665" s="5" t="b">
        <f t="shared" si="521"/>
        <v>0</v>
      </c>
      <c r="E665" s="5">
        <v>2012</v>
      </c>
      <c r="F665" s="5">
        <f ca="1">LOOKUP($E665,frequence!$A$2:$A$35,frequence!L$2:L$35)</f>
        <v>41.545638202606931</v>
      </c>
      <c r="G665" s="5">
        <f ca="1">LOOKUP($E665,frequence!$A$2:$A$35,frequence!K$2:K$35)</f>
        <v>3.8191206393393822</v>
      </c>
      <c r="H665" s="5">
        <f ca="1">LOOKUP($E665,frequence!$A$2:$A$35,frequence!M$2:M$35)</f>
        <v>265.64322815143237</v>
      </c>
      <c r="I665" s="18">
        <v>2005</v>
      </c>
      <c r="J665" s="7">
        <f>LOOKUP(I665,CPI!A$69:A$103,CPI!O$69:O$103)</f>
        <v>1.1165181771633383</v>
      </c>
      <c r="K665" s="5">
        <v>2015</v>
      </c>
      <c r="L665" s="7">
        <f t="shared" ca="1" si="515"/>
        <v>1</v>
      </c>
      <c r="M665" s="7">
        <f t="shared" si="527"/>
        <v>4.3055555555555555E-2</v>
      </c>
      <c r="N665" s="14">
        <f t="shared" si="506"/>
        <v>6.9444444444444441E-3</v>
      </c>
      <c r="O665" s="1">
        <f ca="1">P665*J665*(1+Growth!G$6)^(2010-K665)</f>
        <v>160.54784147105644</v>
      </c>
      <c r="P665" s="11">
        <v>155</v>
      </c>
      <c r="Q665" s="2">
        <f t="shared" si="478"/>
        <v>155</v>
      </c>
      <c r="R665" s="21">
        <f t="shared" ca="1" si="522"/>
        <v>25775.60940101547</v>
      </c>
      <c r="X665" s="2"/>
      <c r="AC665" s="1">
        <f t="shared" si="507"/>
        <v>6.2</v>
      </c>
      <c r="AD665" s="5">
        <v>1</v>
      </c>
      <c r="AE665" s="5">
        <v>0</v>
      </c>
      <c r="AF665" s="5">
        <v>1</v>
      </c>
      <c r="AG665" s="5">
        <v>0</v>
      </c>
      <c r="AH665" s="5">
        <v>1</v>
      </c>
      <c r="AI665" s="3">
        <f t="shared" si="520"/>
        <v>3.2</v>
      </c>
      <c r="AJ665" s="5">
        <f t="shared" si="526"/>
        <v>0</v>
      </c>
      <c r="AK665" s="5">
        <f t="shared" si="516"/>
        <v>0</v>
      </c>
      <c r="AL665" s="5">
        <f t="shared" si="517"/>
        <v>0</v>
      </c>
      <c r="AM665" s="5">
        <f t="shared" si="488"/>
        <v>0</v>
      </c>
      <c r="AN665" s="5">
        <f t="shared" si="518"/>
        <v>0</v>
      </c>
      <c r="AO665" s="5">
        <f t="shared" si="489"/>
        <v>0</v>
      </c>
      <c r="AP665" s="11">
        <v>3</v>
      </c>
      <c r="AQ665" s="1">
        <v>0.14000000000000001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1</v>
      </c>
      <c r="AY665" s="1">
        <f t="shared" si="501"/>
        <v>0</v>
      </c>
      <c r="AZ665" s="1">
        <f t="shared" si="502"/>
        <v>0</v>
      </c>
      <c r="BA665" s="1">
        <f t="shared" si="503"/>
        <v>0</v>
      </c>
      <c r="BB665" s="5">
        <v>0</v>
      </c>
      <c r="BC665" s="5">
        <v>0</v>
      </c>
      <c r="BD665" s="5">
        <v>0</v>
      </c>
      <c r="BE665" s="5">
        <f t="shared" si="504"/>
        <v>1</v>
      </c>
      <c r="BF665" s="5">
        <v>1</v>
      </c>
      <c r="BG665" s="5">
        <f t="shared" si="525"/>
        <v>0</v>
      </c>
      <c r="BH665" s="5">
        <f t="shared" si="525"/>
        <v>0</v>
      </c>
      <c r="BI665" s="5">
        <f t="shared" si="525"/>
        <v>0</v>
      </c>
      <c r="BJ665" s="5">
        <f t="shared" si="525"/>
        <v>0</v>
      </c>
      <c r="BK665" s="5">
        <f t="shared" si="525"/>
        <v>0</v>
      </c>
      <c r="BL665" s="5">
        <f t="shared" si="525"/>
        <v>0</v>
      </c>
      <c r="BM665" s="5">
        <f t="shared" si="525"/>
        <v>0</v>
      </c>
      <c r="BN665" s="5">
        <f t="shared" si="525"/>
        <v>0</v>
      </c>
      <c r="BO665" s="5">
        <f t="shared" si="524"/>
        <v>0</v>
      </c>
      <c r="BP665" s="5">
        <f t="shared" si="524"/>
        <v>0</v>
      </c>
      <c r="BQ665" s="5">
        <f t="shared" si="524"/>
        <v>0</v>
      </c>
      <c r="BR665" s="5">
        <f t="shared" si="524"/>
        <v>0</v>
      </c>
      <c r="BS665" s="5">
        <f t="shared" si="524"/>
        <v>0</v>
      </c>
      <c r="BT665" s="5">
        <f t="shared" si="524"/>
        <v>0</v>
      </c>
      <c r="BU665" s="5">
        <f t="shared" si="524"/>
        <v>0</v>
      </c>
      <c r="BV665" s="5">
        <f t="shared" si="524"/>
        <v>0</v>
      </c>
      <c r="BW665" s="5">
        <f t="shared" si="524"/>
        <v>0</v>
      </c>
      <c r="BX665" s="5">
        <f t="shared" si="524"/>
        <v>0</v>
      </c>
      <c r="BY665" s="5">
        <f t="shared" si="524"/>
        <v>0</v>
      </c>
      <c r="BZ665" s="5">
        <f t="shared" si="524"/>
        <v>0</v>
      </c>
      <c r="CA665" s="5">
        <f t="shared" si="524"/>
        <v>0</v>
      </c>
      <c r="CB665" s="5">
        <f t="shared" si="523"/>
        <v>1</v>
      </c>
      <c r="CC665" s="5">
        <f t="shared" si="523"/>
        <v>0</v>
      </c>
      <c r="CD665" s="5">
        <f t="shared" si="523"/>
        <v>0</v>
      </c>
      <c r="CE665" s="5">
        <f t="shared" si="523"/>
        <v>0</v>
      </c>
    </row>
    <row r="666" spans="1:83" x14ac:dyDescent="0.2">
      <c r="A666" s="11"/>
      <c r="B666" s="11"/>
      <c r="C666" s="1">
        <f>Growth!D671</f>
        <v>0</v>
      </c>
      <c r="D666" s="5" t="b">
        <f t="shared" si="521"/>
        <v>0</v>
      </c>
      <c r="E666" s="5">
        <v>2012</v>
      </c>
      <c r="F666" s="5">
        <f ca="1">LOOKUP($E666,frequence!$A$2:$A$35,frequence!L$2:L$35)</f>
        <v>41.545638202606931</v>
      </c>
      <c r="G666" s="5">
        <f ca="1">LOOKUP($E666,frequence!$A$2:$A$35,frequence!K$2:K$35)</f>
        <v>3.8191206393393822</v>
      </c>
      <c r="H666" s="5">
        <f ca="1">LOOKUP($E666,frequence!$A$2:$A$35,frequence!M$2:M$35)</f>
        <v>265.64322815143237</v>
      </c>
      <c r="I666" s="18">
        <v>2005</v>
      </c>
      <c r="J666" s="7">
        <f>LOOKUP(I666,CPI!A$69:A$103,CPI!O$69:O$103)</f>
        <v>1.1165181771633383</v>
      </c>
      <c r="K666" s="5">
        <v>2015</v>
      </c>
      <c r="L666" s="7">
        <f t="shared" ca="1" si="515"/>
        <v>1</v>
      </c>
      <c r="M666" s="7">
        <f t="shared" si="527"/>
        <v>4.3055555555555555E-2</v>
      </c>
      <c r="N666" s="14">
        <f t="shared" si="506"/>
        <v>6.9444444444444441E-3</v>
      </c>
      <c r="O666" s="1">
        <f ca="1">P666*J666*(1+Growth!G$6)^(2010-K666)</f>
        <v>75.612854370239489</v>
      </c>
      <c r="P666" s="11">
        <v>73</v>
      </c>
      <c r="Q666" s="2">
        <f t="shared" si="478"/>
        <v>73</v>
      </c>
      <c r="R666" s="21">
        <f t="shared" ca="1" si="522"/>
        <v>5717.3037460150454</v>
      </c>
      <c r="X666" s="2"/>
      <c r="AC666" s="1">
        <f t="shared" si="507"/>
        <v>6.2</v>
      </c>
      <c r="AD666" s="5">
        <v>1</v>
      </c>
      <c r="AE666" s="5">
        <v>0</v>
      </c>
      <c r="AF666" s="5">
        <v>1</v>
      </c>
      <c r="AG666" s="5">
        <v>0</v>
      </c>
      <c r="AH666" s="5">
        <v>1</v>
      </c>
      <c r="AI666" s="3">
        <f t="shared" si="520"/>
        <v>3.2</v>
      </c>
      <c r="AJ666" s="5">
        <f t="shared" si="526"/>
        <v>0</v>
      </c>
      <c r="AK666" s="5">
        <f t="shared" si="516"/>
        <v>0</v>
      </c>
      <c r="AL666" s="5">
        <f t="shared" si="517"/>
        <v>0</v>
      </c>
      <c r="AM666" s="5">
        <f t="shared" ref="AM666:AM729" si="528">IF($AQ666=1,1,0)</f>
        <v>0</v>
      </c>
      <c r="AN666" s="5">
        <f t="shared" si="518"/>
        <v>0</v>
      </c>
      <c r="AO666" s="5">
        <f t="shared" ref="AO666:AO729" si="529">IF($AQ666=0,1,0)</f>
        <v>0</v>
      </c>
      <c r="AP666" s="11">
        <v>3</v>
      </c>
      <c r="AQ666" s="1">
        <v>-1.1000000000000001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1</v>
      </c>
      <c r="AY666" s="1">
        <f t="shared" si="501"/>
        <v>0</v>
      </c>
      <c r="AZ666" s="1">
        <f t="shared" si="502"/>
        <v>0</v>
      </c>
      <c r="BA666" s="1">
        <f t="shared" si="503"/>
        <v>0</v>
      </c>
      <c r="BB666" s="5">
        <v>0</v>
      </c>
      <c r="BC666" s="5">
        <v>0</v>
      </c>
      <c r="BD666" s="5">
        <v>0</v>
      </c>
      <c r="BE666" s="5">
        <f t="shared" si="504"/>
        <v>1</v>
      </c>
      <c r="BF666" s="5">
        <v>1</v>
      </c>
      <c r="BG666" s="5">
        <f t="shared" si="525"/>
        <v>0</v>
      </c>
      <c r="BH666" s="5">
        <f t="shared" si="525"/>
        <v>0</v>
      </c>
      <c r="BI666" s="5">
        <f t="shared" si="525"/>
        <v>0</v>
      </c>
      <c r="BJ666" s="5">
        <f t="shared" si="525"/>
        <v>0</v>
      </c>
      <c r="BK666" s="5">
        <f t="shared" si="525"/>
        <v>0</v>
      </c>
      <c r="BL666" s="5">
        <f t="shared" si="525"/>
        <v>0</v>
      </c>
      <c r="BM666" s="5">
        <f t="shared" si="525"/>
        <v>0</v>
      </c>
      <c r="BN666" s="5">
        <f t="shared" si="525"/>
        <v>0</v>
      </c>
      <c r="BO666" s="5">
        <f t="shared" si="524"/>
        <v>0</v>
      </c>
      <c r="BP666" s="5">
        <f t="shared" si="524"/>
        <v>0</v>
      </c>
      <c r="BQ666" s="5">
        <f t="shared" si="524"/>
        <v>0</v>
      </c>
      <c r="BR666" s="5">
        <f t="shared" si="524"/>
        <v>0</v>
      </c>
      <c r="BS666" s="5">
        <f t="shared" si="524"/>
        <v>0</v>
      </c>
      <c r="BT666" s="5">
        <f t="shared" si="524"/>
        <v>0</v>
      </c>
      <c r="BU666" s="5">
        <f t="shared" si="524"/>
        <v>0</v>
      </c>
      <c r="BV666" s="5">
        <f t="shared" si="524"/>
        <v>0</v>
      </c>
      <c r="BW666" s="5">
        <f t="shared" si="524"/>
        <v>0</v>
      </c>
      <c r="BX666" s="5">
        <f t="shared" si="524"/>
        <v>0</v>
      </c>
      <c r="BY666" s="5">
        <f t="shared" si="524"/>
        <v>0</v>
      </c>
      <c r="BZ666" s="5">
        <f t="shared" si="524"/>
        <v>0</v>
      </c>
      <c r="CA666" s="5">
        <f t="shared" si="524"/>
        <v>0</v>
      </c>
      <c r="CB666" s="5">
        <f t="shared" si="523"/>
        <v>1</v>
      </c>
      <c r="CC666" s="5">
        <f t="shared" si="523"/>
        <v>0</v>
      </c>
      <c r="CD666" s="5">
        <f t="shared" si="523"/>
        <v>0</v>
      </c>
      <c r="CE666" s="5">
        <f t="shared" si="523"/>
        <v>0</v>
      </c>
    </row>
    <row r="667" spans="1:83" x14ac:dyDescent="0.2">
      <c r="A667" s="11"/>
      <c r="B667" s="11"/>
      <c r="C667" s="1">
        <f>Growth!D672</f>
        <v>0</v>
      </c>
      <c r="D667" s="5" t="b">
        <f t="shared" si="521"/>
        <v>0</v>
      </c>
      <c r="E667" s="5">
        <v>2012</v>
      </c>
      <c r="F667" s="5">
        <f ca="1">LOOKUP($E667,frequence!$A$2:$A$35,frequence!L$2:L$35)</f>
        <v>41.545638202606931</v>
      </c>
      <c r="G667" s="5">
        <f ca="1">LOOKUP($E667,frequence!$A$2:$A$35,frequence!K$2:K$35)</f>
        <v>3.8191206393393822</v>
      </c>
      <c r="H667" s="5">
        <f ca="1">LOOKUP($E667,frequence!$A$2:$A$35,frequence!M$2:M$35)</f>
        <v>265.64322815143237</v>
      </c>
      <c r="I667" s="18">
        <v>2005</v>
      </c>
      <c r="J667" s="7">
        <f>LOOKUP(I667,CPI!A$69:A$103,CPI!O$69:O$103)</f>
        <v>1.1165181771633383</v>
      </c>
      <c r="K667" s="5">
        <v>2015</v>
      </c>
      <c r="L667" s="7">
        <f t="shared" ca="1" si="515"/>
        <v>1</v>
      </c>
      <c r="M667" s="7">
        <f t="shared" si="527"/>
        <v>4.3055555555555555E-2</v>
      </c>
      <c r="N667" s="14">
        <f t="shared" si="506"/>
        <v>6.9444444444444441E-3</v>
      </c>
      <c r="O667" s="1">
        <f ca="1">P667*J667*(1+Growth!G$6)^(2010-K667)</f>
        <v>89.078157203295845</v>
      </c>
      <c r="P667" s="11">
        <v>86</v>
      </c>
      <c r="Q667" s="2">
        <f t="shared" si="478"/>
        <v>86</v>
      </c>
      <c r="R667" s="21">
        <f t="shared" ca="1" si="522"/>
        <v>7934.9180907350874</v>
      </c>
      <c r="X667" s="2"/>
      <c r="AC667" s="1">
        <f t="shared" si="507"/>
        <v>6.2</v>
      </c>
      <c r="AD667" s="5">
        <v>1</v>
      </c>
      <c r="AE667" s="5">
        <v>0</v>
      </c>
      <c r="AF667" s="5">
        <v>1</v>
      </c>
      <c r="AG667" s="5">
        <v>0</v>
      </c>
      <c r="AH667" s="5">
        <v>1</v>
      </c>
      <c r="AI667" s="3">
        <f t="shared" si="520"/>
        <v>3.2</v>
      </c>
      <c r="AJ667" s="5">
        <f t="shared" si="526"/>
        <v>0</v>
      </c>
      <c r="AK667" s="5">
        <f t="shared" si="516"/>
        <v>0</v>
      </c>
      <c r="AL667" s="5">
        <f t="shared" si="517"/>
        <v>0</v>
      </c>
      <c r="AM667" s="5">
        <f t="shared" si="528"/>
        <v>0</v>
      </c>
      <c r="AN667" s="5">
        <f t="shared" si="518"/>
        <v>0</v>
      </c>
      <c r="AO667" s="5">
        <f t="shared" si="529"/>
        <v>0</v>
      </c>
      <c r="AP667" s="11">
        <v>3</v>
      </c>
      <c r="AQ667" s="1">
        <v>-1.1000000000000001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1</v>
      </c>
      <c r="AY667" s="1">
        <f t="shared" si="501"/>
        <v>0</v>
      </c>
      <c r="AZ667" s="1">
        <f t="shared" si="502"/>
        <v>0</v>
      </c>
      <c r="BA667" s="1">
        <f t="shared" si="503"/>
        <v>0</v>
      </c>
      <c r="BB667" s="5">
        <v>0</v>
      </c>
      <c r="BC667" s="5">
        <v>0</v>
      </c>
      <c r="BD667" s="5">
        <v>0</v>
      </c>
      <c r="BE667" s="5">
        <f t="shared" si="504"/>
        <v>1</v>
      </c>
      <c r="BF667" s="5">
        <v>1</v>
      </c>
      <c r="BG667" s="5">
        <f t="shared" si="525"/>
        <v>0</v>
      </c>
      <c r="BH667" s="5">
        <f t="shared" si="525"/>
        <v>0</v>
      </c>
      <c r="BI667" s="5">
        <f t="shared" si="525"/>
        <v>0</v>
      </c>
      <c r="BJ667" s="5">
        <f t="shared" si="525"/>
        <v>0</v>
      </c>
      <c r="BK667" s="5">
        <f t="shared" si="525"/>
        <v>0</v>
      </c>
      <c r="BL667" s="5">
        <f t="shared" si="525"/>
        <v>0</v>
      </c>
      <c r="BM667" s="5">
        <f t="shared" si="525"/>
        <v>0</v>
      </c>
      <c r="BN667" s="5">
        <f t="shared" si="525"/>
        <v>0</v>
      </c>
      <c r="BO667" s="5">
        <f t="shared" si="524"/>
        <v>0</v>
      </c>
      <c r="BP667" s="5">
        <f t="shared" si="524"/>
        <v>0</v>
      </c>
      <c r="BQ667" s="5">
        <f t="shared" si="524"/>
        <v>0</v>
      </c>
      <c r="BR667" s="5">
        <f t="shared" si="524"/>
        <v>0</v>
      </c>
      <c r="BS667" s="5">
        <f t="shared" si="524"/>
        <v>0</v>
      </c>
      <c r="BT667" s="5">
        <f t="shared" si="524"/>
        <v>0</v>
      </c>
      <c r="BU667" s="5">
        <f t="shared" si="524"/>
        <v>0</v>
      </c>
      <c r="BV667" s="5">
        <f t="shared" si="524"/>
        <v>0</v>
      </c>
      <c r="BW667" s="5">
        <f t="shared" si="524"/>
        <v>0</v>
      </c>
      <c r="BX667" s="5">
        <f t="shared" si="524"/>
        <v>0</v>
      </c>
      <c r="BY667" s="5">
        <f t="shared" si="524"/>
        <v>0</v>
      </c>
      <c r="BZ667" s="5">
        <f t="shared" si="524"/>
        <v>0</v>
      </c>
      <c r="CA667" s="5">
        <f t="shared" si="524"/>
        <v>0</v>
      </c>
      <c r="CB667" s="5">
        <f t="shared" si="523"/>
        <v>1</v>
      </c>
      <c r="CC667" s="5">
        <f t="shared" si="523"/>
        <v>0</v>
      </c>
      <c r="CD667" s="5">
        <f t="shared" si="523"/>
        <v>0</v>
      </c>
      <c r="CE667" s="5">
        <f t="shared" si="523"/>
        <v>0</v>
      </c>
    </row>
    <row r="668" spans="1:83" x14ac:dyDescent="0.2">
      <c r="A668" s="11"/>
      <c r="B668" s="11"/>
      <c r="C668" s="1">
        <f>Growth!D673</f>
        <v>0</v>
      </c>
      <c r="D668" s="5" t="b">
        <f t="shared" si="521"/>
        <v>0</v>
      </c>
      <c r="E668" s="5">
        <v>2012</v>
      </c>
      <c r="F668" s="5">
        <f ca="1">LOOKUP($E668,frequence!$A$2:$A$35,frequence!L$2:L$35)</f>
        <v>41.545638202606931</v>
      </c>
      <c r="G668" s="5">
        <f ca="1">LOOKUP($E668,frequence!$A$2:$A$35,frequence!K$2:K$35)</f>
        <v>3.8191206393393822</v>
      </c>
      <c r="H668" s="5">
        <f ca="1">LOOKUP($E668,frequence!$A$2:$A$35,frequence!M$2:M$35)</f>
        <v>265.64322815143237</v>
      </c>
      <c r="I668" s="18">
        <v>2005</v>
      </c>
      <c r="J668" s="7">
        <f>LOOKUP(I668,CPI!A$69:A$103,CPI!O$69:O$103)</f>
        <v>1.1165181771633383</v>
      </c>
      <c r="K668" s="5">
        <v>2015</v>
      </c>
      <c r="L668" s="7">
        <f t="shared" ca="1" si="515"/>
        <v>1</v>
      </c>
      <c r="M668" s="7">
        <f t="shared" si="527"/>
        <v>4.3055555555555555E-2</v>
      </c>
      <c r="N668" s="14">
        <f t="shared" si="506"/>
        <v>6.9444444444444441E-3</v>
      </c>
      <c r="O668" s="1">
        <f ca="1">P668*J668*(1+Growth!G$6)^(2010-K668)</f>
        <v>65.254929114042298</v>
      </c>
      <c r="P668" s="11">
        <v>63</v>
      </c>
      <c r="Q668" s="2">
        <f t="shared" si="478"/>
        <v>63</v>
      </c>
      <c r="R668" s="21">
        <f t="shared" ca="1" si="522"/>
        <v>4258.2057736786855</v>
      </c>
      <c r="X668" s="2"/>
      <c r="AC668" s="1">
        <f t="shared" si="507"/>
        <v>6.2</v>
      </c>
      <c r="AD668" s="5">
        <v>1</v>
      </c>
      <c r="AE668" s="5">
        <v>0</v>
      </c>
      <c r="AF668" s="5">
        <v>1</v>
      </c>
      <c r="AG668" s="5">
        <v>0</v>
      </c>
      <c r="AH668" s="5">
        <v>1</v>
      </c>
      <c r="AI668" s="3">
        <f t="shared" si="520"/>
        <v>3.2</v>
      </c>
      <c r="AJ668" s="5">
        <f t="shared" si="526"/>
        <v>0</v>
      </c>
      <c r="AK668" s="5">
        <f t="shared" si="516"/>
        <v>0</v>
      </c>
      <c r="AL668" s="5">
        <f t="shared" si="517"/>
        <v>0</v>
      </c>
      <c r="AM668" s="5">
        <f t="shared" si="528"/>
        <v>0</v>
      </c>
      <c r="AN668" s="5">
        <f t="shared" si="518"/>
        <v>0</v>
      </c>
      <c r="AO668" s="5">
        <f t="shared" si="529"/>
        <v>0</v>
      </c>
      <c r="AP668" s="11">
        <v>3</v>
      </c>
      <c r="AQ668" s="1">
        <v>-1.1000000000000001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1</v>
      </c>
      <c r="AY668" s="1">
        <f t="shared" si="501"/>
        <v>0</v>
      </c>
      <c r="AZ668" s="1">
        <f t="shared" si="502"/>
        <v>0</v>
      </c>
      <c r="BA668" s="1">
        <f t="shared" si="503"/>
        <v>0</v>
      </c>
      <c r="BB668" s="5">
        <v>0</v>
      </c>
      <c r="BC668" s="5">
        <v>0</v>
      </c>
      <c r="BD668" s="5">
        <v>0</v>
      </c>
      <c r="BE668" s="5">
        <f t="shared" si="504"/>
        <v>1</v>
      </c>
      <c r="BF668" s="5">
        <v>1</v>
      </c>
      <c r="BG668" s="5">
        <f t="shared" si="525"/>
        <v>0</v>
      </c>
      <c r="BH668" s="5">
        <f t="shared" si="525"/>
        <v>0</v>
      </c>
      <c r="BI668" s="5">
        <f t="shared" si="525"/>
        <v>0</v>
      </c>
      <c r="BJ668" s="5">
        <f t="shared" si="525"/>
        <v>0</v>
      </c>
      <c r="BK668" s="5">
        <f t="shared" si="525"/>
        <v>0</v>
      </c>
      <c r="BL668" s="5">
        <f t="shared" si="525"/>
        <v>0</v>
      </c>
      <c r="BM668" s="5">
        <f t="shared" si="525"/>
        <v>0</v>
      </c>
      <c r="BN668" s="5">
        <f t="shared" si="525"/>
        <v>0</v>
      </c>
      <c r="BO668" s="5">
        <f t="shared" si="524"/>
        <v>0</v>
      </c>
      <c r="BP668" s="5">
        <f t="shared" si="524"/>
        <v>0</v>
      </c>
      <c r="BQ668" s="5">
        <f t="shared" si="524"/>
        <v>0</v>
      </c>
      <c r="BR668" s="5">
        <f t="shared" si="524"/>
        <v>0</v>
      </c>
      <c r="BS668" s="5">
        <f t="shared" si="524"/>
        <v>0</v>
      </c>
      <c r="BT668" s="5">
        <f t="shared" si="524"/>
        <v>0</v>
      </c>
      <c r="BU668" s="5">
        <f t="shared" si="524"/>
        <v>0</v>
      </c>
      <c r="BV668" s="5">
        <f t="shared" si="524"/>
        <v>0</v>
      </c>
      <c r="BW668" s="5">
        <f t="shared" si="524"/>
        <v>0</v>
      </c>
      <c r="BX668" s="5">
        <f t="shared" si="524"/>
        <v>0</v>
      </c>
      <c r="BY668" s="5">
        <f t="shared" si="524"/>
        <v>0</v>
      </c>
      <c r="BZ668" s="5">
        <f t="shared" si="524"/>
        <v>0</v>
      </c>
      <c r="CA668" s="5">
        <f t="shared" si="524"/>
        <v>0</v>
      </c>
      <c r="CB668" s="5">
        <f t="shared" si="523"/>
        <v>1</v>
      </c>
      <c r="CC668" s="5">
        <f t="shared" si="523"/>
        <v>0</v>
      </c>
      <c r="CD668" s="5">
        <f t="shared" si="523"/>
        <v>0</v>
      </c>
      <c r="CE668" s="5">
        <f t="shared" si="523"/>
        <v>0</v>
      </c>
    </row>
    <row r="669" spans="1:83" x14ac:dyDescent="0.2">
      <c r="A669" s="11"/>
      <c r="B669" s="11"/>
      <c r="C669" s="1">
        <f>Growth!D674</f>
        <v>0</v>
      </c>
      <c r="D669" s="5" t="b">
        <f t="shared" si="521"/>
        <v>0</v>
      </c>
      <c r="E669" s="5">
        <v>2012</v>
      </c>
      <c r="F669" s="5">
        <f ca="1">LOOKUP($E669,frequence!$A$2:$A$35,frequence!L$2:L$35)</f>
        <v>41.545638202606931</v>
      </c>
      <c r="G669" s="5">
        <f ca="1">LOOKUP($E669,frequence!$A$2:$A$35,frequence!K$2:K$35)</f>
        <v>3.8191206393393822</v>
      </c>
      <c r="H669" s="5">
        <f ca="1">LOOKUP($E669,frequence!$A$2:$A$35,frequence!M$2:M$35)</f>
        <v>265.64322815143237</v>
      </c>
      <c r="I669" s="18">
        <v>2005</v>
      </c>
      <c r="J669" s="7">
        <f>LOOKUP(I669,CPI!A$69:A$103,CPI!O$69:O$103)</f>
        <v>1.1165181771633383</v>
      </c>
      <c r="K669" s="5">
        <v>2015</v>
      </c>
      <c r="L669" s="7">
        <f t="shared" ca="1" si="515"/>
        <v>1</v>
      </c>
      <c r="M669" s="7">
        <f t="shared" si="527"/>
        <v>4.3055555555555555E-2</v>
      </c>
      <c r="N669" s="14">
        <f t="shared" si="506"/>
        <v>6.9444444444444441E-3</v>
      </c>
      <c r="O669" s="1">
        <f ca="1">P669*J669*(1+Growth!G$6)^(2010-K669)</f>
        <v>178.15631440659169</v>
      </c>
      <c r="P669" s="11">
        <v>172</v>
      </c>
      <c r="Q669" s="2">
        <f t="shared" si="478"/>
        <v>172</v>
      </c>
      <c r="R669" s="21">
        <f t="shared" ca="1" si="522"/>
        <v>31739.67236294035</v>
      </c>
      <c r="X669" s="2"/>
      <c r="AC669" s="1">
        <f t="shared" si="507"/>
        <v>6.2</v>
      </c>
      <c r="AD669" s="5">
        <v>1</v>
      </c>
      <c r="AE669" s="5">
        <v>0</v>
      </c>
      <c r="AF669" s="5">
        <v>1</v>
      </c>
      <c r="AG669" s="5">
        <v>0</v>
      </c>
      <c r="AH669" s="5">
        <v>1</v>
      </c>
      <c r="AI669" s="3">
        <f t="shared" si="520"/>
        <v>3.2</v>
      </c>
      <c r="AJ669" s="5">
        <f t="shared" si="526"/>
        <v>0</v>
      </c>
      <c r="AK669" s="5">
        <f t="shared" si="516"/>
        <v>0</v>
      </c>
      <c r="AL669" s="5">
        <f t="shared" si="517"/>
        <v>0</v>
      </c>
      <c r="AM669" s="5">
        <f t="shared" si="528"/>
        <v>0</v>
      </c>
      <c r="AN669" s="5">
        <f t="shared" si="518"/>
        <v>0</v>
      </c>
      <c r="AO669" s="5">
        <f t="shared" si="529"/>
        <v>0</v>
      </c>
      <c r="AP669" s="11">
        <v>3</v>
      </c>
      <c r="AQ669" s="1">
        <v>-1.1000000000000001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1</v>
      </c>
      <c r="AY669" s="1">
        <f t="shared" si="501"/>
        <v>0</v>
      </c>
      <c r="AZ669" s="1">
        <f t="shared" si="502"/>
        <v>0</v>
      </c>
      <c r="BA669" s="1">
        <f t="shared" si="503"/>
        <v>0</v>
      </c>
      <c r="BB669" s="5">
        <v>0</v>
      </c>
      <c r="BC669" s="5">
        <v>0</v>
      </c>
      <c r="BD669" s="5">
        <v>0</v>
      </c>
      <c r="BE669" s="5">
        <f t="shared" si="504"/>
        <v>1</v>
      </c>
      <c r="BF669" s="5">
        <v>1</v>
      </c>
      <c r="BG669" s="5">
        <f t="shared" si="525"/>
        <v>0</v>
      </c>
      <c r="BH669" s="5">
        <f t="shared" si="525"/>
        <v>0</v>
      </c>
      <c r="BI669" s="5">
        <f t="shared" si="525"/>
        <v>0</v>
      </c>
      <c r="BJ669" s="5">
        <f t="shared" si="525"/>
        <v>0</v>
      </c>
      <c r="BK669" s="5">
        <f t="shared" si="525"/>
        <v>0</v>
      </c>
      <c r="BL669" s="5">
        <f t="shared" si="525"/>
        <v>0</v>
      </c>
      <c r="BM669" s="5">
        <f t="shared" si="525"/>
        <v>0</v>
      </c>
      <c r="BN669" s="5">
        <f t="shared" si="525"/>
        <v>0</v>
      </c>
      <c r="BO669" s="5">
        <f t="shared" si="524"/>
        <v>0</v>
      </c>
      <c r="BP669" s="5">
        <f t="shared" si="524"/>
        <v>0</v>
      </c>
      <c r="BQ669" s="5">
        <f t="shared" si="524"/>
        <v>0</v>
      </c>
      <c r="BR669" s="5">
        <f t="shared" si="524"/>
        <v>0</v>
      </c>
      <c r="BS669" s="5">
        <f t="shared" si="524"/>
        <v>0</v>
      </c>
      <c r="BT669" s="5">
        <f t="shared" si="524"/>
        <v>0</v>
      </c>
      <c r="BU669" s="5">
        <f t="shared" si="524"/>
        <v>0</v>
      </c>
      <c r="BV669" s="5">
        <f t="shared" si="524"/>
        <v>0</v>
      </c>
      <c r="BW669" s="5">
        <f t="shared" si="524"/>
        <v>0</v>
      </c>
      <c r="BX669" s="5">
        <f t="shared" si="524"/>
        <v>0</v>
      </c>
      <c r="BY669" s="5">
        <f t="shared" si="524"/>
        <v>0</v>
      </c>
      <c r="BZ669" s="5">
        <f t="shared" si="524"/>
        <v>0</v>
      </c>
      <c r="CA669" s="5">
        <f t="shared" si="524"/>
        <v>0</v>
      </c>
      <c r="CB669" s="5">
        <f t="shared" si="523"/>
        <v>1</v>
      </c>
      <c r="CC669" s="5">
        <f t="shared" si="523"/>
        <v>0</v>
      </c>
      <c r="CD669" s="5">
        <f t="shared" si="523"/>
        <v>0</v>
      </c>
      <c r="CE669" s="5">
        <f t="shared" si="523"/>
        <v>0</v>
      </c>
    </row>
    <row r="670" spans="1:83" x14ac:dyDescent="0.2">
      <c r="A670" s="11"/>
      <c r="B670" s="11"/>
      <c r="C670" s="1">
        <f>Growth!D675</f>
        <v>0</v>
      </c>
      <c r="D670" s="5" t="b">
        <f t="shared" si="521"/>
        <v>0</v>
      </c>
      <c r="E670" s="5">
        <v>2012</v>
      </c>
      <c r="F670" s="5">
        <f ca="1">LOOKUP($E670,frequence!$A$2:$A$35,frequence!L$2:L$35)</f>
        <v>41.545638202606931</v>
      </c>
      <c r="G670" s="5">
        <f ca="1">LOOKUP($E670,frequence!$A$2:$A$35,frequence!K$2:K$35)</f>
        <v>3.8191206393393822</v>
      </c>
      <c r="H670" s="5">
        <f ca="1">LOOKUP($E670,frequence!$A$2:$A$35,frequence!M$2:M$35)</f>
        <v>265.64322815143237</v>
      </c>
      <c r="I670" s="18">
        <v>2005</v>
      </c>
      <c r="J670" s="7">
        <f>LOOKUP(I670,CPI!A$69:A$103,CPI!O$69:O$103)</f>
        <v>1.1165181771633383</v>
      </c>
      <c r="K670" s="5">
        <v>2015</v>
      </c>
      <c r="L670" s="7">
        <f t="shared" ca="1" si="515"/>
        <v>1</v>
      </c>
      <c r="M670" s="7">
        <f t="shared" si="527"/>
        <v>4.3055555555555555E-2</v>
      </c>
      <c r="N670" s="14">
        <f t="shared" si="506"/>
        <v>6.9444444444444441E-3</v>
      </c>
      <c r="O670" s="1">
        <f ca="1">P670*J670*(1+Growth!G$6)^(2010-K670)</f>
        <v>178.15631440659169</v>
      </c>
      <c r="P670" s="11">
        <v>172</v>
      </c>
      <c r="Q670" s="2">
        <f t="shared" si="478"/>
        <v>172</v>
      </c>
      <c r="R670" s="21">
        <f t="shared" ca="1" si="522"/>
        <v>31739.67236294035</v>
      </c>
      <c r="X670" s="2"/>
      <c r="AC670" s="1">
        <f t="shared" si="507"/>
        <v>6.2</v>
      </c>
      <c r="AD670" s="5">
        <v>1</v>
      </c>
      <c r="AE670" s="5">
        <v>0</v>
      </c>
      <c r="AF670" s="5">
        <v>1</v>
      </c>
      <c r="AG670" s="5">
        <v>0</v>
      </c>
      <c r="AH670" s="5">
        <v>1</v>
      </c>
      <c r="AI670" s="3">
        <f t="shared" si="520"/>
        <v>3.2</v>
      </c>
      <c r="AJ670" s="5">
        <f t="shared" si="526"/>
        <v>0</v>
      </c>
      <c r="AK670" s="5">
        <f t="shared" si="516"/>
        <v>0</v>
      </c>
      <c r="AL670" s="5">
        <f t="shared" si="517"/>
        <v>0</v>
      </c>
      <c r="AM670" s="5">
        <f t="shared" si="528"/>
        <v>0</v>
      </c>
      <c r="AN670" s="5">
        <f t="shared" si="518"/>
        <v>0</v>
      </c>
      <c r="AO670" s="5">
        <f t="shared" si="529"/>
        <v>0</v>
      </c>
      <c r="AP670" s="11">
        <v>3</v>
      </c>
      <c r="AQ670" s="1">
        <v>-1.1000000000000001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1</v>
      </c>
      <c r="AY670" s="1">
        <f t="shared" si="501"/>
        <v>0</v>
      </c>
      <c r="AZ670" s="1">
        <f t="shared" si="502"/>
        <v>0</v>
      </c>
      <c r="BA670" s="1">
        <f t="shared" si="503"/>
        <v>0</v>
      </c>
      <c r="BB670" s="5">
        <v>0</v>
      </c>
      <c r="BC670" s="5">
        <v>0</v>
      </c>
      <c r="BD670" s="5">
        <v>0</v>
      </c>
      <c r="BE670" s="5">
        <f t="shared" si="504"/>
        <v>1</v>
      </c>
      <c r="BF670" s="5">
        <v>1</v>
      </c>
      <c r="BG670" s="5">
        <f t="shared" si="525"/>
        <v>0</v>
      </c>
      <c r="BH670" s="5">
        <f t="shared" si="525"/>
        <v>0</v>
      </c>
      <c r="BI670" s="5">
        <f t="shared" si="525"/>
        <v>0</v>
      </c>
      <c r="BJ670" s="5">
        <f t="shared" si="525"/>
        <v>0</v>
      </c>
      <c r="BK670" s="5">
        <f t="shared" si="525"/>
        <v>0</v>
      </c>
      <c r="BL670" s="5">
        <f t="shared" si="525"/>
        <v>0</v>
      </c>
      <c r="BM670" s="5">
        <f t="shared" si="525"/>
        <v>0</v>
      </c>
      <c r="BN670" s="5">
        <f t="shared" si="525"/>
        <v>0</v>
      </c>
      <c r="BO670" s="5">
        <f t="shared" si="524"/>
        <v>0</v>
      </c>
      <c r="BP670" s="5">
        <f t="shared" si="524"/>
        <v>0</v>
      </c>
      <c r="BQ670" s="5">
        <f t="shared" si="524"/>
        <v>0</v>
      </c>
      <c r="BR670" s="5">
        <f t="shared" si="524"/>
        <v>0</v>
      </c>
      <c r="BS670" s="5">
        <f t="shared" si="524"/>
        <v>0</v>
      </c>
      <c r="BT670" s="5">
        <f t="shared" si="524"/>
        <v>0</v>
      </c>
      <c r="BU670" s="5">
        <f t="shared" si="524"/>
        <v>0</v>
      </c>
      <c r="BV670" s="5">
        <f t="shared" si="524"/>
        <v>0</v>
      </c>
      <c r="BW670" s="5">
        <f t="shared" si="524"/>
        <v>0</v>
      </c>
      <c r="BX670" s="5">
        <f t="shared" si="524"/>
        <v>0</v>
      </c>
      <c r="BY670" s="5">
        <f t="shared" si="524"/>
        <v>0</v>
      </c>
      <c r="BZ670" s="5">
        <f t="shared" si="524"/>
        <v>0</v>
      </c>
      <c r="CA670" s="5">
        <f t="shared" si="524"/>
        <v>0</v>
      </c>
      <c r="CB670" s="5">
        <f t="shared" si="523"/>
        <v>1</v>
      </c>
      <c r="CC670" s="5">
        <f t="shared" si="523"/>
        <v>0</v>
      </c>
      <c r="CD670" s="5">
        <f t="shared" si="523"/>
        <v>0</v>
      </c>
      <c r="CE670" s="5">
        <f t="shared" si="523"/>
        <v>0</v>
      </c>
    </row>
    <row r="671" spans="1:83" x14ac:dyDescent="0.2">
      <c r="A671" s="11"/>
      <c r="B671" s="11"/>
      <c r="C671" s="1">
        <f>Growth!D676</f>
        <v>0</v>
      </c>
      <c r="D671" s="5" t="b">
        <f t="shared" si="521"/>
        <v>0</v>
      </c>
      <c r="E671" s="5">
        <v>2012</v>
      </c>
      <c r="F671" s="5">
        <f ca="1">LOOKUP($E671,frequence!$A$2:$A$35,frequence!L$2:L$35)</f>
        <v>41.545638202606931</v>
      </c>
      <c r="G671" s="5">
        <f ca="1">LOOKUP($E671,frequence!$A$2:$A$35,frequence!K$2:K$35)</f>
        <v>3.8191206393393822</v>
      </c>
      <c r="H671" s="5">
        <f ca="1">LOOKUP($E671,frequence!$A$2:$A$35,frequence!M$2:M$35)</f>
        <v>265.64322815143237</v>
      </c>
      <c r="I671" s="18">
        <v>2005</v>
      </c>
      <c r="J671" s="7">
        <f>LOOKUP(I671,CPI!A$69:A$103,CPI!O$69:O$103)</f>
        <v>1.1165181771633383</v>
      </c>
      <c r="K671" s="5">
        <v>2015</v>
      </c>
      <c r="L671" s="7">
        <f t="shared" ca="1" si="515"/>
        <v>1</v>
      </c>
      <c r="M671" s="7">
        <f t="shared" si="527"/>
        <v>4.3055555555555555E-2</v>
      </c>
      <c r="N671" s="14">
        <f t="shared" si="506"/>
        <v>6.9444444444444441E-3</v>
      </c>
      <c r="O671" s="1">
        <f ca="1">P671*J671*(1+Growth!G$6)^(2010-K671)</f>
        <v>408.10225509416932</v>
      </c>
      <c r="P671" s="11">
        <v>394</v>
      </c>
      <c r="Q671" s="2">
        <f t="shared" si="478"/>
        <v>394</v>
      </c>
      <c r="R671" s="21">
        <f t="shared" ca="1" si="522"/>
        <v>166547.45061294644</v>
      </c>
      <c r="X671" s="2"/>
      <c r="AC671" s="1">
        <f t="shared" si="507"/>
        <v>6.2</v>
      </c>
      <c r="AD671" s="5">
        <v>1</v>
      </c>
      <c r="AE671" s="5">
        <v>0</v>
      </c>
      <c r="AF671" s="5">
        <v>1</v>
      </c>
      <c r="AG671" s="5">
        <v>0</v>
      </c>
      <c r="AH671" s="5">
        <v>1</v>
      </c>
      <c r="AI671" s="3">
        <f t="shared" si="520"/>
        <v>3.2</v>
      </c>
      <c r="AJ671" s="5">
        <f t="shared" si="526"/>
        <v>0</v>
      </c>
      <c r="AK671" s="5">
        <f t="shared" si="516"/>
        <v>0</v>
      </c>
      <c r="AL671" s="5">
        <f t="shared" si="517"/>
        <v>0</v>
      </c>
      <c r="AM671" s="5">
        <f t="shared" si="528"/>
        <v>0</v>
      </c>
      <c r="AN671" s="5">
        <f t="shared" si="518"/>
        <v>0</v>
      </c>
      <c r="AO671" s="5">
        <f t="shared" si="529"/>
        <v>0</v>
      </c>
      <c r="AP671" s="11">
        <v>3</v>
      </c>
      <c r="AQ671" s="1">
        <v>-1.1000000000000001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1</v>
      </c>
      <c r="AY671" s="1">
        <f t="shared" si="501"/>
        <v>0</v>
      </c>
      <c r="AZ671" s="1">
        <f t="shared" si="502"/>
        <v>0</v>
      </c>
      <c r="BA671" s="1">
        <f t="shared" si="503"/>
        <v>0</v>
      </c>
      <c r="BB671" s="5">
        <v>0</v>
      </c>
      <c r="BC671" s="5">
        <v>0</v>
      </c>
      <c r="BD671" s="5">
        <v>0</v>
      </c>
      <c r="BE671" s="5">
        <f t="shared" si="504"/>
        <v>1</v>
      </c>
      <c r="BF671" s="5">
        <v>1</v>
      </c>
      <c r="BG671" s="5">
        <f t="shared" si="525"/>
        <v>0</v>
      </c>
      <c r="BH671" s="5">
        <f t="shared" si="525"/>
        <v>0</v>
      </c>
      <c r="BI671" s="5">
        <f t="shared" si="525"/>
        <v>0</v>
      </c>
      <c r="BJ671" s="5">
        <f t="shared" si="525"/>
        <v>0</v>
      </c>
      <c r="BK671" s="5">
        <f t="shared" si="525"/>
        <v>0</v>
      </c>
      <c r="BL671" s="5">
        <f t="shared" si="525"/>
        <v>0</v>
      </c>
      <c r="BM671" s="5">
        <f t="shared" si="525"/>
        <v>0</v>
      </c>
      <c r="BN671" s="5">
        <f t="shared" si="525"/>
        <v>0</v>
      </c>
      <c r="BO671" s="5">
        <f t="shared" si="524"/>
        <v>0</v>
      </c>
      <c r="BP671" s="5">
        <f t="shared" si="524"/>
        <v>0</v>
      </c>
      <c r="BQ671" s="5">
        <f t="shared" si="524"/>
        <v>0</v>
      </c>
      <c r="BR671" s="5">
        <f t="shared" si="524"/>
        <v>0</v>
      </c>
      <c r="BS671" s="5">
        <f t="shared" si="524"/>
        <v>0</v>
      </c>
      <c r="BT671" s="5">
        <f t="shared" si="524"/>
        <v>0</v>
      </c>
      <c r="BU671" s="5">
        <f t="shared" si="524"/>
        <v>0</v>
      </c>
      <c r="BV671" s="5">
        <f t="shared" si="524"/>
        <v>0</v>
      </c>
      <c r="BW671" s="5">
        <f t="shared" si="524"/>
        <v>0</v>
      </c>
      <c r="BX671" s="5">
        <f t="shared" si="524"/>
        <v>0</v>
      </c>
      <c r="BY671" s="5">
        <f t="shared" si="524"/>
        <v>0</v>
      </c>
      <c r="BZ671" s="5">
        <f t="shared" si="524"/>
        <v>0</v>
      </c>
      <c r="CA671" s="5">
        <f t="shared" si="524"/>
        <v>0</v>
      </c>
      <c r="CB671" s="5">
        <f t="shared" si="523"/>
        <v>1</v>
      </c>
      <c r="CC671" s="5">
        <f t="shared" si="523"/>
        <v>0</v>
      </c>
      <c r="CD671" s="5">
        <f t="shared" si="523"/>
        <v>0</v>
      </c>
      <c r="CE671" s="5">
        <f t="shared" si="523"/>
        <v>0</v>
      </c>
    </row>
    <row r="672" spans="1:83" x14ac:dyDescent="0.2">
      <c r="A672" s="11"/>
      <c r="B672" s="11"/>
      <c r="C672" s="1">
        <f>Growth!D677</f>
        <v>0</v>
      </c>
      <c r="D672" s="5" t="b">
        <f t="shared" si="521"/>
        <v>0</v>
      </c>
      <c r="E672" s="5">
        <v>2012</v>
      </c>
      <c r="F672" s="5">
        <f ca="1">LOOKUP($E672,frequence!$A$2:$A$35,frequence!L$2:L$35)</f>
        <v>41.545638202606931</v>
      </c>
      <c r="G672" s="5">
        <f ca="1">LOOKUP($E672,frequence!$A$2:$A$35,frequence!K$2:K$35)</f>
        <v>3.8191206393393822</v>
      </c>
      <c r="H672" s="5">
        <f ca="1">LOOKUP($E672,frequence!$A$2:$A$35,frequence!M$2:M$35)</f>
        <v>265.64322815143237</v>
      </c>
      <c r="I672" s="18">
        <v>2005</v>
      </c>
      <c r="J672" s="7">
        <f>LOOKUP(I672,CPI!A$69:A$103,CPI!O$69:O$103)</f>
        <v>1.1165181771633383</v>
      </c>
      <c r="K672" s="5">
        <v>2015</v>
      </c>
      <c r="L672" s="7">
        <f t="shared" ca="1" si="515"/>
        <v>1</v>
      </c>
      <c r="M672" s="7">
        <f t="shared" si="527"/>
        <v>4.3055555555555555E-2</v>
      </c>
      <c r="N672" s="14">
        <f t="shared" si="506"/>
        <v>6.9444444444444441E-3</v>
      </c>
      <c r="O672" s="1">
        <f ca="1">P672*J672*(1+Growth!G$6)^(2010-K672)</f>
        <v>44.539078601647923</v>
      </c>
      <c r="P672" s="11">
        <v>43</v>
      </c>
      <c r="Q672" s="2">
        <f t="shared" si="478"/>
        <v>43</v>
      </c>
      <c r="R672" s="21">
        <f t="shared" ca="1" si="522"/>
        <v>1983.7295226837718</v>
      </c>
      <c r="X672" s="2"/>
      <c r="AC672" s="1">
        <f t="shared" si="507"/>
        <v>6.2</v>
      </c>
      <c r="AD672" s="5">
        <v>1</v>
      </c>
      <c r="AE672" s="5">
        <v>0</v>
      </c>
      <c r="AF672" s="5">
        <v>1</v>
      </c>
      <c r="AG672" s="5">
        <v>0</v>
      </c>
      <c r="AH672" s="5">
        <v>1</v>
      </c>
      <c r="AI672" s="3">
        <f t="shared" si="520"/>
        <v>3.2</v>
      </c>
      <c r="AJ672" s="5">
        <f t="shared" si="526"/>
        <v>0</v>
      </c>
      <c r="AK672" s="5">
        <f t="shared" si="516"/>
        <v>0</v>
      </c>
      <c r="AL672" s="5">
        <f t="shared" si="517"/>
        <v>0</v>
      </c>
      <c r="AM672" s="5">
        <f t="shared" si="528"/>
        <v>0</v>
      </c>
      <c r="AN672" s="5">
        <f t="shared" si="518"/>
        <v>0</v>
      </c>
      <c r="AO672" s="5">
        <f t="shared" si="529"/>
        <v>0</v>
      </c>
      <c r="AP672" s="11">
        <v>3</v>
      </c>
      <c r="AQ672" s="1">
        <v>-1.1000000000000001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1</v>
      </c>
      <c r="AY672" s="1">
        <f t="shared" si="501"/>
        <v>0</v>
      </c>
      <c r="AZ672" s="1">
        <f t="shared" si="502"/>
        <v>0</v>
      </c>
      <c r="BA672" s="1">
        <f t="shared" si="503"/>
        <v>0</v>
      </c>
      <c r="BB672" s="5">
        <v>0</v>
      </c>
      <c r="BC672" s="5">
        <v>0</v>
      </c>
      <c r="BD672" s="5">
        <v>0</v>
      </c>
      <c r="BE672" s="5">
        <f t="shared" si="504"/>
        <v>1</v>
      </c>
      <c r="BF672" s="5">
        <v>1</v>
      </c>
      <c r="BG672" s="5">
        <f t="shared" si="525"/>
        <v>0</v>
      </c>
      <c r="BH672" s="5">
        <f t="shared" si="525"/>
        <v>0</v>
      </c>
      <c r="BI672" s="5">
        <f t="shared" si="525"/>
        <v>0</v>
      </c>
      <c r="BJ672" s="5">
        <f t="shared" si="525"/>
        <v>0</v>
      </c>
      <c r="BK672" s="5">
        <f t="shared" si="525"/>
        <v>0</v>
      </c>
      <c r="BL672" s="5">
        <f t="shared" si="525"/>
        <v>0</v>
      </c>
      <c r="BM672" s="5">
        <f t="shared" si="525"/>
        <v>0</v>
      </c>
      <c r="BN672" s="5">
        <f t="shared" si="525"/>
        <v>0</v>
      </c>
      <c r="BO672" s="5">
        <f t="shared" si="524"/>
        <v>0</v>
      </c>
      <c r="BP672" s="5">
        <f t="shared" si="524"/>
        <v>0</v>
      </c>
      <c r="BQ672" s="5">
        <f t="shared" si="524"/>
        <v>0</v>
      </c>
      <c r="BR672" s="5">
        <f t="shared" si="524"/>
        <v>0</v>
      </c>
      <c r="BS672" s="5">
        <f t="shared" si="524"/>
        <v>0</v>
      </c>
      <c r="BT672" s="5">
        <f t="shared" si="524"/>
        <v>0</v>
      </c>
      <c r="BU672" s="5">
        <f t="shared" si="524"/>
        <v>0</v>
      </c>
      <c r="BV672" s="5">
        <f t="shared" si="524"/>
        <v>0</v>
      </c>
      <c r="BW672" s="5">
        <f t="shared" si="524"/>
        <v>0</v>
      </c>
      <c r="BX672" s="5">
        <f t="shared" si="524"/>
        <v>0</v>
      </c>
      <c r="BY672" s="5">
        <f t="shared" si="524"/>
        <v>0</v>
      </c>
      <c r="BZ672" s="5">
        <f t="shared" si="524"/>
        <v>0</v>
      </c>
      <c r="CA672" s="5">
        <f t="shared" si="524"/>
        <v>0</v>
      </c>
      <c r="CB672" s="5">
        <f t="shared" si="523"/>
        <v>1</v>
      </c>
      <c r="CC672" s="5">
        <f t="shared" si="523"/>
        <v>0</v>
      </c>
      <c r="CD672" s="5">
        <f t="shared" si="523"/>
        <v>0</v>
      </c>
      <c r="CE672" s="5">
        <f t="shared" si="523"/>
        <v>0</v>
      </c>
    </row>
    <row r="673" spans="1:83" x14ac:dyDescent="0.2">
      <c r="A673" s="11"/>
      <c r="B673" s="11"/>
      <c r="C673" s="1">
        <f>Growth!D678</f>
        <v>0</v>
      </c>
      <c r="D673" s="5" t="b">
        <f t="shared" si="521"/>
        <v>0</v>
      </c>
      <c r="E673" s="5">
        <v>2012</v>
      </c>
      <c r="F673" s="5">
        <f ca="1">LOOKUP($E673,frequence!$A$2:$A$35,frequence!L$2:L$35)</f>
        <v>41.545638202606931</v>
      </c>
      <c r="G673" s="5">
        <f ca="1">LOOKUP($E673,frequence!$A$2:$A$35,frequence!K$2:K$35)</f>
        <v>3.8191206393393822</v>
      </c>
      <c r="H673" s="5">
        <f ca="1">LOOKUP($E673,frequence!$A$2:$A$35,frequence!M$2:M$35)</f>
        <v>265.64322815143237</v>
      </c>
      <c r="I673" s="18">
        <v>2005</v>
      </c>
      <c r="J673" s="7">
        <f>LOOKUP(I673,CPI!A$69:A$103,CPI!O$69:O$103)</f>
        <v>1.1165181771633383</v>
      </c>
      <c r="K673" s="5">
        <v>2015</v>
      </c>
      <c r="L673" s="7">
        <f t="shared" ca="1" si="515"/>
        <v>1</v>
      </c>
      <c r="M673" s="7">
        <f t="shared" si="527"/>
        <v>4.3055555555555555E-2</v>
      </c>
      <c r="N673" s="14">
        <f t="shared" si="506"/>
        <v>6.9444444444444441E-3</v>
      </c>
      <c r="O673" s="1">
        <f ca="1">P673*J673*(1+Growth!G$6)^(2010-K673)</f>
        <v>79.756024472718366</v>
      </c>
      <c r="P673" s="11">
        <v>77</v>
      </c>
      <c r="Q673" s="2">
        <f t="shared" si="478"/>
        <v>77</v>
      </c>
      <c r="R673" s="21">
        <f t="shared" ca="1" si="522"/>
        <v>6361.0234396928508</v>
      </c>
      <c r="X673" s="2"/>
      <c r="AC673" s="1">
        <f t="shared" si="507"/>
        <v>6.2</v>
      </c>
      <c r="AD673" s="5">
        <v>1</v>
      </c>
      <c r="AE673" s="5">
        <v>0</v>
      </c>
      <c r="AF673" s="5">
        <v>1</v>
      </c>
      <c r="AG673" s="5">
        <v>0</v>
      </c>
      <c r="AH673" s="5">
        <v>1</v>
      </c>
      <c r="AI673" s="3">
        <f t="shared" si="520"/>
        <v>3.2</v>
      </c>
      <c r="AJ673" s="5">
        <f t="shared" si="526"/>
        <v>0</v>
      </c>
      <c r="AK673" s="5">
        <f t="shared" si="516"/>
        <v>0</v>
      </c>
      <c r="AL673" s="5">
        <f t="shared" si="517"/>
        <v>0</v>
      </c>
      <c r="AM673" s="5">
        <f t="shared" si="528"/>
        <v>0</v>
      </c>
      <c r="AN673" s="5">
        <f t="shared" si="518"/>
        <v>0</v>
      </c>
      <c r="AO673" s="5">
        <f t="shared" si="529"/>
        <v>0</v>
      </c>
      <c r="AP673" s="11">
        <v>3</v>
      </c>
      <c r="AQ673" s="1">
        <v>-1.1000000000000001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1</v>
      </c>
      <c r="AY673" s="1">
        <f t="shared" si="501"/>
        <v>0</v>
      </c>
      <c r="AZ673" s="1">
        <f t="shared" si="502"/>
        <v>0</v>
      </c>
      <c r="BA673" s="1">
        <f t="shared" si="503"/>
        <v>0</v>
      </c>
      <c r="BB673" s="5">
        <v>0</v>
      </c>
      <c r="BC673" s="5">
        <v>0</v>
      </c>
      <c r="BD673" s="5">
        <v>0</v>
      </c>
      <c r="BE673" s="5">
        <f t="shared" si="504"/>
        <v>1</v>
      </c>
      <c r="BF673" s="5">
        <v>1</v>
      </c>
      <c r="BG673" s="5">
        <f t="shared" si="525"/>
        <v>0</v>
      </c>
      <c r="BH673" s="5">
        <f t="shared" si="525"/>
        <v>0</v>
      </c>
      <c r="BI673" s="5">
        <f t="shared" si="525"/>
        <v>0</v>
      </c>
      <c r="BJ673" s="5">
        <f t="shared" si="525"/>
        <v>0</v>
      </c>
      <c r="BK673" s="5">
        <f t="shared" si="525"/>
        <v>0</v>
      </c>
      <c r="BL673" s="5">
        <f t="shared" si="525"/>
        <v>0</v>
      </c>
      <c r="BM673" s="5">
        <f t="shared" si="525"/>
        <v>0</v>
      </c>
      <c r="BN673" s="5">
        <f t="shared" si="525"/>
        <v>0</v>
      </c>
      <c r="BO673" s="5">
        <f t="shared" si="524"/>
        <v>0</v>
      </c>
      <c r="BP673" s="5">
        <f t="shared" si="524"/>
        <v>0</v>
      </c>
      <c r="BQ673" s="5">
        <f t="shared" si="524"/>
        <v>0</v>
      </c>
      <c r="BR673" s="5">
        <f t="shared" si="524"/>
        <v>0</v>
      </c>
      <c r="BS673" s="5">
        <f t="shared" si="524"/>
        <v>0</v>
      </c>
      <c r="BT673" s="5">
        <f t="shared" si="524"/>
        <v>0</v>
      </c>
      <c r="BU673" s="5">
        <f t="shared" si="524"/>
        <v>0</v>
      </c>
      <c r="BV673" s="5">
        <f t="shared" si="524"/>
        <v>0</v>
      </c>
      <c r="BW673" s="5">
        <f t="shared" si="524"/>
        <v>0</v>
      </c>
      <c r="BX673" s="5">
        <f t="shared" si="524"/>
        <v>0</v>
      </c>
      <c r="BY673" s="5">
        <f t="shared" si="524"/>
        <v>0</v>
      </c>
      <c r="BZ673" s="5">
        <f t="shared" si="524"/>
        <v>0</v>
      </c>
      <c r="CA673" s="5">
        <f t="shared" si="524"/>
        <v>0</v>
      </c>
      <c r="CB673" s="5">
        <f t="shared" si="523"/>
        <v>1</v>
      </c>
      <c r="CC673" s="5">
        <f t="shared" si="523"/>
        <v>0</v>
      </c>
      <c r="CD673" s="5">
        <f t="shared" si="523"/>
        <v>0</v>
      </c>
      <c r="CE673" s="5">
        <f t="shared" si="523"/>
        <v>0</v>
      </c>
    </row>
    <row r="674" spans="1:83" x14ac:dyDescent="0.2">
      <c r="A674" s="11"/>
      <c r="B674" s="11"/>
      <c r="C674" s="1">
        <f>Growth!D679</f>
        <v>0</v>
      </c>
      <c r="D674" s="5" t="b">
        <f t="shared" si="521"/>
        <v>0</v>
      </c>
      <c r="E674" s="5">
        <v>2012</v>
      </c>
      <c r="F674" s="5">
        <f ca="1">LOOKUP($E674,frequence!$A$2:$A$35,frequence!L$2:L$35)</f>
        <v>41.545638202606931</v>
      </c>
      <c r="G674" s="5">
        <f ca="1">LOOKUP($E674,frequence!$A$2:$A$35,frequence!K$2:K$35)</f>
        <v>3.8191206393393822</v>
      </c>
      <c r="H674" s="5">
        <f ca="1">LOOKUP($E674,frequence!$A$2:$A$35,frequence!M$2:M$35)</f>
        <v>265.64322815143237</v>
      </c>
      <c r="I674" s="18">
        <v>2005</v>
      </c>
      <c r="J674" s="7">
        <f>LOOKUP(I674,CPI!A$69:A$103,CPI!O$69:O$103)</f>
        <v>1.1165181771633383</v>
      </c>
      <c r="K674" s="5">
        <v>2015</v>
      </c>
      <c r="L674" s="7">
        <f t="shared" ca="1" si="515"/>
        <v>1</v>
      </c>
      <c r="M674" s="7">
        <f t="shared" si="527"/>
        <v>4.3055555555555555E-2</v>
      </c>
      <c r="N674" s="14">
        <f t="shared" si="506"/>
        <v>6.9444444444444441E-3</v>
      </c>
      <c r="O674" s="1">
        <f ca="1">P674*J674*(1+Growth!G$6)^(2010-K674)</f>
        <v>397.74432983797215</v>
      </c>
      <c r="P674" s="11">
        <v>384</v>
      </c>
      <c r="Q674" s="2">
        <f t="shared" si="478"/>
        <v>384</v>
      </c>
      <c r="R674" s="21">
        <f t="shared" ca="1" si="522"/>
        <v>158200.55191825758</v>
      </c>
      <c r="X674" s="2"/>
      <c r="AC674" s="1">
        <f t="shared" si="507"/>
        <v>6.2</v>
      </c>
      <c r="AD674" s="5">
        <v>1</v>
      </c>
      <c r="AE674" s="5">
        <v>0</v>
      </c>
      <c r="AF674" s="5">
        <v>1</v>
      </c>
      <c r="AG674" s="5">
        <v>0</v>
      </c>
      <c r="AH674" s="5">
        <v>1</v>
      </c>
      <c r="AI674" s="3">
        <f t="shared" si="520"/>
        <v>3.2</v>
      </c>
      <c r="AJ674" s="5">
        <f t="shared" si="526"/>
        <v>0</v>
      </c>
      <c r="AK674" s="5">
        <f t="shared" si="516"/>
        <v>0</v>
      </c>
      <c r="AL674" s="5">
        <f t="shared" si="517"/>
        <v>0</v>
      </c>
      <c r="AM674" s="5">
        <f t="shared" si="528"/>
        <v>0</v>
      </c>
      <c r="AN674" s="5">
        <f t="shared" si="518"/>
        <v>0</v>
      </c>
      <c r="AO674" s="5">
        <f t="shared" si="529"/>
        <v>0</v>
      </c>
      <c r="AP674" s="11">
        <v>3</v>
      </c>
      <c r="AQ674" s="1">
        <v>-1.1000000000000001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1</v>
      </c>
      <c r="AY674" s="1">
        <f t="shared" si="501"/>
        <v>0</v>
      </c>
      <c r="AZ674" s="1">
        <f t="shared" si="502"/>
        <v>0</v>
      </c>
      <c r="BA674" s="1">
        <f t="shared" si="503"/>
        <v>0</v>
      </c>
      <c r="BB674" s="5">
        <v>0</v>
      </c>
      <c r="BC674" s="5">
        <v>0</v>
      </c>
      <c r="BD674" s="5">
        <v>0</v>
      </c>
      <c r="BE674" s="5">
        <f t="shared" si="504"/>
        <v>1</v>
      </c>
      <c r="BF674" s="5">
        <v>1</v>
      </c>
      <c r="BG674" s="5">
        <f t="shared" si="525"/>
        <v>0</v>
      </c>
      <c r="BH674" s="5">
        <f t="shared" si="525"/>
        <v>0</v>
      </c>
      <c r="BI674" s="5">
        <f t="shared" si="525"/>
        <v>0</v>
      </c>
      <c r="BJ674" s="5">
        <f t="shared" si="525"/>
        <v>0</v>
      </c>
      <c r="BK674" s="5">
        <f t="shared" si="525"/>
        <v>0</v>
      </c>
      <c r="BL674" s="5">
        <f t="shared" si="525"/>
        <v>0</v>
      </c>
      <c r="BM674" s="5">
        <f t="shared" si="525"/>
        <v>0</v>
      </c>
      <c r="BN674" s="5">
        <f t="shared" si="525"/>
        <v>0</v>
      </c>
      <c r="BO674" s="5">
        <f t="shared" si="524"/>
        <v>0</v>
      </c>
      <c r="BP674" s="5">
        <f t="shared" si="524"/>
        <v>0</v>
      </c>
      <c r="BQ674" s="5">
        <f t="shared" si="524"/>
        <v>0</v>
      </c>
      <c r="BR674" s="5">
        <f t="shared" si="524"/>
        <v>0</v>
      </c>
      <c r="BS674" s="5">
        <f t="shared" si="524"/>
        <v>0</v>
      </c>
      <c r="BT674" s="5">
        <f t="shared" si="524"/>
        <v>0</v>
      </c>
      <c r="BU674" s="5">
        <f t="shared" si="524"/>
        <v>0</v>
      </c>
      <c r="BV674" s="5">
        <f t="shared" si="524"/>
        <v>0</v>
      </c>
      <c r="BW674" s="5">
        <f t="shared" si="524"/>
        <v>0</v>
      </c>
      <c r="BX674" s="5">
        <f t="shared" si="524"/>
        <v>0</v>
      </c>
      <c r="BY674" s="5">
        <f t="shared" si="524"/>
        <v>0</v>
      </c>
      <c r="BZ674" s="5">
        <f t="shared" si="524"/>
        <v>0</v>
      </c>
      <c r="CA674" s="5">
        <f t="shared" si="524"/>
        <v>0</v>
      </c>
      <c r="CB674" s="5">
        <f t="shared" si="523"/>
        <v>1</v>
      </c>
      <c r="CC674" s="5">
        <f t="shared" si="523"/>
        <v>0</v>
      </c>
      <c r="CD674" s="5">
        <f t="shared" si="523"/>
        <v>0</v>
      </c>
      <c r="CE674" s="5">
        <f t="shared" si="523"/>
        <v>0</v>
      </c>
    </row>
    <row r="675" spans="1:83" x14ac:dyDescent="0.2">
      <c r="A675" s="11"/>
      <c r="B675" s="11"/>
      <c r="C675" s="1">
        <f>Growth!D680</f>
        <v>0</v>
      </c>
      <c r="D675" s="5" t="b">
        <f t="shared" si="521"/>
        <v>0</v>
      </c>
      <c r="E675" s="5">
        <v>2012</v>
      </c>
      <c r="F675" s="5">
        <f ca="1">LOOKUP($E675,frequence!$A$2:$A$35,frequence!L$2:L$35)</f>
        <v>41.545638202606931</v>
      </c>
      <c r="G675" s="5">
        <f ca="1">LOOKUP($E675,frequence!$A$2:$A$35,frequence!K$2:K$35)</f>
        <v>3.8191206393393822</v>
      </c>
      <c r="H675" s="5">
        <f ca="1">LOOKUP($E675,frequence!$A$2:$A$35,frequence!M$2:M$35)</f>
        <v>265.64322815143237</v>
      </c>
      <c r="I675" s="18">
        <v>2005</v>
      </c>
      <c r="J675" s="7">
        <f>LOOKUP(I675,CPI!A$69:A$103,CPI!O$69:O$103)</f>
        <v>1.1165181771633383</v>
      </c>
      <c r="K675" s="5">
        <v>2015</v>
      </c>
      <c r="L675" s="7">
        <f t="shared" ca="1" si="515"/>
        <v>1</v>
      </c>
      <c r="M675" s="7">
        <f t="shared" si="527"/>
        <v>4.3055555555555555E-2</v>
      </c>
      <c r="N675" s="14">
        <f t="shared" si="506"/>
        <v>6.9444444444444441E-3</v>
      </c>
      <c r="O675" s="1">
        <f ca="1">P675*J675*(1+Growth!G$6)^(2010-K675)</f>
        <v>435.03286076028201</v>
      </c>
      <c r="P675" s="11">
        <v>420</v>
      </c>
      <c r="Q675" s="2">
        <f t="shared" si="478"/>
        <v>420</v>
      </c>
      <c r="R675" s="21">
        <f t="shared" ca="1" si="522"/>
        <v>189253.5899412749</v>
      </c>
      <c r="X675" s="2"/>
      <c r="AC675" s="1">
        <f t="shared" si="507"/>
        <v>6.2</v>
      </c>
      <c r="AD675" s="5">
        <v>1</v>
      </c>
      <c r="AE675" s="5">
        <v>0</v>
      </c>
      <c r="AF675" s="5">
        <v>1</v>
      </c>
      <c r="AG675" s="5">
        <v>0</v>
      </c>
      <c r="AH675" s="5">
        <v>1</v>
      </c>
      <c r="AI675" s="3">
        <f t="shared" si="520"/>
        <v>3.2</v>
      </c>
      <c r="AJ675" s="5">
        <f t="shared" si="526"/>
        <v>0</v>
      </c>
      <c r="AK675" s="5">
        <f t="shared" si="516"/>
        <v>0</v>
      </c>
      <c r="AL675" s="5">
        <f t="shared" si="517"/>
        <v>0</v>
      </c>
      <c r="AM675" s="5">
        <f t="shared" si="528"/>
        <v>0</v>
      </c>
      <c r="AN675" s="5">
        <f t="shared" si="518"/>
        <v>0</v>
      </c>
      <c r="AO675" s="5">
        <f t="shared" si="529"/>
        <v>0</v>
      </c>
      <c r="AP675" s="11">
        <v>3</v>
      </c>
      <c r="AQ675" s="1">
        <v>-1.1000000000000001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1</v>
      </c>
      <c r="AY675" s="1">
        <f t="shared" si="501"/>
        <v>0</v>
      </c>
      <c r="AZ675" s="1">
        <f t="shared" si="502"/>
        <v>0</v>
      </c>
      <c r="BA675" s="1">
        <f t="shared" si="503"/>
        <v>0</v>
      </c>
      <c r="BB675" s="5">
        <v>0</v>
      </c>
      <c r="BC675" s="5">
        <v>0</v>
      </c>
      <c r="BD675" s="5">
        <v>0</v>
      </c>
      <c r="BE675" s="5">
        <f t="shared" si="504"/>
        <v>1</v>
      </c>
      <c r="BF675" s="5">
        <v>1</v>
      </c>
      <c r="BG675" s="5">
        <f t="shared" si="525"/>
        <v>0</v>
      </c>
      <c r="BH675" s="5">
        <f t="shared" si="525"/>
        <v>0</v>
      </c>
      <c r="BI675" s="5">
        <f t="shared" si="525"/>
        <v>0</v>
      </c>
      <c r="BJ675" s="5">
        <f t="shared" si="525"/>
        <v>0</v>
      </c>
      <c r="BK675" s="5">
        <f t="shared" si="525"/>
        <v>0</v>
      </c>
      <c r="BL675" s="5">
        <f t="shared" si="525"/>
        <v>0</v>
      </c>
      <c r="BM675" s="5">
        <f t="shared" si="525"/>
        <v>0</v>
      </c>
      <c r="BN675" s="5">
        <f t="shared" si="525"/>
        <v>0</v>
      </c>
      <c r="BO675" s="5">
        <f t="shared" si="524"/>
        <v>0</v>
      </c>
      <c r="BP675" s="5">
        <f t="shared" si="524"/>
        <v>0</v>
      </c>
      <c r="BQ675" s="5">
        <f t="shared" si="524"/>
        <v>0</v>
      </c>
      <c r="BR675" s="5">
        <f t="shared" si="524"/>
        <v>0</v>
      </c>
      <c r="BS675" s="5">
        <f t="shared" si="524"/>
        <v>0</v>
      </c>
      <c r="BT675" s="5">
        <f t="shared" si="524"/>
        <v>0</v>
      </c>
      <c r="BU675" s="5">
        <f t="shared" si="524"/>
        <v>0</v>
      </c>
      <c r="BV675" s="5">
        <f t="shared" si="524"/>
        <v>0</v>
      </c>
      <c r="BW675" s="5">
        <f t="shared" si="524"/>
        <v>0</v>
      </c>
      <c r="BX675" s="5">
        <f t="shared" si="524"/>
        <v>0</v>
      </c>
      <c r="BY675" s="5">
        <f t="shared" si="524"/>
        <v>0</v>
      </c>
      <c r="BZ675" s="5">
        <f t="shared" si="524"/>
        <v>0</v>
      </c>
      <c r="CA675" s="5">
        <f t="shared" si="524"/>
        <v>0</v>
      </c>
      <c r="CB675" s="5">
        <f t="shared" si="523"/>
        <v>1</v>
      </c>
      <c r="CC675" s="5">
        <f t="shared" si="523"/>
        <v>0</v>
      </c>
      <c r="CD675" s="5">
        <f t="shared" si="523"/>
        <v>0</v>
      </c>
      <c r="CE675" s="5">
        <f t="shared" si="523"/>
        <v>0</v>
      </c>
    </row>
    <row r="676" spans="1:83" x14ac:dyDescent="0.2">
      <c r="A676" s="11"/>
      <c r="B676" s="11"/>
      <c r="C676" s="1">
        <f>Growth!D681</f>
        <v>0</v>
      </c>
      <c r="D676" s="5" t="b">
        <f t="shared" si="521"/>
        <v>0</v>
      </c>
      <c r="E676" s="5">
        <v>2012</v>
      </c>
      <c r="F676" s="5">
        <f ca="1">LOOKUP($E676,frequence!$A$2:$A$35,frequence!L$2:L$35)</f>
        <v>41.545638202606931</v>
      </c>
      <c r="G676" s="5">
        <f ca="1">LOOKUP($E676,frequence!$A$2:$A$35,frequence!K$2:K$35)</f>
        <v>3.8191206393393822</v>
      </c>
      <c r="H676" s="5">
        <f ca="1">LOOKUP($E676,frequence!$A$2:$A$35,frequence!M$2:M$35)</f>
        <v>265.64322815143237</v>
      </c>
      <c r="I676" s="18">
        <v>2005</v>
      </c>
      <c r="J676" s="7">
        <f>LOOKUP(I676,CPI!A$69:A$103,CPI!O$69:O$103)</f>
        <v>1.1165181771633383</v>
      </c>
      <c r="K676" s="5">
        <v>2015</v>
      </c>
      <c r="L676" s="7">
        <f t="shared" ca="1" si="515"/>
        <v>1</v>
      </c>
      <c r="M676" s="7">
        <f t="shared" si="527"/>
        <v>4.3055555555555555E-2</v>
      </c>
      <c r="N676" s="14">
        <f t="shared" si="506"/>
        <v>6.9444444444444441E-3</v>
      </c>
      <c r="O676" s="1">
        <f ca="1">P676*J676*(1+Growth!G$6)^(2010-K676)</f>
        <v>87.006572152056407</v>
      </c>
      <c r="P676" s="11">
        <v>84</v>
      </c>
      <c r="Q676" s="2">
        <f t="shared" si="478"/>
        <v>84</v>
      </c>
      <c r="R676" s="21">
        <f t="shared" ca="1" si="522"/>
        <v>7570.1435976509974</v>
      </c>
      <c r="X676" s="2"/>
      <c r="AC676" s="1">
        <f t="shared" si="507"/>
        <v>6.2</v>
      </c>
      <c r="AD676" s="5">
        <v>1</v>
      </c>
      <c r="AE676" s="5">
        <v>0</v>
      </c>
      <c r="AF676" s="5">
        <v>1</v>
      </c>
      <c r="AG676" s="5">
        <v>0</v>
      </c>
      <c r="AH676" s="5">
        <v>1</v>
      </c>
      <c r="AI676" s="3">
        <f t="shared" si="520"/>
        <v>3.2</v>
      </c>
      <c r="AJ676" s="5">
        <f t="shared" si="526"/>
        <v>0</v>
      </c>
      <c r="AK676" s="5">
        <f t="shared" si="516"/>
        <v>0</v>
      </c>
      <c r="AL676" s="5">
        <f t="shared" si="517"/>
        <v>0</v>
      </c>
      <c r="AM676" s="5">
        <f t="shared" si="528"/>
        <v>0</v>
      </c>
      <c r="AN676" s="5">
        <f t="shared" si="518"/>
        <v>0</v>
      </c>
      <c r="AO676" s="5">
        <f t="shared" si="529"/>
        <v>0</v>
      </c>
      <c r="AP676" s="11">
        <v>3</v>
      </c>
      <c r="AQ676" s="1">
        <v>-1.1000000000000001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1</v>
      </c>
      <c r="AY676" s="1">
        <f t="shared" ref="AY676:AY739" si="530">AJ676*$AD676*(1-$AV676)*(1-$AR676)</f>
        <v>0</v>
      </c>
      <c r="AZ676" s="1">
        <f t="shared" ref="AZ676:AZ739" si="531">AM676*$AD676*(1-$AV676)*(1-$AR676)</f>
        <v>0</v>
      </c>
      <c r="BA676" s="1">
        <f t="shared" ref="BA676:BA739" si="532">AO676*$AD676*(1-$AV676)*(1-$AR676)</f>
        <v>0</v>
      </c>
      <c r="BB676" s="5">
        <v>0</v>
      </c>
      <c r="BC676" s="5">
        <v>0</v>
      </c>
      <c r="BD676" s="5">
        <v>0</v>
      </c>
      <c r="BE676" s="5">
        <f t="shared" ref="BE676:BE739" si="533">1-SUM(BB676:BD676)</f>
        <v>1</v>
      </c>
      <c r="BF676" s="5">
        <v>1</v>
      </c>
      <c r="BG676" s="5">
        <f t="shared" si="525"/>
        <v>0</v>
      </c>
      <c r="BH676" s="5">
        <f t="shared" si="525"/>
        <v>0</v>
      </c>
      <c r="BI676" s="5">
        <f t="shared" si="525"/>
        <v>0</v>
      </c>
      <c r="BJ676" s="5">
        <f t="shared" si="525"/>
        <v>0</v>
      </c>
      <c r="BK676" s="5">
        <f t="shared" si="525"/>
        <v>0</v>
      </c>
      <c r="BL676" s="5">
        <f t="shared" si="525"/>
        <v>0</v>
      </c>
      <c r="BM676" s="5">
        <f t="shared" si="525"/>
        <v>0</v>
      </c>
      <c r="BN676" s="5">
        <f t="shared" ref="BN676:CB691" si="534">IF($E676=BN$2,1,0)</f>
        <v>0</v>
      </c>
      <c r="BO676" s="5">
        <f t="shared" si="534"/>
        <v>0</v>
      </c>
      <c r="BP676" s="5">
        <f t="shared" si="534"/>
        <v>0</v>
      </c>
      <c r="BQ676" s="5">
        <f t="shared" si="534"/>
        <v>0</v>
      </c>
      <c r="BR676" s="5">
        <f t="shared" si="534"/>
        <v>0</v>
      </c>
      <c r="BS676" s="5">
        <f t="shared" si="534"/>
        <v>0</v>
      </c>
      <c r="BT676" s="5">
        <f t="shared" si="534"/>
        <v>0</v>
      </c>
      <c r="BU676" s="5">
        <f t="shared" si="534"/>
        <v>0</v>
      </c>
      <c r="BV676" s="5">
        <f t="shared" si="534"/>
        <v>0</v>
      </c>
      <c r="BW676" s="5">
        <f t="shared" si="534"/>
        <v>0</v>
      </c>
      <c r="BX676" s="5">
        <f t="shared" si="534"/>
        <v>0</v>
      </c>
      <c r="BY676" s="5">
        <f t="shared" si="534"/>
        <v>0</v>
      </c>
      <c r="BZ676" s="5">
        <f t="shared" si="534"/>
        <v>0</v>
      </c>
      <c r="CA676" s="5">
        <f t="shared" si="534"/>
        <v>0</v>
      </c>
      <c r="CB676" s="5">
        <f t="shared" si="523"/>
        <v>1</v>
      </c>
      <c r="CC676" s="5">
        <f t="shared" si="523"/>
        <v>0</v>
      </c>
      <c r="CD676" s="5">
        <f t="shared" si="523"/>
        <v>0</v>
      </c>
      <c r="CE676" s="5">
        <f t="shared" si="523"/>
        <v>0</v>
      </c>
    </row>
    <row r="677" spans="1:83" x14ac:dyDescent="0.2">
      <c r="A677" s="11"/>
      <c r="B677" s="11"/>
      <c r="C677" s="1">
        <f>Growth!D682</f>
        <v>0</v>
      </c>
      <c r="D677" s="5" t="b">
        <f t="shared" si="521"/>
        <v>0</v>
      </c>
      <c r="E677" s="5">
        <v>2012</v>
      </c>
      <c r="F677" s="5">
        <f ca="1">LOOKUP($E677,frequence!$A$2:$A$35,frequence!L$2:L$35)</f>
        <v>41.545638202606931</v>
      </c>
      <c r="G677" s="5">
        <f ca="1">LOOKUP($E677,frequence!$A$2:$A$35,frequence!K$2:K$35)</f>
        <v>3.8191206393393822</v>
      </c>
      <c r="H677" s="5">
        <f ca="1">LOOKUP($E677,frequence!$A$2:$A$35,frequence!M$2:M$35)</f>
        <v>265.64322815143237</v>
      </c>
      <c r="I677" s="18">
        <v>2005</v>
      </c>
      <c r="J677" s="7">
        <f>LOOKUP(I677,CPI!A$69:A$103,CPI!O$69:O$103)</f>
        <v>1.1165181771633383</v>
      </c>
      <c r="K677" s="5">
        <v>2015</v>
      </c>
      <c r="L677" s="7">
        <f t="shared" ca="1" si="515"/>
        <v>1</v>
      </c>
      <c r="M677" s="7">
        <f t="shared" si="527"/>
        <v>4.3055555555555555E-2</v>
      </c>
      <c r="N677" s="14">
        <f t="shared" ref="N677:N740" si="535">1/144</f>
        <v>6.9444444444444441E-3</v>
      </c>
      <c r="O677" s="1">
        <f ca="1">P677*J677*(1+Growth!G$6)^(2010-K677)</f>
        <v>75.612854370239489</v>
      </c>
      <c r="P677" s="11">
        <v>73</v>
      </c>
      <c r="Q677" s="2">
        <f t="shared" si="478"/>
        <v>73</v>
      </c>
      <c r="R677" s="21">
        <f t="shared" ca="1" si="522"/>
        <v>5717.3037460150454</v>
      </c>
      <c r="X677" s="2"/>
      <c r="AC677" s="1">
        <f t="shared" ref="AC677:AC740" si="536">SUM(AD677:AI677)</f>
        <v>6.2</v>
      </c>
      <c r="AD677" s="5">
        <v>1</v>
      </c>
      <c r="AE677" s="5">
        <v>0</v>
      </c>
      <c r="AF677" s="5">
        <v>1</v>
      </c>
      <c r="AG677" s="5">
        <v>0</v>
      </c>
      <c r="AH677" s="5">
        <v>1</v>
      </c>
      <c r="AI677" s="3">
        <f t="shared" si="520"/>
        <v>3.2</v>
      </c>
      <c r="AJ677" s="5">
        <f t="shared" si="526"/>
        <v>0</v>
      </c>
      <c r="AK677" s="5">
        <f t="shared" si="516"/>
        <v>0</v>
      </c>
      <c r="AL677" s="5">
        <f t="shared" si="517"/>
        <v>0</v>
      </c>
      <c r="AM677" s="5">
        <f t="shared" si="528"/>
        <v>0</v>
      </c>
      <c r="AN677" s="5">
        <f t="shared" si="518"/>
        <v>0</v>
      </c>
      <c r="AO677" s="5">
        <f t="shared" si="529"/>
        <v>0</v>
      </c>
      <c r="AP677" s="11">
        <v>3</v>
      </c>
      <c r="AQ677" s="1">
        <v>-1.1000000000000001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1</v>
      </c>
      <c r="AY677" s="1">
        <f t="shared" si="530"/>
        <v>0</v>
      </c>
      <c r="AZ677" s="1">
        <f t="shared" si="531"/>
        <v>0</v>
      </c>
      <c r="BA677" s="1">
        <f t="shared" si="532"/>
        <v>0</v>
      </c>
      <c r="BB677" s="5">
        <v>0</v>
      </c>
      <c r="BC677" s="5">
        <v>0</v>
      </c>
      <c r="BD677" s="5">
        <v>0</v>
      </c>
      <c r="BE677" s="5">
        <f t="shared" si="533"/>
        <v>1</v>
      </c>
      <c r="BF677" s="5">
        <v>1</v>
      </c>
      <c r="BG677" s="5">
        <f t="shared" ref="BG677:BN692" si="537">IF($E677=BG$2,1,0)</f>
        <v>0</v>
      </c>
      <c r="BH677" s="5">
        <f t="shared" si="537"/>
        <v>0</v>
      </c>
      <c r="BI677" s="5">
        <f t="shared" si="537"/>
        <v>0</v>
      </c>
      <c r="BJ677" s="5">
        <f t="shared" si="537"/>
        <v>0</v>
      </c>
      <c r="BK677" s="5">
        <f t="shared" si="537"/>
        <v>0</v>
      </c>
      <c r="BL677" s="5">
        <f t="shared" si="537"/>
        <v>0</v>
      </c>
      <c r="BM677" s="5">
        <f t="shared" si="537"/>
        <v>0</v>
      </c>
      <c r="BN677" s="5">
        <f t="shared" si="534"/>
        <v>0</v>
      </c>
      <c r="BO677" s="5">
        <f t="shared" si="534"/>
        <v>0</v>
      </c>
      <c r="BP677" s="5">
        <f t="shared" si="534"/>
        <v>0</v>
      </c>
      <c r="BQ677" s="5">
        <f t="shared" si="534"/>
        <v>0</v>
      </c>
      <c r="BR677" s="5">
        <f t="shared" si="534"/>
        <v>0</v>
      </c>
      <c r="BS677" s="5">
        <f t="shared" si="534"/>
        <v>0</v>
      </c>
      <c r="BT677" s="5">
        <f t="shared" si="534"/>
        <v>0</v>
      </c>
      <c r="BU677" s="5">
        <f t="shared" si="534"/>
        <v>0</v>
      </c>
      <c r="BV677" s="5">
        <f t="shared" si="534"/>
        <v>0</v>
      </c>
      <c r="BW677" s="5">
        <f t="shared" si="534"/>
        <v>0</v>
      </c>
      <c r="BX677" s="5">
        <f t="shared" si="534"/>
        <v>0</v>
      </c>
      <c r="BY677" s="5">
        <f t="shared" si="534"/>
        <v>0</v>
      </c>
      <c r="BZ677" s="5">
        <f t="shared" si="534"/>
        <v>0</v>
      </c>
      <c r="CA677" s="5">
        <f t="shared" si="534"/>
        <v>0</v>
      </c>
      <c r="CB677" s="5">
        <f t="shared" si="523"/>
        <v>1</v>
      </c>
      <c r="CC677" s="5">
        <f t="shared" si="523"/>
        <v>0</v>
      </c>
      <c r="CD677" s="5">
        <f t="shared" si="523"/>
        <v>0</v>
      </c>
      <c r="CE677" s="5">
        <f t="shared" si="523"/>
        <v>0</v>
      </c>
    </row>
    <row r="678" spans="1:83" x14ac:dyDescent="0.2">
      <c r="A678" s="11"/>
      <c r="B678" s="11"/>
      <c r="C678" s="1">
        <f>Growth!D683</f>
        <v>0</v>
      </c>
      <c r="D678" s="5" t="b">
        <f t="shared" si="521"/>
        <v>0</v>
      </c>
      <c r="E678" s="5">
        <v>2012</v>
      </c>
      <c r="F678" s="5">
        <f ca="1">LOOKUP($E678,frequence!$A$2:$A$35,frequence!L$2:L$35)</f>
        <v>41.545638202606931</v>
      </c>
      <c r="G678" s="5">
        <f ca="1">LOOKUP($E678,frequence!$A$2:$A$35,frequence!K$2:K$35)</f>
        <v>3.8191206393393822</v>
      </c>
      <c r="H678" s="5">
        <f ca="1">LOOKUP($E678,frequence!$A$2:$A$35,frequence!M$2:M$35)</f>
        <v>265.64322815143237</v>
      </c>
      <c r="I678" s="18">
        <v>2005</v>
      </c>
      <c r="J678" s="7">
        <f>LOOKUP(I678,CPI!A$69:A$103,CPI!O$69:O$103)</f>
        <v>1.1165181771633383</v>
      </c>
      <c r="K678" s="5">
        <v>2015</v>
      </c>
      <c r="L678" s="7">
        <f t="shared" ca="1" si="515"/>
        <v>1</v>
      </c>
      <c r="M678" s="7">
        <f t="shared" si="527"/>
        <v>4.3055555555555555E-2</v>
      </c>
      <c r="N678" s="14">
        <f t="shared" si="535"/>
        <v>6.9444444444444441E-3</v>
      </c>
      <c r="O678" s="1">
        <f ca="1">P678*J678*(1+Growth!G$6)^(2010-K678)</f>
        <v>226.83856311071847</v>
      </c>
      <c r="P678" s="11">
        <v>219</v>
      </c>
      <c r="Q678" s="2">
        <f t="shared" si="478"/>
        <v>219</v>
      </c>
      <c r="R678" s="21">
        <f t="shared" ca="1" si="522"/>
        <v>51455.733714135407</v>
      </c>
      <c r="X678" s="2"/>
      <c r="AC678" s="1">
        <f t="shared" si="536"/>
        <v>6.2</v>
      </c>
      <c r="AD678" s="5">
        <v>1</v>
      </c>
      <c r="AE678" s="5">
        <v>0</v>
      </c>
      <c r="AF678" s="5">
        <v>1</v>
      </c>
      <c r="AG678" s="5">
        <v>0</v>
      </c>
      <c r="AH678" s="5">
        <v>1</v>
      </c>
      <c r="AI678" s="3">
        <f t="shared" si="520"/>
        <v>3.2</v>
      </c>
      <c r="AJ678" s="5">
        <f t="shared" si="526"/>
        <v>0</v>
      </c>
      <c r="AK678" s="5">
        <f t="shared" si="516"/>
        <v>0</v>
      </c>
      <c r="AL678" s="5">
        <f t="shared" si="517"/>
        <v>0</v>
      </c>
      <c r="AM678" s="5">
        <f t="shared" si="528"/>
        <v>0</v>
      </c>
      <c r="AN678" s="5">
        <f t="shared" si="518"/>
        <v>0</v>
      </c>
      <c r="AO678" s="5">
        <f t="shared" si="529"/>
        <v>0</v>
      </c>
      <c r="AP678" s="11">
        <v>3</v>
      </c>
      <c r="AQ678" s="1">
        <v>-1.1000000000000001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1</v>
      </c>
      <c r="AY678" s="1">
        <f t="shared" si="530"/>
        <v>0</v>
      </c>
      <c r="AZ678" s="1">
        <f t="shared" si="531"/>
        <v>0</v>
      </c>
      <c r="BA678" s="1">
        <f t="shared" si="532"/>
        <v>0</v>
      </c>
      <c r="BB678" s="5">
        <v>0</v>
      </c>
      <c r="BC678" s="5">
        <v>0</v>
      </c>
      <c r="BD678" s="5">
        <v>0</v>
      </c>
      <c r="BE678" s="5">
        <f t="shared" si="533"/>
        <v>1</v>
      </c>
      <c r="BF678" s="5">
        <v>1</v>
      </c>
      <c r="BG678" s="5">
        <f t="shared" si="537"/>
        <v>0</v>
      </c>
      <c r="BH678" s="5">
        <f t="shared" si="537"/>
        <v>0</v>
      </c>
      <c r="BI678" s="5">
        <f t="shared" si="537"/>
        <v>0</v>
      </c>
      <c r="BJ678" s="5">
        <f t="shared" si="537"/>
        <v>0</v>
      </c>
      <c r="BK678" s="5">
        <f t="shared" si="537"/>
        <v>0</v>
      </c>
      <c r="BL678" s="5">
        <f t="shared" si="537"/>
        <v>0</v>
      </c>
      <c r="BM678" s="5">
        <f t="shared" si="537"/>
        <v>0</v>
      </c>
      <c r="BN678" s="5">
        <f t="shared" si="534"/>
        <v>0</v>
      </c>
      <c r="BO678" s="5">
        <f t="shared" si="534"/>
        <v>0</v>
      </c>
      <c r="BP678" s="5">
        <f t="shared" si="534"/>
        <v>0</v>
      </c>
      <c r="BQ678" s="5">
        <f t="shared" si="534"/>
        <v>0</v>
      </c>
      <c r="BR678" s="5">
        <f t="shared" si="534"/>
        <v>0</v>
      </c>
      <c r="BS678" s="5">
        <f t="shared" si="534"/>
        <v>0</v>
      </c>
      <c r="BT678" s="5">
        <f t="shared" si="534"/>
        <v>0</v>
      </c>
      <c r="BU678" s="5">
        <f t="shared" si="534"/>
        <v>0</v>
      </c>
      <c r="BV678" s="5">
        <f t="shared" si="534"/>
        <v>0</v>
      </c>
      <c r="BW678" s="5">
        <f t="shared" si="534"/>
        <v>0</v>
      </c>
      <c r="BX678" s="5">
        <f t="shared" si="534"/>
        <v>0</v>
      </c>
      <c r="BY678" s="5">
        <f t="shared" si="534"/>
        <v>0</v>
      </c>
      <c r="BZ678" s="5">
        <f t="shared" si="534"/>
        <v>0</v>
      </c>
      <c r="CA678" s="5">
        <f t="shared" si="534"/>
        <v>0</v>
      </c>
      <c r="CB678" s="5">
        <f t="shared" si="523"/>
        <v>1</v>
      </c>
      <c r="CC678" s="5">
        <f t="shared" si="523"/>
        <v>0</v>
      </c>
      <c r="CD678" s="5">
        <f t="shared" si="523"/>
        <v>0</v>
      </c>
      <c r="CE678" s="5">
        <f t="shared" si="523"/>
        <v>0</v>
      </c>
    </row>
    <row r="679" spans="1:83" x14ac:dyDescent="0.2">
      <c r="A679" s="11"/>
      <c r="B679" s="11"/>
      <c r="C679" s="1">
        <f>Growth!D684</f>
        <v>0</v>
      </c>
      <c r="D679" s="5" t="b">
        <f t="shared" si="521"/>
        <v>0</v>
      </c>
      <c r="E679" s="5">
        <v>2012</v>
      </c>
      <c r="F679" s="5">
        <f ca="1">LOOKUP($E679,frequence!$A$2:$A$35,frequence!L$2:L$35)</f>
        <v>41.545638202606931</v>
      </c>
      <c r="G679" s="5">
        <f ca="1">LOOKUP($E679,frequence!$A$2:$A$35,frequence!K$2:K$35)</f>
        <v>3.8191206393393822</v>
      </c>
      <c r="H679" s="5">
        <f ca="1">LOOKUP($E679,frequence!$A$2:$A$35,frequence!M$2:M$35)</f>
        <v>265.64322815143237</v>
      </c>
      <c r="I679" s="18">
        <v>2005</v>
      </c>
      <c r="J679" s="7">
        <f>LOOKUP(I679,CPI!A$69:A$103,CPI!O$69:O$103)</f>
        <v>1.1165181771633383</v>
      </c>
      <c r="K679" s="5">
        <v>2015</v>
      </c>
      <c r="L679" s="7">
        <f t="shared" ca="1" si="515"/>
        <v>1</v>
      </c>
      <c r="M679" s="7">
        <f t="shared" si="527"/>
        <v>4.3055555555555555E-2</v>
      </c>
      <c r="N679" s="14">
        <f t="shared" si="535"/>
        <v>6.9444444444444441E-3</v>
      </c>
      <c r="O679" s="1">
        <f ca="1">P679*J679*(1+Growth!G$6)^(2010-K679)</f>
        <v>226.83856311071847</v>
      </c>
      <c r="P679" s="11">
        <v>219</v>
      </c>
      <c r="Q679" s="2">
        <f t="shared" si="478"/>
        <v>219</v>
      </c>
      <c r="R679" s="21">
        <f t="shared" ca="1" si="522"/>
        <v>51455.733714135407</v>
      </c>
      <c r="X679" s="2"/>
      <c r="AC679" s="1">
        <f t="shared" si="536"/>
        <v>6.2</v>
      </c>
      <c r="AD679" s="5">
        <v>1</v>
      </c>
      <c r="AE679" s="5">
        <v>0</v>
      </c>
      <c r="AF679" s="5">
        <v>1</v>
      </c>
      <c r="AG679" s="5">
        <v>0</v>
      </c>
      <c r="AH679" s="5">
        <v>1</v>
      </c>
      <c r="AI679" s="3">
        <f t="shared" si="520"/>
        <v>3.2</v>
      </c>
      <c r="AJ679" s="5">
        <f t="shared" si="526"/>
        <v>0</v>
      </c>
      <c r="AK679" s="5">
        <f t="shared" si="516"/>
        <v>0</v>
      </c>
      <c r="AL679" s="5">
        <f t="shared" si="517"/>
        <v>0</v>
      </c>
      <c r="AM679" s="5">
        <f t="shared" si="528"/>
        <v>0</v>
      </c>
      <c r="AN679" s="5">
        <f t="shared" si="518"/>
        <v>0</v>
      </c>
      <c r="AO679" s="5">
        <f t="shared" si="529"/>
        <v>0</v>
      </c>
      <c r="AP679" s="11">
        <v>3</v>
      </c>
      <c r="AQ679" s="1">
        <v>-1.1000000000000001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1</v>
      </c>
      <c r="AY679" s="1">
        <f t="shared" si="530"/>
        <v>0</v>
      </c>
      <c r="AZ679" s="1">
        <f t="shared" si="531"/>
        <v>0</v>
      </c>
      <c r="BA679" s="1">
        <f t="shared" si="532"/>
        <v>0</v>
      </c>
      <c r="BB679" s="5">
        <v>0</v>
      </c>
      <c r="BC679" s="5">
        <v>0</v>
      </c>
      <c r="BD679" s="5">
        <v>0</v>
      </c>
      <c r="BE679" s="5">
        <f t="shared" si="533"/>
        <v>1</v>
      </c>
      <c r="BF679" s="5">
        <v>1</v>
      </c>
      <c r="BG679" s="5">
        <f t="shared" si="537"/>
        <v>0</v>
      </c>
      <c r="BH679" s="5">
        <f t="shared" si="537"/>
        <v>0</v>
      </c>
      <c r="BI679" s="5">
        <f t="shared" si="537"/>
        <v>0</v>
      </c>
      <c r="BJ679" s="5">
        <f t="shared" si="537"/>
        <v>0</v>
      </c>
      <c r="BK679" s="5">
        <f t="shared" si="537"/>
        <v>0</v>
      </c>
      <c r="BL679" s="5">
        <f t="shared" si="537"/>
        <v>0</v>
      </c>
      <c r="BM679" s="5">
        <f t="shared" si="537"/>
        <v>0</v>
      </c>
      <c r="BN679" s="5">
        <f t="shared" si="534"/>
        <v>0</v>
      </c>
      <c r="BO679" s="5">
        <f t="shared" si="534"/>
        <v>0</v>
      </c>
      <c r="BP679" s="5">
        <f t="shared" si="534"/>
        <v>0</v>
      </c>
      <c r="BQ679" s="5">
        <f t="shared" si="534"/>
        <v>0</v>
      </c>
      <c r="BR679" s="5">
        <f t="shared" si="534"/>
        <v>0</v>
      </c>
      <c r="BS679" s="5">
        <f t="shared" si="534"/>
        <v>0</v>
      </c>
      <c r="BT679" s="5">
        <f t="shared" si="534"/>
        <v>0</v>
      </c>
      <c r="BU679" s="5">
        <f t="shared" si="534"/>
        <v>0</v>
      </c>
      <c r="BV679" s="5">
        <f t="shared" si="534"/>
        <v>0</v>
      </c>
      <c r="BW679" s="5">
        <f t="shared" si="534"/>
        <v>0</v>
      </c>
      <c r="BX679" s="5">
        <f t="shared" si="534"/>
        <v>0</v>
      </c>
      <c r="BY679" s="5">
        <f t="shared" si="534"/>
        <v>0</v>
      </c>
      <c r="BZ679" s="5">
        <f t="shared" si="534"/>
        <v>0</v>
      </c>
      <c r="CA679" s="5">
        <f t="shared" si="534"/>
        <v>0</v>
      </c>
      <c r="CB679" s="5">
        <f t="shared" si="534"/>
        <v>1</v>
      </c>
      <c r="CC679" s="5">
        <f t="shared" ref="CC679:CE698" si="538">IF($E679=CC$2,1,0)</f>
        <v>0</v>
      </c>
      <c r="CD679" s="5">
        <f t="shared" si="538"/>
        <v>0</v>
      </c>
      <c r="CE679" s="5">
        <f t="shared" si="538"/>
        <v>0</v>
      </c>
    </row>
    <row r="680" spans="1:83" x14ac:dyDescent="0.2">
      <c r="A680" s="11"/>
      <c r="B680" s="11"/>
      <c r="C680" s="1">
        <f>Growth!D685</f>
        <v>0</v>
      </c>
      <c r="D680" s="5" t="b">
        <f t="shared" si="521"/>
        <v>0</v>
      </c>
      <c r="E680" s="5">
        <v>2012</v>
      </c>
      <c r="F680" s="5">
        <f ca="1">LOOKUP($E680,frequence!$A$2:$A$35,frequence!L$2:L$35)</f>
        <v>41.545638202606931</v>
      </c>
      <c r="G680" s="5">
        <f ca="1">LOOKUP($E680,frequence!$A$2:$A$35,frequence!K$2:K$35)</f>
        <v>3.8191206393393822</v>
      </c>
      <c r="H680" s="5">
        <f ca="1">LOOKUP($E680,frequence!$A$2:$A$35,frequence!M$2:M$35)</f>
        <v>265.64322815143237</v>
      </c>
      <c r="I680" s="18">
        <v>2005</v>
      </c>
      <c r="J680" s="7">
        <f>LOOKUP(I680,CPI!A$69:A$103,CPI!O$69:O$103)</f>
        <v>1.1165181771633383</v>
      </c>
      <c r="K680" s="5">
        <v>2015</v>
      </c>
      <c r="L680" s="7">
        <f t="shared" ca="1" si="515"/>
        <v>1</v>
      </c>
      <c r="M680" s="7">
        <f t="shared" si="527"/>
        <v>4.3055555555555555E-2</v>
      </c>
      <c r="N680" s="14">
        <f t="shared" si="535"/>
        <v>6.9444444444444441E-3</v>
      </c>
      <c r="O680" s="1">
        <f ca="1">P680*J680*(1+Growth!G$6)^(2010-K680)</f>
        <v>1044.0788658246768</v>
      </c>
      <c r="P680" s="11">
        <v>1008</v>
      </c>
      <c r="Q680" s="2">
        <f t="shared" si="478"/>
        <v>1008</v>
      </c>
      <c r="R680" s="21">
        <f t="shared" ca="1" si="522"/>
        <v>1090100.6780617435</v>
      </c>
      <c r="X680" s="2"/>
      <c r="AC680" s="1">
        <f t="shared" si="536"/>
        <v>6.2</v>
      </c>
      <c r="AD680" s="5">
        <v>1</v>
      </c>
      <c r="AE680" s="5">
        <v>0</v>
      </c>
      <c r="AF680" s="5">
        <v>1</v>
      </c>
      <c r="AG680" s="5">
        <v>0</v>
      </c>
      <c r="AH680" s="5">
        <v>1</v>
      </c>
      <c r="AI680" s="3">
        <f t="shared" si="520"/>
        <v>3.2</v>
      </c>
      <c r="AJ680" s="5">
        <f t="shared" si="526"/>
        <v>0</v>
      </c>
      <c r="AK680" s="5">
        <f t="shared" si="516"/>
        <v>0</v>
      </c>
      <c r="AL680" s="5">
        <f t="shared" si="517"/>
        <v>0</v>
      </c>
      <c r="AM680" s="5">
        <f t="shared" si="528"/>
        <v>0</v>
      </c>
      <c r="AN680" s="5">
        <f t="shared" si="518"/>
        <v>0</v>
      </c>
      <c r="AO680" s="5">
        <f t="shared" si="529"/>
        <v>0</v>
      </c>
      <c r="AP680" s="11">
        <v>3</v>
      </c>
      <c r="AQ680" s="1">
        <v>-1.1000000000000001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1</v>
      </c>
      <c r="AY680" s="1">
        <f t="shared" si="530"/>
        <v>0</v>
      </c>
      <c r="AZ680" s="1">
        <f t="shared" si="531"/>
        <v>0</v>
      </c>
      <c r="BA680" s="1">
        <f t="shared" si="532"/>
        <v>0</v>
      </c>
      <c r="BB680" s="5">
        <v>0</v>
      </c>
      <c r="BC680" s="5">
        <v>0</v>
      </c>
      <c r="BD680" s="5">
        <v>0</v>
      </c>
      <c r="BE680" s="5">
        <f t="shared" si="533"/>
        <v>1</v>
      </c>
      <c r="BF680" s="5">
        <v>1</v>
      </c>
      <c r="BG680" s="5">
        <f t="shared" si="537"/>
        <v>0</v>
      </c>
      <c r="BH680" s="5">
        <f t="shared" si="537"/>
        <v>0</v>
      </c>
      <c r="BI680" s="5">
        <f t="shared" si="537"/>
        <v>0</v>
      </c>
      <c r="BJ680" s="5">
        <f t="shared" si="537"/>
        <v>0</v>
      </c>
      <c r="BK680" s="5">
        <f t="shared" si="537"/>
        <v>0</v>
      </c>
      <c r="BL680" s="5">
        <f t="shared" si="537"/>
        <v>0</v>
      </c>
      <c r="BM680" s="5">
        <f t="shared" si="537"/>
        <v>0</v>
      </c>
      <c r="BN680" s="5">
        <f t="shared" si="534"/>
        <v>0</v>
      </c>
      <c r="BO680" s="5">
        <f t="shared" si="534"/>
        <v>0</v>
      </c>
      <c r="BP680" s="5">
        <f t="shared" si="534"/>
        <v>0</v>
      </c>
      <c r="BQ680" s="5">
        <f t="shared" si="534"/>
        <v>0</v>
      </c>
      <c r="BR680" s="5">
        <f t="shared" si="534"/>
        <v>0</v>
      </c>
      <c r="BS680" s="5">
        <f t="shared" si="534"/>
        <v>0</v>
      </c>
      <c r="BT680" s="5">
        <f t="shared" si="534"/>
        <v>0</v>
      </c>
      <c r="BU680" s="5">
        <f t="shared" si="534"/>
        <v>0</v>
      </c>
      <c r="BV680" s="5">
        <f t="shared" si="534"/>
        <v>0</v>
      </c>
      <c r="BW680" s="5">
        <f t="shared" si="534"/>
        <v>0</v>
      </c>
      <c r="BX680" s="5">
        <f t="shared" si="534"/>
        <v>0</v>
      </c>
      <c r="BY680" s="5">
        <f t="shared" si="534"/>
        <v>0</v>
      </c>
      <c r="BZ680" s="5">
        <f t="shared" si="534"/>
        <v>0</v>
      </c>
      <c r="CA680" s="5">
        <f t="shared" si="534"/>
        <v>0</v>
      </c>
      <c r="CB680" s="5">
        <f t="shared" si="534"/>
        <v>1</v>
      </c>
      <c r="CC680" s="5">
        <f t="shared" si="538"/>
        <v>0</v>
      </c>
      <c r="CD680" s="5">
        <f t="shared" si="538"/>
        <v>0</v>
      </c>
      <c r="CE680" s="5">
        <f t="shared" si="538"/>
        <v>0</v>
      </c>
    </row>
    <row r="681" spans="1:83" x14ac:dyDescent="0.2">
      <c r="A681" s="11"/>
      <c r="B681" s="11"/>
      <c r="C681" s="1">
        <f>Growth!D686</f>
        <v>0</v>
      </c>
      <c r="D681" s="5" t="b">
        <f t="shared" si="521"/>
        <v>0</v>
      </c>
      <c r="E681" s="5">
        <v>2012</v>
      </c>
      <c r="F681" s="5">
        <f ca="1">LOOKUP($E681,frequence!$A$2:$A$35,frequence!L$2:L$35)</f>
        <v>41.545638202606931</v>
      </c>
      <c r="G681" s="5">
        <f ca="1">LOOKUP($E681,frequence!$A$2:$A$35,frequence!K$2:K$35)</f>
        <v>3.8191206393393822</v>
      </c>
      <c r="H681" s="5">
        <f ca="1">LOOKUP($E681,frequence!$A$2:$A$35,frequence!M$2:M$35)</f>
        <v>265.64322815143237</v>
      </c>
      <c r="I681" s="18">
        <v>2005</v>
      </c>
      <c r="J681" s="7">
        <f>LOOKUP(I681,CPI!A$69:A$103,CPI!O$69:O$103)</f>
        <v>1.1165181771633383</v>
      </c>
      <c r="K681" s="5">
        <v>2015</v>
      </c>
      <c r="L681" s="7">
        <f t="shared" ca="1" si="515"/>
        <v>1</v>
      </c>
      <c r="M681" s="7">
        <f t="shared" si="527"/>
        <v>4.3055555555555555E-2</v>
      </c>
      <c r="N681" s="14">
        <f t="shared" si="535"/>
        <v>6.9444444444444441E-3</v>
      </c>
      <c r="O681" s="1">
        <f ca="1">P681*J681*(1+Growth!G$6)^(2010-K681)</f>
        <v>743.69903339495829</v>
      </c>
      <c r="P681" s="11">
        <v>718</v>
      </c>
      <c r="Q681" s="2">
        <f t="shared" si="478"/>
        <v>718</v>
      </c>
      <c r="R681" s="21">
        <f t="shared" ca="1" si="522"/>
        <v>553088.2522725953</v>
      </c>
      <c r="X681" s="2"/>
      <c r="AC681" s="1">
        <f t="shared" si="536"/>
        <v>6.2</v>
      </c>
      <c r="AD681" s="5">
        <v>1</v>
      </c>
      <c r="AE681" s="5">
        <v>0</v>
      </c>
      <c r="AF681" s="5">
        <v>1</v>
      </c>
      <c r="AG681" s="5">
        <v>0</v>
      </c>
      <c r="AH681" s="5">
        <v>1</v>
      </c>
      <c r="AI681" s="3">
        <f t="shared" si="520"/>
        <v>3.2</v>
      </c>
      <c r="AJ681" s="5">
        <f t="shared" si="526"/>
        <v>0</v>
      </c>
      <c r="AK681" s="5">
        <f t="shared" si="516"/>
        <v>0</v>
      </c>
      <c r="AL681" s="5">
        <f t="shared" si="517"/>
        <v>0</v>
      </c>
      <c r="AM681" s="5">
        <f t="shared" si="528"/>
        <v>0</v>
      </c>
      <c r="AN681" s="5">
        <f t="shared" si="518"/>
        <v>0</v>
      </c>
      <c r="AO681" s="5">
        <f t="shared" si="529"/>
        <v>0</v>
      </c>
      <c r="AP681" s="11">
        <v>3</v>
      </c>
      <c r="AQ681" s="1">
        <v>-1.1000000000000001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1</v>
      </c>
      <c r="AY681" s="1">
        <f t="shared" si="530"/>
        <v>0</v>
      </c>
      <c r="AZ681" s="1">
        <f t="shared" si="531"/>
        <v>0</v>
      </c>
      <c r="BA681" s="1">
        <f t="shared" si="532"/>
        <v>0</v>
      </c>
      <c r="BB681" s="5">
        <v>0</v>
      </c>
      <c r="BC681" s="5">
        <v>0</v>
      </c>
      <c r="BD681" s="5">
        <v>0</v>
      </c>
      <c r="BE681" s="5">
        <f t="shared" si="533"/>
        <v>1</v>
      </c>
      <c r="BF681" s="5">
        <v>1</v>
      </c>
      <c r="BG681" s="5">
        <f t="shared" si="537"/>
        <v>0</v>
      </c>
      <c r="BH681" s="5">
        <f t="shared" si="537"/>
        <v>0</v>
      </c>
      <c r="BI681" s="5">
        <f t="shared" si="537"/>
        <v>0</v>
      </c>
      <c r="BJ681" s="5">
        <f t="shared" si="537"/>
        <v>0</v>
      </c>
      <c r="BK681" s="5">
        <f t="shared" si="537"/>
        <v>0</v>
      </c>
      <c r="BL681" s="5">
        <f t="shared" si="537"/>
        <v>0</v>
      </c>
      <c r="BM681" s="5">
        <f t="shared" si="537"/>
        <v>0</v>
      </c>
      <c r="BN681" s="5">
        <f t="shared" si="534"/>
        <v>0</v>
      </c>
      <c r="BO681" s="5">
        <f t="shared" si="534"/>
        <v>0</v>
      </c>
      <c r="BP681" s="5">
        <f t="shared" si="534"/>
        <v>0</v>
      </c>
      <c r="BQ681" s="5">
        <f t="shared" si="534"/>
        <v>0</v>
      </c>
      <c r="BR681" s="5">
        <f t="shared" si="534"/>
        <v>0</v>
      </c>
      <c r="BS681" s="5">
        <f t="shared" si="534"/>
        <v>0</v>
      </c>
      <c r="BT681" s="5">
        <f t="shared" si="534"/>
        <v>0</v>
      </c>
      <c r="BU681" s="5">
        <f t="shared" si="534"/>
        <v>0</v>
      </c>
      <c r="BV681" s="5">
        <f t="shared" si="534"/>
        <v>0</v>
      </c>
      <c r="BW681" s="5">
        <f t="shared" si="534"/>
        <v>0</v>
      </c>
      <c r="BX681" s="5">
        <f t="shared" si="534"/>
        <v>0</v>
      </c>
      <c r="BY681" s="5">
        <f t="shared" si="534"/>
        <v>0</v>
      </c>
      <c r="BZ681" s="5">
        <f t="shared" si="534"/>
        <v>0</v>
      </c>
      <c r="CA681" s="5">
        <f t="shared" si="534"/>
        <v>0</v>
      </c>
      <c r="CB681" s="5">
        <f t="shared" si="534"/>
        <v>1</v>
      </c>
      <c r="CC681" s="5">
        <f t="shared" si="538"/>
        <v>0</v>
      </c>
      <c r="CD681" s="5">
        <f t="shared" si="538"/>
        <v>0</v>
      </c>
      <c r="CE681" s="5">
        <f t="shared" si="538"/>
        <v>0</v>
      </c>
    </row>
    <row r="682" spans="1:83" x14ac:dyDescent="0.2">
      <c r="A682" s="11"/>
      <c r="B682" s="11"/>
      <c r="C682" s="1">
        <f>Growth!D687</f>
        <v>0</v>
      </c>
      <c r="D682" s="5" t="b">
        <f t="shared" si="521"/>
        <v>0</v>
      </c>
      <c r="E682" s="5">
        <v>2012</v>
      </c>
      <c r="F682" s="5">
        <f ca="1">LOOKUP($E682,frequence!$A$2:$A$35,frequence!L$2:L$35)</f>
        <v>41.545638202606931</v>
      </c>
      <c r="G682" s="5">
        <f ca="1">LOOKUP($E682,frequence!$A$2:$A$35,frequence!K$2:K$35)</f>
        <v>3.8191206393393822</v>
      </c>
      <c r="H682" s="5">
        <f ca="1">LOOKUP($E682,frequence!$A$2:$A$35,frequence!M$2:M$35)</f>
        <v>265.64322815143237</v>
      </c>
      <c r="I682" s="18">
        <v>2005</v>
      </c>
      <c r="J682" s="7">
        <f>LOOKUP(I682,CPI!A$69:A$103,CPI!O$69:O$103)</f>
        <v>1.1165181771633383</v>
      </c>
      <c r="K682" s="5">
        <v>2015</v>
      </c>
      <c r="L682" s="7">
        <f t="shared" ca="1" si="515"/>
        <v>1</v>
      </c>
      <c r="M682" s="7">
        <f t="shared" si="527"/>
        <v>4.3055555555555555E-2</v>
      </c>
      <c r="N682" s="14">
        <f t="shared" si="535"/>
        <v>6.9444444444444441E-3</v>
      </c>
      <c r="O682" s="1">
        <f ca="1">P682*J682*(1+Growth!G$6)^(2010-K682)</f>
        <v>748.87799602305688</v>
      </c>
      <c r="P682" s="11">
        <v>723</v>
      </c>
      <c r="Q682" s="2">
        <f t="shared" si="478"/>
        <v>723</v>
      </c>
      <c r="R682" s="21">
        <f t="shared" ca="1" si="522"/>
        <v>560818.2529275096</v>
      </c>
      <c r="X682" s="2"/>
      <c r="AC682" s="1">
        <f t="shared" si="536"/>
        <v>6.2</v>
      </c>
      <c r="AD682" s="5">
        <v>1</v>
      </c>
      <c r="AE682" s="5">
        <v>0</v>
      </c>
      <c r="AF682" s="5">
        <v>1</v>
      </c>
      <c r="AG682" s="5">
        <v>0</v>
      </c>
      <c r="AH682" s="5">
        <v>1</v>
      </c>
      <c r="AI682" s="3">
        <f t="shared" si="520"/>
        <v>3.2</v>
      </c>
      <c r="AJ682" s="5">
        <f t="shared" si="526"/>
        <v>0</v>
      </c>
      <c r="AK682" s="5">
        <f t="shared" si="516"/>
        <v>0</v>
      </c>
      <c r="AL682" s="5">
        <f t="shared" si="517"/>
        <v>0</v>
      </c>
      <c r="AM682" s="5">
        <f t="shared" si="528"/>
        <v>0</v>
      </c>
      <c r="AN682" s="5">
        <f t="shared" si="518"/>
        <v>0</v>
      </c>
      <c r="AO682" s="5">
        <f t="shared" si="529"/>
        <v>0</v>
      </c>
      <c r="AP682" s="11">
        <v>3</v>
      </c>
      <c r="AQ682" s="1">
        <v>-1.1000000000000001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1</v>
      </c>
      <c r="AY682" s="1">
        <f t="shared" si="530"/>
        <v>0</v>
      </c>
      <c r="AZ682" s="1">
        <f t="shared" si="531"/>
        <v>0</v>
      </c>
      <c r="BA682" s="1">
        <f t="shared" si="532"/>
        <v>0</v>
      </c>
      <c r="BB682" s="5">
        <v>0</v>
      </c>
      <c r="BC682" s="5">
        <v>0</v>
      </c>
      <c r="BD682" s="5">
        <v>0</v>
      </c>
      <c r="BE682" s="5">
        <f t="shared" si="533"/>
        <v>1</v>
      </c>
      <c r="BF682" s="5">
        <v>1</v>
      </c>
      <c r="BG682" s="5">
        <f t="shared" si="537"/>
        <v>0</v>
      </c>
      <c r="BH682" s="5">
        <f t="shared" si="537"/>
        <v>0</v>
      </c>
      <c r="BI682" s="5">
        <f t="shared" si="537"/>
        <v>0</v>
      </c>
      <c r="BJ682" s="5">
        <f t="shared" si="537"/>
        <v>0</v>
      </c>
      <c r="BK682" s="5">
        <f t="shared" si="537"/>
        <v>0</v>
      </c>
      <c r="BL682" s="5">
        <f t="shared" si="537"/>
        <v>0</v>
      </c>
      <c r="BM682" s="5">
        <f t="shared" si="537"/>
        <v>0</v>
      </c>
      <c r="BN682" s="5">
        <f t="shared" si="534"/>
        <v>0</v>
      </c>
      <c r="BO682" s="5">
        <f t="shared" si="534"/>
        <v>0</v>
      </c>
      <c r="BP682" s="5">
        <f t="shared" si="534"/>
        <v>0</v>
      </c>
      <c r="BQ682" s="5">
        <f t="shared" si="534"/>
        <v>0</v>
      </c>
      <c r="BR682" s="5">
        <f t="shared" si="534"/>
        <v>0</v>
      </c>
      <c r="BS682" s="5">
        <f t="shared" si="534"/>
        <v>0</v>
      </c>
      <c r="BT682" s="5">
        <f t="shared" si="534"/>
        <v>0</v>
      </c>
      <c r="BU682" s="5">
        <f t="shared" si="534"/>
        <v>0</v>
      </c>
      <c r="BV682" s="5">
        <f t="shared" si="534"/>
        <v>0</v>
      </c>
      <c r="BW682" s="5">
        <f t="shared" si="534"/>
        <v>0</v>
      </c>
      <c r="BX682" s="5">
        <f t="shared" si="534"/>
        <v>0</v>
      </c>
      <c r="BY682" s="5">
        <f t="shared" si="534"/>
        <v>0</v>
      </c>
      <c r="BZ682" s="5">
        <f t="shared" si="534"/>
        <v>0</v>
      </c>
      <c r="CA682" s="5">
        <f t="shared" si="534"/>
        <v>0</v>
      </c>
      <c r="CB682" s="5">
        <f t="shared" si="534"/>
        <v>1</v>
      </c>
      <c r="CC682" s="5">
        <f t="shared" si="538"/>
        <v>0</v>
      </c>
      <c r="CD682" s="5">
        <f t="shared" si="538"/>
        <v>0</v>
      </c>
      <c r="CE682" s="5">
        <f t="shared" si="538"/>
        <v>0</v>
      </c>
    </row>
    <row r="683" spans="1:83" x14ac:dyDescent="0.2">
      <c r="A683" s="11"/>
      <c r="B683" s="11"/>
      <c r="C683" s="1">
        <f>Growth!D688</f>
        <v>0</v>
      </c>
      <c r="D683" s="5" t="b">
        <f t="shared" si="521"/>
        <v>0</v>
      </c>
      <c r="E683" s="5">
        <v>2012</v>
      </c>
      <c r="F683" s="5">
        <f ca="1">LOOKUP($E683,frequence!$A$2:$A$35,frequence!L$2:L$35)</f>
        <v>41.545638202606931</v>
      </c>
      <c r="G683" s="5">
        <f ca="1">LOOKUP($E683,frequence!$A$2:$A$35,frequence!K$2:K$35)</f>
        <v>3.8191206393393822</v>
      </c>
      <c r="H683" s="5">
        <f ca="1">LOOKUP($E683,frequence!$A$2:$A$35,frequence!M$2:M$35)</f>
        <v>265.64322815143237</v>
      </c>
      <c r="I683" s="18">
        <v>2005</v>
      </c>
      <c r="J683" s="7">
        <f>LOOKUP(I683,CPI!A$69:A$103,CPI!O$69:O$103)</f>
        <v>1.1165181771633383</v>
      </c>
      <c r="K683" s="5">
        <v>2015</v>
      </c>
      <c r="L683" s="7">
        <f t="shared" ca="1" si="515"/>
        <v>1</v>
      </c>
      <c r="M683" s="7">
        <f t="shared" si="527"/>
        <v>4.3055555555555555E-2</v>
      </c>
      <c r="N683" s="14">
        <f t="shared" si="535"/>
        <v>6.9444444444444441E-3</v>
      </c>
      <c r="O683" s="1">
        <f ca="1">P683*J683*(1+Growth!G$6)^(2010-K683)</f>
        <v>804.81079240652173</v>
      </c>
      <c r="P683" s="11">
        <v>777</v>
      </c>
      <c r="Q683" s="2">
        <f t="shared" si="478"/>
        <v>777</v>
      </c>
      <c r="R683" s="21">
        <f t="shared" ca="1" si="522"/>
        <v>647720.41157401341</v>
      </c>
      <c r="X683" s="2"/>
      <c r="AC683" s="1">
        <f t="shared" si="536"/>
        <v>6.2</v>
      </c>
      <c r="AD683" s="5">
        <v>1</v>
      </c>
      <c r="AE683" s="5">
        <v>0</v>
      </c>
      <c r="AF683" s="5">
        <v>1</v>
      </c>
      <c r="AG683" s="5">
        <v>0</v>
      </c>
      <c r="AH683" s="5">
        <v>1</v>
      </c>
      <c r="AI683" s="3">
        <f t="shared" si="520"/>
        <v>3.2</v>
      </c>
      <c r="AJ683" s="5">
        <f t="shared" si="526"/>
        <v>0</v>
      </c>
      <c r="AK683" s="5">
        <f t="shared" si="516"/>
        <v>0</v>
      </c>
      <c r="AL683" s="5">
        <f t="shared" si="517"/>
        <v>0</v>
      </c>
      <c r="AM683" s="5">
        <f t="shared" si="528"/>
        <v>0</v>
      </c>
      <c r="AN683" s="5">
        <f t="shared" si="518"/>
        <v>0</v>
      </c>
      <c r="AO683" s="5">
        <f t="shared" si="529"/>
        <v>0</v>
      </c>
      <c r="AP683" s="11">
        <v>3</v>
      </c>
      <c r="AQ683" s="1">
        <v>-1.1000000000000001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1</v>
      </c>
      <c r="AY683" s="1">
        <f t="shared" si="530"/>
        <v>0</v>
      </c>
      <c r="AZ683" s="1">
        <f t="shared" si="531"/>
        <v>0</v>
      </c>
      <c r="BA683" s="1">
        <f t="shared" si="532"/>
        <v>0</v>
      </c>
      <c r="BB683" s="5">
        <v>0</v>
      </c>
      <c r="BC683" s="5">
        <v>0</v>
      </c>
      <c r="BD683" s="5">
        <v>0</v>
      </c>
      <c r="BE683" s="5">
        <f t="shared" si="533"/>
        <v>1</v>
      </c>
      <c r="BF683" s="5">
        <v>1</v>
      </c>
      <c r="BG683" s="5">
        <f t="shared" si="537"/>
        <v>0</v>
      </c>
      <c r="BH683" s="5">
        <f t="shared" si="537"/>
        <v>0</v>
      </c>
      <c r="BI683" s="5">
        <f t="shared" si="537"/>
        <v>0</v>
      </c>
      <c r="BJ683" s="5">
        <f t="shared" si="537"/>
        <v>0</v>
      </c>
      <c r="BK683" s="5">
        <f t="shared" si="537"/>
        <v>0</v>
      </c>
      <c r="BL683" s="5">
        <f t="shared" si="537"/>
        <v>0</v>
      </c>
      <c r="BM683" s="5">
        <f t="shared" si="537"/>
        <v>0</v>
      </c>
      <c r="BN683" s="5">
        <f t="shared" si="534"/>
        <v>0</v>
      </c>
      <c r="BO683" s="5">
        <f t="shared" si="534"/>
        <v>0</v>
      </c>
      <c r="BP683" s="5">
        <f t="shared" si="534"/>
        <v>0</v>
      </c>
      <c r="BQ683" s="5">
        <f t="shared" si="534"/>
        <v>0</v>
      </c>
      <c r="BR683" s="5">
        <f t="shared" si="534"/>
        <v>0</v>
      </c>
      <c r="BS683" s="5">
        <f t="shared" si="534"/>
        <v>0</v>
      </c>
      <c r="BT683" s="5">
        <f t="shared" si="534"/>
        <v>0</v>
      </c>
      <c r="BU683" s="5">
        <f t="shared" si="534"/>
        <v>0</v>
      </c>
      <c r="BV683" s="5">
        <f t="shared" si="534"/>
        <v>0</v>
      </c>
      <c r="BW683" s="5">
        <f t="shared" si="534"/>
        <v>0</v>
      </c>
      <c r="BX683" s="5">
        <f t="shared" si="534"/>
        <v>0</v>
      </c>
      <c r="BY683" s="5">
        <f t="shared" si="534"/>
        <v>0</v>
      </c>
      <c r="BZ683" s="5">
        <f t="shared" si="534"/>
        <v>0</v>
      </c>
      <c r="CA683" s="5">
        <f t="shared" si="534"/>
        <v>0</v>
      </c>
      <c r="CB683" s="5">
        <f t="shared" si="534"/>
        <v>1</v>
      </c>
      <c r="CC683" s="5">
        <f t="shared" si="538"/>
        <v>0</v>
      </c>
      <c r="CD683" s="5">
        <f t="shared" si="538"/>
        <v>0</v>
      </c>
      <c r="CE683" s="5">
        <f t="shared" si="538"/>
        <v>0</v>
      </c>
    </row>
    <row r="684" spans="1:83" x14ac:dyDescent="0.2">
      <c r="A684" s="11"/>
      <c r="B684" s="11"/>
      <c r="C684" s="1">
        <f>Growth!D689</f>
        <v>0</v>
      </c>
      <c r="D684" s="5" t="b">
        <f t="shared" si="521"/>
        <v>0</v>
      </c>
      <c r="E684" s="5">
        <v>2012</v>
      </c>
      <c r="F684" s="5">
        <f ca="1">LOOKUP($E684,frequence!$A$2:$A$35,frequence!L$2:L$35)</f>
        <v>41.545638202606931</v>
      </c>
      <c r="G684" s="5">
        <f ca="1">LOOKUP($E684,frequence!$A$2:$A$35,frequence!K$2:K$35)</f>
        <v>3.8191206393393822</v>
      </c>
      <c r="H684" s="5">
        <f ca="1">LOOKUP($E684,frequence!$A$2:$A$35,frequence!M$2:M$35)</f>
        <v>265.64322815143237</v>
      </c>
      <c r="I684" s="18">
        <v>2005</v>
      </c>
      <c r="J684" s="7">
        <f>LOOKUP(I684,CPI!A$69:A$103,CPI!O$69:O$103)</f>
        <v>1.1165181771633383</v>
      </c>
      <c r="K684" s="5">
        <v>2015</v>
      </c>
      <c r="L684" s="7">
        <f t="shared" ca="1" si="515"/>
        <v>1</v>
      </c>
      <c r="M684" s="7">
        <f t="shared" si="527"/>
        <v>4.3055555555555555E-2</v>
      </c>
      <c r="N684" s="14">
        <f t="shared" si="535"/>
        <v>6.9444444444444441E-3</v>
      </c>
      <c r="O684" s="1">
        <f ca="1">P684*J684*(1+Growth!G$6)^(2010-K684)</f>
        <v>35.21694587107045</v>
      </c>
      <c r="P684" s="11">
        <v>34</v>
      </c>
      <c r="Q684" s="2">
        <f t="shared" si="478"/>
        <v>34</v>
      </c>
      <c r="R684" s="21">
        <f t="shared" ca="1" si="522"/>
        <v>1240.2332764859061</v>
      </c>
      <c r="X684" s="2"/>
      <c r="AC684" s="1">
        <f t="shared" si="536"/>
        <v>6.2</v>
      </c>
      <c r="AD684" s="5">
        <v>1</v>
      </c>
      <c r="AE684" s="5">
        <v>0</v>
      </c>
      <c r="AF684" s="5">
        <v>1</v>
      </c>
      <c r="AG684" s="5">
        <v>0</v>
      </c>
      <c r="AH684" s="5">
        <v>1</v>
      </c>
      <c r="AI684" s="3">
        <f t="shared" si="520"/>
        <v>3.2</v>
      </c>
      <c r="AJ684" s="5">
        <f t="shared" si="526"/>
        <v>1</v>
      </c>
      <c r="AK684" s="5">
        <f t="shared" si="516"/>
        <v>0</v>
      </c>
      <c r="AL684" s="5">
        <f t="shared" si="517"/>
        <v>0</v>
      </c>
      <c r="AM684" s="5">
        <f t="shared" si="528"/>
        <v>0</v>
      </c>
      <c r="AN684" s="5">
        <f t="shared" si="518"/>
        <v>0</v>
      </c>
      <c r="AO684" s="5">
        <f t="shared" si="529"/>
        <v>0</v>
      </c>
      <c r="AP684" s="11">
        <v>3</v>
      </c>
      <c r="AQ684" s="1">
        <v>3</v>
      </c>
      <c r="AR684" s="5">
        <v>0</v>
      </c>
      <c r="AS684" s="5">
        <v>0</v>
      </c>
      <c r="AT684" s="5">
        <v>0</v>
      </c>
      <c r="AU684" s="5">
        <v>0</v>
      </c>
      <c r="AV684" s="5">
        <v>0</v>
      </c>
      <c r="AW684" s="5">
        <v>0</v>
      </c>
      <c r="AX684" s="5">
        <v>1</v>
      </c>
      <c r="AY684" s="1">
        <f t="shared" si="530"/>
        <v>1</v>
      </c>
      <c r="AZ684" s="1">
        <f t="shared" si="531"/>
        <v>0</v>
      </c>
      <c r="BA684" s="1">
        <f t="shared" si="532"/>
        <v>0</v>
      </c>
      <c r="BB684" s="5">
        <v>0</v>
      </c>
      <c r="BC684" s="5">
        <v>0</v>
      </c>
      <c r="BD684" s="5">
        <v>0</v>
      </c>
      <c r="BE684" s="5">
        <f t="shared" si="533"/>
        <v>1</v>
      </c>
      <c r="BF684" s="5">
        <v>1</v>
      </c>
      <c r="BG684" s="5">
        <f t="shared" si="537"/>
        <v>0</v>
      </c>
      <c r="BH684" s="5">
        <f t="shared" si="537"/>
        <v>0</v>
      </c>
      <c r="BI684" s="5">
        <f t="shared" si="537"/>
        <v>0</v>
      </c>
      <c r="BJ684" s="5">
        <f t="shared" si="537"/>
        <v>0</v>
      </c>
      <c r="BK684" s="5">
        <f t="shared" si="537"/>
        <v>0</v>
      </c>
      <c r="BL684" s="5">
        <f t="shared" si="537"/>
        <v>0</v>
      </c>
      <c r="BM684" s="5">
        <f t="shared" si="537"/>
        <v>0</v>
      </c>
      <c r="BN684" s="5">
        <f t="shared" si="534"/>
        <v>0</v>
      </c>
      <c r="BO684" s="5">
        <f t="shared" si="534"/>
        <v>0</v>
      </c>
      <c r="BP684" s="5">
        <f t="shared" si="534"/>
        <v>0</v>
      </c>
      <c r="BQ684" s="5">
        <f t="shared" si="534"/>
        <v>0</v>
      </c>
      <c r="BR684" s="5">
        <f t="shared" si="534"/>
        <v>0</v>
      </c>
      <c r="BS684" s="5">
        <f t="shared" si="534"/>
        <v>0</v>
      </c>
      <c r="BT684" s="5">
        <f t="shared" si="534"/>
        <v>0</v>
      </c>
      <c r="BU684" s="5">
        <f t="shared" si="534"/>
        <v>0</v>
      </c>
      <c r="BV684" s="5">
        <f t="shared" si="534"/>
        <v>0</v>
      </c>
      <c r="BW684" s="5">
        <f t="shared" si="534"/>
        <v>0</v>
      </c>
      <c r="BX684" s="5">
        <f t="shared" si="534"/>
        <v>0</v>
      </c>
      <c r="BY684" s="5">
        <f t="shared" si="534"/>
        <v>0</v>
      </c>
      <c r="BZ684" s="5">
        <f t="shared" si="534"/>
        <v>0</v>
      </c>
      <c r="CA684" s="5">
        <f t="shared" si="534"/>
        <v>0</v>
      </c>
      <c r="CB684" s="5">
        <f t="shared" si="534"/>
        <v>1</v>
      </c>
      <c r="CC684" s="5">
        <f t="shared" si="538"/>
        <v>0</v>
      </c>
      <c r="CD684" s="5">
        <f t="shared" si="538"/>
        <v>0</v>
      </c>
      <c r="CE684" s="5">
        <f t="shared" si="538"/>
        <v>0</v>
      </c>
    </row>
    <row r="685" spans="1:83" x14ac:dyDescent="0.2">
      <c r="A685" s="11"/>
      <c r="B685" s="11"/>
      <c r="C685" s="1">
        <f>Growth!D690</f>
        <v>0</v>
      </c>
      <c r="D685" s="5" t="b">
        <f t="shared" si="521"/>
        <v>0</v>
      </c>
      <c r="E685" s="5">
        <v>2012</v>
      </c>
      <c r="F685" s="5">
        <f ca="1">LOOKUP($E685,frequence!$A$2:$A$35,frequence!L$2:L$35)</f>
        <v>41.545638202606931</v>
      </c>
      <c r="G685" s="5">
        <f ca="1">LOOKUP($E685,frequence!$A$2:$A$35,frequence!K$2:K$35)</f>
        <v>3.8191206393393822</v>
      </c>
      <c r="H685" s="5">
        <f ca="1">LOOKUP($E685,frequence!$A$2:$A$35,frequence!M$2:M$35)</f>
        <v>265.64322815143237</v>
      </c>
      <c r="I685" s="18">
        <v>2005</v>
      </c>
      <c r="J685" s="7">
        <f>LOOKUP(I685,CPI!A$69:A$103,CPI!O$69:O$103)</f>
        <v>1.1165181771633383</v>
      </c>
      <c r="K685" s="5">
        <v>2015</v>
      </c>
      <c r="L685" s="7">
        <f t="shared" ca="1" si="515"/>
        <v>1</v>
      </c>
      <c r="M685" s="7">
        <f t="shared" si="527"/>
        <v>4.3055555555555555E-2</v>
      </c>
      <c r="N685" s="14">
        <f t="shared" si="535"/>
        <v>6.9444444444444441E-3</v>
      </c>
      <c r="O685" s="1">
        <f ca="1">P685*J685*(1+Growth!G$6)^(2010-K685)</f>
        <v>36.25273839669017</v>
      </c>
      <c r="P685" s="11">
        <v>35</v>
      </c>
      <c r="Q685" s="2">
        <f t="shared" si="478"/>
        <v>35</v>
      </c>
      <c r="R685" s="21">
        <f t="shared" ca="1" si="522"/>
        <v>1314.2610412588538</v>
      </c>
      <c r="X685" s="2"/>
      <c r="AC685" s="1">
        <f t="shared" si="536"/>
        <v>6.2</v>
      </c>
      <c r="AD685" s="5">
        <v>1</v>
      </c>
      <c r="AE685" s="5">
        <v>0</v>
      </c>
      <c r="AF685" s="5">
        <v>1</v>
      </c>
      <c r="AG685" s="5">
        <v>0</v>
      </c>
      <c r="AH685" s="5">
        <v>1</v>
      </c>
      <c r="AI685" s="3">
        <f t="shared" si="520"/>
        <v>3.2</v>
      </c>
      <c r="AJ685" s="5">
        <f t="shared" si="526"/>
        <v>1</v>
      </c>
      <c r="AK685" s="5">
        <f t="shared" si="516"/>
        <v>0</v>
      </c>
      <c r="AL685" s="5">
        <f t="shared" si="517"/>
        <v>0</v>
      </c>
      <c r="AM685" s="5">
        <f t="shared" si="528"/>
        <v>0</v>
      </c>
      <c r="AN685" s="5">
        <f t="shared" si="518"/>
        <v>0</v>
      </c>
      <c r="AO685" s="5">
        <f t="shared" si="529"/>
        <v>0</v>
      </c>
      <c r="AP685" s="11">
        <v>3</v>
      </c>
      <c r="AQ685" s="1">
        <v>3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1</v>
      </c>
      <c r="AY685" s="1">
        <f t="shared" si="530"/>
        <v>1</v>
      </c>
      <c r="AZ685" s="1">
        <f t="shared" si="531"/>
        <v>0</v>
      </c>
      <c r="BA685" s="1">
        <f t="shared" si="532"/>
        <v>0</v>
      </c>
      <c r="BB685" s="5">
        <v>0</v>
      </c>
      <c r="BC685" s="5">
        <v>0</v>
      </c>
      <c r="BD685" s="5">
        <v>0</v>
      </c>
      <c r="BE685" s="5">
        <f t="shared" si="533"/>
        <v>1</v>
      </c>
      <c r="BF685" s="5">
        <v>1</v>
      </c>
      <c r="BG685" s="5">
        <f t="shared" si="537"/>
        <v>0</v>
      </c>
      <c r="BH685" s="5">
        <f t="shared" si="537"/>
        <v>0</v>
      </c>
      <c r="BI685" s="5">
        <f t="shared" si="537"/>
        <v>0</v>
      </c>
      <c r="BJ685" s="5">
        <f t="shared" si="537"/>
        <v>0</v>
      </c>
      <c r="BK685" s="5">
        <f t="shared" si="537"/>
        <v>0</v>
      </c>
      <c r="BL685" s="5">
        <f t="shared" si="537"/>
        <v>0</v>
      </c>
      <c r="BM685" s="5">
        <f t="shared" si="537"/>
        <v>0</v>
      </c>
      <c r="BN685" s="5">
        <f t="shared" si="534"/>
        <v>0</v>
      </c>
      <c r="BO685" s="5">
        <f t="shared" si="534"/>
        <v>0</v>
      </c>
      <c r="BP685" s="5">
        <f t="shared" si="534"/>
        <v>0</v>
      </c>
      <c r="BQ685" s="5">
        <f t="shared" si="534"/>
        <v>0</v>
      </c>
      <c r="BR685" s="5">
        <f t="shared" si="534"/>
        <v>0</v>
      </c>
      <c r="BS685" s="5">
        <f t="shared" si="534"/>
        <v>0</v>
      </c>
      <c r="BT685" s="5">
        <f t="shared" si="534"/>
        <v>0</v>
      </c>
      <c r="BU685" s="5">
        <f t="shared" si="534"/>
        <v>0</v>
      </c>
      <c r="BV685" s="5">
        <f t="shared" si="534"/>
        <v>0</v>
      </c>
      <c r="BW685" s="5">
        <f t="shared" si="534"/>
        <v>0</v>
      </c>
      <c r="BX685" s="5">
        <f t="shared" si="534"/>
        <v>0</v>
      </c>
      <c r="BY685" s="5">
        <f t="shared" si="534"/>
        <v>0</v>
      </c>
      <c r="BZ685" s="5">
        <f t="shared" si="534"/>
        <v>0</v>
      </c>
      <c r="CA685" s="5">
        <f t="shared" si="534"/>
        <v>0</v>
      </c>
      <c r="CB685" s="5">
        <f t="shared" si="534"/>
        <v>1</v>
      </c>
      <c r="CC685" s="5">
        <f t="shared" si="538"/>
        <v>0</v>
      </c>
      <c r="CD685" s="5">
        <f t="shared" si="538"/>
        <v>0</v>
      </c>
      <c r="CE685" s="5">
        <f t="shared" si="538"/>
        <v>0</v>
      </c>
    </row>
    <row r="686" spans="1:83" x14ac:dyDescent="0.2">
      <c r="A686" s="11"/>
      <c r="B686" s="11"/>
      <c r="C686" s="1">
        <f>Growth!D691</f>
        <v>0</v>
      </c>
      <c r="D686" s="5" t="b">
        <f t="shared" si="521"/>
        <v>0</v>
      </c>
      <c r="E686" s="5">
        <v>2012</v>
      </c>
      <c r="F686" s="5">
        <f ca="1">LOOKUP($E686,frequence!$A$2:$A$35,frequence!L$2:L$35)</f>
        <v>41.545638202606931</v>
      </c>
      <c r="G686" s="5">
        <f ca="1">LOOKUP($E686,frequence!$A$2:$A$35,frequence!K$2:K$35)</f>
        <v>3.8191206393393822</v>
      </c>
      <c r="H686" s="5">
        <f ca="1">LOOKUP($E686,frequence!$A$2:$A$35,frequence!M$2:M$35)</f>
        <v>265.64322815143237</v>
      </c>
      <c r="I686" s="18">
        <v>2005</v>
      </c>
      <c r="J686" s="7">
        <f>LOOKUP(I686,CPI!A$69:A$103,CPI!O$69:O$103)</f>
        <v>1.1165181771633383</v>
      </c>
      <c r="K686" s="5">
        <v>2015</v>
      </c>
      <c r="L686" s="7">
        <f t="shared" ca="1" si="515"/>
        <v>1</v>
      </c>
      <c r="M686" s="7">
        <f t="shared" si="527"/>
        <v>4.3055555555555555E-2</v>
      </c>
      <c r="N686" s="14">
        <f t="shared" si="535"/>
        <v>6.9444444444444441E-3</v>
      </c>
      <c r="O686" s="1">
        <f ca="1">P686*J686*(1+Growth!G$6)^(2010-K686)</f>
        <v>34.181153345450724</v>
      </c>
      <c r="P686" s="11">
        <v>33</v>
      </c>
      <c r="Q686" s="2">
        <f t="shared" si="478"/>
        <v>33</v>
      </c>
      <c r="R686" s="21">
        <f t="shared" ca="1" si="522"/>
        <v>1168.3512440252173</v>
      </c>
      <c r="X686" s="2"/>
      <c r="AC686" s="1">
        <f t="shared" si="536"/>
        <v>6.2</v>
      </c>
      <c r="AD686" s="5">
        <v>1</v>
      </c>
      <c r="AE686" s="5">
        <v>0</v>
      </c>
      <c r="AF686" s="5">
        <v>1</v>
      </c>
      <c r="AG686" s="5">
        <v>0</v>
      </c>
      <c r="AH686" s="5">
        <v>1</v>
      </c>
      <c r="AI686" s="3">
        <f t="shared" si="520"/>
        <v>3.2</v>
      </c>
      <c r="AJ686" s="5">
        <f t="shared" si="526"/>
        <v>1</v>
      </c>
      <c r="AK686" s="5">
        <f t="shared" si="516"/>
        <v>0</v>
      </c>
      <c r="AL686" s="5">
        <f t="shared" si="517"/>
        <v>0</v>
      </c>
      <c r="AM686" s="5">
        <f t="shared" si="528"/>
        <v>0</v>
      </c>
      <c r="AN686" s="5">
        <f t="shared" si="518"/>
        <v>0</v>
      </c>
      <c r="AO686" s="5">
        <f t="shared" si="529"/>
        <v>0</v>
      </c>
      <c r="AP686" s="11">
        <v>3</v>
      </c>
      <c r="AQ686" s="1">
        <v>3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1</v>
      </c>
      <c r="AY686" s="1">
        <f t="shared" si="530"/>
        <v>1</v>
      </c>
      <c r="AZ686" s="1">
        <f t="shared" si="531"/>
        <v>0</v>
      </c>
      <c r="BA686" s="1">
        <f t="shared" si="532"/>
        <v>0</v>
      </c>
      <c r="BB686" s="5">
        <v>0</v>
      </c>
      <c r="BC686" s="5">
        <v>0</v>
      </c>
      <c r="BD686" s="5">
        <v>0</v>
      </c>
      <c r="BE686" s="5">
        <f t="shared" si="533"/>
        <v>1</v>
      </c>
      <c r="BF686" s="5">
        <v>1</v>
      </c>
      <c r="BG686" s="5">
        <f t="shared" si="537"/>
        <v>0</v>
      </c>
      <c r="BH686" s="5">
        <f t="shared" si="537"/>
        <v>0</v>
      </c>
      <c r="BI686" s="5">
        <f t="shared" si="537"/>
        <v>0</v>
      </c>
      <c r="BJ686" s="5">
        <f t="shared" si="537"/>
        <v>0</v>
      </c>
      <c r="BK686" s="5">
        <f t="shared" si="537"/>
        <v>0</v>
      </c>
      <c r="BL686" s="5">
        <f t="shared" si="537"/>
        <v>0</v>
      </c>
      <c r="BM686" s="5">
        <f t="shared" si="537"/>
        <v>0</v>
      </c>
      <c r="BN686" s="5">
        <f t="shared" si="534"/>
        <v>0</v>
      </c>
      <c r="BO686" s="5">
        <f t="shared" si="534"/>
        <v>0</v>
      </c>
      <c r="BP686" s="5">
        <f t="shared" si="534"/>
        <v>0</v>
      </c>
      <c r="BQ686" s="5">
        <f t="shared" si="534"/>
        <v>0</v>
      </c>
      <c r="BR686" s="5">
        <f t="shared" si="534"/>
        <v>0</v>
      </c>
      <c r="BS686" s="5">
        <f t="shared" si="534"/>
        <v>0</v>
      </c>
      <c r="BT686" s="5">
        <f t="shared" si="534"/>
        <v>0</v>
      </c>
      <c r="BU686" s="5">
        <f t="shared" si="534"/>
        <v>0</v>
      </c>
      <c r="BV686" s="5">
        <f t="shared" si="534"/>
        <v>0</v>
      </c>
      <c r="BW686" s="5">
        <f t="shared" si="534"/>
        <v>0</v>
      </c>
      <c r="BX686" s="5">
        <f t="shared" si="534"/>
        <v>0</v>
      </c>
      <c r="BY686" s="5">
        <f t="shared" si="534"/>
        <v>0</v>
      </c>
      <c r="BZ686" s="5">
        <f t="shared" si="534"/>
        <v>0</v>
      </c>
      <c r="CA686" s="5">
        <f t="shared" si="534"/>
        <v>0</v>
      </c>
      <c r="CB686" s="5">
        <f t="shared" si="534"/>
        <v>1</v>
      </c>
      <c r="CC686" s="5">
        <f t="shared" si="538"/>
        <v>0</v>
      </c>
      <c r="CD686" s="5">
        <f t="shared" si="538"/>
        <v>0</v>
      </c>
      <c r="CE686" s="5">
        <f t="shared" si="538"/>
        <v>0</v>
      </c>
    </row>
    <row r="687" spans="1:83" x14ac:dyDescent="0.2">
      <c r="A687" s="11"/>
      <c r="B687" s="11"/>
      <c r="C687" s="1">
        <f>Growth!D692</f>
        <v>0</v>
      </c>
      <c r="D687" s="5" t="b">
        <f t="shared" si="521"/>
        <v>0</v>
      </c>
      <c r="E687" s="5">
        <v>2012</v>
      </c>
      <c r="F687" s="5">
        <f ca="1">LOOKUP($E687,frequence!$A$2:$A$35,frequence!L$2:L$35)</f>
        <v>41.545638202606931</v>
      </c>
      <c r="G687" s="5">
        <f ca="1">LOOKUP($E687,frequence!$A$2:$A$35,frequence!K$2:K$35)</f>
        <v>3.8191206393393822</v>
      </c>
      <c r="H687" s="5">
        <f ca="1">LOOKUP($E687,frequence!$A$2:$A$35,frequence!M$2:M$35)</f>
        <v>265.64322815143237</v>
      </c>
      <c r="I687" s="18">
        <v>2005</v>
      </c>
      <c r="J687" s="7">
        <f>LOOKUP(I687,CPI!A$69:A$103,CPI!O$69:O$103)</f>
        <v>1.1165181771633383</v>
      </c>
      <c r="K687" s="5">
        <v>2015</v>
      </c>
      <c r="L687" s="7">
        <f t="shared" ca="1" si="515"/>
        <v>1</v>
      </c>
      <c r="M687" s="7">
        <f t="shared" si="527"/>
        <v>4.3055555555555555E-2</v>
      </c>
      <c r="N687" s="14">
        <f t="shared" si="535"/>
        <v>6.9444444444444441E-3</v>
      </c>
      <c r="O687" s="1">
        <f ca="1">P687*J687*(1+Growth!G$6)^(2010-K687)</f>
        <v>53.861211332225395</v>
      </c>
      <c r="P687" s="11">
        <v>52</v>
      </c>
      <c r="Q687" s="2">
        <f t="shared" si="478"/>
        <v>52</v>
      </c>
      <c r="R687" s="21">
        <f t="shared" ca="1" si="522"/>
        <v>2901.0300861746455</v>
      </c>
      <c r="X687" s="2"/>
      <c r="AC687" s="1">
        <f t="shared" si="536"/>
        <v>6.2</v>
      </c>
      <c r="AD687" s="5">
        <v>1</v>
      </c>
      <c r="AE687" s="5">
        <v>0</v>
      </c>
      <c r="AF687" s="5">
        <v>1</v>
      </c>
      <c r="AG687" s="5">
        <v>0</v>
      </c>
      <c r="AH687" s="5">
        <v>1</v>
      </c>
      <c r="AI687" s="3">
        <f t="shared" si="520"/>
        <v>3.2</v>
      </c>
      <c r="AJ687" s="5">
        <f t="shared" si="526"/>
        <v>1</v>
      </c>
      <c r="AK687" s="5">
        <f t="shared" si="516"/>
        <v>0</v>
      </c>
      <c r="AL687" s="5">
        <f t="shared" si="517"/>
        <v>0</v>
      </c>
      <c r="AM687" s="5">
        <f t="shared" si="528"/>
        <v>0</v>
      </c>
      <c r="AN687" s="5">
        <f t="shared" si="518"/>
        <v>0</v>
      </c>
      <c r="AO687" s="5">
        <f t="shared" si="529"/>
        <v>0</v>
      </c>
      <c r="AP687" s="11">
        <v>3</v>
      </c>
      <c r="AQ687" s="1">
        <v>3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1</v>
      </c>
      <c r="AY687" s="1">
        <f t="shared" si="530"/>
        <v>1</v>
      </c>
      <c r="AZ687" s="1">
        <f t="shared" si="531"/>
        <v>0</v>
      </c>
      <c r="BA687" s="1">
        <f t="shared" si="532"/>
        <v>0</v>
      </c>
      <c r="BB687" s="5">
        <v>0</v>
      </c>
      <c r="BC687" s="5">
        <v>0</v>
      </c>
      <c r="BD687" s="5">
        <v>0</v>
      </c>
      <c r="BE687" s="5">
        <f t="shared" si="533"/>
        <v>1</v>
      </c>
      <c r="BF687" s="5">
        <v>1</v>
      </c>
      <c r="BG687" s="5">
        <f t="shared" si="537"/>
        <v>0</v>
      </c>
      <c r="BH687" s="5">
        <f t="shared" si="537"/>
        <v>0</v>
      </c>
      <c r="BI687" s="5">
        <f t="shared" si="537"/>
        <v>0</v>
      </c>
      <c r="BJ687" s="5">
        <f t="shared" si="537"/>
        <v>0</v>
      </c>
      <c r="BK687" s="5">
        <f t="shared" si="537"/>
        <v>0</v>
      </c>
      <c r="BL687" s="5">
        <f t="shared" si="537"/>
        <v>0</v>
      </c>
      <c r="BM687" s="5">
        <f t="shared" si="537"/>
        <v>0</v>
      </c>
      <c r="BN687" s="5">
        <f t="shared" si="534"/>
        <v>0</v>
      </c>
      <c r="BO687" s="5">
        <f t="shared" si="534"/>
        <v>0</v>
      </c>
      <c r="BP687" s="5">
        <f t="shared" si="534"/>
        <v>0</v>
      </c>
      <c r="BQ687" s="5">
        <f t="shared" si="534"/>
        <v>0</v>
      </c>
      <c r="BR687" s="5">
        <f t="shared" si="534"/>
        <v>0</v>
      </c>
      <c r="BS687" s="5">
        <f t="shared" si="534"/>
        <v>0</v>
      </c>
      <c r="BT687" s="5">
        <f t="shared" si="534"/>
        <v>0</v>
      </c>
      <c r="BU687" s="5">
        <f t="shared" si="534"/>
        <v>0</v>
      </c>
      <c r="BV687" s="5">
        <f t="shared" si="534"/>
        <v>0</v>
      </c>
      <c r="BW687" s="5">
        <f t="shared" si="534"/>
        <v>0</v>
      </c>
      <c r="BX687" s="5">
        <f t="shared" si="534"/>
        <v>0</v>
      </c>
      <c r="BY687" s="5">
        <f t="shared" si="534"/>
        <v>0</v>
      </c>
      <c r="BZ687" s="5">
        <f t="shared" si="534"/>
        <v>0</v>
      </c>
      <c r="CA687" s="5">
        <f t="shared" si="534"/>
        <v>0</v>
      </c>
      <c r="CB687" s="5">
        <f t="shared" si="534"/>
        <v>1</v>
      </c>
      <c r="CC687" s="5">
        <f t="shared" si="538"/>
        <v>0</v>
      </c>
      <c r="CD687" s="5">
        <f t="shared" si="538"/>
        <v>0</v>
      </c>
      <c r="CE687" s="5">
        <f t="shared" si="538"/>
        <v>0</v>
      </c>
    </row>
    <row r="688" spans="1:83" x14ac:dyDescent="0.2">
      <c r="A688" s="11"/>
      <c r="B688" s="11"/>
      <c r="C688" s="1">
        <f>Growth!D693</f>
        <v>0</v>
      </c>
      <c r="D688" s="5" t="b">
        <f t="shared" si="521"/>
        <v>0</v>
      </c>
      <c r="E688" s="5">
        <v>2012</v>
      </c>
      <c r="F688" s="5">
        <f ca="1">LOOKUP($E688,frequence!$A$2:$A$35,frequence!L$2:L$35)</f>
        <v>41.545638202606931</v>
      </c>
      <c r="G688" s="5">
        <f ca="1">LOOKUP($E688,frequence!$A$2:$A$35,frequence!K$2:K$35)</f>
        <v>3.8191206393393822</v>
      </c>
      <c r="H688" s="5">
        <f ca="1">LOOKUP($E688,frequence!$A$2:$A$35,frequence!M$2:M$35)</f>
        <v>265.64322815143237</v>
      </c>
      <c r="I688" s="18">
        <v>2005</v>
      </c>
      <c r="J688" s="7">
        <f>LOOKUP(I688,CPI!A$69:A$103,CPI!O$69:O$103)</f>
        <v>1.1165181771633383</v>
      </c>
      <c r="K688" s="5">
        <v>2015</v>
      </c>
      <c r="L688" s="7">
        <f t="shared" ca="1" si="515"/>
        <v>1</v>
      </c>
      <c r="M688" s="7">
        <f t="shared" si="527"/>
        <v>4.3055555555555555E-2</v>
      </c>
      <c r="N688" s="14">
        <f t="shared" si="535"/>
        <v>6.9444444444444441E-3</v>
      </c>
      <c r="O688" s="1">
        <f ca="1">P688*J688*(1+Growth!G$6)^(2010-K688)</f>
        <v>24.859020614873259</v>
      </c>
      <c r="P688" s="11">
        <v>24</v>
      </c>
      <c r="Q688" s="2">
        <f t="shared" si="478"/>
        <v>24</v>
      </c>
      <c r="R688" s="21">
        <f t="shared" ca="1" si="522"/>
        <v>617.97090593069368</v>
      </c>
      <c r="X688" s="2"/>
      <c r="AC688" s="1">
        <f t="shared" si="536"/>
        <v>6.2</v>
      </c>
      <c r="AD688" s="5">
        <v>1</v>
      </c>
      <c r="AE688" s="5">
        <v>0</v>
      </c>
      <c r="AF688" s="5">
        <v>1</v>
      </c>
      <c r="AG688" s="5">
        <v>0</v>
      </c>
      <c r="AH688" s="5">
        <v>1</v>
      </c>
      <c r="AI688" s="3">
        <f t="shared" si="520"/>
        <v>3.2</v>
      </c>
      <c r="AJ688" s="5">
        <f t="shared" si="526"/>
        <v>1</v>
      </c>
      <c r="AK688" s="5">
        <f t="shared" si="516"/>
        <v>0</v>
      </c>
      <c r="AL688" s="5">
        <f t="shared" si="517"/>
        <v>0</v>
      </c>
      <c r="AM688" s="5">
        <f t="shared" si="528"/>
        <v>0</v>
      </c>
      <c r="AN688" s="5">
        <f t="shared" si="518"/>
        <v>0</v>
      </c>
      <c r="AO688" s="5">
        <f t="shared" si="529"/>
        <v>0</v>
      </c>
      <c r="AP688" s="11">
        <v>3</v>
      </c>
      <c r="AQ688" s="1">
        <v>3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1</v>
      </c>
      <c r="AY688" s="1">
        <f t="shared" si="530"/>
        <v>1</v>
      </c>
      <c r="AZ688" s="1">
        <f t="shared" si="531"/>
        <v>0</v>
      </c>
      <c r="BA688" s="1">
        <f t="shared" si="532"/>
        <v>0</v>
      </c>
      <c r="BB688" s="5">
        <v>0</v>
      </c>
      <c r="BC688" s="5">
        <v>0</v>
      </c>
      <c r="BD688" s="5">
        <v>0</v>
      </c>
      <c r="BE688" s="5">
        <f t="shared" si="533"/>
        <v>1</v>
      </c>
      <c r="BF688" s="5">
        <v>1</v>
      </c>
      <c r="BG688" s="5">
        <f t="shared" si="537"/>
        <v>0</v>
      </c>
      <c r="BH688" s="5">
        <f t="shared" si="537"/>
        <v>0</v>
      </c>
      <c r="BI688" s="5">
        <f t="shared" si="537"/>
        <v>0</v>
      </c>
      <c r="BJ688" s="5">
        <f t="shared" si="537"/>
        <v>0</v>
      </c>
      <c r="BK688" s="5">
        <f t="shared" si="537"/>
        <v>0</v>
      </c>
      <c r="BL688" s="5">
        <f t="shared" si="537"/>
        <v>0</v>
      </c>
      <c r="BM688" s="5">
        <f t="shared" si="537"/>
        <v>0</v>
      </c>
      <c r="BN688" s="5">
        <f t="shared" si="534"/>
        <v>0</v>
      </c>
      <c r="BO688" s="5">
        <f t="shared" si="534"/>
        <v>0</v>
      </c>
      <c r="BP688" s="5">
        <f t="shared" si="534"/>
        <v>0</v>
      </c>
      <c r="BQ688" s="5">
        <f t="shared" si="534"/>
        <v>0</v>
      </c>
      <c r="BR688" s="5">
        <f t="shared" si="534"/>
        <v>0</v>
      </c>
      <c r="BS688" s="5">
        <f t="shared" si="534"/>
        <v>0</v>
      </c>
      <c r="BT688" s="5">
        <f t="shared" si="534"/>
        <v>0</v>
      </c>
      <c r="BU688" s="5">
        <f t="shared" si="534"/>
        <v>0</v>
      </c>
      <c r="BV688" s="5">
        <f t="shared" si="534"/>
        <v>0</v>
      </c>
      <c r="BW688" s="5">
        <f t="shared" si="534"/>
        <v>0</v>
      </c>
      <c r="BX688" s="5">
        <f t="shared" si="534"/>
        <v>0</v>
      </c>
      <c r="BY688" s="5">
        <f t="shared" si="534"/>
        <v>0</v>
      </c>
      <c r="BZ688" s="5">
        <f t="shared" si="534"/>
        <v>0</v>
      </c>
      <c r="CA688" s="5">
        <f t="shared" si="534"/>
        <v>0</v>
      </c>
      <c r="CB688" s="5">
        <f t="shared" si="534"/>
        <v>1</v>
      </c>
      <c r="CC688" s="5">
        <f t="shared" si="538"/>
        <v>0</v>
      </c>
      <c r="CD688" s="5">
        <f t="shared" si="538"/>
        <v>0</v>
      </c>
      <c r="CE688" s="5">
        <f t="shared" si="538"/>
        <v>0</v>
      </c>
    </row>
    <row r="689" spans="1:83" x14ac:dyDescent="0.2">
      <c r="A689" s="11"/>
      <c r="B689" s="11"/>
      <c r="C689" s="1">
        <f>Growth!D694</f>
        <v>0</v>
      </c>
      <c r="D689" s="5" t="b">
        <f t="shared" si="521"/>
        <v>0</v>
      </c>
      <c r="E689" s="5">
        <v>2012</v>
      </c>
      <c r="F689" s="5">
        <f ca="1">LOOKUP($E689,frequence!$A$2:$A$35,frequence!L$2:L$35)</f>
        <v>41.545638202606931</v>
      </c>
      <c r="G689" s="5">
        <f ca="1">LOOKUP($E689,frequence!$A$2:$A$35,frequence!K$2:K$35)</f>
        <v>3.8191206393393822</v>
      </c>
      <c r="H689" s="5">
        <f ca="1">LOOKUP($E689,frequence!$A$2:$A$35,frequence!M$2:M$35)</f>
        <v>265.64322815143237</v>
      </c>
      <c r="I689" s="18">
        <v>2005</v>
      </c>
      <c r="J689" s="7">
        <f>LOOKUP(I689,CPI!A$69:A$103,CPI!O$69:O$103)</f>
        <v>1.1165181771633383</v>
      </c>
      <c r="K689" s="5">
        <v>2015</v>
      </c>
      <c r="L689" s="7">
        <f t="shared" ca="1" si="515"/>
        <v>1</v>
      </c>
      <c r="M689" s="7">
        <f t="shared" si="527"/>
        <v>4.3055555555555555E-2</v>
      </c>
      <c r="N689" s="14">
        <f t="shared" si="535"/>
        <v>6.9444444444444441E-3</v>
      </c>
      <c r="O689" s="1">
        <f ca="1">P689*J689*(1+Growth!G$6)^(2010-K689)</f>
        <v>66.290721639662024</v>
      </c>
      <c r="P689" s="11">
        <v>64</v>
      </c>
      <c r="Q689" s="2">
        <f t="shared" si="478"/>
        <v>64</v>
      </c>
      <c r="R689" s="21">
        <f t="shared" ca="1" si="522"/>
        <v>4394.4597755071554</v>
      </c>
      <c r="X689" s="2"/>
      <c r="AC689" s="1">
        <f t="shared" si="536"/>
        <v>6.2</v>
      </c>
      <c r="AD689" s="5">
        <v>1</v>
      </c>
      <c r="AE689" s="5">
        <v>0</v>
      </c>
      <c r="AF689" s="5">
        <v>1</v>
      </c>
      <c r="AG689" s="5">
        <v>0</v>
      </c>
      <c r="AH689" s="5">
        <v>1</v>
      </c>
      <c r="AI689" s="3">
        <f t="shared" si="520"/>
        <v>3.2</v>
      </c>
      <c r="AJ689" s="5">
        <f t="shared" si="526"/>
        <v>1</v>
      </c>
      <c r="AK689" s="5">
        <f t="shared" si="516"/>
        <v>0</v>
      </c>
      <c r="AL689" s="5">
        <f t="shared" si="517"/>
        <v>0</v>
      </c>
      <c r="AM689" s="5">
        <f t="shared" si="528"/>
        <v>0</v>
      </c>
      <c r="AN689" s="5">
        <f t="shared" si="518"/>
        <v>0</v>
      </c>
      <c r="AO689" s="5">
        <f t="shared" si="529"/>
        <v>0</v>
      </c>
      <c r="AP689" s="11">
        <v>3</v>
      </c>
      <c r="AQ689" s="1">
        <v>3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1</v>
      </c>
      <c r="AY689" s="1">
        <f t="shared" si="530"/>
        <v>1</v>
      </c>
      <c r="AZ689" s="1">
        <f t="shared" si="531"/>
        <v>0</v>
      </c>
      <c r="BA689" s="1">
        <f t="shared" si="532"/>
        <v>0</v>
      </c>
      <c r="BB689" s="5">
        <v>0</v>
      </c>
      <c r="BC689" s="5">
        <v>0</v>
      </c>
      <c r="BD689" s="5">
        <v>0</v>
      </c>
      <c r="BE689" s="5">
        <f t="shared" si="533"/>
        <v>1</v>
      </c>
      <c r="BF689" s="5">
        <v>1</v>
      </c>
      <c r="BG689" s="5">
        <f t="shared" si="537"/>
        <v>0</v>
      </c>
      <c r="BH689" s="5">
        <f t="shared" si="537"/>
        <v>0</v>
      </c>
      <c r="BI689" s="5">
        <f t="shared" si="537"/>
        <v>0</v>
      </c>
      <c r="BJ689" s="5">
        <f t="shared" si="537"/>
        <v>0</v>
      </c>
      <c r="BK689" s="5">
        <f t="shared" si="537"/>
        <v>0</v>
      </c>
      <c r="BL689" s="5">
        <f t="shared" si="537"/>
        <v>0</v>
      </c>
      <c r="BM689" s="5">
        <f t="shared" si="537"/>
        <v>0</v>
      </c>
      <c r="BN689" s="5">
        <f t="shared" si="534"/>
        <v>0</v>
      </c>
      <c r="BO689" s="5">
        <f t="shared" si="534"/>
        <v>0</v>
      </c>
      <c r="BP689" s="5">
        <f t="shared" si="534"/>
        <v>0</v>
      </c>
      <c r="BQ689" s="5">
        <f t="shared" si="534"/>
        <v>0</v>
      </c>
      <c r="BR689" s="5">
        <f t="shared" si="534"/>
        <v>0</v>
      </c>
      <c r="BS689" s="5">
        <f t="shared" si="534"/>
        <v>0</v>
      </c>
      <c r="BT689" s="5">
        <f t="shared" si="534"/>
        <v>0</v>
      </c>
      <c r="BU689" s="5">
        <f t="shared" si="534"/>
        <v>0</v>
      </c>
      <c r="BV689" s="5">
        <f t="shared" si="534"/>
        <v>0</v>
      </c>
      <c r="BW689" s="5">
        <f t="shared" si="534"/>
        <v>0</v>
      </c>
      <c r="BX689" s="5">
        <f t="shared" si="534"/>
        <v>0</v>
      </c>
      <c r="BY689" s="5">
        <f t="shared" si="534"/>
        <v>0</v>
      </c>
      <c r="BZ689" s="5">
        <f t="shared" si="534"/>
        <v>0</v>
      </c>
      <c r="CA689" s="5">
        <f t="shared" si="534"/>
        <v>0</v>
      </c>
      <c r="CB689" s="5">
        <f t="shared" si="534"/>
        <v>1</v>
      </c>
      <c r="CC689" s="5">
        <f t="shared" si="538"/>
        <v>0</v>
      </c>
      <c r="CD689" s="5">
        <f t="shared" si="538"/>
        <v>0</v>
      </c>
      <c r="CE689" s="5">
        <f t="shared" si="538"/>
        <v>0</v>
      </c>
    </row>
    <row r="690" spans="1:83" x14ac:dyDescent="0.2">
      <c r="A690" s="11"/>
      <c r="B690" s="11"/>
      <c r="C690" s="1">
        <f>Growth!D695</f>
        <v>0</v>
      </c>
      <c r="D690" s="5" t="b">
        <f t="shared" si="521"/>
        <v>0</v>
      </c>
      <c r="E690" s="5">
        <v>2012</v>
      </c>
      <c r="F690" s="5">
        <f ca="1">LOOKUP($E690,frequence!$A$2:$A$35,frequence!L$2:L$35)</f>
        <v>41.545638202606931</v>
      </c>
      <c r="G690" s="5">
        <f ca="1">LOOKUP($E690,frequence!$A$2:$A$35,frequence!K$2:K$35)</f>
        <v>3.8191206393393822</v>
      </c>
      <c r="H690" s="5">
        <f ca="1">LOOKUP($E690,frequence!$A$2:$A$35,frequence!M$2:M$35)</f>
        <v>265.64322815143237</v>
      </c>
      <c r="I690" s="18">
        <v>2005</v>
      </c>
      <c r="J690" s="7">
        <f>LOOKUP(I690,CPI!A$69:A$103,CPI!O$69:O$103)</f>
        <v>1.1165181771633383</v>
      </c>
      <c r="K690" s="5">
        <v>2015</v>
      </c>
      <c r="L690" s="7">
        <f t="shared" ca="1" si="515"/>
        <v>1</v>
      </c>
      <c r="M690" s="7">
        <f t="shared" si="527"/>
        <v>4.3055555555555555E-2</v>
      </c>
      <c r="N690" s="14">
        <f t="shared" si="535"/>
        <v>6.9444444444444441E-3</v>
      </c>
      <c r="O690" s="1">
        <f ca="1">P690*J690*(1+Growth!G$6)^(2010-K690)</f>
        <v>27.966398191732413</v>
      </c>
      <c r="P690" s="11">
        <v>27</v>
      </c>
      <c r="Q690" s="2">
        <f t="shared" si="478"/>
        <v>27</v>
      </c>
      <c r="R690" s="21">
        <f t="shared" ca="1" si="522"/>
        <v>782.11942781853395</v>
      </c>
      <c r="X690" s="2"/>
      <c r="AC690" s="1">
        <f t="shared" si="536"/>
        <v>6.2</v>
      </c>
      <c r="AD690" s="5">
        <v>1</v>
      </c>
      <c r="AE690" s="5">
        <v>0</v>
      </c>
      <c r="AF690" s="5">
        <v>1</v>
      </c>
      <c r="AG690" s="5">
        <v>0</v>
      </c>
      <c r="AH690" s="5">
        <v>1</v>
      </c>
      <c r="AI690" s="3">
        <f t="shared" si="520"/>
        <v>3.2</v>
      </c>
      <c r="AJ690" s="5">
        <f t="shared" si="526"/>
        <v>1</v>
      </c>
      <c r="AK690" s="5">
        <f t="shared" si="516"/>
        <v>0</v>
      </c>
      <c r="AL690" s="5">
        <f t="shared" si="517"/>
        <v>0</v>
      </c>
      <c r="AM690" s="5">
        <f t="shared" si="528"/>
        <v>0</v>
      </c>
      <c r="AN690" s="5">
        <f t="shared" si="518"/>
        <v>0</v>
      </c>
      <c r="AO690" s="5">
        <f t="shared" si="529"/>
        <v>0</v>
      </c>
      <c r="AP690" s="11">
        <v>3</v>
      </c>
      <c r="AQ690" s="1">
        <v>3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1</v>
      </c>
      <c r="AY690" s="1">
        <f t="shared" si="530"/>
        <v>1</v>
      </c>
      <c r="AZ690" s="1">
        <f t="shared" si="531"/>
        <v>0</v>
      </c>
      <c r="BA690" s="1">
        <f t="shared" si="532"/>
        <v>0</v>
      </c>
      <c r="BB690" s="5">
        <v>0</v>
      </c>
      <c r="BC690" s="5">
        <v>0</v>
      </c>
      <c r="BD690" s="5">
        <v>0</v>
      </c>
      <c r="BE690" s="5">
        <f t="shared" si="533"/>
        <v>1</v>
      </c>
      <c r="BF690" s="5">
        <v>1</v>
      </c>
      <c r="BG690" s="5">
        <f t="shared" si="537"/>
        <v>0</v>
      </c>
      <c r="BH690" s="5">
        <f t="shared" si="537"/>
        <v>0</v>
      </c>
      <c r="BI690" s="5">
        <f t="shared" si="537"/>
        <v>0</v>
      </c>
      <c r="BJ690" s="5">
        <f t="shared" si="537"/>
        <v>0</v>
      </c>
      <c r="BK690" s="5">
        <f t="shared" si="537"/>
        <v>0</v>
      </c>
      <c r="BL690" s="5">
        <f t="shared" si="537"/>
        <v>0</v>
      </c>
      <c r="BM690" s="5">
        <f t="shared" si="537"/>
        <v>0</v>
      </c>
      <c r="BN690" s="5">
        <f t="shared" si="534"/>
        <v>0</v>
      </c>
      <c r="BO690" s="5">
        <f t="shared" si="534"/>
        <v>0</v>
      </c>
      <c r="BP690" s="5">
        <f t="shared" si="534"/>
        <v>0</v>
      </c>
      <c r="BQ690" s="5">
        <f t="shared" si="534"/>
        <v>0</v>
      </c>
      <c r="BR690" s="5">
        <f t="shared" si="534"/>
        <v>0</v>
      </c>
      <c r="BS690" s="5">
        <f t="shared" si="534"/>
        <v>0</v>
      </c>
      <c r="BT690" s="5">
        <f t="shared" si="534"/>
        <v>0</v>
      </c>
      <c r="BU690" s="5">
        <f t="shared" si="534"/>
        <v>0</v>
      </c>
      <c r="BV690" s="5">
        <f t="shared" si="534"/>
        <v>0</v>
      </c>
      <c r="BW690" s="5">
        <f t="shared" si="534"/>
        <v>0</v>
      </c>
      <c r="BX690" s="5">
        <f t="shared" si="534"/>
        <v>0</v>
      </c>
      <c r="BY690" s="5">
        <f t="shared" si="534"/>
        <v>0</v>
      </c>
      <c r="BZ690" s="5">
        <f t="shared" si="534"/>
        <v>0</v>
      </c>
      <c r="CA690" s="5">
        <f t="shared" si="534"/>
        <v>0</v>
      </c>
      <c r="CB690" s="5">
        <f t="shared" si="534"/>
        <v>1</v>
      </c>
      <c r="CC690" s="5">
        <f t="shared" si="538"/>
        <v>0</v>
      </c>
      <c r="CD690" s="5">
        <f t="shared" si="538"/>
        <v>0</v>
      </c>
      <c r="CE690" s="5">
        <f t="shared" si="538"/>
        <v>0</v>
      </c>
    </row>
    <row r="691" spans="1:83" x14ac:dyDescent="0.2">
      <c r="A691" s="11"/>
      <c r="B691" s="11"/>
      <c r="C691" s="1">
        <f>Growth!D696</f>
        <v>0</v>
      </c>
      <c r="D691" s="5" t="b">
        <f t="shared" si="521"/>
        <v>0</v>
      </c>
      <c r="E691" s="5">
        <v>2012</v>
      </c>
      <c r="F691" s="5">
        <f ca="1">LOOKUP($E691,frequence!$A$2:$A$35,frequence!L$2:L$35)</f>
        <v>41.545638202606931</v>
      </c>
      <c r="G691" s="5">
        <f ca="1">LOOKUP($E691,frequence!$A$2:$A$35,frequence!K$2:K$35)</f>
        <v>3.8191206393393822</v>
      </c>
      <c r="H691" s="5">
        <f ca="1">LOOKUP($E691,frequence!$A$2:$A$35,frequence!M$2:M$35)</f>
        <v>265.64322815143237</v>
      </c>
      <c r="I691" s="18">
        <v>2005</v>
      </c>
      <c r="J691" s="7">
        <f>LOOKUP(I691,CPI!A$69:A$103,CPI!O$69:O$103)</f>
        <v>1.1165181771633383</v>
      </c>
      <c r="K691" s="5">
        <v>2015</v>
      </c>
      <c r="L691" s="7">
        <f t="shared" ca="1" si="515"/>
        <v>1</v>
      </c>
      <c r="M691" s="7">
        <f t="shared" si="527"/>
        <v>4.3055555555555555E-2</v>
      </c>
      <c r="N691" s="14">
        <f t="shared" si="535"/>
        <v>6.9444444444444441E-3</v>
      </c>
      <c r="O691" s="1">
        <f ca="1">P691*J691*(1+Growth!G$6)^(2010-K691)</f>
        <v>36.25273839669017</v>
      </c>
      <c r="P691" s="11">
        <v>35</v>
      </c>
      <c r="Q691" s="2">
        <f t="shared" si="478"/>
        <v>35</v>
      </c>
      <c r="R691" s="21">
        <f t="shared" ca="1" si="522"/>
        <v>1314.2610412588538</v>
      </c>
      <c r="X691" s="2"/>
      <c r="AC691" s="1">
        <f t="shared" si="536"/>
        <v>6.2</v>
      </c>
      <c r="AD691" s="5">
        <v>1</v>
      </c>
      <c r="AE691" s="5">
        <v>0</v>
      </c>
      <c r="AF691" s="5">
        <v>1</v>
      </c>
      <c r="AG691" s="5">
        <v>0</v>
      </c>
      <c r="AH691" s="5">
        <v>1</v>
      </c>
      <c r="AI691" s="3">
        <f t="shared" si="520"/>
        <v>3.2</v>
      </c>
      <c r="AJ691" s="5">
        <f t="shared" si="526"/>
        <v>1</v>
      </c>
      <c r="AK691" s="5">
        <f t="shared" si="516"/>
        <v>0</v>
      </c>
      <c r="AL691" s="5">
        <f t="shared" si="517"/>
        <v>0</v>
      </c>
      <c r="AM691" s="5">
        <f t="shared" si="528"/>
        <v>0</v>
      </c>
      <c r="AN691" s="5">
        <f t="shared" si="518"/>
        <v>0</v>
      </c>
      <c r="AO691" s="5">
        <f t="shared" si="529"/>
        <v>0</v>
      </c>
      <c r="AP691" s="11">
        <v>3</v>
      </c>
      <c r="AQ691" s="1">
        <v>3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1</v>
      </c>
      <c r="AY691" s="1">
        <f t="shared" si="530"/>
        <v>1</v>
      </c>
      <c r="AZ691" s="1">
        <f t="shared" si="531"/>
        <v>0</v>
      </c>
      <c r="BA691" s="1">
        <f t="shared" si="532"/>
        <v>0</v>
      </c>
      <c r="BB691" s="5">
        <v>0</v>
      </c>
      <c r="BC691" s="5">
        <v>0</v>
      </c>
      <c r="BD691" s="5">
        <v>0</v>
      </c>
      <c r="BE691" s="5">
        <f t="shared" si="533"/>
        <v>1</v>
      </c>
      <c r="BF691" s="5">
        <v>1</v>
      </c>
      <c r="BG691" s="5">
        <f t="shared" si="537"/>
        <v>0</v>
      </c>
      <c r="BH691" s="5">
        <f t="shared" si="537"/>
        <v>0</v>
      </c>
      <c r="BI691" s="5">
        <f t="shared" si="537"/>
        <v>0</v>
      </c>
      <c r="BJ691" s="5">
        <f t="shared" si="537"/>
        <v>0</v>
      </c>
      <c r="BK691" s="5">
        <f t="shared" si="537"/>
        <v>0</v>
      </c>
      <c r="BL691" s="5">
        <f t="shared" si="537"/>
        <v>0</v>
      </c>
      <c r="BM691" s="5">
        <f t="shared" si="537"/>
        <v>0</v>
      </c>
      <c r="BN691" s="5">
        <f t="shared" si="534"/>
        <v>0</v>
      </c>
      <c r="BO691" s="5">
        <f t="shared" si="534"/>
        <v>0</v>
      </c>
      <c r="BP691" s="5">
        <f t="shared" si="534"/>
        <v>0</v>
      </c>
      <c r="BQ691" s="5">
        <f t="shared" si="534"/>
        <v>0</v>
      </c>
      <c r="BR691" s="5">
        <f t="shared" si="534"/>
        <v>0</v>
      </c>
      <c r="BS691" s="5">
        <f t="shared" si="534"/>
        <v>0</v>
      </c>
      <c r="BT691" s="5">
        <f t="shared" si="534"/>
        <v>0</v>
      </c>
      <c r="BU691" s="5">
        <f t="shared" si="534"/>
        <v>0</v>
      </c>
      <c r="BV691" s="5">
        <f t="shared" si="534"/>
        <v>0</v>
      </c>
      <c r="BW691" s="5">
        <f t="shared" si="534"/>
        <v>0</v>
      </c>
      <c r="BX691" s="5">
        <f t="shared" si="534"/>
        <v>0</v>
      </c>
      <c r="BY691" s="5">
        <f t="shared" si="534"/>
        <v>0</v>
      </c>
      <c r="BZ691" s="5">
        <f t="shared" si="534"/>
        <v>0</v>
      </c>
      <c r="CA691" s="5">
        <f t="shared" si="534"/>
        <v>0</v>
      </c>
      <c r="CB691" s="5">
        <f t="shared" si="534"/>
        <v>1</v>
      </c>
      <c r="CC691" s="5">
        <f t="shared" si="538"/>
        <v>0</v>
      </c>
      <c r="CD691" s="5">
        <f t="shared" si="538"/>
        <v>0</v>
      </c>
      <c r="CE691" s="5">
        <f t="shared" si="538"/>
        <v>0</v>
      </c>
    </row>
    <row r="692" spans="1:83" x14ac:dyDescent="0.2">
      <c r="A692" s="11"/>
      <c r="B692" s="11"/>
      <c r="C692" s="1">
        <f>Growth!D697</f>
        <v>0</v>
      </c>
      <c r="D692" s="5" t="b">
        <f t="shared" si="521"/>
        <v>0</v>
      </c>
      <c r="E692" s="5">
        <v>2012</v>
      </c>
      <c r="F692" s="5">
        <f ca="1">LOOKUP($E692,frequence!$A$2:$A$35,frequence!L$2:L$35)</f>
        <v>41.545638202606931</v>
      </c>
      <c r="G692" s="5">
        <f ca="1">LOOKUP($E692,frequence!$A$2:$A$35,frequence!K$2:K$35)</f>
        <v>3.8191206393393822</v>
      </c>
      <c r="H692" s="5">
        <f ca="1">LOOKUP($E692,frequence!$A$2:$A$35,frequence!M$2:M$35)</f>
        <v>265.64322815143237</v>
      </c>
      <c r="I692" s="18">
        <v>2005</v>
      </c>
      <c r="J692" s="7">
        <f>LOOKUP(I692,CPI!A$69:A$103,CPI!O$69:O$103)</f>
        <v>1.1165181771633383</v>
      </c>
      <c r="K692" s="5">
        <v>2015</v>
      </c>
      <c r="L692" s="7">
        <f t="shared" ca="1" si="515"/>
        <v>1</v>
      </c>
      <c r="M692" s="7">
        <f t="shared" si="527"/>
        <v>4.3055555555555555E-2</v>
      </c>
      <c r="N692" s="14">
        <f t="shared" si="535"/>
        <v>6.9444444444444441E-3</v>
      </c>
      <c r="O692" s="1">
        <f ca="1">P692*J692*(1+Growth!G$6)^(2010-K692)</f>
        <v>43.503286076028203</v>
      </c>
      <c r="P692" s="11">
        <v>42</v>
      </c>
      <c r="Q692" s="2">
        <f t="shared" si="478"/>
        <v>42</v>
      </c>
      <c r="R692" s="21">
        <f t="shared" ca="1" si="522"/>
        <v>1892.5358994127494</v>
      </c>
      <c r="X692" s="2"/>
      <c r="AC692" s="1">
        <f t="shared" si="536"/>
        <v>6.2</v>
      </c>
      <c r="AD692" s="5">
        <v>1</v>
      </c>
      <c r="AE692" s="5">
        <v>0</v>
      </c>
      <c r="AF692" s="5">
        <v>1</v>
      </c>
      <c r="AG692" s="5">
        <v>0</v>
      </c>
      <c r="AH692" s="5">
        <v>1</v>
      </c>
      <c r="AI692" s="3">
        <f t="shared" si="520"/>
        <v>3.2</v>
      </c>
      <c r="AJ692" s="5">
        <f t="shared" si="526"/>
        <v>1</v>
      </c>
      <c r="AK692" s="5">
        <f t="shared" si="516"/>
        <v>0</v>
      </c>
      <c r="AL692" s="5">
        <f t="shared" si="517"/>
        <v>0</v>
      </c>
      <c r="AM692" s="5">
        <f t="shared" si="528"/>
        <v>0</v>
      </c>
      <c r="AN692" s="5">
        <f t="shared" si="518"/>
        <v>0</v>
      </c>
      <c r="AO692" s="5">
        <f t="shared" si="529"/>
        <v>0</v>
      </c>
      <c r="AP692" s="11">
        <v>3</v>
      </c>
      <c r="AQ692" s="1">
        <v>3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1</v>
      </c>
      <c r="AY692" s="1">
        <f t="shared" si="530"/>
        <v>1</v>
      </c>
      <c r="AZ692" s="1">
        <f t="shared" si="531"/>
        <v>0</v>
      </c>
      <c r="BA692" s="1">
        <f t="shared" si="532"/>
        <v>0</v>
      </c>
      <c r="BB692" s="5">
        <v>0</v>
      </c>
      <c r="BC692" s="5">
        <v>0</v>
      </c>
      <c r="BD692" s="5">
        <v>0</v>
      </c>
      <c r="BE692" s="5">
        <f t="shared" si="533"/>
        <v>1</v>
      </c>
      <c r="BF692" s="5">
        <v>1</v>
      </c>
      <c r="BG692" s="5">
        <f t="shared" si="537"/>
        <v>0</v>
      </c>
      <c r="BH692" s="5">
        <f t="shared" si="537"/>
        <v>0</v>
      </c>
      <c r="BI692" s="5">
        <f t="shared" si="537"/>
        <v>0</v>
      </c>
      <c r="BJ692" s="5">
        <f t="shared" si="537"/>
        <v>0</v>
      </c>
      <c r="BK692" s="5">
        <f t="shared" si="537"/>
        <v>0</v>
      </c>
      <c r="BL692" s="5">
        <f t="shared" si="537"/>
        <v>0</v>
      </c>
      <c r="BM692" s="5">
        <f t="shared" si="537"/>
        <v>0</v>
      </c>
      <c r="BN692" s="5">
        <f t="shared" si="537"/>
        <v>0</v>
      </c>
      <c r="BO692" s="5">
        <f t="shared" ref="BO692:CC707" si="539">IF($E692=BO$2,1,0)</f>
        <v>0</v>
      </c>
      <c r="BP692" s="5">
        <f t="shared" si="539"/>
        <v>0</v>
      </c>
      <c r="BQ692" s="5">
        <f t="shared" si="539"/>
        <v>0</v>
      </c>
      <c r="BR692" s="5">
        <f t="shared" si="539"/>
        <v>0</v>
      </c>
      <c r="BS692" s="5">
        <f t="shared" si="539"/>
        <v>0</v>
      </c>
      <c r="BT692" s="5">
        <f t="shared" si="539"/>
        <v>0</v>
      </c>
      <c r="BU692" s="5">
        <f t="shared" si="539"/>
        <v>0</v>
      </c>
      <c r="BV692" s="5">
        <f t="shared" si="539"/>
        <v>0</v>
      </c>
      <c r="BW692" s="5">
        <f t="shared" si="539"/>
        <v>0</v>
      </c>
      <c r="BX692" s="5">
        <f t="shared" si="539"/>
        <v>0</v>
      </c>
      <c r="BY692" s="5">
        <f t="shared" si="539"/>
        <v>0</v>
      </c>
      <c r="BZ692" s="5">
        <f t="shared" si="539"/>
        <v>0</v>
      </c>
      <c r="CA692" s="5">
        <f t="shared" si="539"/>
        <v>0</v>
      </c>
      <c r="CB692" s="5">
        <f t="shared" si="539"/>
        <v>1</v>
      </c>
      <c r="CC692" s="5">
        <f t="shared" si="538"/>
        <v>0</v>
      </c>
      <c r="CD692" s="5">
        <f t="shared" si="538"/>
        <v>0</v>
      </c>
      <c r="CE692" s="5">
        <f t="shared" si="538"/>
        <v>0</v>
      </c>
    </row>
    <row r="693" spans="1:83" x14ac:dyDescent="0.2">
      <c r="A693" s="11"/>
      <c r="B693" s="11"/>
      <c r="C693" s="1">
        <f>Growth!D698</f>
        <v>0</v>
      </c>
      <c r="D693" s="5" t="b">
        <f t="shared" si="521"/>
        <v>0</v>
      </c>
      <c r="E693" s="5">
        <v>2012</v>
      </c>
      <c r="F693" s="5">
        <f ca="1">LOOKUP($E693,frequence!$A$2:$A$35,frequence!L$2:L$35)</f>
        <v>41.545638202606931</v>
      </c>
      <c r="G693" s="5">
        <f ca="1">LOOKUP($E693,frequence!$A$2:$A$35,frequence!K$2:K$35)</f>
        <v>3.8191206393393822</v>
      </c>
      <c r="H693" s="5">
        <f ca="1">LOOKUP($E693,frequence!$A$2:$A$35,frequence!M$2:M$35)</f>
        <v>265.64322815143237</v>
      </c>
      <c r="I693" s="18">
        <v>2005</v>
      </c>
      <c r="J693" s="7">
        <f>LOOKUP(I693,CPI!A$69:A$103,CPI!O$69:O$103)</f>
        <v>1.1165181771633383</v>
      </c>
      <c r="K693" s="5">
        <v>2015</v>
      </c>
      <c r="L693" s="7">
        <f t="shared" ca="1" si="515"/>
        <v>1</v>
      </c>
      <c r="M693" s="7">
        <f t="shared" si="527"/>
        <v>4.3055555555555555E-2</v>
      </c>
      <c r="N693" s="14">
        <f t="shared" si="535"/>
        <v>6.9444444444444441E-3</v>
      </c>
      <c r="O693" s="1">
        <f ca="1">P693*J693*(1+Growth!G$6)^(2010-K693)</f>
        <v>51.789626280985956</v>
      </c>
      <c r="P693" s="11">
        <v>50</v>
      </c>
      <c r="Q693" s="2">
        <f t="shared" si="478"/>
        <v>50</v>
      </c>
      <c r="R693" s="21">
        <f t="shared" ca="1" si="522"/>
        <v>2682.1653903241913</v>
      </c>
      <c r="X693" s="2"/>
      <c r="AC693" s="1">
        <f t="shared" si="536"/>
        <v>6.2</v>
      </c>
      <c r="AD693" s="5">
        <v>1</v>
      </c>
      <c r="AE693" s="5">
        <v>0</v>
      </c>
      <c r="AF693" s="5">
        <v>1</v>
      </c>
      <c r="AG693" s="5">
        <v>0</v>
      </c>
      <c r="AH693" s="5">
        <v>1</v>
      </c>
      <c r="AI693" s="3">
        <f t="shared" si="520"/>
        <v>3.2</v>
      </c>
      <c r="AJ693" s="5">
        <f t="shared" si="526"/>
        <v>1</v>
      </c>
      <c r="AK693" s="5">
        <f t="shared" si="516"/>
        <v>0</v>
      </c>
      <c r="AL693" s="5">
        <f t="shared" si="517"/>
        <v>0</v>
      </c>
      <c r="AM693" s="5">
        <f t="shared" si="528"/>
        <v>0</v>
      </c>
      <c r="AN693" s="5">
        <f t="shared" si="518"/>
        <v>0</v>
      </c>
      <c r="AO693" s="5">
        <f t="shared" si="529"/>
        <v>0</v>
      </c>
      <c r="AP693" s="11">
        <v>3</v>
      </c>
      <c r="AQ693" s="1">
        <v>3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1</v>
      </c>
      <c r="AY693" s="1">
        <f t="shared" si="530"/>
        <v>1</v>
      </c>
      <c r="AZ693" s="1">
        <f t="shared" si="531"/>
        <v>0</v>
      </c>
      <c r="BA693" s="1">
        <f t="shared" si="532"/>
        <v>0</v>
      </c>
      <c r="BB693" s="5">
        <v>0</v>
      </c>
      <c r="BC693" s="5">
        <v>0</v>
      </c>
      <c r="BD693" s="5">
        <v>0</v>
      </c>
      <c r="BE693" s="5">
        <f t="shared" si="533"/>
        <v>1</v>
      </c>
      <c r="BF693" s="5">
        <v>1</v>
      </c>
      <c r="BG693" s="5">
        <f t="shared" ref="BG693:BN708" si="540">IF($E693=BG$2,1,0)</f>
        <v>0</v>
      </c>
      <c r="BH693" s="5">
        <f t="shared" si="540"/>
        <v>0</v>
      </c>
      <c r="BI693" s="5">
        <f t="shared" si="540"/>
        <v>0</v>
      </c>
      <c r="BJ693" s="5">
        <f t="shared" si="540"/>
        <v>0</v>
      </c>
      <c r="BK693" s="5">
        <f t="shared" si="540"/>
        <v>0</v>
      </c>
      <c r="BL693" s="5">
        <f t="shared" si="540"/>
        <v>0</v>
      </c>
      <c r="BM693" s="5">
        <f t="shared" si="540"/>
        <v>0</v>
      </c>
      <c r="BN693" s="5">
        <f t="shared" si="540"/>
        <v>0</v>
      </c>
      <c r="BO693" s="5">
        <f t="shared" si="539"/>
        <v>0</v>
      </c>
      <c r="BP693" s="5">
        <f t="shared" si="539"/>
        <v>0</v>
      </c>
      <c r="BQ693" s="5">
        <f t="shared" si="539"/>
        <v>0</v>
      </c>
      <c r="BR693" s="5">
        <f t="shared" si="539"/>
        <v>0</v>
      </c>
      <c r="BS693" s="5">
        <f t="shared" si="539"/>
        <v>0</v>
      </c>
      <c r="BT693" s="5">
        <f t="shared" si="539"/>
        <v>0</v>
      </c>
      <c r="BU693" s="5">
        <f t="shared" si="539"/>
        <v>0</v>
      </c>
      <c r="BV693" s="5">
        <f t="shared" si="539"/>
        <v>0</v>
      </c>
      <c r="BW693" s="5">
        <f t="shared" si="539"/>
        <v>0</v>
      </c>
      <c r="BX693" s="5">
        <f t="shared" si="539"/>
        <v>0</v>
      </c>
      <c r="BY693" s="5">
        <f t="shared" si="539"/>
        <v>0</v>
      </c>
      <c r="BZ693" s="5">
        <f t="shared" si="539"/>
        <v>0</v>
      </c>
      <c r="CA693" s="5">
        <f t="shared" si="539"/>
        <v>0</v>
      </c>
      <c r="CB693" s="5">
        <f t="shared" si="539"/>
        <v>1</v>
      </c>
      <c r="CC693" s="5">
        <f t="shared" si="538"/>
        <v>0</v>
      </c>
      <c r="CD693" s="5">
        <f t="shared" si="538"/>
        <v>0</v>
      </c>
      <c r="CE693" s="5">
        <f t="shared" si="538"/>
        <v>0</v>
      </c>
    </row>
    <row r="694" spans="1:83" x14ac:dyDescent="0.2">
      <c r="A694" s="11"/>
      <c r="B694" s="11"/>
      <c r="C694" s="1">
        <f>Growth!D699</f>
        <v>0</v>
      </c>
      <c r="D694" s="5" t="b">
        <f t="shared" si="521"/>
        <v>0</v>
      </c>
      <c r="E694" s="5">
        <v>2012</v>
      </c>
      <c r="F694" s="5">
        <f ca="1">LOOKUP($E694,frequence!$A$2:$A$35,frequence!L$2:L$35)</f>
        <v>41.545638202606931</v>
      </c>
      <c r="G694" s="5">
        <f ca="1">LOOKUP($E694,frequence!$A$2:$A$35,frequence!K$2:K$35)</f>
        <v>3.8191206393393822</v>
      </c>
      <c r="H694" s="5">
        <f ca="1">LOOKUP($E694,frequence!$A$2:$A$35,frequence!M$2:M$35)</f>
        <v>265.64322815143237</v>
      </c>
      <c r="I694" s="18">
        <v>2005</v>
      </c>
      <c r="J694" s="7">
        <f>LOOKUP(I694,CPI!A$69:A$103,CPI!O$69:O$103)</f>
        <v>1.1165181771633383</v>
      </c>
      <c r="K694" s="5">
        <v>2015</v>
      </c>
      <c r="L694" s="7">
        <f t="shared" ca="1" si="515"/>
        <v>1</v>
      </c>
      <c r="M694" s="7">
        <f t="shared" si="527"/>
        <v>4.3055555555555555E-2</v>
      </c>
      <c r="N694" s="14">
        <f t="shared" si="535"/>
        <v>6.9444444444444441E-3</v>
      </c>
      <c r="O694" s="1">
        <f ca="1">P694*J694*(1+Growth!G$6)^(2010-K694)</f>
        <v>33.145360819831012</v>
      </c>
      <c r="P694" s="11">
        <v>32</v>
      </c>
      <c r="Q694" s="2">
        <f t="shared" si="478"/>
        <v>32</v>
      </c>
      <c r="R694" s="21">
        <f t="shared" ca="1" si="522"/>
        <v>1098.6149438767889</v>
      </c>
      <c r="X694" s="2"/>
      <c r="AC694" s="1">
        <f t="shared" si="536"/>
        <v>6.2</v>
      </c>
      <c r="AD694" s="5">
        <v>1</v>
      </c>
      <c r="AE694" s="5">
        <v>0</v>
      </c>
      <c r="AF694" s="5">
        <v>1</v>
      </c>
      <c r="AG694" s="5">
        <v>0</v>
      </c>
      <c r="AH694" s="5">
        <v>1</v>
      </c>
      <c r="AI694" s="3">
        <f t="shared" si="520"/>
        <v>3.2</v>
      </c>
      <c r="AJ694" s="5">
        <f t="shared" si="526"/>
        <v>1</v>
      </c>
      <c r="AK694" s="5">
        <f t="shared" si="516"/>
        <v>0</v>
      </c>
      <c r="AL694" s="5">
        <f t="shared" si="517"/>
        <v>0</v>
      </c>
      <c r="AM694" s="5">
        <f t="shared" si="528"/>
        <v>0</v>
      </c>
      <c r="AN694" s="5">
        <f t="shared" si="518"/>
        <v>0</v>
      </c>
      <c r="AO694" s="5">
        <f t="shared" si="529"/>
        <v>0</v>
      </c>
      <c r="AP694" s="11">
        <v>3</v>
      </c>
      <c r="AQ694" s="1">
        <v>3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1</v>
      </c>
      <c r="AY694" s="1">
        <f t="shared" si="530"/>
        <v>1</v>
      </c>
      <c r="AZ694" s="1">
        <f t="shared" si="531"/>
        <v>0</v>
      </c>
      <c r="BA694" s="1">
        <f t="shared" si="532"/>
        <v>0</v>
      </c>
      <c r="BB694" s="5">
        <v>0</v>
      </c>
      <c r="BC694" s="5">
        <v>0</v>
      </c>
      <c r="BD694" s="5">
        <v>0</v>
      </c>
      <c r="BE694" s="5">
        <f t="shared" si="533"/>
        <v>1</v>
      </c>
      <c r="BF694" s="5">
        <v>1</v>
      </c>
      <c r="BG694" s="5">
        <f t="shared" si="540"/>
        <v>0</v>
      </c>
      <c r="BH694" s="5">
        <f t="shared" si="540"/>
        <v>0</v>
      </c>
      <c r="BI694" s="5">
        <f t="shared" si="540"/>
        <v>0</v>
      </c>
      <c r="BJ694" s="5">
        <f t="shared" si="540"/>
        <v>0</v>
      </c>
      <c r="BK694" s="5">
        <f t="shared" si="540"/>
        <v>0</v>
      </c>
      <c r="BL694" s="5">
        <f t="shared" si="540"/>
        <v>0</v>
      </c>
      <c r="BM694" s="5">
        <f t="shared" si="540"/>
        <v>0</v>
      </c>
      <c r="BN694" s="5">
        <f t="shared" si="540"/>
        <v>0</v>
      </c>
      <c r="BO694" s="5">
        <f t="shared" si="539"/>
        <v>0</v>
      </c>
      <c r="BP694" s="5">
        <f t="shared" si="539"/>
        <v>0</v>
      </c>
      <c r="BQ694" s="5">
        <f t="shared" si="539"/>
        <v>0</v>
      </c>
      <c r="BR694" s="5">
        <f t="shared" si="539"/>
        <v>0</v>
      </c>
      <c r="BS694" s="5">
        <f t="shared" si="539"/>
        <v>0</v>
      </c>
      <c r="BT694" s="5">
        <f t="shared" si="539"/>
        <v>0</v>
      </c>
      <c r="BU694" s="5">
        <f t="shared" si="539"/>
        <v>0</v>
      </c>
      <c r="BV694" s="5">
        <f t="shared" si="539"/>
        <v>0</v>
      </c>
      <c r="BW694" s="5">
        <f t="shared" si="539"/>
        <v>0</v>
      </c>
      <c r="BX694" s="5">
        <f t="shared" si="539"/>
        <v>0</v>
      </c>
      <c r="BY694" s="5">
        <f t="shared" si="539"/>
        <v>0</v>
      </c>
      <c r="BZ694" s="5">
        <f t="shared" si="539"/>
        <v>0</v>
      </c>
      <c r="CA694" s="5">
        <f t="shared" si="539"/>
        <v>0</v>
      </c>
      <c r="CB694" s="5">
        <f t="shared" si="539"/>
        <v>1</v>
      </c>
      <c r="CC694" s="5">
        <f t="shared" si="538"/>
        <v>0</v>
      </c>
      <c r="CD694" s="5">
        <f t="shared" si="538"/>
        <v>0</v>
      </c>
      <c r="CE694" s="5">
        <f t="shared" si="538"/>
        <v>0</v>
      </c>
    </row>
    <row r="695" spans="1:83" x14ac:dyDescent="0.2">
      <c r="A695" s="11"/>
      <c r="B695" s="11"/>
      <c r="C695" s="1">
        <f>Growth!D700</f>
        <v>0</v>
      </c>
      <c r="D695" s="5" t="b">
        <f t="shared" si="521"/>
        <v>0</v>
      </c>
      <c r="E695" s="5">
        <v>2012</v>
      </c>
      <c r="F695" s="5">
        <f ca="1">LOOKUP($E695,frequence!$A$2:$A$35,frequence!L$2:L$35)</f>
        <v>41.545638202606931</v>
      </c>
      <c r="G695" s="5">
        <f ca="1">LOOKUP($E695,frequence!$A$2:$A$35,frequence!K$2:K$35)</f>
        <v>3.8191206393393822</v>
      </c>
      <c r="H695" s="5">
        <f ca="1">LOOKUP($E695,frequence!$A$2:$A$35,frequence!M$2:M$35)</f>
        <v>265.64322815143237</v>
      </c>
      <c r="I695" s="18">
        <v>2005</v>
      </c>
      <c r="J695" s="7">
        <f>LOOKUP(I695,CPI!A$69:A$103,CPI!O$69:O$103)</f>
        <v>1.1165181771633383</v>
      </c>
      <c r="K695" s="5">
        <v>2015</v>
      </c>
      <c r="L695" s="7">
        <f t="shared" ca="1" si="515"/>
        <v>1</v>
      </c>
      <c r="M695" s="7">
        <f t="shared" si="527"/>
        <v>4.3055555555555555E-2</v>
      </c>
      <c r="N695" s="14">
        <f t="shared" si="535"/>
        <v>6.9444444444444441E-3</v>
      </c>
      <c r="O695" s="1">
        <f ca="1">P695*J695*(1+Growth!G$6)^(2010-K695)</f>
        <v>30.037983242971855</v>
      </c>
      <c r="P695" s="11">
        <v>29</v>
      </c>
      <c r="Q695" s="2">
        <f t="shared" si="478"/>
        <v>29</v>
      </c>
      <c r="R695" s="21">
        <f t="shared" ca="1" si="522"/>
        <v>902.28043730505794</v>
      </c>
      <c r="X695" s="2"/>
      <c r="AC695" s="1">
        <f t="shared" si="536"/>
        <v>6.2</v>
      </c>
      <c r="AD695" s="5">
        <v>1</v>
      </c>
      <c r="AE695" s="5">
        <v>0</v>
      </c>
      <c r="AF695" s="5">
        <v>1</v>
      </c>
      <c r="AG695" s="5">
        <v>0</v>
      </c>
      <c r="AH695" s="5">
        <v>1</v>
      </c>
      <c r="AI695" s="3">
        <f t="shared" si="520"/>
        <v>3.2</v>
      </c>
      <c r="AJ695" s="5">
        <f t="shared" si="526"/>
        <v>1</v>
      </c>
      <c r="AK695" s="5">
        <f t="shared" si="516"/>
        <v>0</v>
      </c>
      <c r="AL695" s="5">
        <f t="shared" si="517"/>
        <v>0</v>
      </c>
      <c r="AM695" s="5">
        <f t="shared" si="528"/>
        <v>0</v>
      </c>
      <c r="AN695" s="5">
        <f t="shared" si="518"/>
        <v>0</v>
      </c>
      <c r="AO695" s="5">
        <f t="shared" si="529"/>
        <v>0</v>
      </c>
      <c r="AP695" s="11">
        <v>3</v>
      </c>
      <c r="AQ695" s="1">
        <v>3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1</v>
      </c>
      <c r="AY695" s="1">
        <f t="shared" si="530"/>
        <v>1</v>
      </c>
      <c r="AZ695" s="1">
        <f t="shared" si="531"/>
        <v>0</v>
      </c>
      <c r="BA695" s="1">
        <f t="shared" si="532"/>
        <v>0</v>
      </c>
      <c r="BB695" s="5">
        <v>0</v>
      </c>
      <c r="BC695" s="5">
        <v>0</v>
      </c>
      <c r="BD695" s="5">
        <v>0</v>
      </c>
      <c r="BE695" s="5">
        <f t="shared" si="533"/>
        <v>1</v>
      </c>
      <c r="BF695" s="5">
        <v>1</v>
      </c>
      <c r="BG695" s="5">
        <f t="shared" si="540"/>
        <v>0</v>
      </c>
      <c r="BH695" s="5">
        <f t="shared" si="540"/>
        <v>0</v>
      </c>
      <c r="BI695" s="5">
        <f t="shared" si="540"/>
        <v>0</v>
      </c>
      <c r="BJ695" s="5">
        <f t="shared" si="540"/>
        <v>0</v>
      </c>
      <c r="BK695" s="5">
        <f t="shared" si="540"/>
        <v>0</v>
      </c>
      <c r="BL695" s="5">
        <f t="shared" si="540"/>
        <v>0</v>
      </c>
      <c r="BM695" s="5">
        <f t="shared" si="540"/>
        <v>0</v>
      </c>
      <c r="BN695" s="5">
        <f t="shared" si="540"/>
        <v>0</v>
      </c>
      <c r="BO695" s="5">
        <f t="shared" si="539"/>
        <v>0</v>
      </c>
      <c r="BP695" s="5">
        <f t="shared" si="539"/>
        <v>0</v>
      </c>
      <c r="BQ695" s="5">
        <f t="shared" si="539"/>
        <v>0</v>
      </c>
      <c r="BR695" s="5">
        <f t="shared" si="539"/>
        <v>0</v>
      </c>
      <c r="BS695" s="5">
        <f t="shared" si="539"/>
        <v>0</v>
      </c>
      <c r="BT695" s="5">
        <f t="shared" si="539"/>
        <v>0</v>
      </c>
      <c r="BU695" s="5">
        <f t="shared" si="539"/>
        <v>0</v>
      </c>
      <c r="BV695" s="5">
        <f t="shared" si="539"/>
        <v>0</v>
      </c>
      <c r="BW695" s="5">
        <f t="shared" si="539"/>
        <v>0</v>
      </c>
      <c r="BX695" s="5">
        <f t="shared" si="539"/>
        <v>0</v>
      </c>
      <c r="BY695" s="5">
        <f t="shared" si="539"/>
        <v>0</v>
      </c>
      <c r="BZ695" s="5">
        <f t="shared" si="539"/>
        <v>0</v>
      </c>
      <c r="CA695" s="5">
        <f t="shared" si="539"/>
        <v>0</v>
      </c>
      <c r="CB695" s="5">
        <f t="shared" si="539"/>
        <v>1</v>
      </c>
      <c r="CC695" s="5">
        <f t="shared" si="538"/>
        <v>0</v>
      </c>
      <c r="CD695" s="5">
        <f t="shared" si="538"/>
        <v>0</v>
      </c>
      <c r="CE695" s="5">
        <f t="shared" si="538"/>
        <v>0</v>
      </c>
    </row>
    <row r="696" spans="1:83" x14ac:dyDescent="0.2">
      <c r="A696" s="11"/>
      <c r="B696" s="11"/>
      <c r="C696" s="1">
        <f>Growth!D701</f>
        <v>0</v>
      </c>
      <c r="D696" s="5" t="b">
        <f t="shared" si="521"/>
        <v>0</v>
      </c>
      <c r="E696" s="5">
        <v>2012</v>
      </c>
      <c r="F696" s="5">
        <f ca="1">LOOKUP($E696,frequence!$A$2:$A$35,frequence!L$2:L$35)</f>
        <v>41.545638202606931</v>
      </c>
      <c r="G696" s="5">
        <f ca="1">LOOKUP($E696,frequence!$A$2:$A$35,frequence!K$2:K$35)</f>
        <v>3.8191206393393822</v>
      </c>
      <c r="H696" s="5">
        <f ca="1">LOOKUP($E696,frequence!$A$2:$A$35,frequence!M$2:M$35)</f>
        <v>265.64322815143237</v>
      </c>
      <c r="I696" s="18">
        <v>2005</v>
      </c>
      <c r="J696" s="7">
        <f>LOOKUP(I696,CPI!A$69:A$103,CPI!O$69:O$103)</f>
        <v>1.1165181771633383</v>
      </c>
      <c r="K696" s="5">
        <v>2015</v>
      </c>
      <c r="L696" s="7">
        <f t="shared" ca="1" si="515"/>
        <v>1</v>
      </c>
      <c r="M696" s="7">
        <f t="shared" si="527"/>
        <v>4.3055555555555555E-2</v>
      </c>
      <c r="N696" s="14">
        <f t="shared" si="535"/>
        <v>6.9444444444444441E-3</v>
      </c>
      <c r="O696" s="1">
        <f ca="1">P696*J696*(1+Growth!G$6)^(2010-K696)</f>
        <v>45.574871127267635</v>
      </c>
      <c r="P696" s="11">
        <v>44</v>
      </c>
      <c r="Q696" s="2">
        <f t="shared" si="478"/>
        <v>44</v>
      </c>
      <c r="R696" s="21">
        <f t="shared" ca="1" si="522"/>
        <v>2077.0688782670532</v>
      </c>
      <c r="X696" s="2"/>
      <c r="AC696" s="1">
        <f t="shared" si="536"/>
        <v>6.2</v>
      </c>
      <c r="AD696" s="5">
        <v>1</v>
      </c>
      <c r="AE696" s="5">
        <v>0</v>
      </c>
      <c r="AF696" s="5">
        <v>1</v>
      </c>
      <c r="AG696" s="5">
        <v>0</v>
      </c>
      <c r="AH696" s="5">
        <v>1</v>
      </c>
      <c r="AI696" s="3">
        <f t="shared" si="520"/>
        <v>3.2</v>
      </c>
      <c r="AJ696" s="5">
        <f t="shared" si="526"/>
        <v>1</v>
      </c>
      <c r="AK696" s="5">
        <f t="shared" si="516"/>
        <v>0</v>
      </c>
      <c r="AL696" s="5">
        <f t="shared" si="517"/>
        <v>0</v>
      </c>
      <c r="AM696" s="5">
        <f t="shared" si="528"/>
        <v>0</v>
      </c>
      <c r="AN696" s="5">
        <f t="shared" si="518"/>
        <v>0</v>
      </c>
      <c r="AO696" s="5">
        <f t="shared" si="529"/>
        <v>0</v>
      </c>
      <c r="AP696" s="11">
        <v>3</v>
      </c>
      <c r="AQ696" s="1">
        <v>3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1</v>
      </c>
      <c r="AY696" s="1">
        <f t="shared" si="530"/>
        <v>1</v>
      </c>
      <c r="AZ696" s="1">
        <f t="shared" si="531"/>
        <v>0</v>
      </c>
      <c r="BA696" s="1">
        <f t="shared" si="532"/>
        <v>0</v>
      </c>
      <c r="BB696" s="5">
        <v>0</v>
      </c>
      <c r="BC696" s="5">
        <v>0</v>
      </c>
      <c r="BD696" s="5">
        <v>0</v>
      </c>
      <c r="BE696" s="5">
        <f t="shared" si="533"/>
        <v>1</v>
      </c>
      <c r="BF696" s="5">
        <v>1</v>
      </c>
      <c r="BG696" s="5">
        <f t="shared" si="540"/>
        <v>0</v>
      </c>
      <c r="BH696" s="5">
        <f t="shared" si="540"/>
        <v>0</v>
      </c>
      <c r="BI696" s="5">
        <f t="shared" si="540"/>
        <v>0</v>
      </c>
      <c r="BJ696" s="5">
        <f t="shared" si="540"/>
        <v>0</v>
      </c>
      <c r="BK696" s="5">
        <f t="shared" si="540"/>
        <v>0</v>
      </c>
      <c r="BL696" s="5">
        <f t="shared" si="540"/>
        <v>0</v>
      </c>
      <c r="BM696" s="5">
        <f t="shared" si="540"/>
        <v>0</v>
      </c>
      <c r="BN696" s="5">
        <f t="shared" si="540"/>
        <v>0</v>
      </c>
      <c r="BO696" s="5">
        <f t="shared" si="539"/>
        <v>0</v>
      </c>
      <c r="BP696" s="5">
        <f t="shared" si="539"/>
        <v>0</v>
      </c>
      <c r="BQ696" s="5">
        <f t="shared" si="539"/>
        <v>0</v>
      </c>
      <c r="BR696" s="5">
        <f t="shared" si="539"/>
        <v>0</v>
      </c>
      <c r="BS696" s="5">
        <f t="shared" si="539"/>
        <v>0</v>
      </c>
      <c r="BT696" s="5">
        <f t="shared" si="539"/>
        <v>0</v>
      </c>
      <c r="BU696" s="5">
        <f t="shared" si="539"/>
        <v>0</v>
      </c>
      <c r="BV696" s="5">
        <f t="shared" si="539"/>
        <v>0</v>
      </c>
      <c r="BW696" s="5">
        <f t="shared" si="539"/>
        <v>0</v>
      </c>
      <c r="BX696" s="5">
        <f t="shared" si="539"/>
        <v>0</v>
      </c>
      <c r="BY696" s="5">
        <f t="shared" si="539"/>
        <v>0</v>
      </c>
      <c r="BZ696" s="5">
        <f t="shared" si="539"/>
        <v>0</v>
      </c>
      <c r="CA696" s="5">
        <f t="shared" si="539"/>
        <v>0</v>
      </c>
      <c r="CB696" s="5">
        <f t="shared" si="539"/>
        <v>1</v>
      </c>
      <c r="CC696" s="5">
        <f t="shared" si="538"/>
        <v>0</v>
      </c>
      <c r="CD696" s="5">
        <f t="shared" si="538"/>
        <v>0</v>
      </c>
      <c r="CE696" s="5">
        <f t="shared" si="538"/>
        <v>0</v>
      </c>
    </row>
    <row r="697" spans="1:83" x14ac:dyDescent="0.2">
      <c r="A697" s="11"/>
      <c r="B697" s="11"/>
      <c r="C697" s="1">
        <f>Growth!D702</f>
        <v>0</v>
      </c>
      <c r="D697" s="5" t="b">
        <f t="shared" si="521"/>
        <v>0</v>
      </c>
      <c r="E697" s="5">
        <v>2012</v>
      </c>
      <c r="F697" s="5">
        <f ca="1">LOOKUP($E697,frequence!$A$2:$A$35,frequence!L$2:L$35)</f>
        <v>41.545638202606931</v>
      </c>
      <c r="G697" s="5">
        <f ca="1">LOOKUP($E697,frequence!$A$2:$A$35,frequence!K$2:K$35)</f>
        <v>3.8191206393393822</v>
      </c>
      <c r="H697" s="5">
        <f ca="1">LOOKUP($E697,frequence!$A$2:$A$35,frequence!M$2:M$35)</f>
        <v>265.64322815143237</v>
      </c>
      <c r="I697" s="18">
        <v>2005</v>
      </c>
      <c r="J697" s="7">
        <f>LOOKUP(I697,CPI!A$69:A$103,CPI!O$69:O$103)</f>
        <v>1.1165181771633383</v>
      </c>
      <c r="K697" s="5">
        <v>2015</v>
      </c>
      <c r="L697" s="7">
        <f t="shared" ca="1" si="515"/>
        <v>1</v>
      </c>
      <c r="M697" s="7">
        <f t="shared" si="527"/>
        <v>4.3055555555555555E-2</v>
      </c>
      <c r="N697" s="14">
        <f t="shared" si="535"/>
        <v>6.9444444444444441E-3</v>
      </c>
      <c r="O697" s="1">
        <f ca="1">P697*J697*(1+Growth!G$6)^(2010-K697)</f>
        <v>20.715850512394383</v>
      </c>
      <c r="P697" s="11">
        <v>20</v>
      </c>
      <c r="Q697" s="2">
        <f t="shared" si="478"/>
        <v>20</v>
      </c>
      <c r="R697" s="21">
        <f t="shared" ca="1" si="522"/>
        <v>429.1464624518706</v>
      </c>
      <c r="X697" s="2"/>
      <c r="AC697" s="1">
        <f t="shared" si="536"/>
        <v>6.2</v>
      </c>
      <c r="AD697" s="5">
        <v>1</v>
      </c>
      <c r="AE697" s="5">
        <v>0</v>
      </c>
      <c r="AF697" s="5">
        <v>1</v>
      </c>
      <c r="AG697" s="5">
        <v>0</v>
      </c>
      <c r="AH697" s="5">
        <v>1</v>
      </c>
      <c r="AI697" s="3">
        <f t="shared" si="520"/>
        <v>3.2</v>
      </c>
      <c r="AJ697" s="5">
        <f t="shared" si="526"/>
        <v>1</v>
      </c>
      <c r="AK697" s="5">
        <f t="shared" si="516"/>
        <v>0</v>
      </c>
      <c r="AL697" s="5">
        <f t="shared" si="517"/>
        <v>0</v>
      </c>
      <c r="AM697" s="5">
        <f t="shared" si="528"/>
        <v>0</v>
      </c>
      <c r="AN697" s="5">
        <f t="shared" si="518"/>
        <v>0</v>
      </c>
      <c r="AO697" s="5">
        <f t="shared" si="529"/>
        <v>0</v>
      </c>
      <c r="AP697" s="11">
        <v>3</v>
      </c>
      <c r="AQ697" s="1">
        <v>3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1</v>
      </c>
      <c r="AY697" s="1">
        <f t="shared" si="530"/>
        <v>1</v>
      </c>
      <c r="AZ697" s="1">
        <f t="shared" si="531"/>
        <v>0</v>
      </c>
      <c r="BA697" s="1">
        <f t="shared" si="532"/>
        <v>0</v>
      </c>
      <c r="BB697" s="5">
        <v>0</v>
      </c>
      <c r="BC697" s="5">
        <v>0</v>
      </c>
      <c r="BD697" s="5">
        <v>0</v>
      </c>
      <c r="BE697" s="5">
        <f t="shared" si="533"/>
        <v>1</v>
      </c>
      <c r="BF697" s="5">
        <v>1</v>
      </c>
      <c r="BG697" s="5">
        <f t="shared" si="540"/>
        <v>0</v>
      </c>
      <c r="BH697" s="5">
        <f t="shared" si="540"/>
        <v>0</v>
      </c>
      <c r="BI697" s="5">
        <f t="shared" si="540"/>
        <v>0</v>
      </c>
      <c r="BJ697" s="5">
        <f t="shared" si="540"/>
        <v>0</v>
      </c>
      <c r="BK697" s="5">
        <f t="shared" si="540"/>
        <v>0</v>
      </c>
      <c r="BL697" s="5">
        <f t="shared" si="540"/>
        <v>0</v>
      </c>
      <c r="BM697" s="5">
        <f t="shared" si="540"/>
        <v>0</v>
      </c>
      <c r="BN697" s="5">
        <f t="shared" si="540"/>
        <v>0</v>
      </c>
      <c r="BO697" s="5">
        <f t="shared" si="539"/>
        <v>0</v>
      </c>
      <c r="BP697" s="5">
        <f t="shared" si="539"/>
        <v>0</v>
      </c>
      <c r="BQ697" s="5">
        <f t="shared" si="539"/>
        <v>0</v>
      </c>
      <c r="BR697" s="5">
        <f t="shared" si="539"/>
        <v>0</v>
      </c>
      <c r="BS697" s="5">
        <f t="shared" si="539"/>
        <v>0</v>
      </c>
      <c r="BT697" s="5">
        <f t="shared" si="539"/>
        <v>0</v>
      </c>
      <c r="BU697" s="5">
        <f t="shared" si="539"/>
        <v>0</v>
      </c>
      <c r="BV697" s="5">
        <f t="shared" si="539"/>
        <v>0</v>
      </c>
      <c r="BW697" s="5">
        <f t="shared" si="539"/>
        <v>0</v>
      </c>
      <c r="BX697" s="5">
        <f t="shared" si="539"/>
        <v>0</v>
      </c>
      <c r="BY697" s="5">
        <f t="shared" si="539"/>
        <v>0</v>
      </c>
      <c r="BZ697" s="5">
        <f t="shared" si="539"/>
        <v>0</v>
      </c>
      <c r="CA697" s="5">
        <f t="shared" si="539"/>
        <v>0</v>
      </c>
      <c r="CB697" s="5">
        <f t="shared" si="539"/>
        <v>1</v>
      </c>
      <c r="CC697" s="5">
        <f t="shared" si="538"/>
        <v>0</v>
      </c>
      <c r="CD697" s="5">
        <f t="shared" si="538"/>
        <v>0</v>
      </c>
      <c r="CE697" s="5">
        <f t="shared" si="538"/>
        <v>0</v>
      </c>
    </row>
    <row r="698" spans="1:83" x14ac:dyDescent="0.2">
      <c r="A698" s="11"/>
      <c r="B698" s="11"/>
      <c r="C698" s="1">
        <f>Growth!D703</f>
        <v>0</v>
      </c>
      <c r="D698" s="5" t="b">
        <f t="shared" si="521"/>
        <v>0</v>
      </c>
      <c r="E698" s="5">
        <v>2012</v>
      </c>
      <c r="F698" s="5">
        <f ca="1">LOOKUP($E698,frequence!$A$2:$A$35,frequence!L$2:L$35)</f>
        <v>41.545638202606931</v>
      </c>
      <c r="G698" s="5">
        <f ca="1">LOOKUP($E698,frequence!$A$2:$A$35,frequence!K$2:K$35)</f>
        <v>3.8191206393393822</v>
      </c>
      <c r="H698" s="5">
        <f ca="1">LOOKUP($E698,frequence!$A$2:$A$35,frequence!M$2:M$35)</f>
        <v>265.64322815143237</v>
      </c>
      <c r="I698" s="18">
        <v>2005</v>
      </c>
      <c r="J698" s="7">
        <f>LOOKUP(I698,CPI!A$69:A$103,CPI!O$69:O$103)</f>
        <v>1.1165181771633383</v>
      </c>
      <c r="K698" s="5">
        <v>2015</v>
      </c>
      <c r="L698" s="7">
        <f t="shared" ca="1" si="515"/>
        <v>1</v>
      </c>
      <c r="M698" s="7">
        <f t="shared" si="527"/>
        <v>4.3055555555555555E-2</v>
      </c>
      <c r="N698" s="14">
        <f t="shared" si="535"/>
        <v>6.9444444444444441E-3</v>
      </c>
      <c r="O698" s="1">
        <f ca="1">P698*J698*(1+Growth!G$6)^(2010-K698)</f>
        <v>40.395908499169046</v>
      </c>
      <c r="P698" s="11">
        <v>39</v>
      </c>
      <c r="Q698" s="2">
        <f t="shared" si="478"/>
        <v>39</v>
      </c>
      <c r="R698" s="21">
        <f t="shared" ca="1" si="522"/>
        <v>1631.829423473238</v>
      </c>
      <c r="X698" s="2"/>
      <c r="AC698" s="1">
        <f t="shared" si="536"/>
        <v>6.2</v>
      </c>
      <c r="AD698" s="5">
        <v>1</v>
      </c>
      <c r="AE698" s="5">
        <v>0</v>
      </c>
      <c r="AF698" s="5">
        <v>1</v>
      </c>
      <c r="AG698" s="5">
        <v>0</v>
      </c>
      <c r="AH698" s="5">
        <v>1</v>
      </c>
      <c r="AI698" s="3">
        <f t="shared" si="520"/>
        <v>3.2</v>
      </c>
      <c r="AJ698" s="5">
        <f t="shared" si="526"/>
        <v>1</v>
      </c>
      <c r="AK698" s="5">
        <f t="shared" si="516"/>
        <v>0</v>
      </c>
      <c r="AL698" s="5">
        <f t="shared" si="517"/>
        <v>0</v>
      </c>
      <c r="AM698" s="5">
        <f t="shared" si="528"/>
        <v>0</v>
      </c>
      <c r="AN698" s="5">
        <f t="shared" si="518"/>
        <v>0</v>
      </c>
      <c r="AO698" s="5">
        <f t="shared" si="529"/>
        <v>0</v>
      </c>
      <c r="AP698" s="11">
        <v>3</v>
      </c>
      <c r="AQ698" s="1">
        <v>3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1</v>
      </c>
      <c r="AY698" s="1">
        <f t="shared" si="530"/>
        <v>1</v>
      </c>
      <c r="AZ698" s="1">
        <f t="shared" si="531"/>
        <v>0</v>
      </c>
      <c r="BA698" s="1">
        <f t="shared" si="532"/>
        <v>0</v>
      </c>
      <c r="BB698" s="5">
        <v>0</v>
      </c>
      <c r="BC698" s="5">
        <v>0</v>
      </c>
      <c r="BD698" s="5">
        <v>0</v>
      </c>
      <c r="BE698" s="5">
        <f t="shared" si="533"/>
        <v>1</v>
      </c>
      <c r="BF698" s="5">
        <v>1</v>
      </c>
      <c r="BG698" s="5">
        <f t="shared" si="540"/>
        <v>0</v>
      </c>
      <c r="BH698" s="5">
        <f t="shared" si="540"/>
        <v>0</v>
      </c>
      <c r="BI698" s="5">
        <f t="shared" si="540"/>
        <v>0</v>
      </c>
      <c r="BJ698" s="5">
        <f t="shared" si="540"/>
        <v>0</v>
      </c>
      <c r="BK698" s="5">
        <f t="shared" si="540"/>
        <v>0</v>
      </c>
      <c r="BL698" s="5">
        <f t="shared" si="540"/>
        <v>0</v>
      </c>
      <c r="BM698" s="5">
        <f t="shared" si="540"/>
        <v>0</v>
      </c>
      <c r="BN698" s="5">
        <f t="shared" si="540"/>
        <v>0</v>
      </c>
      <c r="BO698" s="5">
        <f t="shared" si="539"/>
        <v>0</v>
      </c>
      <c r="BP698" s="5">
        <f t="shared" si="539"/>
        <v>0</v>
      </c>
      <c r="BQ698" s="5">
        <f t="shared" si="539"/>
        <v>0</v>
      </c>
      <c r="BR698" s="5">
        <f t="shared" si="539"/>
        <v>0</v>
      </c>
      <c r="BS698" s="5">
        <f t="shared" si="539"/>
        <v>0</v>
      </c>
      <c r="BT698" s="5">
        <f t="shared" si="539"/>
        <v>0</v>
      </c>
      <c r="BU698" s="5">
        <f t="shared" si="539"/>
        <v>0</v>
      </c>
      <c r="BV698" s="5">
        <f t="shared" si="539"/>
        <v>0</v>
      </c>
      <c r="BW698" s="5">
        <f t="shared" si="539"/>
        <v>0</v>
      </c>
      <c r="BX698" s="5">
        <f t="shared" si="539"/>
        <v>0</v>
      </c>
      <c r="BY698" s="5">
        <f t="shared" si="539"/>
        <v>0</v>
      </c>
      <c r="BZ698" s="5">
        <f t="shared" si="539"/>
        <v>0</v>
      </c>
      <c r="CA698" s="5">
        <f t="shared" si="539"/>
        <v>0</v>
      </c>
      <c r="CB698" s="5">
        <f t="shared" si="539"/>
        <v>1</v>
      </c>
      <c r="CC698" s="5">
        <f t="shared" si="538"/>
        <v>0</v>
      </c>
      <c r="CD698" s="5">
        <f t="shared" si="538"/>
        <v>0</v>
      </c>
      <c r="CE698" s="5">
        <f t="shared" si="538"/>
        <v>0</v>
      </c>
    </row>
    <row r="699" spans="1:83" x14ac:dyDescent="0.2">
      <c r="A699" s="11"/>
      <c r="B699" s="11"/>
      <c r="C699" s="1">
        <f>Growth!D704</f>
        <v>0</v>
      </c>
      <c r="D699" s="5" t="b">
        <f t="shared" si="521"/>
        <v>0</v>
      </c>
      <c r="E699" s="5">
        <v>2012</v>
      </c>
      <c r="F699" s="5">
        <f ca="1">LOOKUP($E699,frequence!$A$2:$A$35,frequence!L$2:L$35)</f>
        <v>41.545638202606931</v>
      </c>
      <c r="G699" s="5">
        <f ca="1">LOOKUP($E699,frequence!$A$2:$A$35,frequence!K$2:K$35)</f>
        <v>3.8191206393393822</v>
      </c>
      <c r="H699" s="5">
        <f ca="1">LOOKUP($E699,frequence!$A$2:$A$35,frequence!M$2:M$35)</f>
        <v>265.64322815143237</v>
      </c>
      <c r="I699" s="18">
        <v>2005</v>
      </c>
      <c r="J699" s="7">
        <f>LOOKUP(I699,CPI!A$69:A$103,CPI!O$69:O$103)</f>
        <v>1.1165181771633383</v>
      </c>
      <c r="K699" s="5">
        <v>2015</v>
      </c>
      <c r="L699" s="7">
        <f t="shared" ca="1" si="515"/>
        <v>1</v>
      </c>
      <c r="M699" s="7">
        <f t="shared" si="527"/>
        <v>4.3055555555555555E-2</v>
      </c>
      <c r="N699" s="14">
        <f t="shared" si="535"/>
        <v>6.9444444444444441E-3</v>
      </c>
      <c r="O699" s="1">
        <f ca="1">P699*J699*(1+Growth!G$6)^(2010-K699)</f>
        <v>37.288530922309889</v>
      </c>
      <c r="P699" s="11">
        <v>36</v>
      </c>
      <c r="Q699" s="2">
        <f t="shared" si="478"/>
        <v>36</v>
      </c>
      <c r="R699" s="21">
        <f t="shared" ca="1" si="522"/>
        <v>1390.4345383440607</v>
      </c>
      <c r="X699" s="2"/>
      <c r="AC699" s="1">
        <f t="shared" si="536"/>
        <v>6.2</v>
      </c>
      <c r="AD699" s="5">
        <v>1</v>
      </c>
      <c r="AE699" s="5">
        <v>0</v>
      </c>
      <c r="AF699" s="5">
        <v>1</v>
      </c>
      <c r="AG699" s="5">
        <v>0</v>
      </c>
      <c r="AH699" s="5">
        <v>1</v>
      </c>
      <c r="AI699" s="3">
        <f t="shared" si="520"/>
        <v>3.2</v>
      </c>
      <c r="AJ699" s="5">
        <f t="shared" si="526"/>
        <v>1</v>
      </c>
      <c r="AK699" s="5">
        <f t="shared" si="516"/>
        <v>0</v>
      </c>
      <c r="AL699" s="5">
        <f t="shared" si="517"/>
        <v>0</v>
      </c>
      <c r="AM699" s="5">
        <f t="shared" si="528"/>
        <v>0</v>
      </c>
      <c r="AN699" s="5">
        <f t="shared" si="518"/>
        <v>0</v>
      </c>
      <c r="AO699" s="5">
        <f t="shared" si="529"/>
        <v>0</v>
      </c>
      <c r="AP699" s="11">
        <v>3</v>
      </c>
      <c r="AQ699" s="1">
        <v>3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1</v>
      </c>
      <c r="AY699" s="1">
        <f t="shared" si="530"/>
        <v>1</v>
      </c>
      <c r="AZ699" s="1">
        <f t="shared" si="531"/>
        <v>0</v>
      </c>
      <c r="BA699" s="1">
        <f t="shared" si="532"/>
        <v>0</v>
      </c>
      <c r="BB699" s="5">
        <v>0</v>
      </c>
      <c r="BC699" s="5">
        <v>0</v>
      </c>
      <c r="BD699" s="5">
        <v>0</v>
      </c>
      <c r="BE699" s="5">
        <f t="shared" si="533"/>
        <v>1</v>
      </c>
      <c r="BF699" s="5">
        <v>1</v>
      </c>
      <c r="BG699" s="5">
        <f t="shared" si="540"/>
        <v>0</v>
      </c>
      <c r="BH699" s="5">
        <f t="shared" si="540"/>
        <v>0</v>
      </c>
      <c r="BI699" s="5">
        <f t="shared" si="540"/>
        <v>0</v>
      </c>
      <c r="BJ699" s="5">
        <f t="shared" si="540"/>
        <v>0</v>
      </c>
      <c r="BK699" s="5">
        <f t="shared" si="540"/>
        <v>0</v>
      </c>
      <c r="BL699" s="5">
        <f t="shared" si="540"/>
        <v>0</v>
      </c>
      <c r="BM699" s="5">
        <f t="shared" si="540"/>
        <v>0</v>
      </c>
      <c r="BN699" s="5">
        <f t="shared" si="540"/>
        <v>0</v>
      </c>
      <c r="BO699" s="5">
        <f t="shared" si="539"/>
        <v>0</v>
      </c>
      <c r="BP699" s="5">
        <f t="shared" si="539"/>
        <v>0</v>
      </c>
      <c r="BQ699" s="5">
        <f t="shared" si="539"/>
        <v>0</v>
      </c>
      <c r="BR699" s="5">
        <f t="shared" si="539"/>
        <v>0</v>
      </c>
      <c r="BS699" s="5">
        <f t="shared" si="539"/>
        <v>0</v>
      </c>
      <c r="BT699" s="5">
        <f t="shared" si="539"/>
        <v>0</v>
      </c>
      <c r="BU699" s="5">
        <f t="shared" si="539"/>
        <v>0</v>
      </c>
      <c r="BV699" s="5">
        <f t="shared" si="539"/>
        <v>0</v>
      </c>
      <c r="BW699" s="5">
        <f t="shared" si="539"/>
        <v>0</v>
      </c>
      <c r="BX699" s="5">
        <f t="shared" si="539"/>
        <v>0</v>
      </c>
      <c r="BY699" s="5">
        <f t="shared" si="539"/>
        <v>0</v>
      </c>
      <c r="BZ699" s="5">
        <f t="shared" si="539"/>
        <v>0</v>
      </c>
      <c r="CA699" s="5">
        <f t="shared" si="539"/>
        <v>0</v>
      </c>
      <c r="CB699" s="5">
        <f t="shared" si="539"/>
        <v>1</v>
      </c>
      <c r="CC699" s="5">
        <f t="shared" si="539"/>
        <v>0</v>
      </c>
      <c r="CD699" s="5">
        <f t="shared" ref="CD699:CE718" si="541">IF($E699=CD$2,1,0)</f>
        <v>0</v>
      </c>
      <c r="CE699" s="5">
        <f t="shared" si="541"/>
        <v>0</v>
      </c>
    </row>
    <row r="700" spans="1:83" x14ac:dyDescent="0.2">
      <c r="A700" s="11"/>
      <c r="B700" s="11"/>
      <c r="C700" s="1">
        <f>Growth!D705</f>
        <v>0</v>
      </c>
      <c r="D700" s="5" t="b">
        <f t="shared" si="521"/>
        <v>0</v>
      </c>
      <c r="E700" s="5">
        <v>2012</v>
      </c>
      <c r="F700" s="5">
        <f ca="1">LOOKUP($E700,frequence!$A$2:$A$35,frequence!L$2:L$35)</f>
        <v>41.545638202606931</v>
      </c>
      <c r="G700" s="5">
        <f ca="1">LOOKUP($E700,frequence!$A$2:$A$35,frequence!K$2:K$35)</f>
        <v>3.8191206393393822</v>
      </c>
      <c r="H700" s="5">
        <f ca="1">LOOKUP($E700,frequence!$A$2:$A$35,frequence!M$2:M$35)</f>
        <v>265.64322815143237</v>
      </c>
      <c r="I700" s="18">
        <v>2005</v>
      </c>
      <c r="J700" s="7">
        <f>LOOKUP(I700,CPI!A$69:A$103,CPI!O$69:O$103)</f>
        <v>1.1165181771633383</v>
      </c>
      <c r="K700" s="5">
        <v>2015</v>
      </c>
      <c r="L700" s="7">
        <f t="shared" ca="1" si="515"/>
        <v>1</v>
      </c>
      <c r="M700" s="7">
        <f t="shared" si="527"/>
        <v>4.3055555555555555E-2</v>
      </c>
      <c r="N700" s="14">
        <f t="shared" si="535"/>
        <v>6.9444444444444441E-3</v>
      </c>
      <c r="O700" s="1">
        <f ca="1">P700*J700*(1+Growth!G$6)^(2010-K700)</f>
        <v>44.539078601647923</v>
      </c>
      <c r="P700" s="11">
        <v>43</v>
      </c>
      <c r="Q700" s="2">
        <f t="shared" si="478"/>
        <v>43</v>
      </c>
      <c r="R700" s="21">
        <f t="shared" ca="1" si="522"/>
        <v>1983.7295226837718</v>
      </c>
      <c r="X700" s="2"/>
      <c r="AC700" s="1">
        <f t="shared" si="536"/>
        <v>6.2</v>
      </c>
      <c r="AD700" s="5">
        <v>1</v>
      </c>
      <c r="AE700" s="5">
        <v>0</v>
      </c>
      <c r="AF700" s="5">
        <v>1</v>
      </c>
      <c r="AG700" s="5">
        <v>0</v>
      </c>
      <c r="AH700" s="5">
        <v>1</v>
      </c>
      <c r="AI700" s="3">
        <f t="shared" si="520"/>
        <v>3.2</v>
      </c>
      <c r="AJ700" s="5">
        <f t="shared" si="526"/>
        <v>1</v>
      </c>
      <c r="AK700" s="5">
        <f t="shared" si="516"/>
        <v>0</v>
      </c>
      <c r="AL700" s="5">
        <f t="shared" si="517"/>
        <v>0</v>
      </c>
      <c r="AM700" s="5">
        <f t="shared" si="528"/>
        <v>0</v>
      </c>
      <c r="AN700" s="5">
        <f t="shared" si="518"/>
        <v>0</v>
      </c>
      <c r="AO700" s="5">
        <f t="shared" si="529"/>
        <v>0</v>
      </c>
      <c r="AP700" s="11">
        <v>3</v>
      </c>
      <c r="AQ700" s="1">
        <v>3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1</v>
      </c>
      <c r="AY700" s="1">
        <f t="shared" si="530"/>
        <v>1</v>
      </c>
      <c r="AZ700" s="1">
        <f t="shared" si="531"/>
        <v>0</v>
      </c>
      <c r="BA700" s="1">
        <f t="shared" si="532"/>
        <v>0</v>
      </c>
      <c r="BB700" s="5">
        <v>0</v>
      </c>
      <c r="BC700" s="5">
        <v>0</v>
      </c>
      <c r="BD700" s="5">
        <v>0</v>
      </c>
      <c r="BE700" s="5">
        <f t="shared" si="533"/>
        <v>1</v>
      </c>
      <c r="BF700" s="5">
        <v>1</v>
      </c>
      <c r="BG700" s="5">
        <f t="shared" si="540"/>
        <v>0</v>
      </c>
      <c r="BH700" s="5">
        <f t="shared" si="540"/>
        <v>0</v>
      </c>
      <c r="BI700" s="5">
        <f t="shared" si="540"/>
        <v>0</v>
      </c>
      <c r="BJ700" s="5">
        <f t="shared" si="540"/>
        <v>0</v>
      </c>
      <c r="BK700" s="5">
        <f t="shared" si="540"/>
        <v>0</v>
      </c>
      <c r="BL700" s="5">
        <f t="shared" si="540"/>
        <v>0</v>
      </c>
      <c r="BM700" s="5">
        <f t="shared" si="540"/>
        <v>0</v>
      </c>
      <c r="BN700" s="5">
        <f t="shared" si="540"/>
        <v>0</v>
      </c>
      <c r="BO700" s="5">
        <f t="shared" si="539"/>
        <v>0</v>
      </c>
      <c r="BP700" s="5">
        <f t="shared" si="539"/>
        <v>0</v>
      </c>
      <c r="BQ700" s="5">
        <f t="shared" si="539"/>
        <v>0</v>
      </c>
      <c r="BR700" s="5">
        <f t="shared" si="539"/>
        <v>0</v>
      </c>
      <c r="BS700" s="5">
        <f t="shared" si="539"/>
        <v>0</v>
      </c>
      <c r="BT700" s="5">
        <f t="shared" si="539"/>
        <v>0</v>
      </c>
      <c r="BU700" s="5">
        <f t="shared" si="539"/>
        <v>0</v>
      </c>
      <c r="BV700" s="5">
        <f t="shared" si="539"/>
        <v>0</v>
      </c>
      <c r="BW700" s="5">
        <f t="shared" si="539"/>
        <v>0</v>
      </c>
      <c r="BX700" s="5">
        <f t="shared" si="539"/>
        <v>0</v>
      </c>
      <c r="BY700" s="5">
        <f t="shared" si="539"/>
        <v>0</v>
      </c>
      <c r="BZ700" s="5">
        <f t="shared" si="539"/>
        <v>0</v>
      </c>
      <c r="CA700" s="5">
        <f t="shared" si="539"/>
        <v>0</v>
      </c>
      <c r="CB700" s="5">
        <f t="shared" si="539"/>
        <v>1</v>
      </c>
      <c r="CC700" s="5">
        <f t="shared" si="539"/>
        <v>0</v>
      </c>
      <c r="CD700" s="5">
        <f t="shared" si="541"/>
        <v>0</v>
      </c>
      <c r="CE700" s="5">
        <f t="shared" si="541"/>
        <v>0</v>
      </c>
    </row>
    <row r="701" spans="1:83" x14ac:dyDescent="0.2">
      <c r="A701" s="11"/>
      <c r="B701" s="11"/>
      <c r="C701" s="1">
        <f>Growth!D706</f>
        <v>0</v>
      </c>
      <c r="D701" s="5" t="b">
        <f t="shared" si="521"/>
        <v>0</v>
      </c>
      <c r="E701" s="5">
        <v>2012</v>
      </c>
      <c r="F701" s="5">
        <f ca="1">LOOKUP($E701,frequence!$A$2:$A$35,frequence!L$2:L$35)</f>
        <v>41.545638202606931</v>
      </c>
      <c r="G701" s="5">
        <f ca="1">LOOKUP($E701,frequence!$A$2:$A$35,frequence!K$2:K$35)</f>
        <v>3.8191206393393822</v>
      </c>
      <c r="H701" s="5">
        <f ca="1">LOOKUP($E701,frequence!$A$2:$A$35,frequence!M$2:M$35)</f>
        <v>265.64322815143237</v>
      </c>
      <c r="I701" s="18">
        <v>2005</v>
      </c>
      <c r="J701" s="7">
        <f>LOOKUP(I701,CPI!A$69:A$103,CPI!O$69:O$103)</f>
        <v>1.1165181771633383</v>
      </c>
      <c r="K701" s="5">
        <v>2015</v>
      </c>
      <c r="L701" s="7">
        <f t="shared" ca="1" si="515"/>
        <v>1</v>
      </c>
      <c r="M701" s="7">
        <f t="shared" si="527"/>
        <v>4.3055555555555555E-2</v>
      </c>
      <c r="N701" s="14">
        <f t="shared" si="535"/>
        <v>6.9444444444444441E-3</v>
      </c>
      <c r="O701" s="1">
        <f ca="1">P701*J701*(1+Growth!G$6)^(2010-K701)</f>
        <v>32.109568294211293</v>
      </c>
      <c r="P701" s="11">
        <v>31</v>
      </c>
      <c r="Q701" s="2">
        <f t="shared" si="478"/>
        <v>31</v>
      </c>
      <c r="R701" s="21">
        <f t="shared" ca="1" si="522"/>
        <v>1031.024376040619</v>
      </c>
      <c r="X701" s="2"/>
      <c r="AC701" s="1">
        <f t="shared" si="536"/>
        <v>6.2</v>
      </c>
      <c r="AD701" s="5">
        <v>1</v>
      </c>
      <c r="AE701" s="5">
        <v>0</v>
      </c>
      <c r="AF701" s="5">
        <v>1</v>
      </c>
      <c r="AG701" s="5">
        <v>0</v>
      </c>
      <c r="AH701" s="5">
        <v>1</v>
      </c>
      <c r="AI701" s="3">
        <f t="shared" si="520"/>
        <v>3.2</v>
      </c>
      <c r="AJ701" s="5">
        <f t="shared" si="526"/>
        <v>1</v>
      </c>
      <c r="AK701" s="5">
        <f t="shared" si="516"/>
        <v>0</v>
      </c>
      <c r="AL701" s="5">
        <f t="shared" si="517"/>
        <v>0</v>
      </c>
      <c r="AM701" s="5">
        <f t="shared" si="528"/>
        <v>0</v>
      </c>
      <c r="AN701" s="5">
        <f t="shared" si="518"/>
        <v>0</v>
      </c>
      <c r="AO701" s="5">
        <f t="shared" si="529"/>
        <v>0</v>
      </c>
      <c r="AP701" s="11">
        <v>3</v>
      </c>
      <c r="AQ701" s="1">
        <v>3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1</v>
      </c>
      <c r="AY701" s="1">
        <f t="shared" si="530"/>
        <v>1</v>
      </c>
      <c r="AZ701" s="1">
        <f t="shared" si="531"/>
        <v>0</v>
      </c>
      <c r="BA701" s="1">
        <f t="shared" si="532"/>
        <v>0</v>
      </c>
      <c r="BB701" s="5">
        <v>0</v>
      </c>
      <c r="BC701" s="5">
        <v>0</v>
      </c>
      <c r="BD701" s="5">
        <v>0</v>
      </c>
      <c r="BE701" s="5">
        <f t="shared" si="533"/>
        <v>1</v>
      </c>
      <c r="BF701" s="5">
        <v>1</v>
      </c>
      <c r="BG701" s="5">
        <f t="shared" si="540"/>
        <v>0</v>
      </c>
      <c r="BH701" s="5">
        <f t="shared" si="540"/>
        <v>0</v>
      </c>
      <c r="BI701" s="5">
        <f t="shared" si="540"/>
        <v>0</v>
      </c>
      <c r="BJ701" s="5">
        <f t="shared" si="540"/>
        <v>0</v>
      </c>
      <c r="BK701" s="5">
        <f t="shared" si="540"/>
        <v>0</v>
      </c>
      <c r="BL701" s="5">
        <f t="shared" si="540"/>
        <v>0</v>
      </c>
      <c r="BM701" s="5">
        <f t="shared" si="540"/>
        <v>0</v>
      </c>
      <c r="BN701" s="5">
        <f t="shared" si="540"/>
        <v>0</v>
      </c>
      <c r="BO701" s="5">
        <f t="shared" si="539"/>
        <v>0</v>
      </c>
      <c r="BP701" s="5">
        <f t="shared" si="539"/>
        <v>0</v>
      </c>
      <c r="BQ701" s="5">
        <f t="shared" si="539"/>
        <v>0</v>
      </c>
      <c r="BR701" s="5">
        <f t="shared" si="539"/>
        <v>0</v>
      </c>
      <c r="BS701" s="5">
        <f t="shared" si="539"/>
        <v>0</v>
      </c>
      <c r="BT701" s="5">
        <f t="shared" si="539"/>
        <v>0</v>
      </c>
      <c r="BU701" s="5">
        <f t="shared" si="539"/>
        <v>0</v>
      </c>
      <c r="BV701" s="5">
        <f t="shared" si="539"/>
        <v>0</v>
      </c>
      <c r="BW701" s="5">
        <f t="shared" si="539"/>
        <v>0</v>
      </c>
      <c r="BX701" s="5">
        <f t="shared" si="539"/>
        <v>0</v>
      </c>
      <c r="BY701" s="5">
        <f t="shared" si="539"/>
        <v>0</v>
      </c>
      <c r="BZ701" s="5">
        <f t="shared" si="539"/>
        <v>0</v>
      </c>
      <c r="CA701" s="5">
        <f t="shared" si="539"/>
        <v>0</v>
      </c>
      <c r="CB701" s="5">
        <f t="shared" si="539"/>
        <v>1</v>
      </c>
      <c r="CC701" s="5">
        <f t="shared" si="539"/>
        <v>0</v>
      </c>
      <c r="CD701" s="5">
        <f t="shared" si="541"/>
        <v>0</v>
      </c>
      <c r="CE701" s="5">
        <f t="shared" si="541"/>
        <v>0</v>
      </c>
    </row>
    <row r="702" spans="1:83" x14ac:dyDescent="0.2">
      <c r="A702" s="11"/>
      <c r="B702" s="11"/>
      <c r="C702" s="1">
        <f>Growth!D707</f>
        <v>0</v>
      </c>
      <c r="D702" s="5" t="b">
        <f t="shared" si="521"/>
        <v>0</v>
      </c>
      <c r="E702" s="5">
        <v>2012</v>
      </c>
      <c r="F702" s="5">
        <f ca="1">LOOKUP($E702,frequence!$A$2:$A$35,frequence!L$2:L$35)</f>
        <v>41.545638202606931</v>
      </c>
      <c r="G702" s="5">
        <f ca="1">LOOKUP($E702,frequence!$A$2:$A$35,frequence!K$2:K$35)</f>
        <v>3.8191206393393822</v>
      </c>
      <c r="H702" s="5">
        <f ca="1">LOOKUP($E702,frequence!$A$2:$A$35,frequence!M$2:M$35)</f>
        <v>265.64322815143237</v>
      </c>
      <c r="I702" s="18">
        <v>2005</v>
      </c>
      <c r="J702" s="7">
        <f>LOOKUP(I702,CPI!A$69:A$103,CPI!O$69:O$103)</f>
        <v>1.1165181771633383</v>
      </c>
      <c r="K702" s="5">
        <v>2015</v>
      </c>
      <c r="L702" s="7">
        <f t="shared" ca="1" si="515"/>
        <v>1</v>
      </c>
      <c r="M702" s="7">
        <f t="shared" si="527"/>
        <v>4.3055555555555555E-2</v>
      </c>
      <c r="N702" s="14">
        <f t="shared" si="535"/>
        <v>6.9444444444444441E-3</v>
      </c>
      <c r="O702" s="1">
        <f ca="1">P702*J702*(1+Growth!G$6)^(2010-K702)</f>
        <v>42.467493550408477</v>
      </c>
      <c r="P702" s="11">
        <v>41</v>
      </c>
      <c r="Q702" s="2">
        <f t="shared" si="478"/>
        <v>41</v>
      </c>
      <c r="R702" s="21">
        <f t="shared" ca="1" si="522"/>
        <v>1803.4880084539857</v>
      </c>
      <c r="X702" s="2"/>
      <c r="AC702" s="1">
        <f t="shared" si="536"/>
        <v>6.2</v>
      </c>
      <c r="AD702" s="5">
        <v>1</v>
      </c>
      <c r="AE702" s="5">
        <v>0</v>
      </c>
      <c r="AF702" s="5">
        <v>1</v>
      </c>
      <c r="AG702" s="5">
        <v>0</v>
      </c>
      <c r="AH702" s="5">
        <v>1</v>
      </c>
      <c r="AI702" s="3">
        <f t="shared" si="520"/>
        <v>3.2</v>
      </c>
      <c r="AJ702" s="5">
        <f t="shared" si="526"/>
        <v>0</v>
      </c>
      <c r="AK702" s="5">
        <f t="shared" si="516"/>
        <v>0</v>
      </c>
      <c r="AL702" s="5">
        <f t="shared" si="517"/>
        <v>0</v>
      </c>
      <c r="AM702" s="5">
        <f t="shared" si="528"/>
        <v>0</v>
      </c>
      <c r="AN702" s="5">
        <f t="shared" si="518"/>
        <v>0</v>
      </c>
      <c r="AO702" s="5">
        <f t="shared" si="529"/>
        <v>0</v>
      </c>
      <c r="AP702" s="11">
        <v>3</v>
      </c>
      <c r="AQ702" s="1">
        <v>0.95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1</v>
      </c>
      <c r="AY702" s="1">
        <f t="shared" si="530"/>
        <v>0</v>
      </c>
      <c r="AZ702" s="1">
        <f t="shared" si="531"/>
        <v>0</v>
      </c>
      <c r="BA702" s="1">
        <f t="shared" si="532"/>
        <v>0</v>
      </c>
      <c r="BB702" s="5">
        <v>0</v>
      </c>
      <c r="BC702" s="5">
        <v>0</v>
      </c>
      <c r="BD702" s="5">
        <v>0</v>
      </c>
      <c r="BE702" s="5">
        <f t="shared" si="533"/>
        <v>1</v>
      </c>
      <c r="BF702" s="5">
        <v>1</v>
      </c>
      <c r="BG702" s="5">
        <f t="shared" si="540"/>
        <v>0</v>
      </c>
      <c r="BH702" s="5">
        <f t="shared" si="540"/>
        <v>0</v>
      </c>
      <c r="BI702" s="5">
        <f t="shared" si="540"/>
        <v>0</v>
      </c>
      <c r="BJ702" s="5">
        <f t="shared" si="540"/>
        <v>0</v>
      </c>
      <c r="BK702" s="5">
        <f t="shared" si="540"/>
        <v>0</v>
      </c>
      <c r="BL702" s="5">
        <f t="shared" si="540"/>
        <v>0</v>
      </c>
      <c r="BM702" s="5">
        <f t="shared" si="540"/>
        <v>0</v>
      </c>
      <c r="BN702" s="5">
        <f t="shared" si="540"/>
        <v>0</v>
      </c>
      <c r="BO702" s="5">
        <f t="shared" si="539"/>
        <v>0</v>
      </c>
      <c r="BP702" s="5">
        <f t="shared" si="539"/>
        <v>0</v>
      </c>
      <c r="BQ702" s="5">
        <f t="shared" si="539"/>
        <v>0</v>
      </c>
      <c r="BR702" s="5">
        <f t="shared" si="539"/>
        <v>0</v>
      </c>
      <c r="BS702" s="5">
        <f t="shared" si="539"/>
        <v>0</v>
      </c>
      <c r="BT702" s="5">
        <f t="shared" si="539"/>
        <v>0</v>
      </c>
      <c r="BU702" s="5">
        <f t="shared" si="539"/>
        <v>0</v>
      </c>
      <c r="BV702" s="5">
        <f t="shared" si="539"/>
        <v>0</v>
      </c>
      <c r="BW702" s="5">
        <f t="shared" si="539"/>
        <v>0</v>
      </c>
      <c r="BX702" s="5">
        <f t="shared" si="539"/>
        <v>0</v>
      </c>
      <c r="BY702" s="5">
        <f t="shared" si="539"/>
        <v>0</v>
      </c>
      <c r="BZ702" s="5">
        <f t="shared" si="539"/>
        <v>0</v>
      </c>
      <c r="CA702" s="5">
        <f t="shared" si="539"/>
        <v>0</v>
      </c>
      <c r="CB702" s="5">
        <f t="shared" si="539"/>
        <v>1</v>
      </c>
      <c r="CC702" s="5">
        <f t="shared" si="539"/>
        <v>0</v>
      </c>
      <c r="CD702" s="5">
        <f t="shared" si="541"/>
        <v>0</v>
      </c>
      <c r="CE702" s="5">
        <f t="shared" si="541"/>
        <v>0</v>
      </c>
    </row>
    <row r="703" spans="1:83" x14ac:dyDescent="0.2">
      <c r="A703" s="11"/>
      <c r="B703" s="11"/>
      <c r="C703" s="1">
        <f>Growth!D708</f>
        <v>0</v>
      </c>
      <c r="D703" s="5" t="b">
        <f t="shared" si="521"/>
        <v>0</v>
      </c>
      <c r="E703" s="5">
        <v>2012</v>
      </c>
      <c r="F703" s="5">
        <f ca="1">LOOKUP($E703,frequence!$A$2:$A$35,frequence!L$2:L$35)</f>
        <v>41.545638202606931</v>
      </c>
      <c r="G703" s="5">
        <f ca="1">LOOKUP($E703,frequence!$A$2:$A$35,frequence!K$2:K$35)</f>
        <v>3.8191206393393822</v>
      </c>
      <c r="H703" s="5">
        <f ca="1">LOOKUP($E703,frequence!$A$2:$A$35,frequence!M$2:M$35)</f>
        <v>265.64322815143237</v>
      </c>
      <c r="I703" s="18">
        <v>2005</v>
      </c>
      <c r="J703" s="7">
        <f>LOOKUP(I703,CPI!A$69:A$103,CPI!O$69:O$103)</f>
        <v>1.1165181771633383</v>
      </c>
      <c r="K703" s="5">
        <v>2015</v>
      </c>
      <c r="L703" s="7">
        <f t="shared" ca="1" si="515"/>
        <v>1</v>
      </c>
      <c r="M703" s="7">
        <f t="shared" si="527"/>
        <v>4.3055555555555555E-2</v>
      </c>
      <c r="N703" s="14">
        <f t="shared" si="535"/>
        <v>6.9444444444444441E-3</v>
      </c>
      <c r="O703" s="1">
        <f ca="1">P703*J703*(1+Growth!G$6)^(2010-K703)</f>
        <v>43.503286076028203</v>
      </c>
      <c r="P703" s="11">
        <v>42</v>
      </c>
      <c r="Q703" s="2">
        <f t="shared" si="478"/>
        <v>42</v>
      </c>
      <c r="R703" s="21">
        <f t="shared" ca="1" si="522"/>
        <v>1892.5358994127494</v>
      </c>
      <c r="X703" s="2"/>
      <c r="AC703" s="1">
        <f t="shared" si="536"/>
        <v>6.2</v>
      </c>
      <c r="AD703" s="5">
        <v>1</v>
      </c>
      <c r="AE703" s="5">
        <v>0</v>
      </c>
      <c r="AF703" s="5">
        <v>1</v>
      </c>
      <c r="AG703" s="5">
        <v>0</v>
      </c>
      <c r="AH703" s="5">
        <v>1</v>
      </c>
      <c r="AI703" s="3">
        <f t="shared" si="520"/>
        <v>3.2</v>
      </c>
      <c r="AJ703" s="5">
        <f t="shared" si="526"/>
        <v>0</v>
      </c>
      <c r="AK703" s="5">
        <f t="shared" si="516"/>
        <v>0</v>
      </c>
      <c r="AL703" s="5">
        <f t="shared" si="517"/>
        <v>0</v>
      </c>
      <c r="AM703" s="5">
        <f t="shared" si="528"/>
        <v>0</v>
      </c>
      <c r="AN703" s="5">
        <f t="shared" si="518"/>
        <v>0</v>
      </c>
      <c r="AO703" s="5">
        <f t="shared" si="529"/>
        <v>0</v>
      </c>
      <c r="AP703" s="11">
        <v>3</v>
      </c>
      <c r="AQ703" s="1">
        <v>0.95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1</v>
      </c>
      <c r="AY703" s="1">
        <f t="shared" si="530"/>
        <v>0</v>
      </c>
      <c r="AZ703" s="1">
        <f t="shared" si="531"/>
        <v>0</v>
      </c>
      <c r="BA703" s="1">
        <f t="shared" si="532"/>
        <v>0</v>
      </c>
      <c r="BB703" s="5">
        <v>0</v>
      </c>
      <c r="BC703" s="5">
        <v>0</v>
      </c>
      <c r="BD703" s="5">
        <v>0</v>
      </c>
      <c r="BE703" s="5">
        <f t="shared" si="533"/>
        <v>1</v>
      </c>
      <c r="BF703" s="5">
        <v>1</v>
      </c>
      <c r="BG703" s="5">
        <f t="shared" si="540"/>
        <v>0</v>
      </c>
      <c r="BH703" s="5">
        <f t="shared" si="540"/>
        <v>0</v>
      </c>
      <c r="BI703" s="5">
        <f t="shared" si="540"/>
        <v>0</v>
      </c>
      <c r="BJ703" s="5">
        <f t="shared" si="540"/>
        <v>0</v>
      </c>
      <c r="BK703" s="5">
        <f t="shared" si="540"/>
        <v>0</v>
      </c>
      <c r="BL703" s="5">
        <f t="shared" si="540"/>
        <v>0</v>
      </c>
      <c r="BM703" s="5">
        <f t="shared" si="540"/>
        <v>0</v>
      </c>
      <c r="BN703" s="5">
        <f t="shared" si="540"/>
        <v>0</v>
      </c>
      <c r="BO703" s="5">
        <f t="shared" si="539"/>
        <v>0</v>
      </c>
      <c r="BP703" s="5">
        <f t="shared" si="539"/>
        <v>0</v>
      </c>
      <c r="BQ703" s="5">
        <f t="shared" si="539"/>
        <v>0</v>
      </c>
      <c r="BR703" s="5">
        <f t="shared" si="539"/>
        <v>0</v>
      </c>
      <c r="BS703" s="5">
        <f t="shared" si="539"/>
        <v>0</v>
      </c>
      <c r="BT703" s="5">
        <f t="shared" si="539"/>
        <v>0</v>
      </c>
      <c r="BU703" s="5">
        <f t="shared" si="539"/>
        <v>0</v>
      </c>
      <c r="BV703" s="5">
        <f t="shared" si="539"/>
        <v>0</v>
      </c>
      <c r="BW703" s="5">
        <f t="shared" si="539"/>
        <v>0</v>
      </c>
      <c r="BX703" s="5">
        <f t="shared" si="539"/>
        <v>0</v>
      </c>
      <c r="BY703" s="5">
        <f t="shared" si="539"/>
        <v>0</v>
      </c>
      <c r="BZ703" s="5">
        <f t="shared" si="539"/>
        <v>0</v>
      </c>
      <c r="CA703" s="5">
        <f t="shared" si="539"/>
        <v>0</v>
      </c>
      <c r="CB703" s="5">
        <f t="shared" si="539"/>
        <v>1</v>
      </c>
      <c r="CC703" s="5">
        <f t="shared" si="539"/>
        <v>0</v>
      </c>
      <c r="CD703" s="5">
        <f t="shared" si="541"/>
        <v>0</v>
      </c>
      <c r="CE703" s="5">
        <f t="shared" si="541"/>
        <v>0</v>
      </c>
    </row>
    <row r="704" spans="1:83" x14ac:dyDescent="0.2">
      <c r="A704" s="11"/>
      <c r="B704" s="11"/>
      <c r="C704" s="1">
        <f>Growth!D709</f>
        <v>0</v>
      </c>
      <c r="D704" s="5" t="b">
        <f t="shared" si="521"/>
        <v>0</v>
      </c>
      <c r="E704" s="5">
        <v>2012</v>
      </c>
      <c r="F704" s="5">
        <f ca="1">LOOKUP($E704,frequence!$A$2:$A$35,frequence!L$2:L$35)</f>
        <v>41.545638202606931</v>
      </c>
      <c r="G704" s="5">
        <f ca="1">LOOKUP($E704,frequence!$A$2:$A$35,frequence!K$2:K$35)</f>
        <v>3.8191206393393822</v>
      </c>
      <c r="H704" s="5">
        <f ca="1">LOOKUP($E704,frequence!$A$2:$A$35,frequence!M$2:M$35)</f>
        <v>265.64322815143237</v>
      </c>
      <c r="I704" s="18">
        <v>2005</v>
      </c>
      <c r="J704" s="7">
        <f>LOOKUP(I704,CPI!A$69:A$103,CPI!O$69:O$103)</f>
        <v>1.1165181771633383</v>
      </c>
      <c r="K704" s="5">
        <v>2015</v>
      </c>
      <c r="L704" s="7">
        <f t="shared" ca="1" si="515"/>
        <v>1</v>
      </c>
      <c r="M704" s="7">
        <f t="shared" si="527"/>
        <v>4.3055555555555555E-2</v>
      </c>
      <c r="N704" s="14">
        <f t="shared" si="535"/>
        <v>6.9444444444444441E-3</v>
      </c>
      <c r="O704" s="1">
        <f ca="1">P704*J704*(1+Growth!G$6)^(2010-K704)</f>
        <v>39.360115973549327</v>
      </c>
      <c r="P704" s="11">
        <v>38</v>
      </c>
      <c r="Q704" s="2">
        <f t="shared" si="478"/>
        <v>38</v>
      </c>
      <c r="R704" s="21">
        <f t="shared" ca="1" si="522"/>
        <v>1549.2187294512528</v>
      </c>
      <c r="X704" s="2"/>
      <c r="AC704" s="1">
        <f t="shared" si="536"/>
        <v>6.2</v>
      </c>
      <c r="AD704" s="5">
        <v>1</v>
      </c>
      <c r="AE704" s="5">
        <v>0</v>
      </c>
      <c r="AF704" s="5">
        <v>1</v>
      </c>
      <c r="AG704" s="5">
        <v>0</v>
      </c>
      <c r="AH704" s="5">
        <v>1</v>
      </c>
      <c r="AI704" s="3">
        <f t="shared" si="520"/>
        <v>3.2</v>
      </c>
      <c r="AJ704" s="5">
        <f t="shared" si="526"/>
        <v>0</v>
      </c>
      <c r="AK704" s="5">
        <f t="shared" si="516"/>
        <v>0</v>
      </c>
      <c r="AL704" s="5">
        <f t="shared" si="517"/>
        <v>0</v>
      </c>
      <c r="AM704" s="5">
        <f t="shared" si="528"/>
        <v>0</v>
      </c>
      <c r="AN704" s="5">
        <f t="shared" si="518"/>
        <v>0</v>
      </c>
      <c r="AO704" s="5">
        <f t="shared" si="529"/>
        <v>0</v>
      </c>
      <c r="AP704" s="11">
        <v>3</v>
      </c>
      <c r="AQ704" s="1">
        <v>0.95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1</v>
      </c>
      <c r="AY704" s="1">
        <f t="shared" si="530"/>
        <v>0</v>
      </c>
      <c r="AZ704" s="1">
        <f t="shared" si="531"/>
        <v>0</v>
      </c>
      <c r="BA704" s="1">
        <f t="shared" si="532"/>
        <v>0</v>
      </c>
      <c r="BB704" s="5">
        <v>0</v>
      </c>
      <c r="BC704" s="5">
        <v>0</v>
      </c>
      <c r="BD704" s="5">
        <v>0</v>
      </c>
      <c r="BE704" s="5">
        <f t="shared" si="533"/>
        <v>1</v>
      </c>
      <c r="BF704" s="5">
        <v>1</v>
      </c>
      <c r="BG704" s="5">
        <f t="shared" si="540"/>
        <v>0</v>
      </c>
      <c r="BH704" s="5">
        <f t="shared" si="540"/>
        <v>0</v>
      </c>
      <c r="BI704" s="5">
        <f t="shared" si="540"/>
        <v>0</v>
      </c>
      <c r="BJ704" s="5">
        <f t="shared" si="540"/>
        <v>0</v>
      </c>
      <c r="BK704" s="5">
        <f t="shared" si="540"/>
        <v>0</v>
      </c>
      <c r="BL704" s="5">
        <f t="shared" si="540"/>
        <v>0</v>
      </c>
      <c r="BM704" s="5">
        <f t="shared" si="540"/>
        <v>0</v>
      </c>
      <c r="BN704" s="5">
        <f t="shared" si="540"/>
        <v>0</v>
      </c>
      <c r="BO704" s="5">
        <f t="shared" si="539"/>
        <v>0</v>
      </c>
      <c r="BP704" s="5">
        <f t="shared" si="539"/>
        <v>0</v>
      </c>
      <c r="BQ704" s="5">
        <f t="shared" si="539"/>
        <v>0</v>
      </c>
      <c r="BR704" s="5">
        <f t="shared" si="539"/>
        <v>0</v>
      </c>
      <c r="BS704" s="5">
        <f t="shared" si="539"/>
        <v>0</v>
      </c>
      <c r="BT704" s="5">
        <f t="shared" si="539"/>
        <v>0</v>
      </c>
      <c r="BU704" s="5">
        <f t="shared" si="539"/>
        <v>0</v>
      </c>
      <c r="BV704" s="5">
        <f t="shared" si="539"/>
        <v>0</v>
      </c>
      <c r="BW704" s="5">
        <f t="shared" si="539"/>
        <v>0</v>
      </c>
      <c r="BX704" s="5">
        <f t="shared" si="539"/>
        <v>0</v>
      </c>
      <c r="BY704" s="5">
        <f t="shared" si="539"/>
        <v>0</v>
      </c>
      <c r="BZ704" s="5">
        <f t="shared" si="539"/>
        <v>0</v>
      </c>
      <c r="CA704" s="5">
        <f t="shared" si="539"/>
        <v>0</v>
      </c>
      <c r="CB704" s="5">
        <f t="shared" si="539"/>
        <v>1</v>
      </c>
      <c r="CC704" s="5">
        <f t="shared" si="539"/>
        <v>0</v>
      </c>
      <c r="CD704" s="5">
        <f t="shared" si="541"/>
        <v>0</v>
      </c>
      <c r="CE704" s="5">
        <f t="shared" si="541"/>
        <v>0</v>
      </c>
    </row>
    <row r="705" spans="1:83" x14ac:dyDescent="0.2">
      <c r="A705" s="11"/>
      <c r="B705" s="11"/>
      <c r="C705" s="1">
        <f>Growth!D710</f>
        <v>0</v>
      </c>
      <c r="D705" s="5" t="b">
        <f t="shared" si="521"/>
        <v>0</v>
      </c>
      <c r="E705" s="5">
        <v>2012</v>
      </c>
      <c r="F705" s="5">
        <f ca="1">LOOKUP($E705,frequence!$A$2:$A$35,frequence!L$2:L$35)</f>
        <v>41.545638202606931</v>
      </c>
      <c r="G705" s="5">
        <f ca="1">LOOKUP($E705,frequence!$A$2:$A$35,frequence!K$2:K$35)</f>
        <v>3.8191206393393822</v>
      </c>
      <c r="H705" s="5">
        <f ca="1">LOOKUP($E705,frequence!$A$2:$A$35,frequence!M$2:M$35)</f>
        <v>265.64322815143237</v>
      </c>
      <c r="I705" s="18">
        <v>2005</v>
      </c>
      <c r="J705" s="7">
        <f>LOOKUP(I705,CPI!A$69:A$103,CPI!O$69:O$103)</f>
        <v>1.1165181771633383</v>
      </c>
      <c r="K705" s="5">
        <v>2015</v>
      </c>
      <c r="L705" s="7">
        <f t="shared" ca="1" si="515"/>
        <v>1</v>
      </c>
      <c r="M705" s="7">
        <f t="shared" si="527"/>
        <v>4.3055555555555555E-2</v>
      </c>
      <c r="N705" s="14">
        <f t="shared" si="535"/>
        <v>6.9444444444444441E-3</v>
      </c>
      <c r="O705" s="1">
        <f ca="1">P705*J705*(1+Growth!G$6)^(2010-K705)</f>
        <v>74.577061844619777</v>
      </c>
      <c r="P705" s="11">
        <v>72</v>
      </c>
      <c r="Q705" s="2">
        <f t="shared" si="478"/>
        <v>72</v>
      </c>
      <c r="R705" s="21">
        <f t="shared" ca="1" si="522"/>
        <v>5561.7381533762427</v>
      </c>
      <c r="X705" s="2"/>
      <c r="AC705" s="1">
        <f t="shared" si="536"/>
        <v>6.2</v>
      </c>
      <c r="AD705" s="5">
        <v>1</v>
      </c>
      <c r="AE705" s="5">
        <v>0</v>
      </c>
      <c r="AF705" s="5">
        <v>1</v>
      </c>
      <c r="AG705" s="5">
        <v>0</v>
      </c>
      <c r="AH705" s="5">
        <v>1</v>
      </c>
      <c r="AI705" s="3">
        <f t="shared" si="520"/>
        <v>3.2</v>
      </c>
      <c r="AJ705" s="5">
        <f t="shared" si="526"/>
        <v>0</v>
      </c>
      <c r="AK705" s="5">
        <f t="shared" si="516"/>
        <v>0</v>
      </c>
      <c r="AL705" s="5">
        <f t="shared" si="517"/>
        <v>0</v>
      </c>
      <c r="AM705" s="5">
        <f t="shared" si="528"/>
        <v>0</v>
      </c>
      <c r="AN705" s="5">
        <f t="shared" si="518"/>
        <v>0</v>
      </c>
      <c r="AO705" s="5">
        <f t="shared" si="529"/>
        <v>0</v>
      </c>
      <c r="AP705" s="11">
        <v>3</v>
      </c>
      <c r="AQ705" s="1">
        <v>0.95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1</v>
      </c>
      <c r="AY705" s="1">
        <f t="shared" si="530"/>
        <v>0</v>
      </c>
      <c r="AZ705" s="1">
        <f t="shared" si="531"/>
        <v>0</v>
      </c>
      <c r="BA705" s="1">
        <f t="shared" si="532"/>
        <v>0</v>
      </c>
      <c r="BB705" s="5">
        <v>0</v>
      </c>
      <c r="BC705" s="5">
        <v>0</v>
      </c>
      <c r="BD705" s="5">
        <v>0</v>
      </c>
      <c r="BE705" s="5">
        <f t="shared" si="533"/>
        <v>1</v>
      </c>
      <c r="BF705" s="5">
        <v>1</v>
      </c>
      <c r="BG705" s="5">
        <f t="shared" si="540"/>
        <v>0</v>
      </c>
      <c r="BH705" s="5">
        <f t="shared" si="540"/>
        <v>0</v>
      </c>
      <c r="BI705" s="5">
        <f t="shared" si="540"/>
        <v>0</v>
      </c>
      <c r="BJ705" s="5">
        <f t="shared" si="540"/>
        <v>0</v>
      </c>
      <c r="BK705" s="5">
        <f t="shared" si="540"/>
        <v>0</v>
      </c>
      <c r="BL705" s="5">
        <f t="shared" si="540"/>
        <v>0</v>
      </c>
      <c r="BM705" s="5">
        <f t="shared" si="540"/>
        <v>0</v>
      </c>
      <c r="BN705" s="5">
        <f t="shared" si="540"/>
        <v>0</v>
      </c>
      <c r="BO705" s="5">
        <f t="shared" si="539"/>
        <v>0</v>
      </c>
      <c r="BP705" s="5">
        <f t="shared" si="539"/>
        <v>0</v>
      </c>
      <c r="BQ705" s="5">
        <f t="shared" si="539"/>
        <v>0</v>
      </c>
      <c r="BR705" s="5">
        <f t="shared" si="539"/>
        <v>0</v>
      </c>
      <c r="BS705" s="5">
        <f t="shared" si="539"/>
        <v>0</v>
      </c>
      <c r="BT705" s="5">
        <f t="shared" si="539"/>
        <v>0</v>
      </c>
      <c r="BU705" s="5">
        <f t="shared" si="539"/>
        <v>0</v>
      </c>
      <c r="BV705" s="5">
        <f t="shared" si="539"/>
        <v>0</v>
      </c>
      <c r="BW705" s="5">
        <f t="shared" si="539"/>
        <v>0</v>
      </c>
      <c r="BX705" s="5">
        <f t="shared" si="539"/>
        <v>0</v>
      </c>
      <c r="BY705" s="5">
        <f t="shared" si="539"/>
        <v>0</v>
      </c>
      <c r="BZ705" s="5">
        <f t="shared" si="539"/>
        <v>0</v>
      </c>
      <c r="CA705" s="5">
        <f t="shared" si="539"/>
        <v>0</v>
      </c>
      <c r="CB705" s="5">
        <f t="shared" si="539"/>
        <v>1</v>
      </c>
      <c r="CC705" s="5">
        <f t="shared" si="539"/>
        <v>0</v>
      </c>
      <c r="CD705" s="5">
        <f t="shared" si="541"/>
        <v>0</v>
      </c>
      <c r="CE705" s="5">
        <f t="shared" si="541"/>
        <v>0</v>
      </c>
    </row>
    <row r="706" spans="1:83" x14ac:dyDescent="0.2">
      <c r="A706" s="11"/>
      <c r="B706" s="11"/>
      <c r="C706" s="1">
        <f>Growth!D711</f>
        <v>0</v>
      </c>
      <c r="D706" s="5" t="b">
        <f t="shared" si="521"/>
        <v>0</v>
      </c>
      <c r="E706" s="5">
        <v>2012</v>
      </c>
      <c r="F706" s="5">
        <f ca="1">LOOKUP($E706,frequence!$A$2:$A$35,frequence!L$2:L$35)</f>
        <v>41.545638202606931</v>
      </c>
      <c r="G706" s="5">
        <f ca="1">LOOKUP($E706,frequence!$A$2:$A$35,frequence!K$2:K$35)</f>
        <v>3.8191206393393822</v>
      </c>
      <c r="H706" s="5">
        <f ca="1">LOOKUP($E706,frequence!$A$2:$A$35,frequence!M$2:M$35)</f>
        <v>265.64322815143237</v>
      </c>
      <c r="I706" s="18">
        <v>2005</v>
      </c>
      <c r="J706" s="7">
        <f>LOOKUP(I706,CPI!A$69:A$103,CPI!O$69:O$103)</f>
        <v>1.1165181771633383</v>
      </c>
      <c r="K706" s="5">
        <v>2015</v>
      </c>
      <c r="L706" s="7">
        <f t="shared" ca="1" si="515"/>
        <v>1</v>
      </c>
      <c r="M706" s="7">
        <f t="shared" si="527"/>
        <v>4.3055555555555555E-2</v>
      </c>
      <c r="N706" s="14">
        <f t="shared" si="535"/>
        <v>6.9444444444444441E-3</v>
      </c>
      <c r="O706" s="1">
        <f ca="1">P706*J706*(1+Growth!G$6)^(2010-K706)</f>
        <v>41.431701024788765</v>
      </c>
      <c r="P706" s="11">
        <v>40</v>
      </c>
      <c r="Q706" s="2">
        <f t="shared" si="478"/>
        <v>40</v>
      </c>
      <c r="R706" s="21">
        <f t="shared" ca="1" si="522"/>
        <v>1716.5858498074824</v>
      </c>
      <c r="X706" s="2"/>
      <c r="AC706" s="1">
        <f t="shared" si="536"/>
        <v>6.2</v>
      </c>
      <c r="AD706" s="5">
        <v>1</v>
      </c>
      <c r="AE706" s="5">
        <v>0</v>
      </c>
      <c r="AF706" s="5">
        <v>1</v>
      </c>
      <c r="AG706" s="5">
        <v>0</v>
      </c>
      <c r="AH706" s="5">
        <v>1</v>
      </c>
      <c r="AI706" s="3">
        <f t="shared" si="520"/>
        <v>3.2</v>
      </c>
      <c r="AJ706" s="5">
        <f t="shared" si="526"/>
        <v>0</v>
      </c>
      <c r="AK706" s="5">
        <f t="shared" si="516"/>
        <v>0</v>
      </c>
      <c r="AL706" s="5">
        <f t="shared" si="517"/>
        <v>0</v>
      </c>
      <c r="AM706" s="5">
        <f t="shared" si="528"/>
        <v>0</v>
      </c>
      <c r="AN706" s="5">
        <f t="shared" si="518"/>
        <v>0</v>
      </c>
      <c r="AO706" s="5">
        <f t="shared" si="529"/>
        <v>0</v>
      </c>
      <c r="AP706" s="11">
        <v>3</v>
      </c>
      <c r="AQ706" s="1">
        <v>0.95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1</v>
      </c>
      <c r="AY706" s="1">
        <f t="shared" si="530"/>
        <v>0</v>
      </c>
      <c r="AZ706" s="1">
        <f t="shared" si="531"/>
        <v>0</v>
      </c>
      <c r="BA706" s="1">
        <f t="shared" si="532"/>
        <v>0</v>
      </c>
      <c r="BB706" s="5">
        <v>0</v>
      </c>
      <c r="BC706" s="5">
        <v>0</v>
      </c>
      <c r="BD706" s="5">
        <v>0</v>
      </c>
      <c r="BE706" s="5">
        <f t="shared" si="533"/>
        <v>1</v>
      </c>
      <c r="BF706" s="5">
        <v>1</v>
      </c>
      <c r="BG706" s="5">
        <f t="shared" si="540"/>
        <v>0</v>
      </c>
      <c r="BH706" s="5">
        <f t="shared" si="540"/>
        <v>0</v>
      </c>
      <c r="BI706" s="5">
        <f t="shared" si="540"/>
        <v>0</v>
      </c>
      <c r="BJ706" s="5">
        <f t="shared" si="540"/>
        <v>0</v>
      </c>
      <c r="BK706" s="5">
        <f t="shared" si="540"/>
        <v>0</v>
      </c>
      <c r="BL706" s="5">
        <f t="shared" si="540"/>
        <v>0</v>
      </c>
      <c r="BM706" s="5">
        <f t="shared" si="540"/>
        <v>0</v>
      </c>
      <c r="BN706" s="5">
        <f t="shared" si="540"/>
        <v>0</v>
      </c>
      <c r="BO706" s="5">
        <f t="shared" si="539"/>
        <v>0</v>
      </c>
      <c r="BP706" s="5">
        <f t="shared" si="539"/>
        <v>0</v>
      </c>
      <c r="BQ706" s="5">
        <f t="shared" si="539"/>
        <v>0</v>
      </c>
      <c r="BR706" s="5">
        <f t="shared" si="539"/>
        <v>0</v>
      </c>
      <c r="BS706" s="5">
        <f t="shared" si="539"/>
        <v>0</v>
      </c>
      <c r="BT706" s="5">
        <f t="shared" si="539"/>
        <v>0</v>
      </c>
      <c r="BU706" s="5">
        <f t="shared" si="539"/>
        <v>0</v>
      </c>
      <c r="BV706" s="5">
        <f t="shared" si="539"/>
        <v>0</v>
      </c>
      <c r="BW706" s="5">
        <f t="shared" si="539"/>
        <v>0</v>
      </c>
      <c r="BX706" s="5">
        <f t="shared" si="539"/>
        <v>0</v>
      </c>
      <c r="BY706" s="5">
        <f t="shared" si="539"/>
        <v>0</v>
      </c>
      <c r="BZ706" s="5">
        <f t="shared" si="539"/>
        <v>0</v>
      </c>
      <c r="CA706" s="5">
        <f t="shared" si="539"/>
        <v>0</v>
      </c>
      <c r="CB706" s="5">
        <f t="shared" si="539"/>
        <v>1</v>
      </c>
      <c r="CC706" s="5">
        <f t="shared" si="539"/>
        <v>0</v>
      </c>
      <c r="CD706" s="5">
        <f t="shared" si="541"/>
        <v>0</v>
      </c>
      <c r="CE706" s="5">
        <f t="shared" si="541"/>
        <v>0</v>
      </c>
    </row>
    <row r="707" spans="1:83" x14ac:dyDescent="0.2">
      <c r="A707" s="11"/>
      <c r="B707" s="11"/>
      <c r="C707" s="1">
        <f>Growth!D712</f>
        <v>0</v>
      </c>
      <c r="D707" s="5" t="b">
        <f t="shared" si="521"/>
        <v>0</v>
      </c>
      <c r="E707" s="5">
        <v>2012</v>
      </c>
      <c r="F707" s="5">
        <f ca="1">LOOKUP($E707,frequence!$A$2:$A$35,frequence!L$2:L$35)</f>
        <v>41.545638202606931</v>
      </c>
      <c r="G707" s="5">
        <f ca="1">LOOKUP($E707,frequence!$A$2:$A$35,frequence!K$2:K$35)</f>
        <v>3.8191206393393822</v>
      </c>
      <c r="H707" s="5">
        <f ca="1">LOOKUP($E707,frequence!$A$2:$A$35,frequence!M$2:M$35)</f>
        <v>265.64322815143237</v>
      </c>
      <c r="I707" s="18">
        <v>2005</v>
      </c>
      <c r="J707" s="7">
        <f>LOOKUP(I707,CPI!A$69:A$103,CPI!O$69:O$103)</f>
        <v>1.1165181771633383</v>
      </c>
      <c r="K707" s="5">
        <v>2015</v>
      </c>
      <c r="L707" s="7">
        <f t="shared" ca="1" si="515"/>
        <v>1</v>
      </c>
      <c r="M707" s="7">
        <f t="shared" si="527"/>
        <v>4.3055555555555555E-2</v>
      </c>
      <c r="N707" s="14">
        <f t="shared" si="535"/>
        <v>6.9444444444444441E-3</v>
      </c>
      <c r="O707" s="1">
        <f ca="1">P707*J707*(1+Growth!G$6)^(2010-K707)</f>
        <v>110.82980024130995</v>
      </c>
      <c r="P707" s="11">
        <v>107</v>
      </c>
      <c r="Q707" s="2">
        <f t="shared" si="478"/>
        <v>107</v>
      </c>
      <c r="R707" s="21">
        <f t="shared" ca="1" si="522"/>
        <v>12283.244621528667</v>
      </c>
      <c r="X707" s="2"/>
      <c r="AC707" s="1">
        <f t="shared" si="536"/>
        <v>6.2</v>
      </c>
      <c r="AD707" s="5">
        <v>1</v>
      </c>
      <c r="AE707" s="5">
        <v>0</v>
      </c>
      <c r="AF707" s="5">
        <v>1</v>
      </c>
      <c r="AG707" s="5">
        <v>0</v>
      </c>
      <c r="AH707" s="5">
        <v>1</v>
      </c>
      <c r="AI707" s="3">
        <f t="shared" si="520"/>
        <v>3.2</v>
      </c>
      <c r="AJ707" s="5">
        <f t="shared" si="526"/>
        <v>0</v>
      </c>
      <c r="AK707" s="5">
        <f t="shared" si="516"/>
        <v>0</v>
      </c>
      <c r="AL707" s="5">
        <f t="shared" si="517"/>
        <v>0</v>
      </c>
      <c r="AM707" s="5">
        <f t="shared" si="528"/>
        <v>0</v>
      </c>
      <c r="AN707" s="5">
        <f t="shared" si="518"/>
        <v>0</v>
      </c>
      <c r="AO707" s="5">
        <f t="shared" si="529"/>
        <v>0</v>
      </c>
      <c r="AP707" s="11">
        <v>3</v>
      </c>
      <c r="AQ707" s="1">
        <v>0.95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1</v>
      </c>
      <c r="AY707" s="1">
        <f t="shared" si="530"/>
        <v>0</v>
      </c>
      <c r="AZ707" s="1">
        <f t="shared" si="531"/>
        <v>0</v>
      </c>
      <c r="BA707" s="1">
        <f t="shared" si="532"/>
        <v>0</v>
      </c>
      <c r="BB707" s="5">
        <v>0</v>
      </c>
      <c r="BC707" s="5">
        <v>0</v>
      </c>
      <c r="BD707" s="5">
        <v>0</v>
      </c>
      <c r="BE707" s="5">
        <f t="shared" si="533"/>
        <v>1</v>
      </c>
      <c r="BF707" s="5">
        <v>1</v>
      </c>
      <c r="BG707" s="5">
        <f t="shared" si="540"/>
        <v>0</v>
      </c>
      <c r="BH707" s="5">
        <f t="shared" si="540"/>
        <v>0</v>
      </c>
      <c r="BI707" s="5">
        <f t="shared" si="540"/>
        <v>0</v>
      </c>
      <c r="BJ707" s="5">
        <f t="shared" si="540"/>
        <v>0</v>
      </c>
      <c r="BK707" s="5">
        <f t="shared" si="540"/>
        <v>0</v>
      </c>
      <c r="BL707" s="5">
        <f t="shared" si="540"/>
        <v>0</v>
      </c>
      <c r="BM707" s="5">
        <f t="shared" si="540"/>
        <v>0</v>
      </c>
      <c r="BN707" s="5">
        <f t="shared" si="540"/>
        <v>0</v>
      </c>
      <c r="BO707" s="5">
        <f t="shared" si="539"/>
        <v>0</v>
      </c>
      <c r="BP707" s="5">
        <f t="shared" si="539"/>
        <v>0</v>
      </c>
      <c r="BQ707" s="5">
        <f t="shared" si="539"/>
        <v>0</v>
      </c>
      <c r="BR707" s="5">
        <f t="shared" si="539"/>
        <v>0</v>
      </c>
      <c r="BS707" s="5">
        <f t="shared" si="539"/>
        <v>0</v>
      </c>
      <c r="BT707" s="5">
        <f t="shared" si="539"/>
        <v>0</v>
      </c>
      <c r="BU707" s="5">
        <f t="shared" si="539"/>
        <v>0</v>
      </c>
      <c r="BV707" s="5">
        <f t="shared" si="539"/>
        <v>0</v>
      </c>
      <c r="BW707" s="5">
        <f t="shared" si="539"/>
        <v>0</v>
      </c>
      <c r="BX707" s="5">
        <f t="shared" si="539"/>
        <v>0</v>
      </c>
      <c r="BY707" s="5">
        <f t="shared" si="539"/>
        <v>0</v>
      </c>
      <c r="BZ707" s="5">
        <f t="shared" si="539"/>
        <v>0</v>
      </c>
      <c r="CA707" s="5">
        <f t="shared" si="539"/>
        <v>0</v>
      </c>
      <c r="CB707" s="5">
        <f t="shared" si="539"/>
        <v>1</v>
      </c>
      <c r="CC707" s="5">
        <f t="shared" si="539"/>
        <v>0</v>
      </c>
      <c r="CD707" s="5">
        <f t="shared" si="541"/>
        <v>0</v>
      </c>
      <c r="CE707" s="5">
        <f t="shared" si="541"/>
        <v>0</v>
      </c>
    </row>
    <row r="708" spans="1:83" x14ac:dyDescent="0.2">
      <c r="A708" s="11"/>
      <c r="B708" s="11"/>
      <c r="C708" s="1">
        <f>Growth!D713</f>
        <v>0</v>
      </c>
      <c r="D708" s="5" t="b">
        <f t="shared" si="521"/>
        <v>0</v>
      </c>
      <c r="E708" s="5">
        <v>2012</v>
      </c>
      <c r="F708" s="5">
        <f ca="1">LOOKUP($E708,frequence!$A$2:$A$35,frequence!L$2:L$35)</f>
        <v>41.545638202606931</v>
      </c>
      <c r="G708" s="5">
        <f ca="1">LOOKUP($E708,frequence!$A$2:$A$35,frequence!K$2:K$35)</f>
        <v>3.8191206393393822</v>
      </c>
      <c r="H708" s="5">
        <f ca="1">LOOKUP($E708,frequence!$A$2:$A$35,frequence!M$2:M$35)</f>
        <v>265.64322815143237</v>
      </c>
      <c r="I708" s="18">
        <v>2005</v>
      </c>
      <c r="J708" s="7">
        <f>LOOKUP(I708,CPI!A$69:A$103,CPI!O$69:O$103)</f>
        <v>1.1165181771633383</v>
      </c>
      <c r="K708" s="5">
        <v>2015</v>
      </c>
      <c r="L708" s="7">
        <f t="shared" ca="1" si="515"/>
        <v>1</v>
      </c>
      <c r="M708" s="7">
        <f t="shared" si="527"/>
        <v>4.3055555555555555E-2</v>
      </c>
      <c r="N708" s="14">
        <f t="shared" si="535"/>
        <v>6.9444444444444441E-3</v>
      </c>
      <c r="O708" s="1">
        <f ca="1">P708*J708*(1+Growth!G$6)^(2010-K708)</f>
        <v>31.07377576859157</v>
      </c>
      <c r="P708" s="11">
        <v>30</v>
      </c>
      <c r="Q708" s="2">
        <f t="shared" si="478"/>
        <v>30</v>
      </c>
      <c r="R708" s="21">
        <f t="shared" ca="1" si="522"/>
        <v>965.57954051670868</v>
      </c>
      <c r="X708" s="2"/>
      <c r="AC708" s="1">
        <f t="shared" si="536"/>
        <v>6.2</v>
      </c>
      <c r="AD708" s="5">
        <v>1</v>
      </c>
      <c r="AE708" s="5">
        <v>0</v>
      </c>
      <c r="AF708" s="5">
        <v>1</v>
      </c>
      <c r="AG708" s="5">
        <v>0</v>
      </c>
      <c r="AH708" s="5">
        <v>1</v>
      </c>
      <c r="AI708" s="3">
        <f t="shared" si="520"/>
        <v>3.2</v>
      </c>
      <c r="AJ708" s="5">
        <f t="shared" si="526"/>
        <v>0</v>
      </c>
      <c r="AK708" s="5">
        <f t="shared" si="516"/>
        <v>0</v>
      </c>
      <c r="AL708" s="5">
        <f t="shared" si="517"/>
        <v>0</v>
      </c>
      <c r="AM708" s="5">
        <f t="shared" si="528"/>
        <v>0</v>
      </c>
      <c r="AN708" s="5">
        <f t="shared" si="518"/>
        <v>0</v>
      </c>
      <c r="AO708" s="5">
        <f t="shared" si="529"/>
        <v>0</v>
      </c>
      <c r="AP708" s="11">
        <v>3</v>
      </c>
      <c r="AQ708" s="1">
        <v>0.95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1</v>
      </c>
      <c r="AY708" s="1">
        <f t="shared" si="530"/>
        <v>0</v>
      </c>
      <c r="AZ708" s="1">
        <f t="shared" si="531"/>
        <v>0</v>
      </c>
      <c r="BA708" s="1">
        <f t="shared" si="532"/>
        <v>0</v>
      </c>
      <c r="BB708" s="5">
        <v>0</v>
      </c>
      <c r="BC708" s="5">
        <v>0</v>
      </c>
      <c r="BD708" s="5">
        <v>0</v>
      </c>
      <c r="BE708" s="5">
        <f t="shared" si="533"/>
        <v>1</v>
      </c>
      <c r="BF708" s="5">
        <v>1</v>
      </c>
      <c r="BG708" s="5">
        <f t="shared" si="540"/>
        <v>0</v>
      </c>
      <c r="BH708" s="5">
        <f t="shared" si="540"/>
        <v>0</v>
      </c>
      <c r="BI708" s="5">
        <f t="shared" si="540"/>
        <v>0</v>
      </c>
      <c r="BJ708" s="5">
        <f t="shared" si="540"/>
        <v>0</v>
      </c>
      <c r="BK708" s="5">
        <f t="shared" si="540"/>
        <v>0</v>
      </c>
      <c r="BL708" s="5">
        <f t="shared" si="540"/>
        <v>0</v>
      </c>
      <c r="BM708" s="5">
        <f t="shared" si="540"/>
        <v>0</v>
      </c>
      <c r="BN708" s="5">
        <f t="shared" ref="BN708:CB723" si="542">IF($E708=BN$2,1,0)</f>
        <v>0</v>
      </c>
      <c r="BO708" s="5">
        <f t="shared" si="542"/>
        <v>0</v>
      </c>
      <c r="BP708" s="5">
        <f t="shared" si="542"/>
        <v>0</v>
      </c>
      <c r="BQ708" s="5">
        <f t="shared" si="542"/>
        <v>0</v>
      </c>
      <c r="BR708" s="5">
        <f t="shared" si="542"/>
        <v>0</v>
      </c>
      <c r="BS708" s="5">
        <f t="shared" si="542"/>
        <v>0</v>
      </c>
      <c r="BT708" s="5">
        <f t="shared" si="542"/>
        <v>0</v>
      </c>
      <c r="BU708" s="5">
        <f t="shared" si="542"/>
        <v>0</v>
      </c>
      <c r="BV708" s="5">
        <f t="shared" si="542"/>
        <v>0</v>
      </c>
      <c r="BW708" s="5">
        <f t="shared" si="542"/>
        <v>0</v>
      </c>
      <c r="BX708" s="5">
        <f t="shared" si="542"/>
        <v>0</v>
      </c>
      <c r="BY708" s="5">
        <f t="shared" si="542"/>
        <v>0</v>
      </c>
      <c r="BZ708" s="5">
        <f t="shared" si="542"/>
        <v>0</v>
      </c>
      <c r="CA708" s="5">
        <f t="shared" si="542"/>
        <v>0</v>
      </c>
      <c r="CB708" s="5">
        <f t="shared" si="542"/>
        <v>1</v>
      </c>
      <c r="CC708" s="5">
        <f t="shared" ref="CC708:CE727" si="543">IF($E708=CC$2,1,0)</f>
        <v>0</v>
      </c>
      <c r="CD708" s="5">
        <f t="shared" si="541"/>
        <v>0</v>
      </c>
      <c r="CE708" s="5">
        <f t="shared" si="541"/>
        <v>0</v>
      </c>
    </row>
    <row r="709" spans="1:83" x14ac:dyDescent="0.2">
      <c r="A709" s="11"/>
      <c r="B709" s="11"/>
      <c r="C709" s="1">
        <f>Growth!D714</f>
        <v>0</v>
      </c>
      <c r="D709" s="5" t="b">
        <f t="shared" si="521"/>
        <v>0</v>
      </c>
      <c r="E709" s="5">
        <v>2012</v>
      </c>
      <c r="F709" s="5">
        <f ca="1">LOOKUP($E709,frequence!$A$2:$A$35,frequence!L$2:L$35)</f>
        <v>41.545638202606931</v>
      </c>
      <c r="G709" s="5">
        <f ca="1">LOOKUP($E709,frequence!$A$2:$A$35,frequence!K$2:K$35)</f>
        <v>3.8191206393393822</v>
      </c>
      <c r="H709" s="5">
        <f ca="1">LOOKUP($E709,frequence!$A$2:$A$35,frequence!M$2:M$35)</f>
        <v>265.64322815143237</v>
      </c>
      <c r="I709" s="18">
        <v>2005</v>
      </c>
      <c r="J709" s="7">
        <f>LOOKUP(I709,CPI!A$69:A$103,CPI!O$69:O$103)</f>
        <v>1.1165181771633383</v>
      </c>
      <c r="K709" s="5">
        <v>2015</v>
      </c>
      <c r="L709" s="7">
        <f t="shared" ref="L709:L772" ca="1" si="544">IF(O709&lt;L$1,1,IF(O709&gt;L$2,0,1-(O709-L$1)/(L$2-L$1)))</f>
        <v>1</v>
      </c>
      <c r="M709" s="7">
        <f t="shared" si="527"/>
        <v>4.3055555555555555E-2</v>
      </c>
      <c r="N709" s="14">
        <f t="shared" si="535"/>
        <v>6.9444444444444441E-3</v>
      </c>
      <c r="O709" s="1">
        <f ca="1">P709*J709*(1+Growth!G$6)^(2010-K709)</f>
        <v>43.503286076028203</v>
      </c>
      <c r="P709" s="11">
        <v>42</v>
      </c>
      <c r="Q709" s="2">
        <f t="shared" si="478"/>
        <v>42</v>
      </c>
      <c r="R709" s="21">
        <f t="shared" ca="1" si="522"/>
        <v>1892.5358994127494</v>
      </c>
      <c r="X709" s="2"/>
      <c r="AC709" s="1">
        <f t="shared" si="536"/>
        <v>6.2</v>
      </c>
      <c r="AD709" s="5">
        <v>1</v>
      </c>
      <c r="AE709" s="5">
        <v>0</v>
      </c>
      <c r="AF709" s="5">
        <v>1</v>
      </c>
      <c r="AG709" s="5">
        <v>0</v>
      </c>
      <c r="AH709" s="5">
        <v>1</v>
      </c>
      <c r="AI709" s="3">
        <f t="shared" si="520"/>
        <v>3.2</v>
      </c>
      <c r="AJ709" s="5">
        <f t="shared" si="526"/>
        <v>0</v>
      </c>
      <c r="AK709" s="5">
        <f t="shared" ref="AK709:AK772" si="545">IF($AQ709=2,1,0)</f>
        <v>0</v>
      </c>
      <c r="AL709" s="5">
        <f t="shared" ref="AL709:AL772" si="546">IF($AQ709=1.5,1,0)</f>
        <v>0</v>
      </c>
      <c r="AM709" s="5">
        <f t="shared" si="528"/>
        <v>0</v>
      </c>
      <c r="AN709" s="5">
        <f t="shared" ref="AN709:AN772" si="547">IF($AQ709=0.1,1,0)</f>
        <v>0</v>
      </c>
      <c r="AO709" s="5">
        <f t="shared" si="529"/>
        <v>0</v>
      </c>
      <c r="AP709" s="11">
        <v>3</v>
      </c>
      <c r="AQ709" s="1">
        <v>0.95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1</v>
      </c>
      <c r="AY709" s="1">
        <f t="shared" si="530"/>
        <v>0</v>
      </c>
      <c r="AZ709" s="1">
        <f t="shared" si="531"/>
        <v>0</v>
      </c>
      <c r="BA709" s="1">
        <f t="shared" si="532"/>
        <v>0</v>
      </c>
      <c r="BB709" s="5">
        <v>0</v>
      </c>
      <c r="BC709" s="5">
        <v>0</v>
      </c>
      <c r="BD709" s="5">
        <v>0</v>
      </c>
      <c r="BE709" s="5">
        <f t="shared" si="533"/>
        <v>1</v>
      </c>
      <c r="BF709" s="5">
        <v>1</v>
      </c>
      <c r="BG709" s="5">
        <f t="shared" ref="BG709:BN724" si="548">IF($E709=BG$2,1,0)</f>
        <v>0</v>
      </c>
      <c r="BH709" s="5">
        <f t="shared" si="548"/>
        <v>0</v>
      </c>
      <c r="BI709" s="5">
        <f t="shared" si="548"/>
        <v>0</v>
      </c>
      <c r="BJ709" s="5">
        <f t="shared" si="548"/>
        <v>0</v>
      </c>
      <c r="BK709" s="5">
        <f t="shared" si="548"/>
        <v>0</v>
      </c>
      <c r="BL709" s="5">
        <f t="shared" si="548"/>
        <v>0</v>
      </c>
      <c r="BM709" s="5">
        <f t="shared" si="548"/>
        <v>0</v>
      </c>
      <c r="BN709" s="5">
        <f t="shared" si="542"/>
        <v>0</v>
      </c>
      <c r="BO709" s="5">
        <f t="shared" si="542"/>
        <v>0</v>
      </c>
      <c r="BP709" s="5">
        <f t="shared" si="542"/>
        <v>0</v>
      </c>
      <c r="BQ709" s="5">
        <f t="shared" si="542"/>
        <v>0</v>
      </c>
      <c r="BR709" s="5">
        <f t="shared" si="542"/>
        <v>0</v>
      </c>
      <c r="BS709" s="5">
        <f t="shared" si="542"/>
        <v>0</v>
      </c>
      <c r="BT709" s="5">
        <f t="shared" si="542"/>
        <v>0</v>
      </c>
      <c r="BU709" s="5">
        <f t="shared" si="542"/>
        <v>0</v>
      </c>
      <c r="BV709" s="5">
        <f t="shared" si="542"/>
        <v>0</v>
      </c>
      <c r="BW709" s="5">
        <f t="shared" si="542"/>
        <v>0</v>
      </c>
      <c r="BX709" s="5">
        <f t="shared" si="542"/>
        <v>0</v>
      </c>
      <c r="BY709" s="5">
        <f t="shared" si="542"/>
        <v>0</v>
      </c>
      <c r="BZ709" s="5">
        <f t="shared" si="542"/>
        <v>0</v>
      </c>
      <c r="CA709" s="5">
        <f t="shared" si="542"/>
        <v>0</v>
      </c>
      <c r="CB709" s="5">
        <f t="shared" si="542"/>
        <v>1</v>
      </c>
      <c r="CC709" s="5">
        <f t="shared" si="543"/>
        <v>0</v>
      </c>
      <c r="CD709" s="5">
        <f t="shared" si="541"/>
        <v>0</v>
      </c>
      <c r="CE709" s="5">
        <f t="shared" si="541"/>
        <v>0</v>
      </c>
    </row>
    <row r="710" spans="1:83" x14ac:dyDescent="0.2">
      <c r="A710" s="11"/>
      <c r="B710" s="11"/>
      <c r="C710" s="1">
        <f>Growth!D715</f>
        <v>0</v>
      </c>
      <c r="D710" s="5" t="b">
        <f t="shared" si="521"/>
        <v>0</v>
      </c>
      <c r="E710" s="5">
        <v>2012</v>
      </c>
      <c r="F710" s="5">
        <f ca="1">LOOKUP($E710,frequence!$A$2:$A$35,frequence!L$2:L$35)</f>
        <v>41.545638202606931</v>
      </c>
      <c r="G710" s="5">
        <f ca="1">LOOKUP($E710,frequence!$A$2:$A$35,frequence!K$2:K$35)</f>
        <v>3.8191206393393822</v>
      </c>
      <c r="H710" s="5">
        <f ca="1">LOOKUP($E710,frequence!$A$2:$A$35,frequence!M$2:M$35)</f>
        <v>265.64322815143237</v>
      </c>
      <c r="I710" s="18">
        <v>2005</v>
      </c>
      <c r="J710" s="7">
        <f>LOOKUP(I710,CPI!A$69:A$103,CPI!O$69:O$103)</f>
        <v>1.1165181771633383</v>
      </c>
      <c r="K710" s="5">
        <v>2015</v>
      </c>
      <c r="L710" s="7">
        <f t="shared" ca="1" si="544"/>
        <v>1</v>
      </c>
      <c r="M710" s="7">
        <f t="shared" si="527"/>
        <v>4.3055555555555555E-2</v>
      </c>
      <c r="N710" s="14">
        <f t="shared" si="535"/>
        <v>6.9444444444444441E-3</v>
      </c>
      <c r="O710" s="1">
        <f ca="1">P710*J710*(1+Growth!G$6)^(2010-K710)</f>
        <v>55.932796383464826</v>
      </c>
      <c r="P710" s="11">
        <v>54</v>
      </c>
      <c r="Q710" s="2">
        <f t="shared" si="478"/>
        <v>54</v>
      </c>
      <c r="R710" s="21">
        <f t="shared" ca="1" si="522"/>
        <v>3128.4777112741358</v>
      </c>
      <c r="X710" s="2"/>
      <c r="AC710" s="1">
        <f t="shared" si="536"/>
        <v>6.2</v>
      </c>
      <c r="AD710" s="5">
        <v>1</v>
      </c>
      <c r="AE710" s="5">
        <v>0</v>
      </c>
      <c r="AF710" s="5">
        <v>1</v>
      </c>
      <c r="AG710" s="5">
        <v>0</v>
      </c>
      <c r="AH710" s="5">
        <v>1</v>
      </c>
      <c r="AI710" s="3">
        <f t="shared" si="520"/>
        <v>3.2</v>
      </c>
      <c r="AJ710" s="5">
        <f t="shared" si="526"/>
        <v>0</v>
      </c>
      <c r="AK710" s="5">
        <f t="shared" si="545"/>
        <v>0</v>
      </c>
      <c r="AL710" s="5">
        <f t="shared" si="546"/>
        <v>0</v>
      </c>
      <c r="AM710" s="5">
        <f t="shared" si="528"/>
        <v>0</v>
      </c>
      <c r="AN710" s="5">
        <f t="shared" si="547"/>
        <v>0</v>
      </c>
      <c r="AO710" s="5">
        <f t="shared" si="529"/>
        <v>0</v>
      </c>
      <c r="AP710" s="11">
        <v>3</v>
      </c>
      <c r="AQ710" s="1">
        <v>0.95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1</v>
      </c>
      <c r="AY710" s="1">
        <f t="shared" si="530"/>
        <v>0</v>
      </c>
      <c r="AZ710" s="1">
        <f t="shared" si="531"/>
        <v>0</v>
      </c>
      <c r="BA710" s="1">
        <f t="shared" si="532"/>
        <v>0</v>
      </c>
      <c r="BB710" s="5">
        <v>0</v>
      </c>
      <c r="BC710" s="5">
        <v>0</v>
      </c>
      <c r="BD710" s="5">
        <v>0</v>
      </c>
      <c r="BE710" s="5">
        <f t="shared" si="533"/>
        <v>1</v>
      </c>
      <c r="BF710" s="5">
        <v>1</v>
      </c>
      <c r="BG710" s="5">
        <f t="shared" si="548"/>
        <v>0</v>
      </c>
      <c r="BH710" s="5">
        <f t="shared" si="548"/>
        <v>0</v>
      </c>
      <c r="BI710" s="5">
        <f t="shared" si="548"/>
        <v>0</v>
      </c>
      <c r="BJ710" s="5">
        <f t="shared" si="548"/>
        <v>0</v>
      </c>
      <c r="BK710" s="5">
        <f t="shared" si="548"/>
        <v>0</v>
      </c>
      <c r="BL710" s="5">
        <f t="shared" si="548"/>
        <v>0</v>
      </c>
      <c r="BM710" s="5">
        <f t="shared" si="548"/>
        <v>0</v>
      </c>
      <c r="BN710" s="5">
        <f t="shared" si="542"/>
        <v>0</v>
      </c>
      <c r="BO710" s="5">
        <f t="shared" si="542"/>
        <v>0</v>
      </c>
      <c r="BP710" s="5">
        <f t="shared" si="542"/>
        <v>0</v>
      </c>
      <c r="BQ710" s="5">
        <f t="shared" si="542"/>
        <v>0</v>
      </c>
      <c r="BR710" s="5">
        <f t="shared" si="542"/>
        <v>0</v>
      </c>
      <c r="BS710" s="5">
        <f t="shared" si="542"/>
        <v>0</v>
      </c>
      <c r="BT710" s="5">
        <f t="shared" si="542"/>
        <v>0</v>
      </c>
      <c r="BU710" s="5">
        <f t="shared" si="542"/>
        <v>0</v>
      </c>
      <c r="BV710" s="5">
        <f t="shared" si="542"/>
        <v>0</v>
      </c>
      <c r="BW710" s="5">
        <f t="shared" si="542"/>
        <v>0</v>
      </c>
      <c r="BX710" s="5">
        <f t="shared" si="542"/>
        <v>0</v>
      </c>
      <c r="BY710" s="5">
        <f t="shared" si="542"/>
        <v>0</v>
      </c>
      <c r="BZ710" s="5">
        <f t="shared" si="542"/>
        <v>0</v>
      </c>
      <c r="CA710" s="5">
        <f t="shared" si="542"/>
        <v>0</v>
      </c>
      <c r="CB710" s="5">
        <f t="shared" si="542"/>
        <v>1</v>
      </c>
      <c r="CC710" s="5">
        <f t="shared" si="543"/>
        <v>0</v>
      </c>
      <c r="CD710" s="5">
        <f t="shared" si="541"/>
        <v>0</v>
      </c>
      <c r="CE710" s="5">
        <f t="shared" si="541"/>
        <v>0</v>
      </c>
    </row>
    <row r="711" spans="1:83" x14ac:dyDescent="0.2">
      <c r="A711" s="11"/>
      <c r="B711" s="11"/>
      <c r="C711" s="1">
        <f>Growth!D716</f>
        <v>0</v>
      </c>
      <c r="D711" s="5" t="b">
        <f t="shared" si="521"/>
        <v>0</v>
      </c>
      <c r="E711" s="5">
        <v>2012</v>
      </c>
      <c r="F711" s="5">
        <f ca="1">LOOKUP($E711,frequence!$A$2:$A$35,frequence!L$2:L$35)</f>
        <v>41.545638202606931</v>
      </c>
      <c r="G711" s="5">
        <f ca="1">LOOKUP($E711,frequence!$A$2:$A$35,frequence!K$2:K$35)</f>
        <v>3.8191206393393822</v>
      </c>
      <c r="H711" s="5">
        <f ca="1">LOOKUP($E711,frequence!$A$2:$A$35,frequence!M$2:M$35)</f>
        <v>265.64322815143237</v>
      </c>
      <c r="I711" s="18">
        <v>2005</v>
      </c>
      <c r="J711" s="7">
        <f>LOOKUP(I711,CPI!A$69:A$103,CPI!O$69:O$103)</f>
        <v>1.1165181771633383</v>
      </c>
      <c r="K711" s="5">
        <v>2015</v>
      </c>
      <c r="L711" s="7">
        <f t="shared" ca="1" si="544"/>
        <v>1</v>
      </c>
      <c r="M711" s="7">
        <f t="shared" si="527"/>
        <v>4.3055555555555555E-2</v>
      </c>
      <c r="N711" s="14">
        <f t="shared" si="535"/>
        <v>6.9444444444444441E-3</v>
      </c>
      <c r="O711" s="1">
        <f ca="1">P711*J711*(1+Growth!G$6)^(2010-K711)</f>
        <v>65.254929114042298</v>
      </c>
      <c r="P711" s="11">
        <v>63</v>
      </c>
      <c r="Q711" s="2">
        <f t="shared" si="478"/>
        <v>63</v>
      </c>
      <c r="R711" s="21">
        <f t="shared" ca="1" si="522"/>
        <v>4258.2057736786855</v>
      </c>
      <c r="X711" s="2"/>
      <c r="AC711" s="1">
        <f t="shared" si="536"/>
        <v>6.2</v>
      </c>
      <c r="AD711" s="5">
        <v>1</v>
      </c>
      <c r="AE711" s="5">
        <v>0</v>
      </c>
      <c r="AF711" s="5">
        <v>1</v>
      </c>
      <c r="AG711" s="5">
        <v>0</v>
      </c>
      <c r="AH711" s="5">
        <v>1</v>
      </c>
      <c r="AI711" s="3">
        <f t="shared" si="520"/>
        <v>3.2</v>
      </c>
      <c r="AJ711" s="5">
        <f t="shared" si="526"/>
        <v>0</v>
      </c>
      <c r="AK711" s="5">
        <f t="shared" si="545"/>
        <v>0</v>
      </c>
      <c r="AL711" s="5">
        <f t="shared" si="546"/>
        <v>0</v>
      </c>
      <c r="AM711" s="5">
        <f t="shared" si="528"/>
        <v>0</v>
      </c>
      <c r="AN711" s="5">
        <f t="shared" si="547"/>
        <v>0</v>
      </c>
      <c r="AO711" s="5">
        <f t="shared" si="529"/>
        <v>0</v>
      </c>
      <c r="AP711" s="11">
        <v>3</v>
      </c>
      <c r="AQ711" s="1">
        <v>0.95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1</v>
      </c>
      <c r="AY711" s="1">
        <f t="shared" si="530"/>
        <v>0</v>
      </c>
      <c r="AZ711" s="1">
        <f t="shared" si="531"/>
        <v>0</v>
      </c>
      <c r="BA711" s="1">
        <f t="shared" si="532"/>
        <v>0</v>
      </c>
      <c r="BB711" s="5">
        <v>0</v>
      </c>
      <c r="BC711" s="5">
        <v>0</v>
      </c>
      <c r="BD711" s="5">
        <v>0</v>
      </c>
      <c r="BE711" s="5">
        <f t="shared" si="533"/>
        <v>1</v>
      </c>
      <c r="BF711" s="5">
        <v>1</v>
      </c>
      <c r="BG711" s="5">
        <f t="shared" si="548"/>
        <v>0</v>
      </c>
      <c r="BH711" s="5">
        <f t="shared" si="548"/>
        <v>0</v>
      </c>
      <c r="BI711" s="5">
        <f t="shared" si="548"/>
        <v>0</v>
      </c>
      <c r="BJ711" s="5">
        <f t="shared" si="548"/>
        <v>0</v>
      </c>
      <c r="BK711" s="5">
        <f t="shared" si="548"/>
        <v>0</v>
      </c>
      <c r="BL711" s="5">
        <f t="shared" si="548"/>
        <v>0</v>
      </c>
      <c r="BM711" s="5">
        <f t="shared" si="548"/>
        <v>0</v>
      </c>
      <c r="BN711" s="5">
        <f t="shared" si="542"/>
        <v>0</v>
      </c>
      <c r="BO711" s="5">
        <f t="shared" si="542"/>
        <v>0</v>
      </c>
      <c r="BP711" s="5">
        <f t="shared" si="542"/>
        <v>0</v>
      </c>
      <c r="BQ711" s="5">
        <f t="shared" si="542"/>
        <v>0</v>
      </c>
      <c r="BR711" s="5">
        <f t="shared" si="542"/>
        <v>0</v>
      </c>
      <c r="BS711" s="5">
        <f t="shared" si="542"/>
        <v>0</v>
      </c>
      <c r="BT711" s="5">
        <f t="shared" si="542"/>
        <v>0</v>
      </c>
      <c r="BU711" s="5">
        <f t="shared" si="542"/>
        <v>0</v>
      </c>
      <c r="BV711" s="5">
        <f t="shared" si="542"/>
        <v>0</v>
      </c>
      <c r="BW711" s="5">
        <f t="shared" si="542"/>
        <v>0</v>
      </c>
      <c r="BX711" s="5">
        <f t="shared" si="542"/>
        <v>0</v>
      </c>
      <c r="BY711" s="5">
        <f t="shared" si="542"/>
        <v>0</v>
      </c>
      <c r="BZ711" s="5">
        <f t="shared" si="542"/>
        <v>0</v>
      </c>
      <c r="CA711" s="5">
        <f t="shared" si="542"/>
        <v>0</v>
      </c>
      <c r="CB711" s="5">
        <f t="shared" si="542"/>
        <v>1</v>
      </c>
      <c r="CC711" s="5">
        <f t="shared" si="543"/>
        <v>0</v>
      </c>
      <c r="CD711" s="5">
        <f t="shared" si="541"/>
        <v>0</v>
      </c>
      <c r="CE711" s="5">
        <f t="shared" si="541"/>
        <v>0</v>
      </c>
    </row>
    <row r="712" spans="1:83" x14ac:dyDescent="0.2">
      <c r="A712" s="11"/>
      <c r="B712" s="11"/>
      <c r="C712" s="1">
        <f>Growth!D717</f>
        <v>0</v>
      </c>
      <c r="D712" s="5" t="b">
        <f t="shared" si="521"/>
        <v>0</v>
      </c>
      <c r="E712" s="5">
        <v>2012</v>
      </c>
      <c r="F712" s="5">
        <f ca="1">LOOKUP($E712,frequence!$A$2:$A$35,frequence!L$2:L$35)</f>
        <v>41.545638202606931</v>
      </c>
      <c r="G712" s="5">
        <f ca="1">LOOKUP($E712,frequence!$A$2:$A$35,frequence!K$2:K$35)</f>
        <v>3.8191206393393822</v>
      </c>
      <c r="H712" s="5">
        <f ca="1">LOOKUP($E712,frequence!$A$2:$A$35,frequence!M$2:M$35)</f>
        <v>265.64322815143237</v>
      </c>
      <c r="I712" s="18">
        <v>2005</v>
      </c>
      <c r="J712" s="7">
        <f>LOOKUP(I712,CPI!A$69:A$103,CPI!O$69:O$103)</f>
        <v>1.1165181771633383</v>
      </c>
      <c r="K712" s="5">
        <v>2015</v>
      </c>
      <c r="L712" s="7">
        <f t="shared" ca="1" si="544"/>
        <v>1</v>
      </c>
      <c r="M712" s="7">
        <f t="shared" si="527"/>
        <v>4.3055555555555555E-2</v>
      </c>
      <c r="N712" s="14">
        <f t="shared" si="535"/>
        <v>6.9444444444444441E-3</v>
      </c>
      <c r="O712" s="1">
        <f ca="1">P712*J712*(1+Growth!G$6)^(2010-K712)</f>
        <v>43.503286076028203</v>
      </c>
      <c r="P712" s="11">
        <v>42</v>
      </c>
      <c r="Q712" s="2">
        <f t="shared" si="478"/>
        <v>42</v>
      </c>
      <c r="R712" s="21">
        <f t="shared" ca="1" si="522"/>
        <v>1892.5358994127494</v>
      </c>
      <c r="X712" s="2"/>
      <c r="AC712" s="1">
        <f t="shared" si="536"/>
        <v>6.2</v>
      </c>
      <c r="AD712" s="5">
        <v>1</v>
      </c>
      <c r="AE712" s="5">
        <v>0</v>
      </c>
      <c r="AF712" s="5">
        <v>1</v>
      </c>
      <c r="AG712" s="5">
        <v>0</v>
      </c>
      <c r="AH712" s="5">
        <v>1</v>
      </c>
      <c r="AI712" s="3">
        <f t="shared" si="520"/>
        <v>3.2</v>
      </c>
      <c r="AJ712" s="5">
        <f t="shared" si="526"/>
        <v>0</v>
      </c>
      <c r="AK712" s="5">
        <f t="shared" si="545"/>
        <v>0</v>
      </c>
      <c r="AL712" s="5">
        <f t="shared" si="546"/>
        <v>0</v>
      </c>
      <c r="AM712" s="5">
        <f t="shared" si="528"/>
        <v>0</v>
      </c>
      <c r="AN712" s="5">
        <f t="shared" si="547"/>
        <v>0</v>
      </c>
      <c r="AO712" s="5">
        <f t="shared" si="529"/>
        <v>0</v>
      </c>
      <c r="AP712" s="11">
        <v>3</v>
      </c>
      <c r="AQ712" s="1">
        <v>0.95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1</v>
      </c>
      <c r="AY712" s="1">
        <f t="shared" si="530"/>
        <v>0</v>
      </c>
      <c r="AZ712" s="1">
        <f t="shared" si="531"/>
        <v>0</v>
      </c>
      <c r="BA712" s="1">
        <f t="shared" si="532"/>
        <v>0</v>
      </c>
      <c r="BB712" s="5">
        <v>0</v>
      </c>
      <c r="BC712" s="5">
        <v>0</v>
      </c>
      <c r="BD712" s="5">
        <v>0</v>
      </c>
      <c r="BE712" s="5">
        <f t="shared" si="533"/>
        <v>1</v>
      </c>
      <c r="BF712" s="5">
        <v>1</v>
      </c>
      <c r="BG712" s="5">
        <f t="shared" si="548"/>
        <v>0</v>
      </c>
      <c r="BH712" s="5">
        <f t="shared" si="548"/>
        <v>0</v>
      </c>
      <c r="BI712" s="5">
        <f t="shared" si="548"/>
        <v>0</v>
      </c>
      <c r="BJ712" s="5">
        <f t="shared" si="548"/>
        <v>0</v>
      </c>
      <c r="BK712" s="5">
        <f t="shared" si="548"/>
        <v>0</v>
      </c>
      <c r="BL712" s="5">
        <f t="shared" si="548"/>
        <v>0</v>
      </c>
      <c r="BM712" s="5">
        <f t="shared" si="548"/>
        <v>0</v>
      </c>
      <c r="BN712" s="5">
        <f t="shared" si="542"/>
        <v>0</v>
      </c>
      <c r="BO712" s="5">
        <f t="shared" si="542"/>
        <v>0</v>
      </c>
      <c r="BP712" s="5">
        <f t="shared" si="542"/>
        <v>0</v>
      </c>
      <c r="BQ712" s="5">
        <f t="shared" si="542"/>
        <v>0</v>
      </c>
      <c r="BR712" s="5">
        <f t="shared" si="542"/>
        <v>0</v>
      </c>
      <c r="BS712" s="5">
        <f t="shared" si="542"/>
        <v>0</v>
      </c>
      <c r="BT712" s="5">
        <f t="shared" si="542"/>
        <v>0</v>
      </c>
      <c r="BU712" s="5">
        <f t="shared" si="542"/>
        <v>0</v>
      </c>
      <c r="BV712" s="5">
        <f t="shared" si="542"/>
        <v>0</v>
      </c>
      <c r="BW712" s="5">
        <f t="shared" si="542"/>
        <v>0</v>
      </c>
      <c r="BX712" s="5">
        <f t="shared" si="542"/>
        <v>0</v>
      </c>
      <c r="BY712" s="5">
        <f t="shared" si="542"/>
        <v>0</v>
      </c>
      <c r="BZ712" s="5">
        <f t="shared" si="542"/>
        <v>0</v>
      </c>
      <c r="CA712" s="5">
        <f t="shared" si="542"/>
        <v>0</v>
      </c>
      <c r="CB712" s="5">
        <f t="shared" si="542"/>
        <v>1</v>
      </c>
      <c r="CC712" s="5">
        <f t="shared" si="543"/>
        <v>0</v>
      </c>
      <c r="CD712" s="5">
        <f t="shared" si="541"/>
        <v>0</v>
      </c>
      <c r="CE712" s="5">
        <f t="shared" si="541"/>
        <v>0</v>
      </c>
    </row>
    <row r="713" spans="1:83" x14ac:dyDescent="0.2">
      <c r="A713" s="11"/>
      <c r="B713" s="11"/>
      <c r="C713" s="1">
        <f>Growth!D718</f>
        <v>0</v>
      </c>
      <c r="D713" s="5" t="b">
        <f t="shared" si="521"/>
        <v>0</v>
      </c>
      <c r="E713" s="5">
        <v>2012</v>
      </c>
      <c r="F713" s="5">
        <f ca="1">LOOKUP($E713,frequence!$A$2:$A$35,frequence!L$2:L$35)</f>
        <v>41.545638202606931</v>
      </c>
      <c r="G713" s="5">
        <f ca="1">LOOKUP($E713,frequence!$A$2:$A$35,frequence!K$2:K$35)</f>
        <v>3.8191206393393822</v>
      </c>
      <c r="H713" s="5">
        <f ca="1">LOOKUP($E713,frequence!$A$2:$A$35,frequence!M$2:M$35)</f>
        <v>265.64322815143237</v>
      </c>
      <c r="I713" s="18">
        <v>2005</v>
      </c>
      <c r="J713" s="7">
        <f>LOOKUP(I713,CPI!A$69:A$103,CPI!O$69:O$103)</f>
        <v>1.1165181771633383</v>
      </c>
      <c r="K713" s="5">
        <v>2015</v>
      </c>
      <c r="L713" s="7">
        <f t="shared" ca="1" si="544"/>
        <v>1</v>
      </c>
      <c r="M713" s="7">
        <f t="shared" si="527"/>
        <v>4.3055555555555555E-2</v>
      </c>
      <c r="N713" s="14">
        <f t="shared" si="535"/>
        <v>6.9444444444444441E-3</v>
      </c>
      <c r="O713" s="1">
        <f ca="1">P713*J713*(1+Growth!G$6)^(2010-K713)</f>
        <v>39.360115973549327</v>
      </c>
      <c r="P713" s="11">
        <v>38</v>
      </c>
      <c r="Q713" s="2">
        <f t="shared" si="478"/>
        <v>38</v>
      </c>
      <c r="R713" s="21">
        <f t="shared" ca="1" si="522"/>
        <v>1549.2187294512528</v>
      </c>
      <c r="X713" s="2"/>
      <c r="AC713" s="1">
        <f t="shared" si="536"/>
        <v>6.2</v>
      </c>
      <c r="AD713" s="5">
        <v>1</v>
      </c>
      <c r="AE713" s="5">
        <v>0</v>
      </c>
      <c r="AF713" s="5">
        <v>1</v>
      </c>
      <c r="AG713" s="5">
        <v>0</v>
      </c>
      <c r="AH713" s="5">
        <v>1</v>
      </c>
      <c r="AI713" s="3">
        <f t="shared" ref="AI713:AI776" si="549">(E713-1980)/10</f>
        <v>3.2</v>
      </c>
      <c r="AJ713" s="5">
        <f t="shared" si="526"/>
        <v>0</v>
      </c>
      <c r="AK713" s="5">
        <f t="shared" si="545"/>
        <v>0</v>
      </c>
      <c r="AL713" s="5">
        <f t="shared" si="546"/>
        <v>0</v>
      </c>
      <c r="AM713" s="5">
        <f t="shared" si="528"/>
        <v>0</v>
      </c>
      <c r="AN713" s="5">
        <f t="shared" si="547"/>
        <v>0</v>
      </c>
      <c r="AO713" s="5">
        <f t="shared" si="529"/>
        <v>0</v>
      </c>
      <c r="AP713" s="11">
        <v>3</v>
      </c>
      <c r="AQ713" s="1">
        <v>0.95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1</v>
      </c>
      <c r="AY713" s="1">
        <f t="shared" si="530"/>
        <v>0</v>
      </c>
      <c r="AZ713" s="1">
        <f t="shared" si="531"/>
        <v>0</v>
      </c>
      <c r="BA713" s="1">
        <f t="shared" si="532"/>
        <v>0</v>
      </c>
      <c r="BB713" s="5">
        <v>0</v>
      </c>
      <c r="BC713" s="5">
        <v>0</v>
      </c>
      <c r="BD713" s="5">
        <v>0</v>
      </c>
      <c r="BE713" s="5">
        <f t="shared" si="533"/>
        <v>1</v>
      </c>
      <c r="BF713" s="5">
        <v>1</v>
      </c>
      <c r="BG713" s="5">
        <f t="shared" si="548"/>
        <v>0</v>
      </c>
      <c r="BH713" s="5">
        <f t="shared" si="548"/>
        <v>0</v>
      </c>
      <c r="BI713" s="5">
        <f t="shared" si="548"/>
        <v>0</v>
      </c>
      <c r="BJ713" s="5">
        <f t="shared" si="548"/>
        <v>0</v>
      </c>
      <c r="BK713" s="5">
        <f t="shared" si="548"/>
        <v>0</v>
      </c>
      <c r="BL713" s="5">
        <f t="shared" si="548"/>
        <v>0</v>
      </c>
      <c r="BM713" s="5">
        <f t="shared" si="548"/>
        <v>0</v>
      </c>
      <c r="BN713" s="5">
        <f t="shared" si="542"/>
        <v>0</v>
      </c>
      <c r="BO713" s="5">
        <f t="shared" si="542"/>
        <v>0</v>
      </c>
      <c r="BP713" s="5">
        <f t="shared" si="542"/>
        <v>0</v>
      </c>
      <c r="BQ713" s="5">
        <f t="shared" si="542"/>
        <v>0</v>
      </c>
      <c r="BR713" s="5">
        <f t="shared" si="542"/>
        <v>0</v>
      </c>
      <c r="BS713" s="5">
        <f t="shared" si="542"/>
        <v>0</v>
      </c>
      <c r="BT713" s="5">
        <f t="shared" si="542"/>
        <v>0</v>
      </c>
      <c r="BU713" s="5">
        <f t="shared" si="542"/>
        <v>0</v>
      </c>
      <c r="BV713" s="5">
        <f t="shared" si="542"/>
        <v>0</v>
      </c>
      <c r="BW713" s="5">
        <f t="shared" si="542"/>
        <v>0</v>
      </c>
      <c r="BX713" s="5">
        <f t="shared" si="542"/>
        <v>0</v>
      </c>
      <c r="BY713" s="5">
        <f t="shared" si="542"/>
        <v>0</v>
      </c>
      <c r="BZ713" s="5">
        <f t="shared" si="542"/>
        <v>0</v>
      </c>
      <c r="CA713" s="5">
        <f t="shared" si="542"/>
        <v>0</v>
      </c>
      <c r="CB713" s="5">
        <f t="shared" si="542"/>
        <v>1</v>
      </c>
      <c r="CC713" s="5">
        <f t="shared" si="543"/>
        <v>0</v>
      </c>
      <c r="CD713" s="5">
        <f t="shared" si="541"/>
        <v>0</v>
      </c>
      <c r="CE713" s="5">
        <f t="shared" si="541"/>
        <v>0</v>
      </c>
    </row>
    <row r="714" spans="1:83" x14ac:dyDescent="0.2">
      <c r="A714" s="11"/>
      <c r="B714" s="11"/>
      <c r="C714" s="1">
        <f>Growth!D719</f>
        <v>0</v>
      </c>
      <c r="D714" s="5" t="b">
        <f t="shared" ref="D714:D777" si="550">IF(B714&gt;0,E714)</f>
        <v>0</v>
      </c>
      <c r="E714" s="5">
        <v>2012</v>
      </c>
      <c r="F714" s="5">
        <f ca="1">LOOKUP($E714,frequence!$A$2:$A$35,frequence!L$2:L$35)</f>
        <v>41.545638202606931</v>
      </c>
      <c r="G714" s="5">
        <f ca="1">LOOKUP($E714,frequence!$A$2:$A$35,frequence!K$2:K$35)</f>
        <v>3.8191206393393822</v>
      </c>
      <c r="H714" s="5">
        <f ca="1">LOOKUP($E714,frequence!$A$2:$A$35,frequence!M$2:M$35)</f>
        <v>265.64322815143237</v>
      </c>
      <c r="I714" s="18">
        <v>2005</v>
      </c>
      <c r="J714" s="7">
        <f>LOOKUP(I714,CPI!A$69:A$103,CPI!O$69:O$103)</f>
        <v>1.1165181771633383</v>
      </c>
      <c r="K714" s="5">
        <v>2015</v>
      </c>
      <c r="L714" s="7">
        <f t="shared" ca="1" si="544"/>
        <v>1</v>
      </c>
      <c r="M714" s="7">
        <f t="shared" si="527"/>
        <v>4.3055555555555555E-2</v>
      </c>
      <c r="N714" s="14">
        <f t="shared" si="535"/>
        <v>6.9444444444444441E-3</v>
      </c>
      <c r="O714" s="1">
        <f ca="1">P714*J714*(1+Growth!G$6)^(2010-K714)</f>
        <v>70.433891742140901</v>
      </c>
      <c r="P714" s="11">
        <v>68</v>
      </c>
      <c r="Q714" s="2">
        <f t="shared" si="478"/>
        <v>68</v>
      </c>
      <c r="R714" s="21">
        <f t="shared" ref="R714:R1216" ca="1" si="551">O714*O714</f>
        <v>4960.9331059436245</v>
      </c>
      <c r="X714" s="2"/>
      <c r="AC714" s="1">
        <f t="shared" si="536"/>
        <v>6.2</v>
      </c>
      <c r="AD714" s="5">
        <v>1</v>
      </c>
      <c r="AE714" s="5">
        <v>0</v>
      </c>
      <c r="AF714" s="5">
        <v>1</v>
      </c>
      <c r="AG714" s="5">
        <v>0</v>
      </c>
      <c r="AH714" s="5">
        <v>1</v>
      </c>
      <c r="AI714" s="3">
        <f t="shared" si="549"/>
        <v>3.2</v>
      </c>
      <c r="AJ714" s="5">
        <f t="shared" si="526"/>
        <v>0</v>
      </c>
      <c r="AK714" s="5">
        <f t="shared" si="545"/>
        <v>0</v>
      </c>
      <c r="AL714" s="5">
        <f t="shared" si="546"/>
        <v>0</v>
      </c>
      <c r="AM714" s="5">
        <f t="shared" si="528"/>
        <v>0</v>
      </c>
      <c r="AN714" s="5">
        <f t="shared" si="547"/>
        <v>0</v>
      </c>
      <c r="AO714" s="5">
        <f t="shared" si="529"/>
        <v>0</v>
      </c>
      <c r="AP714" s="11">
        <v>3</v>
      </c>
      <c r="AQ714" s="1">
        <v>0.95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1</v>
      </c>
      <c r="AY714" s="1">
        <f t="shared" si="530"/>
        <v>0</v>
      </c>
      <c r="AZ714" s="1">
        <f t="shared" si="531"/>
        <v>0</v>
      </c>
      <c r="BA714" s="1">
        <f t="shared" si="532"/>
        <v>0</v>
      </c>
      <c r="BB714" s="5">
        <v>0</v>
      </c>
      <c r="BC714" s="5">
        <v>0</v>
      </c>
      <c r="BD714" s="5">
        <v>0</v>
      </c>
      <c r="BE714" s="5">
        <f t="shared" si="533"/>
        <v>1</v>
      </c>
      <c r="BF714" s="5">
        <v>1</v>
      </c>
      <c r="BG714" s="5">
        <f t="shared" si="548"/>
        <v>0</v>
      </c>
      <c r="BH714" s="5">
        <f t="shared" si="548"/>
        <v>0</v>
      </c>
      <c r="BI714" s="5">
        <f t="shared" si="548"/>
        <v>0</v>
      </c>
      <c r="BJ714" s="5">
        <f t="shared" si="548"/>
        <v>0</v>
      </c>
      <c r="BK714" s="5">
        <f t="shared" si="548"/>
        <v>0</v>
      </c>
      <c r="BL714" s="5">
        <f t="shared" si="548"/>
        <v>0</v>
      </c>
      <c r="BM714" s="5">
        <f t="shared" si="548"/>
        <v>0</v>
      </c>
      <c r="BN714" s="5">
        <f t="shared" si="542"/>
        <v>0</v>
      </c>
      <c r="BO714" s="5">
        <f t="shared" si="542"/>
        <v>0</v>
      </c>
      <c r="BP714" s="5">
        <f t="shared" si="542"/>
        <v>0</v>
      </c>
      <c r="BQ714" s="5">
        <f t="shared" si="542"/>
        <v>0</v>
      </c>
      <c r="BR714" s="5">
        <f t="shared" si="542"/>
        <v>0</v>
      </c>
      <c r="BS714" s="5">
        <f t="shared" si="542"/>
        <v>0</v>
      </c>
      <c r="BT714" s="5">
        <f t="shared" si="542"/>
        <v>0</v>
      </c>
      <c r="BU714" s="5">
        <f t="shared" si="542"/>
        <v>0</v>
      </c>
      <c r="BV714" s="5">
        <f t="shared" si="542"/>
        <v>0</v>
      </c>
      <c r="BW714" s="5">
        <f t="shared" si="542"/>
        <v>0</v>
      </c>
      <c r="BX714" s="5">
        <f t="shared" si="542"/>
        <v>0</v>
      </c>
      <c r="BY714" s="5">
        <f t="shared" si="542"/>
        <v>0</v>
      </c>
      <c r="BZ714" s="5">
        <f t="shared" si="542"/>
        <v>0</v>
      </c>
      <c r="CA714" s="5">
        <f t="shared" si="542"/>
        <v>0</v>
      </c>
      <c r="CB714" s="5">
        <f t="shared" si="542"/>
        <v>1</v>
      </c>
      <c r="CC714" s="5">
        <f t="shared" si="543"/>
        <v>0</v>
      </c>
      <c r="CD714" s="5">
        <f t="shared" si="541"/>
        <v>0</v>
      </c>
      <c r="CE714" s="5">
        <f t="shared" si="541"/>
        <v>0</v>
      </c>
    </row>
    <row r="715" spans="1:83" x14ac:dyDescent="0.2">
      <c r="A715" s="11"/>
      <c r="B715" s="11"/>
      <c r="C715" s="1">
        <f>Growth!D720</f>
        <v>0</v>
      </c>
      <c r="D715" s="5" t="b">
        <f t="shared" si="550"/>
        <v>0</v>
      </c>
      <c r="E715" s="5">
        <v>2012</v>
      </c>
      <c r="F715" s="5">
        <f ca="1">LOOKUP($E715,frequence!$A$2:$A$35,frequence!L$2:L$35)</f>
        <v>41.545638202606931</v>
      </c>
      <c r="G715" s="5">
        <f ca="1">LOOKUP($E715,frequence!$A$2:$A$35,frequence!K$2:K$35)</f>
        <v>3.8191206393393822</v>
      </c>
      <c r="H715" s="5">
        <f ca="1">LOOKUP($E715,frequence!$A$2:$A$35,frequence!M$2:M$35)</f>
        <v>265.64322815143237</v>
      </c>
      <c r="I715" s="18">
        <v>2005</v>
      </c>
      <c r="J715" s="7">
        <f>LOOKUP(I715,CPI!A$69:A$103,CPI!O$69:O$103)</f>
        <v>1.1165181771633383</v>
      </c>
      <c r="K715" s="5">
        <v>2015</v>
      </c>
      <c r="L715" s="7">
        <f t="shared" ca="1" si="544"/>
        <v>1</v>
      </c>
      <c r="M715" s="7">
        <f t="shared" si="527"/>
        <v>4.3055555555555555E-2</v>
      </c>
      <c r="N715" s="14">
        <f t="shared" si="535"/>
        <v>6.9444444444444441E-3</v>
      </c>
      <c r="O715" s="1">
        <f ca="1">P715*J715*(1+Growth!G$6)^(2010-K715)</f>
        <v>42.467493550408477</v>
      </c>
      <c r="P715" s="11">
        <v>41</v>
      </c>
      <c r="Q715" s="2">
        <f t="shared" si="478"/>
        <v>41</v>
      </c>
      <c r="R715" s="21">
        <f t="shared" ca="1" si="551"/>
        <v>1803.4880084539857</v>
      </c>
      <c r="X715" s="2"/>
      <c r="AC715" s="1">
        <f t="shared" si="536"/>
        <v>6.2</v>
      </c>
      <c r="AD715" s="5">
        <v>1</v>
      </c>
      <c r="AE715" s="5">
        <v>0</v>
      </c>
      <c r="AF715" s="5">
        <v>1</v>
      </c>
      <c r="AG715" s="5">
        <v>0</v>
      </c>
      <c r="AH715" s="5">
        <v>1</v>
      </c>
      <c r="AI715" s="3">
        <f t="shared" si="549"/>
        <v>3.2</v>
      </c>
      <c r="AJ715" s="5">
        <f t="shared" si="526"/>
        <v>0</v>
      </c>
      <c r="AK715" s="5">
        <f t="shared" si="545"/>
        <v>0</v>
      </c>
      <c r="AL715" s="5">
        <f t="shared" si="546"/>
        <v>0</v>
      </c>
      <c r="AM715" s="5">
        <f t="shared" si="528"/>
        <v>0</v>
      </c>
      <c r="AN715" s="5">
        <f t="shared" si="547"/>
        <v>0</v>
      </c>
      <c r="AO715" s="5">
        <f t="shared" si="529"/>
        <v>0</v>
      </c>
      <c r="AP715" s="11">
        <v>3</v>
      </c>
      <c r="AQ715" s="1">
        <v>0.95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1</v>
      </c>
      <c r="AY715" s="1">
        <f t="shared" si="530"/>
        <v>0</v>
      </c>
      <c r="AZ715" s="1">
        <f t="shared" si="531"/>
        <v>0</v>
      </c>
      <c r="BA715" s="1">
        <f t="shared" si="532"/>
        <v>0</v>
      </c>
      <c r="BB715" s="5">
        <v>0</v>
      </c>
      <c r="BC715" s="5">
        <v>0</v>
      </c>
      <c r="BD715" s="5">
        <v>0</v>
      </c>
      <c r="BE715" s="5">
        <f t="shared" si="533"/>
        <v>1</v>
      </c>
      <c r="BF715" s="5">
        <v>1</v>
      </c>
      <c r="BG715" s="5">
        <f t="shared" si="548"/>
        <v>0</v>
      </c>
      <c r="BH715" s="5">
        <f t="shared" si="548"/>
        <v>0</v>
      </c>
      <c r="BI715" s="5">
        <f t="shared" si="548"/>
        <v>0</v>
      </c>
      <c r="BJ715" s="5">
        <f t="shared" si="548"/>
        <v>0</v>
      </c>
      <c r="BK715" s="5">
        <f t="shared" si="548"/>
        <v>0</v>
      </c>
      <c r="BL715" s="5">
        <f t="shared" si="548"/>
        <v>0</v>
      </c>
      <c r="BM715" s="5">
        <f t="shared" si="548"/>
        <v>0</v>
      </c>
      <c r="BN715" s="5">
        <f t="shared" si="542"/>
        <v>0</v>
      </c>
      <c r="BO715" s="5">
        <f t="shared" si="542"/>
        <v>0</v>
      </c>
      <c r="BP715" s="5">
        <f t="shared" si="542"/>
        <v>0</v>
      </c>
      <c r="BQ715" s="5">
        <f t="shared" si="542"/>
        <v>0</v>
      </c>
      <c r="BR715" s="5">
        <f t="shared" si="542"/>
        <v>0</v>
      </c>
      <c r="BS715" s="5">
        <f t="shared" si="542"/>
        <v>0</v>
      </c>
      <c r="BT715" s="5">
        <f t="shared" si="542"/>
        <v>0</v>
      </c>
      <c r="BU715" s="5">
        <f t="shared" si="542"/>
        <v>0</v>
      </c>
      <c r="BV715" s="5">
        <f t="shared" si="542"/>
        <v>0</v>
      </c>
      <c r="BW715" s="5">
        <f t="shared" si="542"/>
        <v>0</v>
      </c>
      <c r="BX715" s="5">
        <f t="shared" si="542"/>
        <v>0</v>
      </c>
      <c r="BY715" s="5">
        <f t="shared" si="542"/>
        <v>0</v>
      </c>
      <c r="BZ715" s="5">
        <f t="shared" si="542"/>
        <v>0</v>
      </c>
      <c r="CA715" s="5">
        <f t="shared" si="542"/>
        <v>0</v>
      </c>
      <c r="CB715" s="5">
        <f t="shared" si="542"/>
        <v>1</v>
      </c>
      <c r="CC715" s="5">
        <f t="shared" si="543"/>
        <v>0</v>
      </c>
      <c r="CD715" s="5">
        <f t="shared" si="541"/>
        <v>0</v>
      </c>
      <c r="CE715" s="5">
        <f t="shared" si="541"/>
        <v>0</v>
      </c>
    </row>
    <row r="716" spans="1:83" x14ac:dyDescent="0.2">
      <c r="A716" s="11"/>
      <c r="B716" s="11"/>
      <c r="C716" s="1">
        <f>Growth!D721</f>
        <v>0</v>
      </c>
      <c r="D716" s="5" t="b">
        <f t="shared" si="550"/>
        <v>0</v>
      </c>
      <c r="E716" s="5">
        <v>2012</v>
      </c>
      <c r="F716" s="5">
        <f ca="1">LOOKUP($E716,frequence!$A$2:$A$35,frequence!L$2:L$35)</f>
        <v>41.545638202606931</v>
      </c>
      <c r="G716" s="5">
        <f ca="1">LOOKUP($E716,frequence!$A$2:$A$35,frequence!K$2:K$35)</f>
        <v>3.8191206393393822</v>
      </c>
      <c r="H716" s="5">
        <f ca="1">LOOKUP($E716,frequence!$A$2:$A$35,frequence!M$2:M$35)</f>
        <v>265.64322815143237</v>
      </c>
      <c r="I716" s="18">
        <v>2005</v>
      </c>
      <c r="J716" s="7">
        <f>LOOKUP(I716,CPI!A$69:A$103,CPI!O$69:O$103)</f>
        <v>1.1165181771633383</v>
      </c>
      <c r="K716" s="5">
        <v>2015</v>
      </c>
      <c r="L716" s="7">
        <f t="shared" ca="1" si="544"/>
        <v>1</v>
      </c>
      <c r="M716" s="7">
        <f t="shared" si="527"/>
        <v>4.3055555555555555E-2</v>
      </c>
      <c r="N716" s="14">
        <f t="shared" si="535"/>
        <v>6.9444444444444441E-3</v>
      </c>
      <c r="O716" s="1">
        <f ca="1">P716*J716*(1+Growth!G$6)^(2010-K716)</f>
        <v>63.183344062802867</v>
      </c>
      <c r="P716" s="11">
        <v>61</v>
      </c>
      <c r="Q716" s="2">
        <f t="shared" si="478"/>
        <v>61</v>
      </c>
      <c r="R716" s="21">
        <f t="shared" ca="1" si="551"/>
        <v>3992.1349669585261</v>
      </c>
      <c r="X716" s="2"/>
      <c r="AC716" s="1">
        <f t="shared" si="536"/>
        <v>6.2</v>
      </c>
      <c r="AD716" s="5">
        <v>1</v>
      </c>
      <c r="AE716" s="5">
        <v>0</v>
      </c>
      <c r="AF716" s="5">
        <v>1</v>
      </c>
      <c r="AG716" s="5">
        <v>0</v>
      </c>
      <c r="AH716" s="5">
        <v>1</v>
      </c>
      <c r="AI716" s="3">
        <f t="shared" si="549"/>
        <v>3.2</v>
      </c>
      <c r="AJ716" s="5">
        <f t="shared" si="526"/>
        <v>0</v>
      </c>
      <c r="AK716" s="5">
        <f t="shared" si="545"/>
        <v>0</v>
      </c>
      <c r="AL716" s="5">
        <f t="shared" si="546"/>
        <v>0</v>
      </c>
      <c r="AM716" s="5">
        <f t="shared" si="528"/>
        <v>0</v>
      </c>
      <c r="AN716" s="5">
        <f t="shared" si="547"/>
        <v>0</v>
      </c>
      <c r="AO716" s="5">
        <f t="shared" si="529"/>
        <v>0</v>
      </c>
      <c r="AP716" s="11">
        <v>3</v>
      </c>
      <c r="AQ716" s="1">
        <v>0.95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1</v>
      </c>
      <c r="AY716" s="1">
        <f t="shared" si="530"/>
        <v>0</v>
      </c>
      <c r="AZ716" s="1">
        <f t="shared" si="531"/>
        <v>0</v>
      </c>
      <c r="BA716" s="1">
        <f t="shared" si="532"/>
        <v>0</v>
      </c>
      <c r="BB716" s="5">
        <v>0</v>
      </c>
      <c r="BC716" s="5">
        <v>0</v>
      </c>
      <c r="BD716" s="5">
        <v>0</v>
      </c>
      <c r="BE716" s="5">
        <f t="shared" si="533"/>
        <v>1</v>
      </c>
      <c r="BF716" s="5">
        <v>1</v>
      </c>
      <c r="BG716" s="5">
        <f t="shared" si="548"/>
        <v>0</v>
      </c>
      <c r="BH716" s="5">
        <f t="shared" si="548"/>
        <v>0</v>
      </c>
      <c r="BI716" s="5">
        <f t="shared" si="548"/>
        <v>0</v>
      </c>
      <c r="BJ716" s="5">
        <f t="shared" si="548"/>
        <v>0</v>
      </c>
      <c r="BK716" s="5">
        <f t="shared" si="548"/>
        <v>0</v>
      </c>
      <c r="BL716" s="5">
        <f t="shared" si="548"/>
        <v>0</v>
      </c>
      <c r="BM716" s="5">
        <f t="shared" si="548"/>
        <v>0</v>
      </c>
      <c r="BN716" s="5">
        <f t="shared" si="542"/>
        <v>0</v>
      </c>
      <c r="BO716" s="5">
        <f t="shared" si="542"/>
        <v>0</v>
      </c>
      <c r="BP716" s="5">
        <f t="shared" si="542"/>
        <v>0</v>
      </c>
      <c r="BQ716" s="5">
        <f t="shared" si="542"/>
        <v>0</v>
      </c>
      <c r="BR716" s="5">
        <f t="shared" si="542"/>
        <v>0</v>
      </c>
      <c r="BS716" s="5">
        <f t="shared" si="542"/>
        <v>0</v>
      </c>
      <c r="BT716" s="5">
        <f t="shared" si="542"/>
        <v>0</v>
      </c>
      <c r="BU716" s="5">
        <f t="shared" si="542"/>
        <v>0</v>
      </c>
      <c r="BV716" s="5">
        <f t="shared" si="542"/>
        <v>0</v>
      </c>
      <c r="BW716" s="5">
        <f t="shared" si="542"/>
        <v>0</v>
      </c>
      <c r="BX716" s="5">
        <f t="shared" si="542"/>
        <v>0</v>
      </c>
      <c r="BY716" s="5">
        <f t="shared" si="542"/>
        <v>0</v>
      </c>
      <c r="BZ716" s="5">
        <f t="shared" si="542"/>
        <v>0</v>
      </c>
      <c r="CA716" s="5">
        <f t="shared" si="542"/>
        <v>0</v>
      </c>
      <c r="CB716" s="5">
        <f t="shared" si="542"/>
        <v>1</v>
      </c>
      <c r="CC716" s="5">
        <f t="shared" si="543"/>
        <v>0</v>
      </c>
      <c r="CD716" s="5">
        <f t="shared" si="541"/>
        <v>0</v>
      </c>
      <c r="CE716" s="5">
        <f t="shared" si="541"/>
        <v>0</v>
      </c>
    </row>
    <row r="717" spans="1:83" x14ac:dyDescent="0.2">
      <c r="A717" s="11"/>
      <c r="B717" s="11"/>
      <c r="C717" s="1">
        <f>Growth!D722</f>
        <v>0</v>
      </c>
      <c r="D717" s="5" t="b">
        <f t="shared" si="550"/>
        <v>0</v>
      </c>
      <c r="E717" s="5">
        <v>2012</v>
      </c>
      <c r="F717" s="5">
        <f ca="1">LOOKUP($E717,frequence!$A$2:$A$35,frequence!L$2:L$35)</f>
        <v>41.545638202606931</v>
      </c>
      <c r="G717" s="5">
        <f ca="1">LOOKUP($E717,frequence!$A$2:$A$35,frequence!K$2:K$35)</f>
        <v>3.8191206393393822</v>
      </c>
      <c r="H717" s="5">
        <f ca="1">LOOKUP($E717,frequence!$A$2:$A$35,frequence!M$2:M$35)</f>
        <v>265.64322815143237</v>
      </c>
      <c r="I717" s="18">
        <v>2005</v>
      </c>
      <c r="J717" s="7">
        <f>LOOKUP(I717,CPI!A$69:A$103,CPI!O$69:O$103)</f>
        <v>1.1165181771633383</v>
      </c>
      <c r="K717" s="5">
        <v>2015</v>
      </c>
      <c r="L717" s="7">
        <f t="shared" ca="1" si="544"/>
        <v>1</v>
      </c>
      <c r="M717" s="7">
        <f t="shared" si="527"/>
        <v>4.3055555555555555E-2</v>
      </c>
      <c r="N717" s="14">
        <f t="shared" si="535"/>
        <v>6.9444444444444441E-3</v>
      </c>
      <c r="O717" s="1">
        <f ca="1">P717*J717*(1+Growth!G$6)^(2010-K717)</f>
        <v>56.968588909084552</v>
      </c>
      <c r="P717" s="11">
        <v>55</v>
      </c>
      <c r="Q717" s="2">
        <f t="shared" si="478"/>
        <v>55</v>
      </c>
      <c r="R717" s="21">
        <f t="shared" ca="1" si="551"/>
        <v>3245.4201222922716</v>
      </c>
      <c r="X717" s="2"/>
      <c r="AC717" s="1">
        <f t="shared" si="536"/>
        <v>6.2</v>
      </c>
      <c r="AD717" s="5">
        <v>1</v>
      </c>
      <c r="AE717" s="5">
        <v>0</v>
      </c>
      <c r="AF717" s="5">
        <v>1</v>
      </c>
      <c r="AG717" s="5">
        <v>0</v>
      </c>
      <c r="AH717" s="5">
        <v>1</v>
      </c>
      <c r="AI717" s="3">
        <f t="shared" si="549"/>
        <v>3.2</v>
      </c>
      <c r="AJ717" s="5">
        <f t="shared" si="526"/>
        <v>0</v>
      </c>
      <c r="AK717" s="5">
        <f t="shared" si="545"/>
        <v>0</v>
      </c>
      <c r="AL717" s="5">
        <f t="shared" si="546"/>
        <v>0</v>
      </c>
      <c r="AM717" s="5">
        <f t="shared" si="528"/>
        <v>0</v>
      </c>
      <c r="AN717" s="5">
        <f t="shared" si="547"/>
        <v>0</v>
      </c>
      <c r="AO717" s="5">
        <f t="shared" si="529"/>
        <v>0</v>
      </c>
      <c r="AP717" s="11">
        <v>3</v>
      </c>
      <c r="AQ717" s="1">
        <v>0.95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1</v>
      </c>
      <c r="AY717" s="1">
        <f t="shared" si="530"/>
        <v>0</v>
      </c>
      <c r="AZ717" s="1">
        <f t="shared" si="531"/>
        <v>0</v>
      </c>
      <c r="BA717" s="1">
        <f t="shared" si="532"/>
        <v>0</v>
      </c>
      <c r="BB717" s="5">
        <v>0</v>
      </c>
      <c r="BC717" s="5">
        <v>0</v>
      </c>
      <c r="BD717" s="5">
        <v>0</v>
      </c>
      <c r="BE717" s="5">
        <f t="shared" si="533"/>
        <v>1</v>
      </c>
      <c r="BF717" s="5">
        <v>1</v>
      </c>
      <c r="BG717" s="5">
        <f t="shared" si="548"/>
        <v>0</v>
      </c>
      <c r="BH717" s="5">
        <f t="shared" si="548"/>
        <v>0</v>
      </c>
      <c r="BI717" s="5">
        <f t="shared" si="548"/>
        <v>0</v>
      </c>
      <c r="BJ717" s="5">
        <f t="shared" si="548"/>
        <v>0</v>
      </c>
      <c r="BK717" s="5">
        <f t="shared" si="548"/>
        <v>0</v>
      </c>
      <c r="BL717" s="5">
        <f t="shared" si="548"/>
        <v>0</v>
      </c>
      <c r="BM717" s="5">
        <f t="shared" si="548"/>
        <v>0</v>
      </c>
      <c r="BN717" s="5">
        <f t="shared" si="542"/>
        <v>0</v>
      </c>
      <c r="BO717" s="5">
        <f t="shared" si="542"/>
        <v>0</v>
      </c>
      <c r="BP717" s="5">
        <f t="shared" si="542"/>
        <v>0</v>
      </c>
      <c r="BQ717" s="5">
        <f t="shared" si="542"/>
        <v>0</v>
      </c>
      <c r="BR717" s="5">
        <f t="shared" si="542"/>
        <v>0</v>
      </c>
      <c r="BS717" s="5">
        <f t="shared" si="542"/>
        <v>0</v>
      </c>
      <c r="BT717" s="5">
        <f t="shared" si="542"/>
        <v>0</v>
      </c>
      <c r="BU717" s="5">
        <f t="shared" si="542"/>
        <v>0</v>
      </c>
      <c r="BV717" s="5">
        <f t="shared" si="542"/>
        <v>0</v>
      </c>
      <c r="BW717" s="5">
        <f t="shared" si="542"/>
        <v>0</v>
      </c>
      <c r="BX717" s="5">
        <f t="shared" si="542"/>
        <v>0</v>
      </c>
      <c r="BY717" s="5">
        <f t="shared" si="542"/>
        <v>0</v>
      </c>
      <c r="BZ717" s="5">
        <f t="shared" si="542"/>
        <v>0</v>
      </c>
      <c r="CA717" s="5">
        <f t="shared" si="542"/>
        <v>0</v>
      </c>
      <c r="CB717" s="5">
        <f t="shared" si="542"/>
        <v>1</v>
      </c>
      <c r="CC717" s="5">
        <f t="shared" si="543"/>
        <v>0</v>
      </c>
      <c r="CD717" s="5">
        <f t="shared" si="541"/>
        <v>0</v>
      </c>
      <c r="CE717" s="5">
        <f t="shared" si="541"/>
        <v>0</v>
      </c>
    </row>
    <row r="718" spans="1:83" x14ac:dyDescent="0.2">
      <c r="A718" s="11"/>
      <c r="B718" s="11"/>
      <c r="C718" s="1">
        <f>Growth!D723</f>
        <v>0</v>
      </c>
      <c r="D718" s="5" t="b">
        <f t="shared" si="550"/>
        <v>0</v>
      </c>
      <c r="E718" s="5">
        <v>2012</v>
      </c>
      <c r="F718" s="5">
        <f ca="1">LOOKUP($E718,frequence!$A$2:$A$35,frequence!L$2:L$35)</f>
        <v>41.545638202606931</v>
      </c>
      <c r="G718" s="5">
        <f ca="1">LOOKUP($E718,frequence!$A$2:$A$35,frequence!K$2:K$35)</f>
        <v>3.8191206393393822</v>
      </c>
      <c r="H718" s="5">
        <f ca="1">LOOKUP($E718,frequence!$A$2:$A$35,frequence!M$2:M$35)</f>
        <v>265.64322815143237</v>
      </c>
      <c r="I718" s="18">
        <v>2005</v>
      </c>
      <c r="J718" s="7">
        <f>LOOKUP(I718,CPI!A$69:A$103,CPI!O$69:O$103)</f>
        <v>1.1165181771633383</v>
      </c>
      <c r="K718" s="5">
        <v>2015</v>
      </c>
      <c r="L718" s="7">
        <f t="shared" ca="1" si="544"/>
        <v>1</v>
      </c>
      <c r="M718" s="7">
        <f t="shared" si="527"/>
        <v>4.3055555555555555E-2</v>
      </c>
      <c r="N718" s="14">
        <f t="shared" si="535"/>
        <v>6.9444444444444441E-3</v>
      </c>
      <c r="O718" s="1">
        <f ca="1">P718*J718*(1+Growth!G$6)^(2010-K718)</f>
        <v>71.469684267760613</v>
      </c>
      <c r="P718" s="11">
        <v>69</v>
      </c>
      <c r="Q718" s="2">
        <f t="shared" si="478"/>
        <v>69</v>
      </c>
      <c r="R718" s="21">
        <f t="shared" ca="1" si="551"/>
        <v>5107.9157693333891</v>
      </c>
      <c r="X718" s="2"/>
      <c r="AC718" s="1">
        <f t="shared" si="536"/>
        <v>6.2</v>
      </c>
      <c r="AD718" s="5">
        <v>1</v>
      </c>
      <c r="AE718" s="5">
        <v>0</v>
      </c>
      <c r="AF718" s="5">
        <v>1</v>
      </c>
      <c r="AG718" s="5">
        <v>0</v>
      </c>
      <c r="AH718" s="5">
        <v>1</v>
      </c>
      <c r="AI718" s="3">
        <f t="shared" si="549"/>
        <v>3.2</v>
      </c>
      <c r="AJ718" s="5">
        <f t="shared" si="526"/>
        <v>0</v>
      </c>
      <c r="AK718" s="5">
        <f t="shared" si="545"/>
        <v>0</v>
      </c>
      <c r="AL718" s="5">
        <f t="shared" si="546"/>
        <v>0</v>
      </c>
      <c r="AM718" s="5">
        <f t="shared" si="528"/>
        <v>0</v>
      </c>
      <c r="AN718" s="5">
        <f t="shared" si="547"/>
        <v>0</v>
      </c>
      <c r="AO718" s="5">
        <f t="shared" si="529"/>
        <v>0</v>
      </c>
      <c r="AP718" s="11">
        <v>3</v>
      </c>
      <c r="AQ718" s="1">
        <v>0.95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1</v>
      </c>
      <c r="AY718" s="1">
        <f t="shared" si="530"/>
        <v>0</v>
      </c>
      <c r="AZ718" s="1">
        <f t="shared" si="531"/>
        <v>0</v>
      </c>
      <c r="BA718" s="1">
        <f t="shared" si="532"/>
        <v>0</v>
      </c>
      <c r="BB718" s="5">
        <v>0</v>
      </c>
      <c r="BC718" s="5">
        <v>0</v>
      </c>
      <c r="BD718" s="5">
        <v>0</v>
      </c>
      <c r="BE718" s="5">
        <f t="shared" si="533"/>
        <v>1</v>
      </c>
      <c r="BF718" s="5">
        <v>1</v>
      </c>
      <c r="BG718" s="5">
        <f t="shared" si="548"/>
        <v>0</v>
      </c>
      <c r="BH718" s="5">
        <f t="shared" si="548"/>
        <v>0</v>
      </c>
      <c r="BI718" s="5">
        <f t="shared" si="548"/>
        <v>0</v>
      </c>
      <c r="BJ718" s="5">
        <f t="shared" si="548"/>
        <v>0</v>
      </c>
      <c r="BK718" s="5">
        <f t="shared" si="548"/>
        <v>0</v>
      </c>
      <c r="BL718" s="5">
        <f t="shared" si="548"/>
        <v>0</v>
      </c>
      <c r="BM718" s="5">
        <f t="shared" si="548"/>
        <v>0</v>
      </c>
      <c r="BN718" s="5">
        <f t="shared" si="542"/>
        <v>0</v>
      </c>
      <c r="BO718" s="5">
        <f t="shared" si="542"/>
        <v>0</v>
      </c>
      <c r="BP718" s="5">
        <f t="shared" si="542"/>
        <v>0</v>
      </c>
      <c r="BQ718" s="5">
        <f t="shared" si="542"/>
        <v>0</v>
      </c>
      <c r="BR718" s="5">
        <f t="shared" si="542"/>
        <v>0</v>
      </c>
      <c r="BS718" s="5">
        <f t="shared" si="542"/>
        <v>0</v>
      </c>
      <c r="BT718" s="5">
        <f t="shared" si="542"/>
        <v>0</v>
      </c>
      <c r="BU718" s="5">
        <f t="shared" si="542"/>
        <v>0</v>
      </c>
      <c r="BV718" s="5">
        <f t="shared" si="542"/>
        <v>0</v>
      </c>
      <c r="BW718" s="5">
        <f t="shared" si="542"/>
        <v>0</v>
      </c>
      <c r="BX718" s="5">
        <f t="shared" si="542"/>
        <v>0</v>
      </c>
      <c r="BY718" s="5">
        <f t="shared" si="542"/>
        <v>0</v>
      </c>
      <c r="BZ718" s="5">
        <f t="shared" si="542"/>
        <v>0</v>
      </c>
      <c r="CA718" s="5">
        <f t="shared" si="542"/>
        <v>0</v>
      </c>
      <c r="CB718" s="5">
        <f t="shared" si="542"/>
        <v>1</v>
      </c>
      <c r="CC718" s="5">
        <f t="shared" si="543"/>
        <v>0</v>
      </c>
      <c r="CD718" s="5">
        <f t="shared" si="541"/>
        <v>0</v>
      </c>
      <c r="CE718" s="5">
        <f t="shared" si="541"/>
        <v>0</v>
      </c>
    </row>
    <row r="719" spans="1:83" x14ac:dyDescent="0.2">
      <c r="A719" s="11"/>
      <c r="B719" s="11"/>
      <c r="C719" s="1">
        <f>Growth!D724</f>
        <v>0</v>
      </c>
      <c r="D719" s="5" t="b">
        <f t="shared" si="550"/>
        <v>0</v>
      </c>
      <c r="E719" s="5">
        <v>2012</v>
      </c>
      <c r="F719" s="5">
        <f ca="1">LOOKUP($E719,frequence!$A$2:$A$35,frequence!L$2:L$35)</f>
        <v>41.545638202606931</v>
      </c>
      <c r="G719" s="5">
        <f ca="1">LOOKUP($E719,frequence!$A$2:$A$35,frequence!K$2:K$35)</f>
        <v>3.8191206393393822</v>
      </c>
      <c r="H719" s="5">
        <f ca="1">LOOKUP($E719,frequence!$A$2:$A$35,frequence!M$2:M$35)</f>
        <v>265.64322815143237</v>
      </c>
      <c r="I719" s="18">
        <v>2005</v>
      </c>
      <c r="J719" s="7">
        <f>LOOKUP(I719,CPI!A$69:A$103,CPI!O$69:O$103)</f>
        <v>1.1165181771633383</v>
      </c>
      <c r="K719" s="5">
        <v>2015</v>
      </c>
      <c r="L719" s="7">
        <f t="shared" ca="1" si="544"/>
        <v>1</v>
      </c>
      <c r="M719" s="7">
        <f t="shared" si="527"/>
        <v>4.3055555555555555E-2</v>
      </c>
      <c r="N719" s="14">
        <f t="shared" si="535"/>
        <v>6.9444444444444441E-3</v>
      </c>
      <c r="O719" s="1">
        <f ca="1">P719*J719*(1+Growth!G$6)^(2010-K719)</f>
        <v>64.219136588422586</v>
      </c>
      <c r="P719" s="11">
        <v>62</v>
      </c>
      <c r="Q719" s="2">
        <f t="shared" si="478"/>
        <v>62</v>
      </c>
      <c r="R719" s="21">
        <f t="shared" ca="1" si="551"/>
        <v>4124.0975041624761</v>
      </c>
      <c r="X719" s="2"/>
      <c r="AC719" s="1">
        <f t="shared" si="536"/>
        <v>6.2</v>
      </c>
      <c r="AD719" s="5">
        <v>1</v>
      </c>
      <c r="AE719" s="5">
        <v>0</v>
      </c>
      <c r="AF719" s="5">
        <v>1</v>
      </c>
      <c r="AG719" s="5">
        <v>0</v>
      </c>
      <c r="AH719" s="5">
        <v>1</v>
      </c>
      <c r="AI719" s="3">
        <f t="shared" si="549"/>
        <v>3.2</v>
      </c>
      <c r="AJ719" s="5">
        <f t="shared" si="526"/>
        <v>0</v>
      </c>
      <c r="AK719" s="5">
        <f t="shared" si="545"/>
        <v>0</v>
      </c>
      <c r="AL719" s="5">
        <f t="shared" si="546"/>
        <v>0</v>
      </c>
      <c r="AM719" s="5">
        <f t="shared" si="528"/>
        <v>0</v>
      </c>
      <c r="AN719" s="5">
        <f t="shared" si="547"/>
        <v>0</v>
      </c>
      <c r="AO719" s="5">
        <f t="shared" si="529"/>
        <v>0</v>
      </c>
      <c r="AP719" s="11">
        <v>3</v>
      </c>
      <c r="AQ719" s="1">
        <v>0.95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1</v>
      </c>
      <c r="AY719" s="1">
        <f t="shared" si="530"/>
        <v>0</v>
      </c>
      <c r="AZ719" s="1">
        <f t="shared" si="531"/>
        <v>0</v>
      </c>
      <c r="BA719" s="1">
        <f t="shared" si="532"/>
        <v>0</v>
      </c>
      <c r="BB719" s="5">
        <v>0</v>
      </c>
      <c r="BC719" s="5">
        <v>0</v>
      </c>
      <c r="BD719" s="5">
        <v>0</v>
      </c>
      <c r="BE719" s="5">
        <f t="shared" si="533"/>
        <v>1</v>
      </c>
      <c r="BF719" s="5">
        <v>1</v>
      </c>
      <c r="BG719" s="5">
        <f t="shared" si="548"/>
        <v>0</v>
      </c>
      <c r="BH719" s="5">
        <f t="shared" si="548"/>
        <v>0</v>
      </c>
      <c r="BI719" s="5">
        <f t="shared" si="548"/>
        <v>0</v>
      </c>
      <c r="BJ719" s="5">
        <f t="shared" si="548"/>
        <v>0</v>
      </c>
      <c r="BK719" s="5">
        <f t="shared" si="548"/>
        <v>0</v>
      </c>
      <c r="BL719" s="5">
        <f t="shared" si="548"/>
        <v>0</v>
      </c>
      <c r="BM719" s="5">
        <f t="shared" si="548"/>
        <v>0</v>
      </c>
      <c r="BN719" s="5">
        <f t="shared" si="542"/>
        <v>0</v>
      </c>
      <c r="BO719" s="5">
        <f t="shared" si="542"/>
        <v>0</v>
      </c>
      <c r="BP719" s="5">
        <f t="shared" si="542"/>
        <v>0</v>
      </c>
      <c r="BQ719" s="5">
        <f t="shared" si="542"/>
        <v>0</v>
      </c>
      <c r="BR719" s="5">
        <f t="shared" si="542"/>
        <v>0</v>
      </c>
      <c r="BS719" s="5">
        <f t="shared" si="542"/>
        <v>0</v>
      </c>
      <c r="BT719" s="5">
        <f t="shared" si="542"/>
        <v>0</v>
      </c>
      <c r="BU719" s="5">
        <f t="shared" si="542"/>
        <v>0</v>
      </c>
      <c r="BV719" s="5">
        <f t="shared" si="542"/>
        <v>0</v>
      </c>
      <c r="BW719" s="5">
        <f t="shared" si="542"/>
        <v>0</v>
      </c>
      <c r="BX719" s="5">
        <f t="shared" si="542"/>
        <v>0</v>
      </c>
      <c r="BY719" s="5">
        <f t="shared" si="542"/>
        <v>0</v>
      </c>
      <c r="BZ719" s="5">
        <f t="shared" si="542"/>
        <v>0</v>
      </c>
      <c r="CA719" s="5">
        <f t="shared" si="542"/>
        <v>0</v>
      </c>
      <c r="CB719" s="5">
        <f t="shared" si="542"/>
        <v>1</v>
      </c>
      <c r="CC719" s="5">
        <f t="shared" si="543"/>
        <v>0</v>
      </c>
      <c r="CD719" s="5">
        <f t="shared" si="543"/>
        <v>0</v>
      </c>
      <c r="CE719" s="5">
        <f t="shared" si="543"/>
        <v>0</v>
      </c>
    </row>
    <row r="720" spans="1:83" x14ac:dyDescent="0.2">
      <c r="A720" s="11"/>
      <c r="B720" s="11"/>
      <c r="C720" s="1">
        <f>Growth!D725</f>
        <v>0</v>
      </c>
      <c r="D720" s="5" t="b">
        <f t="shared" si="550"/>
        <v>0</v>
      </c>
      <c r="E720" s="5">
        <v>2012</v>
      </c>
      <c r="F720" s="5">
        <f ca="1">LOOKUP($E720,frequence!$A$2:$A$35,frequence!L$2:L$35)</f>
        <v>41.545638202606931</v>
      </c>
      <c r="G720" s="5">
        <f ca="1">LOOKUP($E720,frequence!$A$2:$A$35,frequence!K$2:K$35)</f>
        <v>3.8191206393393822</v>
      </c>
      <c r="H720" s="5">
        <f ca="1">LOOKUP($E720,frequence!$A$2:$A$35,frequence!M$2:M$35)</f>
        <v>265.64322815143237</v>
      </c>
      <c r="I720" s="18">
        <v>2005</v>
      </c>
      <c r="J720" s="7">
        <f>LOOKUP(I720,CPI!A$69:A$103,CPI!O$69:O$103)</f>
        <v>1.1165181771633383</v>
      </c>
      <c r="K720" s="5">
        <v>2015</v>
      </c>
      <c r="L720" s="7">
        <f t="shared" ca="1" si="544"/>
        <v>1</v>
      </c>
      <c r="M720" s="7">
        <f t="shared" si="527"/>
        <v>4.3055555555555555E-2</v>
      </c>
      <c r="N720" s="14">
        <f t="shared" si="535"/>
        <v>6.9444444444444441E-3</v>
      </c>
      <c r="O720" s="1">
        <f ca="1">P720*J720*(1+Growth!G$6)^(2010-K720)</f>
        <v>47.646456178507073</v>
      </c>
      <c r="P720" s="11">
        <v>46</v>
      </c>
      <c r="Q720" s="2">
        <f t="shared" si="478"/>
        <v>46</v>
      </c>
      <c r="R720" s="21">
        <f t="shared" ca="1" si="551"/>
        <v>2270.1847863703947</v>
      </c>
      <c r="X720" s="2"/>
      <c r="AC720" s="1">
        <f t="shared" si="536"/>
        <v>6.2</v>
      </c>
      <c r="AD720" s="5">
        <v>1</v>
      </c>
      <c r="AE720" s="5">
        <v>0</v>
      </c>
      <c r="AF720" s="5">
        <v>1</v>
      </c>
      <c r="AG720" s="5">
        <v>0</v>
      </c>
      <c r="AH720" s="5">
        <v>1</v>
      </c>
      <c r="AI720" s="3">
        <f t="shared" si="549"/>
        <v>3.2</v>
      </c>
      <c r="AJ720" s="5">
        <f t="shared" si="526"/>
        <v>0</v>
      </c>
      <c r="AK720" s="5">
        <f t="shared" si="545"/>
        <v>0</v>
      </c>
      <c r="AL720" s="5">
        <f t="shared" si="546"/>
        <v>0</v>
      </c>
      <c r="AM720" s="5">
        <f t="shared" si="528"/>
        <v>0</v>
      </c>
      <c r="AN720" s="5">
        <f t="shared" si="547"/>
        <v>0</v>
      </c>
      <c r="AO720" s="5">
        <f t="shared" si="529"/>
        <v>0</v>
      </c>
      <c r="AP720" s="11">
        <v>3</v>
      </c>
      <c r="AQ720" s="1">
        <v>0.14000000000000001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1</v>
      </c>
      <c r="AY720" s="1">
        <f t="shared" si="530"/>
        <v>0</v>
      </c>
      <c r="AZ720" s="1">
        <f t="shared" si="531"/>
        <v>0</v>
      </c>
      <c r="BA720" s="1">
        <f t="shared" si="532"/>
        <v>0</v>
      </c>
      <c r="BB720" s="5">
        <v>0</v>
      </c>
      <c r="BC720" s="5">
        <v>0</v>
      </c>
      <c r="BD720" s="5">
        <v>0</v>
      </c>
      <c r="BE720" s="5">
        <f t="shared" si="533"/>
        <v>1</v>
      </c>
      <c r="BF720" s="5">
        <v>1</v>
      </c>
      <c r="BG720" s="5">
        <f t="shared" si="548"/>
        <v>0</v>
      </c>
      <c r="BH720" s="5">
        <f t="shared" si="548"/>
        <v>0</v>
      </c>
      <c r="BI720" s="5">
        <f t="shared" si="548"/>
        <v>0</v>
      </c>
      <c r="BJ720" s="5">
        <f t="shared" si="548"/>
        <v>0</v>
      </c>
      <c r="BK720" s="5">
        <f t="shared" si="548"/>
        <v>0</v>
      </c>
      <c r="BL720" s="5">
        <f t="shared" si="548"/>
        <v>0</v>
      </c>
      <c r="BM720" s="5">
        <f t="shared" si="548"/>
        <v>0</v>
      </c>
      <c r="BN720" s="5">
        <f t="shared" si="542"/>
        <v>0</v>
      </c>
      <c r="BO720" s="5">
        <f t="shared" si="542"/>
        <v>0</v>
      </c>
      <c r="BP720" s="5">
        <f t="shared" si="542"/>
        <v>0</v>
      </c>
      <c r="BQ720" s="5">
        <f t="shared" si="542"/>
        <v>0</v>
      </c>
      <c r="BR720" s="5">
        <f t="shared" si="542"/>
        <v>0</v>
      </c>
      <c r="BS720" s="5">
        <f t="shared" si="542"/>
        <v>0</v>
      </c>
      <c r="BT720" s="5">
        <f t="shared" si="542"/>
        <v>0</v>
      </c>
      <c r="BU720" s="5">
        <f t="shared" si="542"/>
        <v>0</v>
      </c>
      <c r="BV720" s="5">
        <f t="shared" si="542"/>
        <v>0</v>
      </c>
      <c r="BW720" s="5">
        <f t="shared" si="542"/>
        <v>0</v>
      </c>
      <c r="BX720" s="5">
        <f t="shared" si="542"/>
        <v>0</v>
      </c>
      <c r="BY720" s="5">
        <f t="shared" si="542"/>
        <v>0</v>
      </c>
      <c r="BZ720" s="5">
        <f t="shared" si="542"/>
        <v>0</v>
      </c>
      <c r="CA720" s="5">
        <f t="shared" si="542"/>
        <v>0</v>
      </c>
      <c r="CB720" s="5">
        <f t="shared" si="542"/>
        <v>1</v>
      </c>
      <c r="CC720" s="5">
        <f t="shared" si="543"/>
        <v>0</v>
      </c>
      <c r="CD720" s="5">
        <f t="shared" si="543"/>
        <v>0</v>
      </c>
      <c r="CE720" s="5">
        <f t="shared" si="543"/>
        <v>0</v>
      </c>
    </row>
    <row r="721" spans="1:83" x14ac:dyDescent="0.2">
      <c r="A721" s="11"/>
      <c r="B721" s="11"/>
      <c r="C721" s="1">
        <f>Growth!D726</f>
        <v>0</v>
      </c>
      <c r="D721" s="5" t="b">
        <f t="shared" si="550"/>
        <v>0</v>
      </c>
      <c r="E721" s="5">
        <v>2012</v>
      </c>
      <c r="F721" s="5">
        <f ca="1">LOOKUP($E721,frequence!$A$2:$A$35,frequence!L$2:L$35)</f>
        <v>41.545638202606931</v>
      </c>
      <c r="G721" s="5">
        <f ca="1">LOOKUP($E721,frequence!$A$2:$A$35,frequence!K$2:K$35)</f>
        <v>3.8191206393393822</v>
      </c>
      <c r="H721" s="5">
        <f ca="1">LOOKUP($E721,frequence!$A$2:$A$35,frequence!M$2:M$35)</f>
        <v>265.64322815143237</v>
      </c>
      <c r="I721" s="18">
        <v>2005</v>
      </c>
      <c r="J721" s="7">
        <f>LOOKUP(I721,CPI!A$69:A$103,CPI!O$69:O$103)</f>
        <v>1.1165181771633383</v>
      </c>
      <c r="K721" s="5">
        <v>2015</v>
      </c>
      <c r="L721" s="7">
        <f t="shared" ca="1" si="544"/>
        <v>1</v>
      </c>
      <c r="M721" s="7">
        <f t="shared" si="527"/>
        <v>4.3055555555555555E-2</v>
      </c>
      <c r="N721" s="14">
        <f t="shared" si="535"/>
        <v>6.9444444444444441E-3</v>
      </c>
      <c r="O721" s="1">
        <f ca="1">P721*J721*(1+Growth!G$6)^(2010-K721)</f>
        <v>48.682248704126799</v>
      </c>
      <c r="P721" s="11">
        <v>47</v>
      </c>
      <c r="Q721" s="2">
        <f t="shared" si="478"/>
        <v>47</v>
      </c>
      <c r="R721" s="21">
        <f t="shared" ca="1" si="551"/>
        <v>2369.9613388904554</v>
      </c>
      <c r="X721" s="2"/>
      <c r="AC721" s="1">
        <f t="shared" si="536"/>
        <v>6.2</v>
      </c>
      <c r="AD721" s="5">
        <v>1</v>
      </c>
      <c r="AE721" s="5">
        <v>0</v>
      </c>
      <c r="AF721" s="5">
        <v>1</v>
      </c>
      <c r="AG721" s="5">
        <v>0</v>
      </c>
      <c r="AH721" s="5">
        <v>1</v>
      </c>
      <c r="AI721" s="3">
        <f t="shared" si="549"/>
        <v>3.2</v>
      </c>
      <c r="AJ721" s="5">
        <f t="shared" si="526"/>
        <v>0</v>
      </c>
      <c r="AK721" s="5">
        <f t="shared" si="545"/>
        <v>0</v>
      </c>
      <c r="AL721" s="5">
        <f t="shared" si="546"/>
        <v>0</v>
      </c>
      <c r="AM721" s="5">
        <f t="shared" si="528"/>
        <v>0</v>
      </c>
      <c r="AN721" s="5">
        <f t="shared" si="547"/>
        <v>0</v>
      </c>
      <c r="AO721" s="5">
        <f t="shared" si="529"/>
        <v>0</v>
      </c>
      <c r="AP721" s="11">
        <v>3</v>
      </c>
      <c r="AQ721" s="1">
        <v>0.14000000000000001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1</v>
      </c>
      <c r="AY721" s="1">
        <f t="shared" si="530"/>
        <v>0</v>
      </c>
      <c r="AZ721" s="1">
        <f t="shared" si="531"/>
        <v>0</v>
      </c>
      <c r="BA721" s="1">
        <f t="shared" si="532"/>
        <v>0</v>
      </c>
      <c r="BB721" s="5">
        <v>0</v>
      </c>
      <c r="BC721" s="5">
        <v>0</v>
      </c>
      <c r="BD721" s="5">
        <v>0</v>
      </c>
      <c r="BE721" s="5">
        <f t="shared" si="533"/>
        <v>1</v>
      </c>
      <c r="BF721" s="5">
        <v>1</v>
      </c>
      <c r="BG721" s="5">
        <f t="shared" si="548"/>
        <v>0</v>
      </c>
      <c r="BH721" s="5">
        <f t="shared" si="548"/>
        <v>0</v>
      </c>
      <c r="BI721" s="5">
        <f t="shared" si="548"/>
        <v>0</v>
      </c>
      <c r="BJ721" s="5">
        <f t="shared" si="548"/>
        <v>0</v>
      </c>
      <c r="BK721" s="5">
        <f t="shared" si="548"/>
        <v>0</v>
      </c>
      <c r="BL721" s="5">
        <f t="shared" si="548"/>
        <v>0</v>
      </c>
      <c r="BM721" s="5">
        <f t="shared" si="548"/>
        <v>0</v>
      </c>
      <c r="BN721" s="5">
        <f t="shared" si="542"/>
        <v>0</v>
      </c>
      <c r="BO721" s="5">
        <f t="shared" si="542"/>
        <v>0</v>
      </c>
      <c r="BP721" s="5">
        <f t="shared" si="542"/>
        <v>0</v>
      </c>
      <c r="BQ721" s="5">
        <f t="shared" si="542"/>
        <v>0</v>
      </c>
      <c r="BR721" s="5">
        <f t="shared" si="542"/>
        <v>0</v>
      </c>
      <c r="BS721" s="5">
        <f t="shared" si="542"/>
        <v>0</v>
      </c>
      <c r="BT721" s="5">
        <f t="shared" si="542"/>
        <v>0</v>
      </c>
      <c r="BU721" s="5">
        <f t="shared" si="542"/>
        <v>0</v>
      </c>
      <c r="BV721" s="5">
        <f t="shared" si="542"/>
        <v>0</v>
      </c>
      <c r="BW721" s="5">
        <f t="shared" si="542"/>
        <v>0</v>
      </c>
      <c r="BX721" s="5">
        <f t="shared" si="542"/>
        <v>0</v>
      </c>
      <c r="BY721" s="5">
        <f t="shared" si="542"/>
        <v>0</v>
      </c>
      <c r="BZ721" s="5">
        <f t="shared" si="542"/>
        <v>0</v>
      </c>
      <c r="CA721" s="5">
        <f t="shared" si="542"/>
        <v>0</v>
      </c>
      <c r="CB721" s="5">
        <f t="shared" si="542"/>
        <v>1</v>
      </c>
      <c r="CC721" s="5">
        <f t="shared" si="543"/>
        <v>0</v>
      </c>
      <c r="CD721" s="5">
        <f t="shared" si="543"/>
        <v>0</v>
      </c>
      <c r="CE721" s="5">
        <f t="shared" si="543"/>
        <v>0</v>
      </c>
    </row>
    <row r="722" spans="1:83" x14ac:dyDescent="0.2">
      <c r="A722" s="11"/>
      <c r="B722" s="11"/>
      <c r="C722" s="1">
        <f>Growth!D727</f>
        <v>0</v>
      </c>
      <c r="D722" s="5" t="b">
        <f t="shared" si="550"/>
        <v>0</v>
      </c>
      <c r="E722" s="5">
        <v>2012</v>
      </c>
      <c r="F722" s="5">
        <f ca="1">LOOKUP($E722,frequence!$A$2:$A$35,frequence!L$2:L$35)</f>
        <v>41.545638202606931</v>
      </c>
      <c r="G722" s="5">
        <f ca="1">LOOKUP($E722,frequence!$A$2:$A$35,frequence!K$2:K$35)</f>
        <v>3.8191206393393822</v>
      </c>
      <c r="H722" s="5">
        <f ca="1">LOOKUP($E722,frequence!$A$2:$A$35,frequence!M$2:M$35)</f>
        <v>265.64322815143237</v>
      </c>
      <c r="I722" s="18">
        <v>2005</v>
      </c>
      <c r="J722" s="7">
        <f>LOOKUP(I722,CPI!A$69:A$103,CPI!O$69:O$103)</f>
        <v>1.1165181771633383</v>
      </c>
      <c r="K722" s="5">
        <v>2015</v>
      </c>
      <c r="L722" s="7">
        <f t="shared" ca="1" si="544"/>
        <v>1</v>
      </c>
      <c r="M722" s="7">
        <f t="shared" si="527"/>
        <v>4.3055555555555555E-2</v>
      </c>
      <c r="N722" s="14">
        <f t="shared" si="535"/>
        <v>6.9444444444444441E-3</v>
      </c>
      <c r="O722" s="1">
        <f ca="1">P722*J722*(1+Growth!G$6)^(2010-K722)</f>
        <v>43.503286076028203</v>
      </c>
      <c r="P722" s="11">
        <v>42</v>
      </c>
      <c r="Q722" s="2">
        <f t="shared" si="478"/>
        <v>42</v>
      </c>
      <c r="R722" s="21">
        <f t="shared" ca="1" si="551"/>
        <v>1892.5358994127494</v>
      </c>
      <c r="X722" s="2"/>
      <c r="AC722" s="1">
        <f t="shared" si="536"/>
        <v>6.2</v>
      </c>
      <c r="AD722" s="5">
        <v>1</v>
      </c>
      <c r="AE722" s="5">
        <v>0</v>
      </c>
      <c r="AF722" s="5">
        <v>1</v>
      </c>
      <c r="AG722" s="5">
        <v>0</v>
      </c>
      <c r="AH722" s="5">
        <v>1</v>
      </c>
      <c r="AI722" s="3">
        <f t="shared" si="549"/>
        <v>3.2</v>
      </c>
      <c r="AJ722" s="5">
        <f t="shared" si="526"/>
        <v>0</v>
      </c>
      <c r="AK722" s="5">
        <f t="shared" si="545"/>
        <v>0</v>
      </c>
      <c r="AL722" s="5">
        <f t="shared" si="546"/>
        <v>0</v>
      </c>
      <c r="AM722" s="5">
        <f t="shared" si="528"/>
        <v>0</v>
      </c>
      <c r="AN722" s="5">
        <f t="shared" si="547"/>
        <v>0</v>
      </c>
      <c r="AO722" s="5">
        <f t="shared" si="529"/>
        <v>0</v>
      </c>
      <c r="AP722" s="11">
        <v>3</v>
      </c>
      <c r="AQ722" s="1">
        <v>0.14000000000000001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1</v>
      </c>
      <c r="AY722" s="1">
        <f t="shared" si="530"/>
        <v>0</v>
      </c>
      <c r="AZ722" s="1">
        <f t="shared" si="531"/>
        <v>0</v>
      </c>
      <c r="BA722" s="1">
        <f t="shared" si="532"/>
        <v>0</v>
      </c>
      <c r="BB722" s="5">
        <v>0</v>
      </c>
      <c r="BC722" s="5">
        <v>0</v>
      </c>
      <c r="BD722" s="5">
        <v>0</v>
      </c>
      <c r="BE722" s="5">
        <f t="shared" si="533"/>
        <v>1</v>
      </c>
      <c r="BF722" s="5">
        <v>1</v>
      </c>
      <c r="BG722" s="5">
        <f t="shared" si="548"/>
        <v>0</v>
      </c>
      <c r="BH722" s="5">
        <f t="shared" si="548"/>
        <v>0</v>
      </c>
      <c r="BI722" s="5">
        <f t="shared" si="548"/>
        <v>0</v>
      </c>
      <c r="BJ722" s="5">
        <f t="shared" si="548"/>
        <v>0</v>
      </c>
      <c r="BK722" s="5">
        <f t="shared" si="548"/>
        <v>0</v>
      </c>
      <c r="BL722" s="5">
        <f t="shared" si="548"/>
        <v>0</v>
      </c>
      <c r="BM722" s="5">
        <f t="shared" si="548"/>
        <v>0</v>
      </c>
      <c r="BN722" s="5">
        <f t="shared" si="542"/>
        <v>0</v>
      </c>
      <c r="BO722" s="5">
        <f t="shared" si="542"/>
        <v>0</v>
      </c>
      <c r="BP722" s="5">
        <f t="shared" si="542"/>
        <v>0</v>
      </c>
      <c r="BQ722" s="5">
        <f t="shared" si="542"/>
        <v>0</v>
      </c>
      <c r="BR722" s="5">
        <f t="shared" si="542"/>
        <v>0</v>
      </c>
      <c r="BS722" s="5">
        <f t="shared" si="542"/>
        <v>0</v>
      </c>
      <c r="BT722" s="5">
        <f t="shared" si="542"/>
        <v>0</v>
      </c>
      <c r="BU722" s="5">
        <f t="shared" si="542"/>
        <v>0</v>
      </c>
      <c r="BV722" s="5">
        <f t="shared" si="542"/>
        <v>0</v>
      </c>
      <c r="BW722" s="5">
        <f t="shared" si="542"/>
        <v>0</v>
      </c>
      <c r="BX722" s="5">
        <f t="shared" si="542"/>
        <v>0</v>
      </c>
      <c r="BY722" s="5">
        <f t="shared" si="542"/>
        <v>0</v>
      </c>
      <c r="BZ722" s="5">
        <f t="shared" si="542"/>
        <v>0</v>
      </c>
      <c r="CA722" s="5">
        <f t="shared" si="542"/>
        <v>0</v>
      </c>
      <c r="CB722" s="5">
        <f t="shared" si="542"/>
        <v>1</v>
      </c>
      <c r="CC722" s="5">
        <f t="shared" si="543"/>
        <v>0</v>
      </c>
      <c r="CD722" s="5">
        <f t="shared" si="543"/>
        <v>0</v>
      </c>
      <c r="CE722" s="5">
        <f t="shared" si="543"/>
        <v>0</v>
      </c>
    </row>
    <row r="723" spans="1:83" x14ac:dyDescent="0.2">
      <c r="A723" s="11"/>
      <c r="B723" s="11"/>
      <c r="C723" s="1">
        <f>Growth!D728</f>
        <v>0</v>
      </c>
      <c r="D723" s="5" t="b">
        <f t="shared" si="550"/>
        <v>0</v>
      </c>
      <c r="E723" s="5">
        <v>2012</v>
      </c>
      <c r="F723" s="5">
        <f ca="1">LOOKUP($E723,frequence!$A$2:$A$35,frequence!L$2:L$35)</f>
        <v>41.545638202606931</v>
      </c>
      <c r="G723" s="5">
        <f ca="1">LOOKUP($E723,frequence!$A$2:$A$35,frequence!K$2:K$35)</f>
        <v>3.8191206393393822</v>
      </c>
      <c r="H723" s="5">
        <f ca="1">LOOKUP($E723,frequence!$A$2:$A$35,frequence!M$2:M$35)</f>
        <v>265.64322815143237</v>
      </c>
      <c r="I723" s="18">
        <v>2005</v>
      </c>
      <c r="J723" s="7">
        <f>LOOKUP(I723,CPI!A$69:A$103,CPI!O$69:O$103)</f>
        <v>1.1165181771633383</v>
      </c>
      <c r="K723" s="5">
        <v>2015</v>
      </c>
      <c r="L723" s="7">
        <f t="shared" ca="1" si="544"/>
        <v>1</v>
      </c>
      <c r="M723" s="7">
        <f t="shared" si="527"/>
        <v>4.3055555555555555E-2</v>
      </c>
      <c r="N723" s="14">
        <f t="shared" si="535"/>
        <v>6.9444444444444441E-3</v>
      </c>
      <c r="O723" s="1">
        <f ca="1">P723*J723*(1+Growth!G$6)^(2010-K723)</f>
        <v>92.185534780154995</v>
      </c>
      <c r="P723" s="11">
        <v>89</v>
      </c>
      <c r="Q723" s="2">
        <f t="shared" si="478"/>
        <v>89</v>
      </c>
      <c r="R723" s="21">
        <f t="shared" ca="1" si="551"/>
        <v>8498.1728227031672</v>
      </c>
      <c r="X723" s="2"/>
      <c r="AC723" s="1">
        <f t="shared" si="536"/>
        <v>6.2</v>
      </c>
      <c r="AD723" s="5">
        <v>1</v>
      </c>
      <c r="AE723" s="5">
        <v>0</v>
      </c>
      <c r="AF723" s="5">
        <v>1</v>
      </c>
      <c r="AG723" s="5">
        <v>0</v>
      </c>
      <c r="AH723" s="5">
        <v>1</v>
      </c>
      <c r="AI723" s="3">
        <f t="shared" si="549"/>
        <v>3.2</v>
      </c>
      <c r="AJ723" s="5">
        <f t="shared" si="526"/>
        <v>0</v>
      </c>
      <c r="AK723" s="5">
        <f t="shared" si="545"/>
        <v>0</v>
      </c>
      <c r="AL723" s="5">
        <f t="shared" si="546"/>
        <v>0</v>
      </c>
      <c r="AM723" s="5">
        <f t="shared" si="528"/>
        <v>0</v>
      </c>
      <c r="AN723" s="5">
        <f t="shared" si="547"/>
        <v>0</v>
      </c>
      <c r="AO723" s="5">
        <f t="shared" si="529"/>
        <v>0</v>
      </c>
      <c r="AP723" s="11">
        <v>3</v>
      </c>
      <c r="AQ723" s="1">
        <v>0.14000000000000001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1</v>
      </c>
      <c r="AY723" s="1">
        <f t="shared" si="530"/>
        <v>0</v>
      </c>
      <c r="AZ723" s="1">
        <f t="shared" si="531"/>
        <v>0</v>
      </c>
      <c r="BA723" s="1">
        <f t="shared" si="532"/>
        <v>0</v>
      </c>
      <c r="BB723" s="5">
        <v>0</v>
      </c>
      <c r="BC723" s="5">
        <v>0</v>
      </c>
      <c r="BD723" s="5">
        <v>0</v>
      </c>
      <c r="BE723" s="5">
        <f t="shared" si="533"/>
        <v>1</v>
      </c>
      <c r="BF723" s="5">
        <v>1</v>
      </c>
      <c r="BG723" s="5">
        <f t="shared" si="548"/>
        <v>0</v>
      </c>
      <c r="BH723" s="5">
        <f t="shared" si="548"/>
        <v>0</v>
      </c>
      <c r="BI723" s="5">
        <f t="shared" si="548"/>
        <v>0</v>
      </c>
      <c r="BJ723" s="5">
        <f t="shared" si="548"/>
        <v>0</v>
      </c>
      <c r="BK723" s="5">
        <f t="shared" si="548"/>
        <v>0</v>
      </c>
      <c r="BL723" s="5">
        <f t="shared" si="548"/>
        <v>0</v>
      </c>
      <c r="BM723" s="5">
        <f t="shared" si="548"/>
        <v>0</v>
      </c>
      <c r="BN723" s="5">
        <f t="shared" si="542"/>
        <v>0</v>
      </c>
      <c r="BO723" s="5">
        <f t="shared" si="542"/>
        <v>0</v>
      </c>
      <c r="BP723" s="5">
        <f t="shared" si="542"/>
        <v>0</v>
      </c>
      <c r="BQ723" s="5">
        <f t="shared" si="542"/>
        <v>0</v>
      </c>
      <c r="BR723" s="5">
        <f t="shared" si="542"/>
        <v>0</v>
      </c>
      <c r="BS723" s="5">
        <f t="shared" si="542"/>
        <v>0</v>
      </c>
      <c r="BT723" s="5">
        <f t="shared" si="542"/>
        <v>0</v>
      </c>
      <c r="BU723" s="5">
        <f t="shared" si="542"/>
        <v>0</v>
      </c>
      <c r="BV723" s="5">
        <f t="shared" si="542"/>
        <v>0</v>
      </c>
      <c r="BW723" s="5">
        <f t="shared" si="542"/>
        <v>0</v>
      </c>
      <c r="BX723" s="5">
        <f t="shared" si="542"/>
        <v>0</v>
      </c>
      <c r="BY723" s="5">
        <f t="shared" si="542"/>
        <v>0</v>
      </c>
      <c r="BZ723" s="5">
        <f t="shared" si="542"/>
        <v>0</v>
      </c>
      <c r="CA723" s="5">
        <f t="shared" si="542"/>
        <v>0</v>
      </c>
      <c r="CB723" s="5">
        <f t="shared" ref="CB723:CE742" si="552">IF($E723=CB$2,1,0)</f>
        <v>1</v>
      </c>
      <c r="CC723" s="5">
        <f t="shared" si="543"/>
        <v>0</v>
      </c>
      <c r="CD723" s="5">
        <f t="shared" si="543"/>
        <v>0</v>
      </c>
      <c r="CE723" s="5">
        <f t="shared" si="543"/>
        <v>0</v>
      </c>
    </row>
    <row r="724" spans="1:83" x14ac:dyDescent="0.2">
      <c r="A724" s="11"/>
      <c r="B724" s="11"/>
      <c r="C724" s="1">
        <f>Growth!D729</f>
        <v>0</v>
      </c>
      <c r="D724" s="5" t="b">
        <f t="shared" si="550"/>
        <v>0</v>
      </c>
      <c r="E724" s="5">
        <v>2012</v>
      </c>
      <c r="F724" s="5">
        <f ca="1">LOOKUP($E724,frequence!$A$2:$A$35,frequence!L$2:L$35)</f>
        <v>41.545638202606931</v>
      </c>
      <c r="G724" s="5">
        <f ca="1">LOOKUP($E724,frequence!$A$2:$A$35,frequence!K$2:K$35)</f>
        <v>3.8191206393393822</v>
      </c>
      <c r="H724" s="5">
        <f ca="1">LOOKUP($E724,frequence!$A$2:$A$35,frequence!M$2:M$35)</f>
        <v>265.64322815143237</v>
      </c>
      <c r="I724" s="18">
        <v>2005</v>
      </c>
      <c r="J724" s="7">
        <f>LOOKUP(I724,CPI!A$69:A$103,CPI!O$69:O$103)</f>
        <v>1.1165181771633383</v>
      </c>
      <c r="K724" s="5">
        <v>2015</v>
      </c>
      <c r="L724" s="7">
        <f t="shared" ca="1" si="544"/>
        <v>1</v>
      </c>
      <c r="M724" s="7">
        <f t="shared" si="527"/>
        <v>4.3055555555555555E-2</v>
      </c>
      <c r="N724" s="14">
        <f t="shared" si="535"/>
        <v>6.9444444444444441E-3</v>
      </c>
      <c r="O724" s="1">
        <f ca="1">P724*J724*(1+Growth!G$6)^(2010-K724)</f>
        <v>60.075966485943709</v>
      </c>
      <c r="P724" s="11">
        <v>58</v>
      </c>
      <c r="Q724" s="2">
        <f t="shared" si="478"/>
        <v>58</v>
      </c>
      <c r="R724" s="21">
        <f t="shared" ca="1" si="551"/>
        <v>3609.1217492202318</v>
      </c>
      <c r="X724" s="2"/>
      <c r="AC724" s="1">
        <f t="shared" si="536"/>
        <v>6.2</v>
      </c>
      <c r="AD724" s="5">
        <v>1</v>
      </c>
      <c r="AE724" s="5">
        <v>0</v>
      </c>
      <c r="AF724" s="5">
        <v>1</v>
      </c>
      <c r="AG724" s="5">
        <v>0</v>
      </c>
      <c r="AH724" s="5">
        <v>1</v>
      </c>
      <c r="AI724" s="3">
        <f t="shared" si="549"/>
        <v>3.2</v>
      </c>
      <c r="AJ724" s="5">
        <f t="shared" si="526"/>
        <v>0</v>
      </c>
      <c r="AK724" s="5">
        <f t="shared" si="545"/>
        <v>0</v>
      </c>
      <c r="AL724" s="5">
        <f t="shared" si="546"/>
        <v>0</v>
      </c>
      <c r="AM724" s="5">
        <f t="shared" si="528"/>
        <v>0</v>
      </c>
      <c r="AN724" s="5">
        <f t="shared" si="547"/>
        <v>0</v>
      </c>
      <c r="AO724" s="5">
        <f t="shared" si="529"/>
        <v>0</v>
      </c>
      <c r="AP724" s="11">
        <v>3</v>
      </c>
      <c r="AQ724" s="1">
        <v>0.14000000000000001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1</v>
      </c>
      <c r="AY724" s="1">
        <f t="shared" si="530"/>
        <v>0</v>
      </c>
      <c r="AZ724" s="1">
        <f t="shared" si="531"/>
        <v>0</v>
      </c>
      <c r="BA724" s="1">
        <f t="shared" si="532"/>
        <v>0</v>
      </c>
      <c r="BB724" s="5">
        <v>0</v>
      </c>
      <c r="BC724" s="5">
        <v>0</v>
      </c>
      <c r="BD724" s="5">
        <v>0</v>
      </c>
      <c r="BE724" s="5">
        <f t="shared" si="533"/>
        <v>1</v>
      </c>
      <c r="BF724" s="5">
        <v>1</v>
      </c>
      <c r="BG724" s="5">
        <f t="shared" si="548"/>
        <v>0</v>
      </c>
      <c r="BH724" s="5">
        <f t="shared" si="548"/>
        <v>0</v>
      </c>
      <c r="BI724" s="5">
        <f t="shared" si="548"/>
        <v>0</v>
      </c>
      <c r="BJ724" s="5">
        <f t="shared" si="548"/>
        <v>0</v>
      </c>
      <c r="BK724" s="5">
        <f t="shared" si="548"/>
        <v>0</v>
      </c>
      <c r="BL724" s="5">
        <f t="shared" si="548"/>
        <v>0</v>
      </c>
      <c r="BM724" s="5">
        <f t="shared" si="548"/>
        <v>0</v>
      </c>
      <c r="BN724" s="5">
        <f t="shared" si="548"/>
        <v>0</v>
      </c>
      <c r="BO724" s="5">
        <f t="shared" ref="BO724:CA739" si="553">IF($E724=BO$2,1,0)</f>
        <v>0</v>
      </c>
      <c r="BP724" s="5">
        <f t="shared" si="553"/>
        <v>0</v>
      </c>
      <c r="BQ724" s="5">
        <f t="shared" si="553"/>
        <v>0</v>
      </c>
      <c r="BR724" s="5">
        <f t="shared" si="553"/>
        <v>0</v>
      </c>
      <c r="BS724" s="5">
        <f t="shared" si="553"/>
        <v>0</v>
      </c>
      <c r="BT724" s="5">
        <f t="shared" si="553"/>
        <v>0</v>
      </c>
      <c r="BU724" s="5">
        <f t="shared" si="553"/>
        <v>0</v>
      </c>
      <c r="BV724" s="5">
        <f t="shared" si="553"/>
        <v>0</v>
      </c>
      <c r="BW724" s="5">
        <f t="shared" si="553"/>
        <v>0</v>
      </c>
      <c r="BX724" s="5">
        <f t="shared" si="553"/>
        <v>0</v>
      </c>
      <c r="BY724" s="5">
        <f t="shared" si="553"/>
        <v>0</v>
      </c>
      <c r="BZ724" s="5">
        <f t="shared" si="553"/>
        <v>0</v>
      </c>
      <c r="CA724" s="5">
        <f t="shared" si="553"/>
        <v>0</v>
      </c>
      <c r="CB724" s="5">
        <f t="shared" si="552"/>
        <v>1</v>
      </c>
      <c r="CC724" s="5">
        <f t="shared" si="543"/>
        <v>0</v>
      </c>
      <c r="CD724" s="5">
        <f t="shared" si="543"/>
        <v>0</v>
      </c>
      <c r="CE724" s="5">
        <f t="shared" si="543"/>
        <v>0</v>
      </c>
    </row>
    <row r="725" spans="1:83" x14ac:dyDescent="0.2">
      <c r="A725" s="11"/>
      <c r="B725" s="11"/>
      <c r="C725" s="1">
        <f>Growth!D730</f>
        <v>0</v>
      </c>
      <c r="D725" s="5" t="b">
        <f t="shared" si="550"/>
        <v>0</v>
      </c>
      <c r="E725" s="5">
        <v>2012</v>
      </c>
      <c r="F725" s="5">
        <f ca="1">LOOKUP($E725,frequence!$A$2:$A$35,frequence!L$2:L$35)</f>
        <v>41.545638202606931</v>
      </c>
      <c r="G725" s="5">
        <f ca="1">LOOKUP($E725,frequence!$A$2:$A$35,frequence!K$2:K$35)</f>
        <v>3.8191206393393822</v>
      </c>
      <c r="H725" s="5">
        <f ca="1">LOOKUP($E725,frequence!$A$2:$A$35,frequence!M$2:M$35)</f>
        <v>265.64322815143237</v>
      </c>
      <c r="I725" s="18">
        <v>2005</v>
      </c>
      <c r="J725" s="7">
        <f>LOOKUP(I725,CPI!A$69:A$103,CPI!O$69:O$103)</f>
        <v>1.1165181771633383</v>
      </c>
      <c r="K725" s="5">
        <v>2015</v>
      </c>
      <c r="L725" s="7">
        <f t="shared" ca="1" si="544"/>
        <v>1</v>
      </c>
      <c r="M725" s="7">
        <f t="shared" si="527"/>
        <v>4.3055555555555555E-2</v>
      </c>
      <c r="N725" s="14">
        <f t="shared" si="535"/>
        <v>6.9444444444444441E-3</v>
      </c>
      <c r="O725" s="1">
        <f ca="1">P725*J725*(1+Growth!G$6)^(2010-K725)</f>
        <v>155.36887884295788</v>
      </c>
      <c r="P725" s="11">
        <v>150</v>
      </c>
      <c r="Q725" s="2">
        <f t="shared" si="478"/>
        <v>150</v>
      </c>
      <c r="R725" s="21">
        <f t="shared" ca="1" si="551"/>
        <v>24139.488512917727</v>
      </c>
      <c r="X725" s="2"/>
      <c r="AC725" s="1">
        <f t="shared" si="536"/>
        <v>6.2</v>
      </c>
      <c r="AD725" s="5">
        <v>1</v>
      </c>
      <c r="AE725" s="5">
        <v>0</v>
      </c>
      <c r="AF725" s="5">
        <v>1</v>
      </c>
      <c r="AG725" s="5">
        <v>0</v>
      </c>
      <c r="AH725" s="5">
        <v>1</v>
      </c>
      <c r="AI725" s="3">
        <f t="shared" si="549"/>
        <v>3.2</v>
      </c>
      <c r="AJ725" s="5">
        <f t="shared" si="526"/>
        <v>0</v>
      </c>
      <c r="AK725" s="5">
        <f t="shared" si="545"/>
        <v>0</v>
      </c>
      <c r="AL725" s="5">
        <f t="shared" si="546"/>
        <v>0</v>
      </c>
      <c r="AM725" s="5">
        <f t="shared" si="528"/>
        <v>0</v>
      </c>
      <c r="AN725" s="5">
        <f t="shared" si="547"/>
        <v>0</v>
      </c>
      <c r="AO725" s="5">
        <f t="shared" si="529"/>
        <v>0</v>
      </c>
      <c r="AP725" s="11">
        <v>3</v>
      </c>
      <c r="AQ725" s="1">
        <v>0.14000000000000001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1</v>
      </c>
      <c r="AY725" s="1">
        <f t="shared" si="530"/>
        <v>0</v>
      </c>
      <c r="AZ725" s="1">
        <f t="shared" si="531"/>
        <v>0</v>
      </c>
      <c r="BA725" s="1">
        <f t="shared" si="532"/>
        <v>0</v>
      </c>
      <c r="BB725" s="5">
        <v>0</v>
      </c>
      <c r="BC725" s="5">
        <v>0</v>
      </c>
      <c r="BD725" s="5">
        <v>0</v>
      </c>
      <c r="BE725" s="5">
        <f t="shared" si="533"/>
        <v>1</v>
      </c>
      <c r="BF725" s="5">
        <v>1</v>
      </c>
      <c r="BG725" s="5">
        <f t="shared" ref="BG725:BN740" si="554">IF($E725=BG$2,1,0)</f>
        <v>0</v>
      </c>
      <c r="BH725" s="5">
        <f t="shared" si="554"/>
        <v>0</v>
      </c>
      <c r="BI725" s="5">
        <f t="shared" si="554"/>
        <v>0</v>
      </c>
      <c r="BJ725" s="5">
        <f t="shared" si="554"/>
        <v>0</v>
      </c>
      <c r="BK725" s="5">
        <f t="shared" si="554"/>
        <v>0</v>
      </c>
      <c r="BL725" s="5">
        <f t="shared" si="554"/>
        <v>0</v>
      </c>
      <c r="BM725" s="5">
        <f t="shared" si="554"/>
        <v>0</v>
      </c>
      <c r="BN725" s="5">
        <f t="shared" si="554"/>
        <v>0</v>
      </c>
      <c r="BO725" s="5">
        <f t="shared" si="553"/>
        <v>0</v>
      </c>
      <c r="BP725" s="5">
        <f t="shared" si="553"/>
        <v>0</v>
      </c>
      <c r="BQ725" s="5">
        <f t="shared" si="553"/>
        <v>0</v>
      </c>
      <c r="BR725" s="5">
        <f t="shared" si="553"/>
        <v>0</v>
      </c>
      <c r="BS725" s="5">
        <f t="shared" si="553"/>
        <v>0</v>
      </c>
      <c r="BT725" s="5">
        <f t="shared" si="553"/>
        <v>0</v>
      </c>
      <c r="BU725" s="5">
        <f t="shared" si="553"/>
        <v>0</v>
      </c>
      <c r="BV725" s="5">
        <f t="shared" si="553"/>
        <v>0</v>
      </c>
      <c r="BW725" s="5">
        <f t="shared" si="553"/>
        <v>0</v>
      </c>
      <c r="BX725" s="5">
        <f t="shared" si="553"/>
        <v>0</v>
      </c>
      <c r="BY725" s="5">
        <f t="shared" si="553"/>
        <v>0</v>
      </c>
      <c r="BZ725" s="5">
        <f t="shared" si="553"/>
        <v>0</v>
      </c>
      <c r="CA725" s="5">
        <f t="shared" si="553"/>
        <v>0</v>
      </c>
      <c r="CB725" s="5">
        <f t="shared" si="552"/>
        <v>1</v>
      </c>
      <c r="CC725" s="5">
        <f t="shared" si="543"/>
        <v>0</v>
      </c>
      <c r="CD725" s="5">
        <f t="shared" si="543"/>
        <v>0</v>
      </c>
      <c r="CE725" s="5">
        <f t="shared" si="543"/>
        <v>0</v>
      </c>
    </row>
    <row r="726" spans="1:83" x14ac:dyDescent="0.2">
      <c r="A726" s="11"/>
      <c r="B726" s="11"/>
      <c r="C726" s="1">
        <f>Growth!D731</f>
        <v>0</v>
      </c>
      <c r="D726" s="5" t="b">
        <f t="shared" si="550"/>
        <v>0</v>
      </c>
      <c r="E726" s="5">
        <v>2012</v>
      </c>
      <c r="F726" s="5">
        <f ca="1">LOOKUP($E726,frequence!$A$2:$A$35,frequence!L$2:L$35)</f>
        <v>41.545638202606931</v>
      </c>
      <c r="G726" s="5">
        <f ca="1">LOOKUP($E726,frequence!$A$2:$A$35,frequence!K$2:K$35)</f>
        <v>3.8191206393393822</v>
      </c>
      <c r="H726" s="5">
        <f ca="1">LOOKUP($E726,frequence!$A$2:$A$35,frequence!M$2:M$35)</f>
        <v>265.64322815143237</v>
      </c>
      <c r="I726" s="18">
        <v>2005</v>
      </c>
      <c r="J726" s="7">
        <f>LOOKUP(I726,CPI!A$69:A$103,CPI!O$69:O$103)</f>
        <v>1.1165181771633383</v>
      </c>
      <c r="K726" s="5">
        <v>2015</v>
      </c>
      <c r="L726" s="7">
        <f t="shared" ca="1" si="544"/>
        <v>1</v>
      </c>
      <c r="M726" s="7">
        <f t="shared" si="527"/>
        <v>4.3055555555555555E-2</v>
      </c>
      <c r="N726" s="14">
        <f t="shared" si="535"/>
        <v>6.9444444444444441E-3</v>
      </c>
      <c r="O726" s="1">
        <f ca="1">P726*J726*(1+Growth!G$6)^(2010-K726)</f>
        <v>33.145360819831012</v>
      </c>
      <c r="P726" s="11">
        <v>32</v>
      </c>
      <c r="Q726" s="2">
        <f t="shared" si="478"/>
        <v>32</v>
      </c>
      <c r="R726" s="21">
        <f t="shared" ca="1" si="551"/>
        <v>1098.6149438767889</v>
      </c>
      <c r="X726" s="2"/>
      <c r="AC726" s="1">
        <f t="shared" si="536"/>
        <v>6.2</v>
      </c>
      <c r="AD726" s="5">
        <v>1</v>
      </c>
      <c r="AE726" s="5">
        <v>0</v>
      </c>
      <c r="AF726" s="5">
        <v>1</v>
      </c>
      <c r="AG726" s="5">
        <v>0</v>
      </c>
      <c r="AH726" s="5">
        <v>1</v>
      </c>
      <c r="AI726" s="3">
        <f t="shared" si="549"/>
        <v>3.2</v>
      </c>
      <c r="AJ726" s="5">
        <f t="shared" si="526"/>
        <v>0</v>
      </c>
      <c r="AK726" s="5">
        <f t="shared" si="545"/>
        <v>0</v>
      </c>
      <c r="AL726" s="5">
        <f t="shared" si="546"/>
        <v>0</v>
      </c>
      <c r="AM726" s="5">
        <f t="shared" si="528"/>
        <v>0</v>
      </c>
      <c r="AN726" s="5">
        <f t="shared" si="547"/>
        <v>0</v>
      </c>
      <c r="AO726" s="5">
        <f t="shared" si="529"/>
        <v>0</v>
      </c>
      <c r="AP726" s="11">
        <v>3</v>
      </c>
      <c r="AQ726" s="1">
        <v>0.14000000000000001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1</v>
      </c>
      <c r="AY726" s="1">
        <f t="shared" si="530"/>
        <v>0</v>
      </c>
      <c r="AZ726" s="1">
        <f t="shared" si="531"/>
        <v>0</v>
      </c>
      <c r="BA726" s="1">
        <f t="shared" si="532"/>
        <v>0</v>
      </c>
      <c r="BB726" s="5">
        <v>0</v>
      </c>
      <c r="BC726" s="5">
        <v>0</v>
      </c>
      <c r="BD726" s="5">
        <v>0</v>
      </c>
      <c r="BE726" s="5">
        <f t="shared" si="533"/>
        <v>1</v>
      </c>
      <c r="BF726" s="5">
        <v>1</v>
      </c>
      <c r="BG726" s="5">
        <f t="shared" si="554"/>
        <v>0</v>
      </c>
      <c r="BH726" s="5">
        <f t="shared" si="554"/>
        <v>0</v>
      </c>
      <c r="BI726" s="5">
        <f t="shared" si="554"/>
        <v>0</v>
      </c>
      <c r="BJ726" s="5">
        <f t="shared" si="554"/>
        <v>0</v>
      </c>
      <c r="BK726" s="5">
        <f t="shared" si="554"/>
        <v>0</v>
      </c>
      <c r="BL726" s="5">
        <f t="shared" si="554"/>
        <v>0</v>
      </c>
      <c r="BM726" s="5">
        <f t="shared" si="554"/>
        <v>0</v>
      </c>
      <c r="BN726" s="5">
        <f t="shared" si="554"/>
        <v>0</v>
      </c>
      <c r="BO726" s="5">
        <f t="shared" si="553"/>
        <v>0</v>
      </c>
      <c r="BP726" s="5">
        <f t="shared" si="553"/>
        <v>0</v>
      </c>
      <c r="BQ726" s="5">
        <f t="shared" si="553"/>
        <v>0</v>
      </c>
      <c r="BR726" s="5">
        <f t="shared" si="553"/>
        <v>0</v>
      </c>
      <c r="BS726" s="5">
        <f t="shared" si="553"/>
        <v>0</v>
      </c>
      <c r="BT726" s="5">
        <f t="shared" si="553"/>
        <v>0</v>
      </c>
      <c r="BU726" s="5">
        <f t="shared" si="553"/>
        <v>0</v>
      </c>
      <c r="BV726" s="5">
        <f t="shared" si="553"/>
        <v>0</v>
      </c>
      <c r="BW726" s="5">
        <f t="shared" si="553"/>
        <v>0</v>
      </c>
      <c r="BX726" s="5">
        <f t="shared" si="553"/>
        <v>0</v>
      </c>
      <c r="BY726" s="5">
        <f t="shared" si="553"/>
        <v>0</v>
      </c>
      <c r="BZ726" s="5">
        <f t="shared" si="553"/>
        <v>0</v>
      </c>
      <c r="CA726" s="5">
        <f t="shared" si="553"/>
        <v>0</v>
      </c>
      <c r="CB726" s="5">
        <f t="shared" si="552"/>
        <v>1</v>
      </c>
      <c r="CC726" s="5">
        <f t="shared" si="543"/>
        <v>0</v>
      </c>
      <c r="CD726" s="5">
        <f t="shared" si="543"/>
        <v>0</v>
      </c>
      <c r="CE726" s="5">
        <f t="shared" si="543"/>
        <v>0</v>
      </c>
    </row>
    <row r="727" spans="1:83" x14ac:dyDescent="0.2">
      <c r="A727" s="11"/>
      <c r="B727" s="11"/>
      <c r="C727" s="1">
        <f>Growth!D732</f>
        <v>0</v>
      </c>
      <c r="D727" s="5" t="b">
        <f t="shared" si="550"/>
        <v>0</v>
      </c>
      <c r="E727" s="5">
        <v>2012</v>
      </c>
      <c r="F727" s="5">
        <f ca="1">LOOKUP($E727,frequence!$A$2:$A$35,frequence!L$2:L$35)</f>
        <v>41.545638202606931</v>
      </c>
      <c r="G727" s="5">
        <f ca="1">LOOKUP($E727,frequence!$A$2:$A$35,frequence!K$2:K$35)</f>
        <v>3.8191206393393822</v>
      </c>
      <c r="H727" s="5">
        <f ca="1">LOOKUP($E727,frequence!$A$2:$A$35,frequence!M$2:M$35)</f>
        <v>265.64322815143237</v>
      </c>
      <c r="I727" s="18">
        <v>2005</v>
      </c>
      <c r="J727" s="7">
        <f>LOOKUP(I727,CPI!A$69:A$103,CPI!O$69:O$103)</f>
        <v>1.1165181771633383</v>
      </c>
      <c r="K727" s="5">
        <v>2015</v>
      </c>
      <c r="L727" s="7">
        <f t="shared" ca="1" si="544"/>
        <v>1</v>
      </c>
      <c r="M727" s="7">
        <f t="shared" si="527"/>
        <v>4.3055555555555555E-2</v>
      </c>
      <c r="N727" s="14">
        <f t="shared" si="535"/>
        <v>6.9444444444444441E-3</v>
      </c>
      <c r="O727" s="1">
        <f ca="1">P727*J727*(1+Growth!G$6)^(2010-K727)</f>
        <v>48.682248704126799</v>
      </c>
      <c r="P727" s="11">
        <v>47</v>
      </c>
      <c r="Q727" s="2">
        <f t="shared" si="478"/>
        <v>47</v>
      </c>
      <c r="R727" s="21">
        <f t="shared" ca="1" si="551"/>
        <v>2369.9613388904554</v>
      </c>
      <c r="X727" s="2"/>
      <c r="AC727" s="1">
        <f t="shared" si="536"/>
        <v>6.2</v>
      </c>
      <c r="AD727" s="5">
        <v>1</v>
      </c>
      <c r="AE727" s="5">
        <v>0</v>
      </c>
      <c r="AF727" s="5">
        <v>1</v>
      </c>
      <c r="AG727" s="5">
        <v>0</v>
      </c>
      <c r="AH727" s="5">
        <v>1</v>
      </c>
      <c r="AI727" s="3">
        <f t="shared" si="549"/>
        <v>3.2</v>
      </c>
      <c r="AJ727" s="5">
        <f t="shared" ref="AJ727:AJ790" si="555">IF($AQ727=3,1,0)</f>
        <v>0</v>
      </c>
      <c r="AK727" s="5">
        <f t="shared" si="545"/>
        <v>0</v>
      </c>
      <c r="AL727" s="5">
        <f t="shared" si="546"/>
        <v>0</v>
      </c>
      <c r="AM727" s="5">
        <f t="shared" si="528"/>
        <v>0</v>
      </c>
      <c r="AN727" s="5">
        <f t="shared" si="547"/>
        <v>0</v>
      </c>
      <c r="AO727" s="5">
        <f t="shared" si="529"/>
        <v>0</v>
      </c>
      <c r="AP727" s="11">
        <v>3</v>
      </c>
      <c r="AQ727" s="1">
        <v>0.14000000000000001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1</v>
      </c>
      <c r="AY727" s="1">
        <f t="shared" si="530"/>
        <v>0</v>
      </c>
      <c r="AZ727" s="1">
        <f t="shared" si="531"/>
        <v>0</v>
      </c>
      <c r="BA727" s="1">
        <f t="shared" si="532"/>
        <v>0</v>
      </c>
      <c r="BB727" s="5">
        <v>0</v>
      </c>
      <c r="BC727" s="5">
        <v>0</v>
      </c>
      <c r="BD727" s="5">
        <v>0</v>
      </c>
      <c r="BE727" s="5">
        <f t="shared" si="533"/>
        <v>1</v>
      </c>
      <c r="BF727" s="5">
        <v>1</v>
      </c>
      <c r="BG727" s="5">
        <f t="shared" si="554"/>
        <v>0</v>
      </c>
      <c r="BH727" s="5">
        <f t="shared" si="554"/>
        <v>0</v>
      </c>
      <c r="BI727" s="5">
        <f t="shared" si="554"/>
        <v>0</v>
      </c>
      <c r="BJ727" s="5">
        <f t="shared" si="554"/>
        <v>0</v>
      </c>
      <c r="BK727" s="5">
        <f t="shared" si="554"/>
        <v>0</v>
      </c>
      <c r="BL727" s="5">
        <f t="shared" si="554"/>
        <v>0</v>
      </c>
      <c r="BM727" s="5">
        <f t="shared" si="554"/>
        <v>0</v>
      </c>
      <c r="BN727" s="5">
        <f t="shared" si="554"/>
        <v>0</v>
      </c>
      <c r="BO727" s="5">
        <f t="shared" si="553"/>
        <v>0</v>
      </c>
      <c r="BP727" s="5">
        <f t="shared" si="553"/>
        <v>0</v>
      </c>
      <c r="BQ727" s="5">
        <f t="shared" si="553"/>
        <v>0</v>
      </c>
      <c r="BR727" s="5">
        <f t="shared" si="553"/>
        <v>0</v>
      </c>
      <c r="BS727" s="5">
        <f t="shared" si="553"/>
        <v>0</v>
      </c>
      <c r="BT727" s="5">
        <f t="shared" si="553"/>
        <v>0</v>
      </c>
      <c r="BU727" s="5">
        <f t="shared" si="553"/>
        <v>0</v>
      </c>
      <c r="BV727" s="5">
        <f t="shared" si="553"/>
        <v>0</v>
      </c>
      <c r="BW727" s="5">
        <f t="shared" si="553"/>
        <v>0</v>
      </c>
      <c r="BX727" s="5">
        <f t="shared" si="553"/>
        <v>0</v>
      </c>
      <c r="BY727" s="5">
        <f t="shared" si="553"/>
        <v>0</v>
      </c>
      <c r="BZ727" s="5">
        <f t="shared" si="553"/>
        <v>0</v>
      </c>
      <c r="CA727" s="5">
        <f t="shared" si="553"/>
        <v>0</v>
      </c>
      <c r="CB727" s="5">
        <f t="shared" si="552"/>
        <v>1</v>
      </c>
      <c r="CC727" s="5">
        <f t="shared" si="543"/>
        <v>0</v>
      </c>
      <c r="CD727" s="5">
        <f t="shared" si="543"/>
        <v>0</v>
      </c>
      <c r="CE727" s="5">
        <f t="shared" si="543"/>
        <v>0</v>
      </c>
    </row>
    <row r="728" spans="1:83" x14ac:dyDescent="0.2">
      <c r="A728" s="11"/>
      <c r="B728" s="11"/>
      <c r="C728" s="1">
        <f>Growth!D733</f>
        <v>0</v>
      </c>
      <c r="D728" s="5" t="b">
        <f t="shared" si="550"/>
        <v>0</v>
      </c>
      <c r="E728" s="5">
        <v>2012</v>
      </c>
      <c r="F728" s="5">
        <f ca="1">LOOKUP($E728,frequence!$A$2:$A$35,frequence!L$2:L$35)</f>
        <v>41.545638202606931</v>
      </c>
      <c r="G728" s="5">
        <f ca="1">LOOKUP($E728,frequence!$A$2:$A$35,frequence!K$2:K$35)</f>
        <v>3.8191206393393822</v>
      </c>
      <c r="H728" s="5">
        <f ca="1">LOOKUP($E728,frequence!$A$2:$A$35,frequence!M$2:M$35)</f>
        <v>265.64322815143237</v>
      </c>
      <c r="I728" s="18">
        <v>2005</v>
      </c>
      <c r="J728" s="7">
        <f>LOOKUP(I728,CPI!A$69:A$103,CPI!O$69:O$103)</f>
        <v>1.1165181771633383</v>
      </c>
      <c r="K728" s="5">
        <v>2015</v>
      </c>
      <c r="L728" s="7">
        <f t="shared" ca="1" si="544"/>
        <v>1</v>
      </c>
      <c r="M728" s="7">
        <f t="shared" ref="M728:M791" si="556">N728*AC728</f>
        <v>4.3055555555555555E-2</v>
      </c>
      <c r="N728" s="14">
        <f t="shared" si="535"/>
        <v>6.9444444444444441E-3</v>
      </c>
      <c r="O728" s="1">
        <f ca="1">P728*J728*(1+Growth!G$6)^(2010-K728)</f>
        <v>66.290721639662024</v>
      </c>
      <c r="P728" s="11">
        <v>64</v>
      </c>
      <c r="Q728" s="2">
        <f t="shared" si="478"/>
        <v>64</v>
      </c>
      <c r="R728" s="21">
        <f t="shared" ca="1" si="551"/>
        <v>4394.4597755071554</v>
      </c>
      <c r="X728" s="2"/>
      <c r="AC728" s="1">
        <f t="shared" si="536"/>
        <v>6.2</v>
      </c>
      <c r="AD728" s="5">
        <v>1</v>
      </c>
      <c r="AE728" s="5">
        <v>0</v>
      </c>
      <c r="AF728" s="5">
        <v>1</v>
      </c>
      <c r="AG728" s="5">
        <v>0</v>
      </c>
      <c r="AH728" s="5">
        <v>1</v>
      </c>
      <c r="AI728" s="3">
        <f t="shared" si="549"/>
        <v>3.2</v>
      </c>
      <c r="AJ728" s="5">
        <f t="shared" si="555"/>
        <v>0</v>
      </c>
      <c r="AK728" s="5">
        <f t="shared" si="545"/>
        <v>0</v>
      </c>
      <c r="AL728" s="5">
        <f t="shared" si="546"/>
        <v>0</v>
      </c>
      <c r="AM728" s="5">
        <f t="shared" si="528"/>
        <v>0</v>
      </c>
      <c r="AN728" s="5">
        <f t="shared" si="547"/>
        <v>0</v>
      </c>
      <c r="AO728" s="5">
        <f t="shared" si="529"/>
        <v>0</v>
      </c>
      <c r="AP728" s="11">
        <v>3</v>
      </c>
      <c r="AQ728" s="1">
        <v>0.14000000000000001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1</v>
      </c>
      <c r="AY728" s="1">
        <f t="shared" si="530"/>
        <v>0</v>
      </c>
      <c r="AZ728" s="1">
        <f t="shared" si="531"/>
        <v>0</v>
      </c>
      <c r="BA728" s="1">
        <f t="shared" si="532"/>
        <v>0</v>
      </c>
      <c r="BB728" s="5">
        <v>0</v>
      </c>
      <c r="BC728" s="5">
        <v>0</v>
      </c>
      <c r="BD728" s="5">
        <v>0</v>
      </c>
      <c r="BE728" s="5">
        <f t="shared" si="533"/>
        <v>1</v>
      </c>
      <c r="BF728" s="5">
        <v>1</v>
      </c>
      <c r="BG728" s="5">
        <f t="shared" si="554"/>
        <v>0</v>
      </c>
      <c r="BH728" s="5">
        <f t="shared" si="554"/>
        <v>0</v>
      </c>
      <c r="BI728" s="5">
        <f t="shared" si="554"/>
        <v>0</v>
      </c>
      <c r="BJ728" s="5">
        <f t="shared" si="554"/>
        <v>0</v>
      </c>
      <c r="BK728" s="5">
        <f t="shared" si="554"/>
        <v>0</v>
      </c>
      <c r="BL728" s="5">
        <f t="shared" si="554"/>
        <v>0</v>
      </c>
      <c r="BM728" s="5">
        <f t="shared" si="554"/>
        <v>0</v>
      </c>
      <c r="BN728" s="5">
        <f t="shared" si="554"/>
        <v>0</v>
      </c>
      <c r="BO728" s="5">
        <f t="shared" si="553"/>
        <v>0</v>
      </c>
      <c r="BP728" s="5">
        <f t="shared" si="553"/>
        <v>0</v>
      </c>
      <c r="BQ728" s="5">
        <f t="shared" si="553"/>
        <v>0</v>
      </c>
      <c r="BR728" s="5">
        <f t="shared" si="553"/>
        <v>0</v>
      </c>
      <c r="BS728" s="5">
        <f t="shared" si="553"/>
        <v>0</v>
      </c>
      <c r="BT728" s="5">
        <f t="shared" si="553"/>
        <v>0</v>
      </c>
      <c r="BU728" s="5">
        <f t="shared" si="553"/>
        <v>0</v>
      </c>
      <c r="BV728" s="5">
        <f t="shared" si="553"/>
        <v>0</v>
      </c>
      <c r="BW728" s="5">
        <f t="shared" si="553"/>
        <v>0</v>
      </c>
      <c r="BX728" s="5">
        <f t="shared" si="553"/>
        <v>0</v>
      </c>
      <c r="BY728" s="5">
        <f t="shared" si="553"/>
        <v>0</v>
      </c>
      <c r="BZ728" s="5">
        <f t="shared" si="553"/>
        <v>0</v>
      </c>
      <c r="CA728" s="5">
        <f t="shared" si="553"/>
        <v>0</v>
      </c>
      <c r="CB728" s="5">
        <f t="shared" si="552"/>
        <v>1</v>
      </c>
      <c r="CC728" s="5">
        <f t="shared" si="552"/>
        <v>0</v>
      </c>
      <c r="CD728" s="5">
        <f t="shared" si="552"/>
        <v>0</v>
      </c>
      <c r="CE728" s="5">
        <f t="shared" si="552"/>
        <v>0</v>
      </c>
    </row>
    <row r="729" spans="1:83" x14ac:dyDescent="0.2">
      <c r="A729" s="11"/>
      <c r="B729" s="11"/>
      <c r="C729" s="1">
        <f>Growth!D734</f>
        <v>0</v>
      </c>
      <c r="D729" s="5" t="b">
        <f t="shared" si="550"/>
        <v>0</v>
      </c>
      <c r="E729" s="5">
        <v>2012</v>
      </c>
      <c r="F729" s="5">
        <f ca="1">LOOKUP($E729,frequence!$A$2:$A$35,frequence!L$2:L$35)</f>
        <v>41.545638202606931</v>
      </c>
      <c r="G729" s="5">
        <f ca="1">LOOKUP($E729,frequence!$A$2:$A$35,frequence!K$2:K$35)</f>
        <v>3.8191206393393822</v>
      </c>
      <c r="H729" s="5">
        <f ca="1">LOOKUP($E729,frequence!$A$2:$A$35,frequence!M$2:M$35)</f>
        <v>265.64322815143237</v>
      </c>
      <c r="I729" s="18">
        <v>2005</v>
      </c>
      <c r="J729" s="7">
        <f>LOOKUP(I729,CPI!A$69:A$103,CPI!O$69:O$103)</f>
        <v>1.1165181771633383</v>
      </c>
      <c r="K729" s="5">
        <v>2015</v>
      </c>
      <c r="L729" s="7">
        <f t="shared" ca="1" si="544"/>
        <v>1</v>
      </c>
      <c r="M729" s="7">
        <f t="shared" si="556"/>
        <v>4.3055555555555555E-2</v>
      </c>
      <c r="N729" s="14">
        <f t="shared" si="535"/>
        <v>6.9444444444444441E-3</v>
      </c>
      <c r="O729" s="1">
        <f ca="1">P729*J729*(1+Growth!G$6)^(2010-K729)</f>
        <v>75.612854370239489</v>
      </c>
      <c r="P729" s="11">
        <v>73</v>
      </c>
      <c r="Q729" s="2">
        <f t="shared" si="478"/>
        <v>73</v>
      </c>
      <c r="R729" s="21">
        <f t="shared" ca="1" si="551"/>
        <v>5717.3037460150454</v>
      </c>
      <c r="X729" s="2"/>
      <c r="AC729" s="1">
        <f t="shared" si="536"/>
        <v>6.2</v>
      </c>
      <c r="AD729" s="5">
        <v>1</v>
      </c>
      <c r="AE729" s="5">
        <v>0</v>
      </c>
      <c r="AF729" s="5">
        <v>1</v>
      </c>
      <c r="AG729" s="5">
        <v>0</v>
      </c>
      <c r="AH729" s="5">
        <v>1</v>
      </c>
      <c r="AI729" s="3">
        <f t="shared" si="549"/>
        <v>3.2</v>
      </c>
      <c r="AJ729" s="5">
        <f t="shared" si="555"/>
        <v>0</v>
      </c>
      <c r="AK729" s="5">
        <f t="shared" si="545"/>
        <v>0</v>
      </c>
      <c r="AL729" s="5">
        <f t="shared" si="546"/>
        <v>0</v>
      </c>
      <c r="AM729" s="5">
        <f t="shared" si="528"/>
        <v>0</v>
      </c>
      <c r="AN729" s="5">
        <f t="shared" si="547"/>
        <v>0</v>
      </c>
      <c r="AO729" s="5">
        <f t="shared" si="529"/>
        <v>0</v>
      </c>
      <c r="AP729" s="11">
        <v>3</v>
      </c>
      <c r="AQ729" s="1">
        <v>0.14000000000000001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1</v>
      </c>
      <c r="AY729" s="1">
        <f t="shared" si="530"/>
        <v>0</v>
      </c>
      <c r="AZ729" s="1">
        <f t="shared" si="531"/>
        <v>0</v>
      </c>
      <c r="BA729" s="1">
        <f t="shared" si="532"/>
        <v>0</v>
      </c>
      <c r="BB729" s="5">
        <v>0</v>
      </c>
      <c r="BC729" s="5">
        <v>0</v>
      </c>
      <c r="BD729" s="5">
        <v>0</v>
      </c>
      <c r="BE729" s="5">
        <f t="shared" si="533"/>
        <v>1</v>
      </c>
      <c r="BF729" s="5">
        <v>1</v>
      </c>
      <c r="BG729" s="5">
        <f t="shared" si="554"/>
        <v>0</v>
      </c>
      <c r="BH729" s="5">
        <f t="shared" si="554"/>
        <v>0</v>
      </c>
      <c r="BI729" s="5">
        <f t="shared" si="554"/>
        <v>0</v>
      </c>
      <c r="BJ729" s="5">
        <f t="shared" si="554"/>
        <v>0</v>
      </c>
      <c r="BK729" s="5">
        <f t="shared" si="554"/>
        <v>0</v>
      </c>
      <c r="BL729" s="5">
        <f t="shared" si="554"/>
        <v>0</v>
      </c>
      <c r="BM729" s="5">
        <f t="shared" si="554"/>
        <v>0</v>
      </c>
      <c r="BN729" s="5">
        <f t="shared" si="554"/>
        <v>0</v>
      </c>
      <c r="BO729" s="5">
        <f t="shared" si="553"/>
        <v>0</v>
      </c>
      <c r="BP729" s="5">
        <f t="shared" si="553"/>
        <v>0</v>
      </c>
      <c r="BQ729" s="5">
        <f t="shared" si="553"/>
        <v>0</v>
      </c>
      <c r="BR729" s="5">
        <f t="shared" si="553"/>
        <v>0</v>
      </c>
      <c r="BS729" s="5">
        <f t="shared" si="553"/>
        <v>0</v>
      </c>
      <c r="BT729" s="5">
        <f t="shared" si="553"/>
        <v>0</v>
      </c>
      <c r="BU729" s="5">
        <f t="shared" si="553"/>
        <v>0</v>
      </c>
      <c r="BV729" s="5">
        <f t="shared" si="553"/>
        <v>0</v>
      </c>
      <c r="BW729" s="5">
        <f t="shared" si="553"/>
        <v>0</v>
      </c>
      <c r="BX729" s="5">
        <f t="shared" si="553"/>
        <v>0</v>
      </c>
      <c r="BY729" s="5">
        <f t="shared" si="553"/>
        <v>0</v>
      </c>
      <c r="BZ729" s="5">
        <f t="shared" si="553"/>
        <v>0</v>
      </c>
      <c r="CA729" s="5">
        <f t="shared" si="553"/>
        <v>0</v>
      </c>
      <c r="CB729" s="5">
        <f t="shared" si="552"/>
        <v>1</v>
      </c>
      <c r="CC729" s="5">
        <f t="shared" si="552"/>
        <v>0</v>
      </c>
      <c r="CD729" s="5">
        <f t="shared" si="552"/>
        <v>0</v>
      </c>
      <c r="CE729" s="5">
        <f t="shared" si="552"/>
        <v>0</v>
      </c>
    </row>
    <row r="730" spans="1:83" x14ac:dyDescent="0.2">
      <c r="A730" s="11"/>
      <c r="B730" s="11"/>
      <c r="C730" s="1">
        <f>Growth!D735</f>
        <v>0</v>
      </c>
      <c r="D730" s="5" t="b">
        <f t="shared" si="550"/>
        <v>0</v>
      </c>
      <c r="E730" s="5">
        <v>2012</v>
      </c>
      <c r="F730" s="5">
        <f ca="1">LOOKUP($E730,frequence!$A$2:$A$35,frequence!L$2:L$35)</f>
        <v>41.545638202606931</v>
      </c>
      <c r="G730" s="5">
        <f ca="1">LOOKUP($E730,frequence!$A$2:$A$35,frequence!K$2:K$35)</f>
        <v>3.8191206393393822</v>
      </c>
      <c r="H730" s="5">
        <f ca="1">LOOKUP($E730,frequence!$A$2:$A$35,frequence!M$2:M$35)</f>
        <v>265.64322815143237</v>
      </c>
      <c r="I730" s="18">
        <v>2005</v>
      </c>
      <c r="J730" s="7">
        <f>LOOKUP(I730,CPI!A$69:A$103,CPI!O$69:O$103)</f>
        <v>1.1165181771633383</v>
      </c>
      <c r="K730" s="5">
        <v>2015</v>
      </c>
      <c r="L730" s="7">
        <f t="shared" ca="1" si="544"/>
        <v>1</v>
      </c>
      <c r="M730" s="7">
        <f t="shared" si="556"/>
        <v>4.3055555555555555E-2</v>
      </c>
      <c r="N730" s="14">
        <f t="shared" si="535"/>
        <v>6.9444444444444441E-3</v>
      </c>
      <c r="O730" s="1">
        <f ca="1">P730*J730*(1+Growth!G$6)^(2010-K730)</f>
        <v>50.75383375536623</v>
      </c>
      <c r="P730" s="11">
        <v>49</v>
      </c>
      <c r="Q730" s="2">
        <f t="shared" si="478"/>
        <v>49</v>
      </c>
      <c r="R730" s="21">
        <f t="shared" ca="1" si="551"/>
        <v>2575.9516408673526</v>
      </c>
      <c r="X730" s="2"/>
      <c r="AC730" s="1">
        <f t="shared" si="536"/>
        <v>6.2</v>
      </c>
      <c r="AD730" s="5">
        <v>1</v>
      </c>
      <c r="AE730" s="5">
        <v>0</v>
      </c>
      <c r="AF730" s="5">
        <v>1</v>
      </c>
      <c r="AG730" s="5">
        <v>0</v>
      </c>
      <c r="AH730" s="5">
        <v>1</v>
      </c>
      <c r="AI730" s="3">
        <f t="shared" si="549"/>
        <v>3.2</v>
      </c>
      <c r="AJ730" s="5">
        <f t="shared" si="555"/>
        <v>0</v>
      </c>
      <c r="AK730" s="5">
        <f t="shared" si="545"/>
        <v>0</v>
      </c>
      <c r="AL730" s="5">
        <f t="shared" si="546"/>
        <v>0</v>
      </c>
      <c r="AM730" s="5">
        <f t="shared" ref="AM730:AM793" si="557">IF($AQ730=1,1,0)</f>
        <v>0</v>
      </c>
      <c r="AN730" s="5">
        <f t="shared" si="547"/>
        <v>0</v>
      </c>
      <c r="AO730" s="5">
        <f t="shared" ref="AO730:AO793" si="558">IF($AQ730=0,1,0)</f>
        <v>0</v>
      </c>
      <c r="AP730" s="11">
        <v>3</v>
      </c>
      <c r="AQ730" s="1">
        <v>0.14000000000000001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1</v>
      </c>
      <c r="AY730" s="1">
        <f t="shared" si="530"/>
        <v>0</v>
      </c>
      <c r="AZ730" s="1">
        <f t="shared" si="531"/>
        <v>0</v>
      </c>
      <c r="BA730" s="1">
        <f t="shared" si="532"/>
        <v>0</v>
      </c>
      <c r="BB730" s="5">
        <v>0</v>
      </c>
      <c r="BC730" s="5">
        <v>0</v>
      </c>
      <c r="BD730" s="5">
        <v>0</v>
      </c>
      <c r="BE730" s="5">
        <f t="shared" si="533"/>
        <v>1</v>
      </c>
      <c r="BF730" s="5">
        <v>1</v>
      </c>
      <c r="BG730" s="5">
        <f t="shared" si="554"/>
        <v>0</v>
      </c>
      <c r="BH730" s="5">
        <f t="shared" si="554"/>
        <v>0</v>
      </c>
      <c r="BI730" s="5">
        <f t="shared" si="554"/>
        <v>0</v>
      </c>
      <c r="BJ730" s="5">
        <f t="shared" si="554"/>
        <v>0</v>
      </c>
      <c r="BK730" s="5">
        <f t="shared" si="554"/>
        <v>0</v>
      </c>
      <c r="BL730" s="5">
        <f t="shared" si="554"/>
        <v>0</v>
      </c>
      <c r="BM730" s="5">
        <f t="shared" si="554"/>
        <v>0</v>
      </c>
      <c r="BN730" s="5">
        <f t="shared" si="554"/>
        <v>0</v>
      </c>
      <c r="BO730" s="5">
        <f t="shared" si="553"/>
        <v>0</v>
      </c>
      <c r="BP730" s="5">
        <f t="shared" si="553"/>
        <v>0</v>
      </c>
      <c r="BQ730" s="5">
        <f t="shared" si="553"/>
        <v>0</v>
      </c>
      <c r="BR730" s="5">
        <f t="shared" si="553"/>
        <v>0</v>
      </c>
      <c r="BS730" s="5">
        <f t="shared" si="553"/>
        <v>0</v>
      </c>
      <c r="BT730" s="5">
        <f t="shared" si="553"/>
        <v>0</v>
      </c>
      <c r="BU730" s="5">
        <f t="shared" si="553"/>
        <v>0</v>
      </c>
      <c r="BV730" s="5">
        <f t="shared" si="553"/>
        <v>0</v>
      </c>
      <c r="BW730" s="5">
        <f t="shared" si="553"/>
        <v>0</v>
      </c>
      <c r="BX730" s="5">
        <f t="shared" si="553"/>
        <v>0</v>
      </c>
      <c r="BY730" s="5">
        <f t="shared" si="553"/>
        <v>0</v>
      </c>
      <c r="BZ730" s="5">
        <f t="shared" si="553"/>
        <v>0</v>
      </c>
      <c r="CA730" s="5">
        <f t="shared" si="553"/>
        <v>0</v>
      </c>
      <c r="CB730" s="5">
        <f t="shared" si="552"/>
        <v>1</v>
      </c>
      <c r="CC730" s="5">
        <f t="shared" si="552"/>
        <v>0</v>
      </c>
      <c r="CD730" s="5">
        <f t="shared" si="552"/>
        <v>0</v>
      </c>
      <c r="CE730" s="5">
        <f t="shared" si="552"/>
        <v>0</v>
      </c>
    </row>
    <row r="731" spans="1:83" x14ac:dyDescent="0.2">
      <c r="A731" s="11"/>
      <c r="B731" s="11"/>
      <c r="C731" s="1">
        <f>Growth!D736</f>
        <v>0</v>
      </c>
      <c r="D731" s="5" t="b">
        <f t="shared" si="550"/>
        <v>0</v>
      </c>
      <c r="E731" s="5">
        <v>2012</v>
      </c>
      <c r="F731" s="5">
        <f ca="1">LOOKUP($E731,frequence!$A$2:$A$35,frequence!L$2:L$35)</f>
        <v>41.545638202606931</v>
      </c>
      <c r="G731" s="5">
        <f ca="1">LOOKUP($E731,frequence!$A$2:$A$35,frequence!K$2:K$35)</f>
        <v>3.8191206393393822</v>
      </c>
      <c r="H731" s="5">
        <f ca="1">LOOKUP($E731,frequence!$A$2:$A$35,frequence!M$2:M$35)</f>
        <v>265.64322815143237</v>
      </c>
      <c r="I731" s="18">
        <v>2005</v>
      </c>
      <c r="J731" s="7">
        <f>LOOKUP(I731,CPI!A$69:A$103,CPI!O$69:O$103)</f>
        <v>1.1165181771633383</v>
      </c>
      <c r="K731" s="5">
        <v>2015</v>
      </c>
      <c r="L731" s="7">
        <f t="shared" ca="1" si="544"/>
        <v>1</v>
      </c>
      <c r="M731" s="7">
        <f t="shared" si="556"/>
        <v>4.3055555555555555E-2</v>
      </c>
      <c r="N731" s="14">
        <f t="shared" si="535"/>
        <v>6.9444444444444441E-3</v>
      </c>
      <c r="O731" s="1">
        <f ca="1">P731*J731*(1+Growth!G$6)^(2010-K731)</f>
        <v>46.610663652887361</v>
      </c>
      <c r="P731" s="11">
        <v>45</v>
      </c>
      <c r="Q731" s="2">
        <f t="shared" si="478"/>
        <v>45</v>
      </c>
      <c r="R731" s="21">
        <f t="shared" ca="1" si="551"/>
        <v>2172.5539661625949</v>
      </c>
      <c r="X731" s="2"/>
      <c r="AC731" s="1">
        <f t="shared" si="536"/>
        <v>6.2</v>
      </c>
      <c r="AD731" s="5">
        <v>1</v>
      </c>
      <c r="AE731" s="5">
        <v>0</v>
      </c>
      <c r="AF731" s="5">
        <v>1</v>
      </c>
      <c r="AG731" s="5">
        <v>0</v>
      </c>
      <c r="AH731" s="5">
        <v>1</v>
      </c>
      <c r="AI731" s="3">
        <f t="shared" si="549"/>
        <v>3.2</v>
      </c>
      <c r="AJ731" s="5">
        <f t="shared" si="555"/>
        <v>0</v>
      </c>
      <c r="AK731" s="5">
        <f t="shared" si="545"/>
        <v>0</v>
      </c>
      <c r="AL731" s="5">
        <f t="shared" si="546"/>
        <v>0</v>
      </c>
      <c r="AM731" s="5">
        <f t="shared" si="557"/>
        <v>0</v>
      </c>
      <c r="AN731" s="5">
        <f t="shared" si="547"/>
        <v>0</v>
      </c>
      <c r="AO731" s="5">
        <f t="shared" si="558"/>
        <v>0</v>
      </c>
      <c r="AP731" s="11">
        <v>3</v>
      </c>
      <c r="AQ731" s="1">
        <v>0.14000000000000001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1</v>
      </c>
      <c r="AY731" s="1">
        <f t="shared" si="530"/>
        <v>0</v>
      </c>
      <c r="AZ731" s="1">
        <f t="shared" si="531"/>
        <v>0</v>
      </c>
      <c r="BA731" s="1">
        <f t="shared" si="532"/>
        <v>0</v>
      </c>
      <c r="BB731" s="5">
        <v>0</v>
      </c>
      <c r="BC731" s="5">
        <v>0</v>
      </c>
      <c r="BD731" s="5">
        <v>0</v>
      </c>
      <c r="BE731" s="5">
        <f t="shared" si="533"/>
        <v>1</v>
      </c>
      <c r="BF731" s="5">
        <v>1</v>
      </c>
      <c r="BG731" s="5">
        <f t="shared" si="554"/>
        <v>0</v>
      </c>
      <c r="BH731" s="5">
        <f t="shared" si="554"/>
        <v>0</v>
      </c>
      <c r="BI731" s="5">
        <f t="shared" si="554"/>
        <v>0</v>
      </c>
      <c r="BJ731" s="5">
        <f t="shared" si="554"/>
        <v>0</v>
      </c>
      <c r="BK731" s="5">
        <f t="shared" si="554"/>
        <v>0</v>
      </c>
      <c r="BL731" s="5">
        <f t="shared" si="554"/>
        <v>0</v>
      </c>
      <c r="BM731" s="5">
        <f t="shared" si="554"/>
        <v>0</v>
      </c>
      <c r="BN731" s="5">
        <f t="shared" si="554"/>
        <v>0</v>
      </c>
      <c r="BO731" s="5">
        <f t="shared" si="553"/>
        <v>0</v>
      </c>
      <c r="BP731" s="5">
        <f t="shared" si="553"/>
        <v>0</v>
      </c>
      <c r="BQ731" s="5">
        <f t="shared" si="553"/>
        <v>0</v>
      </c>
      <c r="BR731" s="5">
        <f t="shared" si="553"/>
        <v>0</v>
      </c>
      <c r="BS731" s="5">
        <f t="shared" si="553"/>
        <v>0</v>
      </c>
      <c r="BT731" s="5">
        <f t="shared" si="553"/>
        <v>0</v>
      </c>
      <c r="BU731" s="5">
        <f t="shared" si="553"/>
        <v>0</v>
      </c>
      <c r="BV731" s="5">
        <f t="shared" si="553"/>
        <v>0</v>
      </c>
      <c r="BW731" s="5">
        <f t="shared" si="553"/>
        <v>0</v>
      </c>
      <c r="BX731" s="5">
        <f t="shared" si="553"/>
        <v>0</v>
      </c>
      <c r="BY731" s="5">
        <f t="shared" si="553"/>
        <v>0</v>
      </c>
      <c r="BZ731" s="5">
        <f t="shared" si="553"/>
        <v>0</v>
      </c>
      <c r="CA731" s="5">
        <f t="shared" si="553"/>
        <v>0</v>
      </c>
      <c r="CB731" s="5">
        <f t="shared" si="552"/>
        <v>1</v>
      </c>
      <c r="CC731" s="5">
        <f t="shared" si="552"/>
        <v>0</v>
      </c>
      <c r="CD731" s="5">
        <f t="shared" si="552"/>
        <v>0</v>
      </c>
      <c r="CE731" s="5">
        <f t="shared" si="552"/>
        <v>0</v>
      </c>
    </row>
    <row r="732" spans="1:83" x14ac:dyDescent="0.2">
      <c r="A732" s="11"/>
      <c r="B732" s="11"/>
      <c r="C732" s="1">
        <f>Growth!D737</f>
        <v>0</v>
      </c>
      <c r="D732" s="5" t="b">
        <f t="shared" si="550"/>
        <v>0</v>
      </c>
      <c r="E732" s="5">
        <v>2012</v>
      </c>
      <c r="F732" s="5">
        <f ca="1">LOOKUP($E732,frequence!$A$2:$A$35,frequence!L$2:L$35)</f>
        <v>41.545638202606931</v>
      </c>
      <c r="G732" s="5">
        <f ca="1">LOOKUP($E732,frequence!$A$2:$A$35,frequence!K$2:K$35)</f>
        <v>3.8191206393393822</v>
      </c>
      <c r="H732" s="5">
        <f ca="1">LOOKUP($E732,frequence!$A$2:$A$35,frequence!M$2:M$35)</f>
        <v>265.64322815143237</v>
      </c>
      <c r="I732" s="18">
        <v>2005</v>
      </c>
      <c r="J732" s="7">
        <f>LOOKUP(I732,CPI!A$69:A$103,CPI!O$69:O$103)</f>
        <v>1.1165181771633383</v>
      </c>
      <c r="K732" s="5">
        <v>2015</v>
      </c>
      <c r="L732" s="7">
        <f t="shared" ca="1" si="544"/>
        <v>1</v>
      </c>
      <c r="M732" s="7">
        <f t="shared" si="556"/>
        <v>4.3055555555555555E-2</v>
      </c>
      <c r="N732" s="14">
        <f t="shared" si="535"/>
        <v>6.9444444444444441E-3</v>
      </c>
      <c r="O732" s="1">
        <f ca="1">P732*J732*(1+Growth!G$6)^(2010-K732)</f>
        <v>92.185534780154995</v>
      </c>
      <c r="P732" s="11">
        <v>89</v>
      </c>
      <c r="Q732" s="2">
        <f t="shared" si="478"/>
        <v>89</v>
      </c>
      <c r="R732" s="21">
        <f t="shared" ca="1" si="551"/>
        <v>8498.1728227031672</v>
      </c>
      <c r="X732" s="2"/>
      <c r="AC732" s="1">
        <f t="shared" si="536"/>
        <v>6.2</v>
      </c>
      <c r="AD732" s="5">
        <v>1</v>
      </c>
      <c r="AE732" s="5">
        <v>0</v>
      </c>
      <c r="AF732" s="5">
        <v>1</v>
      </c>
      <c r="AG732" s="5">
        <v>0</v>
      </c>
      <c r="AH732" s="5">
        <v>1</v>
      </c>
      <c r="AI732" s="3">
        <f t="shared" si="549"/>
        <v>3.2</v>
      </c>
      <c r="AJ732" s="5">
        <f t="shared" si="555"/>
        <v>0</v>
      </c>
      <c r="AK732" s="5">
        <f t="shared" si="545"/>
        <v>0</v>
      </c>
      <c r="AL732" s="5">
        <f t="shared" si="546"/>
        <v>0</v>
      </c>
      <c r="AM732" s="5">
        <f t="shared" si="557"/>
        <v>0</v>
      </c>
      <c r="AN732" s="5">
        <f t="shared" si="547"/>
        <v>0</v>
      </c>
      <c r="AO732" s="5">
        <f t="shared" si="558"/>
        <v>0</v>
      </c>
      <c r="AP732" s="11">
        <v>3</v>
      </c>
      <c r="AQ732" s="1">
        <v>0.14000000000000001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1</v>
      </c>
      <c r="AY732" s="1">
        <f t="shared" si="530"/>
        <v>0</v>
      </c>
      <c r="AZ732" s="1">
        <f t="shared" si="531"/>
        <v>0</v>
      </c>
      <c r="BA732" s="1">
        <f t="shared" si="532"/>
        <v>0</v>
      </c>
      <c r="BB732" s="5">
        <v>0</v>
      </c>
      <c r="BC732" s="5">
        <v>0</v>
      </c>
      <c r="BD732" s="5">
        <v>0</v>
      </c>
      <c r="BE732" s="5">
        <f t="shared" si="533"/>
        <v>1</v>
      </c>
      <c r="BF732" s="5">
        <v>1</v>
      </c>
      <c r="BG732" s="5">
        <f t="shared" si="554"/>
        <v>0</v>
      </c>
      <c r="BH732" s="5">
        <f t="shared" si="554"/>
        <v>0</v>
      </c>
      <c r="BI732" s="5">
        <f t="shared" si="554"/>
        <v>0</v>
      </c>
      <c r="BJ732" s="5">
        <f t="shared" si="554"/>
        <v>0</v>
      </c>
      <c r="BK732" s="5">
        <f t="shared" si="554"/>
        <v>0</v>
      </c>
      <c r="BL732" s="5">
        <f t="shared" si="554"/>
        <v>0</v>
      </c>
      <c r="BM732" s="5">
        <f t="shared" si="554"/>
        <v>0</v>
      </c>
      <c r="BN732" s="5">
        <f t="shared" si="554"/>
        <v>0</v>
      </c>
      <c r="BO732" s="5">
        <f t="shared" si="553"/>
        <v>0</v>
      </c>
      <c r="BP732" s="5">
        <f t="shared" si="553"/>
        <v>0</v>
      </c>
      <c r="BQ732" s="5">
        <f t="shared" si="553"/>
        <v>0</v>
      </c>
      <c r="BR732" s="5">
        <f t="shared" si="553"/>
        <v>0</v>
      </c>
      <c r="BS732" s="5">
        <f t="shared" si="553"/>
        <v>0</v>
      </c>
      <c r="BT732" s="5">
        <f t="shared" si="553"/>
        <v>0</v>
      </c>
      <c r="BU732" s="5">
        <f t="shared" si="553"/>
        <v>0</v>
      </c>
      <c r="BV732" s="5">
        <f t="shared" si="553"/>
        <v>0</v>
      </c>
      <c r="BW732" s="5">
        <f t="shared" si="553"/>
        <v>0</v>
      </c>
      <c r="BX732" s="5">
        <f t="shared" si="553"/>
        <v>0</v>
      </c>
      <c r="BY732" s="5">
        <f t="shared" si="553"/>
        <v>0</v>
      </c>
      <c r="BZ732" s="5">
        <f t="shared" si="553"/>
        <v>0</v>
      </c>
      <c r="CA732" s="5">
        <f t="shared" si="553"/>
        <v>0</v>
      </c>
      <c r="CB732" s="5">
        <f t="shared" si="552"/>
        <v>1</v>
      </c>
      <c r="CC732" s="5">
        <f t="shared" si="552"/>
        <v>0</v>
      </c>
      <c r="CD732" s="5">
        <f t="shared" si="552"/>
        <v>0</v>
      </c>
      <c r="CE732" s="5">
        <f t="shared" si="552"/>
        <v>0</v>
      </c>
    </row>
    <row r="733" spans="1:83" x14ac:dyDescent="0.2">
      <c r="A733" s="11"/>
      <c r="B733" s="11"/>
      <c r="C733" s="1">
        <f>Growth!D738</f>
        <v>0</v>
      </c>
      <c r="D733" s="5" t="b">
        <f t="shared" si="550"/>
        <v>0</v>
      </c>
      <c r="E733" s="5">
        <v>2012</v>
      </c>
      <c r="F733" s="5">
        <f ca="1">LOOKUP($E733,frequence!$A$2:$A$35,frequence!L$2:L$35)</f>
        <v>41.545638202606931</v>
      </c>
      <c r="G733" s="5">
        <f ca="1">LOOKUP($E733,frequence!$A$2:$A$35,frequence!K$2:K$35)</f>
        <v>3.8191206393393822</v>
      </c>
      <c r="H733" s="5">
        <f ca="1">LOOKUP($E733,frequence!$A$2:$A$35,frequence!M$2:M$35)</f>
        <v>265.64322815143237</v>
      </c>
      <c r="I733" s="18">
        <v>2005</v>
      </c>
      <c r="J733" s="7">
        <f>LOOKUP(I733,CPI!A$69:A$103,CPI!O$69:O$103)</f>
        <v>1.1165181771633383</v>
      </c>
      <c r="K733" s="5">
        <v>2015</v>
      </c>
      <c r="L733" s="7">
        <f t="shared" ca="1" si="544"/>
        <v>1</v>
      </c>
      <c r="M733" s="7">
        <f t="shared" si="556"/>
        <v>4.3055555555555555E-2</v>
      </c>
      <c r="N733" s="14">
        <f t="shared" si="535"/>
        <v>6.9444444444444441E-3</v>
      </c>
      <c r="O733" s="1">
        <f ca="1">P733*J733*(1+Growth!G$6)^(2010-K733)</f>
        <v>63.183344062802867</v>
      </c>
      <c r="P733" s="11">
        <v>61</v>
      </c>
      <c r="Q733" s="2">
        <f t="shared" si="478"/>
        <v>61</v>
      </c>
      <c r="R733" s="21">
        <f t="shared" ca="1" si="551"/>
        <v>3992.1349669585261</v>
      </c>
      <c r="X733" s="2"/>
      <c r="AC733" s="1">
        <f t="shared" si="536"/>
        <v>6.2</v>
      </c>
      <c r="AD733" s="5">
        <v>1</v>
      </c>
      <c r="AE733" s="5">
        <v>0</v>
      </c>
      <c r="AF733" s="5">
        <v>1</v>
      </c>
      <c r="AG733" s="5">
        <v>0</v>
      </c>
      <c r="AH733" s="5">
        <v>1</v>
      </c>
      <c r="AI733" s="3">
        <f t="shared" si="549"/>
        <v>3.2</v>
      </c>
      <c r="AJ733" s="5">
        <f t="shared" si="555"/>
        <v>0</v>
      </c>
      <c r="AK733" s="5">
        <f t="shared" si="545"/>
        <v>0</v>
      </c>
      <c r="AL733" s="5">
        <f t="shared" si="546"/>
        <v>0</v>
      </c>
      <c r="AM733" s="5">
        <f t="shared" si="557"/>
        <v>0</v>
      </c>
      <c r="AN733" s="5">
        <f t="shared" si="547"/>
        <v>0</v>
      </c>
      <c r="AO733" s="5">
        <f t="shared" si="558"/>
        <v>0</v>
      </c>
      <c r="AP733" s="11">
        <v>3</v>
      </c>
      <c r="AQ733" s="1">
        <v>0.14000000000000001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1</v>
      </c>
      <c r="AY733" s="1">
        <f t="shared" si="530"/>
        <v>0</v>
      </c>
      <c r="AZ733" s="1">
        <f t="shared" si="531"/>
        <v>0</v>
      </c>
      <c r="BA733" s="1">
        <f t="shared" si="532"/>
        <v>0</v>
      </c>
      <c r="BB733" s="5">
        <v>0</v>
      </c>
      <c r="BC733" s="5">
        <v>0</v>
      </c>
      <c r="BD733" s="5">
        <v>0</v>
      </c>
      <c r="BE733" s="5">
        <f t="shared" si="533"/>
        <v>1</v>
      </c>
      <c r="BF733" s="5">
        <v>1</v>
      </c>
      <c r="BG733" s="5">
        <f t="shared" si="554"/>
        <v>0</v>
      </c>
      <c r="BH733" s="5">
        <f t="shared" si="554"/>
        <v>0</v>
      </c>
      <c r="BI733" s="5">
        <f t="shared" si="554"/>
        <v>0</v>
      </c>
      <c r="BJ733" s="5">
        <f t="shared" si="554"/>
        <v>0</v>
      </c>
      <c r="BK733" s="5">
        <f t="shared" si="554"/>
        <v>0</v>
      </c>
      <c r="BL733" s="5">
        <f t="shared" si="554"/>
        <v>0</v>
      </c>
      <c r="BM733" s="5">
        <f t="shared" si="554"/>
        <v>0</v>
      </c>
      <c r="BN733" s="5">
        <f t="shared" si="554"/>
        <v>0</v>
      </c>
      <c r="BO733" s="5">
        <f t="shared" si="553"/>
        <v>0</v>
      </c>
      <c r="BP733" s="5">
        <f t="shared" si="553"/>
        <v>0</v>
      </c>
      <c r="BQ733" s="5">
        <f t="shared" si="553"/>
        <v>0</v>
      </c>
      <c r="BR733" s="5">
        <f t="shared" si="553"/>
        <v>0</v>
      </c>
      <c r="BS733" s="5">
        <f t="shared" si="553"/>
        <v>0</v>
      </c>
      <c r="BT733" s="5">
        <f t="shared" si="553"/>
        <v>0</v>
      </c>
      <c r="BU733" s="5">
        <f t="shared" si="553"/>
        <v>0</v>
      </c>
      <c r="BV733" s="5">
        <f t="shared" si="553"/>
        <v>0</v>
      </c>
      <c r="BW733" s="5">
        <f t="shared" si="553"/>
        <v>0</v>
      </c>
      <c r="BX733" s="5">
        <f t="shared" si="553"/>
        <v>0</v>
      </c>
      <c r="BY733" s="5">
        <f t="shared" si="553"/>
        <v>0</v>
      </c>
      <c r="BZ733" s="5">
        <f t="shared" si="553"/>
        <v>0</v>
      </c>
      <c r="CA733" s="5">
        <f t="shared" si="553"/>
        <v>0</v>
      </c>
      <c r="CB733" s="5">
        <f t="shared" si="552"/>
        <v>1</v>
      </c>
      <c r="CC733" s="5">
        <f t="shared" si="552"/>
        <v>0</v>
      </c>
      <c r="CD733" s="5">
        <f t="shared" si="552"/>
        <v>0</v>
      </c>
      <c r="CE733" s="5">
        <f t="shared" si="552"/>
        <v>0</v>
      </c>
    </row>
    <row r="734" spans="1:83" x14ac:dyDescent="0.2">
      <c r="A734" s="11"/>
      <c r="B734" s="11"/>
      <c r="C734" s="1">
        <f>Growth!D739</f>
        <v>0</v>
      </c>
      <c r="D734" s="5" t="b">
        <f t="shared" si="550"/>
        <v>0</v>
      </c>
      <c r="E734" s="5">
        <v>2012</v>
      </c>
      <c r="F734" s="5">
        <f ca="1">LOOKUP($E734,frequence!$A$2:$A$35,frequence!L$2:L$35)</f>
        <v>41.545638202606931</v>
      </c>
      <c r="G734" s="5">
        <f ca="1">LOOKUP($E734,frequence!$A$2:$A$35,frequence!K$2:K$35)</f>
        <v>3.8191206393393822</v>
      </c>
      <c r="H734" s="5">
        <f ca="1">LOOKUP($E734,frequence!$A$2:$A$35,frequence!M$2:M$35)</f>
        <v>265.64322815143237</v>
      </c>
      <c r="I734" s="18">
        <v>2005</v>
      </c>
      <c r="J734" s="7">
        <f>LOOKUP(I734,CPI!A$69:A$103,CPI!O$69:O$103)</f>
        <v>1.1165181771633383</v>
      </c>
      <c r="K734" s="5">
        <v>2015</v>
      </c>
      <c r="L734" s="7">
        <f t="shared" ca="1" si="544"/>
        <v>1</v>
      </c>
      <c r="M734" s="7">
        <f t="shared" si="556"/>
        <v>4.3055555555555555E-2</v>
      </c>
      <c r="N734" s="14">
        <f t="shared" si="535"/>
        <v>6.9444444444444441E-3</v>
      </c>
      <c r="O734" s="1">
        <f ca="1">P734*J734*(1+Growth!G$6)^(2010-K734)</f>
        <v>93.221327305774722</v>
      </c>
      <c r="P734" s="11">
        <v>90</v>
      </c>
      <c r="Q734" s="2">
        <f t="shared" si="478"/>
        <v>90</v>
      </c>
      <c r="R734" s="21">
        <f t="shared" ca="1" si="551"/>
        <v>8690.2158646503794</v>
      </c>
      <c r="X734" s="2"/>
      <c r="AC734" s="1">
        <f t="shared" si="536"/>
        <v>6.2</v>
      </c>
      <c r="AD734" s="5">
        <v>1</v>
      </c>
      <c r="AE734" s="5">
        <v>0</v>
      </c>
      <c r="AF734" s="5">
        <v>1</v>
      </c>
      <c r="AG734" s="5">
        <v>0</v>
      </c>
      <c r="AH734" s="5">
        <v>1</v>
      </c>
      <c r="AI734" s="3">
        <f t="shared" si="549"/>
        <v>3.2</v>
      </c>
      <c r="AJ734" s="5">
        <f t="shared" si="555"/>
        <v>0</v>
      </c>
      <c r="AK734" s="5">
        <f t="shared" si="545"/>
        <v>0</v>
      </c>
      <c r="AL734" s="5">
        <f t="shared" si="546"/>
        <v>0</v>
      </c>
      <c r="AM734" s="5">
        <f t="shared" si="557"/>
        <v>0</v>
      </c>
      <c r="AN734" s="5">
        <f t="shared" si="547"/>
        <v>0</v>
      </c>
      <c r="AO734" s="5">
        <f t="shared" si="558"/>
        <v>0</v>
      </c>
      <c r="AP734" s="11">
        <v>3</v>
      </c>
      <c r="AQ734" s="1">
        <v>0.14000000000000001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1</v>
      </c>
      <c r="AY734" s="1">
        <f t="shared" si="530"/>
        <v>0</v>
      </c>
      <c r="AZ734" s="1">
        <f t="shared" si="531"/>
        <v>0</v>
      </c>
      <c r="BA734" s="1">
        <f t="shared" si="532"/>
        <v>0</v>
      </c>
      <c r="BB734" s="5">
        <v>0</v>
      </c>
      <c r="BC734" s="5">
        <v>0</v>
      </c>
      <c r="BD734" s="5">
        <v>0</v>
      </c>
      <c r="BE734" s="5">
        <f t="shared" si="533"/>
        <v>1</v>
      </c>
      <c r="BF734" s="5">
        <v>1</v>
      </c>
      <c r="BG734" s="5">
        <f t="shared" si="554"/>
        <v>0</v>
      </c>
      <c r="BH734" s="5">
        <f t="shared" si="554"/>
        <v>0</v>
      </c>
      <c r="BI734" s="5">
        <f t="shared" si="554"/>
        <v>0</v>
      </c>
      <c r="BJ734" s="5">
        <f t="shared" si="554"/>
        <v>0</v>
      </c>
      <c r="BK734" s="5">
        <f t="shared" si="554"/>
        <v>0</v>
      </c>
      <c r="BL734" s="5">
        <f t="shared" si="554"/>
        <v>0</v>
      </c>
      <c r="BM734" s="5">
        <f t="shared" si="554"/>
        <v>0</v>
      </c>
      <c r="BN734" s="5">
        <f t="shared" si="554"/>
        <v>0</v>
      </c>
      <c r="BO734" s="5">
        <f t="shared" si="553"/>
        <v>0</v>
      </c>
      <c r="BP734" s="5">
        <f t="shared" si="553"/>
        <v>0</v>
      </c>
      <c r="BQ734" s="5">
        <f t="shared" si="553"/>
        <v>0</v>
      </c>
      <c r="BR734" s="5">
        <f t="shared" si="553"/>
        <v>0</v>
      </c>
      <c r="BS734" s="5">
        <f t="shared" si="553"/>
        <v>0</v>
      </c>
      <c r="BT734" s="5">
        <f t="shared" si="553"/>
        <v>0</v>
      </c>
      <c r="BU734" s="5">
        <f t="shared" si="553"/>
        <v>0</v>
      </c>
      <c r="BV734" s="5">
        <f t="shared" si="553"/>
        <v>0</v>
      </c>
      <c r="BW734" s="5">
        <f t="shared" si="553"/>
        <v>0</v>
      </c>
      <c r="BX734" s="5">
        <f t="shared" si="553"/>
        <v>0</v>
      </c>
      <c r="BY734" s="5">
        <f t="shared" si="553"/>
        <v>0</v>
      </c>
      <c r="BZ734" s="5">
        <f t="shared" si="553"/>
        <v>0</v>
      </c>
      <c r="CA734" s="5">
        <f t="shared" si="553"/>
        <v>0</v>
      </c>
      <c r="CB734" s="5">
        <f t="shared" si="552"/>
        <v>1</v>
      </c>
      <c r="CC734" s="5">
        <f t="shared" si="552"/>
        <v>0</v>
      </c>
      <c r="CD734" s="5">
        <f t="shared" si="552"/>
        <v>0</v>
      </c>
      <c r="CE734" s="5">
        <f t="shared" si="552"/>
        <v>0</v>
      </c>
    </row>
    <row r="735" spans="1:83" x14ac:dyDescent="0.2">
      <c r="A735" s="11"/>
      <c r="B735" s="11"/>
      <c r="C735" s="1">
        <f>Growth!D740</f>
        <v>0</v>
      </c>
      <c r="D735" s="5" t="b">
        <f t="shared" si="550"/>
        <v>0</v>
      </c>
      <c r="E735" s="5">
        <v>2012</v>
      </c>
      <c r="F735" s="5">
        <f ca="1">LOOKUP($E735,frequence!$A$2:$A$35,frequence!L$2:L$35)</f>
        <v>41.545638202606931</v>
      </c>
      <c r="G735" s="5">
        <f ca="1">LOOKUP($E735,frequence!$A$2:$A$35,frequence!K$2:K$35)</f>
        <v>3.8191206393393822</v>
      </c>
      <c r="H735" s="5">
        <f ca="1">LOOKUP($E735,frequence!$A$2:$A$35,frequence!M$2:M$35)</f>
        <v>265.64322815143237</v>
      </c>
      <c r="I735" s="18">
        <v>2005</v>
      </c>
      <c r="J735" s="7">
        <f>LOOKUP(I735,CPI!A$69:A$103,CPI!O$69:O$103)</f>
        <v>1.1165181771633383</v>
      </c>
      <c r="K735" s="5">
        <v>2015</v>
      </c>
      <c r="L735" s="7">
        <f t="shared" ca="1" si="544"/>
        <v>1</v>
      </c>
      <c r="M735" s="7">
        <f t="shared" si="556"/>
        <v>4.3055555555555555E-2</v>
      </c>
      <c r="N735" s="14">
        <f t="shared" si="535"/>
        <v>6.9444444444444441E-3</v>
      </c>
      <c r="O735" s="1">
        <f ca="1">P735*J735*(1+Growth!G$6)^(2010-K735)</f>
        <v>87.006572152056407</v>
      </c>
      <c r="P735" s="11">
        <v>84</v>
      </c>
      <c r="Q735" s="2">
        <f t="shared" si="478"/>
        <v>84</v>
      </c>
      <c r="R735" s="21">
        <f t="shared" ca="1" si="551"/>
        <v>7570.1435976509974</v>
      </c>
      <c r="X735" s="2"/>
      <c r="AC735" s="1">
        <f t="shared" si="536"/>
        <v>6.2</v>
      </c>
      <c r="AD735" s="5">
        <v>1</v>
      </c>
      <c r="AE735" s="5">
        <v>0</v>
      </c>
      <c r="AF735" s="5">
        <v>1</v>
      </c>
      <c r="AG735" s="5">
        <v>0</v>
      </c>
      <c r="AH735" s="5">
        <v>1</v>
      </c>
      <c r="AI735" s="3">
        <f t="shared" si="549"/>
        <v>3.2</v>
      </c>
      <c r="AJ735" s="5">
        <f t="shared" si="555"/>
        <v>0</v>
      </c>
      <c r="AK735" s="5">
        <f t="shared" si="545"/>
        <v>0</v>
      </c>
      <c r="AL735" s="5">
        <f t="shared" si="546"/>
        <v>0</v>
      </c>
      <c r="AM735" s="5">
        <f t="shared" si="557"/>
        <v>0</v>
      </c>
      <c r="AN735" s="5">
        <f t="shared" si="547"/>
        <v>0</v>
      </c>
      <c r="AO735" s="5">
        <f t="shared" si="558"/>
        <v>0</v>
      </c>
      <c r="AP735" s="11">
        <v>3</v>
      </c>
      <c r="AQ735" s="1">
        <v>0.14000000000000001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1</v>
      </c>
      <c r="AY735" s="1">
        <f t="shared" si="530"/>
        <v>0</v>
      </c>
      <c r="AZ735" s="1">
        <f t="shared" si="531"/>
        <v>0</v>
      </c>
      <c r="BA735" s="1">
        <f t="shared" si="532"/>
        <v>0</v>
      </c>
      <c r="BB735" s="5">
        <v>0</v>
      </c>
      <c r="BC735" s="5">
        <v>0</v>
      </c>
      <c r="BD735" s="5">
        <v>0</v>
      </c>
      <c r="BE735" s="5">
        <f t="shared" si="533"/>
        <v>1</v>
      </c>
      <c r="BF735" s="5">
        <v>1</v>
      </c>
      <c r="BG735" s="5">
        <f t="shared" si="554"/>
        <v>0</v>
      </c>
      <c r="BH735" s="5">
        <f t="shared" si="554"/>
        <v>0</v>
      </c>
      <c r="BI735" s="5">
        <f t="shared" si="554"/>
        <v>0</v>
      </c>
      <c r="BJ735" s="5">
        <f t="shared" si="554"/>
        <v>0</v>
      </c>
      <c r="BK735" s="5">
        <f t="shared" si="554"/>
        <v>0</v>
      </c>
      <c r="BL735" s="5">
        <f t="shared" si="554"/>
        <v>0</v>
      </c>
      <c r="BM735" s="5">
        <f t="shared" si="554"/>
        <v>0</v>
      </c>
      <c r="BN735" s="5">
        <f t="shared" si="554"/>
        <v>0</v>
      </c>
      <c r="BO735" s="5">
        <f t="shared" si="553"/>
        <v>0</v>
      </c>
      <c r="BP735" s="5">
        <f t="shared" si="553"/>
        <v>0</v>
      </c>
      <c r="BQ735" s="5">
        <f t="shared" si="553"/>
        <v>0</v>
      </c>
      <c r="BR735" s="5">
        <f t="shared" si="553"/>
        <v>0</v>
      </c>
      <c r="BS735" s="5">
        <f t="shared" si="553"/>
        <v>0</v>
      </c>
      <c r="BT735" s="5">
        <f t="shared" si="553"/>
        <v>0</v>
      </c>
      <c r="BU735" s="5">
        <f t="shared" si="553"/>
        <v>0</v>
      </c>
      <c r="BV735" s="5">
        <f t="shared" si="553"/>
        <v>0</v>
      </c>
      <c r="BW735" s="5">
        <f t="shared" si="553"/>
        <v>0</v>
      </c>
      <c r="BX735" s="5">
        <f t="shared" si="553"/>
        <v>0</v>
      </c>
      <c r="BY735" s="5">
        <f t="shared" si="553"/>
        <v>0</v>
      </c>
      <c r="BZ735" s="5">
        <f t="shared" si="553"/>
        <v>0</v>
      </c>
      <c r="CA735" s="5">
        <f t="shared" si="553"/>
        <v>0</v>
      </c>
      <c r="CB735" s="5">
        <f t="shared" si="552"/>
        <v>1</v>
      </c>
      <c r="CC735" s="5">
        <f t="shared" si="552"/>
        <v>0</v>
      </c>
      <c r="CD735" s="5">
        <f t="shared" si="552"/>
        <v>0</v>
      </c>
      <c r="CE735" s="5">
        <f t="shared" si="552"/>
        <v>0</v>
      </c>
    </row>
    <row r="736" spans="1:83" x14ac:dyDescent="0.2">
      <c r="A736" s="11"/>
      <c r="B736" s="11"/>
      <c r="C736" s="1">
        <f>Growth!D741</f>
        <v>0</v>
      </c>
      <c r="D736" s="5" t="b">
        <f t="shared" si="550"/>
        <v>0</v>
      </c>
      <c r="E736" s="5">
        <v>2012</v>
      </c>
      <c r="F736" s="5">
        <f ca="1">LOOKUP($E736,frequence!$A$2:$A$35,frequence!L$2:L$35)</f>
        <v>41.545638202606931</v>
      </c>
      <c r="G736" s="5">
        <f ca="1">LOOKUP($E736,frequence!$A$2:$A$35,frequence!K$2:K$35)</f>
        <v>3.8191206393393822</v>
      </c>
      <c r="H736" s="5">
        <f ca="1">LOOKUP($E736,frequence!$A$2:$A$35,frequence!M$2:M$35)</f>
        <v>265.64322815143237</v>
      </c>
      <c r="I736" s="18">
        <v>2005</v>
      </c>
      <c r="J736" s="7">
        <f>LOOKUP(I736,CPI!A$69:A$103,CPI!O$69:O$103)</f>
        <v>1.1165181771633383</v>
      </c>
      <c r="K736" s="5">
        <v>2015</v>
      </c>
      <c r="L736" s="7">
        <f t="shared" ca="1" si="544"/>
        <v>1</v>
      </c>
      <c r="M736" s="7">
        <f t="shared" si="556"/>
        <v>4.3055555555555555E-2</v>
      </c>
      <c r="N736" s="14">
        <f t="shared" si="535"/>
        <v>6.9444444444444441E-3</v>
      </c>
      <c r="O736" s="1">
        <f ca="1">P736*J736*(1+Growth!G$6)^(2010-K736)</f>
        <v>107.72242266445079</v>
      </c>
      <c r="P736" s="11">
        <v>104</v>
      </c>
      <c r="Q736" s="2">
        <f t="shared" si="478"/>
        <v>104</v>
      </c>
      <c r="R736" s="21">
        <f t="shared" ca="1" si="551"/>
        <v>11604.120344698582</v>
      </c>
      <c r="X736" s="2"/>
      <c r="AC736" s="1">
        <f t="shared" si="536"/>
        <v>6.2</v>
      </c>
      <c r="AD736" s="5">
        <v>1</v>
      </c>
      <c r="AE736" s="5">
        <v>0</v>
      </c>
      <c r="AF736" s="5">
        <v>1</v>
      </c>
      <c r="AG736" s="5">
        <v>0</v>
      </c>
      <c r="AH736" s="5">
        <v>1</v>
      </c>
      <c r="AI736" s="3">
        <f t="shared" si="549"/>
        <v>3.2</v>
      </c>
      <c r="AJ736" s="5">
        <f t="shared" si="555"/>
        <v>0</v>
      </c>
      <c r="AK736" s="5">
        <f t="shared" si="545"/>
        <v>0</v>
      </c>
      <c r="AL736" s="5">
        <f t="shared" si="546"/>
        <v>0</v>
      </c>
      <c r="AM736" s="5">
        <f t="shared" si="557"/>
        <v>0</v>
      </c>
      <c r="AN736" s="5">
        <f t="shared" si="547"/>
        <v>0</v>
      </c>
      <c r="AO736" s="5">
        <f t="shared" si="558"/>
        <v>0</v>
      </c>
      <c r="AP736" s="11">
        <v>3</v>
      </c>
      <c r="AQ736" s="1">
        <v>0.14000000000000001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1</v>
      </c>
      <c r="AY736" s="1">
        <f t="shared" si="530"/>
        <v>0</v>
      </c>
      <c r="AZ736" s="1">
        <f t="shared" si="531"/>
        <v>0</v>
      </c>
      <c r="BA736" s="1">
        <f t="shared" si="532"/>
        <v>0</v>
      </c>
      <c r="BB736" s="5">
        <v>0</v>
      </c>
      <c r="BC736" s="5">
        <v>0</v>
      </c>
      <c r="BD736" s="5">
        <v>0</v>
      </c>
      <c r="BE736" s="5">
        <f t="shared" si="533"/>
        <v>1</v>
      </c>
      <c r="BF736" s="5">
        <v>1</v>
      </c>
      <c r="BG736" s="5">
        <f t="shared" si="554"/>
        <v>0</v>
      </c>
      <c r="BH736" s="5">
        <f t="shared" si="554"/>
        <v>0</v>
      </c>
      <c r="BI736" s="5">
        <f t="shared" si="554"/>
        <v>0</v>
      </c>
      <c r="BJ736" s="5">
        <f t="shared" si="554"/>
        <v>0</v>
      </c>
      <c r="BK736" s="5">
        <f t="shared" si="554"/>
        <v>0</v>
      </c>
      <c r="BL736" s="5">
        <f t="shared" si="554"/>
        <v>0</v>
      </c>
      <c r="BM736" s="5">
        <f t="shared" si="554"/>
        <v>0</v>
      </c>
      <c r="BN736" s="5">
        <f t="shared" si="554"/>
        <v>0</v>
      </c>
      <c r="BO736" s="5">
        <f t="shared" si="553"/>
        <v>0</v>
      </c>
      <c r="BP736" s="5">
        <f t="shared" si="553"/>
        <v>0</v>
      </c>
      <c r="BQ736" s="5">
        <f t="shared" si="553"/>
        <v>0</v>
      </c>
      <c r="BR736" s="5">
        <f t="shared" si="553"/>
        <v>0</v>
      </c>
      <c r="BS736" s="5">
        <f t="shared" si="553"/>
        <v>0</v>
      </c>
      <c r="BT736" s="5">
        <f t="shared" si="553"/>
        <v>0</v>
      </c>
      <c r="BU736" s="5">
        <f t="shared" si="553"/>
        <v>0</v>
      </c>
      <c r="BV736" s="5">
        <f t="shared" si="553"/>
        <v>0</v>
      </c>
      <c r="BW736" s="5">
        <f t="shared" si="553"/>
        <v>0</v>
      </c>
      <c r="BX736" s="5">
        <f t="shared" si="553"/>
        <v>0</v>
      </c>
      <c r="BY736" s="5">
        <f t="shared" si="553"/>
        <v>0</v>
      </c>
      <c r="BZ736" s="5">
        <f t="shared" si="553"/>
        <v>0</v>
      </c>
      <c r="CA736" s="5">
        <f t="shared" si="553"/>
        <v>0</v>
      </c>
      <c r="CB736" s="5">
        <f t="shared" si="552"/>
        <v>1</v>
      </c>
      <c r="CC736" s="5">
        <f t="shared" si="552"/>
        <v>0</v>
      </c>
      <c r="CD736" s="5">
        <f t="shared" si="552"/>
        <v>0</v>
      </c>
      <c r="CE736" s="5">
        <f t="shared" si="552"/>
        <v>0</v>
      </c>
    </row>
    <row r="737" spans="1:83" x14ac:dyDescent="0.2">
      <c r="A737" s="11"/>
      <c r="B737" s="11"/>
      <c r="C737" s="1">
        <f>Growth!D742</f>
        <v>0</v>
      </c>
      <c r="D737" s="5" t="b">
        <f t="shared" si="550"/>
        <v>0</v>
      </c>
      <c r="E737" s="5">
        <v>2012</v>
      </c>
      <c r="F737" s="5">
        <f ca="1">LOOKUP($E737,frequence!$A$2:$A$35,frequence!L$2:L$35)</f>
        <v>41.545638202606931</v>
      </c>
      <c r="G737" s="5">
        <f ca="1">LOOKUP($E737,frequence!$A$2:$A$35,frequence!K$2:K$35)</f>
        <v>3.8191206393393822</v>
      </c>
      <c r="H737" s="5">
        <f ca="1">LOOKUP($E737,frequence!$A$2:$A$35,frequence!M$2:M$35)</f>
        <v>265.64322815143237</v>
      </c>
      <c r="I737" s="18">
        <v>2005</v>
      </c>
      <c r="J737" s="7">
        <f>LOOKUP(I737,CPI!A$69:A$103,CPI!O$69:O$103)</f>
        <v>1.1165181771633383</v>
      </c>
      <c r="K737" s="5">
        <v>2015</v>
      </c>
      <c r="L737" s="7">
        <f t="shared" ca="1" si="544"/>
        <v>1</v>
      </c>
      <c r="M737" s="7">
        <f t="shared" si="556"/>
        <v>4.3055555555555555E-2</v>
      </c>
      <c r="N737" s="14">
        <f t="shared" si="535"/>
        <v>6.9444444444444441E-3</v>
      </c>
      <c r="O737" s="1">
        <f ca="1">P737*J737*(1+Growth!G$6)^(2010-K737)</f>
        <v>107.72242266445079</v>
      </c>
      <c r="P737" s="11">
        <v>104</v>
      </c>
      <c r="Q737" s="2">
        <f t="shared" si="478"/>
        <v>104</v>
      </c>
      <c r="R737" s="21">
        <f t="shared" ca="1" si="551"/>
        <v>11604.120344698582</v>
      </c>
      <c r="X737" s="2"/>
      <c r="AC737" s="1">
        <f t="shared" si="536"/>
        <v>6.2</v>
      </c>
      <c r="AD737" s="5">
        <v>1</v>
      </c>
      <c r="AE737" s="5">
        <v>0</v>
      </c>
      <c r="AF737" s="5">
        <v>1</v>
      </c>
      <c r="AG737" s="5">
        <v>0</v>
      </c>
      <c r="AH737" s="5">
        <v>1</v>
      </c>
      <c r="AI737" s="3">
        <f t="shared" si="549"/>
        <v>3.2</v>
      </c>
      <c r="AJ737" s="5">
        <f t="shared" si="555"/>
        <v>0</v>
      </c>
      <c r="AK737" s="5">
        <f t="shared" si="545"/>
        <v>0</v>
      </c>
      <c r="AL737" s="5">
        <f t="shared" si="546"/>
        <v>0</v>
      </c>
      <c r="AM737" s="5">
        <f t="shared" si="557"/>
        <v>0</v>
      </c>
      <c r="AN737" s="5">
        <f t="shared" si="547"/>
        <v>0</v>
      </c>
      <c r="AO737" s="5">
        <f t="shared" si="558"/>
        <v>0</v>
      </c>
      <c r="AP737" s="11">
        <v>3</v>
      </c>
      <c r="AQ737" s="1">
        <v>0.14000000000000001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1</v>
      </c>
      <c r="AY737" s="1">
        <f t="shared" si="530"/>
        <v>0</v>
      </c>
      <c r="AZ737" s="1">
        <f t="shared" si="531"/>
        <v>0</v>
      </c>
      <c r="BA737" s="1">
        <f t="shared" si="532"/>
        <v>0</v>
      </c>
      <c r="BB737" s="5">
        <v>0</v>
      </c>
      <c r="BC737" s="5">
        <v>0</v>
      </c>
      <c r="BD737" s="5">
        <v>0</v>
      </c>
      <c r="BE737" s="5">
        <f t="shared" si="533"/>
        <v>1</v>
      </c>
      <c r="BF737" s="5">
        <v>1</v>
      </c>
      <c r="BG737" s="5">
        <f t="shared" si="554"/>
        <v>0</v>
      </c>
      <c r="BH737" s="5">
        <f t="shared" si="554"/>
        <v>0</v>
      </c>
      <c r="BI737" s="5">
        <f t="shared" si="554"/>
        <v>0</v>
      </c>
      <c r="BJ737" s="5">
        <f t="shared" si="554"/>
        <v>0</v>
      </c>
      <c r="BK737" s="5">
        <f t="shared" si="554"/>
        <v>0</v>
      </c>
      <c r="BL737" s="5">
        <f t="shared" si="554"/>
        <v>0</v>
      </c>
      <c r="BM737" s="5">
        <f t="shared" si="554"/>
        <v>0</v>
      </c>
      <c r="BN737" s="5">
        <f t="shared" si="554"/>
        <v>0</v>
      </c>
      <c r="BO737" s="5">
        <f t="shared" si="553"/>
        <v>0</v>
      </c>
      <c r="BP737" s="5">
        <f t="shared" si="553"/>
        <v>0</v>
      </c>
      <c r="BQ737" s="5">
        <f t="shared" si="553"/>
        <v>0</v>
      </c>
      <c r="BR737" s="5">
        <f t="shared" si="553"/>
        <v>0</v>
      </c>
      <c r="BS737" s="5">
        <f t="shared" si="553"/>
        <v>0</v>
      </c>
      <c r="BT737" s="5">
        <f t="shared" si="553"/>
        <v>0</v>
      </c>
      <c r="BU737" s="5">
        <f t="shared" si="553"/>
        <v>0</v>
      </c>
      <c r="BV737" s="5">
        <f t="shared" si="553"/>
        <v>0</v>
      </c>
      <c r="BW737" s="5">
        <f t="shared" si="553"/>
        <v>0</v>
      </c>
      <c r="BX737" s="5">
        <f t="shared" si="553"/>
        <v>0</v>
      </c>
      <c r="BY737" s="5">
        <f t="shared" si="553"/>
        <v>0</v>
      </c>
      <c r="BZ737" s="5">
        <f t="shared" si="553"/>
        <v>0</v>
      </c>
      <c r="CA737" s="5">
        <f t="shared" si="553"/>
        <v>0</v>
      </c>
      <c r="CB737" s="5">
        <f t="shared" si="552"/>
        <v>1</v>
      </c>
      <c r="CC737" s="5">
        <f t="shared" si="552"/>
        <v>0</v>
      </c>
      <c r="CD737" s="5">
        <f t="shared" si="552"/>
        <v>0</v>
      </c>
      <c r="CE737" s="5">
        <f t="shared" si="552"/>
        <v>0</v>
      </c>
    </row>
    <row r="738" spans="1:83" x14ac:dyDescent="0.2">
      <c r="A738" s="11"/>
      <c r="B738" s="11"/>
      <c r="C738" s="1">
        <f>Growth!D743</f>
        <v>0</v>
      </c>
      <c r="D738" s="5" t="b">
        <f t="shared" si="550"/>
        <v>0</v>
      </c>
      <c r="E738" s="5">
        <v>2012</v>
      </c>
      <c r="F738" s="5">
        <f ca="1">LOOKUP($E738,frequence!$A$2:$A$35,frequence!L$2:L$35)</f>
        <v>41.545638202606931</v>
      </c>
      <c r="G738" s="5">
        <f ca="1">LOOKUP($E738,frequence!$A$2:$A$35,frequence!K$2:K$35)</f>
        <v>3.8191206393393822</v>
      </c>
      <c r="H738" s="5">
        <f ca="1">LOOKUP($E738,frequence!$A$2:$A$35,frequence!M$2:M$35)</f>
        <v>265.64322815143237</v>
      </c>
      <c r="I738" s="18">
        <v>2005</v>
      </c>
      <c r="J738" s="7">
        <f>LOOKUP(I738,CPI!A$69:A$103,CPI!O$69:O$103)</f>
        <v>1.1165181771633383</v>
      </c>
      <c r="K738" s="5">
        <v>2015</v>
      </c>
      <c r="L738" s="7">
        <f t="shared" ca="1" si="544"/>
        <v>1</v>
      </c>
      <c r="M738" s="7">
        <f t="shared" si="556"/>
        <v>4.3055555555555555E-2</v>
      </c>
      <c r="N738" s="14">
        <f t="shared" si="535"/>
        <v>6.9444444444444441E-3</v>
      </c>
      <c r="O738" s="1">
        <f ca="1">P738*J738*(1+Growth!G$6)^(2010-K738)</f>
        <v>62.147551537183141</v>
      </c>
      <c r="P738" s="11">
        <v>60</v>
      </c>
      <c r="Q738" s="2">
        <f t="shared" si="478"/>
        <v>60</v>
      </c>
      <c r="R738" s="21">
        <f t="shared" ca="1" si="551"/>
        <v>3862.3181620668347</v>
      </c>
      <c r="X738" s="2"/>
      <c r="AC738" s="1">
        <f t="shared" si="536"/>
        <v>6.2</v>
      </c>
      <c r="AD738" s="5">
        <v>1</v>
      </c>
      <c r="AE738" s="5">
        <v>0</v>
      </c>
      <c r="AF738" s="5">
        <v>1</v>
      </c>
      <c r="AG738" s="5">
        <v>0</v>
      </c>
      <c r="AH738" s="5">
        <v>1</v>
      </c>
      <c r="AI738" s="3">
        <f t="shared" si="549"/>
        <v>3.2</v>
      </c>
      <c r="AJ738" s="5">
        <f t="shared" si="555"/>
        <v>0</v>
      </c>
      <c r="AK738" s="5">
        <f t="shared" si="545"/>
        <v>0</v>
      </c>
      <c r="AL738" s="5">
        <f t="shared" si="546"/>
        <v>0</v>
      </c>
      <c r="AM738" s="5">
        <f t="shared" si="557"/>
        <v>0</v>
      </c>
      <c r="AN738" s="5">
        <f t="shared" si="547"/>
        <v>0</v>
      </c>
      <c r="AO738" s="5">
        <f t="shared" si="558"/>
        <v>0</v>
      </c>
      <c r="AP738" s="11">
        <v>3</v>
      </c>
      <c r="AQ738" s="1">
        <v>-1.1000000000000001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1</v>
      </c>
      <c r="AY738" s="1">
        <f t="shared" si="530"/>
        <v>0</v>
      </c>
      <c r="AZ738" s="1">
        <f t="shared" si="531"/>
        <v>0</v>
      </c>
      <c r="BA738" s="1">
        <f t="shared" si="532"/>
        <v>0</v>
      </c>
      <c r="BB738" s="5">
        <v>0</v>
      </c>
      <c r="BC738" s="5">
        <v>0</v>
      </c>
      <c r="BD738" s="5">
        <v>0</v>
      </c>
      <c r="BE738" s="5">
        <f t="shared" si="533"/>
        <v>1</v>
      </c>
      <c r="BF738" s="5">
        <v>1</v>
      </c>
      <c r="BG738" s="5">
        <f t="shared" si="554"/>
        <v>0</v>
      </c>
      <c r="BH738" s="5">
        <f t="shared" si="554"/>
        <v>0</v>
      </c>
      <c r="BI738" s="5">
        <f t="shared" si="554"/>
        <v>0</v>
      </c>
      <c r="BJ738" s="5">
        <f t="shared" si="554"/>
        <v>0</v>
      </c>
      <c r="BK738" s="5">
        <f t="shared" si="554"/>
        <v>0</v>
      </c>
      <c r="BL738" s="5">
        <f t="shared" si="554"/>
        <v>0</v>
      </c>
      <c r="BM738" s="5">
        <f t="shared" si="554"/>
        <v>0</v>
      </c>
      <c r="BN738" s="5">
        <f t="shared" si="554"/>
        <v>0</v>
      </c>
      <c r="BO738" s="5">
        <f t="shared" si="553"/>
        <v>0</v>
      </c>
      <c r="BP738" s="5">
        <f t="shared" si="553"/>
        <v>0</v>
      </c>
      <c r="BQ738" s="5">
        <f t="shared" si="553"/>
        <v>0</v>
      </c>
      <c r="BR738" s="5">
        <f t="shared" si="553"/>
        <v>0</v>
      </c>
      <c r="BS738" s="5">
        <f t="shared" si="553"/>
        <v>0</v>
      </c>
      <c r="BT738" s="5">
        <f t="shared" si="553"/>
        <v>0</v>
      </c>
      <c r="BU738" s="5">
        <f t="shared" si="553"/>
        <v>0</v>
      </c>
      <c r="BV738" s="5">
        <f t="shared" si="553"/>
        <v>0</v>
      </c>
      <c r="BW738" s="5">
        <f t="shared" si="553"/>
        <v>0</v>
      </c>
      <c r="BX738" s="5">
        <f t="shared" si="553"/>
        <v>0</v>
      </c>
      <c r="BY738" s="5">
        <f t="shared" si="553"/>
        <v>0</v>
      </c>
      <c r="BZ738" s="5">
        <f t="shared" si="553"/>
        <v>0</v>
      </c>
      <c r="CA738" s="5">
        <f t="shared" si="553"/>
        <v>0</v>
      </c>
      <c r="CB738" s="5">
        <f t="shared" si="552"/>
        <v>1</v>
      </c>
      <c r="CC738" s="5">
        <f t="shared" si="552"/>
        <v>0</v>
      </c>
      <c r="CD738" s="5">
        <f t="shared" si="552"/>
        <v>0</v>
      </c>
      <c r="CE738" s="5">
        <f t="shared" si="552"/>
        <v>0</v>
      </c>
    </row>
    <row r="739" spans="1:83" x14ac:dyDescent="0.2">
      <c r="A739" s="11"/>
      <c r="B739" s="11"/>
      <c r="C739" s="1">
        <f>Growth!D744</f>
        <v>0</v>
      </c>
      <c r="D739" s="5" t="b">
        <f t="shared" si="550"/>
        <v>0</v>
      </c>
      <c r="E739" s="5">
        <v>2012</v>
      </c>
      <c r="F739" s="5">
        <f ca="1">LOOKUP($E739,frequence!$A$2:$A$35,frequence!L$2:L$35)</f>
        <v>41.545638202606931</v>
      </c>
      <c r="G739" s="5">
        <f ca="1">LOOKUP($E739,frequence!$A$2:$A$35,frequence!K$2:K$35)</f>
        <v>3.8191206393393822</v>
      </c>
      <c r="H739" s="5">
        <f ca="1">LOOKUP($E739,frequence!$A$2:$A$35,frequence!M$2:M$35)</f>
        <v>265.64322815143237</v>
      </c>
      <c r="I739" s="18">
        <v>2005</v>
      </c>
      <c r="J739" s="7">
        <f>LOOKUP(I739,CPI!A$69:A$103,CPI!O$69:O$103)</f>
        <v>1.1165181771633383</v>
      </c>
      <c r="K739" s="5">
        <v>2015</v>
      </c>
      <c r="L739" s="7">
        <f t="shared" ca="1" si="544"/>
        <v>1</v>
      </c>
      <c r="M739" s="7">
        <f t="shared" si="556"/>
        <v>4.3055555555555555E-2</v>
      </c>
      <c r="N739" s="14">
        <f t="shared" si="535"/>
        <v>6.9444444444444441E-3</v>
      </c>
      <c r="O739" s="1">
        <f ca="1">P739*J739*(1+Growth!G$6)^(2010-K739)</f>
        <v>64.219136588422586</v>
      </c>
      <c r="P739" s="11">
        <v>62</v>
      </c>
      <c r="Q739" s="2">
        <f t="shared" si="478"/>
        <v>62</v>
      </c>
      <c r="R739" s="21">
        <f t="shared" ca="1" si="551"/>
        <v>4124.0975041624761</v>
      </c>
      <c r="X739" s="2"/>
      <c r="AC739" s="1">
        <f t="shared" si="536"/>
        <v>6.2</v>
      </c>
      <c r="AD739" s="5">
        <v>1</v>
      </c>
      <c r="AE739" s="5">
        <v>0</v>
      </c>
      <c r="AF739" s="5">
        <v>1</v>
      </c>
      <c r="AG739" s="5">
        <v>0</v>
      </c>
      <c r="AH739" s="5">
        <v>1</v>
      </c>
      <c r="AI739" s="3">
        <f t="shared" si="549"/>
        <v>3.2</v>
      </c>
      <c r="AJ739" s="5">
        <f t="shared" si="555"/>
        <v>0</v>
      </c>
      <c r="AK739" s="5">
        <f t="shared" si="545"/>
        <v>0</v>
      </c>
      <c r="AL739" s="5">
        <f t="shared" si="546"/>
        <v>0</v>
      </c>
      <c r="AM739" s="5">
        <f t="shared" si="557"/>
        <v>0</v>
      </c>
      <c r="AN739" s="5">
        <f t="shared" si="547"/>
        <v>0</v>
      </c>
      <c r="AO739" s="5">
        <f t="shared" si="558"/>
        <v>0</v>
      </c>
      <c r="AP739" s="11">
        <v>3</v>
      </c>
      <c r="AQ739" s="1">
        <v>-1.1000000000000001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1</v>
      </c>
      <c r="AY739" s="1">
        <f t="shared" si="530"/>
        <v>0</v>
      </c>
      <c r="AZ739" s="1">
        <f t="shared" si="531"/>
        <v>0</v>
      </c>
      <c r="BA739" s="1">
        <f t="shared" si="532"/>
        <v>0</v>
      </c>
      <c r="BB739" s="5">
        <v>0</v>
      </c>
      <c r="BC739" s="5">
        <v>0</v>
      </c>
      <c r="BD739" s="5">
        <v>0</v>
      </c>
      <c r="BE739" s="5">
        <f t="shared" si="533"/>
        <v>1</v>
      </c>
      <c r="BF739" s="5">
        <v>1</v>
      </c>
      <c r="BG739" s="5">
        <f t="shared" si="554"/>
        <v>0</v>
      </c>
      <c r="BH739" s="5">
        <f t="shared" si="554"/>
        <v>0</v>
      </c>
      <c r="BI739" s="5">
        <f t="shared" si="554"/>
        <v>0</v>
      </c>
      <c r="BJ739" s="5">
        <f t="shared" si="554"/>
        <v>0</v>
      </c>
      <c r="BK739" s="5">
        <f t="shared" si="554"/>
        <v>0</v>
      </c>
      <c r="BL739" s="5">
        <f t="shared" si="554"/>
        <v>0</v>
      </c>
      <c r="BM739" s="5">
        <f t="shared" si="554"/>
        <v>0</v>
      </c>
      <c r="BN739" s="5">
        <f t="shared" si="554"/>
        <v>0</v>
      </c>
      <c r="BO739" s="5">
        <f t="shared" si="553"/>
        <v>0</v>
      </c>
      <c r="BP739" s="5">
        <f t="shared" si="553"/>
        <v>0</v>
      </c>
      <c r="BQ739" s="5">
        <f t="shared" si="553"/>
        <v>0</v>
      </c>
      <c r="BR739" s="5">
        <f t="shared" si="553"/>
        <v>0</v>
      </c>
      <c r="BS739" s="5">
        <f t="shared" si="553"/>
        <v>0</v>
      </c>
      <c r="BT739" s="5">
        <f t="shared" si="553"/>
        <v>0</v>
      </c>
      <c r="BU739" s="5">
        <f t="shared" si="553"/>
        <v>0</v>
      </c>
      <c r="BV739" s="5">
        <f t="shared" si="553"/>
        <v>0</v>
      </c>
      <c r="BW739" s="5">
        <f t="shared" si="553"/>
        <v>0</v>
      </c>
      <c r="BX739" s="5">
        <f t="shared" si="553"/>
        <v>0</v>
      </c>
      <c r="BY739" s="5">
        <f t="shared" si="553"/>
        <v>0</v>
      </c>
      <c r="BZ739" s="5">
        <f t="shared" si="553"/>
        <v>0</v>
      </c>
      <c r="CA739" s="5">
        <f t="shared" si="553"/>
        <v>0</v>
      </c>
      <c r="CB739" s="5">
        <f t="shared" si="552"/>
        <v>1</v>
      </c>
      <c r="CC739" s="5">
        <f t="shared" si="552"/>
        <v>0</v>
      </c>
      <c r="CD739" s="5">
        <f t="shared" si="552"/>
        <v>0</v>
      </c>
      <c r="CE739" s="5">
        <f t="shared" si="552"/>
        <v>0</v>
      </c>
    </row>
    <row r="740" spans="1:83" x14ac:dyDescent="0.2">
      <c r="A740" s="11"/>
      <c r="B740" s="11"/>
      <c r="C740" s="1">
        <f>Growth!D745</f>
        <v>0</v>
      </c>
      <c r="D740" s="5" t="b">
        <f t="shared" si="550"/>
        <v>0</v>
      </c>
      <c r="E740" s="5">
        <v>2012</v>
      </c>
      <c r="F740" s="5">
        <f ca="1">LOOKUP($E740,frequence!$A$2:$A$35,frequence!L$2:L$35)</f>
        <v>41.545638202606931</v>
      </c>
      <c r="G740" s="5">
        <f ca="1">LOOKUP($E740,frequence!$A$2:$A$35,frequence!K$2:K$35)</f>
        <v>3.8191206393393822</v>
      </c>
      <c r="H740" s="5">
        <f ca="1">LOOKUP($E740,frequence!$A$2:$A$35,frequence!M$2:M$35)</f>
        <v>265.64322815143237</v>
      </c>
      <c r="I740" s="18">
        <v>2005</v>
      </c>
      <c r="J740" s="7">
        <f>LOOKUP(I740,CPI!A$69:A$103,CPI!O$69:O$103)</f>
        <v>1.1165181771633383</v>
      </c>
      <c r="K740" s="5">
        <v>2015</v>
      </c>
      <c r="L740" s="7">
        <f t="shared" ca="1" si="544"/>
        <v>1</v>
      </c>
      <c r="M740" s="7">
        <f t="shared" si="556"/>
        <v>4.3055555555555555E-2</v>
      </c>
      <c r="N740" s="14">
        <f t="shared" si="535"/>
        <v>6.9444444444444441E-3</v>
      </c>
      <c r="O740" s="1">
        <f ca="1">P740*J740*(1+Growth!G$6)^(2010-K740)</f>
        <v>54.897003857845114</v>
      </c>
      <c r="P740" s="11">
        <v>53</v>
      </c>
      <c r="Q740" s="2">
        <f t="shared" si="478"/>
        <v>53</v>
      </c>
      <c r="R740" s="21">
        <f t="shared" ca="1" si="551"/>
        <v>3013.6810325682613</v>
      </c>
      <c r="X740" s="2"/>
      <c r="AC740" s="1">
        <f t="shared" si="536"/>
        <v>6.2</v>
      </c>
      <c r="AD740" s="5">
        <v>1</v>
      </c>
      <c r="AE740" s="5">
        <v>0</v>
      </c>
      <c r="AF740" s="5">
        <v>1</v>
      </c>
      <c r="AG740" s="5">
        <v>0</v>
      </c>
      <c r="AH740" s="5">
        <v>1</v>
      </c>
      <c r="AI740" s="3">
        <f t="shared" si="549"/>
        <v>3.2</v>
      </c>
      <c r="AJ740" s="5">
        <f t="shared" si="555"/>
        <v>0</v>
      </c>
      <c r="AK740" s="5">
        <f t="shared" si="545"/>
        <v>0</v>
      </c>
      <c r="AL740" s="5">
        <f t="shared" si="546"/>
        <v>0</v>
      </c>
      <c r="AM740" s="5">
        <f t="shared" si="557"/>
        <v>0</v>
      </c>
      <c r="AN740" s="5">
        <f t="shared" si="547"/>
        <v>0</v>
      </c>
      <c r="AO740" s="5">
        <f t="shared" si="558"/>
        <v>0</v>
      </c>
      <c r="AP740" s="11">
        <v>3</v>
      </c>
      <c r="AQ740" s="1">
        <v>-1.1000000000000001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1</v>
      </c>
      <c r="AY740" s="1">
        <f t="shared" ref="AY740:AY756" si="559">AJ740*$AD740*(1-$AV740)*(1-$AR740)</f>
        <v>0</v>
      </c>
      <c r="AZ740" s="1">
        <f t="shared" ref="AZ740:AZ756" si="560">AM740*$AD740*(1-$AV740)*(1-$AR740)</f>
        <v>0</v>
      </c>
      <c r="BA740" s="1">
        <f t="shared" ref="BA740:BA756" si="561">AO740*$AD740*(1-$AV740)*(1-$AR740)</f>
        <v>0</v>
      </c>
      <c r="BB740" s="5">
        <v>0</v>
      </c>
      <c r="BC740" s="5">
        <v>0</v>
      </c>
      <c r="BD740" s="5">
        <v>0</v>
      </c>
      <c r="BE740" s="5">
        <f t="shared" ref="BE740:BE756" si="562">1-SUM(BB740:BD740)</f>
        <v>1</v>
      </c>
      <c r="BF740" s="5">
        <v>1</v>
      </c>
      <c r="BG740" s="5">
        <f t="shared" si="554"/>
        <v>0</v>
      </c>
      <c r="BH740" s="5">
        <f t="shared" si="554"/>
        <v>0</v>
      </c>
      <c r="BI740" s="5">
        <f t="shared" si="554"/>
        <v>0</v>
      </c>
      <c r="BJ740" s="5">
        <f t="shared" si="554"/>
        <v>0</v>
      </c>
      <c r="BK740" s="5">
        <f t="shared" si="554"/>
        <v>0</v>
      </c>
      <c r="BL740" s="5">
        <f t="shared" si="554"/>
        <v>0</v>
      </c>
      <c r="BM740" s="5">
        <f t="shared" si="554"/>
        <v>0</v>
      </c>
      <c r="BN740" s="5">
        <f t="shared" ref="BN740:CB755" si="563">IF($E740=BN$2,1,0)</f>
        <v>0</v>
      </c>
      <c r="BO740" s="5">
        <f t="shared" si="563"/>
        <v>0</v>
      </c>
      <c r="BP740" s="5">
        <f t="shared" si="563"/>
        <v>0</v>
      </c>
      <c r="BQ740" s="5">
        <f t="shared" si="563"/>
        <v>0</v>
      </c>
      <c r="BR740" s="5">
        <f t="shared" si="563"/>
        <v>0</v>
      </c>
      <c r="BS740" s="5">
        <f t="shared" si="563"/>
        <v>0</v>
      </c>
      <c r="BT740" s="5">
        <f t="shared" si="563"/>
        <v>0</v>
      </c>
      <c r="BU740" s="5">
        <f t="shared" si="563"/>
        <v>0</v>
      </c>
      <c r="BV740" s="5">
        <f t="shared" si="563"/>
        <v>0</v>
      </c>
      <c r="BW740" s="5">
        <f t="shared" si="563"/>
        <v>0</v>
      </c>
      <c r="BX740" s="5">
        <f t="shared" si="563"/>
        <v>0</v>
      </c>
      <c r="BY740" s="5">
        <f t="shared" si="563"/>
        <v>0</v>
      </c>
      <c r="BZ740" s="5">
        <f t="shared" si="563"/>
        <v>0</v>
      </c>
      <c r="CA740" s="5">
        <f t="shared" si="563"/>
        <v>0</v>
      </c>
      <c r="CB740" s="5">
        <f t="shared" si="552"/>
        <v>1</v>
      </c>
      <c r="CC740" s="5">
        <f t="shared" si="552"/>
        <v>0</v>
      </c>
      <c r="CD740" s="5">
        <f t="shared" si="552"/>
        <v>0</v>
      </c>
      <c r="CE740" s="5">
        <f t="shared" si="552"/>
        <v>0</v>
      </c>
    </row>
    <row r="741" spans="1:83" x14ac:dyDescent="0.2">
      <c r="A741" s="11"/>
      <c r="B741" s="11"/>
      <c r="C741" s="1">
        <f>Growth!D746</f>
        <v>0</v>
      </c>
      <c r="D741" s="5" t="b">
        <f t="shared" si="550"/>
        <v>0</v>
      </c>
      <c r="E741" s="5">
        <v>2012</v>
      </c>
      <c r="F741" s="5">
        <f ca="1">LOOKUP($E741,frequence!$A$2:$A$35,frequence!L$2:L$35)</f>
        <v>41.545638202606931</v>
      </c>
      <c r="G741" s="5">
        <f ca="1">LOOKUP($E741,frequence!$A$2:$A$35,frequence!K$2:K$35)</f>
        <v>3.8191206393393822</v>
      </c>
      <c r="H741" s="5">
        <f ca="1">LOOKUP($E741,frequence!$A$2:$A$35,frequence!M$2:M$35)</f>
        <v>265.64322815143237</v>
      </c>
      <c r="I741" s="18">
        <v>2005</v>
      </c>
      <c r="J741" s="7">
        <f>LOOKUP(I741,CPI!A$69:A$103,CPI!O$69:O$103)</f>
        <v>1.1165181771633383</v>
      </c>
      <c r="K741" s="5">
        <v>2015</v>
      </c>
      <c r="L741" s="7">
        <f t="shared" ca="1" si="544"/>
        <v>1</v>
      </c>
      <c r="M741" s="7">
        <f t="shared" si="556"/>
        <v>4.3055555555555555E-2</v>
      </c>
      <c r="N741" s="14">
        <f t="shared" ref="N741:N755" si="564">1/144</f>
        <v>6.9444444444444441E-3</v>
      </c>
      <c r="O741" s="1">
        <f ca="1">P741*J741*(1+Growth!G$6)^(2010-K741)</f>
        <v>148.11833116361981</v>
      </c>
      <c r="P741" s="11">
        <v>143</v>
      </c>
      <c r="Q741" s="2">
        <f t="shared" si="478"/>
        <v>143</v>
      </c>
      <c r="R741" s="21">
        <f t="shared" ca="1" si="551"/>
        <v>21939.040026695748</v>
      </c>
      <c r="X741" s="2"/>
      <c r="AC741" s="1">
        <f t="shared" ref="AC741:AC755" si="565">SUM(AD741:AI741)</f>
        <v>6.2</v>
      </c>
      <c r="AD741" s="5">
        <v>1</v>
      </c>
      <c r="AE741" s="5">
        <v>0</v>
      </c>
      <c r="AF741" s="5">
        <v>1</v>
      </c>
      <c r="AG741" s="5">
        <v>0</v>
      </c>
      <c r="AH741" s="5">
        <v>1</v>
      </c>
      <c r="AI741" s="3">
        <f t="shared" si="549"/>
        <v>3.2</v>
      </c>
      <c r="AJ741" s="5">
        <f t="shared" si="555"/>
        <v>0</v>
      </c>
      <c r="AK741" s="5">
        <f t="shared" si="545"/>
        <v>0</v>
      </c>
      <c r="AL741" s="5">
        <f t="shared" si="546"/>
        <v>0</v>
      </c>
      <c r="AM741" s="5">
        <f t="shared" si="557"/>
        <v>0</v>
      </c>
      <c r="AN741" s="5">
        <f t="shared" si="547"/>
        <v>0</v>
      </c>
      <c r="AO741" s="5">
        <f t="shared" si="558"/>
        <v>0</v>
      </c>
      <c r="AP741" s="11">
        <v>3</v>
      </c>
      <c r="AQ741" s="1">
        <v>-1.1000000000000001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1</v>
      </c>
      <c r="AY741" s="1">
        <f t="shared" si="559"/>
        <v>0</v>
      </c>
      <c r="AZ741" s="1">
        <f t="shared" si="560"/>
        <v>0</v>
      </c>
      <c r="BA741" s="1">
        <f t="shared" si="561"/>
        <v>0</v>
      </c>
      <c r="BB741" s="5">
        <v>0</v>
      </c>
      <c r="BC741" s="5">
        <v>0</v>
      </c>
      <c r="BD741" s="5">
        <v>0</v>
      </c>
      <c r="BE741" s="5">
        <f t="shared" si="562"/>
        <v>1</v>
      </c>
      <c r="BF741" s="5">
        <v>1</v>
      </c>
      <c r="BG741" s="5">
        <f t="shared" ref="BG741:BN756" si="566">IF($E741=BG$2,1,0)</f>
        <v>0</v>
      </c>
      <c r="BH741" s="5">
        <f t="shared" si="566"/>
        <v>0</v>
      </c>
      <c r="BI741" s="5">
        <f t="shared" si="566"/>
        <v>0</v>
      </c>
      <c r="BJ741" s="5">
        <f t="shared" si="566"/>
        <v>0</v>
      </c>
      <c r="BK741" s="5">
        <f t="shared" si="566"/>
        <v>0</v>
      </c>
      <c r="BL741" s="5">
        <f t="shared" si="566"/>
        <v>0</v>
      </c>
      <c r="BM741" s="5">
        <f t="shared" si="566"/>
        <v>0</v>
      </c>
      <c r="BN741" s="5">
        <f t="shared" si="563"/>
        <v>0</v>
      </c>
      <c r="BO741" s="5">
        <f t="shared" si="563"/>
        <v>0</v>
      </c>
      <c r="BP741" s="5">
        <f t="shared" si="563"/>
        <v>0</v>
      </c>
      <c r="BQ741" s="5">
        <f t="shared" si="563"/>
        <v>0</v>
      </c>
      <c r="BR741" s="5">
        <f t="shared" si="563"/>
        <v>0</v>
      </c>
      <c r="BS741" s="5">
        <f t="shared" si="563"/>
        <v>0</v>
      </c>
      <c r="BT741" s="5">
        <f t="shared" si="563"/>
        <v>0</v>
      </c>
      <c r="BU741" s="5">
        <f t="shared" si="563"/>
        <v>0</v>
      </c>
      <c r="BV741" s="5">
        <f t="shared" si="563"/>
        <v>0</v>
      </c>
      <c r="BW741" s="5">
        <f t="shared" si="563"/>
        <v>0</v>
      </c>
      <c r="BX741" s="5">
        <f t="shared" si="563"/>
        <v>0</v>
      </c>
      <c r="BY741" s="5">
        <f t="shared" si="563"/>
        <v>0</v>
      </c>
      <c r="BZ741" s="5">
        <f t="shared" si="563"/>
        <v>0</v>
      </c>
      <c r="CA741" s="5">
        <f t="shared" si="563"/>
        <v>0</v>
      </c>
      <c r="CB741" s="5">
        <f t="shared" si="552"/>
        <v>1</v>
      </c>
      <c r="CC741" s="5">
        <f t="shared" si="552"/>
        <v>0</v>
      </c>
      <c r="CD741" s="5">
        <f t="shared" si="552"/>
        <v>0</v>
      </c>
      <c r="CE741" s="5">
        <f t="shared" si="552"/>
        <v>0</v>
      </c>
    </row>
    <row r="742" spans="1:83" x14ac:dyDescent="0.2">
      <c r="A742" s="11"/>
      <c r="B742" s="11"/>
      <c r="C742" s="1">
        <f>Growth!D747</f>
        <v>0</v>
      </c>
      <c r="D742" s="5" t="b">
        <f t="shared" si="550"/>
        <v>0</v>
      </c>
      <c r="E742" s="5">
        <v>2012</v>
      </c>
      <c r="F742" s="5">
        <f ca="1">LOOKUP($E742,frequence!$A$2:$A$35,frequence!L$2:L$35)</f>
        <v>41.545638202606931</v>
      </c>
      <c r="G742" s="5">
        <f ca="1">LOOKUP($E742,frequence!$A$2:$A$35,frequence!K$2:K$35)</f>
        <v>3.8191206393393822</v>
      </c>
      <c r="H742" s="5">
        <f ca="1">LOOKUP($E742,frequence!$A$2:$A$35,frequence!M$2:M$35)</f>
        <v>265.64322815143237</v>
      </c>
      <c r="I742" s="18">
        <v>2005</v>
      </c>
      <c r="J742" s="7">
        <f>LOOKUP(I742,CPI!A$69:A$103,CPI!O$69:O$103)</f>
        <v>1.1165181771633383</v>
      </c>
      <c r="K742" s="5">
        <v>2015</v>
      </c>
      <c r="L742" s="7">
        <f t="shared" ca="1" si="544"/>
        <v>1</v>
      </c>
      <c r="M742" s="7">
        <f t="shared" si="556"/>
        <v>4.3055555555555555E-2</v>
      </c>
      <c r="N742" s="14">
        <f t="shared" si="564"/>
        <v>6.9444444444444441E-3</v>
      </c>
      <c r="O742" s="1">
        <f ca="1">P742*J742*(1+Growth!G$6)^(2010-K742)</f>
        <v>148.11833116361981</v>
      </c>
      <c r="P742" s="11">
        <v>143</v>
      </c>
      <c r="Q742" s="2">
        <f t="shared" si="478"/>
        <v>143</v>
      </c>
      <c r="R742" s="21">
        <f t="shared" ca="1" si="551"/>
        <v>21939.040026695748</v>
      </c>
      <c r="X742" s="2"/>
      <c r="AC742" s="1">
        <f t="shared" si="565"/>
        <v>6.2</v>
      </c>
      <c r="AD742" s="5">
        <v>1</v>
      </c>
      <c r="AE742" s="5">
        <v>0</v>
      </c>
      <c r="AF742" s="5">
        <v>1</v>
      </c>
      <c r="AG742" s="5">
        <v>0</v>
      </c>
      <c r="AH742" s="5">
        <v>1</v>
      </c>
      <c r="AI742" s="3">
        <f t="shared" si="549"/>
        <v>3.2</v>
      </c>
      <c r="AJ742" s="5">
        <f t="shared" si="555"/>
        <v>0</v>
      </c>
      <c r="AK742" s="5">
        <f t="shared" si="545"/>
        <v>0</v>
      </c>
      <c r="AL742" s="5">
        <f t="shared" si="546"/>
        <v>0</v>
      </c>
      <c r="AM742" s="5">
        <f t="shared" si="557"/>
        <v>0</v>
      </c>
      <c r="AN742" s="5">
        <f t="shared" si="547"/>
        <v>0</v>
      </c>
      <c r="AO742" s="5">
        <f t="shared" si="558"/>
        <v>0</v>
      </c>
      <c r="AP742" s="11">
        <v>3</v>
      </c>
      <c r="AQ742" s="1">
        <v>-1.1000000000000001</v>
      </c>
      <c r="AR742" s="5">
        <v>0</v>
      </c>
      <c r="AS742" s="5">
        <v>0</v>
      </c>
      <c r="AT742" s="5">
        <v>0</v>
      </c>
      <c r="AU742" s="5">
        <v>0</v>
      </c>
      <c r="AV742" s="5">
        <v>0</v>
      </c>
      <c r="AW742" s="5">
        <v>0</v>
      </c>
      <c r="AX742" s="5">
        <v>1</v>
      </c>
      <c r="AY742" s="1">
        <f t="shared" si="559"/>
        <v>0</v>
      </c>
      <c r="AZ742" s="1">
        <f t="shared" si="560"/>
        <v>0</v>
      </c>
      <c r="BA742" s="1">
        <f t="shared" si="561"/>
        <v>0</v>
      </c>
      <c r="BB742" s="5">
        <v>0</v>
      </c>
      <c r="BC742" s="5">
        <v>0</v>
      </c>
      <c r="BD742" s="5">
        <v>0</v>
      </c>
      <c r="BE742" s="5">
        <f t="shared" si="562"/>
        <v>1</v>
      </c>
      <c r="BF742" s="5">
        <v>1</v>
      </c>
      <c r="BG742" s="5">
        <f t="shared" si="566"/>
        <v>0</v>
      </c>
      <c r="BH742" s="5">
        <f t="shared" si="566"/>
        <v>0</v>
      </c>
      <c r="BI742" s="5">
        <f t="shared" si="566"/>
        <v>0</v>
      </c>
      <c r="BJ742" s="5">
        <f t="shared" si="566"/>
        <v>0</v>
      </c>
      <c r="BK742" s="5">
        <f t="shared" si="566"/>
        <v>0</v>
      </c>
      <c r="BL742" s="5">
        <f t="shared" si="566"/>
        <v>0</v>
      </c>
      <c r="BM742" s="5">
        <f t="shared" si="566"/>
        <v>0</v>
      </c>
      <c r="BN742" s="5">
        <f t="shared" si="563"/>
        <v>0</v>
      </c>
      <c r="BO742" s="5">
        <f t="shared" si="563"/>
        <v>0</v>
      </c>
      <c r="BP742" s="5">
        <f t="shared" si="563"/>
        <v>0</v>
      </c>
      <c r="BQ742" s="5">
        <f t="shared" si="563"/>
        <v>0</v>
      </c>
      <c r="BR742" s="5">
        <f t="shared" si="563"/>
        <v>0</v>
      </c>
      <c r="BS742" s="5">
        <f t="shared" si="563"/>
        <v>0</v>
      </c>
      <c r="BT742" s="5">
        <f t="shared" si="563"/>
        <v>0</v>
      </c>
      <c r="BU742" s="5">
        <f t="shared" si="563"/>
        <v>0</v>
      </c>
      <c r="BV742" s="5">
        <f t="shared" si="563"/>
        <v>0</v>
      </c>
      <c r="BW742" s="5">
        <f t="shared" si="563"/>
        <v>0</v>
      </c>
      <c r="BX742" s="5">
        <f t="shared" si="563"/>
        <v>0</v>
      </c>
      <c r="BY742" s="5">
        <f t="shared" si="563"/>
        <v>0</v>
      </c>
      <c r="BZ742" s="5">
        <f t="shared" si="563"/>
        <v>0</v>
      </c>
      <c r="CA742" s="5">
        <f t="shared" si="563"/>
        <v>0</v>
      </c>
      <c r="CB742" s="5">
        <f t="shared" si="552"/>
        <v>1</v>
      </c>
      <c r="CC742" s="5">
        <f t="shared" si="552"/>
        <v>0</v>
      </c>
      <c r="CD742" s="5">
        <f t="shared" si="552"/>
        <v>0</v>
      </c>
      <c r="CE742" s="5">
        <f t="shared" si="552"/>
        <v>0</v>
      </c>
    </row>
    <row r="743" spans="1:83" x14ac:dyDescent="0.2">
      <c r="A743" s="11"/>
      <c r="B743" s="11"/>
      <c r="C743" s="1">
        <f>Growth!D748</f>
        <v>0</v>
      </c>
      <c r="D743" s="5" t="b">
        <f t="shared" si="550"/>
        <v>0</v>
      </c>
      <c r="E743" s="5">
        <v>2012</v>
      </c>
      <c r="F743" s="5">
        <f ca="1">LOOKUP($E743,frequence!$A$2:$A$35,frequence!L$2:L$35)</f>
        <v>41.545638202606931</v>
      </c>
      <c r="G743" s="5">
        <f ca="1">LOOKUP($E743,frequence!$A$2:$A$35,frequence!K$2:K$35)</f>
        <v>3.8191206393393822</v>
      </c>
      <c r="H743" s="5">
        <f ca="1">LOOKUP($E743,frequence!$A$2:$A$35,frequence!M$2:M$35)</f>
        <v>265.64322815143237</v>
      </c>
      <c r="I743" s="18">
        <v>2005</v>
      </c>
      <c r="J743" s="7">
        <f>LOOKUP(I743,CPI!A$69:A$103,CPI!O$69:O$103)</f>
        <v>1.1165181771633383</v>
      </c>
      <c r="K743" s="5">
        <v>2015</v>
      </c>
      <c r="L743" s="7">
        <f t="shared" ca="1" si="544"/>
        <v>1</v>
      </c>
      <c r="M743" s="7">
        <f t="shared" si="556"/>
        <v>4.3055555555555555E-2</v>
      </c>
      <c r="N743" s="14">
        <f t="shared" si="564"/>
        <v>6.9444444444444441E-3</v>
      </c>
      <c r="O743" s="1">
        <f ca="1">P743*J743*(1+Growth!G$6)^(2010-K743)</f>
        <v>327.31043809583122</v>
      </c>
      <c r="P743" s="11">
        <v>316</v>
      </c>
      <c r="Q743" s="2">
        <f t="shared" si="478"/>
        <v>316</v>
      </c>
      <c r="R743" s="21">
        <f t="shared" ca="1" si="551"/>
        <v>107132.12288648495</v>
      </c>
      <c r="X743" s="2"/>
      <c r="AC743" s="1">
        <f t="shared" si="565"/>
        <v>6.2</v>
      </c>
      <c r="AD743" s="5">
        <v>1</v>
      </c>
      <c r="AE743" s="5">
        <v>0</v>
      </c>
      <c r="AF743" s="5">
        <v>1</v>
      </c>
      <c r="AG743" s="5">
        <v>0</v>
      </c>
      <c r="AH743" s="5">
        <v>1</v>
      </c>
      <c r="AI743" s="3">
        <f t="shared" si="549"/>
        <v>3.2</v>
      </c>
      <c r="AJ743" s="5">
        <f t="shared" si="555"/>
        <v>0</v>
      </c>
      <c r="AK743" s="5">
        <f t="shared" si="545"/>
        <v>0</v>
      </c>
      <c r="AL743" s="5">
        <f t="shared" si="546"/>
        <v>0</v>
      </c>
      <c r="AM743" s="5">
        <f t="shared" si="557"/>
        <v>0</v>
      </c>
      <c r="AN743" s="5">
        <f t="shared" si="547"/>
        <v>0</v>
      </c>
      <c r="AO743" s="5">
        <f t="shared" si="558"/>
        <v>0</v>
      </c>
      <c r="AP743" s="11">
        <v>3</v>
      </c>
      <c r="AQ743" s="1">
        <v>-1.1000000000000001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1</v>
      </c>
      <c r="AY743" s="1">
        <f t="shared" si="559"/>
        <v>0</v>
      </c>
      <c r="AZ743" s="1">
        <f t="shared" si="560"/>
        <v>0</v>
      </c>
      <c r="BA743" s="1">
        <f t="shared" si="561"/>
        <v>0</v>
      </c>
      <c r="BB743" s="5">
        <v>0</v>
      </c>
      <c r="BC743" s="5">
        <v>0</v>
      </c>
      <c r="BD743" s="5">
        <v>0</v>
      </c>
      <c r="BE743" s="5">
        <f t="shared" si="562"/>
        <v>1</v>
      </c>
      <c r="BF743" s="5">
        <v>1</v>
      </c>
      <c r="BG743" s="5">
        <f t="shared" si="566"/>
        <v>0</v>
      </c>
      <c r="BH743" s="5">
        <f t="shared" si="566"/>
        <v>0</v>
      </c>
      <c r="BI743" s="5">
        <f t="shared" si="566"/>
        <v>0</v>
      </c>
      <c r="BJ743" s="5">
        <f t="shared" si="566"/>
        <v>0</v>
      </c>
      <c r="BK743" s="5">
        <f t="shared" si="566"/>
        <v>0</v>
      </c>
      <c r="BL743" s="5">
        <f t="shared" si="566"/>
        <v>0</v>
      </c>
      <c r="BM743" s="5">
        <f t="shared" si="566"/>
        <v>0</v>
      </c>
      <c r="BN743" s="5">
        <f t="shared" si="563"/>
        <v>0</v>
      </c>
      <c r="BO743" s="5">
        <f t="shared" si="563"/>
        <v>0</v>
      </c>
      <c r="BP743" s="5">
        <f t="shared" si="563"/>
        <v>0</v>
      </c>
      <c r="BQ743" s="5">
        <f t="shared" si="563"/>
        <v>0</v>
      </c>
      <c r="BR743" s="5">
        <f t="shared" si="563"/>
        <v>0</v>
      </c>
      <c r="BS743" s="5">
        <f t="shared" si="563"/>
        <v>0</v>
      </c>
      <c r="BT743" s="5">
        <f t="shared" si="563"/>
        <v>0</v>
      </c>
      <c r="BU743" s="5">
        <f t="shared" si="563"/>
        <v>0</v>
      </c>
      <c r="BV743" s="5">
        <f t="shared" si="563"/>
        <v>0</v>
      </c>
      <c r="BW743" s="5">
        <f t="shared" si="563"/>
        <v>0</v>
      </c>
      <c r="BX743" s="5">
        <f t="shared" si="563"/>
        <v>0</v>
      </c>
      <c r="BY743" s="5">
        <f t="shared" si="563"/>
        <v>0</v>
      </c>
      <c r="BZ743" s="5">
        <f t="shared" si="563"/>
        <v>0</v>
      </c>
      <c r="CA743" s="5">
        <f t="shared" si="563"/>
        <v>0</v>
      </c>
      <c r="CB743" s="5">
        <f t="shared" si="563"/>
        <v>1</v>
      </c>
      <c r="CC743" s="5">
        <f t="shared" ref="CC743:CE762" si="567">IF($E743=CC$2,1,0)</f>
        <v>0</v>
      </c>
      <c r="CD743" s="5">
        <f t="shared" si="567"/>
        <v>0</v>
      </c>
      <c r="CE743" s="5">
        <f t="shared" si="567"/>
        <v>0</v>
      </c>
    </row>
    <row r="744" spans="1:83" x14ac:dyDescent="0.2">
      <c r="A744" s="11"/>
      <c r="B744" s="11"/>
      <c r="C744" s="1">
        <f>Growth!D749</f>
        <v>0</v>
      </c>
      <c r="D744" s="5" t="b">
        <f t="shared" si="550"/>
        <v>0</v>
      </c>
      <c r="E744" s="5">
        <v>2012</v>
      </c>
      <c r="F744" s="5">
        <f ca="1">LOOKUP($E744,frequence!$A$2:$A$35,frequence!L$2:L$35)</f>
        <v>41.545638202606931</v>
      </c>
      <c r="G744" s="5">
        <f ca="1">LOOKUP($E744,frequence!$A$2:$A$35,frequence!K$2:K$35)</f>
        <v>3.8191206393393822</v>
      </c>
      <c r="H744" s="5">
        <f ca="1">LOOKUP($E744,frequence!$A$2:$A$35,frequence!M$2:M$35)</f>
        <v>265.64322815143237</v>
      </c>
      <c r="I744" s="18">
        <v>2005</v>
      </c>
      <c r="J744" s="7">
        <f>LOOKUP(I744,CPI!A$69:A$103,CPI!O$69:O$103)</f>
        <v>1.1165181771633383</v>
      </c>
      <c r="K744" s="5">
        <v>2015</v>
      </c>
      <c r="L744" s="7">
        <f t="shared" ca="1" si="544"/>
        <v>1</v>
      </c>
      <c r="M744" s="7">
        <f t="shared" si="556"/>
        <v>4.3055555555555555E-2</v>
      </c>
      <c r="N744" s="14">
        <f t="shared" si="564"/>
        <v>6.9444444444444441E-3</v>
      </c>
      <c r="O744" s="1">
        <f ca="1">P744*J744*(1+Growth!G$6)^(2010-K744)</f>
        <v>38.324323447929608</v>
      </c>
      <c r="P744" s="11">
        <v>37</v>
      </c>
      <c r="Q744" s="2">
        <f t="shared" si="478"/>
        <v>37</v>
      </c>
      <c r="R744" s="21">
        <f t="shared" ca="1" si="551"/>
        <v>1468.7537677415271</v>
      </c>
      <c r="X744" s="2"/>
      <c r="AC744" s="1">
        <f t="shared" si="565"/>
        <v>6.2</v>
      </c>
      <c r="AD744" s="5">
        <v>1</v>
      </c>
      <c r="AE744" s="5">
        <v>0</v>
      </c>
      <c r="AF744" s="5">
        <v>1</v>
      </c>
      <c r="AG744" s="5">
        <v>0</v>
      </c>
      <c r="AH744" s="5">
        <v>1</v>
      </c>
      <c r="AI744" s="3">
        <f t="shared" si="549"/>
        <v>3.2</v>
      </c>
      <c r="AJ744" s="5">
        <f t="shared" si="555"/>
        <v>0</v>
      </c>
      <c r="AK744" s="5">
        <f t="shared" si="545"/>
        <v>0</v>
      </c>
      <c r="AL744" s="5">
        <f t="shared" si="546"/>
        <v>0</v>
      </c>
      <c r="AM744" s="5">
        <f t="shared" si="557"/>
        <v>0</v>
      </c>
      <c r="AN744" s="5">
        <f t="shared" si="547"/>
        <v>0</v>
      </c>
      <c r="AO744" s="5">
        <f t="shared" si="558"/>
        <v>0</v>
      </c>
      <c r="AP744" s="11">
        <v>3</v>
      </c>
      <c r="AQ744" s="1">
        <v>-1.1000000000000001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1</v>
      </c>
      <c r="AY744" s="1">
        <f t="shared" si="559"/>
        <v>0</v>
      </c>
      <c r="AZ744" s="1">
        <f t="shared" si="560"/>
        <v>0</v>
      </c>
      <c r="BA744" s="1">
        <f t="shared" si="561"/>
        <v>0</v>
      </c>
      <c r="BB744" s="5">
        <v>0</v>
      </c>
      <c r="BC744" s="5">
        <v>0</v>
      </c>
      <c r="BD744" s="5">
        <v>0</v>
      </c>
      <c r="BE744" s="5">
        <f t="shared" si="562"/>
        <v>1</v>
      </c>
      <c r="BF744" s="5">
        <v>1</v>
      </c>
      <c r="BG744" s="5">
        <f t="shared" si="566"/>
        <v>0</v>
      </c>
      <c r="BH744" s="5">
        <f t="shared" si="566"/>
        <v>0</v>
      </c>
      <c r="BI744" s="5">
        <f t="shared" si="566"/>
        <v>0</v>
      </c>
      <c r="BJ744" s="5">
        <f t="shared" si="566"/>
        <v>0</v>
      </c>
      <c r="BK744" s="5">
        <f t="shared" si="566"/>
        <v>0</v>
      </c>
      <c r="BL744" s="5">
        <f t="shared" si="566"/>
        <v>0</v>
      </c>
      <c r="BM744" s="5">
        <f t="shared" si="566"/>
        <v>0</v>
      </c>
      <c r="BN744" s="5">
        <f t="shared" si="563"/>
        <v>0</v>
      </c>
      <c r="BO744" s="5">
        <f t="shared" si="563"/>
        <v>0</v>
      </c>
      <c r="BP744" s="5">
        <f t="shared" si="563"/>
        <v>0</v>
      </c>
      <c r="BQ744" s="5">
        <f t="shared" si="563"/>
        <v>0</v>
      </c>
      <c r="BR744" s="5">
        <f t="shared" si="563"/>
        <v>0</v>
      </c>
      <c r="BS744" s="5">
        <f t="shared" si="563"/>
        <v>0</v>
      </c>
      <c r="BT744" s="5">
        <f t="shared" si="563"/>
        <v>0</v>
      </c>
      <c r="BU744" s="5">
        <f t="shared" si="563"/>
        <v>0</v>
      </c>
      <c r="BV744" s="5">
        <f t="shared" si="563"/>
        <v>0</v>
      </c>
      <c r="BW744" s="5">
        <f t="shared" si="563"/>
        <v>0</v>
      </c>
      <c r="BX744" s="5">
        <f t="shared" si="563"/>
        <v>0</v>
      </c>
      <c r="BY744" s="5">
        <f t="shared" si="563"/>
        <v>0</v>
      </c>
      <c r="BZ744" s="5">
        <f t="shared" si="563"/>
        <v>0</v>
      </c>
      <c r="CA744" s="5">
        <f t="shared" si="563"/>
        <v>0</v>
      </c>
      <c r="CB744" s="5">
        <f t="shared" si="563"/>
        <v>1</v>
      </c>
      <c r="CC744" s="5">
        <f t="shared" si="567"/>
        <v>0</v>
      </c>
      <c r="CD744" s="5">
        <f t="shared" si="567"/>
        <v>0</v>
      </c>
      <c r="CE744" s="5">
        <f t="shared" si="567"/>
        <v>0</v>
      </c>
    </row>
    <row r="745" spans="1:83" x14ac:dyDescent="0.2">
      <c r="A745" s="11"/>
      <c r="B745" s="11"/>
      <c r="C745" s="1">
        <f>Growth!D750</f>
        <v>0</v>
      </c>
      <c r="D745" s="5" t="b">
        <f t="shared" si="550"/>
        <v>0</v>
      </c>
      <c r="E745" s="5">
        <v>2012</v>
      </c>
      <c r="F745" s="5">
        <f ca="1">LOOKUP($E745,frequence!$A$2:$A$35,frequence!L$2:L$35)</f>
        <v>41.545638202606931</v>
      </c>
      <c r="G745" s="5">
        <f ca="1">LOOKUP($E745,frequence!$A$2:$A$35,frequence!K$2:K$35)</f>
        <v>3.8191206393393822</v>
      </c>
      <c r="H745" s="5">
        <f ca="1">LOOKUP($E745,frequence!$A$2:$A$35,frequence!M$2:M$35)</f>
        <v>265.64322815143237</v>
      </c>
      <c r="I745" s="18">
        <v>2005</v>
      </c>
      <c r="J745" s="7">
        <f>LOOKUP(I745,CPI!A$69:A$103,CPI!O$69:O$103)</f>
        <v>1.1165181771633383</v>
      </c>
      <c r="K745" s="5">
        <v>2015</v>
      </c>
      <c r="L745" s="7">
        <f t="shared" ca="1" si="544"/>
        <v>1</v>
      </c>
      <c r="M745" s="7">
        <f t="shared" si="556"/>
        <v>4.3055555555555555E-2</v>
      </c>
      <c r="N745" s="14">
        <f t="shared" si="564"/>
        <v>6.9444444444444441E-3</v>
      </c>
      <c r="O745" s="1">
        <f ca="1">P745*J745*(1+Growth!G$6)^(2010-K745)</f>
        <v>65.254929114042298</v>
      </c>
      <c r="P745" s="11">
        <v>63</v>
      </c>
      <c r="Q745" s="2">
        <f t="shared" si="478"/>
        <v>63</v>
      </c>
      <c r="R745" s="21">
        <f t="shared" ca="1" si="551"/>
        <v>4258.2057736786855</v>
      </c>
      <c r="X745" s="2"/>
      <c r="AC745" s="1">
        <f t="shared" si="565"/>
        <v>6.2</v>
      </c>
      <c r="AD745" s="5">
        <v>1</v>
      </c>
      <c r="AE745" s="5">
        <v>0</v>
      </c>
      <c r="AF745" s="5">
        <v>1</v>
      </c>
      <c r="AG745" s="5">
        <v>0</v>
      </c>
      <c r="AH745" s="5">
        <v>1</v>
      </c>
      <c r="AI745" s="3">
        <f t="shared" si="549"/>
        <v>3.2</v>
      </c>
      <c r="AJ745" s="5">
        <f t="shared" si="555"/>
        <v>0</v>
      </c>
      <c r="AK745" s="5">
        <f t="shared" si="545"/>
        <v>0</v>
      </c>
      <c r="AL745" s="5">
        <f t="shared" si="546"/>
        <v>0</v>
      </c>
      <c r="AM745" s="5">
        <f t="shared" si="557"/>
        <v>0</v>
      </c>
      <c r="AN745" s="5">
        <f t="shared" si="547"/>
        <v>0</v>
      </c>
      <c r="AO745" s="5">
        <f t="shared" si="558"/>
        <v>0</v>
      </c>
      <c r="AP745" s="11">
        <v>3</v>
      </c>
      <c r="AQ745" s="1">
        <v>-1.1000000000000001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1</v>
      </c>
      <c r="AY745" s="1">
        <f t="shared" si="559"/>
        <v>0</v>
      </c>
      <c r="AZ745" s="1">
        <f t="shared" si="560"/>
        <v>0</v>
      </c>
      <c r="BA745" s="1">
        <f t="shared" si="561"/>
        <v>0</v>
      </c>
      <c r="BB745" s="5">
        <v>0</v>
      </c>
      <c r="BC745" s="5">
        <v>0</v>
      </c>
      <c r="BD745" s="5">
        <v>0</v>
      </c>
      <c r="BE745" s="5">
        <f t="shared" si="562"/>
        <v>1</v>
      </c>
      <c r="BF745" s="5">
        <v>1</v>
      </c>
      <c r="BG745" s="5">
        <f t="shared" si="566"/>
        <v>0</v>
      </c>
      <c r="BH745" s="5">
        <f t="shared" si="566"/>
        <v>0</v>
      </c>
      <c r="BI745" s="5">
        <f t="shared" si="566"/>
        <v>0</v>
      </c>
      <c r="BJ745" s="5">
        <f t="shared" si="566"/>
        <v>0</v>
      </c>
      <c r="BK745" s="5">
        <f t="shared" si="566"/>
        <v>0</v>
      </c>
      <c r="BL745" s="5">
        <f t="shared" si="566"/>
        <v>0</v>
      </c>
      <c r="BM745" s="5">
        <f t="shared" si="566"/>
        <v>0</v>
      </c>
      <c r="BN745" s="5">
        <f t="shared" si="563"/>
        <v>0</v>
      </c>
      <c r="BO745" s="5">
        <f t="shared" si="563"/>
        <v>0</v>
      </c>
      <c r="BP745" s="5">
        <f t="shared" si="563"/>
        <v>0</v>
      </c>
      <c r="BQ745" s="5">
        <f t="shared" si="563"/>
        <v>0</v>
      </c>
      <c r="BR745" s="5">
        <f t="shared" si="563"/>
        <v>0</v>
      </c>
      <c r="BS745" s="5">
        <f t="shared" si="563"/>
        <v>0</v>
      </c>
      <c r="BT745" s="5">
        <f t="shared" si="563"/>
        <v>0</v>
      </c>
      <c r="BU745" s="5">
        <f t="shared" si="563"/>
        <v>0</v>
      </c>
      <c r="BV745" s="5">
        <f t="shared" si="563"/>
        <v>0</v>
      </c>
      <c r="BW745" s="5">
        <f t="shared" si="563"/>
        <v>0</v>
      </c>
      <c r="BX745" s="5">
        <f t="shared" si="563"/>
        <v>0</v>
      </c>
      <c r="BY745" s="5">
        <f t="shared" si="563"/>
        <v>0</v>
      </c>
      <c r="BZ745" s="5">
        <f t="shared" si="563"/>
        <v>0</v>
      </c>
      <c r="CA745" s="5">
        <f t="shared" si="563"/>
        <v>0</v>
      </c>
      <c r="CB745" s="5">
        <f t="shared" si="563"/>
        <v>1</v>
      </c>
      <c r="CC745" s="5">
        <f t="shared" si="567"/>
        <v>0</v>
      </c>
      <c r="CD745" s="5">
        <f t="shared" si="567"/>
        <v>0</v>
      </c>
      <c r="CE745" s="5">
        <f t="shared" si="567"/>
        <v>0</v>
      </c>
    </row>
    <row r="746" spans="1:83" x14ac:dyDescent="0.2">
      <c r="A746" s="11"/>
      <c r="B746" s="11"/>
      <c r="C746" s="1">
        <f>Growth!D751</f>
        <v>0</v>
      </c>
      <c r="D746" s="5" t="b">
        <f t="shared" si="550"/>
        <v>0</v>
      </c>
      <c r="E746" s="5">
        <v>2012</v>
      </c>
      <c r="F746" s="5">
        <f ca="1">LOOKUP($E746,frequence!$A$2:$A$35,frequence!L$2:L$35)</f>
        <v>41.545638202606931</v>
      </c>
      <c r="G746" s="5">
        <f ca="1">LOOKUP($E746,frequence!$A$2:$A$35,frequence!K$2:K$35)</f>
        <v>3.8191206393393822</v>
      </c>
      <c r="H746" s="5">
        <f ca="1">LOOKUP($E746,frequence!$A$2:$A$35,frequence!M$2:M$35)</f>
        <v>265.64322815143237</v>
      </c>
      <c r="I746" s="18">
        <v>2005</v>
      </c>
      <c r="J746" s="7">
        <f>LOOKUP(I746,CPI!A$69:A$103,CPI!O$69:O$103)</f>
        <v>1.1165181771633383</v>
      </c>
      <c r="K746" s="5">
        <v>2015</v>
      </c>
      <c r="L746" s="7">
        <f t="shared" ca="1" si="544"/>
        <v>1</v>
      </c>
      <c r="M746" s="7">
        <f t="shared" si="556"/>
        <v>4.3055555555555555E-2</v>
      </c>
      <c r="N746" s="14">
        <f t="shared" si="564"/>
        <v>6.9444444444444441E-3</v>
      </c>
      <c r="O746" s="1">
        <f ca="1">P746*J746*(1+Growth!G$6)^(2010-K746)</f>
        <v>100.47187498511275</v>
      </c>
      <c r="P746" s="11">
        <v>97</v>
      </c>
      <c r="Q746" s="2">
        <f t="shared" si="478"/>
        <v>97</v>
      </c>
      <c r="R746" s="21">
        <f t="shared" ca="1" si="551"/>
        <v>10094.597663024126</v>
      </c>
      <c r="X746" s="2"/>
      <c r="AC746" s="1">
        <f t="shared" si="565"/>
        <v>6.2</v>
      </c>
      <c r="AD746" s="5">
        <v>1</v>
      </c>
      <c r="AE746" s="5">
        <v>0</v>
      </c>
      <c r="AF746" s="5">
        <v>1</v>
      </c>
      <c r="AG746" s="5">
        <v>0</v>
      </c>
      <c r="AH746" s="5">
        <v>1</v>
      </c>
      <c r="AI746" s="3">
        <f t="shared" si="549"/>
        <v>3.2</v>
      </c>
      <c r="AJ746" s="5">
        <f t="shared" si="555"/>
        <v>0</v>
      </c>
      <c r="AK746" s="5">
        <f t="shared" si="545"/>
        <v>0</v>
      </c>
      <c r="AL746" s="5">
        <f t="shared" si="546"/>
        <v>0</v>
      </c>
      <c r="AM746" s="5">
        <f t="shared" si="557"/>
        <v>0</v>
      </c>
      <c r="AN746" s="5">
        <f t="shared" si="547"/>
        <v>0</v>
      </c>
      <c r="AO746" s="5">
        <f t="shared" si="558"/>
        <v>0</v>
      </c>
      <c r="AP746" s="11">
        <v>3</v>
      </c>
      <c r="AQ746" s="1">
        <v>-1.1000000000000001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1</v>
      </c>
      <c r="AY746" s="1">
        <f t="shared" si="559"/>
        <v>0</v>
      </c>
      <c r="AZ746" s="1">
        <f t="shared" si="560"/>
        <v>0</v>
      </c>
      <c r="BA746" s="1">
        <f t="shared" si="561"/>
        <v>0</v>
      </c>
      <c r="BB746" s="5">
        <v>0</v>
      </c>
      <c r="BC746" s="5">
        <v>0</v>
      </c>
      <c r="BD746" s="5">
        <v>0</v>
      </c>
      <c r="BE746" s="5">
        <f t="shared" si="562"/>
        <v>1</v>
      </c>
      <c r="BF746" s="5">
        <v>1</v>
      </c>
      <c r="BG746" s="5">
        <f t="shared" si="566"/>
        <v>0</v>
      </c>
      <c r="BH746" s="5">
        <f t="shared" si="566"/>
        <v>0</v>
      </c>
      <c r="BI746" s="5">
        <f t="shared" si="566"/>
        <v>0</v>
      </c>
      <c r="BJ746" s="5">
        <f t="shared" si="566"/>
        <v>0</v>
      </c>
      <c r="BK746" s="5">
        <f t="shared" si="566"/>
        <v>0</v>
      </c>
      <c r="BL746" s="5">
        <f t="shared" si="566"/>
        <v>0</v>
      </c>
      <c r="BM746" s="5">
        <f t="shared" si="566"/>
        <v>0</v>
      </c>
      <c r="BN746" s="5">
        <f t="shared" si="563"/>
        <v>0</v>
      </c>
      <c r="BO746" s="5">
        <f t="shared" si="563"/>
        <v>0</v>
      </c>
      <c r="BP746" s="5">
        <f t="shared" si="563"/>
        <v>0</v>
      </c>
      <c r="BQ746" s="5">
        <f t="shared" si="563"/>
        <v>0</v>
      </c>
      <c r="BR746" s="5">
        <f t="shared" si="563"/>
        <v>0</v>
      </c>
      <c r="BS746" s="5">
        <f t="shared" si="563"/>
        <v>0</v>
      </c>
      <c r="BT746" s="5">
        <f t="shared" si="563"/>
        <v>0</v>
      </c>
      <c r="BU746" s="5">
        <f t="shared" si="563"/>
        <v>0</v>
      </c>
      <c r="BV746" s="5">
        <f t="shared" si="563"/>
        <v>0</v>
      </c>
      <c r="BW746" s="5">
        <f t="shared" si="563"/>
        <v>0</v>
      </c>
      <c r="BX746" s="5">
        <f t="shared" si="563"/>
        <v>0</v>
      </c>
      <c r="BY746" s="5">
        <f t="shared" si="563"/>
        <v>0</v>
      </c>
      <c r="BZ746" s="5">
        <f t="shared" si="563"/>
        <v>0</v>
      </c>
      <c r="CA746" s="5">
        <f t="shared" si="563"/>
        <v>0</v>
      </c>
      <c r="CB746" s="5">
        <f t="shared" si="563"/>
        <v>1</v>
      </c>
      <c r="CC746" s="5">
        <f t="shared" si="567"/>
        <v>0</v>
      </c>
      <c r="CD746" s="5">
        <f t="shared" si="567"/>
        <v>0</v>
      </c>
      <c r="CE746" s="5">
        <f t="shared" si="567"/>
        <v>0</v>
      </c>
    </row>
    <row r="747" spans="1:83" x14ac:dyDescent="0.2">
      <c r="A747" s="11"/>
      <c r="B747" s="11"/>
      <c r="C747" s="1">
        <f>Growth!D752</f>
        <v>0</v>
      </c>
      <c r="D747" s="5" t="b">
        <f t="shared" si="550"/>
        <v>0</v>
      </c>
      <c r="E747" s="5">
        <v>2012</v>
      </c>
      <c r="F747" s="5">
        <f ca="1">LOOKUP($E747,frequence!$A$2:$A$35,frequence!L$2:L$35)</f>
        <v>41.545638202606931</v>
      </c>
      <c r="G747" s="5">
        <f ca="1">LOOKUP($E747,frequence!$A$2:$A$35,frequence!K$2:K$35)</f>
        <v>3.8191206393393822</v>
      </c>
      <c r="H747" s="5">
        <f ca="1">LOOKUP($E747,frequence!$A$2:$A$35,frequence!M$2:M$35)</f>
        <v>265.64322815143237</v>
      </c>
      <c r="I747" s="18">
        <v>2005</v>
      </c>
      <c r="J747" s="7">
        <f>LOOKUP(I747,CPI!A$69:A$103,CPI!O$69:O$103)</f>
        <v>1.1165181771633383</v>
      </c>
      <c r="K747" s="5">
        <v>2015</v>
      </c>
      <c r="L747" s="7">
        <f t="shared" ca="1" si="544"/>
        <v>1</v>
      </c>
      <c r="M747" s="7">
        <f t="shared" si="556"/>
        <v>4.3055555555555555E-2</v>
      </c>
      <c r="N747" s="14">
        <f t="shared" si="564"/>
        <v>6.9444444444444441E-3</v>
      </c>
      <c r="O747" s="1">
        <f ca="1">P747*J747*(1+Growth!G$6)^(2010-K747)</f>
        <v>108.7582151900705</v>
      </c>
      <c r="P747" s="11">
        <v>105</v>
      </c>
      <c r="Q747" s="2">
        <f t="shared" si="478"/>
        <v>105</v>
      </c>
      <c r="R747" s="21">
        <f t="shared" ca="1" si="551"/>
        <v>11828.349371329681</v>
      </c>
      <c r="X747" s="2"/>
      <c r="AC747" s="1">
        <f t="shared" si="565"/>
        <v>6.2</v>
      </c>
      <c r="AD747" s="5">
        <v>1</v>
      </c>
      <c r="AE747" s="5">
        <v>0</v>
      </c>
      <c r="AF747" s="5">
        <v>1</v>
      </c>
      <c r="AG747" s="5">
        <v>0</v>
      </c>
      <c r="AH747" s="5">
        <v>1</v>
      </c>
      <c r="AI747" s="3">
        <f t="shared" si="549"/>
        <v>3.2</v>
      </c>
      <c r="AJ747" s="5">
        <f t="shared" si="555"/>
        <v>0</v>
      </c>
      <c r="AK747" s="5">
        <f t="shared" si="545"/>
        <v>0</v>
      </c>
      <c r="AL747" s="5">
        <f t="shared" si="546"/>
        <v>0</v>
      </c>
      <c r="AM747" s="5">
        <f t="shared" si="557"/>
        <v>0</v>
      </c>
      <c r="AN747" s="5">
        <f t="shared" si="547"/>
        <v>0</v>
      </c>
      <c r="AO747" s="5">
        <f t="shared" si="558"/>
        <v>0</v>
      </c>
      <c r="AP747" s="11">
        <v>3</v>
      </c>
      <c r="AQ747" s="1">
        <v>-1.1000000000000001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1</v>
      </c>
      <c r="AY747" s="1">
        <f t="shared" si="559"/>
        <v>0</v>
      </c>
      <c r="AZ747" s="1">
        <f t="shared" si="560"/>
        <v>0</v>
      </c>
      <c r="BA747" s="1">
        <f t="shared" si="561"/>
        <v>0</v>
      </c>
      <c r="BB747" s="5">
        <v>0</v>
      </c>
      <c r="BC747" s="5">
        <v>0</v>
      </c>
      <c r="BD747" s="5">
        <v>0</v>
      </c>
      <c r="BE747" s="5">
        <f t="shared" si="562"/>
        <v>1</v>
      </c>
      <c r="BF747" s="5">
        <v>1</v>
      </c>
      <c r="BG747" s="5">
        <f t="shared" si="566"/>
        <v>0</v>
      </c>
      <c r="BH747" s="5">
        <f t="shared" si="566"/>
        <v>0</v>
      </c>
      <c r="BI747" s="5">
        <f t="shared" si="566"/>
        <v>0</v>
      </c>
      <c r="BJ747" s="5">
        <f t="shared" si="566"/>
        <v>0</v>
      </c>
      <c r="BK747" s="5">
        <f t="shared" si="566"/>
        <v>0</v>
      </c>
      <c r="BL747" s="5">
        <f t="shared" si="566"/>
        <v>0</v>
      </c>
      <c r="BM747" s="5">
        <f t="shared" si="566"/>
        <v>0</v>
      </c>
      <c r="BN747" s="5">
        <f t="shared" si="563"/>
        <v>0</v>
      </c>
      <c r="BO747" s="5">
        <f t="shared" si="563"/>
        <v>0</v>
      </c>
      <c r="BP747" s="5">
        <f t="shared" si="563"/>
        <v>0</v>
      </c>
      <c r="BQ747" s="5">
        <f t="shared" si="563"/>
        <v>0</v>
      </c>
      <c r="BR747" s="5">
        <f t="shared" si="563"/>
        <v>0</v>
      </c>
      <c r="BS747" s="5">
        <f t="shared" si="563"/>
        <v>0</v>
      </c>
      <c r="BT747" s="5">
        <f t="shared" si="563"/>
        <v>0</v>
      </c>
      <c r="BU747" s="5">
        <f t="shared" si="563"/>
        <v>0</v>
      </c>
      <c r="BV747" s="5">
        <f t="shared" si="563"/>
        <v>0</v>
      </c>
      <c r="BW747" s="5">
        <f t="shared" si="563"/>
        <v>0</v>
      </c>
      <c r="BX747" s="5">
        <f t="shared" si="563"/>
        <v>0</v>
      </c>
      <c r="BY747" s="5">
        <f t="shared" si="563"/>
        <v>0</v>
      </c>
      <c r="BZ747" s="5">
        <f t="shared" si="563"/>
        <v>0</v>
      </c>
      <c r="CA747" s="5">
        <f t="shared" si="563"/>
        <v>0</v>
      </c>
      <c r="CB747" s="5">
        <f t="shared" si="563"/>
        <v>1</v>
      </c>
      <c r="CC747" s="5">
        <f t="shared" si="567"/>
        <v>0</v>
      </c>
      <c r="CD747" s="5">
        <f t="shared" si="567"/>
        <v>0</v>
      </c>
      <c r="CE747" s="5">
        <f t="shared" si="567"/>
        <v>0</v>
      </c>
    </row>
    <row r="748" spans="1:83" x14ac:dyDescent="0.2">
      <c r="A748" s="11"/>
      <c r="B748" s="11"/>
      <c r="C748" s="1">
        <f>Growth!D753</f>
        <v>0</v>
      </c>
      <c r="D748" s="5" t="b">
        <f t="shared" si="550"/>
        <v>0</v>
      </c>
      <c r="E748" s="5">
        <v>2012</v>
      </c>
      <c r="F748" s="5">
        <f ca="1">LOOKUP($E748,frequence!$A$2:$A$35,frequence!L$2:L$35)</f>
        <v>41.545638202606931</v>
      </c>
      <c r="G748" s="5">
        <f ca="1">LOOKUP($E748,frequence!$A$2:$A$35,frequence!K$2:K$35)</f>
        <v>3.8191206393393822</v>
      </c>
      <c r="H748" s="5">
        <f ca="1">LOOKUP($E748,frequence!$A$2:$A$35,frequence!M$2:M$35)</f>
        <v>265.64322815143237</v>
      </c>
      <c r="I748" s="18">
        <v>2005</v>
      </c>
      <c r="J748" s="7">
        <f>LOOKUP(I748,CPI!A$69:A$103,CPI!O$69:O$103)</f>
        <v>1.1165181771633383</v>
      </c>
      <c r="K748" s="5">
        <v>2015</v>
      </c>
      <c r="L748" s="7">
        <f t="shared" ca="1" si="544"/>
        <v>1</v>
      </c>
      <c r="M748" s="7">
        <f t="shared" si="556"/>
        <v>4.3055555555555555E-2</v>
      </c>
      <c r="N748" s="14">
        <f t="shared" si="564"/>
        <v>6.9444444444444441E-3</v>
      </c>
      <c r="O748" s="1">
        <f ca="1">P748*J748*(1+Growth!G$6)^(2010-K748)</f>
        <v>70.433891742140901</v>
      </c>
      <c r="P748" s="11">
        <v>68</v>
      </c>
      <c r="Q748" s="2">
        <f t="shared" si="478"/>
        <v>68</v>
      </c>
      <c r="R748" s="21">
        <f t="shared" ca="1" si="551"/>
        <v>4960.9331059436245</v>
      </c>
      <c r="X748" s="2"/>
      <c r="AC748" s="1">
        <f t="shared" si="565"/>
        <v>6.2</v>
      </c>
      <c r="AD748" s="5">
        <v>1</v>
      </c>
      <c r="AE748" s="5">
        <v>0</v>
      </c>
      <c r="AF748" s="5">
        <v>1</v>
      </c>
      <c r="AG748" s="5">
        <v>0</v>
      </c>
      <c r="AH748" s="5">
        <v>1</v>
      </c>
      <c r="AI748" s="3">
        <f t="shared" si="549"/>
        <v>3.2</v>
      </c>
      <c r="AJ748" s="5">
        <f t="shared" si="555"/>
        <v>0</v>
      </c>
      <c r="AK748" s="5">
        <f t="shared" si="545"/>
        <v>0</v>
      </c>
      <c r="AL748" s="5">
        <f t="shared" si="546"/>
        <v>0</v>
      </c>
      <c r="AM748" s="5">
        <f t="shared" si="557"/>
        <v>0</v>
      </c>
      <c r="AN748" s="5">
        <f t="shared" si="547"/>
        <v>0</v>
      </c>
      <c r="AO748" s="5">
        <f t="shared" si="558"/>
        <v>0</v>
      </c>
      <c r="AP748" s="11">
        <v>3</v>
      </c>
      <c r="AQ748" s="1">
        <v>-1.1000000000000001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1</v>
      </c>
      <c r="AY748" s="1">
        <f t="shared" si="559"/>
        <v>0</v>
      </c>
      <c r="AZ748" s="1">
        <f t="shared" si="560"/>
        <v>0</v>
      </c>
      <c r="BA748" s="1">
        <f t="shared" si="561"/>
        <v>0</v>
      </c>
      <c r="BB748" s="5">
        <v>0</v>
      </c>
      <c r="BC748" s="5">
        <v>0</v>
      </c>
      <c r="BD748" s="5">
        <v>0</v>
      </c>
      <c r="BE748" s="5">
        <f t="shared" si="562"/>
        <v>1</v>
      </c>
      <c r="BF748" s="5">
        <v>1</v>
      </c>
      <c r="BG748" s="5">
        <f t="shared" si="566"/>
        <v>0</v>
      </c>
      <c r="BH748" s="5">
        <f t="shared" si="566"/>
        <v>0</v>
      </c>
      <c r="BI748" s="5">
        <f t="shared" si="566"/>
        <v>0</v>
      </c>
      <c r="BJ748" s="5">
        <f t="shared" si="566"/>
        <v>0</v>
      </c>
      <c r="BK748" s="5">
        <f t="shared" si="566"/>
        <v>0</v>
      </c>
      <c r="BL748" s="5">
        <f t="shared" si="566"/>
        <v>0</v>
      </c>
      <c r="BM748" s="5">
        <f t="shared" si="566"/>
        <v>0</v>
      </c>
      <c r="BN748" s="5">
        <f t="shared" si="563"/>
        <v>0</v>
      </c>
      <c r="BO748" s="5">
        <f t="shared" si="563"/>
        <v>0</v>
      </c>
      <c r="BP748" s="5">
        <f t="shared" si="563"/>
        <v>0</v>
      </c>
      <c r="BQ748" s="5">
        <f t="shared" si="563"/>
        <v>0</v>
      </c>
      <c r="BR748" s="5">
        <f t="shared" si="563"/>
        <v>0</v>
      </c>
      <c r="BS748" s="5">
        <f t="shared" si="563"/>
        <v>0</v>
      </c>
      <c r="BT748" s="5">
        <f t="shared" si="563"/>
        <v>0</v>
      </c>
      <c r="BU748" s="5">
        <f t="shared" si="563"/>
        <v>0</v>
      </c>
      <c r="BV748" s="5">
        <f t="shared" si="563"/>
        <v>0</v>
      </c>
      <c r="BW748" s="5">
        <f t="shared" si="563"/>
        <v>0</v>
      </c>
      <c r="BX748" s="5">
        <f t="shared" si="563"/>
        <v>0</v>
      </c>
      <c r="BY748" s="5">
        <f t="shared" si="563"/>
        <v>0</v>
      </c>
      <c r="BZ748" s="5">
        <f t="shared" si="563"/>
        <v>0</v>
      </c>
      <c r="CA748" s="5">
        <f t="shared" si="563"/>
        <v>0</v>
      </c>
      <c r="CB748" s="5">
        <f t="shared" si="563"/>
        <v>1</v>
      </c>
      <c r="CC748" s="5">
        <f t="shared" si="567"/>
        <v>0</v>
      </c>
      <c r="CD748" s="5">
        <f t="shared" si="567"/>
        <v>0</v>
      </c>
      <c r="CE748" s="5">
        <f t="shared" si="567"/>
        <v>0</v>
      </c>
    </row>
    <row r="749" spans="1:83" x14ac:dyDescent="0.2">
      <c r="A749" s="11"/>
      <c r="B749" s="11"/>
      <c r="C749" s="1">
        <f>Growth!D754</f>
        <v>0</v>
      </c>
      <c r="D749" s="5" t="b">
        <f t="shared" si="550"/>
        <v>0</v>
      </c>
      <c r="E749" s="5">
        <v>2012</v>
      </c>
      <c r="F749" s="5">
        <f ca="1">LOOKUP($E749,frequence!$A$2:$A$35,frequence!L$2:L$35)</f>
        <v>41.545638202606931</v>
      </c>
      <c r="G749" s="5">
        <f ca="1">LOOKUP($E749,frequence!$A$2:$A$35,frequence!K$2:K$35)</f>
        <v>3.8191206393393822</v>
      </c>
      <c r="H749" s="5">
        <f ca="1">LOOKUP($E749,frequence!$A$2:$A$35,frequence!M$2:M$35)</f>
        <v>265.64322815143237</v>
      </c>
      <c r="I749" s="18">
        <v>2005</v>
      </c>
      <c r="J749" s="7">
        <f>LOOKUP(I749,CPI!A$69:A$103,CPI!O$69:O$103)</f>
        <v>1.1165181771633383</v>
      </c>
      <c r="K749" s="5">
        <v>2015</v>
      </c>
      <c r="L749" s="7">
        <f t="shared" ca="1" si="544"/>
        <v>1</v>
      </c>
      <c r="M749" s="7">
        <f t="shared" si="556"/>
        <v>4.3055555555555555E-2</v>
      </c>
      <c r="N749" s="14">
        <f t="shared" si="564"/>
        <v>6.9444444444444441E-3</v>
      </c>
      <c r="O749" s="1">
        <f ca="1">P749*J749*(1+Growth!G$6)^(2010-K749)</f>
        <v>62.147551537183141</v>
      </c>
      <c r="P749" s="11">
        <v>60</v>
      </c>
      <c r="Q749" s="2">
        <f t="shared" si="478"/>
        <v>60</v>
      </c>
      <c r="R749" s="21">
        <f t="shared" ca="1" si="551"/>
        <v>3862.3181620668347</v>
      </c>
      <c r="X749" s="2"/>
      <c r="AC749" s="1">
        <f t="shared" si="565"/>
        <v>6.2</v>
      </c>
      <c r="AD749" s="5">
        <v>1</v>
      </c>
      <c r="AE749" s="5">
        <v>0</v>
      </c>
      <c r="AF749" s="5">
        <v>1</v>
      </c>
      <c r="AG749" s="5">
        <v>0</v>
      </c>
      <c r="AH749" s="5">
        <v>1</v>
      </c>
      <c r="AI749" s="3">
        <f t="shared" si="549"/>
        <v>3.2</v>
      </c>
      <c r="AJ749" s="5">
        <f t="shared" si="555"/>
        <v>0</v>
      </c>
      <c r="AK749" s="5">
        <f t="shared" si="545"/>
        <v>0</v>
      </c>
      <c r="AL749" s="5">
        <f t="shared" si="546"/>
        <v>0</v>
      </c>
      <c r="AM749" s="5">
        <f t="shared" si="557"/>
        <v>0</v>
      </c>
      <c r="AN749" s="5">
        <f t="shared" si="547"/>
        <v>0</v>
      </c>
      <c r="AO749" s="5">
        <f t="shared" si="558"/>
        <v>0</v>
      </c>
      <c r="AP749" s="11">
        <v>3</v>
      </c>
      <c r="AQ749" s="1">
        <v>-1.1000000000000001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1</v>
      </c>
      <c r="AY749" s="1">
        <f t="shared" si="559"/>
        <v>0</v>
      </c>
      <c r="AZ749" s="1">
        <f t="shared" si="560"/>
        <v>0</v>
      </c>
      <c r="BA749" s="1">
        <f t="shared" si="561"/>
        <v>0</v>
      </c>
      <c r="BB749" s="5">
        <v>0</v>
      </c>
      <c r="BC749" s="5">
        <v>0</v>
      </c>
      <c r="BD749" s="5">
        <v>0</v>
      </c>
      <c r="BE749" s="5">
        <f t="shared" si="562"/>
        <v>1</v>
      </c>
      <c r="BF749" s="5">
        <v>1</v>
      </c>
      <c r="BG749" s="5">
        <f t="shared" si="566"/>
        <v>0</v>
      </c>
      <c r="BH749" s="5">
        <f t="shared" si="566"/>
        <v>0</v>
      </c>
      <c r="BI749" s="5">
        <f t="shared" si="566"/>
        <v>0</v>
      </c>
      <c r="BJ749" s="5">
        <f t="shared" si="566"/>
        <v>0</v>
      </c>
      <c r="BK749" s="5">
        <f t="shared" si="566"/>
        <v>0</v>
      </c>
      <c r="BL749" s="5">
        <f t="shared" si="566"/>
        <v>0</v>
      </c>
      <c r="BM749" s="5">
        <f t="shared" si="566"/>
        <v>0</v>
      </c>
      <c r="BN749" s="5">
        <f t="shared" si="563"/>
        <v>0</v>
      </c>
      <c r="BO749" s="5">
        <f t="shared" si="563"/>
        <v>0</v>
      </c>
      <c r="BP749" s="5">
        <f t="shared" si="563"/>
        <v>0</v>
      </c>
      <c r="BQ749" s="5">
        <f t="shared" si="563"/>
        <v>0</v>
      </c>
      <c r="BR749" s="5">
        <f t="shared" si="563"/>
        <v>0</v>
      </c>
      <c r="BS749" s="5">
        <f t="shared" si="563"/>
        <v>0</v>
      </c>
      <c r="BT749" s="5">
        <f t="shared" si="563"/>
        <v>0</v>
      </c>
      <c r="BU749" s="5">
        <f t="shared" si="563"/>
        <v>0</v>
      </c>
      <c r="BV749" s="5">
        <f t="shared" si="563"/>
        <v>0</v>
      </c>
      <c r="BW749" s="5">
        <f t="shared" si="563"/>
        <v>0</v>
      </c>
      <c r="BX749" s="5">
        <f t="shared" si="563"/>
        <v>0</v>
      </c>
      <c r="BY749" s="5">
        <f t="shared" si="563"/>
        <v>0</v>
      </c>
      <c r="BZ749" s="5">
        <f t="shared" si="563"/>
        <v>0</v>
      </c>
      <c r="CA749" s="5">
        <f t="shared" si="563"/>
        <v>0</v>
      </c>
      <c r="CB749" s="5">
        <f t="shared" si="563"/>
        <v>1</v>
      </c>
      <c r="CC749" s="5">
        <f t="shared" si="567"/>
        <v>0</v>
      </c>
      <c r="CD749" s="5">
        <f t="shared" si="567"/>
        <v>0</v>
      </c>
      <c r="CE749" s="5">
        <f t="shared" si="567"/>
        <v>0</v>
      </c>
    </row>
    <row r="750" spans="1:83" x14ac:dyDescent="0.2">
      <c r="A750" s="11"/>
      <c r="B750" s="11"/>
      <c r="C750" s="1">
        <f>Growth!D755</f>
        <v>0</v>
      </c>
      <c r="D750" s="5" t="b">
        <f t="shared" si="550"/>
        <v>0</v>
      </c>
      <c r="E750" s="5">
        <v>2012</v>
      </c>
      <c r="F750" s="5">
        <f ca="1">LOOKUP($E750,frequence!$A$2:$A$35,frequence!L$2:L$35)</f>
        <v>41.545638202606931</v>
      </c>
      <c r="G750" s="5">
        <f ca="1">LOOKUP($E750,frequence!$A$2:$A$35,frequence!K$2:K$35)</f>
        <v>3.8191206393393822</v>
      </c>
      <c r="H750" s="5">
        <f ca="1">LOOKUP($E750,frequence!$A$2:$A$35,frequence!M$2:M$35)</f>
        <v>265.64322815143237</v>
      </c>
      <c r="I750" s="18">
        <v>2005</v>
      </c>
      <c r="J750" s="7">
        <f>LOOKUP(I750,CPI!A$69:A$103,CPI!O$69:O$103)</f>
        <v>1.1165181771633383</v>
      </c>
      <c r="K750" s="5">
        <v>2015</v>
      </c>
      <c r="L750" s="7">
        <f t="shared" ca="1" si="544"/>
        <v>1</v>
      </c>
      <c r="M750" s="7">
        <f t="shared" si="556"/>
        <v>4.3055555555555555E-2</v>
      </c>
      <c r="N750" s="14">
        <f t="shared" si="564"/>
        <v>6.9444444444444441E-3</v>
      </c>
      <c r="O750" s="1">
        <f ca="1">P750*J750*(1+Growth!G$6)^(2010-K750)</f>
        <v>168.8341816760142</v>
      </c>
      <c r="P750" s="11">
        <v>163</v>
      </c>
      <c r="Q750" s="2">
        <f t="shared" si="478"/>
        <v>163</v>
      </c>
      <c r="R750" s="21">
        <f t="shared" ca="1" si="551"/>
        <v>28504.980902209369</v>
      </c>
      <c r="X750" s="2"/>
      <c r="AC750" s="1">
        <f t="shared" si="565"/>
        <v>6.2</v>
      </c>
      <c r="AD750" s="5">
        <v>1</v>
      </c>
      <c r="AE750" s="5">
        <v>0</v>
      </c>
      <c r="AF750" s="5">
        <v>1</v>
      </c>
      <c r="AG750" s="5">
        <v>0</v>
      </c>
      <c r="AH750" s="5">
        <v>1</v>
      </c>
      <c r="AI750" s="3">
        <f t="shared" si="549"/>
        <v>3.2</v>
      </c>
      <c r="AJ750" s="5">
        <f t="shared" si="555"/>
        <v>0</v>
      </c>
      <c r="AK750" s="5">
        <f t="shared" si="545"/>
        <v>0</v>
      </c>
      <c r="AL750" s="5">
        <f t="shared" si="546"/>
        <v>0</v>
      </c>
      <c r="AM750" s="5">
        <f t="shared" si="557"/>
        <v>0</v>
      </c>
      <c r="AN750" s="5">
        <f t="shared" si="547"/>
        <v>0</v>
      </c>
      <c r="AO750" s="5">
        <f t="shared" si="558"/>
        <v>0</v>
      </c>
      <c r="AP750" s="11">
        <v>3</v>
      </c>
      <c r="AQ750" s="1">
        <v>-1.1000000000000001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1</v>
      </c>
      <c r="AY750" s="1">
        <f t="shared" si="559"/>
        <v>0</v>
      </c>
      <c r="AZ750" s="1">
        <f t="shared" si="560"/>
        <v>0</v>
      </c>
      <c r="BA750" s="1">
        <f t="shared" si="561"/>
        <v>0</v>
      </c>
      <c r="BB750" s="5">
        <v>0</v>
      </c>
      <c r="BC750" s="5">
        <v>0</v>
      </c>
      <c r="BD750" s="5">
        <v>0</v>
      </c>
      <c r="BE750" s="5">
        <f t="shared" si="562"/>
        <v>1</v>
      </c>
      <c r="BF750" s="5">
        <v>1</v>
      </c>
      <c r="BG750" s="5">
        <f t="shared" si="566"/>
        <v>0</v>
      </c>
      <c r="BH750" s="5">
        <f t="shared" si="566"/>
        <v>0</v>
      </c>
      <c r="BI750" s="5">
        <f t="shared" si="566"/>
        <v>0</v>
      </c>
      <c r="BJ750" s="5">
        <f t="shared" si="566"/>
        <v>0</v>
      </c>
      <c r="BK750" s="5">
        <f t="shared" si="566"/>
        <v>0</v>
      </c>
      <c r="BL750" s="5">
        <f t="shared" si="566"/>
        <v>0</v>
      </c>
      <c r="BM750" s="5">
        <f t="shared" si="566"/>
        <v>0</v>
      </c>
      <c r="BN750" s="5">
        <f t="shared" si="563"/>
        <v>0</v>
      </c>
      <c r="BO750" s="5">
        <f t="shared" si="563"/>
        <v>0</v>
      </c>
      <c r="BP750" s="5">
        <f t="shared" si="563"/>
        <v>0</v>
      </c>
      <c r="BQ750" s="5">
        <f t="shared" si="563"/>
        <v>0</v>
      </c>
      <c r="BR750" s="5">
        <f t="shared" si="563"/>
        <v>0</v>
      </c>
      <c r="BS750" s="5">
        <f t="shared" si="563"/>
        <v>0</v>
      </c>
      <c r="BT750" s="5">
        <f t="shared" si="563"/>
        <v>0</v>
      </c>
      <c r="BU750" s="5">
        <f t="shared" si="563"/>
        <v>0</v>
      </c>
      <c r="BV750" s="5">
        <f t="shared" si="563"/>
        <v>0</v>
      </c>
      <c r="BW750" s="5">
        <f t="shared" si="563"/>
        <v>0</v>
      </c>
      <c r="BX750" s="5">
        <f t="shared" si="563"/>
        <v>0</v>
      </c>
      <c r="BY750" s="5">
        <f t="shared" si="563"/>
        <v>0</v>
      </c>
      <c r="BZ750" s="5">
        <f t="shared" si="563"/>
        <v>0</v>
      </c>
      <c r="CA750" s="5">
        <f t="shared" si="563"/>
        <v>0</v>
      </c>
      <c r="CB750" s="5">
        <f t="shared" si="563"/>
        <v>1</v>
      </c>
      <c r="CC750" s="5">
        <f t="shared" si="567"/>
        <v>0</v>
      </c>
      <c r="CD750" s="5">
        <f t="shared" si="567"/>
        <v>0</v>
      </c>
      <c r="CE750" s="5">
        <f t="shared" si="567"/>
        <v>0</v>
      </c>
    </row>
    <row r="751" spans="1:83" x14ac:dyDescent="0.2">
      <c r="A751" s="11"/>
      <c r="B751" s="11"/>
      <c r="C751" s="1">
        <f>Growth!D756</f>
        <v>0</v>
      </c>
      <c r="D751" s="5" t="b">
        <f t="shared" si="550"/>
        <v>0</v>
      </c>
      <c r="E751" s="5">
        <v>2012</v>
      </c>
      <c r="F751" s="5">
        <f ca="1">LOOKUP($E751,frequence!$A$2:$A$35,frequence!L$2:L$35)</f>
        <v>41.545638202606931</v>
      </c>
      <c r="G751" s="5">
        <f ca="1">LOOKUP($E751,frequence!$A$2:$A$35,frequence!K$2:K$35)</f>
        <v>3.8191206393393822</v>
      </c>
      <c r="H751" s="5">
        <f ca="1">LOOKUP($E751,frequence!$A$2:$A$35,frequence!M$2:M$35)</f>
        <v>265.64322815143237</v>
      </c>
      <c r="I751" s="18">
        <v>2005</v>
      </c>
      <c r="J751" s="7">
        <f>LOOKUP(I751,CPI!A$69:A$103,CPI!O$69:O$103)</f>
        <v>1.1165181771633383</v>
      </c>
      <c r="K751" s="5">
        <v>2015</v>
      </c>
      <c r="L751" s="7">
        <f t="shared" ca="1" si="544"/>
        <v>1</v>
      </c>
      <c r="M751" s="7">
        <f t="shared" si="556"/>
        <v>4.3055555555555555E-2</v>
      </c>
      <c r="N751" s="14">
        <f t="shared" si="564"/>
        <v>6.9444444444444441E-3</v>
      </c>
      <c r="O751" s="1">
        <f ca="1">P751*J751*(1+Growth!G$6)^(2010-K751)</f>
        <v>168.8341816760142</v>
      </c>
      <c r="P751" s="11">
        <v>163</v>
      </c>
      <c r="Q751" s="2">
        <f t="shared" si="478"/>
        <v>163</v>
      </c>
      <c r="R751" s="21">
        <f t="shared" ca="1" si="551"/>
        <v>28504.980902209369</v>
      </c>
      <c r="X751" s="2"/>
      <c r="AC751" s="1">
        <f t="shared" si="565"/>
        <v>6.2</v>
      </c>
      <c r="AD751" s="5">
        <v>1</v>
      </c>
      <c r="AE751" s="5">
        <v>0</v>
      </c>
      <c r="AF751" s="5">
        <v>1</v>
      </c>
      <c r="AG751" s="5">
        <v>0</v>
      </c>
      <c r="AH751" s="5">
        <v>1</v>
      </c>
      <c r="AI751" s="3">
        <f t="shared" si="549"/>
        <v>3.2</v>
      </c>
      <c r="AJ751" s="5">
        <f t="shared" si="555"/>
        <v>0</v>
      </c>
      <c r="AK751" s="5">
        <f t="shared" si="545"/>
        <v>0</v>
      </c>
      <c r="AL751" s="5">
        <f t="shared" si="546"/>
        <v>0</v>
      </c>
      <c r="AM751" s="5">
        <f t="shared" si="557"/>
        <v>0</v>
      </c>
      <c r="AN751" s="5">
        <f t="shared" si="547"/>
        <v>0</v>
      </c>
      <c r="AO751" s="5">
        <f t="shared" si="558"/>
        <v>0</v>
      </c>
      <c r="AP751" s="11">
        <v>3</v>
      </c>
      <c r="AQ751" s="1">
        <v>-1.1000000000000001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1</v>
      </c>
      <c r="AY751" s="1">
        <f t="shared" si="559"/>
        <v>0</v>
      </c>
      <c r="AZ751" s="1">
        <f t="shared" si="560"/>
        <v>0</v>
      </c>
      <c r="BA751" s="1">
        <f t="shared" si="561"/>
        <v>0</v>
      </c>
      <c r="BB751" s="5">
        <v>0</v>
      </c>
      <c r="BC751" s="5">
        <v>0</v>
      </c>
      <c r="BD751" s="5">
        <v>0</v>
      </c>
      <c r="BE751" s="5">
        <f t="shared" si="562"/>
        <v>1</v>
      </c>
      <c r="BF751" s="5">
        <v>1</v>
      </c>
      <c r="BG751" s="5">
        <f t="shared" si="566"/>
        <v>0</v>
      </c>
      <c r="BH751" s="5">
        <f t="shared" si="566"/>
        <v>0</v>
      </c>
      <c r="BI751" s="5">
        <f t="shared" si="566"/>
        <v>0</v>
      </c>
      <c r="BJ751" s="5">
        <f t="shared" si="566"/>
        <v>0</v>
      </c>
      <c r="BK751" s="5">
        <f t="shared" si="566"/>
        <v>0</v>
      </c>
      <c r="BL751" s="5">
        <f t="shared" si="566"/>
        <v>0</v>
      </c>
      <c r="BM751" s="5">
        <f t="shared" si="566"/>
        <v>0</v>
      </c>
      <c r="BN751" s="5">
        <f t="shared" si="563"/>
        <v>0</v>
      </c>
      <c r="BO751" s="5">
        <f t="shared" si="563"/>
        <v>0</v>
      </c>
      <c r="BP751" s="5">
        <f t="shared" si="563"/>
        <v>0</v>
      </c>
      <c r="BQ751" s="5">
        <f t="shared" si="563"/>
        <v>0</v>
      </c>
      <c r="BR751" s="5">
        <f t="shared" si="563"/>
        <v>0</v>
      </c>
      <c r="BS751" s="5">
        <f t="shared" si="563"/>
        <v>0</v>
      </c>
      <c r="BT751" s="5">
        <f t="shared" si="563"/>
        <v>0</v>
      </c>
      <c r="BU751" s="5">
        <f t="shared" si="563"/>
        <v>0</v>
      </c>
      <c r="BV751" s="5">
        <f t="shared" si="563"/>
        <v>0</v>
      </c>
      <c r="BW751" s="5">
        <f t="shared" si="563"/>
        <v>0</v>
      </c>
      <c r="BX751" s="5">
        <f t="shared" si="563"/>
        <v>0</v>
      </c>
      <c r="BY751" s="5">
        <f t="shared" si="563"/>
        <v>0</v>
      </c>
      <c r="BZ751" s="5">
        <f t="shared" si="563"/>
        <v>0</v>
      </c>
      <c r="CA751" s="5">
        <f t="shared" si="563"/>
        <v>0</v>
      </c>
      <c r="CB751" s="5">
        <f t="shared" si="563"/>
        <v>1</v>
      </c>
      <c r="CC751" s="5">
        <f t="shared" si="567"/>
        <v>0</v>
      </c>
      <c r="CD751" s="5">
        <f t="shared" si="567"/>
        <v>0</v>
      </c>
      <c r="CE751" s="5">
        <f t="shared" si="567"/>
        <v>0</v>
      </c>
    </row>
    <row r="752" spans="1:83" x14ac:dyDescent="0.2">
      <c r="A752" s="11"/>
      <c r="B752" s="11"/>
      <c r="C752" s="1">
        <f>Growth!D757</f>
        <v>0</v>
      </c>
      <c r="D752" s="5" t="b">
        <f t="shared" si="550"/>
        <v>0</v>
      </c>
      <c r="E752" s="5">
        <v>2012</v>
      </c>
      <c r="F752" s="5">
        <f ca="1">LOOKUP($E752,frequence!$A$2:$A$35,frequence!L$2:L$35)</f>
        <v>41.545638202606931</v>
      </c>
      <c r="G752" s="5">
        <f ca="1">LOOKUP($E752,frequence!$A$2:$A$35,frequence!K$2:K$35)</f>
        <v>3.8191206393393822</v>
      </c>
      <c r="H752" s="5">
        <f ca="1">LOOKUP($E752,frequence!$A$2:$A$35,frequence!M$2:M$35)</f>
        <v>265.64322815143237</v>
      </c>
      <c r="I752" s="18">
        <v>2005</v>
      </c>
      <c r="J752" s="7">
        <f>LOOKUP(I752,CPI!A$69:A$103,CPI!O$69:O$103)</f>
        <v>1.1165181771633383</v>
      </c>
      <c r="K752" s="5">
        <v>2015</v>
      </c>
      <c r="L752" s="7">
        <f t="shared" ca="1" si="544"/>
        <v>1</v>
      </c>
      <c r="M752" s="7">
        <f t="shared" si="556"/>
        <v>4.3055555555555555E-2</v>
      </c>
      <c r="N752" s="14">
        <f t="shared" si="564"/>
        <v>6.9444444444444441E-3</v>
      </c>
      <c r="O752" s="1">
        <f ca="1">P752*J752*(1+Growth!G$6)^(2010-K752)</f>
        <v>449.53395611895809</v>
      </c>
      <c r="P752" s="11">
        <v>434</v>
      </c>
      <c r="Q752" s="2">
        <f t="shared" si="478"/>
        <v>434</v>
      </c>
      <c r="R752" s="21">
        <f t="shared" ca="1" si="551"/>
        <v>202080.77770396133</v>
      </c>
      <c r="X752" s="2"/>
      <c r="AC752" s="1">
        <f t="shared" si="565"/>
        <v>6.2</v>
      </c>
      <c r="AD752" s="5">
        <v>1</v>
      </c>
      <c r="AE752" s="5">
        <v>0</v>
      </c>
      <c r="AF752" s="5">
        <v>1</v>
      </c>
      <c r="AG752" s="5">
        <v>0</v>
      </c>
      <c r="AH752" s="5">
        <v>1</v>
      </c>
      <c r="AI752" s="3">
        <f t="shared" si="549"/>
        <v>3.2</v>
      </c>
      <c r="AJ752" s="5">
        <f t="shared" si="555"/>
        <v>0</v>
      </c>
      <c r="AK752" s="5">
        <f t="shared" si="545"/>
        <v>0</v>
      </c>
      <c r="AL752" s="5">
        <f t="shared" si="546"/>
        <v>0</v>
      </c>
      <c r="AM752" s="5">
        <f t="shared" si="557"/>
        <v>0</v>
      </c>
      <c r="AN752" s="5">
        <f t="shared" si="547"/>
        <v>0</v>
      </c>
      <c r="AO752" s="5">
        <f t="shared" si="558"/>
        <v>0</v>
      </c>
      <c r="AP752" s="11">
        <v>3</v>
      </c>
      <c r="AQ752" s="1">
        <v>-1.1000000000000001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1</v>
      </c>
      <c r="AY752" s="1">
        <f t="shared" si="559"/>
        <v>0</v>
      </c>
      <c r="AZ752" s="1">
        <f t="shared" si="560"/>
        <v>0</v>
      </c>
      <c r="BA752" s="1">
        <f t="shared" si="561"/>
        <v>0</v>
      </c>
      <c r="BB752" s="5">
        <v>0</v>
      </c>
      <c r="BC752" s="5">
        <v>0</v>
      </c>
      <c r="BD752" s="5">
        <v>0</v>
      </c>
      <c r="BE752" s="5">
        <f t="shared" si="562"/>
        <v>1</v>
      </c>
      <c r="BF752" s="5">
        <v>1</v>
      </c>
      <c r="BG752" s="5">
        <f t="shared" si="566"/>
        <v>0</v>
      </c>
      <c r="BH752" s="5">
        <f t="shared" si="566"/>
        <v>0</v>
      </c>
      <c r="BI752" s="5">
        <f t="shared" si="566"/>
        <v>0</v>
      </c>
      <c r="BJ752" s="5">
        <f t="shared" si="566"/>
        <v>0</v>
      </c>
      <c r="BK752" s="5">
        <f t="shared" si="566"/>
        <v>0</v>
      </c>
      <c r="BL752" s="5">
        <f t="shared" si="566"/>
        <v>0</v>
      </c>
      <c r="BM752" s="5">
        <f t="shared" si="566"/>
        <v>0</v>
      </c>
      <c r="BN752" s="5">
        <f t="shared" si="563"/>
        <v>0</v>
      </c>
      <c r="BO752" s="5">
        <f t="shared" si="563"/>
        <v>0</v>
      </c>
      <c r="BP752" s="5">
        <f t="shared" si="563"/>
        <v>0</v>
      </c>
      <c r="BQ752" s="5">
        <f t="shared" si="563"/>
        <v>0</v>
      </c>
      <c r="BR752" s="5">
        <f t="shared" si="563"/>
        <v>0</v>
      </c>
      <c r="BS752" s="5">
        <f t="shared" si="563"/>
        <v>0</v>
      </c>
      <c r="BT752" s="5">
        <f t="shared" si="563"/>
        <v>0</v>
      </c>
      <c r="BU752" s="5">
        <f t="shared" si="563"/>
        <v>0</v>
      </c>
      <c r="BV752" s="5">
        <f t="shared" si="563"/>
        <v>0</v>
      </c>
      <c r="BW752" s="5">
        <f t="shared" si="563"/>
        <v>0</v>
      </c>
      <c r="BX752" s="5">
        <f t="shared" si="563"/>
        <v>0</v>
      </c>
      <c r="BY752" s="5">
        <f t="shared" si="563"/>
        <v>0</v>
      </c>
      <c r="BZ752" s="5">
        <f t="shared" si="563"/>
        <v>0</v>
      </c>
      <c r="CA752" s="5">
        <f t="shared" si="563"/>
        <v>0</v>
      </c>
      <c r="CB752" s="5">
        <f t="shared" si="563"/>
        <v>1</v>
      </c>
      <c r="CC752" s="5">
        <f t="shared" si="567"/>
        <v>0</v>
      </c>
      <c r="CD752" s="5">
        <f t="shared" si="567"/>
        <v>0</v>
      </c>
      <c r="CE752" s="5">
        <f t="shared" si="567"/>
        <v>0</v>
      </c>
    </row>
    <row r="753" spans="1:83" x14ac:dyDescent="0.2">
      <c r="A753" s="11"/>
      <c r="B753" s="11"/>
      <c r="C753" s="1">
        <f>Growth!D758</f>
        <v>0</v>
      </c>
      <c r="D753" s="5" t="b">
        <f t="shared" si="550"/>
        <v>0</v>
      </c>
      <c r="E753" s="5">
        <v>2012</v>
      </c>
      <c r="F753" s="5">
        <f ca="1">LOOKUP($E753,frequence!$A$2:$A$35,frequence!L$2:L$35)</f>
        <v>41.545638202606931</v>
      </c>
      <c r="G753" s="5">
        <f ca="1">LOOKUP($E753,frequence!$A$2:$A$35,frequence!K$2:K$35)</f>
        <v>3.8191206393393822</v>
      </c>
      <c r="H753" s="5">
        <f ca="1">LOOKUP($E753,frequence!$A$2:$A$35,frequence!M$2:M$35)</f>
        <v>265.64322815143237</v>
      </c>
      <c r="I753" s="18">
        <v>2005</v>
      </c>
      <c r="J753" s="7">
        <f>LOOKUP(I753,CPI!A$69:A$103,CPI!O$69:O$103)</f>
        <v>1.1165181771633383</v>
      </c>
      <c r="K753" s="5">
        <v>2015</v>
      </c>
      <c r="L753" s="7">
        <f t="shared" ca="1" si="544"/>
        <v>1</v>
      </c>
      <c r="M753" s="7">
        <f t="shared" si="556"/>
        <v>4.3055555555555555E-2</v>
      </c>
      <c r="N753" s="14">
        <f t="shared" si="564"/>
        <v>6.9444444444444441E-3</v>
      </c>
      <c r="O753" s="1">
        <f ca="1">P753*J753*(1+Growth!G$6)^(2010-K753)</f>
        <v>713.6610501519865</v>
      </c>
      <c r="P753" s="11">
        <v>689</v>
      </c>
      <c r="Q753" s="2">
        <f t="shared" si="478"/>
        <v>689</v>
      </c>
      <c r="R753" s="21">
        <f t="shared" ca="1" si="551"/>
        <v>509312.09450403618</v>
      </c>
      <c r="X753" s="2"/>
      <c r="AC753" s="1">
        <f t="shared" si="565"/>
        <v>6.2</v>
      </c>
      <c r="AD753" s="5">
        <v>1</v>
      </c>
      <c r="AE753" s="5">
        <v>0</v>
      </c>
      <c r="AF753" s="5">
        <v>1</v>
      </c>
      <c r="AG753" s="5">
        <v>0</v>
      </c>
      <c r="AH753" s="5">
        <v>1</v>
      </c>
      <c r="AI753" s="3">
        <f t="shared" si="549"/>
        <v>3.2</v>
      </c>
      <c r="AJ753" s="5">
        <f t="shared" si="555"/>
        <v>0</v>
      </c>
      <c r="AK753" s="5">
        <f t="shared" si="545"/>
        <v>0</v>
      </c>
      <c r="AL753" s="5">
        <f t="shared" si="546"/>
        <v>0</v>
      </c>
      <c r="AM753" s="5">
        <f t="shared" si="557"/>
        <v>0</v>
      </c>
      <c r="AN753" s="5">
        <f t="shared" si="547"/>
        <v>0</v>
      </c>
      <c r="AO753" s="5">
        <f t="shared" si="558"/>
        <v>0</v>
      </c>
      <c r="AP753" s="11">
        <v>3</v>
      </c>
      <c r="AQ753" s="1">
        <v>-1.1000000000000001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1</v>
      </c>
      <c r="AY753" s="1">
        <f t="shared" si="559"/>
        <v>0</v>
      </c>
      <c r="AZ753" s="1">
        <f t="shared" si="560"/>
        <v>0</v>
      </c>
      <c r="BA753" s="1">
        <f t="shared" si="561"/>
        <v>0</v>
      </c>
      <c r="BB753" s="5">
        <v>0</v>
      </c>
      <c r="BC753" s="5">
        <v>0</v>
      </c>
      <c r="BD753" s="5">
        <v>0</v>
      </c>
      <c r="BE753" s="5">
        <f t="shared" si="562"/>
        <v>1</v>
      </c>
      <c r="BF753" s="5">
        <v>1</v>
      </c>
      <c r="BG753" s="5">
        <f t="shared" si="566"/>
        <v>0</v>
      </c>
      <c r="BH753" s="5">
        <f t="shared" si="566"/>
        <v>0</v>
      </c>
      <c r="BI753" s="5">
        <f t="shared" si="566"/>
        <v>0</v>
      </c>
      <c r="BJ753" s="5">
        <f t="shared" si="566"/>
        <v>0</v>
      </c>
      <c r="BK753" s="5">
        <f t="shared" si="566"/>
        <v>0</v>
      </c>
      <c r="BL753" s="5">
        <f t="shared" si="566"/>
        <v>0</v>
      </c>
      <c r="BM753" s="5">
        <f t="shared" si="566"/>
        <v>0</v>
      </c>
      <c r="BN753" s="5">
        <f t="shared" si="563"/>
        <v>0</v>
      </c>
      <c r="BO753" s="5">
        <f t="shared" si="563"/>
        <v>0</v>
      </c>
      <c r="BP753" s="5">
        <f t="shared" si="563"/>
        <v>0</v>
      </c>
      <c r="BQ753" s="5">
        <f t="shared" si="563"/>
        <v>0</v>
      </c>
      <c r="BR753" s="5">
        <f t="shared" si="563"/>
        <v>0</v>
      </c>
      <c r="BS753" s="5">
        <f t="shared" si="563"/>
        <v>0</v>
      </c>
      <c r="BT753" s="5">
        <f t="shared" si="563"/>
        <v>0</v>
      </c>
      <c r="BU753" s="5">
        <f t="shared" si="563"/>
        <v>0</v>
      </c>
      <c r="BV753" s="5">
        <f t="shared" si="563"/>
        <v>0</v>
      </c>
      <c r="BW753" s="5">
        <f t="shared" si="563"/>
        <v>0</v>
      </c>
      <c r="BX753" s="5">
        <f t="shared" si="563"/>
        <v>0</v>
      </c>
      <c r="BY753" s="5">
        <f t="shared" si="563"/>
        <v>0</v>
      </c>
      <c r="BZ753" s="5">
        <f t="shared" si="563"/>
        <v>0</v>
      </c>
      <c r="CA753" s="5">
        <f t="shared" si="563"/>
        <v>0</v>
      </c>
      <c r="CB753" s="5">
        <f t="shared" si="563"/>
        <v>1</v>
      </c>
      <c r="CC753" s="5">
        <f t="shared" si="567"/>
        <v>0</v>
      </c>
      <c r="CD753" s="5">
        <f t="shared" si="567"/>
        <v>0</v>
      </c>
      <c r="CE753" s="5">
        <f t="shared" si="567"/>
        <v>0</v>
      </c>
    </row>
    <row r="754" spans="1:83" x14ac:dyDescent="0.2">
      <c r="A754" s="11"/>
      <c r="B754" s="11"/>
      <c r="C754" s="1">
        <f>Growth!D759</f>
        <v>0</v>
      </c>
      <c r="D754" s="5" t="b">
        <f t="shared" si="550"/>
        <v>0</v>
      </c>
      <c r="E754" s="5">
        <v>2012</v>
      </c>
      <c r="F754" s="5">
        <f ca="1">LOOKUP($E754,frequence!$A$2:$A$35,frequence!L$2:L$35)</f>
        <v>41.545638202606931</v>
      </c>
      <c r="G754" s="5">
        <f ca="1">LOOKUP($E754,frequence!$A$2:$A$35,frequence!K$2:K$35)</f>
        <v>3.8191206393393822</v>
      </c>
      <c r="H754" s="5">
        <f ca="1">LOOKUP($E754,frequence!$A$2:$A$35,frequence!M$2:M$35)</f>
        <v>265.64322815143237</v>
      </c>
      <c r="I754" s="18">
        <v>2005</v>
      </c>
      <c r="J754" s="7">
        <f>LOOKUP(I754,CPI!A$69:A$103,CPI!O$69:O$103)</f>
        <v>1.1165181771633383</v>
      </c>
      <c r="K754" s="5">
        <v>2015</v>
      </c>
      <c r="L754" s="7">
        <f t="shared" ca="1" si="544"/>
        <v>1</v>
      </c>
      <c r="M754" s="7">
        <f t="shared" si="556"/>
        <v>4.3055555555555555E-2</v>
      </c>
      <c r="N754" s="14">
        <f t="shared" si="564"/>
        <v>6.9444444444444441E-3</v>
      </c>
      <c r="O754" s="1">
        <f ca="1">P754*J754*(1+Growth!G$6)^(2010-K754)</f>
        <v>524.11101796357786</v>
      </c>
      <c r="P754" s="11">
        <v>506</v>
      </c>
      <c r="Q754" s="2">
        <f t="shared" si="478"/>
        <v>506</v>
      </c>
      <c r="R754" s="21">
        <f t="shared" ca="1" si="551"/>
        <v>274692.35915081785</v>
      </c>
      <c r="X754" s="2"/>
      <c r="AC754" s="1">
        <f t="shared" si="565"/>
        <v>6.2</v>
      </c>
      <c r="AD754" s="5">
        <v>1</v>
      </c>
      <c r="AE754" s="5">
        <v>0</v>
      </c>
      <c r="AF754" s="5">
        <v>1</v>
      </c>
      <c r="AG754" s="5">
        <v>0</v>
      </c>
      <c r="AH754" s="5">
        <v>1</v>
      </c>
      <c r="AI754" s="3">
        <f t="shared" si="549"/>
        <v>3.2</v>
      </c>
      <c r="AJ754" s="5">
        <f t="shared" si="555"/>
        <v>0</v>
      </c>
      <c r="AK754" s="5">
        <f t="shared" si="545"/>
        <v>0</v>
      </c>
      <c r="AL754" s="5">
        <f t="shared" si="546"/>
        <v>0</v>
      </c>
      <c r="AM754" s="5">
        <f t="shared" si="557"/>
        <v>0</v>
      </c>
      <c r="AN754" s="5">
        <f t="shared" si="547"/>
        <v>0</v>
      </c>
      <c r="AO754" s="5">
        <f t="shared" si="558"/>
        <v>0</v>
      </c>
      <c r="AP754" s="11">
        <v>3</v>
      </c>
      <c r="AQ754" s="1">
        <v>-1.1000000000000001</v>
      </c>
      <c r="AR754" s="5">
        <v>0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1</v>
      </c>
      <c r="AY754" s="1">
        <f t="shared" si="559"/>
        <v>0</v>
      </c>
      <c r="AZ754" s="1">
        <f t="shared" si="560"/>
        <v>0</v>
      </c>
      <c r="BA754" s="1">
        <f t="shared" si="561"/>
        <v>0</v>
      </c>
      <c r="BB754" s="5">
        <v>0</v>
      </c>
      <c r="BC754" s="5">
        <v>0</v>
      </c>
      <c r="BD754" s="5">
        <v>0</v>
      </c>
      <c r="BE754" s="5">
        <f t="shared" si="562"/>
        <v>1</v>
      </c>
      <c r="BF754" s="5">
        <v>1</v>
      </c>
      <c r="BG754" s="5">
        <f t="shared" si="566"/>
        <v>0</v>
      </c>
      <c r="BH754" s="5">
        <f t="shared" si="566"/>
        <v>0</v>
      </c>
      <c r="BI754" s="5">
        <f t="shared" si="566"/>
        <v>0</v>
      </c>
      <c r="BJ754" s="5">
        <f t="shared" si="566"/>
        <v>0</v>
      </c>
      <c r="BK754" s="5">
        <f t="shared" si="566"/>
        <v>0</v>
      </c>
      <c r="BL754" s="5">
        <f t="shared" si="566"/>
        <v>0</v>
      </c>
      <c r="BM754" s="5">
        <f t="shared" si="566"/>
        <v>0</v>
      </c>
      <c r="BN754" s="5">
        <f t="shared" si="563"/>
        <v>0</v>
      </c>
      <c r="BO754" s="5">
        <f t="shared" si="563"/>
        <v>0</v>
      </c>
      <c r="BP754" s="5">
        <f t="shared" si="563"/>
        <v>0</v>
      </c>
      <c r="BQ754" s="5">
        <f t="shared" si="563"/>
        <v>0</v>
      </c>
      <c r="BR754" s="5">
        <f t="shared" si="563"/>
        <v>0</v>
      </c>
      <c r="BS754" s="5">
        <f t="shared" si="563"/>
        <v>0</v>
      </c>
      <c r="BT754" s="5">
        <f t="shared" si="563"/>
        <v>0</v>
      </c>
      <c r="BU754" s="5">
        <f t="shared" si="563"/>
        <v>0</v>
      </c>
      <c r="BV754" s="5">
        <f t="shared" si="563"/>
        <v>0</v>
      </c>
      <c r="BW754" s="5">
        <f t="shared" si="563"/>
        <v>0</v>
      </c>
      <c r="BX754" s="5">
        <f t="shared" si="563"/>
        <v>0</v>
      </c>
      <c r="BY754" s="5">
        <f t="shared" si="563"/>
        <v>0</v>
      </c>
      <c r="BZ754" s="5">
        <f t="shared" si="563"/>
        <v>0</v>
      </c>
      <c r="CA754" s="5">
        <f t="shared" si="563"/>
        <v>0</v>
      </c>
      <c r="CB754" s="5">
        <f t="shared" si="563"/>
        <v>1</v>
      </c>
      <c r="CC754" s="5">
        <f t="shared" si="567"/>
        <v>0</v>
      </c>
      <c r="CD754" s="5">
        <f t="shared" si="567"/>
        <v>0</v>
      </c>
      <c r="CE754" s="5">
        <f t="shared" si="567"/>
        <v>0</v>
      </c>
    </row>
    <row r="755" spans="1:83" x14ac:dyDescent="0.2">
      <c r="A755" s="11"/>
      <c r="B755" s="11"/>
      <c r="C755" s="1">
        <f>Growth!D760</f>
        <v>0</v>
      </c>
      <c r="D755" s="5" t="b">
        <f t="shared" si="550"/>
        <v>0</v>
      </c>
      <c r="E755" s="5">
        <v>2012</v>
      </c>
      <c r="F755" s="5">
        <f ca="1">LOOKUP($E755,frequence!$A$2:$A$35,frequence!L$2:L$35)</f>
        <v>41.545638202606931</v>
      </c>
      <c r="G755" s="5">
        <f ca="1">LOOKUP($E755,frequence!$A$2:$A$35,frequence!K$2:K$35)</f>
        <v>3.8191206393393822</v>
      </c>
      <c r="H755" s="5">
        <f ca="1">LOOKUP($E755,frequence!$A$2:$A$35,frequence!M$2:M$35)</f>
        <v>265.64322815143237</v>
      </c>
      <c r="I755" s="18">
        <v>2005</v>
      </c>
      <c r="J755" s="7">
        <f>LOOKUP(I755,CPI!A$69:A$103,CPI!O$69:O$103)</f>
        <v>1.1165181771633383</v>
      </c>
      <c r="K755" s="5">
        <v>2015</v>
      </c>
      <c r="L755" s="7">
        <f t="shared" ca="1" si="544"/>
        <v>1</v>
      </c>
      <c r="M755" s="7">
        <f t="shared" si="556"/>
        <v>4.3055555555555555E-2</v>
      </c>
      <c r="N755" s="14">
        <f t="shared" si="564"/>
        <v>6.9444444444444441E-3</v>
      </c>
      <c r="O755" s="1">
        <f ca="1">P755*J755*(1+Growth!G$6)^(2010-K755)</f>
        <v>575.90064424456386</v>
      </c>
      <c r="P755" s="11">
        <v>556</v>
      </c>
      <c r="Q755" s="2">
        <f t="shared" si="478"/>
        <v>556</v>
      </c>
      <c r="R755" s="21">
        <f t="shared" ca="1" si="551"/>
        <v>331661.55204130372</v>
      </c>
      <c r="X755" s="2"/>
      <c r="AC755" s="1">
        <f t="shared" si="565"/>
        <v>6.2</v>
      </c>
      <c r="AD755" s="5">
        <v>1</v>
      </c>
      <c r="AE755" s="5">
        <v>0</v>
      </c>
      <c r="AF755" s="5">
        <v>1</v>
      </c>
      <c r="AG755" s="5">
        <v>0</v>
      </c>
      <c r="AH755" s="5">
        <v>1</v>
      </c>
      <c r="AI755" s="3">
        <f t="shared" si="549"/>
        <v>3.2</v>
      </c>
      <c r="AJ755" s="5">
        <f t="shared" si="555"/>
        <v>0</v>
      </c>
      <c r="AK755" s="5">
        <f t="shared" si="545"/>
        <v>0</v>
      </c>
      <c r="AL755" s="5">
        <f t="shared" si="546"/>
        <v>0</v>
      </c>
      <c r="AM755" s="5">
        <f t="shared" si="557"/>
        <v>0</v>
      </c>
      <c r="AN755" s="5">
        <f t="shared" si="547"/>
        <v>0</v>
      </c>
      <c r="AO755" s="5">
        <f t="shared" si="558"/>
        <v>0</v>
      </c>
      <c r="AP755" s="11">
        <v>3</v>
      </c>
      <c r="AQ755" s="1">
        <v>-1.1000000000000001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1</v>
      </c>
      <c r="AY755" s="1">
        <f t="shared" si="559"/>
        <v>0</v>
      </c>
      <c r="AZ755" s="1">
        <f t="shared" si="560"/>
        <v>0</v>
      </c>
      <c r="BA755" s="1">
        <f t="shared" si="561"/>
        <v>0</v>
      </c>
      <c r="BB755" s="5">
        <v>0</v>
      </c>
      <c r="BC755" s="5">
        <v>0</v>
      </c>
      <c r="BD755" s="5">
        <v>0</v>
      </c>
      <c r="BE755" s="5">
        <f t="shared" si="562"/>
        <v>1</v>
      </c>
      <c r="BF755" s="5">
        <v>1</v>
      </c>
      <c r="BG755" s="5">
        <f t="shared" si="566"/>
        <v>0</v>
      </c>
      <c r="BH755" s="5">
        <f t="shared" si="566"/>
        <v>0</v>
      </c>
      <c r="BI755" s="5">
        <f t="shared" si="566"/>
        <v>0</v>
      </c>
      <c r="BJ755" s="5">
        <f t="shared" si="566"/>
        <v>0</v>
      </c>
      <c r="BK755" s="5">
        <f t="shared" si="566"/>
        <v>0</v>
      </c>
      <c r="BL755" s="5">
        <f t="shared" si="566"/>
        <v>0</v>
      </c>
      <c r="BM755" s="5">
        <f t="shared" si="566"/>
        <v>0</v>
      </c>
      <c r="BN755" s="5">
        <f t="shared" si="563"/>
        <v>0</v>
      </c>
      <c r="BO755" s="5">
        <f t="shared" si="563"/>
        <v>0</v>
      </c>
      <c r="BP755" s="5">
        <f t="shared" si="563"/>
        <v>0</v>
      </c>
      <c r="BQ755" s="5">
        <f t="shared" si="563"/>
        <v>0</v>
      </c>
      <c r="BR755" s="5">
        <f t="shared" si="563"/>
        <v>0</v>
      </c>
      <c r="BS755" s="5">
        <f t="shared" si="563"/>
        <v>0</v>
      </c>
      <c r="BT755" s="5">
        <f t="shared" si="563"/>
        <v>0</v>
      </c>
      <c r="BU755" s="5">
        <f t="shared" si="563"/>
        <v>0</v>
      </c>
      <c r="BV755" s="5">
        <f t="shared" si="563"/>
        <v>0</v>
      </c>
      <c r="BW755" s="5">
        <f t="shared" si="563"/>
        <v>0</v>
      </c>
      <c r="BX755" s="5">
        <f t="shared" si="563"/>
        <v>0</v>
      </c>
      <c r="BY755" s="5">
        <f t="shared" si="563"/>
        <v>0</v>
      </c>
      <c r="BZ755" s="5">
        <f t="shared" si="563"/>
        <v>0</v>
      </c>
      <c r="CA755" s="5">
        <f t="shared" si="563"/>
        <v>0</v>
      </c>
      <c r="CB755" s="5">
        <f t="shared" si="563"/>
        <v>1</v>
      </c>
      <c r="CC755" s="5">
        <f t="shared" si="567"/>
        <v>0</v>
      </c>
      <c r="CD755" s="5">
        <f t="shared" si="567"/>
        <v>0</v>
      </c>
      <c r="CE755" s="5">
        <f t="shared" si="567"/>
        <v>0</v>
      </c>
    </row>
    <row r="756" spans="1:83" x14ac:dyDescent="0.2">
      <c r="A756" s="11" t="s">
        <v>182</v>
      </c>
      <c r="B756" s="11" t="s">
        <v>183</v>
      </c>
      <c r="C756" s="1">
        <f>Growth!D761</f>
        <v>0</v>
      </c>
      <c r="D756" s="5">
        <f t="shared" si="550"/>
        <v>2011</v>
      </c>
      <c r="E756" s="5">
        <v>2011</v>
      </c>
      <c r="F756" s="5">
        <f ca="1">LOOKUP($E756,frequence!$A$2:$A$35,frequence!L$2:L$35)</f>
        <v>33.053542446246631</v>
      </c>
      <c r="G756" s="5">
        <f ca="1">LOOKUP($E756,frequence!$A$2:$A$35,frequence!K$2:K$35)</f>
        <v>2.1388579511305732</v>
      </c>
      <c r="H756" s="5">
        <f ca="1">LOOKUP($E756,frequence!$A$2:$A$35,frequence!M$2:M$35)</f>
        <v>182.11948132765423</v>
      </c>
      <c r="I756" s="18">
        <v>2005</v>
      </c>
      <c r="J756" s="7">
        <f>LOOKUP(I756,CPI!A$69:A$103,CPI!O$69:O$103)</f>
        <v>1.1165181771633383</v>
      </c>
      <c r="K756" s="18">
        <v>2009</v>
      </c>
      <c r="L756" s="7">
        <f t="shared" ca="1" si="544"/>
        <v>1</v>
      </c>
      <c r="M756" s="7">
        <f t="shared" si="556"/>
        <v>0.55454545454545456</v>
      </c>
      <c r="N756" s="14">
        <v>9.0909090909090912E-2</v>
      </c>
      <c r="O756" s="1">
        <f ca="1">P756*J756*(1+Growth!G$6)^(2010-K756)</f>
        <v>423.89276597568244</v>
      </c>
      <c r="P756" s="2">
        <f t="shared" ref="P756:P789" si="568">Q756</f>
        <v>374</v>
      </c>
      <c r="Q756" s="11">
        <f>102*44/12</f>
        <v>374</v>
      </c>
      <c r="R756" s="21">
        <f t="shared" ca="1" si="551"/>
        <v>179685.07704651466</v>
      </c>
      <c r="U756" s="11">
        <f>11*44/12</f>
        <v>40.333333333333336</v>
      </c>
      <c r="X756" s="11">
        <f>49*44/12</f>
        <v>179.66666666666666</v>
      </c>
      <c r="AA756" s="11">
        <f>231*44/12</f>
        <v>847</v>
      </c>
      <c r="AB756" s="11">
        <f>447*44/12</f>
        <v>1639</v>
      </c>
      <c r="AC756" s="1">
        <f t="shared" ref="AC756:AC795" si="569">SUM(AD756:AI756)</f>
        <v>6.1</v>
      </c>
      <c r="AD756" s="5">
        <v>1</v>
      </c>
      <c r="AE756" s="5">
        <v>0</v>
      </c>
      <c r="AF756" s="5">
        <v>1</v>
      </c>
      <c r="AG756" s="5">
        <v>0</v>
      </c>
      <c r="AH756" s="5">
        <v>1</v>
      </c>
      <c r="AI756" s="3">
        <f t="shared" si="549"/>
        <v>3.1</v>
      </c>
      <c r="AJ756" s="5">
        <f t="shared" si="555"/>
        <v>0</v>
      </c>
      <c r="AK756" s="5">
        <f t="shared" si="545"/>
        <v>0</v>
      </c>
      <c r="AL756" s="5">
        <f t="shared" si="546"/>
        <v>0</v>
      </c>
      <c r="AM756" s="5">
        <f t="shared" si="557"/>
        <v>0</v>
      </c>
      <c r="AN756" s="5">
        <f t="shared" si="547"/>
        <v>0</v>
      </c>
      <c r="AO756" s="5">
        <f t="shared" si="558"/>
        <v>0</v>
      </c>
      <c r="AP756" s="11" t="s">
        <v>42</v>
      </c>
      <c r="AQ756" s="11" t="s">
        <v>42</v>
      </c>
      <c r="AR756" s="5">
        <v>1</v>
      </c>
      <c r="AS756" s="5">
        <v>0</v>
      </c>
      <c r="AT756" s="5">
        <v>1</v>
      </c>
      <c r="AU756" s="5">
        <v>0</v>
      </c>
      <c r="AV756" s="5">
        <v>0</v>
      </c>
      <c r="AW756" s="5">
        <v>0</v>
      </c>
      <c r="AX756" s="5">
        <v>1</v>
      </c>
      <c r="AY756" s="1">
        <f t="shared" si="559"/>
        <v>0</v>
      </c>
      <c r="AZ756" s="1">
        <f t="shared" si="560"/>
        <v>0</v>
      </c>
      <c r="BA756" s="1">
        <f t="shared" si="561"/>
        <v>0</v>
      </c>
      <c r="BB756" s="5">
        <v>1</v>
      </c>
      <c r="BC756" s="5">
        <v>0</v>
      </c>
      <c r="BD756" s="5">
        <v>0</v>
      </c>
      <c r="BE756" s="5">
        <f t="shared" si="562"/>
        <v>0</v>
      </c>
      <c r="BF756" s="5">
        <v>0</v>
      </c>
      <c r="BG756" s="5">
        <f t="shared" si="566"/>
        <v>0</v>
      </c>
      <c r="BH756" s="5">
        <f t="shared" si="566"/>
        <v>0</v>
      </c>
      <c r="BI756" s="5">
        <f t="shared" si="566"/>
        <v>0</v>
      </c>
      <c r="BJ756" s="5">
        <f t="shared" si="566"/>
        <v>0</v>
      </c>
      <c r="BK756" s="5">
        <f t="shared" si="566"/>
        <v>0</v>
      </c>
      <c r="BL756" s="5">
        <f t="shared" si="566"/>
        <v>0</v>
      </c>
      <c r="BM756" s="5">
        <f t="shared" si="566"/>
        <v>0</v>
      </c>
      <c r="BN756" s="5">
        <f t="shared" si="566"/>
        <v>0</v>
      </c>
      <c r="BO756" s="5">
        <f t="shared" ref="BO756:CC771" si="570">IF($E756=BO$2,1,0)</f>
        <v>0</v>
      </c>
      <c r="BP756" s="5">
        <f t="shared" si="570"/>
        <v>0</v>
      </c>
      <c r="BQ756" s="5">
        <f t="shared" si="570"/>
        <v>0</v>
      </c>
      <c r="BR756" s="5">
        <f t="shared" si="570"/>
        <v>0</v>
      </c>
      <c r="BS756" s="5">
        <f t="shared" si="570"/>
        <v>0</v>
      </c>
      <c r="BT756" s="5">
        <f t="shared" si="570"/>
        <v>0</v>
      </c>
      <c r="BU756" s="5">
        <f t="shared" si="570"/>
        <v>0</v>
      </c>
      <c r="BV756" s="5">
        <f t="shared" si="570"/>
        <v>0</v>
      </c>
      <c r="BW756" s="5">
        <f t="shared" si="570"/>
        <v>0</v>
      </c>
      <c r="BX756" s="5">
        <f t="shared" si="570"/>
        <v>0</v>
      </c>
      <c r="BY756" s="5">
        <f t="shared" si="570"/>
        <v>0</v>
      </c>
      <c r="BZ756" s="5">
        <f t="shared" si="570"/>
        <v>0</v>
      </c>
      <c r="CA756" s="5">
        <f t="shared" si="570"/>
        <v>1</v>
      </c>
      <c r="CB756" s="5">
        <f t="shared" si="570"/>
        <v>0</v>
      </c>
      <c r="CC756" s="5">
        <f t="shared" si="567"/>
        <v>0</v>
      </c>
      <c r="CD756" s="5">
        <f t="shared" si="567"/>
        <v>0</v>
      </c>
      <c r="CE756" s="5">
        <f t="shared" si="567"/>
        <v>0</v>
      </c>
    </row>
    <row r="757" spans="1:83" x14ac:dyDescent="0.2">
      <c r="A757" s="11"/>
      <c r="B757" s="11"/>
      <c r="C757" s="1">
        <f>Growth!D762</f>
        <v>0</v>
      </c>
      <c r="D757" s="5" t="b">
        <f t="shared" si="550"/>
        <v>0</v>
      </c>
      <c r="E757" s="5">
        <v>2011</v>
      </c>
      <c r="F757" s="5">
        <f ca="1">LOOKUP($E757,frequence!$A$2:$A$35,frequence!L$2:L$35)</f>
        <v>33.053542446246631</v>
      </c>
      <c r="G757" s="5">
        <f ca="1">LOOKUP($E757,frequence!$A$2:$A$35,frequence!K$2:K$35)</f>
        <v>2.1388579511305732</v>
      </c>
      <c r="H757" s="5">
        <f ca="1">LOOKUP($E757,frequence!$A$2:$A$35,frequence!M$2:M$35)</f>
        <v>182.11948132765423</v>
      </c>
      <c r="I757" s="18">
        <v>2005</v>
      </c>
      <c r="J757" s="7">
        <f>LOOKUP(I757,CPI!A$69:A$103,CPI!O$69:O$103)</f>
        <v>1.1165181771633383</v>
      </c>
      <c r="K757" s="18">
        <v>2009</v>
      </c>
      <c r="L757" s="7">
        <f t="shared" ca="1" si="544"/>
        <v>1</v>
      </c>
      <c r="M757" s="7">
        <f t="shared" si="556"/>
        <v>0.55454545454545456</v>
      </c>
      <c r="N757" s="14">
        <v>9.0909090909090912E-2</v>
      </c>
      <c r="O757" s="1">
        <f ca="1">P757*J757*(1+Growth!G$6)^(2010-K757)</f>
        <v>544.41129747857258</v>
      </c>
      <c r="P757" s="2">
        <f t="shared" si="568"/>
        <v>480.33333333333331</v>
      </c>
      <c r="Q757" s="11">
        <f>131*44/12</f>
        <v>480.33333333333331</v>
      </c>
      <c r="R757" s="21">
        <f t="shared" ca="1" si="551"/>
        <v>296383.66082230286</v>
      </c>
      <c r="U757" s="11">
        <f>12*44/12</f>
        <v>44</v>
      </c>
      <c r="X757" s="11">
        <f>57*44/12</f>
        <v>209</v>
      </c>
      <c r="AA757" s="11">
        <f>374*44/12</f>
        <v>1371.3333333333333</v>
      </c>
      <c r="AB757" s="11">
        <f>841*44/12</f>
        <v>3083.6666666666665</v>
      </c>
      <c r="AC757" s="1">
        <f t="shared" si="569"/>
        <v>6.1</v>
      </c>
      <c r="AD757" s="5">
        <v>1</v>
      </c>
      <c r="AE757" s="5">
        <v>0</v>
      </c>
      <c r="AF757" s="5">
        <v>1</v>
      </c>
      <c r="AG757" s="5">
        <v>0</v>
      </c>
      <c r="AH757" s="5">
        <v>1</v>
      </c>
      <c r="AI757" s="3">
        <f t="shared" si="549"/>
        <v>3.1</v>
      </c>
      <c r="AJ757" s="5">
        <f t="shared" si="555"/>
        <v>0</v>
      </c>
      <c r="AK757" s="5">
        <f t="shared" si="545"/>
        <v>0</v>
      </c>
      <c r="AL757" s="5">
        <f t="shared" si="546"/>
        <v>0</v>
      </c>
      <c r="AM757" s="5">
        <f t="shared" si="557"/>
        <v>0</v>
      </c>
      <c r="AN757" s="5">
        <f t="shared" si="547"/>
        <v>0</v>
      </c>
      <c r="AO757" s="5">
        <f t="shared" si="558"/>
        <v>0</v>
      </c>
      <c r="AP757" s="11" t="s">
        <v>42</v>
      </c>
      <c r="AQ757" s="11" t="s">
        <v>42</v>
      </c>
      <c r="AR757" s="5">
        <v>1</v>
      </c>
      <c r="AS757" s="5">
        <v>0</v>
      </c>
      <c r="AT757" s="5">
        <v>1</v>
      </c>
      <c r="AU757" s="5">
        <v>0</v>
      </c>
      <c r="AV757" s="5">
        <v>0</v>
      </c>
      <c r="AW757" s="5">
        <v>0</v>
      </c>
      <c r="AX757" s="5">
        <v>1</v>
      </c>
      <c r="AY757" s="1">
        <f t="shared" ref="AY757:AY766" si="571">AJ757*$AD757*(1-$AV757)*(1-$AR757)</f>
        <v>0</v>
      </c>
      <c r="AZ757" s="1">
        <f t="shared" ref="AZ757:AZ766" si="572">AM757*$AD757*(1-$AV757)*(1-$AR757)</f>
        <v>0</v>
      </c>
      <c r="BA757" s="1">
        <f t="shared" ref="BA757:BA766" si="573">AO757*$AD757*(1-$AV757)*(1-$AR757)</f>
        <v>0</v>
      </c>
      <c r="BB757" s="5">
        <v>1</v>
      </c>
      <c r="BC757" s="5">
        <v>0</v>
      </c>
      <c r="BD757" s="5">
        <v>0</v>
      </c>
      <c r="BE757" s="5">
        <f t="shared" ref="BE757:BE766" si="574">1-SUM(BB757:BD757)</f>
        <v>0</v>
      </c>
      <c r="BF757" s="5">
        <v>0</v>
      </c>
      <c r="BG757" s="5">
        <f t="shared" ref="BG757:BN772" si="575">IF($E757=BG$2,1,0)</f>
        <v>0</v>
      </c>
      <c r="BH757" s="5">
        <f t="shared" si="575"/>
        <v>0</v>
      </c>
      <c r="BI757" s="5">
        <f t="shared" si="575"/>
        <v>0</v>
      </c>
      <c r="BJ757" s="5">
        <f t="shared" si="575"/>
        <v>0</v>
      </c>
      <c r="BK757" s="5">
        <f t="shared" si="575"/>
        <v>0</v>
      </c>
      <c r="BL757" s="5">
        <f t="shared" si="575"/>
        <v>0</v>
      </c>
      <c r="BM757" s="5">
        <f t="shared" si="575"/>
        <v>0</v>
      </c>
      <c r="BN757" s="5">
        <f t="shared" si="575"/>
        <v>0</v>
      </c>
      <c r="BO757" s="5">
        <f t="shared" si="570"/>
        <v>0</v>
      </c>
      <c r="BP757" s="5">
        <f t="shared" si="570"/>
        <v>0</v>
      </c>
      <c r="BQ757" s="5">
        <f t="shared" si="570"/>
        <v>0</v>
      </c>
      <c r="BR757" s="5">
        <f t="shared" si="570"/>
        <v>0</v>
      </c>
      <c r="BS757" s="5">
        <f t="shared" si="570"/>
        <v>0</v>
      </c>
      <c r="BT757" s="5">
        <f t="shared" si="570"/>
        <v>0</v>
      </c>
      <c r="BU757" s="5">
        <f t="shared" si="570"/>
        <v>0</v>
      </c>
      <c r="BV757" s="5">
        <f t="shared" si="570"/>
        <v>0</v>
      </c>
      <c r="BW757" s="5">
        <f t="shared" si="570"/>
        <v>0</v>
      </c>
      <c r="BX757" s="5">
        <f t="shared" si="570"/>
        <v>0</v>
      </c>
      <c r="BY757" s="5">
        <f t="shared" si="570"/>
        <v>0</v>
      </c>
      <c r="BZ757" s="5">
        <f t="shared" si="570"/>
        <v>0</v>
      </c>
      <c r="CA757" s="5">
        <f t="shared" si="570"/>
        <v>1</v>
      </c>
      <c r="CB757" s="5">
        <f t="shared" si="570"/>
        <v>0</v>
      </c>
      <c r="CC757" s="5">
        <f t="shared" si="567"/>
        <v>0</v>
      </c>
      <c r="CD757" s="5">
        <f t="shared" si="567"/>
        <v>0</v>
      </c>
      <c r="CE757" s="5">
        <f t="shared" si="567"/>
        <v>0</v>
      </c>
    </row>
    <row r="758" spans="1:83" x14ac:dyDescent="0.2">
      <c r="A758" s="11"/>
      <c r="B758" s="11"/>
      <c r="C758" s="1">
        <f>Growth!D763</f>
        <v>0</v>
      </c>
      <c r="D758" s="5" t="b">
        <f t="shared" si="550"/>
        <v>0</v>
      </c>
      <c r="E758" s="5">
        <v>2011</v>
      </c>
      <c r="F758" s="5">
        <f ca="1">LOOKUP($E758,frequence!$A$2:$A$35,frequence!L$2:L$35)</f>
        <v>33.053542446246631</v>
      </c>
      <c r="G758" s="5">
        <f ca="1">LOOKUP($E758,frequence!$A$2:$A$35,frequence!K$2:K$35)</f>
        <v>2.1388579511305732</v>
      </c>
      <c r="H758" s="5">
        <f ca="1">LOOKUP($E758,frequence!$A$2:$A$35,frequence!M$2:M$35)</f>
        <v>182.11948132765423</v>
      </c>
      <c r="I758" s="18">
        <v>2005</v>
      </c>
      <c r="J758" s="7">
        <f>LOOKUP(I758,CPI!A$69:A$103,CPI!O$69:O$103)</f>
        <v>1.1165181771633383</v>
      </c>
      <c r="K758" s="18">
        <v>2009</v>
      </c>
      <c r="L758" s="7">
        <f t="shared" ca="1" si="544"/>
        <v>1</v>
      </c>
      <c r="M758" s="7">
        <f t="shared" si="556"/>
        <v>0.55454545454545456</v>
      </c>
      <c r="N758" s="14">
        <v>9.0909090909090912E-2</v>
      </c>
      <c r="O758" s="1">
        <f ca="1">P758*J758*(1+Growth!G$6)^(2010-K758)</f>
        <v>606.7484689455847</v>
      </c>
      <c r="P758" s="2">
        <f t="shared" si="568"/>
        <v>535.33333333333337</v>
      </c>
      <c r="Q758" s="11">
        <f>146*44/12</f>
        <v>535.33333333333337</v>
      </c>
      <c r="R758" s="21">
        <f t="shared" ca="1" si="551"/>
        <v>368143.70456781116</v>
      </c>
      <c r="U758" s="11">
        <f>11*44/12</f>
        <v>40.333333333333336</v>
      </c>
      <c r="X758" s="11">
        <f>57*44/12</f>
        <v>209</v>
      </c>
      <c r="AA758" s="11">
        <f>409*44/12</f>
        <v>1499.6666666666667</v>
      </c>
      <c r="AB758" s="11">
        <f>1095*44/12</f>
        <v>4015</v>
      </c>
      <c r="AC758" s="1">
        <f t="shared" si="569"/>
        <v>6.1</v>
      </c>
      <c r="AD758" s="5">
        <v>1</v>
      </c>
      <c r="AE758" s="5">
        <v>0</v>
      </c>
      <c r="AF758" s="5">
        <v>1</v>
      </c>
      <c r="AG758" s="5">
        <v>0</v>
      </c>
      <c r="AH758" s="5">
        <v>1</v>
      </c>
      <c r="AI758" s="3">
        <f t="shared" si="549"/>
        <v>3.1</v>
      </c>
      <c r="AJ758" s="5">
        <f t="shared" si="555"/>
        <v>0</v>
      </c>
      <c r="AK758" s="5">
        <f t="shared" si="545"/>
        <v>0</v>
      </c>
      <c r="AL758" s="5">
        <f t="shared" si="546"/>
        <v>0</v>
      </c>
      <c r="AM758" s="5">
        <f t="shared" si="557"/>
        <v>0</v>
      </c>
      <c r="AN758" s="5">
        <f t="shared" si="547"/>
        <v>0</v>
      </c>
      <c r="AO758" s="5">
        <f t="shared" si="558"/>
        <v>0</v>
      </c>
      <c r="AP758" s="11" t="s">
        <v>42</v>
      </c>
      <c r="AQ758" s="11" t="s">
        <v>42</v>
      </c>
      <c r="AR758" s="5">
        <v>1</v>
      </c>
      <c r="AS758" s="5">
        <v>0</v>
      </c>
      <c r="AT758" s="5">
        <v>1</v>
      </c>
      <c r="AU758" s="5">
        <v>0</v>
      </c>
      <c r="AV758" s="5">
        <v>0</v>
      </c>
      <c r="AW758" s="5">
        <v>0</v>
      </c>
      <c r="AX758" s="5">
        <v>1</v>
      </c>
      <c r="AY758" s="1">
        <f t="shared" si="571"/>
        <v>0</v>
      </c>
      <c r="AZ758" s="1">
        <f t="shared" si="572"/>
        <v>0</v>
      </c>
      <c r="BA758" s="1">
        <f t="shared" si="573"/>
        <v>0</v>
      </c>
      <c r="BB758" s="5">
        <v>1</v>
      </c>
      <c r="BC758" s="5">
        <v>0</v>
      </c>
      <c r="BD758" s="5">
        <v>0</v>
      </c>
      <c r="BE758" s="5">
        <f t="shared" si="574"/>
        <v>0</v>
      </c>
      <c r="BF758" s="5">
        <v>0</v>
      </c>
      <c r="BG758" s="5">
        <f t="shared" si="575"/>
        <v>0</v>
      </c>
      <c r="BH758" s="5">
        <f t="shared" si="575"/>
        <v>0</v>
      </c>
      <c r="BI758" s="5">
        <f t="shared" si="575"/>
        <v>0</v>
      </c>
      <c r="BJ758" s="5">
        <f t="shared" si="575"/>
        <v>0</v>
      </c>
      <c r="BK758" s="5">
        <f t="shared" si="575"/>
        <v>0</v>
      </c>
      <c r="BL758" s="5">
        <f t="shared" si="575"/>
        <v>0</v>
      </c>
      <c r="BM758" s="5">
        <f t="shared" si="575"/>
        <v>0</v>
      </c>
      <c r="BN758" s="5">
        <f t="shared" si="575"/>
        <v>0</v>
      </c>
      <c r="BO758" s="5">
        <f t="shared" si="570"/>
        <v>0</v>
      </c>
      <c r="BP758" s="5">
        <f t="shared" si="570"/>
        <v>0</v>
      </c>
      <c r="BQ758" s="5">
        <f t="shared" si="570"/>
        <v>0</v>
      </c>
      <c r="BR758" s="5">
        <f t="shared" si="570"/>
        <v>0</v>
      </c>
      <c r="BS758" s="5">
        <f t="shared" si="570"/>
        <v>0</v>
      </c>
      <c r="BT758" s="5">
        <f t="shared" si="570"/>
        <v>0</v>
      </c>
      <c r="BU758" s="5">
        <f t="shared" si="570"/>
        <v>0</v>
      </c>
      <c r="BV758" s="5">
        <f t="shared" si="570"/>
        <v>0</v>
      </c>
      <c r="BW758" s="5">
        <f t="shared" si="570"/>
        <v>0</v>
      </c>
      <c r="BX758" s="5">
        <f t="shared" si="570"/>
        <v>0</v>
      </c>
      <c r="BY758" s="5">
        <f t="shared" si="570"/>
        <v>0</v>
      </c>
      <c r="BZ758" s="5">
        <f t="shared" si="570"/>
        <v>0</v>
      </c>
      <c r="CA758" s="5">
        <f t="shared" si="570"/>
        <v>1</v>
      </c>
      <c r="CB758" s="5">
        <f t="shared" si="570"/>
        <v>0</v>
      </c>
      <c r="CC758" s="5">
        <f t="shared" si="567"/>
        <v>0</v>
      </c>
      <c r="CD758" s="5">
        <f t="shared" si="567"/>
        <v>0</v>
      </c>
      <c r="CE758" s="5">
        <f t="shared" si="567"/>
        <v>0</v>
      </c>
    </row>
    <row r="759" spans="1:83" x14ac:dyDescent="0.2">
      <c r="A759" s="11"/>
      <c r="B759" s="11"/>
      <c r="C759" s="1">
        <f>Growth!D764</f>
        <v>0</v>
      </c>
      <c r="D759" s="5" t="b">
        <f t="shared" si="550"/>
        <v>0</v>
      </c>
      <c r="E759" s="5">
        <v>2011</v>
      </c>
      <c r="F759" s="5">
        <f ca="1">LOOKUP($E759,frequence!$A$2:$A$35,frequence!L$2:L$35)</f>
        <v>33.053542446246631</v>
      </c>
      <c r="G759" s="5">
        <f ca="1">LOOKUP($E759,frequence!$A$2:$A$35,frequence!K$2:K$35)</f>
        <v>2.1388579511305732</v>
      </c>
      <c r="H759" s="5">
        <f ca="1">LOOKUP($E759,frequence!$A$2:$A$35,frequence!M$2:M$35)</f>
        <v>182.11948132765423</v>
      </c>
      <c r="I759" s="18">
        <v>2005</v>
      </c>
      <c r="J759" s="7">
        <f>LOOKUP(I759,CPI!A$69:A$103,CPI!O$69:O$103)</f>
        <v>1.1165181771633383</v>
      </c>
      <c r="K759" s="18">
        <v>2009</v>
      </c>
      <c r="L759" s="7">
        <f t="shared" ca="1" si="544"/>
        <v>1</v>
      </c>
      <c r="M759" s="7">
        <f t="shared" si="556"/>
        <v>0.55454545454545456</v>
      </c>
      <c r="N759" s="14">
        <v>9.0909090909090912E-2</v>
      </c>
      <c r="O759" s="1">
        <f ca="1">P759*J759*(1+Growth!G$6)^(2010-K759)</f>
        <v>781.29254905321864</v>
      </c>
      <c r="P759" s="2">
        <f t="shared" si="568"/>
        <v>689.33333333333337</v>
      </c>
      <c r="Q759" s="11">
        <f>188*44/12</f>
        <v>689.33333333333337</v>
      </c>
      <c r="R759" s="21">
        <f t="shared" ca="1" si="551"/>
        <v>610418.04720607609</v>
      </c>
      <c r="U759" s="11">
        <f>12*44/12</f>
        <v>44</v>
      </c>
      <c r="X759" s="11">
        <f>54*44/12</f>
        <v>198</v>
      </c>
      <c r="AA759" s="11">
        <f>564*44/12</f>
        <v>2068</v>
      </c>
      <c r="AB759" s="11">
        <f>2797*44/12</f>
        <v>10255.666666666666</v>
      </c>
      <c r="AC759" s="1">
        <f t="shared" si="569"/>
        <v>6.1</v>
      </c>
      <c r="AD759" s="5">
        <v>1</v>
      </c>
      <c r="AE759" s="5">
        <v>0</v>
      </c>
      <c r="AF759" s="5">
        <v>1</v>
      </c>
      <c r="AG759" s="5">
        <v>0</v>
      </c>
      <c r="AH759" s="5">
        <v>1</v>
      </c>
      <c r="AI759" s="3">
        <f t="shared" si="549"/>
        <v>3.1</v>
      </c>
      <c r="AJ759" s="5">
        <f t="shared" si="555"/>
        <v>0</v>
      </c>
      <c r="AK759" s="5">
        <f t="shared" si="545"/>
        <v>0</v>
      </c>
      <c r="AL759" s="5">
        <f t="shared" si="546"/>
        <v>0</v>
      </c>
      <c r="AM759" s="5">
        <f t="shared" si="557"/>
        <v>0</v>
      </c>
      <c r="AN759" s="5">
        <f t="shared" si="547"/>
        <v>0</v>
      </c>
      <c r="AO759" s="5">
        <f t="shared" si="558"/>
        <v>0</v>
      </c>
      <c r="AP759" s="11" t="s">
        <v>42</v>
      </c>
      <c r="AQ759" s="11" t="s">
        <v>42</v>
      </c>
      <c r="AR759" s="5">
        <v>1</v>
      </c>
      <c r="AS759" s="5">
        <v>0</v>
      </c>
      <c r="AT759" s="5">
        <v>1</v>
      </c>
      <c r="AU759" s="5">
        <v>0</v>
      </c>
      <c r="AV759" s="5">
        <v>0</v>
      </c>
      <c r="AW759" s="5">
        <v>0</v>
      </c>
      <c r="AX759" s="5">
        <v>1</v>
      </c>
      <c r="AY759" s="1">
        <f t="shared" si="571"/>
        <v>0</v>
      </c>
      <c r="AZ759" s="1">
        <f t="shared" si="572"/>
        <v>0</v>
      </c>
      <c r="BA759" s="1">
        <f t="shared" si="573"/>
        <v>0</v>
      </c>
      <c r="BB759" s="5">
        <v>1</v>
      </c>
      <c r="BC759" s="5">
        <v>0</v>
      </c>
      <c r="BD759" s="5">
        <v>0</v>
      </c>
      <c r="BE759" s="5">
        <f t="shared" si="574"/>
        <v>0</v>
      </c>
      <c r="BF759" s="5">
        <v>0</v>
      </c>
      <c r="BG759" s="5">
        <f t="shared" si="575"/>
        <v>0</v>
      </c>
      <c r="BH759" s="5">
        <f t="shared" si="575"/>
        <v>0</v>
      </c>
      <c r="BI759" s="5">
        <f t="shared" si="575"/>
        <v>0</v>
      </c>
      <c r="BJ759" s="5">
        <f t="shared" si="575"/>
        <v>0</v>
      </c>
      <c r="BK759" s="5">
        <f t="shared" si="575"/>
        <v>0</v>
      </c>
      <c r="BL759" s="5">
        <f t="shared" si="575"/>
        <v>0</v>
      </c>
      <c r="BM759" s="5">
        <f t="shared" si="575"/>
        <v>0</v>
      </c>
      <c r="BN759" s="5">
        <f t="shared" si="575"/>
        <v>0</v>
      </c>
      <c r="BO759" s="5">
        <f t="shared" si="570"/>
        <v>0</v>
      </c>
      <c r="BP759" s="5">
        <f t="shared" si="570"/>
        <v>0</v>
      </c>
      <c r="BQ759" s="5">
        <f t="shared" si="570"/>
        <v>0</v>
      </c>
      <c r="BR759" s="5">
        <f t="shared" si="570"/>
        <v>0</v>
      </c>
      <c r="BS759" s="5">
        <f t="shared" si="570"/>
        <v>0</v>
      </c>
      <c r="BT759" s="5">
        <f t="shared" si="570"/>
        <v>0</v>
      </c>
      <c r="BU759" s="5">
        <f t="shared" si="570"/>
        <v>0</v>
      </c>
      <c r="BV759" s="5">
        <f t="shared" si="570"/>
        <v>0</v>
      </c>
      <c r="BW759" s="5">
        <f t="shared" si="570"/>
        <v>0</v>
      </c>
      <c r="BX759" s="5">
        <f t="shared" si="570"/>
        <v>0</v>
      </c>
      <c r="BY759" s="5">
        <f t="shared" si="570"/>
        <v>0</v>
      </c>
      <c r="BZ759" s="5">
        <f t="shared" si="570"/>
        <v>0</v>
      </c>
      <c r="CA759" s="5">
        <f t="shared" si="570"/>
        <v>1</v>
      </c>
      <c r="CB759" s="5">
        <f t="shared" si="570"/>
        <v>0</v>
      </c>
      <c r="CC759" s="5">
        <f t="shared" si="567"/>
        <v>0</v>
      </c>
      <c r="CD759" s="5">
        <f t="shared" si="567"/>
        <v>0</v>
      </c>
      <c r="CE759" s="5">
        <f t="shared" si="567"/>
        <v>0</v>
      </c>
    </row>
    <row r="760" spans="1:83" x14ac:dyDescent="0.2">
      <c r="A760" s="11"/>
      <c r="B760" s="11"/>
      <c r="C760" s="1">
        <f>Growth!D765</f>
        <v>0</v>
      </c>
      <c r="D760" s="5" t="b">
        <f t="shared" si="550"/>
        <v>0</v>
      </c>
      <c r="E760" s="5">
        <v>2011</v>
      </c>
      <c r="F760" s="5">
        <f ca="1">LOOKUP($E760,frequence!$A$2:$A$35,frequence!L$2:L$35)</f>
        <v>33.053542446246631</v>
      </c>
      <c r="G760" s="5">
        <f ca="1">LOOKUP($E760,frequence!$A$2:$A$35,frequence!K$2:K$35)</f>
        <v>2.1388579511305732</v>
      </c>
      <c r="H760" s="5">
        <f ca="1">LOOKUP($E760,frequence!$A$2:$A$35,frequence!M$2:M$35)</f>
        <v>182.11948132765423</v>
      </c>
      <c r="I760" s="18">
        <v>2005</v>
      </c>
      <c r="J760" s="7">
        <f>LOOKUP(I760,CPI!A$69:A$103,CPI!O$69:O$103)</f>
        <v>1.1165181771633383</v>
      </c>
      <c r="K760" s="18">
        <v>2009</v>
      </c>
      <c r="L760" s="7">
        <f t="shared" ca="1" si="544"/>
        <v>1</v>
      </c>
      <c r="M760" s="7">
        <f t="shared" si="556"/>
        <v>0.55454545454545456</v>
      </c>
      <c r="N760" s="14">
        <v>9.0909090909090912E-2</v>
      </c>
      <c r="O760" s="1">
        <f ca="1">P760*J760*(1+Growth!G$6)^(2010-K760)</f>
        <v>315.8416687661948</v>
      </c>
      <c r="P760" s="2">
        <f t="shared" si="568"/>
        <v>278.66666666666669</v>
      </c>
      <c r="Q760" s="11">
        <f>76*44/12</f>
        <v>278.66666666666669</v>
      </c>
      <c r="R760" s="21">
        <f t="shared" ca="1" si="551"/>
        <v>99755.959729014707</v>
      </c>
      <c r="U760" s="11">
        <f t="shared" ref="U760:U763" si="576">11*44/12</f>
        <v>40.333333333333336</v>
      </c>
      <c r="X760" s="11">
        <f>48*44/12</f>
        <v>176</v>
      </c>
      <c r="AA760" s="11">
        <f>226*44/12</f>
        <v>828.66666666666663</v>
      </c>
      <c r="AB760" s="11">
        <f>418*44/12</f>
        <v>1532.6666666666667</v>
      </c>
      <c r="AC760" s="1">
        <f t="shared" si="569"/>
        <v>6.1</v>
      </c>
      <c r="AD760" s="5">
        <v>1</v>
      </c>
      <c r="AE760" s="5">
        <v>0</v>
      </c>
      <c r="AF760" s="5">
        <v>1</v>
      </c>
      <c r="AG760" s="5">
        <v>0</v>
      </c>
      <c r="AH760" s="5">
        <v>1</v>
      </c>
      <c r="AI760" s="3">
        <f t="shared" si="549"/>
        <v>3.1</v>
      </c>
      <c r="AJ760" s="5">
        <f t="shared" si="555"/>
        <v>0</v>
      </c>
      <c r="AK760" s="5">
        <f t="shared" si="545"/>
        <v>0</v>
      </c>
      <c r="AL760" s="5">
        <f t="shared" si="546"/>
        <v>0</v>
      </c>
      <c r="AM760" s="5">
        <f t="shared" si="557"/>
        <v>0</v>
      </c>
      <c r="AN760" s="5">
        <f t="shared" si="547"/>
        <v>0</v>
      </c>
      <c r="AO760" s="5">
        <f t="shared" si="558"/>
        <v>0</v>
      </c>
      <c r="AP760" s="11" t="s">
        <v>42</v>
      </c>
      <c r="AQ760" s="11" t="s">
        <v>42</v>
      </c>
      <c r="AR760" s="5">
        <v>1</v>
      </c>
      <c r="AS760" s="5">
        <v>0</v>
      </c>
      <c r="AT760" s="5">
        <v>1</v>
      </c>
      <c r="AU760" s="5">
        <v>0</v>
      </c>
      <c r="AV760" s="5">
        <v>0</v>
      </c>
      <c r="AW760" s="5">
        <v>0</v>
      </c>
      <c r="AX760" s="5">
        <v>1</v>
      </c>
      <c r="AY760" s="1">
        <f t="shared" si="571"/>
        <v>0</v>
      </c>
      <c r="AZ760" s="1">
        <f t="shared" si="572"/>
        <v>0</v>
      </c>
      <c r="BA760" s="1">
        <f t="shared" si="573"/>
        <v>0</v>
      </c>
      <c r="BB760" s="5">
        <v>1</v>
      </c>
      <c r="BC760" s="5">
        <v>0</v>
      </c>
      <c r="BD760" s="5">
        <v>0</v>
      </c>
      <c r="BE760" s="5">
        <f t="shared" si="574"/>
        <v>0</v>
      </c>
      <c r="BF760" s="5">
        <v>0</v>
      </c>
      <c r="BG760" s="5">
        <f t="shared" si="575"/>
        <v>0</v>
      </c>
      <c r="BH760" s="5">
        <f t="shared" si="575"/>
        <v>0</v>
      </c>
      <c r="BI760" s="5">
        <f t="shared" si="575"/>
        <v>0</v>
      </c>
      <c r="BJ760" s="5">
        <f t="shared" si="575"/>
        <v>0</v>
      </c>
      <c r="BK760" s="5">
        <f t="shared" si="575"/>
        <v>0</v>
      </c>
      <c r="BL760" s="5">
        <f t="shared" si="575"/>
        <v>0</v>
      </c>
      <c r="BM760" s="5">
        <f t="shared" si="575"/>
        <v>0</v>
      </c>
      <c r="BN760" s="5">
        <f t="shared" si="575"/>
        <v>0</v>
      </c>
      <c r="BO760" s="5">
        <f t="shared" si="570"/>
        <v>0</v>
      </c>
      <c r="BP760" s="5">
        <f t="shared" si="570"/>
        <v>0</v>
      </c>
      <c r="BQ760" s="5">
        <f t="shared" si="570"/>
        <v>0</v>
      </c>
      <c r="BR760" s="5">
        <f t="shared" si="570"/>
        <v>0</v>
      </c>
      <c r="BS760" s="5">
        <f t="shared" si="570"/>
        <v>0</v>
      </c>
      <c r="BT760" s="5">
        <f t="shared" si="570"/>
        <v>0</v>
      </c>
      <c r="BU760" s="5">
        <f t="shared" si="570"/>
        <v>0</v>
      </c>
      <c r="BV760" s="5">
        <f t="shared" si="570"/>
        <v>0</v>
      </c>
      <c r="BW760" s="5">
        <f t="shared" si="570"/>
        <v>0</v>
      </c>
      <c r="BX760" s="5">
        <f t="shared" si="570"/>
        <v>0</v>
      </c>
      <c r="BY760" s="5">
        <f t="shared" si="570"/>
        <v>0</v>
      </c>
      <c r="BZ760" s="5">
        <f t="shared" si="570"/>
        <v>0</v>
      </c>
      <c r="CA760" s="5">
        <f t="shared" si="570"/>
        <v>1</v>
      </c>
      <c r="CB760" s="5">
        <f t="shared" si="570"/>
        <v>0</v>
      </c>
      <c r="CC760" s="5">
        <f t="shared" si="567"/>
        <v>0</v>
      </c>
      <c r="CD760" s="5">
        <f t="shared" si="567"/>
        <v>0</v>
      </c>
      <c r="CE760" s="5">
        <f t="shared" si="567"/>
        <v>0</v>
      </c>
    </row>
    <row r="761" spans="1:83" x14ac:dyDescent="0.2">
      <c r="A761" s="11"/>
      <c r="B761" s="11"/>
      <c r="C761" s="1">
        <f>Growth!D766</f>
        <v>0</v>
      </c>
      <c r="D761" s="5" t="b">
        <f t="shared" si="550"/>
        <v>0</v>
      </c>
      <c r="E761" s="5">
        <v>2011</v>
      </c>
      <c r="F761" s="5">
        <f ca="1">LOOKUP($E761,frequence!$A$2:$A$35,frequence!L$2:L$35)</f>
        <v>33.053542446246631</v>
      </c>
      <c r="G761" s="5">
        <f ca="1">LOOKUP($E761,frequence!$A$2:$A$35,frequence!K$2:K$35)</f>
        <v>2.1388579511305732</v>
      </c>
      <c r="H761" s="5">
        <f ca="1">LOOKUP($E761,frequence!$A$2:$A$35,frequence!M$2:M$35)</f>
        <v>182.11948132765423</v>
      </c>
      <c r="I761" s="18">
        <v>2005</v>
      </c>
      <c r="J761" s="7">
        <f>LOOKUP(I761,CPI!A$69:A$103,CPI!O$69:O$103)</f>
        <v>1.1165181771633383</v>
      </c>
      <c r="K761" s="18">
        <v>2009</v>
      </c>
      <c r="L761" s="7">
        <f t="shared" ca="1" si="544"/>
        <v>1</v>
      </c>
      <c r="M761" s="7">
        <f t="shared" si="556"/>
        <v>0.55454545454545456</v>
      </c>
      <c r="N761" s="14">
        <v>9.0909090909090912E-2</v>
      </c>
      <c r="O761" s="1">
        <f ca="1">P761*J761*(1+Growth!G$6)^(2010-K761)</f>
        <v>411.42533168228005</v>
      </c>
      <c r="P761" s="2">
        <f t="shared" si="568"/>
        <v>363</v>
      </c>
      <c r="Q761" s="11">
        <f>99*44/12</f>
        <v>363</v>
      </c>
      <c r="R761" s="21">
        <f t="shared" ca="1" si="551"/>
        <v>169270.80354987414</v>
      </c>
      <c r="U761" s="11">
        <f t="shared" si="576"/>
        <v>40.333333333333336</v>
      </c>
      <c r="X761" s="11">
        <f>50*44/12</f>
        <v>183.33333333333334</v>
      </c>
      <c r="AA761" s="11">
        <f>300*44/12</f>
        <v>1100</v>
      </c>
      <c r="AB761" s="11">
        <f>658*44/12</f>
        <v>2412.6666666666665</v>
      </c>
      <c r="AC761" s="1">
        <f t="shared" si="569"/>
        <v>6.1</v>
      </c>
      <c r="AD761" s="5">
        <v>1</v>
      </c>
      <c r="AE761" s="5">
        <v>0</v>
      </c>
      <c r="AF761" s="5">
        <v>1</v>
      </c>
      <c r="AG761" s="5">
        <v>0</v>
      </c>
      <c r="AH761" s="5">
        <v>1</v>
      </c>
      <c r="AI761" s="3">
        <f t="shared" si="549"/>
        <v>3.1</v>
      </c>
      <c r="AJ761" s="5">
        <f t="shared" si="555"/>
        <v>0</v>
      </c>
      <c r="AK761" s="5">
        <f t="shared" si="545"/>
        <v>0</v>
      </c>
      <c r="AL761" s="5">
        <f t="shared" si="546"/>
        <v>0</v>
      </c>
      <c r="AM761" s="5">
        <f t="shared" si="557"/>
        <v>0</v>
      </c>
      <c r="AN761" s="5">
        <f t="shared" si="547"/>
        <v>0</v>
      </c>
      <c r="AO761" s="5">
        <f t="shared" si="558"/>
        <v>0</v>
      </c>
      <c r="AP761" s="11" t="s">
        <v>42</v>
      </c>
      <c r="AQ761" s="11" t="s">
        <v>42</v>
      </c>
      <c r="AR761" s="5">
        <v>1</v>
      </c>
      <c r="AS761" s="5">
        <v>0</v>
      </c>
      <c r="AT761" s="5">
        <v>1</v>
      </c>
      <c r="AU761" s="5">
        <v>0</v>
      </c>
      <c r="AV761" s="5">
        <v>0</v>
      </c>
      <c r="AW761" s="5">
        <v>0</v>
      </c>
      <c r="AX761" s="5">
        <v>1</v>
      </c>
      <c r="AY761" s="1">
        <f t="shared" si="571"/>
        <v>0</v>
      </c>
      <c r="AZ761" s="1">
        <f t="shared" si="572"/>
        <v>0</v>
      </c>
      <c r="BA761" s="1">
        <f t="shared" si="573"/>
        <v>0</v>
      </c>
      <c r="BB761" s="5">
        <v>1</v>
      </c>
      <c r="BC761" s="5">
        <v>0</v>
      </c>
      <c r="BD761" s="5">
        <v>0</v>
      </c>
      <c r="BE761" s="5">
        <f t="shared" si="574"/>
        <v>0</v>
      </c>
      <c r="BF761" s="5">
        <v>0</v>
      </c>
      <c r="BG761" s="5">
        <f t="shared" si="575"/>
        <v>0</v>
      </c>
      <c r="BH761" s="5">
        <f t="shared" si="575"/>
        <v>0</v>
      </c>
      <c r="BI761" s="5">
        <f t="shared" si="575"/>
        <v>0</v>
      </c>
      <c r="BJ761" s="5">
        <f t="shared" si="575"/>
        <v>0</v>
      </c>
      <c r="BK761" s="5">
        <f t="shared" si="575"/>
        <v>0</v>
      </c>
      <c r="BL761" s="5">
        <f t="shared" si="575"/>
        <v>0</v>
      </c>
      <c r="BM761" s="5">
        <f t="shared" si="575"/>
        <v>0</v>
      </c>
      <c r="BN761" s="5">
        <f t="shared" si="575"/>
        <v>0</v>
      </c>
      <c r="BO761" s="5">
        <f t="shared" si="570"/>
        <v>0</v>
      </c>
      <c r="BP761" s="5">
        <f t="shared" si="570"/>
        <v>0</v>
      </c>
      <c r="BQ761" s="5">
        <f t="shared" si="570"/>
        <v>0</v>
      </c>
      <c r="BR761" s="5">
        <f t="shared" si="570"/>
        <v>0</v>
      </c>
      <c r="BS761" s="5">
        <f t="shared" si="570"/>
        <v>0</v>
      </c>
      <c r="BT761" s="5">
        <f t="shared" si="570"/>
        <v>0</v>
      </c>
      <c r="BU761" s="5">
        <f t="shared" si="570"/>
        <v>0</v>
      </c>
      <c r="BV761" s="5">
        <f t="shared" si="570"/>
        <v>0</v>
      </c>
      <c r="BW761" s="5">
        <f t="shared" si="570"/>
        <v>0</v>
      </c>
      <c r="BX761" s="5">
        <f t="shared" si="570"/>
        <v>0</v>
      </c>
      <c r="BY761" s="5">
        <f t="shared" si="570"/>
        <v>0</v>
      </c>
      <c r="BZ761" s="5">
        <f t="shared" si="570"/>
        <v>0</v>
      </c>
      <c r="CA761" s="5">
        <f t="shared" si="570"/>
        <v>1</v>
      </c>
      <c r="CB761" s="5">
        <f t="shared" si="570"/>
        <v>0</v>
      </c>
      <c r="CC761" s="5">
        <f t="shared" si="567"/>
        <v>0</v>
      </c>
      <c r="CD761" s="5">
        <f t="shared" si="567"/>
        <v>0</v>
      </c>
      <c r="CE761" s="5">
        <f t="shared" si="567"/>
        <v>0</v>
      </c>
    </row>
    <row r="762" spans="1:83" x14ac:dyDescent="0.2">
      <c r="A762" s="11"/>
      <c r="B762" s="11"/>
      <c r="C762" s="1">
        <f>Growth!D767</f>
        <v>0</v>
      </c>
      <c r="D762" s="5" t="b">
        <f t="shared" si="550"/>
        <v>0</v>
      </c>
      <c r="E762" s="5">
        <v>2011</v>
      </c>
      <c r="F762" s="5">
        <f ca="1">LOOKUP($E762,frequence!$A$2:$A$35,frequence!L$2:L$35)</f>
        <v>33.053542446246631</v>
      </c>
      <c r="G762" s="5">
        <f ca="1">LOOKUP($E762,frequence!$A$2:$A$35,frequence!K$2:K$35)</f>
        <v>2.1388579511305732</v>
      </c>
      <c r="H762" s="5">
        <f ca="1">LOOKUP($E762,frequence!$A$2:$A$35,frequence!M$2:M$35)</f>
        <v>182.11948132765423</v>
      </c>
      <c r="I762" s="18">
        <v>2005</v>
      </c>
      <c r="J762" s="7">
        <f>LOOKUP(I762,CPI!A$69:A$103,CPI!O$69:O$103)</f>
        <v>1.1165181771633383</v>
      </c>
      <c r="K762" s="18">
        <v>2009</v>
      </c>
      <c r="L762" s="7">
        <f t="shared" ca="1" si="544"/>
        <v>1</v>
      </c>
      <c r="M762" s="7">
        <f t="shared" si="556"/>
        <v>0.55454545454545456</v>
      </c>
      <c r="N762" s="14">
        <v>9.0909090909090912E-2</v>
      </c>
      <c r="O762" s="1">
        <f ca="1">P762*J762*(1+Growth!G$6)^(2010-K762)</f>
        <v>390.64627452660932</v>
      </c>
      <c r="P762" s="2">
        <f t="shared" si="568"/>
        <v>344.66666666666669</v>
      </c>
      <c r="Q762" s="11">
        <f>94*44/12</f>
        <v>344.66666666666669</v>
      </c>
      <c r="R762" s="21">
        <f t="shared" ca="1" si="551"/>
        <v>152604.51180151902</v>
      </c>
      <c r="U762" s="11">
        <f t="shared" si="576"/>
        <v>40.333333333333336</v>
      </c>
      <c r="X762" s="11">
        <f>50*44/12</f>
        <v>183.33333333333334</v>
      </c>
      <c r="AA762" s="11">
        <f>300*44/12</f>
        <v>1100</v>
      </c>
      <c r="AB762" s="11">
        <f>762*44/12</f>
        <v>2794</v>
      </c>
      <c r="AC762" s="1">
        <f t="shared" si="569"/>
        <v>6.1</v>
      </c>
      <c r="AD762" s="5">
        <v>1</v>
      </c>
      <c r="AE762" s="5">
        <v>0</v>
      </c>
      <c r="AF762" s="5">
        <v>1</v>
      </c>
      <c r="AG762" s="5">
        <v>0</v>
      </c>
      <c r="AH762" s="5">
        <v>1</v>
      </c>
      <c r="AI762" s="3">
        <f t="shared" si="549"/>
        <v>3.1</v>
      </c>
      <c r="AJ762" s="5">
        <f t="shared" si="555"/>
        <v>0</v>
      </c>
      <c r="AK762" s="5">
        <f t="shared" si="545"/>
        <v>0</v>
      </c>
      <c r="AL762" s="5">
        <f t="shared" si="546"/>
        <v>0</v>
      </c>
      <c r="AM762" s="5">
        <f t="shared" si="557"/>
        <v>0</v>
      </c>
      <c r="AN762" s="5">
        <f t="shared" si="547"/>
        <v>0</v>
      </c>
      <c r="AO762" s="5">
        <f t="shared" si="558"/>
        <v>0</v>
      </c>
      <c r="AP762" s="11" t="s">
        <v>42</v>
      </c>
      <c r="AQ762" s="11" t="s">
        <v>42</v>
      </c>
      <c r="AR762" s="5">
        <v>1</v>
      </c>
      <c r="AS762" s="5">
        <v>0</v>
      </c>
      <c r="AT762" s="5">
        <v>1</v>
      </c>
      <c r="AU762" s="5">
        <v>0</v>
      </c>
      <c r="AV762" s="5">
        <v>0</v>
      </c>
      <c r="AW762" s="5">
        <v>0</v>
      </c>
      <c r="AX762" s="5">
        <v>1</v>
      </c>
      <c r="AY762" s="1">
        <f t="shared" si="571"/>
        <v>0</v>
      </c>
      <c r="AZ762" s="1">
        <f t="shared" si="572"/>
        <v>0</v>
      </c>
      <c r="BA762" s="1">
        <f t="shared" si="573"/>
        <v>0</v>
      </c>
      <c r="BB762" s="5">
        <v>1</v>
      </c>
      <c r="BC762" s="5">
        <v>0</v>
      </c>
      <c r="BD762" s="5">
        <v>0</v>
      </c>
      <c r="BE762" s="5">
        <f t="shared" si="574"/>
        <v>0</v>
      </c>
      <c r="BF762" s="5">
        <v>0</v>
      </c>
      <c r="BG762" s="5">
        <f t="shared" si="575"/>
        <v>0</v>
      </c>
      <c r="BH762" s="5">
        <f t="shared" si="575"/>
        <v>0</v>
      </c>
      <c r="BI762" s="5">
        <f t="shared" si="575"/>
        <v>0</v>
      </c>
      <c r="BJ762" s="5">
        <f t="shared" si="575"/>
        <v>0</v>
      </c>
      <c r="BK762" s="5">
        <f t="shared" si="575"/>
        <v>0</v>
      </c>
      <c r="BL762" s="5">
        <f t="shared" si="575"/>
        <v>0</v>
      </c>
      <c r="BM762" s="5">
        <f t="shared" si="575"/>
        <v>0</v>
      </c>
      <c r="BN762" s="5">
        <f t="shared" si="575"/>
        <v>0</v>
      </c>
      <c r="BO762" s="5">
        <f t="shared" si="570"/>
        <v>0</v>
      </c>
      <c r="BP762" s="5">
        <f t="shared" si="570"/>
        <v>0</v>
      </c>
      <c r="BQ762" s="5">
        <f t="shared" si="570"/>
        <v>0</v>
      </c>
      <c r="BR762" s="5">
        <f t="shared" si="570"/>
        <v>0</v>
      </c>
      <c r="BS762" s="5">
        <f t="shared" si="570"/>
        <v>0</v>
      </c>
      <c r="BT762" s="5">
        <f t="shared" si="570"/>
        <v>0</v>
      </c>
      <c r="BU762" s="5">
        <f t="shared" si="570"/>
        <v>0</v>
      </c>
      <c r="BV762" s="5">
        <f t="shared" si="570"/>
        <v>0</v>
      </c>
      <c r="BW762" s="5">
        <f t="shared" si="570"/>
        <v>0</v>
      </c>
      <c r="BX762" s="5">
        <f t="shared" si="570"/>
        <v>0</v>
      </c>
      <c r="BY762" s="5">
        <f t="shared" si="570"/>
        <v>0</v>
      </c>
      <c r="BZ762" s="5">
        <f t="shared" si="570"/>
        <v>0</v>
      </c>
      <c r="CA762" s="5">
        <f t="shared" si="570"/>
        <v>1</v>
      </c>
      <c r="CB762" s="5">
        <f t="shared" si="570"/>
        <v>0</v>
      </c>
      <c r="CC762" s="5">
        <f t="shared" si="567"/>
        <v>0</v>
      </c>
      <c r="CD762" s="5">
        <f t="shared" si="567"/>
        <v>0</v>
      </c>
      <c r="CE762" s="5">
        <f t="shared" si="567"/>
        <v>0</v>
      </c>
    </row>
    <row r="763" spans="1:83" x14ac:dyDescent="0.2">
      <c r="A763" s="11"/>
      <c r="B763" s="11"/>
      <c r="C763" s="1">
        <f>Growth!D768</f>
        <v>0</v>
      </c>
      <c r="D763" s="5" t="b">
        <f t="shared" si="550"/>
        <v>0</v>
      </c>
      <c r="E763" s="5">
        <v>2011</v>
      </c>
      <c r="F763" s="5">
        <f ca="1">LOOKUP($E763,frequence!$A$2:$A$35,frequence!L$2:L$35)</f>
        <v>33.053542446246631</v>
      </c>
      <c r="G763" s="5">
        <f ca="1">LOOKUP($E763,frequence!$A$2:$A$35,frequence!K$2:K$35)</f>
        <v>2.1388579511305732</v>
      </c>
      <c r="H763" s="5">
        <f ca="1">LOOKUP($E763,frequence!$A$2:$A$35,frequence!M$2:M$35)</f>
        <v>182.11948132765423</v>
      </c>
      <c r="I763" s="18">
        <v>2005</v>
      </c>
      <c r="J763" s="7">
        <f>LOOKUP(I763,CPI!A$69:A$103,CPI!O$69:O$103)</f>
        <v>1.1165181771633383</v>
      </c>
      <c r="K763" s="18">
        <v>2009</v>
      </c>
      <c r="L763" s="7">
        <f t="shared" ca="1" si="544"/>
        <v>1</v>
      </c>
      <c r="M763" s="7">
        <f t="shared" si="556"/>
        <v>0.55454545454545456</v>
      </c>
      <c r="N763" s="14">
        <v>9.0909090909090912E-2</v>
      </c>
      <c r="O763" s="1">
        <f ca="1">P763*J763*(1+Growth!G$6)^(2010-K763)</f>
        <v>473.76250314929217</v>
      </c>
      <c r="P763" s="2">
        <f t="shared" si="568"/>
        <v>418</v>
      </c>
      <c r="Q763" s="11">
        <f>114*44/12</f>
        <v>418</v>
      </c>
      <c r="R763" s="21">
        <f t="shared" ca="1" si="551"/>
        <v>224450.90939028308</v>
      </c>
      <c r="U763" s="11">
        <f t="shared" si="576"/>
        <v>40.333333333333336</v>
      </c>
      <c r="X763" s="11">
        <f>50*44/12</f>
        <v>183.33333333333334</v>
      </c>
      <c r="AA763" s="11">
        <f>358*44/12</f>
        <v>1312.6666666666667</v>
      </c>
      <c r="AB763" s="11">
        <f>1421*44/12</f>
        <v>5210.333333333333</v>
      </c>
      <c r="AC763" s="1">
        <f t="shared" si="569"/>
        <v>6.1</v>
      </c>
      <c r="AD763" s="5">
        <v>1</v>
      </c>
      <c r="AE763" s="5">
        <v>0</v>
      </c>
      <c r="AF763" s="5">
        <v>1</v>
      </c>
      <c r="AG763" s="5">
        <v>0</v>
      </c>
      <c r="AH763" s="5">
        <v>1</v>
      </c>
      <c r="AI763" s="3">
        <f t="shared" si="549"/>
        <v>3.1</v>
      </c>
      <c r="AJ763" s="5">
        <f t="shared" si="555"/>
        <v>0</v>
      </c>
      <c r="AK763" s="5">
        <f t="shared" si="545"/>
        <v>0</v>
      </c>
      <c r="AL763" s="5">
        <f t="shared" si="546"/>
        <v>0</v>
      </c>
      <c r="AM763" s="5">
        <f t="shared" si="557"/>
        <v>0</v>
      </c>
      <c r="AN763" s="5">
        <f t="shared" si="547"/>
        <v>0</v>
      </c>
      <c r="AO763" s="5">
        <f t="shared" si="558"/>
        <v>0</v>
      </c>
      <c r="AP763" s="11" t="s">
        <v>42</v>
      </c>
      <c r="AQ763" s="11" t="s">
        <v>42</v>
      </c>
      <c r="AR763" s="5">
        <v>1</v>
      </c>
      <c r="AS763" s="5">
        <v>0</v>
      </c>
      <c r="AT763" s="5">
        <v>1</v>
      </c>
      <c r="AU763" s="5">
        <v>0</v>
      </c>
      <c r="AV763" s="5">
        <v>0</v>
      </c>
      <c r="AW763" s="5">
        <v>0</v>
      </c>
      <c r="AX763" s="5">
        <v>1</v>
      </c>
      <c r="AY763" s="1">
        <f t="shared" si="571"/>
        <v>0</v>
      </c>
      <c r="AZ763" s="1">
        <f t="shared" si="572"/>
        <v>0</v>
      </c>
      <c r="BA763" s="1">
        <f t="shared" si="573"/>
        <v>0</v>
      </c>
      <c r="BB763" s="5">
        <v>1</v>
      </c>
      <c r="BC763" s="5">
        <v>0</v>
      </c>
      <c r="BD763" s="5">
        <v>0</v>
      </c>
      <c r="BE763" s="5">
        <f t="shared" si="574"/>
        <v>0</v>
      </c>
      <c r="BF763" s="5">
        <v>0</v>
      </c>
      <c r="BG763" s="5">
        <f t="shared" si="575"/>
        <v>0</v>
      </c>
      <c r="BH763" s="5">
        <f t="shared" si="575"/>
        <v>0</v>
      </c>
      <c r="BI763" s="5">
        <f t="shared" si="575"/>
        <v>0</v>
      </c>
      <c r="BJ763" s="5">
        <f t="shared" si="575"/>
        <v>0</v>
      </c>
      <c r="BK763" s="5">
        <f t="shared" si="575"/>
        <v>0</v>
      </c>
      <c r="BL763" s="5">
        <f t="shared" si="575"/>
        <v>0</v>
      </c>
      <c r="BM763" s="5">
        <f t="shared" si="575"/>
        <v>0</v>
      </c>
      <c r="BN763" s="5">
        <f t="shared" si="575"/>
        <v>0</v>
      </c>
      <c r="BO763" s="5">
        <f t="shared" si="570"/>
        <v>0</v>
      </c>
      <c r="BP763" s="5">
        <f t="shared" si="570"/>
        <v>0</v>
      </c>
      <c r="BQ763" s="5">
        <f t="shared" si="570"/>
        <v>0</v>
      </c>
      <c r="BR763" s="5">
        <f t="shared" si="570"/>
        <v>0</v>
      </c>
      <c r="BS763" s="5">
        <f t="shared" si="570"/>
        <v>0</v>
      </c>
      <c r="BT763" s="5">
        <f t="shared" si="570"/>
        <v>0</v>
      </c>
      <c r="BU763" s="5">
        <f t="shared" si="570"/>
        <v>0</v>
      </c>
      <c r="BV763" s="5">
        <f t="shared" si="570"/>
        <v>0</v>
      </c>
      <c r="BW763" s="5">
        <f t="shared" si="570"/>
        <v>0</v>
      </c>
      <c r="BX763" s="5">
        <f t="shared" si="570"/>
        <v>0</v>
      </c>
      <c r="BY763" s="5">
        <f t="shared" si="570"/>
        <v>0</v>
      </c>
      <c r="BZ763" s="5">
        <f t="shared" si="570"/>
        <v>0</v>
      </c>
      <c r="CA763" s="5">
        <f t="shared" si="570"/>
        <v>1</v>
      </c>
      <c r="CB763" s="5">
        <f t="shared" si="570"/>
        <v>0</v>
      </c>
      <c r="CC763" s="5">
        <f t="shared" si="570"/>
        <v>0</v>
      </c>
      <c r="CD763" s="5">
        <f t="shared" ref="CD763:CE782" si="577">IF($E763=CD$2,1,0)</f>
        <v>0</v>
      </c>
      <c r="CE763" s="5">
        <f t="shared" si="577"/>
        <v>0</v>
      </c>
    </row>
    <row r="764" spans="1:83" x14ac:dyDescent="0.2">
      <c r="A764" s="11"/>
      <c r="B764" s="11"/>
      <c r="C764" s="1">
        <f>Growth!D769</f>
        <v>0</v>
      </c>
      <c r="D764" s="5" t="b">
        <f t="shared" si="550"/>
        <v>0</v>
      </c>
      <c r="E764" s="5">
        <v>2011</v>
      </c>
      <c r="F764" s="5">
        <f ca="1">LOOKUP($E764,frequence!$A$2:$A$35,frequence!L$2:L$35)</f>
        <v>33.053542446246631</v>
      </c>
      <c r="G764" s="5">
        <f ca="1">LOOKUP($E764,frequence!$A$2:$A$35,frequence!K$2:K$35)</f>
        <v>2.1388579511305732</v>
      </c>
      <c r="H764" s="5">
        <f ca="1">LOOKUP($E764,frequence!$A$2:$A$35,frequence!M$2:M$35)</f>
        <v>182.11948132765423</v>
      </c>
      <c r="I764" s="18">
        <v>2005</v>
      </c>
      <c r="J764" s="7">
        <f>LOOKUP(I764,CPI!A$69:A$103,CPI!O$69:O$103)</f>
        <v>1.1165181771633383</v>
      </c>
      <c r="K764" s="18">
        <v>2009</v>
      </c>
      <c r="L764" s="7">
        <f t="shared" ca="1" si="544"/>
        <v>1</v>
      </c>
      <c r="M764" s="7">
        <f t="shared" si="556"/>
        <v>0.55454545454545456</v>
      </c>
      <c r="N764" s="14">
        <v>9.0909090909090912E-2</v>
      </c>
      <c r="O764" s="1">
        <f ca="1">P764*J764*(1+Growth!G$6)^(2010-K764)</f>
        <v>561.03454320310914</v>
      </c>
      <c r="P764" s="2">
        <f t="shared" si="568"/>
        <v>495</v>
      </c>
      <c r="Q764" s="11">
        <f>135*44/12</f>
        <v>495</v>
      </c>
      <c r="R764" s="21">
        <f t="shared" ca="1" si="551"/>
        <v>314759.75866712135</v>
      </c>
      <c r="U764" s="11">
        <f>12*44/12</f>
        <v>44</v>
      </c>
      <c r="X764" s="11">
        <f>58*44/12</f>
        <v>212.66666666666666</v>
      </c>
      <c r="AA764" s="11">
        <f>489*44/12</f>
        <v>1793</v>
      </c>
      <c r="AB764" s="11">
        <f>1276*44/12</f>
        <v>4678.666666666667</v>
      </c>
      <c r="AC764" s="1">
        <f t="shared" si="569"/>
        <v>6.1</v>
      </c>
      <c r="AD764" s="5">
        <v>1</v>
      </c>
      <c r="AE764" s="5">
        <v>0</v>
      </c>
      <c r="AF764" s="5">
        <v>1</v>
      </c>
      <c r="AG764" s="5">
        <v>0</v>
      </c>
      <c r="AH764" s="5">
        <v>1</v>
      </c>
      <c r="AI764" s="3">
        <f t="shared" si="549"/>
        <v>3.1</v>
      </c>
      <c r="AJ764" s="5">
        <f t="shared" si="555"/>
        <v>0</v>
      </c>
      <c r="AK764" s="5">
        <f t="shared" si="545"/>
        <v>0</v>
      </c>
      <c r="AL764" s="5">
        <f t="shared" si="546"/>
        <v>0</v>
      </c>
      <c r="AM764" s="5">
        <f t="shared" si="557"/>
        <v>0</v>
      </c>
      <c r="AN764" s="5">
        <f t="shared" si="547"/>
        <v>0</v>
      </c>
      <c r="AO764" s="5">
        <f t="shared" si="558"/>
        <v>0</v>
      </c>
      <c r="AP764" s="11" t="s">
        <v>42</v>
      </c>
      <c r="AQ764" s="11" t="s">
        <v>42</v>
      </c>
      <c r="AR764" s="5">
        <v>1</v>
      </c>
      <c r="AS764" s="5">
        <v>0</v>
      </c>
      <c r="AT764" s="5">
        <v>1</v>
      </c>
      <c r="AU764" s="5">
        <v>0</v>
      </c>
      <c r="AV764" s="5">
        <v>0</v>
      </c>
      <c r="AW764" s="5">
        <v>0</v>
      </c>
      <c r="AX764" s="5">
        <v>1</v>
      </c>
      <c r="AY764" s="1">
        <f t="shared" si="571"/>
        <v>0</v>
      </c>
      <c r="AZ764" s="1">
        <f t="shared" si="572"/>
        <v>0</v>
      </c>
      <c r="BA764" s="1">
        <f t="shared" si="573"/>
        <v>0</v>
      </c>
      <c r="BB764" s="5">
        <v>1</v>
      </c>
      <c r="BC764" s="5">
        <v>0</v>
      </c>
      <c r="BD764" s="5">
        <v>0</v>
      </c>
      <c r="BE764" s="5">
        <f t="shared" si="574"/>
        <v>0</v>
      </c>
      <c r="BF764" s="5">
        <v>0</v>
      </c>
      <c r="BG764" s="5">
        <f t="shared" si="575"/>
        <v>0</v>
      </c>
      <c r="BH764" s="5">
        <f t="shared" si="575"/>
        <v>0</v>
      </c>
      <c r="BI764" s="5">
        <f t="shared" si="575"/>
        <v>0</v>
      </c>
      <c r="BJ764" s="5">
        <f t="shared" si="575"/>
        <v>0</v>
      </c>
      <c r="BK764" s="5">
        <f t="shared" si="575"/>
        <v>0</v>
      </c>
      <c r="BL764" s="5">
        <f t="shared" si="575"/>
        <v>0</v>
      </c>
      <c r="BM764" s="5">
        <f t="shared" si="575"/>
        <v>0</v>
      </c>
      <c r="BN764" s="5">
        <f t="shared" si="575"/>
        <v>0</v>
      </c>
      <c r="BO764" s="5">
        <f t="shared" si="570"/>
        <v>0</v>
      </c>
      <c r="BP764" s="5">
        <f t="shared" si="570"/>
        <v>0</v>
      </c>
      <c r="BQ764" s="5">
        <f t="shared" si="570"/>
        <v>0</v>
      </c>
      <c r="BR764" s="5">
        <f t="shared" si="570"/>
        <v>0</v>
      </c>
      <c r="BS764" s="5">
        <f t="shared" si="570"/>
        <v>0</v>
      </c>
      <c r="BT764" s="5">
        <f t="shared" si="570"/>
        <v>0</v>
      </c>
      <c r="BU764" s="5">
        <f t="shared" si="570"/>
        <v>0</v>
      </c>
      <c r="BV764" s="5">
        <f t="shared" si="570"/>
        <v>0</v>
      </c>
      <c r="BW764" s="5">
        <f t="shared" si="570"/>
        <v>0</v>
      </c>
      <c r="BX764" s="5">
        <f t="shared" si="570"/>
        <v>0</v>
      </c>
      <c r="BY764" s="5">
        <f t="shared" si="570"/>
        <v>0</v>
      </c>
      <c r="BZ764" s="5">
        <f t="shared" si="570"/>
        <v>0</v>
      </c>
      <c r="CA764" s="5">
        <f t="shared" si="570"/>
        <v>1</v>
      </c>
      <c r="CB764" s="5">
        <f t="shared" si="570"/>
        <v>0</v>
      </c>
      <c r="CC764" s="5">
        <f t="shared" si="570"/>
        <v>0</v>
      </c>
      <c r="CD764" s="5">
        <f t="shared" si="577"/>
        <v>0</v>
      </c>
      <c r="CE764" s="5">
        <f t="shared" si="577"/>
        <v>0</v>
      </c>
    </row>
    <row r="765" spans="1:83" x14ac:dyDescent="0.2">
      <c r="A765" s="11"/>
      <c r="B765" s="11"/>
      <c r="C765" s="1">
        <f>Growth!D770</f>
        <v>0</v>
      </c>
      <c r="D765" s="5" t="b">
        <f t="shared" si="550"/>
        <v>0</v>
      </c>
      <c r="E765" s="5">
        <v>2011</v>
      </c>
      <c r="F765" s="5">
        <f ca="1">LOOKUP($E765,frequence!$A$2:$A$35,frequence!L$2:L$35)</f>
        <v>33.053542446246631</v>
      </c>
      <c r="G765" s="5">
        <f ca="1">LOOKUP($E765,frequence!$A$2:$A$35,frequence!K$2:K$35)</f>
        <v>2.1388579511305732</v>
      </c>
      <c r="H765" s="5">
        <f ca="1">LOOKUP($E765,frequence!$A$2:$A$35,frequence!M$2:M$35)</f>
        <v>182.11948132765423</v>
      </c>
      <c r="I765" s="18">
        <v>2005</v>
      </c>
      <c r="J765" s="7">
        <f>LOOKUP(I765,CPI!A$69:A$103,CPI!O$69:O$103)</f>
        <v>1.1165181771633383</v>
      </c>
      <c r="K765" s="18">
        <v>2009</v>
      </c>
      <c r="L765" s="7">
        <f t="shared" ca="1" si="544"/>
        <v>1</v>
      </c>
      <c r="M765" s="7">
        <f t="shared" si="556"/>
        <v>0.55454545454545456</v>
      </c>
      <c r="N765" s="14">
        <v>9.0909090909090912E-2</v>
      </c>
      <c r="O765" s="1">
        <f ca="1">P765*J765*(1+Growth!G$6)^(2010-K765)</f>
        <v>610.90428037671882</v>
      </c>
      <c r="P765" s="2">
        <f t="shared" si="568"/>
        <v>539</v>
      </c>
      <c r="Q765" s="11">
        <f>147*44/12</f>
        <v>539</v>
      </c>
      <c r="R765" s="21">
        <f t="shared" ca="1" si="551"/>
        <v>373204.03978259669</v>
      </c>
      <c r="U765" s="11">
        <f>12*44/12</f>
        <v>44</v>
      </c>
      <c r="X765" s="11">
        <f>57*44/12</f>
        <v>209</v>
      </c>
      <c r="AA765" s="11">
        <f>551*44/12</f>
        <v>2020.3333333333333</v>
      </c>
      <c r="AB765" s="11">
        <f>1660*44/12</f>
        <v>6086.666666666667</v>
      </c>
      <c r="AC765" s="1">
        <f t="shared" si="569"/>
        <v>6.1</v>
      </c>
      <c r="AD765" s="5">
        <v>1</v>
      </c>
      <c r="AE765" s="5">
        <v>0</v>
      </c>
      <c r="AF765" s="5">
        <v>1</v>
      </c>
      <c r="AG765" s="5">
        <v>0</v>
      </c>
      <c r="AH765" s="5">
        <v>1</v>
      </c>
      <c r="AI765" s="3">
        <f t="shared" si="549"/>
        <v>3.1</v>
      </c>
      <c r="AJ765" s="5">
        <f t="shared" si="555"/>
        <v>0</v>
      </c>
      <c r="AK765" s="5">
        <f t="shared" si="545"/>
        <v>0</v>
      </c>
      <c r="AL765" s="5">
        <f t="shared" si="546"/>
        <v>0</v>
      </c>
      <c r="AM765" s="5">
        <f t="shared" si="557"/>
        <v>0</v>
      </c>
      <c r="AN765" s="5">
        <f t="shared" si="547"/>
        <v>0</v>
      </c>
      <c r="AO765" s="5">
        <f t="shared" si="558"/>
        <v>0</v>
      </c>
      <c r="AP765" s="11" t="s">
        <v>42</v>
      </c>
      <c r="AQ765" s="11" t="s">
        <v>42</v>
      </c>
      <c r="AR765" s="5">
        <v>1</v>
      </c>
      <c r="AS765" s="5">
        <v>0</v>
      </c>
      <c r="AT765" s="5">
        <v>1</v>
      </c>
      <c r="AU765" s="5">
        <v>0</v>
      </c>
      <c r="AV765" s="5">
        <v>0</v>
      </c>
      <c r="AW765" s="5">
        <v>0</v>
      </c>
      <c r="AX765" s="5">
        <v>1</v>
      </c>
      <c r="AY765" s="1">
        <f t="shared" si="571"/>
        <v>0</v>
      </c>
      <c r="AZ765" s="1">
        <f t="shared" si="572"/>
        <v>0</v>
      </c>
      <c r="BA765" s="1">
        <f t="shared" si="573"/>
        <v>0</v>
      </c>
      <c r="BB765" s="5">
        <v>1</v>
      </c>
      <c r="BC765" s="5">
        <v>0</v>
      </c>
      <c r="BD765" s="5">
        <v>0</v>
      </c>
      <c r="BE765" s="5">
        <f t="shared" si="574"/>
        <v>0</v>
      </c>
      <c r="BF765" s="5">
        <v>0</v>
      </c>
      <c r="BG765" s="5">
        <f t="shared" si="575"/>
        <v>0</v>
      </c>
      <c r="BH765" s="5">
        <f t="shared" si="575"/>
        <v>0</v>
      </c>
      <c r="BI765" s="5">
        <f t="shared" si="575"/>
        <v>0</v>
      </c>
      <c r="BJ765" s="5">
        <f t="shared" si="575"/>
        <v>0</v>
      </c>
      <c r="BK765" s="5">
        <f t="shared" si="575"/>
        <v>0</v>
      </c>
      <c r="BL765" s="5">
        <f t="shared" si="575"/>
        <v>0</v>
      </c>
      <c r="BM765" s="5">
        <f t="shared" si="575"/>
        <v>0</v>
      </c>
      <c r="BN765" s="5">
        <f t="shared" si="575"/>
        <v>0</v>
      </c>
      <c r="BO765" s="5">
        <f t="shared" si="570"/>
        <v>0</v>
      </c>
      <c r="BP765" s="5">
        <f t="shared" si="570"/>
        <v>0</v>
      </c>
      <c r="BQ765" s="5">
        <f t="shared" si="570"/>
        <v>0</v>
      </c>
      <c r="BR765" s="5">
        <f t="shared" si="570"/>
        <v>0</v>
      </c>
      <c r="BS765" s="5">
        <f t="shared" si="570"/>
        <v>0</v>
      </c>
      <c r="BT765" s="5">
        <f t="shared" si="570"/>
        <v>0</v>
      </c>
      <c r="BU765" s="5">
        <f t="shared" si="570"/>
        <v>0</v>
      </c>
      <c r="BV765" s="5">
        <f t="shared" si="570"/>
        <v>0</v>
      </c>
      <c r="BW765" s="5">
        <f t="shared" si="570"/>
        <v>0</v>
      </c>
      <c r="BX765" s="5">
        <f t="shared" si="570"/>
        <v>0</v>
      </c>
      <c r="BY765" s="5">
        <f t="shared" si="570"/>
        <v>0</v>
      </c>
      <c r="BZ765" s="5">
        <f t="shared" si="570"/>
        <v>0</v>
      </c>
      <c r="CA765" s="5">
        <f t="shared" si="570"/>
        <v>1</v>
      </c>
      <c r="CB765" s="5">
        <f t="shared" si="570"/>
        <v>0</v>
      </c>
      <c r="CC765" s="5">
        <f t="shared" si="570"/>
        <v>0</v>
      </c>
      <c r="CD765" s="5">
        <f t="shared" si="577"/>
        <v>0</v>
      </c>
      <c r="CE765" s="5">
        <f t="shared" si="577"/>
        <v>0</v>
      </c>
    </row>
    <row r="766" spans="1:83" x14ac:dyDescent="0.2">
      <c r="A766" s="11"/>
      <c r="B766" s="11"/>
      <c r="C766" s="1">
        <f>Growth!D771</f>
        <v>0</v>
      </c>
      <c r="D766" s="5" t="b">
        <f t="shared" si="550"/>
        <v>0</v>
      </c>
      <c r="E766" s="5">
        <v>2011</v>
      </c>
      <c r="F766" s="5">
        <f ca="1">LOOKUP($E766,frequence!$A$2:$A$35,frequence!L$2:L$35)</f>
        <v>33.053542446246631</v>
      </c>
      <c r="G766" s="5">
        <f ca="1">LOOKUP($E766,frequence!$A$2:$A$35,frequence!K$2:K$35)</f>
        <v>2.1388579511305732</v>
      </c>
      <c r="H766" s="5">
        <f ca="1">LOOKUP($E766,frequence!$A$2:$A$35,frequence!M$2:M$35)</f>
        <v>182.11948132765423</v>
      </c>
      <c r="I766" s="18">
        <v>2005</v>
      </c>
      <c r="J766" s="7">
        <f>LOOKUP(I766,CPI!A$69:A$103,CPI!O$69:O$103)</f>
        <v>1.1165181771633383</v>
      </c>
      <c r="K766" s="18">
        <v>2009</v>
      </c>
      <c r="L766" s="7">
        <f t="shared" ca="1" si="544"/>
        <v>1</v>
      </c>
      <c r="M766" s="7">
        <f t="shared" si="556"/>
        <v>0.55454545454545456</v>
      </c>
      <c r="N766" s="14">
        <v>9.0909090909090912E-2</v>
      </c>
      <c r="O766" s="1">
        <f ca="1">P766*J766*(1+Growth!G$6)^(2010-K766)</f>
        <v>905.96689198724289</v>
      </c>
      <c r="P766" s="2">
        <f t="shared" si="568"/>
        <v>799.33333333333337</v>
      </c>
      <c r="Q766" s="11">
        <f>218*44/12</f>
        <v>799.33333333333337</v>
      </c>
      <c r="R766" s="21">
        <f t="shared" ca="1" si="551"/>
        <v>820776.0093770246</v>
      </c>
      <c r="U766" s="11">
        <f>11*44/12</f>
        <v>40.333333333333336</v>
      </c>
      <c r="X766" s="11">
        <f>55*44/12</f>
        <v>201.66666666666666</v>
      </c>
      <c r="AA766" s="11">
        <f>839*44/12</f>
        <v>3076.3333333333335</v>
      </c>
      <c r="AB766" s="11">
        <f>3082*44/12</f>
        <v>11300.666666666666</v>
      </c>
      <c r="AC766" s="1">
        <f t="shared" si="569"/>
        <v>6.1</v>
      </c>
      <c r="AD766" s="5">
        <v>1</v>
      </c>
      <c r="AE766" s="5">
        <v>0</v>
      </c>
      <c r="AF766" s="5">
        <v>1</v>
      </c>
      <c r="AG766" s="5">
        <v>0</v>
      </c>
      <c r="AH766" s="5">
        <v>1</v>
      </c>
      <c r="AI766" s="3">
        <f t="shared" si="549"/>
        <v>3.1</v>
      </c>
      <c r="AJ766" s="5">
        <f t="shared" si="555"/>
        <v>0</v>
      </c>
      <c r="AK766" s="5">
        <f t="shared" si="545"/>
        <v>0</v>
      </c>
      <c r="AL766" s="5">
        <f t="shared" si="546"/>
        <v>0</v>
      </c>
      <c r="AM766" s="5">
        <f t="shared" si="557"/>
        <v>0</v>
      </c>
      <c r="AN766" s="5">
        <f t="shared" si="547"/>
        <v>0</v>
      </c>
      <c r="AO766" s="5">
        <f t="shared" si="558"/>
        <v>0</v>
      </c>
      <c r="AP766" s="11" t="s">
        <v>42</v>
      </c>
      <c r="AQ766" s="11" t="s">
        <v>42</v>
      </c>
      <c r="AR766" s="5">
        <v>1</v>
      </c>
      <c r="AS766" s="5">
        <v>0</v>
      </c>
      <c r="AT766" s="5">
        <v>1</v>
      </c>
      <c r="AU766" s="5">
        <v>0</v>
      </c>
      <c r="AV766" s="5">
        <v>0</v>
      </c>
      <c r="AW766" s="5">
        <v>0</v>
      </c>
      <c r="AX766" s="5">
        <v>1</v>
      </c>
      <c r="AY766" s="1">
        <f t="shared" si="571"/>
        <v>0</v>
      </c>
      <c r="AZ766" s="1">
        <f t="shared" si="572"/>
        <v>0</v>
      </c>
      <c r="BA766" s="1">
        <f t="shared" si="573"/>
        <v>0</v>
      </c>
      <c r="BB766" s="5">
        <v>1</v>
      </c>
      <c r="BC766" s="5">
        <v>0</v>
      </c>
      <c r="BD766" s="5">
        <v>0</v>
      </c>
      <c r="BE766" s="5">
        <f t="shared" si="574"/>
        <v>0</v>
      </c>
      <c r="BF766" s="5">
        <v>0</v>
      </c>
      <c r="BG766" s="5">
        <f t="shared" si="575"/>
        <v>0</v>
      </c>
      <c r="BH766" s="5">
        <f t="shared" si="575"/>
        <v>0</v>
      </c>
      <c r="BI766" s="5">
        <f t="shared" si="575"/>
        <v>0</v>
      </c>
      <c r="BJ766" s="5">
        <f t="shared" si="575"/>
        <v>0</v>
      </c>
      <c r="BK766" s="5">
        <f t="shared" si="575"/>
        <v>0</v>
      </c>
      <c r="BL766" s="5">
        <f t="shared" si="575"/>
        <v>0</v>
      </c>
      <c r="BM766" s="5">
        <f t="shared" si="575"/>
        <v>0</v>
      </c>
      <c r="BN766" s="5">
        <f t="shared" si="575"/>
        <v>0</v>
      </c>
      <c r="BO766" s="5">
        <f t="shared" si="570"/>
        <v>0</v>
      </c>
      <c r="BP766" s="5">
        <f t="shared" si="570"/>
        <v>0</v>
      </c>
      <c r="BQ766" s="5">
        <f t="shared" si="570"/>
        <v>0</v>
      </c>
      <c r="BR766" s="5">
        <f t="shared" si="570"/>
        <v>0</v>
      </c>
      <c r="BS766" s="5">
        <f t="shared" si="570"/>
        <v>0</v>
      </c>
      <c r="BT766" s="5">
        <f t="shared" si="570"/>
        <v>0</v>
      </c>
      <c r="BU766" s="5">
        <f t="shared" si="570"/>
        <v>0</v>
      </c>
      <c r="BV766" s="5">
        <f t="shared" si="570"/>
        <v>0</v>
      </c>
      <c r="BW766" s="5">
        <f t="shared" si="570"/>
        <v>0</v>
      </c>
      <c r="BX766" s="5">
        <f t="shared" si="570"/>
        <v>0</v>
      </c>
      <c r="BY766" s="5">
        <f t="shared" si="570"/>
        <v>0</v>
      </c>
      <c r="BZ766" s="5">
        <f t="shared" si="570"/>
        <v>0</v>
      </c>
      <c r="CA766" s="5">
        <f t="shared" si="570"/>
        <v>1</v>
      </c>
      <c r="CB766" s="5">
        <f t="shared" si="570"/>
        <v>0</v>
      </c>
      <c r="CC766" s="5">
        <f t="shared" si="570"/>
        <v>0</v>
      </c>
      <c r="CD766" s="5">
        <f t="shared" si="577"/>
        <v>0</v>
      </c>
      <c r="CE766" s="5">
        <f t="shared" si="577"/>
        <v>0</v>
      </c>
    </row>
    <row r="767" spans="1:83" x14ac:dyDescent="0.2">
      <c r="A767" s="11" t="s">
        <v>188</v>
      </c>
      <c r="B767" s="11" t="s">
        <v>189</v>
      </c>
      <c r="C767" s="1">
        <f>Growth!D772</f>
        <v>0</v>
      </c>
      <c r="D767" s="5">
        <f t="shared" si="550"/>
        <v>2013</v>
      </c>
      <c r="E767" s="5">
        <v>2013</v>
      </c>
      <c r="F767" s="5">
        <f ca="1">LOOKUP($E767,frequence!$A$2:$A$35,frequence!L$2:L$35)</f>
        <v>46.610663652887361</v>
      </c>
      <c r="G767" s="5">
        <f ca="1">LOOKUP($E767,frequence!$A$2:$A$35,frequence!K$2:K$35)</f>
        <v>7.3617115683267258</v>
      </c>
      <c r="H767" s="5">
        <f ca="1">LOOKUP($E767,frequence!$A$2:$A$35,frequence!M$2:M$35)</f>
        <v>214.81113443396845</v>
      </c>
      <c r="I767" s="16">
        <v>2005</v>
      </c>
      <c r="J767" s="7">
        <f>LOOKUP(I767,CPI!A$69:A$103,CPI!O$69:O$103)</f>
        <v>1.1165181771633383</v>
      </c>
      <c r="K767" s="16">
        <v>2010</v>
      </c>
      <c r="L767" s="7">
        <f t="shared" ca="1" si="544"/>
        <v>1</v>
      </c>
      <c r="M767" s="7">
        <f t="shared" si="556"/>
        <v>5.04</v>
      </c>
      <c r="N767" s="14">
        <v>0.8</v>
      </c>
      <c r="O767" s="1">
        <f ca="1">P767*J767*(1+Growth!G$6)^(2010-K767)</f>
        <v>438.04729817374971</v>
      </c>
      <c r="P767" s="2">
        <f t="shared" si="568"/>
        <v>392.33333333333331</v>
      </c>
      <c r="Q767" s="11">
        <f>107*44/12</f>
        <v>392.33333333333331</v>
      </c>
      <c r="R767" s="21">
        <f t="shared" ca="1" si="551"/>
        <v>191885.43543732198</v>
      </c>
      <c r="U767" s="11"/>
      <c r="X767" s="11"/>
      <c r="AA767" s="11"/>
      <c r="AB767" s="11"/>
      <c r="AC767" s="1">
        <f t="shared" si="569"/>
        <v>6.3</v>
      </c>
      <c r="AD767" s="5">
        <v>1</v>
      </c>
      <c r="AE767" s="5">
        <v>0</v>
      </c>
      <c r="AF767" s="5">
        <v>1</v>
      </c>
      <c r="AG767" s="5">
        <v>0</v>
      </c>
      <c r="AH767" s="5">
        <v>1</v>
      </c>
      <c r="AI767" s="3">
        <f t="shared" si="549"/>
        <v>3.3</v>
      </c>
      <c r="AJ767" s="5">
        <f t="shared" si="555"/>
        <v>0</v>
      </c>
      <c r="AK767" s="5">
        <f t="shared" si="545"/>
        <v>0</v>
      </c>
      <c r="AL767" s="5">
        <f t="shared" si="546"/>
        <v>0</v>
      </c>
      <c r="AM767" s="5">
        <f t="shared" si="557"/>
        <v>0</v>
      </c>
      <c r="AN767" s="5">
        <f t="shared" si="547"/>
        <v>0</v>
      </c>
      <c r="AO767" s="5">
        <f t="shared" si="558"/>
        <v>0</v>
      </c>
      <c r="AP767" s="11" t="s">
        <v>42</v>
      </c>
      <c r="AQ767" s="11" t="s">
        <v>42</v>
      </c>
      <c r="AR767" s="5">
        <v>1</v>
      </c>
      <c r="AS767" s="5">
        <v>0</v>
      </c>
      <c r="AT767" s="5">
        <v>1</v>
      </c>
      <c r="AU767" s="5">
        <v>0</v>
      </c>
      <c r="AV767" s="5">
        <v>0</v>
      </c>
      <c r="AW767" s="5">
        <v>0</v>
      </c>
      <c r="AX767" s="5">
        <v>1</v>
      </c>
      <c r="AY767" s="1">
        <f t="shared" ref="AY767:AY778" si="578">AJ767*$AD767*(1-$AV767)*(1-$AR767)</f>
        <v>0</v>
      </c>
      <c r="AZ767" s="1">
        <f t="shared" ref="AZ767:AZ778" si="579">AM767*$AD767*(1-$AV767)*(1-$AR767)</f>
        <v>0</v>
      </c>
      <c r="BA767" s="1">
        <f t="shared" ref="BA767:BA778" si="580">AO767*$AD767*(1-$AV767)*(1-$AR767)</f>
        <v>0</v>
      </c>
      <c r="BB767" s="5">
        <v>1</v>
      </c>
      <c r="BC767" s="5">
        <v>0</v>
      </c>
      <c r="BD767" s="5">
        <v>0</v>
      </c>
      <c r="BE767" s="5">
        <f t="shared" ref="BE767:BE778" si="581">1-SUM(BB767:BD767)</f>
        <v>0</v>
      </c>
      <c r="BF767" s="5">
        <v>0</v>
      </c>
      <c r="BG767" s="5">
        <f t="shared" si="575"/>
        <v>0</v>
      </c>
      <c r="BH767" s="5">
        <f t="shared" si="575"/>
        <v>0</v>
      </c>
      <c r="BI767" s="5">
        <f t="shared" si="575"/>
        <v>0</v>
      </c>
      <c r="BJ767" s="5">
        <f t="shared" si="575"/>
        <v>0</v>
      </c>
      <c r="BK767" s="5">
        <f t="shared" si="575"/>
        <v>0</v>
      </c>
      <c r="BL767" s="5">
        <f t="shared" si="575"/>
        <v>0</v>
      </c>
      <c r="BM767" s="5">
        <f t="shared" si="575"/>
        <v>0</v>
      </c>
      <c r="BN767" s="5">
        <f t="shared" si="575"/>
        <v>0</v>
      </c>
      <c r="BO767" s="5">
        <f t="shared" si="570"/>
        <v>0</v>
      </c>
      <c r="BP767" s="5">
        <f t="shared" si="570"/>
        <v>0</v>
      </c>
      <c r="BQ767" s="5">
        <f t="shared" si="570"/>
        <v>0</v>
      </c>
      <c r="BR767" s="5">
        <f t="shared" si="570"/>
        <v>0</v>
      </c>
      <c r="BS767" s="5">
        <f t="shared" si="570"/>
        <v>0</v>
      </c>
      <c r="BT767" s="5">
        <f t="shared" si="570"/>
        <v>0</v>
      </c>
      <c r="BU767" s="5">
        <f t="shared" si="570"/>
        <v>0</v>
      </c>
      <c r="BV767" s="5">
        <f t="shared" si="570"/>
        <v>0</v>
      </c>
      <c r="BW767" s="5">
        <f t="shared" si="570"/>
        <v>0</v>
      </c>
      <c r="BX767" s="5">
        <f t="shared" si="570"/>
        <v>0</v>
      </c>
      <c r="BY767" s="5">
        <f t="shared" si="570"/>
        <v>0</v>
      </c>
      <c r="BZ767" s="5">
        <f t="shared" si="570"/>
        <v>0</v>
      </c>
      <c r="CA767" s="5">
        <f t="shared" si="570"/>
        <v>0</v>
      </c>
      <c r="CB767" s="5">
        <f t="shared" si="570"/>
        <v>0</v>
      </c>
      <c r="CC767" s="5">
        <f t="shared" si="570"/>
        <v>1</v>
      </c>
      <c r="CD767" s="5">
        <f t="shared" si="577"/>
        <v>0</v>
      </c>
      <c r="CE767" s="5">
        <f t="shared" si="577"/>
        <v>0</v>
      </c>
    </row>
    <row r="768" spans="1:83" x14ac:dyDescent="0.2">
      <c r="A768" s="11"/>
      <c r="B768" s="11"/>
      <c r="C768" s="1">
        <f>Growth!D773</f>
        <v>0</v>
      </c>
      <c r="D768" s="5" t="b">
        <f t="shared" si="550"/>
        <v>0</v>
      </c>
      <c r="E768" s="5">
        <v>2013</v>
      </c>
      <c r="F768" s="5">
        <f ca="1">LOOKUP($E768,frequence!$A$2:$A$35,frequence!L$2:L$35)</f>
        <v>46.610663652887361</v>
      </c>
      <c r="G768" s="5">
        <f ca="1">LOOKUP($E768,frequence!$A$2:$A$35,frequence!K$2:K$35)</f>
        <v>7.3617115683267258</v>
      </c>
      <c r="H768" s="5">
        <f ca="1">LOOKUP($E768,frequence!$A$2:$A$35,frequence!M$2:M$35)</f>
        <v>214.81113443396845</v>
      </c>
      <c r="I768" s="16">
        <v>2005</v>
      </c>
      <c r="J768" s="7">
        <f>LOOKUP(I768,CPI!A$69:A$103,CPI!O$69:O$103)</f>
        <v>1.1165181771633383</v>
      </c>
      <c r="K768" s="16">
        <v>2010</v>
      </c>
      <c r="L768" s="7">
        <f t="shared" ca="1" si="544"/>
        <v>1</v>
      </c>
      <c r="M768" s="7">
        <f t="shared" si="556"/>
        <v>0.63</v>
      </c>
      <c r="N768" s="14">
        <v>0.1</v>
      </c>
      <c r="O768" s="1">
        <f ca="1">P768*J768*(1+Growth!G$6)^(2010-K768)</f>
        <v>564.9581976446492</v>
      </c>
      <c r="P768" s="2">
        <f t="shared" si="568"/>
        <v>506</v>
      </c>
      <c r="Q768" s="11">
        <f>138*44/12</f>
        <v>506</v>
      </c>
      <c r="R768" s="21">
        <f t="shared" ca="1" si="551"/>
        <v>319177.76508589054</v>
      </c>
      <c r="U768" s="11"/>
      <c r="X768" s="11"/>
      <c r="AA768" s="11"/>
      <c r="AB768" s="11"/>
      <c r="AC768" s="1">
        <f t="shared" si="569"/>
        <v>6.3</v>
      </c>
      <c r="AD768" s="5">
        <v>1</v>
      </c>
      <c r="AE768" s="5">
        <v>0</v>
      </c>
      <c r="AF768" s="5">
        <v>1</v>
      </c>
      <c r="AG768" s="5">
        <v>0</v>
      </c>
      <c r="AH768" s="5">
        <v>1</v>
      </c>
      <c r="AI768" s="3">
        <f t="shared" si="549"/>
        <v>3.3</v>
      </c>
      <c r="AJ768" s="5">
        <f t="shared" si="555"/>
        <v>0</v>
      </c>
      <c r="AK768" s="5">
        <f t="shared" si="545"/>
        <v>0</v>
      </c>
      <c r="AL768" s="5">
        <f t="shared" si="546"/>
        <v>0</v>
      </c>
      <c r="AM768" s="5">
        <f t="shared" si="557"/>
        <v>0</v>
      </c>
      <c r="AN768" s="5">
        <f t="shared" si="547"/>
        <v>0</v>
      </c>
      <c r="AO768" s="5">
        <f t="shared" si="558"/>
        <v>0</v>
      </c>
      <c r="AP768" s="11" t="s">
        <v>42</v>
      </c>
      <c r="AQ768" s="11" t="s">
        <v>42</v>
      </c>
      <c r="AR768" s="5">
        <v>1</v>
      </c>
      <c r="AS768" s="5">
        <v>0</v>
      </c>
      <c r="AT768" s="5">
        <v>1</v>
      </c>
      <c r="AU768" s="5">
        <v>0</v>
      </c>
      <c r="AV768" s="5">
        <v>0</v>
      </c>
      <c r="AW768" s="5">
        <v>0</v>
      </c>
      <c r="AX768" s="5">
        <v>1</v>
      </c>
      <c r="AY768" s="1">
        <f t="shared" si="578"/>
        <v>0</v>
      </c>
      <c r="AZ768" s="1">
        <f t="shared" si="579"/>
        <v>0</v>
      </c>
      <c r="BA768" s="1">
        <f t="shared" si="580"/>
        <v>0</v>
      </c>
      <c r="BB768" s="5">
        <v>1</v>
      </c>
      <c r="BC768" s="5">
        <v>0</v>
      </c>
      <c r="BD768" s="5">
        <v>0</v>
      </c>
      <c r="BE768" s="5">
        <f t="shared" si="581"/>
        <v>0</v>
      </c>
      <c r="BF768" s="5">
        <v>0</v>
      </c>
      <c r="BG768" s="5">
        <f t="shared" si="575"/>
        <v>0</v>
      </c>
      <c r="BH768" s="5">
        <f t="shared" si="575"/>
        <v>0</v>
      </c>
      <c r="BI768" s="5">
        <f t="shared" si="575"/>
        <v>0</v>
      </c>
      <c r="BJ768" s="5">
        <f t="shared" si="575"/>
        <v>0</v>
      </c>
      <c r="BK768" s="5">
        <f t="shared" si="575"/>
        <v>0</v>
      </c>
      <c r="BL768" s="5">
        <f t="shared" si="575"/>
        <v>0</v>
      </c>
      <c r="BM768" s="5">
        <f t="shared" si="575"/>
        <v>0</v>
      </c>
      <c r="BN768" s="5">
        <f t="shared" si="575"/>
        <v>0</v>
      </c>
      <c r="BO768" s="5">
        <f t="shared" si="570"/>
        <v>0</v>
      </c>
      <c r="BP768" s="5">
        <f t="shared" si="570"/>
        <v>0</v>
      </c>
      <c r="BQ768" s="5">
        <f t="shared" si="570"/>
        <v>0</v>
      </c>
      <c r="BR768" s="5">
        <f t="shared" si="570"/>
        <v>0</v>
      </c>
      <c r="BS768" s="5">
        <f t="shared" si="570"/>
        <v>0</v>
      </c>
      <c r="BT768" s="5">
        <f t="shared" si="570"/>
        <v>0</v>
      </c>
      <c r="BU768" s="5">
        <f t="shared" si="570"/>
        <v>0</v>
      </c>
      <c r="BV768" s="5">
        <f t="shared" si="570"/>
        <v>0</v>
      </c>
      <c r="BW768" s="5">
        <f t="shared" si="570"/>
        <v>0</v>
      </c>
      <c r="BX768" s="5">
        <f t="shared" si="570"/>
        <v>0</v>
      </c>
      <c r="BY768" s="5">
        <f t="shared" si="570"/>
        <v>0</v>
      </c>
      <c r="BZ768" s="5">
        <f t="shared" si="570"/>
        <v>0</v>
      </c>
      <c r="CA768" s="5">
        <f t="shared" si="570"/>
        <v>0</v>
      </c>
      <c r="CB768" s="5">
        <f t="shared" si="570"/>
        <v>0</v>
      </c>
      <c r="CC768" s="5">
        <f t="shared" si="570"/>
        <v>1</v>
      </c>
      <c r="CD768" s="5">
        <f t="shared" si="577"/>
        <v>0</v>
      </c>
      <c r="CE768" s="5">
        <f t="shared" si="577"/>
        <v>0</v>
      </c>
    </row>
    <row r="769" spans="1:83" x14ac:dyDescent="0.2">
      <c r="A769" s="11"/>
      <c r="B769" s="11"/>
      <c r="C769" s="1">
        <f>Growth!D774</f>
        <v>0</v>
      </c>
      <c r="D769" s="5" t="b">
        <f t="shared" si="550"/>
        <v>0</v>
      </c>
      <c r="E769" s="5">
        <v>2013</v>
      </c>
      <c r="F769" s="5">
        <f ca="1">LOOKUP($E769,frequence!$A$2:$A$35,frequence!L$2:L$35)</f>
        <v>46.610663652887361</v>
      </c>
      <c r="G769" s="5">
        <f ca="1">LOOKUP($E769,frequence!$A$2:$A$35,frequence!K$2:K$35)</f>
        <v>7.3617115683267258</v>
      </c>
      <c r="H769" s="5">
        <f ca="1">LOOKUP($E769,frequence!$A$2:$A$35,frequence!M$2:M$35)</f>
        <v>214.81113443396845</v>
      </c>
      <c r="I769" s="16">
        <v>2005</v>
      </c>
      <c r="J769" s="7">
        <f>LOOKUP(I769,CPI!A$69:A$103,CPI!O$69:O$103)</f>
        <v>1.1165181771633383</v>
      </c>
      <c r="K769" s="16">
        <v>2010</v>
      </c>
      <c r="L769" s="7">
        <f t="shared" ca="1" si="544"/>
        <v>1</v>
      </c>
      <c r="M769" s="7">
        <f t="shared" si="556"/>
        <v>0.63</v>
      </c>
      <c r="N769" s="14">
        <v>0.1</v>
      </c>
      <c r="O769" s="1">
        <f ca="1">P769*J769*(1+Growth!G$6)^(2010-K769)</f>
        <v>433.95339819081755</v>
      </c>
      <c r="P769" s="2">
        <f t="shared" si="568"/>
        <v>388.66666666666669</v>
      </c>
      <c r="Q769" s="11">
        <f>106*44/12</f>
        <v>388.66666666666669</v>
      </c>
      <c r="R769" s="21">
        <f t="shared" ca="1" si="551"/>
        <v>188315.55180135826</v>
      </c>
      <c r="U769" s="11"/>
      <c r="X769" s="11"/>
      <c r="AA769" s="11"/>
      <c r="AB769" s="11"/>
      <c r="AC769" s="1">
        <f t="shared" si="569"/>
        <v>6.3</v>
      </c>
      <c r="AD769" s="5">
        <v>1</v>
      </c>
      <c r="AE769" s="5">
        <v>0</v>
      </c>
      <c r="AF769" s="5">
        <v>1</v>
      </c>
      <c r="AG769" s="5">
        <v>0</v>
      </c>
      <c r="AH769" s="5">
        <v>1</v>
      </c>
      <c r="AI769" s="3">
        <f t="shared" si="549"/>
        <v>3.3</v>
      </c>
      <c r="AJ769" s="5">
        <f t="shared" si="555"/>
        <v>0</v>
      </c>
      <c r="AK769" s="5">
        <f t="shared" si="545"/>
        <v>0</v>
      </c>
      <c r="AL769" s="5">
        <f t="shared" si="546"/>
        <v>0</v>
      </c>
      <c r="AM769" s="5">
        <f t="shared" si="557"/>
        <v>0</v>
      </c>
      <c r="AN769" s="5">
        <f t="shared" si="547"/>
        <v>0</v>
      </c>
      <c r="AO769" s="5">
        <f t="shared" si="558"/>
        <v>0</v>
      </c>
      <c r="AP769" s="11" t="s">
        <v>42</v>
      </c>
      <c r="AQ769" s="11" t="s">
        <v>42</v>
      </c>
      <c r="AR769" s="5">
        <v>1</v>
      </c>
      <c r="AS769" s="5">
        <v>0</v>
      </c>
      <c r="AT769" s="5">
        <v>1</v>
      </c>
      <c r="AU769" s="5">
        <v>0</v>
      </c>
      <c r="AV769" s="5">
        <v>0</v>
      </c>
      <c r="AW769" s="5">
        <v>0</v>
      </c>
      <c r="AX769" s="5">
        <v>1</v>
      </c>
      <c r="AY769" s="1">
        <f t="shared" si="578"/>
        <v>0</v>
      </c>
      <c r="AZ769" s="1">
        <f t="shared" si="579"/>
        <v>0</v>
      </c>
      <c r="BA769" s="1">
        <f t="shared" si="580"/>
        <v>0</v>
      </c>
      <c r="BB769" s="5">
        <v>1</v>
      </c>
      <c r="BC769" s="5">
        <v>0</v>
      </c>
      <c r="BD769" s="5">
        <v>0</v>
      </c>
      <c r="BE769" s="5">
        <f t="shared" si="581"/>
        <v>0</v>
      </c>
      <c r="BF769" s="5">
        <v>0</v>
      </c>
      <c r="BG769" s="5">
        <f t="shared" si="575"/>
        <v>0</v>
      </c>
      <c r="BH769" s="5">
        <f t="shared" si="575"/>
        <v>0</v>
      </c>
      <c r="BI769" s="5">
        <f t="shared" si="575"/>
        <v>0</v>
      </c>
      <c r="BJ769" s="5">
        <f t="shared" si="575"/>
        <v>0</v>
      </c>
      <c r="BK769" s="5">
        <f t="shared" si="575"/>
        <v>0</v>
      </c>
      <c r="BL769" s="5">
        <f t="shared" si="575"/>
        <v>0</v>
      </c>
      <c r="BM769" s="5">
        <f t="shared" si="575"/>
        <v>0</v>
      </c>
      <c r="BN769" s="5">
        <f t="shared" si="575"/>
        <v>0</v>
      </c>
      <c r="BO769" s="5">
        <f t="shared" si="570"/>
        <v>0</v>
      </c>
      <c r="BP769" s="5">
        <f t="shared" si="570"/>
        <v>0</v>
      </c>
      <c r="BQ769" s="5">
        <f t="shared" si="570"/>
        <v>0</v>
      </c>
      <c r="BR769" s="5">
        <f t="shared" si="570"/>
        <v>0</v>
      </c>
      <c r="BS769" s="5">
        <f t="shared" si="570"/>
        <v>0</v>
      </c>
      <c r="BT769" s="5">
        <f t="shared" si="570"/>
        <v>0</v>
      </c>
      <c r="BU769" s="5">
        <f t="shared" si="570"/>
        <v>0</v>
      </c>
      <c r="BV769" s="5">
        <f t="shared" si="570"/>
        <v>0</v>
      </c>
      <c r="BW769" s="5">
        <f t="shared" si="570"/>
        <v>0</v>
      </c>
      <c r="BX769" s="5">
        <f t="shared" si="570"/>
        <v>0</v>
      </c>
      <c r="BY769" s="5">
        <f t="shared" si="570"/>
        <v>0</v>
      </c>
      <c r="BZ769" s="5">
        <f t="shared" si="570"/>
        <v>0</v>
      </c>
      <c r="CA769" s="5">
        <f t="shared" si="570"/>
        <v>0</v>
      </c>
      <c r="CB769" s="5">
        <f t="shared" si="570"/>
        <v>0</v>
      </c>
      <c r="CC769" s="5">
        <f t="shared" si="570"/>
        <v>1</v>
      </c>
      <c r="CD769" s="5">
        <f t="shared" si="577"/>
        <v>0</v>
      </c>
      <c r="CE769" s="5">
        <f t="shared" si="577"/>
        <v>0</v>
      </c>
    </row>
    <row r="770" spans="1:83" x14ac:dyDescent="0.2">
      <c r="A770" s="11" t="s">
        <v>50</v>
      </c>
      <c r="B770" s="11" t="s">
        <v>190</v>
      </c>
      <c r="C770" s="1">
        <f>Growth!D775</f>
        <v>0.01</v>
      </c>
      <c r="D770" s="5">
        <f t="shared" si="550"/>
        <v>2013</v>
      </c>
      <c r="E770" s="5">
        <v>2013</v>
      </c>
      <c r="F770" s="5">
        <f ca="1">LOOKUP($E770,frequence!$A$2:$A$35,frequence!L$2:L$35)</f>
        <v>46.610663652887361</v>
      </c>
      <c r="G770" s="5">
        <f ca="1">LOOKUP($E770,frequence!$A$2:$A$35,frequence!K$2:K$35)</f>
        <v>7.3617115683267258</v>
      </c>
      <c r="H770" s="5">
        <f ca="1">LOOKUP($E770,frequence!$A$2:$A$35,frequence!M$2:M$35)</f>
        <v>214.81113443396845</v>
      </c>
      <c r="I770" s="16">
        <v>2001</v>
      </c>
      <c r="J770" s="7">
        <f>LOOKUP(I770,CPI!A$69:A$103,CPI!O$69:O$103)</f>
        <v>1.2312591756070017</v>
      </c>
      <c r="K770" s="16">
        <v>2001</v>
      </c>
      <c r="L770" s="7">
        <f t="shared" ca="1" si="544"/>
        <v>1</v>
      </c>
      <c r="M770" s="7">
        <f t="shared" si="556"/>
        <v>6.3E-2</v>
      </c>
      <c r="N770" s="14">
        <v>0.01</v>
      </c>
      <c r="O770" s="1">
        <f ca="1">P770*J770*(1+Growth!G$6)^(2010-K770)</f>
        <v>418.57508534564306</v>
      </c>
      <c r="P770" s="2">
        <f t="shared" si="568"/>
        <v>297</v>
      </c>
      <c r="Q770" s="11">
        <f>81*44/12</f>
        <v>297</v>
      </c>
      <c r="R770" s="21">
        <f t="shared" ca="1" si="551"/>
        <v>175205.10207211238</v>
      </c>
      <c r="U770" s="11"/>
      <c r="X770" s="11"/>
      <c r="AA770" s="11"/>
      <c r="AB770" s="11"/>
      <c r="AC770" s="1">
        <f t="shared" si="569"/>
        <v>6.3</v>
      </c>
      <c r="AD770" s="5">
        <v>1</v>
      </c>
      <c r="AE770" s="5">
        <v>0</v>
      </c>
      <c r="AF770" s="5">
        <v>1</v>
      </c>
      <c r="AG770" s="5">
        <v>0</v>
      </c>
      <c r="AH770" s="5">
        <v>1</v>
      </c>
      <c r="AI770" s="3">
        <f t="shared" si="549"/>
        <v>3.3</v>
      </c>
      <c r="AJ770" s="5">
        <f t="shared" si="555"/>
        <v>0</v>
      </c>
      <c r="AK770" s="5">
        <f t="shared" si="545"/>
        <v>0</v>
      </c>
      <c r="AL770" s="5">
        <f t="shared" si="546"/>
        <v>0</v>
      </c>
      <c r="AM770" s="5">
        <f t="shared" si="557"/>
        <v>0</v>
      </c>
      <c r="AN770" s="5">
        <f t="shared" si="547"/>
        <v>0</v>
      </c>
      <c r="AO770" s="5">
        <f t="shared" si="558"/>
        <v>0</v>
      </c>
      <c r="AP770" s="11" t="s">
        <v>42</v>
      </c>
      <c r="AQ770" s="11" t="s">
        <v>42</v>
      </c>
      <c r="AR770" s="5">
        <v>1</v>
      </c>
      <c r="AS770" s="5">
        <v>0</v>
      </c>
      <c r="AT770" s="5">
        <v>1</v>
      </c>
      <c r="AU770" s="5">
        <v>0</v>
      </c>
      <c r="AV770" s="5">
        <v>0</v>
      </c>
      <c r="AW770" s="5">
        <v>0</v>
      </c>
      <c r="AX770" s="5">
        <v>1</v>
      </c>
      <c r="AY770" s="1">
        <f t="shared" si="578"/>
        <v>0</v>
      </c>
      <c r="AZ770" s="1">
        <f t="shared" si="579"/>
        <v>0</v>
      </c>
      <c r="BA770" s="1">
        <f t="shared" si="580"/>
        <v>0</v>
      </c>
      <c r="BB770" s="5">
        <v>1</v>
      </c>
      <c r="BC770" s="5">
        <v>0</v>
      </c>
      <c r="BD770" s="5">
        <v>0</v>
      </c>
      <c r="BE770" s="5">
        <f t="shared" si="581"/>
        <v>0</v>
      </c>
      <c r="BF770" s="5">
        <v>0</v>
      </c>
      <c r="BG770" s="5">
        <f t="shared" si="575"/>
        <v>0</v>
      </c>
      <c r="BH770" s="5">
        <f t="shared" si="575"/>
        <v>0</v>
      </c>
      <c r="BI770" s="5">
        <f t="shared" si="575"/>
        <v>0</v>
      </c>
      <c r="BJ770" s="5">
        <f t="shared" si="575"/>
        <v>0</v>
      </c>
      <c r="BK770" s="5">
        <f t="shared" si="575"/>
        <v>0</v>
      </c>
      <c r="BL770" s="5">
        <f t="shared" si="575"/>
        <v>0</v>
      </c>
      <c r="BM770" s="5">
        <f t="shared" si="575"/>
        <v>0</v>
      </c>
      <c r="BN770" s="5">
        <f t="shared" si="575"/>
        <v>0</v>
      </c>
      <c r="BO770" s="5">
        <f t="shared" si="570"/>
        <v>0</v>
      </c>
      <c r="BP770" s="5">
        <f t="shared" si="570"/>
        <v>0</v>
      </c>
      <c r="BQ770" s="5">
        <f t="shared" si="570"/>
        <v>0</v>
      </c>
      <c r="BR770" s="5">
        <f t="shared" si="570"/>
        <v>0</v>
      </c>
      <c r="BS770" s="5">
        <f t="shared" si="570"/>
        <v>0</v>
      </c>
      <c r="BT770" s="5">
        <f t="shared" si="570"/>
        <v>0</v>
      </c>
      <c r="BU770" s="5">
        <f t="shared" si="570"/>
        <v>0</v>
      </c>
      <c r="BV770" s="5">
        <f t="shared" si="570"/>
        <v>0</v>
      </c>
      <c r="BW770" s="5">
        <f t="shared" si="570"/>
        <v>0</v>
      </c>
      <c r="BX770" s="5">
        <f t="shared" si="570"/>
        <v>0</v>
      </c>
      <c r="BY770" s="5">
        <f t="shared" si="570"/>
        <v>0</v>
      </c>
      <c r="BZ770" s="5">
        <f t="shared" si="570"/>
        <v>0</v>
      </c>
      <c r="CA770" s="5">
        <f t="shared" si="570"/>
        <v>0</v>
      </c>
      <c r="CB770" s="5">
        <f t="shared" si="570"/>
        <v>0</v>
      </c>
      <c r="CC770" s="5">
        <f t="shared" si="570"/>
        <v>1</v>
      </c>
      <c r="CD770" s="5">
        <f t="shared" si="577"/>
        <v>0</v>
      </c>
      <c r="CE770" s="5">
        <f t="shared" si="577"/>
        <v>0</v>
      </c>
    </row>
    <row r="771" spans="1:83" x14ac:dyDescent="0.2">
      <c r="A771" s="11"/>
      <c r="B771" s="11"/>
      <c r="C771" s="1">
        <f>Growth!D776</f>
        <v>0</v>
      </c>
      <c r="D771" s="5" t="b">
        <f t="shared" si="550"/>
        <v>0</v>
      </c>
      <c r="E771" s="5">
        <v>2013</v>
      </c>
      <c r="F771" s="5">
        <f ca="1">LOOKUP($E771,frequence!$A$2:$A$35,frequence!L$2:L$35)</f>
        <v>46.610663652887361</v>
      </c>
      <c r="G771" s="5">
        <f ca="1">LOOKUP($E771,frequence!$A$2:$A$35,frequence!K$2:K$35)</f>
        <v>7.3617115683267258</v>
      </c>
      <c r="H771" s="5">
        <f ca="1">LOOKUP($E771,frequence!$A$2:$A$35,frequence!M$2:M$35)</f>
        <v>214.81113443396845</v>
      </c>
      <c r="I771" s="16">
        <v>2001</v>
      </c>
      <c r="J771" s="7">
        <f>LOOKUP(I771,CPI!A$69:A$103,CPI!O$69:O$103)</f>
        <v>1.2312591756070017</v>
      </c>
      <c r="K771" s="16">
        <v>2001</v>
      </c>
      <c r="L771" s="7">
        <f t="shared" ca="1" si="544"/>
        <v>1</v>
      </c>
      <c r="M771" s="7">
        <f t="shared" si="556"/>
        <v>6.3E-2</v>
      </c>
      <c r="N771" s="14">
        <v>0.01</v>
      </c>
      <c r="O771" s="1">
        <f ca="1">P771*J771*(1+Growth!G$6)^(2010-K771)</f>
        <v>170.53059032600274</v>
      </c>
      <c r="P771" s="2">
        <f t="shared" si="568"/>
        <v>121</v>
      </c>
      <c r="Q771" s="11">
        <f>33*44/12</f>
        <v>121</v>
      </c>
      <c r="R771" s="21">
        <f t="shared" ca="1" si="551"/>
        <v>29080.682236934979</v>
      </c>
      <c r="U771" s="11"/>
      <c r="X771" s="11"/>
      <c r="AA771" s="11"/>
      <c r="AB771" s="11"/>
      <c r="AC771" s="1">
        <f t="shared" si="569"/>
        <v>6.3</v>
      </c>
      <c r="AD771" s="5">
        <v>1</v>
      </c>
      <c r="AE771" s="5">
        <v>0</v>
      </c>
      <c r="AF771" s="5">
        <v>1</v>
      </c>
      <c r="AG771" s="5">
        <v>0</v>
      </c>
      <c r="AH771" s="5">
        <v>1</v>
      </c>
      <c r="AI771" s="3">
        <f t="shared" si="549"/>
        <v>3.3</v>
      </c>
      <c r="AJ771" s="5">
        <f t="shared" si="555"/>
        <v>0</v>
      </c>
      <c r="AK771" s="5">
        <f t="shared" si="545"/>
        <v>0</v>
      </c>
      <c r="AL771" s="5">
        <f t="shared" si="546"/>
        <v>0</v>
      </c>
      <c r="AM771" s="5">
        <f t="shared" si="557"/>
        <v>0</v>
      </c>
      <c r="AN771" s="5">
        <f t="shared" si="547"/>
        <v>0</v>
      </c>
      <c r="AO771" s="5">
        <f t="shared" si="558"/>
        <v>0</v>
      </c>
      <c r="AP771" s="11" t="s">
        <v>42</v>
      </c>
      <c r="AQ771" s="11" t="s">
        <v>42</v>
      </c>
      <c r="AR771" s="5">
        <v>1</v>
      </c>
      <c r="AS771" s="5">
        <v>0</v>
      </c>
      <c r="AT771" s="5">
        <v>1</v>
      </c>
      <c r="AU771" s="5">
        <v>0</v>
      </c>
      <c r="AV771" s="5">
        <v>0</v>
      </c>
      <c r="AW771" s="5">
        <v>0</v>
      </c>
      <c r="AX771" s="5">
        <v>1</v>
      </c>
      <c r="AY771" s="1">
        <f t="shared" si="578"/>
        <v>0</v>
      </c>
      <c r="AZ771" s="1">
        <f t="shared" si="579"/>
        <v>0</v>
      </c>
      <c r="BA771" s="1">
        <f t="shared" si="580"/>
        <v>0</v>
      </c>
      <c r="BB771" s="5">
        <v>1</v>
      </c>
      <c r="BC771" s="5">
        <v>0</v>
      </c>
      <c r="BD771" s="5">
        <v>0</v>
      </c>
      <c r="BE771" s="5">
        <f t="shared" si="581"/>
        <v>0</v>
      </c>
      <c r="BF771" s="5">
        <v>0</v>
      </c>
      <c r="BG771" s="5">
        <f t="shared" si="575"/>
        <v>0</v>
      </c>
      <c r="BH771" s="5">
        <f t="shared" si="575"/>
        <v>0</v>
      </c>
      <c r="BI771" s="5">
        <f t="shared" si="575"/>
        <v>0</v>
      </c>
      <c r="BJ771" s="5">
        <f t="shared" si="575"/>
        <v>0</v>
      </c>
      <c r="BK771" s="5">
        <f t="shared" si="575"/>
        <v>0</v>
      </c>
      <c r="BL771" s="5">
        <f t="shared" si="575"/>
        <v>0</v>
      </c>
      <c r="BM771" s="5">
        <f t="shared" si="575"/>
        <v>0</v>
      </c>
      <c r="BN771" s="5">
        <f t="shared" si="575"/>
        <v>0</v>
      </c>
      <c r="BO771" s="5">
        <f t="shared" si="570"/>
        <v>0</v>
      </c>
      <c r="BP771" s="5">
        <f t="shared" si="570"/>
        <v>0</v>
      </c>
      <c r="BQ771" s="5">
        <f t="shared" si="570"/>
        <v>0</v>
      </c>
      <c r="BR771" s="5">
        <f t="shared" si="570"/>
        <v>0</v>
      </c>
      <c r="BS771" s="5">
        <f t="shared" si="570"/>
        <v>0</v>
      </c>
      <c r="BT771" s="5">
        <f t="shared" si="570"/>
        <v>0</v>
      </c>
      <c r="BU771" s="5">
        <f t="shared" si="570"/>
        <v>0</v>
      </c>
      <c r="BV771" s="5">
        <f t="shared" si="570"/>
        <v>0</v>
      </c>
      <c r="BW771" s="5">
        <f t="shared" si="570"/>
        <v>0</v>
      </c>
      <c r="BX771" s="5">
        <f t="shared" si="570"/>
        <v>0</v>
      </c>
      <c r="BY771" s="5">
        <f t="shared" si="570"/>
        <v>0</v>
      </c>
      <c r="BZ771" s="5">
        <f t="shared" si="570"/>
        <v>0</v>
      </c>
      <c r="CA771" s="5">
        <f t="shared" si="570"/>
        <v>0</v>
      </c>
      <c r="CB771" s="5">
        <f t="shared" si="570"/>
        <v>0</v>
      </c>
      <c r="CC771" s="5">
        <f t="shared" si="570"/>
        <v>1</v>
      </c>
      <c r="CD771" s="5">
        <f t="shared" si="577"/>
        <v>0</v>
      </c>
      <c r="CE771" s="5">
        <f t="shared" si="577"/>
        <v>0</v>
      </c>
    </row>
    <row r="772" spans="1:83" x14ac:dyDescent="0.2">
      <c r="A772" s="11"/>
      <c r="B772" s="11"/>
      <c r="C772" s="1">
        <f>Growth!D777</f>
        <v>0</v>
      </c>
      <c r="D772" s="5" t="b">
        <f t="shared" si="550"/>
        <v>0</v>
      </c>
      <c r="E772" s="5">
        <v>2013</v>
      </c>
      <c r="F772" s="5">
        <f ca="1">LOOKUP($E772,frequence!$A$2:$A$35,frequence!L$2:L$35)</f>
        <v>46.610663652887361</v>
      </c>
      <c r="G772" s="5">
        <f ca="1">LOOKUP($E772,frequence!$A$2:$A$35,frequence!K$2:K$35)</f>
        <v>7.3617115683267258</v>
      </c>
      <c r="H772" s="5">
        <f ca="1">LOOKUP($E772,frequence!$A$2:$A$35,frequence!M$2:M$35)</f>
        <v>214.81113443396845</v>
      </c>
      <c r="I772" s="16">
        <v>2001</v>
      </c>
      <c r="J772" s="7">
        <f>LOOKUP(I772,CPI!A$69:A$103,CPI!O$69:O$103)</f>
        <v>1.2312591756070017</v>
      </c>
      <c r="K772" s="16">
        <v>2010</v>
      </c>
      <c r="L772" s="7">
        <f t="shared" ca="1" si="544"/>
        <v>1</v>
      </c>
      <c r="M772" s="7">
        <f t="shared" si="556"/>
        <v>6.3E-2</v>
      </c>
      <c r="N772" s="14">
        <v>0.01</v>
      </c>
      <c r="O772" s="1">
        <f ca="1">P772*J772*(1+Growth!G$6)^(2010-K772)</f>
        <v>180.58467908902691</v>
      </c>
      <c r="P772" s="2">
        <f t="shared" si="568"/>
        <v>146.66666666666666</v>
      </c>
      <c r="Q772" s="11">
        <f>40*44/12</f>
        <v>146.66666666666666</v>
      </c>
      <c r="R772" s="21">
        <f t="shared" ca="1" si="551"/>
        <v>32610.826321686833</v>
      </c>
      <c r="U772" s="11"/>
      <c r="X772" s="11"/>
      <c r="AA772" s="11"/>
      <c r="AB772" s="11"/>
      <c r="AC772" s="1">
        <f t="shared" si="569"/>
        <v>6.3</v>
      </c>
      <c r="AD772" s="5">
        <v>1</v>
      </c>
      <c r="AE772" s="5">
        <v>0</v>
      </c>
      <c r="AF772" s="5">
        <v>1</v>
      </c>
      <c r="AG772" s="5">
        <v>0</v>
      </c>
      <c r="AH772" s="5">
        <v>1</v>
      </c>
      <c r="AI772" s="3">
        <f t="shared" si="549"/>
        <v>3.3</v>
      </c>
      <c r="AJ772" s="5">
        <f t="shared" si="555"/>
        <v>0</v>
      </c>
      <c r="AK772" s="5">
        <f t="shared" si="545"/>
        <v>0</v>
      </c>
      <c r="AL772" s="5">
        <f t="shared" si="546"/>
        <v>0</v>
      </c>
      <c r="AM772" s="5">
        <f t="shared" si="557"/>
        <v>0</v>
      </c>
      <c r="AN772" s="5">
        <f t="shared" si="547"/>
        <v>0</v>
      </c>
      <c r="AO772" s="5">
        <f t="shared" si="558"/>
        <v>0</v>
      </c>
      <c r="AP772" s="11" t="s">
        <v>42</v>
      </c>
      <c r="AQ772" s="11" t="s">
        <v>42</v>
      </c>
      <c r="AR772" s="5">
        <v>1</v>
      </c>
      <c r="AS772" s="5">
        <v>0</v>
      </c>
      <c r="AT772" s="5">
        <v>1</v>
      </c>
      <c r="AU772" s="5">
        <v>0</v>
      </c>
      <c r="AV772" s="5">
        <v>0</v>
      </c>
      <c r="AW772" s="5">
        <v>0</v>
      </c>
      <c r="AX772" s="5">
        <v>1</v>
      </c>
      <c r="AY772" s="1">
        <f t="shared" si="578"/>
        <v>0</v>
      </c>
      <c r="AZ772" s="1">
        <f t="shared" si="579"/>
        <v>0</v>
      </c>
      <c r="BA772" s="1">
        <f t="shared" si="580"/>
        <v>0</v>
      </c>
      <c r="BB772" s="5">
        <v>1</v>
      </c>
      <c r="BC772" s="5">
        <v>0</v>
      </c>
      <c r="BD772" s="5">
        <v>0</v>
      </c>
      <c r="BE772" s="5">
        <f t="shared" si="581"/>
        <v>0</v>
      </c>
      <c r="BF772" s="5">
        <v>0</v>
      </c>
      <c r="BG772" s="5">
        <f t="shared" si="575"/>
        <v>0</v>
      </c>
      <c r="BH772" s="5">
        <f t="shared" si="575"/>
        <v>0</v>
      </c>
      <c r="BI772" s="5">
        <f t="shared" si="575"/>
        <v>0</v>
      </c>
      <c r="BJ772" s="5">
        <f t="shared" si="575"/>
        <v>0</v>
      </c>
      <c r="BK772" s="5">
        <f t="shared" si="575"/>
        <v>0</v>
      </c>
      <c r="BL772" s="5">
        <f t="shared" si="575"/>
        <v>0</v>
      </c>
      <c r="BM772" s="5">
        <f t="shared" si="575"/>
        <v>0</v>
      </c>
      <c r="BN772" s="5">
        <f t="shared" ref="BN772:CB787" si="582">IF($E772=BN$2,1,0)</f>
        <v>0</v>
      </c>
      <c r="BO772" s="5">
        <f t="shared" si="582"/>
        <v>0</v>
      </c>
      <c r="BP772" s="5">
        <f t="shared" si="582"/>
        <v>0</v>
      </c>
      <c r="BQ772" s="5">
        <f t="shared" si="582"/>
        <v>0</v>
      </c>
      <c r="BR772" s="5">
        <f t="shared" si="582"/>
        <v>0</v>
      </c>
      <c r="BS772" s="5">
        <f t="shared" si="582"/>
        <v>0</v>
      </c>
      <c r="BT772" s="5">
        <f t="shared" si="582"/>
        <v>0</v>
      </c>
      <c r="BU772" s="5">
        <f t="shared" si="582"/>
        <v>0</v>
      </c>
      <c r="BV772" s="5">
        <f t="shared" si="582"/>
        <v>0</v>
      </c>
      <c r="BW772" s="5">
        <f t="shared" si="582"/>
        <v>0</v>
      </c>
      <c r="BX772" s="5">
        <f t="shared" si="582"/>
        <v>0</v>
      </c>
      <c r="BY772" s="5">
        <f t="shared" si="582"/>
        <v>0</v>
      </c>
      <c r="BZ772" s="5">
        <f t="shared" si="582"/>
        <v>0</v>
      </c>
      <c r="CA772" s="5">
        <f t="shared" si="582"/>
        <v>0</v>
      </c>
      <c r="CB772" s="5">
        <f t="shared" si="582"/>
        <v>0</v>
      </c>
      <c r="CC772" s="5">
        <f t="shared" ref="CC772:CE791" si="583">IF($E772=CC$2,1,0)</f>
        <v>1</v>
      </c>
      <c r="CD772" s="5">
        <f t="shared" si="577"/>
        <v>0</v>
      </c>
      <c r="CE772" s="5">
        <f t="shared" si="577"/>
        <v>0</v>
      </c>
    </row>
    <row r="773" spans="1:83" x14ac:dyDescent="0.2">
      <c r="A773" s="11"/>
      <c r="B773" s="11"/>
      <c r="C773" s="1">
        <f>Growth!D778</f>
        <v>0</v>
      </c>
      <c r="D773" s="5" t="b">
        <f t="shared" si="550"/>
        <v>0</v>
      </c>
      <c r="E773" s="5">
        <v>2013</v>
      </c>
      <c r="F773" s="5">
        <f ca="1">LOOKUP($E773,frequence!$A$2:$A$35,frequence!L$2:L$35)</f>
        <v>46.610663652887361</v>
      </c>
      <c r="G773" s="5">
        <f ca="1">LOOKUP($E773,frequence!$A$2:$A$35,frequence!K$2:K$35)</f>
        <v>7.3617115683267258</v>
      </c>
      <c r="H773" s="5">
        <f ca="1">LOOKUP($E773,frequence!$A$2:$A$35,frequence!M$2:M$35)</f>
        <v>214.81113443396845</v>
      </c>
      <c r="I773" s="16">
        <v>2001</v>
      </c>
      <c r="J773" s="7">
        <f>LOOKUP(I773,CPI!A$69:A$103,CPI!O$69:O$103)</f>
        <v>1.2312591756070017</v>
      </c>
      <c r="K773" s="16">
        <v>2010</v>
      </c>
      <c r="L773" s="7">
        <f t="shared" ref="L773:L836" ca="1" si="584">IF(O773&lt;L$1,1,IF(O773&gt;L$2,0,1-(O773-L$1)/(L$2-L$1)))</f>
        <v>1</v>
      </c>
      <c r="M773" s="7">
        <f t="shared" si="556"/>
        <v>6.3E-2</v>
      </c>
      <c r="N773" s="14">
        <v>0.01</v>
      </c>
      <c r="O773" s="1">
        <f ca="1">P773*J773*(1+Growth!G$6)^(2010-K773)</f>
        <v>67.719254658385097</v>
      </c>
      <c r="P773" s="2">
        <f t="shared" si="568"/>
        <v>55</v>
      </c>
      <c r="Q773" s="11">
        <f>15*44/12</f>
        <v>55</v>
      </c>
      <c r="R773" s="21">
        <f t="shared" ca="1" si="551"/>
        <v>4585.8974514872116</v>
      </c>
      <c r="U773" s="11"/>
      <c r="X773" s="11"/>
      <c r="AA773" s="11"/>
      <c r="AB773" s="11"/>
      <c r="AC773" s="1">
        <f t="shared" si="569"/>
        <v>6.3</v>
      </c>
      <c r="AD773" s="5">
        <v>1</v>
      </c>
      <c r="AE773" s="5">
        <v>0</v>
      </c>
      <c r="AF773" s="5">
        <v>1</v>
      </c>
      <c r="AG773" s="5">
        <v>0</v>
      </c>
      <c r="AH773" s="5">
        <v>1</v>
      </c>
      <c r="AI773" s="3">
        <f t="shared" si="549"/>
        <v>3.3</v>
      </c>
      <c r="AJ773" s="5">
        <f t="shared" si="555"/>
        <v>0</v>
      </c>
      <c r="AK773" s="5">
        <f t="shared" ref="AK773:AK836" si="585">IF($AQ773=2,1,0)</f>
        <v>0</v>
      </c>
      <c r="AL773" s="5">
        <f t="shared" ref="AL773:AL836" si="586">IF($AQ773=1.5,1,0)</f>
        <v>0</v>
      </c>
      <c r="AM773" s="5">
        <f t="shared" si="557"/>
        <v>0</v>
      </c>
      <c r="AN773" s="5">
        <f t="shared" ref="AN773:AN836" si="587">IF($AQ773=0.1,1,0)</f>
        <v>0</v>
      </c>
      <c r="AO773" s="5">
        <f t="shared" si="558"/>
        <v>0</v>
      </c>
      <c r="AP773" s="11" t="s">
        <v>42</v>
      </c>
      <c r="AQ773" s="11" t="s">
        <v>42</v>
      </c>
      <c r="AR773" s="5">
        <v>1</v>
      </c>
      <c r="AS773" s="5">
        <v>0</v>
      </c>
      <c r="AT773" s="5">
        <v>1</v>
      </c>
      <c r="AU773" s="5">
        <v>0</v>
      </c>
      <c r="AV773" s="5">
        <v>0</v>
      </c>
      <c r="AW773" s="5">
        <v>0</v>
      </c>
      <c r="AX773" s="5">
        <v>1</v>
      </c>
      <c r="AY773" s="1">
        <f t="shared" si="578"/>
        <v>0</v>
      </c>
      <c r="AZ773" s="1">
        <f t="shared" si="579"/>
        <v>0</v>
      </c>
      <c r="BA773" s="1">
        <f t="shared" si="580"/>
        <v>0</v>
      </c>
      <c r="BB773" s="5">
        <v>1</v>
      </c>
      <c r="BC773" s="5">
        <v>0</v>
      </c>
      <c r="BD773" s="5">
        <v>0</v>
      </c>
      <c r="BE773" s="5">
        <f t="shared" si="581"/>
        <v>0</v>
      </c>
      <c r="BF773" s="5">
        <v>0</v>
      </c>
      <c r="BG773" s="5">
        <f t="shared" ref="BG773:BN788" si="588">IF($E773=BG$2,1,0)</f>
        <v>0</v>
      </c>
      <c r="BH773" s="5">
        <f t="shared" si="588"/>
        <v>0</v>
      </c>
      <c r="BI773" s="5">
        <f t="shared" si="588"/>
        <v>0</v>
      </c>
      <c r="BJ773" s="5">
        <f t="shared" si="588"/>
        <v>0</v>
      </c>
      <c r="BK773" s="5">
        <f t="shared" si="588"/>
        <v>0</v>
      </c>
      <c r="BL773" s="5">
        <f t="shared" si="588"/>
        <v>0</v>
      </c>
      <c r="BM773" s="5">
        <f t="shared" si="588"/>
        <v>0</v>
      </c>
      <c r="BN773" s="5">
        <f t="shared" si="582"/>
        <v>0</v>
      </c>
      <c r="BO773" s="5">
        <f t="shared" si="582"/>
        <v>0</v>
      </c>
      <c r="BP773" s="5">
        <f t="shared" si="582"/>
        <v>0</v>
      </c>
      <c r="BQ773" s="5">
        <f t="shared" si="582"/>
        <v>0</v>
      </c>
      <c r="BR773" s="5">
        <f t="shared" si="582"/>
        <v>0</v>
      </c>
      <c r="BS773" s="5">
        <f t="shared" si="582"/>
        <v>0</v>
      </c>
      <c r="BT773" s="5">
        <f t="shared" si="582"/>
        <v>0</v>
      </c>
      <c r="BU773" s="5">
        <f t="shared" si="582"/>
        <v>0</v>
      </c>
      <c r="BV773" s="5">
        <f t="shared" si="582"/>
        <v>0</v>
      </c>
      <c r="BW773" s="5">
        <f t="shared" si="582"/>
        <v>0</v>
      </c>
      <c r="BX773" s="5">
        <f t="shared" si="582"/>
        <v>0</v>
      </c>
      <c r="BY773" s="5">
        <f t="shared" si="582"/>
        <v>0</v>
      </c>
      <c r="BZ773" s="5">
        <f t="shared" si="582"/>
        <v>0</v>
      </c>
      <c r="CA773" s="5">
        <f t="shared" si="582"/>
        <v>0</v>
      </c>
      <c r="CB773" s="5">
        <f t="shared" si="582"/>
        <v>0</v>
      </c>
      <c r="CC773" s="5">
        <f t="shared" si="583"/>
        <v>1</v>
      </c>
      <c r="CD773" s="5">
        <f t="shared" si="577"/>
        <v>0</v>
      </c>
      <c r="CE773" s="5">
        <f t="shared" si="577"/>
        <v>0</v>
      </c>
    </row>
    <row r="774" spans="1:83" x14ac:dyDescent="0.2">
      <c r="A774" s="11"/>
      <c r="B774" s="11"/>
      <c r="C774" s="1">
        <f>Growth!D779</f>
        <v>0</v>
      </c>
      <c r="D774" s="5" t="b">
        <f t="shared" si="550"/>
        <v>0</v>
      </c>
      <c r="E774" s="5">
        <v>2013</v>
      </c>
      <c r="F774" s="5">
        <f ca="1">LOOKUP($E774,frequence!$A$2:$A$35,frequence!L$2:L$35)</f>
        <v>46.610663652887361</v>
      </c>
      <c r="G774" s="5">
        <f ca="1">LOOKUP($E774,frequence!$A$2:$A$35,frequence!K$2:K$35)</f>
        <v>7.3617115683267258</v>
      </c>
      <c r="H774" s="5">
        <f ca="1">LOOKUP($E774,frequence!$A$2:$A$35,frequence!M$2:M$35)</f>
        <v>214.81113443396845</v>
      </c>
      <c r="I774" s="16">
        <v>2005</v>
      </c>
      <c r="J774" s="7">
        <f>LOOKUP(I774,CPI!A$69:A$103,CPI!O$69:O$103)</f>
        <v>1.1165181771633383</v>
      </c>
      <c r="K774" s="16">
        <v>2010</v>
      </c>
      <c r="L774" s="7">
        <f t="shared" ca="1" si="584"/>
        <v>1</v>
      </c>
      <c r="M774" s="7">
        <f t="shared" si="556"/>
        <v>6.3E-2</v>
      </c>
      <c r="N774" s="14">
        <v>0.01</v>
      </c>
      <c r="O774" s="1">
        <f ca="1">P774*J774*(1+Growth!G$6)^(2010-K774)</f>
        <v>69.596299709848097</v>
      </c>
      <c r="P774" s="2">
        <f t="shared" si="568"/>
        <v>62.333333333333336</v>
      </c>
      <c r="Q774" s="11">
        <f>17*44/12</f>
        <v>62.333333333333336</v>
      </c>
      <c r="R774" s="21">
        <f t="shared" ca="1" si="551"/>
        <v>4843.6449333030023</v>
      </c>
      <c r="U774" s="11"/>
      <c r="X774" s="11"/>
      <c r="AA774" s="11"/>
      <c r="AB774" s="11"/>
      <c r="AC774" s="1">
        <f t="shared" si="569"/>
        <v>6.3</v>
      </c>
      <c r="AD774" s="5">
        <v>1</v>
      </c>
      <c r="AE774" s="5">
        <v>0</v>
      </c>
      <c r="AF774" s="5">
        <v>1</v>
      </c>
      <c r="AG774" s="5">
        <v>0</v>
      </c>
      <c r="AH774" s="5">
        <v>1</v>
      </c>
      <c r="AI774" s="3">
        <f t="shared" si="549"/>
        <v>3.3</v>
      </c>
      <c r="AJ774" s="5">
        <f t="shared" si="555"/>
        <v>0</v>
      </c>
      <c r="AK774" s="5">
        <f t="shared" si="585"/>
        <v>0</v>
      </c>
      <c r="AL774" s="5">
        <f t="shared" si="586"/>
        <v>0</v>
      </c>
      <c r="AM774" s="5">
        <f t="shared" si="557"/>
        <v>0</v>
      </c>
      <c r="AN774" s="5">
        <f t="shared" si="587"/>
        <v>0</v>
      </c>
      <c r="AO774" s="5">
        <f t="shared" si="558"/>
        <v>0</v>
      </c>
      <c r="AP774" s="11" t="s">
        <v>42</v>
      </c>
      <c r="AQ774" s="11" t="s">
        <v>42</v>
      </c>
      <c r="AR774" s="5">
        <v>1</v>
      </c>
      <c r="AS774" s="5">
        <v>0</v>
      </c>
      <c r="AT774" s="5">
        <v>1</v>
      </c>
      <c r="AU774" s="5">
        <v>0</v>
      </c>
      <c r="AV774" s="5">
        <v>0</v>
      </c>
      <c r="AW774" s="5">
        <v>0</v>
      </c>
      <c r="AX774" s="5">
        <v>1</v>
      </c>
      <c r="AY774" s="1">
        <f t="shared" si="578"/>
        <v>0</v>
      </c>
      <c r="AZ774" s="1">
        <f t="shared" si="579"/>
        <v>0</v>
      </c>
      <c r="BA774" s="1">
        <f t="shared" si="580"/>
        <v>0</v>
      </c>
      <c r="BB774" s="5">
        <v>1</v>
      </c>
      <c r="BC774" s="5">
        <v>0</v>
      </c>
      <c r="BD774" s="5">
        <v>0</v>
      </c>
      <c r="BE774" s="5">
        <f t="shared" si="581"/>
        <v>0</v>
      </c>
      <c r="BF774" s="5">
        <v>0</v>
      </c>
      <c r="BG774" s="5">
        <f t="shared" si="588"/>
        <v>0</v>
      </c>
      <c r="BH774" s="5">
        <f t="shared" si="588"/>
        <v>0</v>
      </c>
      <c r="BI774" s="5">
        <f t="shared" si="588"/>
        <v>0</v>
      </c>
      <c r="BJ774" s="5">
        <f t="shared" si="588"/>
        <v>0</v>
      </c>
      <c r="BK774" s="5">
        <f t="shared" si="588"/>
        <v>0</v>
      </c>
      <c r="BL774" s="5">
        <f t="shared" si="588"/>
        <v>0</v>
      </c>
      <c r="BM774" s="5">
        <f t="shared" si="588"/>
        <v>0</v>
      </c>
      <c r="BN774" s="5">
        <f t="shared" si="582"/>
        <v>0</v>
      </c>
      <c r="BO774" s="5">
        <f t="shared" si="582"/>
        <v>0</v>
      </c>
      <c r="BP774" s="5">
        <f t="shared" si="582"/>
        <v>0</v>
      </c>
      <c r="BQ774" s="5">
        <f t="shared" si="582"/>
        <v>0</v>
      </c>
      <c r="BR774" s="5">
        <f t="shared" si="582"/>
        <v>0</v>
      </c>
      <c r="BS774" s="5">
        <f t="shared" si="582"/>
        <v>0</v>
      </c>
      <c r="BT774" s="5">
        <f t="shared" si="582"/>
        <v>0</v>
      </c>
      <c r="BU774" s="5">
        <f t="shared" si="582"/>
        <v>0</v>
      </c>
      <c r="BV774" s="5">
        <f t="shared" si="582"/>
        <v>0</v>
      </c>
      <c r="BW774" s="5">
        <f t="shared" si="582"/>
        <v>0</v>
      </c>
      <c r="BX774" s="5">
        <f t="shared" si="582"/>
        <v>0</v>
      </c>
      <c r="BY774" s="5">
        <f t="shared" si="582"/>
        <v>0</v>
      </c>
      <c r="BZ774" s="5">
        <f t="shared" si="582"/>
        <v>0</v>
      </c>
      <c r="CA774" s="5">
        <f t="shared" si="582"/>
        <v>0</v>
      </c>
      <c r="CB774" s="5">
        <f t="shared" si="582"/>
        <v>0</v>
      </c>
      <c r="CC774" s="5">
        <f t="shared" si="583"/>
        <v>1</v>
      </c>
      <c r="CD774" s="5">
        <f t="shared" si="577"/>
        <v>0</v>
      </c>
      <c r="CE774" s="5">
        <f t="shared" si="577"/>
        <v>0</v>
      </c>
    </row>
    <row r="775" spans="1:83" x14ac:dyDescent="0.2">
      <c r="A775" s="11"/>
      <c r="B775" s="11"/>
      <c r="C775" s="1">
        <f>Growth!D780</f>
        <v>0</v>
      </c>
      <c r="D775" s="5" t="b">
        <f t="shared" si="550"/>
        <v>0</v>
      </c>
      <c r="E775" s="5">
        <v>2013</v>
      </c>
      <c r="F775" s="5">
        <f ca="1">LOOKUP($E775,frequence!$A$2:$A$35,frequence!L$2:L$35)</f>
        <v>46.610663652887361</v>
      </c>
      <c r="G775" s="5">
        <f ca="1">LOOKUP($E775,frequence!$A$2:$A$35,frequence!K$2:K$35)</f>
        <v>7.3617115683267258</v>
      </c>
      <c r="H775" s="5">
        <f ca="1">LOOKUP($E775,frequence!$A$2:$A$35,frequence!M$2:M$35)</f>
        <v>214.81113443396845</v>
      </c>
      <c r="I775" s="16">
        <v>2005</v>
      </c>
      <c r="J775" s="7">
        <f>LOOKUP(I775,CPI!A$69:A$103,CPI!O$69:O$103)</f>
        <v>1.1165181771633383</v>
      </c>
      <c r="K775" s="16">
        <v>2010</v>
      </c>
      <c r="L775" s="7">
        <f t="shared" ca="1" si="584"/>
        <v>1</v>
      </c>
      <c r="M775" s="7">
        <f t="shared" si="556"/>
        <v>6.3E-2</v>
      </c>
      <c r="N775" s="14">
        <v>0.01</v>
      </c>
      <c r="O775" s="1">
        <f ca="1">P775*J775*(1+Growth!G$6)^(2010-K775)</f>
        <v>298.85469875405357</v>
      </c>
      <c r="P775" s="2">
        <f t="shared" si="568"/>
        <v>267.66666666666669</v>
      </c>
      <c r="Q775" s="11">
        <f>73*44/12</f>
        <v>267.66666666666669</v>
      </c>
      <c r="R775" s="21">
        <f t="shared" ca="1" si="551"/>
        <v>89314.130967376113</v>
      </c>
      <c r="U775" s="11"/>
      <c r="X775" s="11"/>
      <c r="AA775" s="11"/>
      <c r="AB775" s="11"/>
      <c r="AC775" s="1">
        <f t="shared" si="569"/>
        <v>6.3</v>
      </c>
      <c r="AD775" s="5">
        <v>1</v>
      </c>
      <c r="AE775" s="5">
        <v>0</v>
      </c>
      <c r="AF775" s="5">
        <v>1</v>
      </c>
      <c r="AG775" s="5">
        <v>0</v>
      </c>
      <c r="AH775" s="5">
        <v>1</v>
      </c>
      <c r="AI775" s="3">
        <f t="shared" si="549"/>
        <v>3.3</v>
      </c>
      <c r="AJ775" s="5">
        <f t="shared" si="555"/>
        <v>0</v>
      </c>
      <c r="AK775" s="5">
        <f t="shared" si="585"/>
        <v>0</v>
      </c>
      <c r="AL775" s="5">
        <f t="shared" si="586"/>
        <v>0</v>
      </c>
      <c r="AM775" s="5">
        <f t="shared" si="557"/>
        <v>0</v>
      </c>
      <c r="AN775" s="5">
        <f t="shared" si="587"/>
        <v>0</v>
      </c>
      <c r="AO775" s="5">
        <f t="shared" si="558"/>
        <v>0</v>
      </c>
      <c r="AP775" s="11" t="s">
        <v>42</v>
      </c>
      <c r="AQ775" s="11" t="s">
        <v>42</v>
      </c>
      <c r="AR775" s="5">
        <v>1</v>
      </c>
      <c r="AS775" s="5">
        <v>0</v>
      </c>
      <c r="AT775" s="5">
        <v>1</v>
      </c>
      <c r="AU775" s="5">
        <v>0</v>
      </c>
      <c r="AV775" s="5">
        <v>0</v>
      </c>
      <c r="AW775" s="5">
        <v>0</v>
      </c>
      <c r="AX775" s="5">
        <v>1</v>
      </c>
      <c r="AY775" s="1">
        <f t="shared" si="578"/>
        <v>0</v>
      </c>
      <c r="AZ775" s="1">
        <f t="shared" si="579"/>
        <v>0</v>
      </c>
      <c r="BA775" s="1">
        <f t="shared" si="580"/>
        <v>0</v>
      </c>
      <c r="BB775" s="5">
        <v>1</v>
      </c>
      <c r="BC775" s="5">
        <v>0</v>
      </c>
      <c r="BD775" s="5">
        <v>0</v>
      </c>
      <c r="BE775" s="5">
        <f t="shared" si="581"/>
        <v>0</v>
      </c>
      <c r="BF775" s="5">
        <v>0</v>
      </c>
      <c r="BG775" s="5">
        <f t="shared" si="588"/>
        <v>0</v>
      </c>
      <c r="BH775" s="5">
        <f t="shared" si="588"/>
        <v>0</v>
      </c>
      <c r="BI775" s="5">
        <f t="shared" si="588"/>
        <v>0</v>
      </c>
      <c r="BJ775" s="5">
        <f t="shared" si="588"/>
        <v>0</v>
      </c>
      <c r="BK775" s="5">
        <f t="shared" si="588"/>
        <v>0</v>
      </c>
      <c r="BL775" s="5">
        <f t="shared" si="588"/>
        <v>0</v>
      </c>
      <c r="BM775" s="5">
        <f t="shared" si="588"/>
        <v>0</v>
      </c>
      <c r="BN775" s="5">
        <f t="shared" si="582"/>
        <v>0</v>
      </c>
      <c r="BO775" s="5">
        <f t="shared" si="582"/>
        <v>0</v>
      </c>
      <c r="BP775" s="5">
        <f t="shared" si="582"/>
        <v>0</v>
      </c>
      <c r="BQ775" s="5">
        <f t="shared" si="582"/>
        <v>0</v>
      </c>
      <c r="BR775" s="5">
        <f t="shared" si="582"/>
        <v>0</v>
      </c>
      <c r="BS775" s="5">
        <f t="shared" si="582"/>
        <v>0</v>
      </c>
      <c r="BT775" s="5">
        <f t="shared" si="582"/>
        <v>0</v>
      </c>
      <c r="BU775" s="5">
        <f t="shared" si="582"/>
        <v>0</v>
      </c>
      <c r="BV775" s="5">
        <f t="shared" si="582"/>
        <v>0</v>
      </c>
      <c r="BW775" s="5">
        <f t="shared" si="582"/>
        <v>0</v>
      </c>
      <c r="BX775" s="5">
        <f t="shared" si="582"/>
        <v>0</v>
      </c>
      <c r="BY775" s="5">
        <f t="shared" si="582"/>
        <v>0</v>
      </c>
      <c r="BZ775" s="5">
        <f t="shared" si="582"/>
        <v>0</v>
      </c>
      <c r="CA775" s="5">
        <f t="shared" si="582"/>
        <v>0</v>
      </c>
      <c r="CB775" s="5">
        <f t="shared" si="582"/>
        <v>0</v>
      </c>
      <c r="CC775" s="5">
        <f t="shared" si="583"/>
        <v>1</v>
      </c>
      <c r="CD775" s="5">
        <f t="shared" si="577"/>
        <v>0</v>
      </c>
      <c r="CE775" s="5">
        <f t="shared" si="577"/>
        <v>0</v>
      </c>
    </row>
    <row r="776" spans="1:83" x14ac:dyDescent="0.2">
      <c r="A776" s="11"/>
      <c r="B776" s="11"/>
      <c r="C776" s="1">
        <f>Growth!D781</f>
        <v>0</v>
      </c>
      <c r="D776" s="5" t="b">
        <f t="shared" si="550"/>
        <v>0</v>
      </c>
      <c r="E776" s="5">
        <v>2013</v>
      </c>
      <c r="F776" s="5">
        <f ca="1">LOOKUP($E776,frequence!$A$2:$A$35,frequence!L$2:L$35)</f>
        <v>46.610663652887361</v>
      </c>
      <c r="G776" s="5">
        <f ca="1">LOOKUP($E776,frequence!$A$2:$A$35,frequence!K$2:K$35)</f>
        <v>7.3617115683267258</v>
      </c>
      <c r="H776" s="5">
        <f ca="1">LOOKUP($E776,frequence!$A$2:$A$35,frequence!M$2:M$35)</f>
        <v>214.81113443396845</v>
      </c>
      <c r="I776" s="16">
        <v>2005</v>
      </c>
      <c r="J776" s="7">
        <f>LOOKUP(I776,CPI!A$69:A$103,CPI!O$69:O$103)</f>
        <v>1.1165181771633383</v>
      </c>
      <c r="K776" s="16">
        <v>2010</v>
      </c>
      <c r="L776" s="7">
        <f t="shared" ca="1" si="584"/>
        <v>1</v>
      </c>
      <c r="M776" s="7">
        <f t="shared" si="556"/>
        <v>6.3E-2</v>
      </c>
      <c r="N776" s="14">
        <v>0.01</v>
      </c>
      <c r="O776" s="1">
        <f ca="1">P776*J776*(1+Growth!G$6)^(2010-K776)</f>
        <v>229.25839904420548</v>
      </c>
      <c r="P776" s="2">
        <f t="shared" si="568"/>
        <v>205.33333333333334</v>
      </c>
      <c r="Q776" s="11">
        <f>56*44/12</f>
        <v>205.33333333333334</v>
      </c>
      <c r="R776" s="21">
        <f t="shared" ca="1" si="551"/>
        <v>52559.413532312152</v>
      </c>
      <c r="U776" s="11"/>
      <c r="X776" s="11"/>
      <c r="AA776" s="11"/>
      <c r="AB776" s="11"/>
      <c r="AC776" s="1">
        <f t="shared" si="569"/>
        <v>6.3</v>
      </c>
      <c r="AD776" s="5">
        <v>1</v>
      </c>
      <c r="AE776" s="5">
        <v>0</v>
      </c>
      <c r="AF776" s="5">
        <v>1</v>
      </c>
      <c r="AG776" s="5">
        <v>0</v>
      </c>
      <c r="AH776" s="5">
        <v>1</v>
      </c>
      <c r="AI776" s="3">
        <f t="shared" si="549"/>
        <v>3.3</v>
      </c>
      <c r="AJ776" s="5">
        <f t="shared" si="555"/>
        <v>0</v>
      </c>
      <c r="AK776" s="5">
        <f t="shared" si="585"/>
        <v>0</v>
      </c>
      <c r="AL776" s="5">
        <f t="shared" si="586"/>
        <v>0</v>
      </c>
      <c r="AM776" s="5">
        <f t="shared" si="557"/>
        <v>0</v>
      </c>
      <c r="AN776" s="5">
        <f t="shared" si="587"/>
        <v>0</v>
      </c>
      <c r="AO776" s="5">
        <f t="shared" si="558"/>
        <v>0</v>
      </c>
      <c r="AP776" s="11" t="s">
        <v>42</v>
      </c>
      <c r="AQ776" s="11" t="s">
        <v>42</v>
      </c>
      <c r="AR776" s="5">
        <v>1</v>
      </c>
      <c r="AS776" s="5">
        <v>0</v>
      </c>
      <c r="AT776" s="5">
        <v>1</v>
      </c>
      <c r="AU776" s="5">
        <v>0</v>
      </c>
      <c r="AV776" s="5">
        <v>0</v>
      </c>
      <c r="AW776" s="5">
        <v>0</v>
      </c>
      <c r="AX776" s="5">
        <v>1</v>
      </c>
      <c r="AY776" s="1">
        <f t="shared" si="578"/>
        <v>0</v>
      </c>
      <c r="AZ776" s="1">
        <f t="shared" si="579"/>
        <v>0</v>
      </c>
      <c r="BA776" s="1">
        <f t="shared" si="580"/>
        <v>0</v>
      </c>
      <c r="BB776" s="5">
        <v>1</v>
      </c>
      <c r="BC776" s="5">
        <v>0</v>
      </c>
      <c r="BD776" s="5">
        <v>0</v>
      </c>
      <c r="BE776" s="5">
        <f t="shared" si="581"/>
        <v>0</v>
      </c>
      <c r="BF776" s="5">
        <v>0</v>
      </c>
      <c r="BG776" s="5">
        <f t="shared" si="588"/>
        <v>0</v>
      </c>
      <c r="BH776" s="5">
        <f t="shared" si="588"/>
        <v>0</v>
      </c>
      <c r="BI776" s="5">
        <f t="shared" si="588"/>
        <v>0</v>
      </c>
      <c r="BJ776" s="5">
        <f t="shared" si="588"/>
        <v>0</v>
      </c>
      <c r="BK776" s="5">
        <f t="shared" si="588"/>
        <v>0</v>
      </c>
      <c r="BL776" s="5">
        <f t="shared" si="588"/>
        <v>0</v>
      </c>
      <c r="BM776" s="5">
        <f t="shared" si="588"/>
        <v>0</v>
      </c>
      <c r="BN776" s="5">
        <f t="shared" si="582"/>
        <v>0</v>
      </c>
      <c r="BO776" s="5">
        <f t="shared" si="582"/>
        <v>0</v>
      </c>
      <c r="BP776" s="5">
        <f t="shared" si="582"/>
        <v>0</v>
      </c>
      <c r="BQ776" s="5">
        <f t="shared" si="582"/>
        <v>0</v>
      </c>
      <c r="BR776" s="5">
        <f t="shared" si="582"/>
        <v>0</v>
      </c>
      <c r="BS776" s="5">
        <f t="shared" si="582"/>
        <v>0</v>
      </c>
      <c r="BT776" s="5">
        <f t="shared" si="582"/>
        <v>0</v>
      </c>
      <c r="BU776" s="5">
        <f t="shared" si="582"/>
        <v>0</v>
      </c>
      <c r="BV776" s="5">
        <f t="shared" si="582"/>
        <v>0</v>
      </c>
      <c r="BW776" s="5">
        <f t="shared" si="582"/>
        <v>0</v>
      </c>
      <c r="BX776" s="5">
        <f t="shared" si="582"/>
        <v>0</v>
      </c>
      <c r="BY776" s="5">
        <f t="shared" si="582"/>
        <v>0</v>
      </c>
      <c r="BZ776" s="5">
        <f t="shared" si="582"/>
        <v>0</v>
      </c>
      <c r="CA776" s="5">
        <f t="shared" si="582"/>
        <v>0</v>
      </c>
      <c r="CB776" s="5">
        <f t="shared" si="582"/>
        <v>0</v>
      </c>
      <c r="CC776" s="5">
        <f t="shared" si="583"/>
        <v>1</v>
      </c>
      <c r="CD776" s="5">
        <f t="shared" si="577"/>
        <v>0</v>
      </c>
      <c r="CE776" s="5">
        <f t="shared" si="577"/>
        <v>0</v>
      </c>
    </row>
    <row r="777" spans="1:83" x14ac:dyDescent="0.2">
      <c r="A777" s="11"/>
      <c r="B777" s="11"/>
      <c r="C777" s="1">
        <f>Growth!D782</f>
        <v>0</v>
      </c>
      <c r="D777" s="5" t="b">
        <f t="shared" si="550"/>
        <v>0</v>
      </c>
      <c r="E777" s="5">
        <v>2013</v>
      </c>
      <c r="F777" s="5">
        <f ca="1">LOOKUP($E777,frequence!$A$2:$A$35,frequence!L$2:L$35)</f>
        <v>46.610663652887361</v>
      </c>
      <c r="G777" s="5">
        <f ca="1">LOOKUP($E777,frequence!$A$2:$A$35,frequence!K$2:K$35)</f>
        <v>7.3617115683267258</v>
      </c>
      <c r="H777" s="5">
        <f ca="1">LOOKUP($E777,frequence!$A$2:$A$35,frequence!M$2:M$35)</f>
        <v>214.81113443396845</v>
      </c>
      <c r="I777" s="16">
        <v>2005</v>
      </c>
      <c r="J777" s="7">
        <f>LOOKUP(I777,CPI!A$69:A$103,CPI!O$69:O$103)</f>
        <v>1.1165181771633383</v>
      </c>
      <c r="K777" s="16">
        <v>2010</v>
      </c>
      <c r="L777" s="7">
        <f t="shared" ca="1" si="584"/>
        <v>1</v>
      </c>
      <c r="M777" s="7">
        <f t="shared" si="556"/>
        <v>6.3E-2</v>
      </c>
      <c r="N777" s="14">
        <v>0.01</v>
      </c>
      <c r="O777" s="1">
        <f ca="1">P777*J777*(1+Growth!G$6)^(2010-K777)</f>
        <v>290.66689878818909</v>
      </c>
      <c r="P777" s="2">
        <f t="shared" si="568"/>
        <v>260.33333333333331</v>
      </c>
      <c r="Q777" s="11">
        <f>71*44/12</f>
        <v>260.33333333333331</v>
      </c>
      <c r="R777" s="21">
        <f t="shared" ca="1" si="551"/>
        <v>84487.24605114336</v>
      </c>
      <c r="U777" s="11"/>
      <c r="X777" s="11"/>
      <c r="AA777" s="11"/>
      <c r="AB777" s="11"/>
      <c r="AC777" s="1">
        <f t="shared" si="569"/>
        <v>6.3</v>
      </c>
      <c r="AD777" s="5">
        <v>1</v>
      </c>
      <c r="AE777" s="5">
        <v>0</v>
      </c>
      <c r="AF777" s="5">
        <v>1</v>
      </c>
      <c r="AG777" s="5">
        <v>0</v>
      </c>
      <c r="AH777" s="5">
        <v>1</v>
      </c>
      <c r="AI777" s="3">
        <f t="shared" ref="AI777:AI840" si="589">(E777-1980)/10</f>
        <v>3.3</v>
      </c>
      <c r="AJ777" s="5">
        <f t="shared" si="555"/>
        <v>0</v>
      </c>
      <c r="AK777" s="5">
        <f t="shared" si="585"/>
        <v>0</v>
      </c>
      <c r="AL777" s="5">
        <f t="shared" si="586"/>
        <v>0</v>
      </c>
      <c r="AM777" s="5">
        <f t="shared" si="557"/>
        <v>0</v>
      </c>
      <c r="AN777" s="5">
        <f t="shared" si="587"/>
        <v>0</v>
      </c>
      <c r="AO777" s="5">
        <f t="shared" si="558"/>
        <v>0</v>
      </c>
      <c r="AP777" s="11" t="s">
        <v>42</v>
      </c>
      <c r="AQ777" s="11" t="s">
        <v>42</v>
      </c>
      <c r="AR777" s="5">
        <v>1</v>
      </c>
      <c r="AS777" s="5">
        <v>0</v>
      </c>
      <c r="AT777" s="5">
        <v>1</v>
      </c>
      <c r="AU777" s="5">
        <v>0</v>
      </c>
      <c r="AV777" s="5">
        <v>0</v>
      </c>
      <c r="AW777" s="5">
        <v>0</v>
      </c>
      <c r="AX777" s="5">
        <v>1</v>
      </c>
      <c r="AY777" s="1">
        <f t="shared" si="578"/>
        <v>0</v>
      </c>
      <c r="AZ777" s="1">
        <f t="shared" si="579"/>
        <v>0</v>
      </c>
      <c r="BA777" s="1">
        <f t="shared" si="580"/>
        <v>0</v>
      </c>
      <c r="BB777" s="5">
        <v>1</v>
      </c>
      <c r="BC777" s="5">
        <v>0</v>
      </c>
      <c r="BD777" s="5">
        <v>0</v>
      </c>
      <c r="BE777" s="5">
        <f t="shared" si="581"/>
        <v>0</v>
      </c>
      <c r="BF777" s="5">
        <v>0</v>
      </c>
      <c r="BG777" s="5">
        <f t="shared" si="588"/>
        <v>0</v>
      </c>
      <c r="BH777" s="5">
        <f t="shared" si="588"/>
        <v>0</v>
      </c>
      <c r="BI777" s="5">
        <f t="shared" si="588"/>
        <v>0</v>
      </c>
      <c r="BJ777" s="5">
        <f t="shared" si="588"/>
        <v>0</v>
      </c>
      <c r="BK777" s="5">
        <f t="shared" si="588"/>
        <v>0</v>
      </c>
      <c r="BL777" s="5">
        <f t="shared" si="588"/>
        <v>0</v>
      </c>
      <c r="BM777" s="5">
        <f t="shared" si="588"/>
        <v>0</v>
      </c>
      <c r="BN777" s="5">
        <f t="shared" si="582"/>
        <v>0</v>
      </c>
      <c r="BO777" s="5">
        <f t="shared" si="582"/>
        <v>0</v>
      </c>
      <c r="BP777" s="5">
        <f t="shared" si="582"/>
        <v>0</v>
      </c>
      <c r="BQ777" s="5">
        <f t="shared" si="582"/>
        <v>0</v>
      </c>
      <c r="BR777" s="5">
        <f t="shared" si="582"/>
        <v>0</v>
      </c>
      <c r="BS777" s="5">
        <f t="shared" si="582"/>
        <v>0</v>
      </c>
      <c r="BT777" s="5">
        <f t="shared" si="582"/>
        <v>0</v>
      </c>
      <c r="BU777" s="5">
        <f t="shared" si="582"/>
        <v>0</v>
      </c>
      <c r="BV777" s="5">
        <f t="shared" si="582"/>
        <v>0</v>
      </c>
      <c r="BW777" s="5">
        <f t="shared" si="582"/>
        <v>0</v>
      </c>
      <c r="BX777" s="5">
        <f t="shared" si="582"/>
        <v>0</v>
      </c>
      <c r="BY777" s="5">
        <f t="shared" si="582"/>
        <v>0</v>
      </c>
      <c r="BZ777" s="5">
        <f t="shared" si="582"/>
        <v>0</v>
      </c>
      <c r="CA777" s="5">
        <f t="shared" si="582"/>
        <v>0</v>
      </c>
      <c r="CB777" s="5">
        <f t="shared" si="582"/>
        <v>0</v>
      </c>
      <c r="CC777" s="5">
        <f t="shared" si="583"/>
        <v>1</v>
      </c>
      <c r="CD777" s="5">
        <f t="shared" si="577"/>
        <v>0</v>
      </c>
      <c r="CE777" s="5">
        <f t="shared" si="577"/>
        <v>0</v>
      </c>
    </row>
    <row r="778" spans="1:83" x14ac:dyDescent="0.2">
      <c r="A778" s="11"/>
      <c r="B778" s="11"/>
      <c r="C778" s="1">
        <f>Growth!D783</f>
        <v>0</v>
      </c>
      <c r="D778" s="5" t="b">
        <f t="shared" ref="D778:D841" si="590">IF(B778&gt;0,E778)</f>
        <v>0</v>
      </c>
      <c r="E778" s="5">
        <v>2013</v>
      </c>
      <c r="F778" s="5">
        <f ca="1">LOOKUP($E778,frequence!$A$2:$A$35,frequence!L$2:L$35)</f>
        <v>46.610663652887361</v>
      </c>
      <c r="G778" s="5">
        <f ca="1">LOOKUP($E778,frequence!$A$2:$A$35,frequence!K$2:K$35)</f>
        <v>7.3617115683267258</v>
      </c>
      <c r="H778" s="5">
        <f ca="1">LOOKUP($E778,frequence!$A$2:$A$35,frequence!M$2:M$35)</f>
        <v>214.81113443396845</v>
      </c>
      <c r="I778" s="16">
        <v>2005</v>
      </c>
      <c r="J778" s="7">
        <f>LOOKUP(I778,CPI!A$69:A$103,CPI!O$69:O$103)</f>
        <v>1.1165181771633383</v>
      </c>
      <c r="K778" s="16">
        <v>2010</v>
      </c>
      <c r="L778" s="7">
        <f t="shared" ca="1" si="584"/>
        <v>1</v>
      </c>
      <c r="M778" s="7">
        <f t="shared" si="556"/>
        <v>5.7960000000000003</v>
      </c>
      <c r="N778" s="14">
        <v>0.92</v>
      </c>
      <c r="O778" s="1">
        <f ca="1">P778*J778*(1+Growth!G$6)^(2010-K778)</f>
        <v>433.95339819081755</v>
      </c>
      <c r="P778" s="2">
        <f t="shared" si="568"/>
        <v>388.66666666666669</v>
      </c>
      <c r="Q778" s="11">
        <f>106*44/12</f>
        <v>388.66666666666669</v>
      </c>
      <c r="R778" s="21">
        <f t="shared" ca="1" si="551"/>
        <v>188315.55180135826</v>
      </c>
      <c r="U778" s="11"/>
      <c r="X778" s="11"/>
      <c r="AA778" s="11"/>
      <c r="AB778" s="11"/>
      <c r="AC778" s="1">
        <f t="shared" si="569"/>
        <v>6.3</v>
      </c>
      <c r="AD778" s="5">
        <v>1</v>
      </c>
      <c r="AE778" s="5">
        <v>0</v>
      </c>
      <c r="AF778" s="5">
        <v>1</v>
      </c>
      <c r="AG778" s="5">
        <v>0</v>
      </c>
      <c r="AH778" s="5">
        <v>1</v>
      </c>
      <c r="AI778" s="3">
        <f t="shared" si="589"/>
        <v>3.3</v>
      </c>
      <c r="AJ778" s="5">
        <f t="shared" si="555"/>
        <v>0</v>
      </c>
      <c r="AK778" s="5">
        <f t="shared" si="585"/>
        <v>0</v>
      </c>
      <c r="AL778" s="5">
        <f t="shared" si="586"/>
        <v>0</v>
      </c>
      <c r="AM778" s="5">
        <f t="shared" si="557"/>
        <v>0</v>
      </c>
      <c r="AN778" s="5">
        <f t="shared" si="587"/>
        <v>0</v>
      </c>
      <c r="AO778" s="5">
        <f t="shared" si="558"/>
        <v>0</v>
      </c>
      <c r="AP778" s="11" t="s">
        <v>42</v>
      </c>
      <c r="AQ778" s="11" t="s">
        <v>42</v>
      </c>
      <c r="AR778" s="5">
        <v>1</v>
      </c>
      <c r="AS778" s="5">
        <v>0</v>
      </c>
      <c r="AT778" s="5">
        <v>1</v>
      </c>
      <c r="AU778" s="5">
        <v>0</v>
      </c>
      <c r="AV778" s="5">
        <v>0</v>
      </c>
      <c r="AW778" s="5">
        <v>0</v>
      </c>
      <c r="AX778" s="5">
        <v>1</v>
      </c>
      <c r="AY778" s="1">
        <f t="shared" si="578"/>
        <v>0</v>
      </c>
      <c r="AZ778" s="1">
        <f t="shared" si="579"/>
        <v>0</v>
      </c>
      <c r="BA778" s="1">
        <f t="shared" si="580"/>
        <v>0</v>
      </c>
      <c r="BB778" s="5">
        <v>1</v>
      </c>
      <c r="BC778" s="5">
        <v>0</v>
      </c>
      <c r="BD778" s="5">
        <v>0</v>
      </c>
      <c r="BE778" s="5">
        <f t="shared" si="581"/>
        <v>0</v>
      </c>
      <c r="BF778" s="5">
        <v>0</v>
      </c>
      <c r="BG778" s="5">
        <f t="shared" si="588"/>
        <v>0</v>
      </c>
      <c r="BH778" s="5">
        <f t="shared" si="588"/>
        <v>0</v>
      </c>
      <c r="BI778" s="5">
        <f t="shared" si="588"/>
        <v>0</v>
      </c>
      <c r="BJ778" s="5">
        <f t="shared" si="588"/>
        <v>0</v>
      </c>
      <c r="BK778" s="5">
        <f t="shared" si="588"/>
        <v>0</v>
      </c>
      <c r="BL778" s="5">
        <f t="shared" si="588"/>
        <v>0</v>
      </c>
      <c r="BM778" s="5">
        <f t="shared" si="588"/>
        <v>0</v>
      </c>
      <c r="BN778" s="5">
        <f t="shared" si="582"/>
        <v>0</v>
      </c>
      <c r="BO778" s="5">
        <f t="shared" si="582"/>
        <v>0</v>
      </c>
      <c r="BP778" s="5">
        <f t="shared" si="582"/>
        <v>0</v>
      </c>
      <c r="BQ778" s="5">
        <f t="shared" si="582"/>
        <v>0</v>
      </c>
      <c r="BR778" s="5">
        <f t="shared" si="582"/>
        <v>0</v>
      </c>
      <c r="BS778" s="5">
        <f t="shared" si="582"/>
        <v>0</v>
      </c>
      <c r="BT778" s="5">
        <f t="shared" si="582"/>
        <v>0</v>
      </c>
      <c r="BU778" s="5">
        <f t="shared" si="582"/>
        <v>0</v>
      </c>
      <c r="BV778" s="5">
        <f t="shared" si="582"/>
        <v>0</v>
      </c>
      <c r="BW778" s="5">
        <f t="shared" si="582"/>
        <v>0</v>
      </c>
      <c r="BX778" s="5">
        <f t="shared" si="582"/>
        <v>0</v>
      </c>
      <c r="BY778" s="5">
        <f t="shared" si="582"/>
        <v>0</v>
      </c>
      <c r="BZ778" s="5">
        <f t="shared" si="582"/>
        <v>0</v>
      </c>
      <c r="CA778" s="5">
        <f t="shared" si="582"/>
        <v>0</v>
      </c>
      <c r="CB778" s="5">
        <f t="shared" si="582"/>
        <v>0</v>
      </c>
      <c r="CC778" s="5">
        <f t="shared" si="583"/>
        <v>1</v>
      </c>
      <c r="CD778" s="5">
        <f t="shared" si="577"/>
        <v>0</v>
      </c>
      <c r="CE778" s="5">
        <f t="shared" si="577"/>
        <v>0</v>
      </c>
    </row>
    <row r="779" spans="1:83" x14ac:dyDescent="0.2">
      <c r="A779" s="11" t="s">
        <v>191</v>
      </c>
      <c r="B779" s="11" t="s">
        <v>192</v>
      </c>
      <c r="C779" s="1">
        <f>Growth!D784</f>
        <v>0</v>
      </c>
      <c r="D779" s="5">
        <f t="shared" si="590"/>
        <v>2013</v>
      </c>
      <c r="E779" s="5">
        <v>2013</v>
      </c>
      <c r="F779" s="5">
        <f ca="1">LOOKUP($E779,frequence!$A$2:$A$35,frequence!L$2:L$35)</f>
        <v>46.610663652887361</v>
      </c>
      <c r="G779" s="5">
        <f ca="1">LOOKUP($E779,frequence!$A$2:$A$35,frequence!K$2:K$35)</f>
        <v>7.3617115683267258</v>
      </c>
      <c r="H779" s="5">
        <f ca="1">LOOKUP($E779,frequence!$A$2:$A$35,frequence!M$2:M$35)</f>
        <v>214.81113443396845</v>
      </c>
      <c r="I779" s="16">
        <v>1995</v>
      </c>
      <c r="J779" s="7">
        <f>LOOKUP(I779,CPI!A$69:A$103,CPI!O$69:O$103)</f>
        <v>1.4308136482939633</v>
      </c>
      <c r="K779" s="16">
        <v>2015</v>
      </c>
      <c r="L779" s="7">
        <f t="shared" ca="1" si="584"/>
        <v>1</v>
      </c>
      <c r="M779" s="7">
        <f t="shared" si="556"/>
        <v>0.66363636363636369</v>
      </c>
      <c r="N779" s="14">
        <f>1/11</f>
        <v>9.0909090909090912E-2</v>
      </c>
      <c r="O779" s="1">
        <f ca="1">P779*J779*(1+Growth!G$6)^(2010-K779)</f>
        <v>496.48724688996595</v>
      </c>
      <c r="P779" s="2">
        <f t="shared" si="568"/>
        <v>374.04</v>
      </c>
      <c r="Q779" s="11">
        <v>374.04</v>
      </c>
      <c r="R779" s="21">
        <f t="shared" ca="1" si="551"/>
        <v>246499.586324378</v>
      </c>
      <c r="U779" s="11"/>
      <c r="X779" s="11"/>
      <c r="AA779" s="11"/>
      <c r="AB779" s="11"/>
      <c r="AC779" s="1">
        <f t="shared" si="569"/>
        <v>7.3</v>
      </c>
      <c r="AD779" s="5">
        <v>1</v>
      </c>
      <c r="AE779" s="5">
        <v>0</v>
      </c>
      <c r="AF779" s="5">
        <v>1</v>
      </c>
      <c r="AG779" s="5">
        <v>1</v>
      </c>
      <c r="AH779" s="5">
        <v>1</v>
      </c>
      <c r="AI779" s="3">
        <f t="shared" si="589"/>
        <v>3.3</v>
      </c>
      <c r="AJ779" s="5">
        <f t="shared" si="555"/>
        <v>0</v>
      </c>
      <c r="AK779" s="5">
        <f t="shared" si="585"/>
        <v>0</v>
      </c>
      <c r="AL779" s="5">
        <f t="shared" si="586"/>
        <v>0</v>
      </c>
      <c r="AM779" s="5">
        <f t="shared" si="557"/>
        <v>0</v>
      </c>
      <c r="AN779" s="5">
        <f t="shared" si="587"/>
        <v>1</v>
      </c>
      <c r="AO779" s="5">
        <f t="shared" si="558"/>
        <v>0</v>
      </c>
      <c r="AP779" s="11" t="s">
        <v>42</v>
      </c>
      <c r="AQ779" s="11">
        <v>0.1</v>
      </c>
      <c r="AR779" s="5">
        <v>0</v>
      </c>
      <c r="AS779" s="5">
        <v>0</v>
      </c>
      <c r="AT779" s="5">
        <v>1</v>
      </c>
      <c r="AU779" s="5">
        <v>0</v>
      </c>
      <c r="AV779" s="5">
        <v>0</v>
      </c>
      <c r="AW779" s="5">
        <v>0</v>
      </c>
      <c r="AX779" s="5">
        <v>1</v>
      </c>
      <c r="AY779" s="1">
        <f t="shared" ref="AY779:AY789" si="591">AJ779*$AD779*(1-$AV779)*(1-$AR779)</f>
        <v>0</v>
      </c>
      <c r="AZ779" s="1">
        <f t="shared" ref="AZ779:AZ789" si="592">AM779*$AD779*(1-$AV779)*(1-$AR779)</f>
        <v>0</v>
      </c>
      <c r="BA779" s="1">
        <f t="shared" ref="BA779:BA789" si="593">AO779*$AD779*(1-$AV779)*(1-$AR779)</f>
        <v>0</v>
      </c>
      <c r="BB779" s="5">
        <v>0</v>
      </c>
      <c r="BC779" s="5">
        <v>0</v>
      </c>
      <c r="BD779" s="5">
        <v>1</v>
      </c>
      <c r="BE779" s="5">
        <f t="shared" ref="BE779" si="594">1-SUM(BB779:BD779)</f>
        <v>0</v>
      </c>
      <c r="BF779" s="5">
        <v>0</v>
      </c>
      <c r="BG779" s="5">
        <f t="shared" si="588"/>
        <v>0</v>
      </c>
      <c r="BH779" s="5">
        <f t="shared" si="588"/>
        <v>0</v>
      </c>
      <c r="BI779" s="5">
        <f t="shared" si="588"/>
        <v>0</v>
      </c>
      <c r="BJ779" s="5">
        <f t="shared" si="588"/>
        <v>0</v>
      </c>
      <c r="BK779" s="5">
        <f t="shared" si="588"/>
        <v>0</v>
      </c>
      <c r="BL779" s="5">
        <f t="shared" si="588"/>
        <v>0</v>
      </c>
      <c r="BM779" s="5">
        <f t="shared" si="588"/>
        <v>0</v>
      </c>
      <c r="BN779" s="5">
        <f t="shared" si="582"/>
        <v>0</v>
      </c>
      <c r="BO779" s="5">
        <f t="shared" si="582"/>
        <v>0</v>
      </c>
      <c r="BP779" s="5">
        <f t="shared" si="582"/>
        <v>0</v>
      </c>
      <c r="BQ779" s="5">
        <f t="shared" si="582"/>
        <v>0</v>
      </c>
      <c r="BR779" s="5">
        <f t="shared" si="582"/>
        <v>0</v>
      </c>
      <c r="BS779" s="5">
        <f t="shared" si="582"/>
        <v>0</v>
      </c>
      <c r="BT779" s="5">
        <f t="shared" si="582"/>
        <v>0</v>
      </c>
      <c r="BU779" s="5">
        <f t="shared" si="582"/>
        <v>0</v>
      </c>
      <c r="BV779" s="5">
        <f t="shared" si="582"/>
        <v>0</v>
      </c>
      <c r="BW779" s="5">
        <f t="shared" si="582"/>
        <v>0</v>
      </c>
      <c r="BX779" s="5">
        <f t="shared" si="582"/>
        <v>0</v>
      </c>
      <c r="BY779" s="5">
        <f t="shared" si="582"/>
        <v>0</v>
      </c>
      <c r="BZ779" s="5">
        <f t="shared" si="582"/>
        <v>0</v>
      </c>
      <c r="CA779" s="5">
        <f t="shared" si="582"/>
        <v>0</v>
      </c>
      <c r="CB779" s="5">
        <f t="shared" si="582"/>
        <v>0</v>
      </c>
      <c r="CC779" s="5">
        <f t="shared" si="583"/>
        <v>1</v>
      </c>
      <c r="CD779" s="5">
        <f t="shared" si="577"/>
        <v>0</v>
      </c>
      <c r="CE779" s="5">
        <f t="shared" si="577"/>
        <v>0</v>
      </c>
    </row>
    <row r="780" spans="1:83" x14ac:dyDescent="0.2">
      <c r="A780" s="11"/>
      <c r="B780" s="11"/>
      <c r="C780" s="1">
        <f>Growth!D785</f>
        <v>0</v>
      </c>
      <c r="D780" s="5" t="b">
        <f t="shared" si="590"/>
        <v>0</v>
      </c>
      <c r="E780" s="5">
        <v>2013</v>
      </c>
      <c r="F780" s="5">
        <f ca="1">LOOKUP($E780,frequence!$A$2:$A$35,frequence!L$2:L$35)</f>
        <v>46.610663652887361</v>
      </c>
      <c r="G780" s="5">
        <f ca="1">LOOKUP($E780,frequence!$A$2:$A$35,frequence!K$2:K$35)</f>
        <v>7.3617115683267258</v>
      </c>
      <c r="H780" s="5">
        <f ca="1">LOOKUP($E780,frequence!$A$2:$A$35,frequence!M$2:M$35)</f>
        <v>214.81113443396845</v>
      </c>
      <c r="I780" s="16">
        <v>1995</v>
      </c>
      <c r="J780" s="7">
        <f>LOOKUP(I780,CPI!A$69:A$103,CPI!O$69:O$103)</f>
        <v>1.4308136482939633</v>
      </c>
      <c r="K780" s="16">
        <v>2015</v>
      </c>
      <c r="L780" s="7">
        <f t="shared" ca="1" si="584"/>
        <v>1</v>
      </c>
      <c r="M780" s="7">
        <f t="shared" si="556"/>
        <v>0.66363636363636369</v>
      </c>
      <c r="N780" s="14">
        <f t="shared" ref="N780:N789" si="595">1/11</f>
        <v>9.0909090909090912E-2</v>
      </c>
      <c r="O780" s="1">
        <f ca="1">P780*J780*(1+Growth!G$6)^(2010-K780)</f>
        <v>193.19783655447154</v>
      </c>
      <c r="P780" s="2">
        <f t="shared" si="568"/>
        <v>145.55000000000001</v>
      </c>
      <c r="Q780" s="11">
        <v>145.55000000000001</v>
      </c>
      <c r="R780" s="21">
        <f t="shared" ca="1" si="551"/>
        <v>37325.404049328296</v>
      </c>
      <c r="U780" s="11"/>
      <c r="X780" s="11"/>
      <c r="AA780" s="11"/>
      <c r="AB780" s="11"/>
      <c r="AC780" s="1">
        <f t="shared" si="569"/>
        <v>7.3</v>
      </c>
      <c r="AD780" s="5">
        <v>1</v>
      </c>
      <c r="AE780" s="5">
        <v>0</v>
      </c>
      <c r="AF780" s="5">
        <v>1</v>
      </c>
      <c r="AG780" s="5">
        <v>1</v>
      </c>
      <c r="AH780" s="5">
        <v>1</v>
      </c>
      <c r="AI780" s="3">
        <f t="shared" si="589"/>
        <v>3.3</v>
      </c>
      <c r="AJ780" s="5">
        <f t="shared" si="555"/>
        <v>0</v>
      </c>
      <c r="AK780" s="5">
        <f t="shared" si="585"/>
        <v>0</v>
      </c>
      <c r="AL780" s="5">
        <f t="shared" si="586"/>
        <v>0</v>
      </c>
      <c r="AM780" s="5">
        <f t="shared" si="557"/>
        <v>0</v>
      </c>
      <c r="AN780" s="5">
        <f t="shared" si="587"/>
        <v>1</v>
      </c>
      <c r="AO780" s="5">
        <f t="shared" si="558"/>
        <v>0</v>
      </c>
      <c r="AP780" s="11" t="s">
        <v>42</v>
      </c>
      <c r="AQ780" s="11">
        <v>0.1</v>
      </c>
      <c r="AR780" s="5">
        <v>0</v>
      </c>
      <c r="AS780" s="5">
        <v>0</v>
      </c>
      <c r="AT780" s="5">
        <v>1</v>
      </c>
      <c r="AU780" s="5">
        <v>0</v>
      </c>
      <c r="AV780" s="5">
        <v>0</v>
      </c>
      <c r="AW780" s="5">
        <v>0</v>
      </c>
      <c r="AX780" s="5">
        <v>1</v>
      </c>
      <c r="AY780" s="1">
        <f t="shared" si="591"/>
        <v>0</v>
      </c>
      <c r="AZ780" s="1">
        <f t="shared" si="592"/>
        <v>0</v>
      </c>
      <c r="BA780" s="1">
        <f t="shared" si="593"/>
        <v>0</v>
      </c>
      <c r="BB780" s="5">
        <v>0</v>
      </c>
      <c r="BC780" s="5">
        <v>0</v>
      </c>
      <c r="BD780" s="5">
        <v>1</v>
      </c>
      <c r="BE780" s="5">
        <f t="shared" ref="BE780:BE789" si="596">1-SUM(BB780:BD780)</f>
        <v>0</v>
      </c>
      <c r="BF780" s="5">
        <v>0</v>
      </c>
      <c r="BG780" s="5">
        <f t="shared" si="588"/>
        <v>0</v>
      </c>
      <c r="BH780" s="5">
        <f t="shared" si="588"/>
        <v>0</v>
      </c>
      <c r="BI780" s="5">
        <f t="shared" si="588"/>
        <v>0</v>
      </c>
      <c r="BJ780" s="5">
        <f t="shared" si="588"/>
        <v>0</v>
      </c>
      <c r="BK780" s="5">
        <f t="shared" si="588"/>
        <v>0</v>
      </c>
      <c r="BL780" s="5">
        <f t="shared" si="588"/>
        <v>0</v>
      </c>
      <c r="BM780" s="5">
        <f t="shared" si="588"/>
        <v>0</v>
      </c>
      <c r="BN780" s="5">
        <f t="shared" si="582"/>
        <v>0</v>
      </c>
      <c r="BO780" s="5">
        <f t="shared" si="582"/>
        <v>0</v>
      </c>
      <c r="BP780" s="5">
        <f t="shared" si="582"/>
        <v>0</v>
      </c>
      <c r="BQ780" s="5">
        <f t="shared" si="582"/>
        <v>0</v>
      </c>
      <c r="BR780" s="5">
        <f t="shared" si="582"/>
        <v>0</v>
      </c>
      <c r="BS780" s="5">
        <f t="shared" si="582"/>
        <v>0</v>
      </c>
      <c r="BT780" s="5">
        <f t="shared" si="582"/>
        <v>0</v>
      </c>
      <c r="BU780" s="5">
        <f t="shared" si="582"/>
        <v>0</v>
      </c>
      <c r="BV780" s="5">
        <f t="shared" si="582"/>
        <v>0</v>
      </c>
      <c r="BW780" s="5">
        <f t="shared" si="582"/>
        <v>0</v>
      </c>
      <c r="BX780" s="5">
        <f t="shared" si="582"/>
        <v>0</v>
      </c>
      <c r="BY780" s="5">
        <f t="shared" si="582"/>
        <v>0</v>
      </c>
      <c r="BZ780" s="5">
        <f t="shared" si="582"/>
        <v>0</v>
      </c>
      <c r="CA780" s="5">
        <f t="shared" si="582"/>
        <v>0</v>
      </c>
      <c r="CB780" s="5">
        <f t="shared" si="582"/>
        <v>0</v>
      </c>
      <c r="CC780" s="5">
        <f t="shared" si="583"/>
        <v>1</v>
      </c>
      <c r="CD780" s="5">
        <f t="shared" si="577"/>
        <v>0</v>
      </c>
      <c r="CE780" s="5">
        <f t="shared" si="577"/>
        <v>0</v>
      </c>
    </row>
    <row r="781" spans="1:83" x14ac:dyDescent="0.2">
      <c r="A781" s="11"/>
      <c r="B781" s="11"/>
      <c r="C781" s="1">
        <f>Growth!D786</f>
        <v>0</v>
      </c>
      <c r="D781" s="5" t="b">
        <f t="shared" si="590"/>
        <v>0</v>
      </c>
      <c r="E781" s="5">
        <v>2013</v>
      </c>
      <c r="F781" s="5">
        <f ca="1">LOOKUP($E781,frequence!$A$2:$A$35,frequence!L$2:L$35)</f>
        <v>46.610663652887361</v>
      </c>
      <c r="G781" s="5">
        <f ca="1">LOOKUP($E781,frequence!$A$2:$A$35,frequence!K$2:K$35)</f>
        <v>7.3617115683267258</v>
      </c>
      <c r="H781" s="5">
        <f ca="1">LOOKUP($E781,frequence!$A$2:$A$35,frequence!M$2:M$35)</f>
        <v>214.81113443396845</v>
      </c>
      <c r="I781" s="16">
        <v>1995</v>
      </c>
      <c r="J781" s="7">
        <f>LOOKUP(I781,CPI!A$69:A$103,CPI!O$69:O$103)</f>
        <v>1.4308136482939633</v>
      </c>
      <c r="K781" s="16">
        <v>2015</v>
      </c>
      <c r="L781" s="7">
        <f t="shared" ca="1" si="584"/>
        <v>1</v>
      </c>
      <c r="M781" s="7">
        <f t="shared" si="556"/>
        <v>0.66363636363636369</v>
      </c>
      <c r="N781" s="14">
        <f t="shared" si="595"/>
        <v>9.0909090909090912E-2</v>
      </c>
      <c r="O781" s="1">
        <f ca="1">P781*J781*(1+Growth!G$6)^(2010-K781)</f>
        <v>82.389486189873224</v>
      </c>
      <c r="P781" s="2">
        <f t="shared" si="568"/>
        <v>62.07</v>
      </c>
      <c r="Q781" s="11">
        <v>62.07</v>
      </c>
      <c r="R781" s="21">
        <f t="shared" ca="1" si="551"/>
        <v>6788.0274346313108</v>
      </c>
      <c r="U781" s="11"/>
      <c r="X781" s="11"/>
      <c r="AA781" s="11"/>
      <c r="AB781" s="11"/>
      <c r="AC781" s="1">
        <f t="shared" si="569"/>
        <v>7.3</v>
      </c>
      <c r="AD781" s="5">
        <v>1</v>
      </c>
      <c r="AE781" s="5">
        <v>0</v>
      </c>
      <c r="AF781" s="5">
        <v>1</v>
      </c>
      <c r="AG781" s="5">
        <v>1</v>
      </c>
      <c r="AH781" s="5">
        <v>1</v>
      </c>
      <c r="AI781" s="3">
        <f t="shared" si="589"/>
        <v>3.3</v>
      </c>
      <c r="AJ781" s="5">
        <f t="shared" si="555"/>
        <v>0</v>
      </c>
      <c r="AK781" s="5">
        <f t="shared" si="585"/>
        <v>0</v>
      </c>
      <c r="AL781" s="5">
        <f t="shared" si="586"/>
        <v>0</v>
      </c>
      <c r="AM781" s="5">
        <f t="shared" si="557"/>
        <v>0</v>
      </c>
      <c r="AN781" s="5">
        <f t="shared" si="587"/>
        <v>1</v>
      </c>
      <c r="AO781" s="5">
        <f t="shared" si="558"/>
        <v>0</v>
      </c>
      <c r="AP781" s="11" t="s">
        <v>42</v>
      </c>
      <c r="AQ781" s="11">
        <v>0.1</v>
      </c>
      <c r="AR781" s="5">
        <v>0</v>
      </c>
      <c r="AS781" s="5">
        <v>0</v>
      </c>
      <c r="AT781" s="5">
        <v>1</v>
      </c>
      <c r="AU781" s="5">
        <v>0</v>
      </c>
      <c r="AV781" s="5">
        <v>0</v>
      </c>
      <c r="AW781" s="5">
        <v>0</v>
      </c>
      <c r="AX781" s="5">
        <v>1</v>
      </c>
      <c r="AY781" s="1">
        <f t="shared" si="591"/>
        <v>0</v>
      </c>
      <c r="AZ781" s="1">
        <f t="shared" si="592"/>
        <v>0</v>
      </c>
      <c r="BA781" s="1">
        <f t="shared" si="593"/>
        <v>0</v>
      </c>
      <c r="BB781" s="5">
        <v>0</v>
      </c>
      <c r="BC781" s="5">
        <v>0</v>
      </c>
      <c r="BD781" s="5">
        <v>1</v>
      </c>
      <c r="BE781" s="5">
        <f t="shared" si="596"/>
        <v>0</v>
      </c>
      <c r="BF781" s="5">
        <v>0</v>
      </c>
      <c r="BG781" s="5">
        <f t="shared" si="588"/>
        <v>0</v>
      </c>
      <c r="BH781" s="5">
        <f t="shared" si="588"/>
        <v>0</v>
      </c>
      <c r="BI781" s="5">
        <f t="shared" si="588"/>
        <v>0</v>
      </c>
      <c r="BJ781" s="5">
        <f t="shared" si="588"/>
        <v>0</v>
      </c>
      <c r="BK781" s="5">
        <f t="shared" si="588"/>
        <v>0</v>
      </c>
      <c r="BL781" s="5">
        <f t="shared" si="588"/>
        <v>0</v>
      </c>
      <c r="BM781" s="5">
        <f t="shared" si="588"/>
        <v>0</v>
      </c>
      <c r="BN781" s="5">
        <f t="shared" si="582"/>
        <v>0</v>
      </c>
      <c r="BO781" s="5">
        <f t="shared" si="582"/>
        <v>0</v>
      </c>
      <c r="BP781" s="5">
        <f t="shared" si="582"/>
        <v>0</v>
      </c>
      <c r="BQ781" s="5">
        <f t="shared" si="582"/>
        <v>0</v>
      </c>
      <c r="BR781" s="5">
        <f t="shared" si="582"/>
        <v>0</v>
      </c>
      <c r="BS781" s="5">
        <f t="shared" si="582"/>
        <v>0</v>
      </c>
      <c r="BT781" s="5">
        <f t="shared" si="582"/>
        <v>0</v>
      </c>
      <c r="BU781" s="5">
        <f t="shared" si="582"/>
        <v>0</v>
      </c>
      <c r="BV781" s="5">
        <f t="shared" si="582"/>
        <v>0</v>
      </c>
      <c r="BW781" s="5">
        <f t="shared" si="582"/>
        <v>0</v>
      </c>
      <c r="BX781" s="5">
        <f t="shared" si="582"/>
        <v>0</v>
      </c>
      <c r="BY781" s="5">
        <f t="shared" si="582"/>
        <v>0</v>
      </c>
      <c r="BZ781" s="5">
        <f t="shared" si="582"/>
        <v>0</v>
      </c>
      <c r="CA781" s="5">
        <f t="shared" si="582"/>
        <v>0</v>
      </c>
      <c r="CB781" s="5">
        <f t="shared" si="582"/>
        <v>0</v>
      </c>
      <c r="CC781" s="5">
        <f t="shared" si="583"/>
        <v>1</v>
      </c>
      <c r="CD781" s="5">
        <f t="shared" si="577"/>
        <v>0</v>
      </c>
      <c r="CE781" s="5">
        <f t="shared" si="577"/>
        <v>0</v>
      </c>
    </row>
    <row r="782" spans="1:83" x14ac:dyDescent="0.2">
      <c r="A782" s="11"/>
      <c r="B782" s="11"/>
      <c r="C782" s="1">
        <f>Growth!D787</f>
        <v>0</v>
      </c>
      <c r="D782" s="5" t="b">
        <f t="shared" si="590"/>
        <v>0</v>
      </c>
      <c r="E782" s="5">
        <v>2013</v>
      </c>
      <c r="F782" s="5">
        <f ca="1">LOOKUP($E782,frequence!$A$2:$A$35,frequence!L$2:L$35)</f>
        <v>46.610663652887361</v>
      </c>
      <c r="G782" s="5">
        <f ca="1">LOOKUP($E782,frequence!$A$2:$A$35,frequence!K$2:K$35)</f>
        <v>7.3617115683267258</v>
      </c>
      <c r="H782" s="5">
        <f ca="1">LOOKUP($E782,frequence!$A$2:$A$35,frequence!M$2:M$35)</f>
        <v>214.81113443396845</v>
      </c>
      <c r="I782" s="16">
        <v>1995</v>
      </c>
      <c r="J782" s="7">
        <f>LOOKUP(I782,CPI!A$69:A$103,CPI!O$69:O$103)</f>
        <v>1.4308136482939633</v>
      </c>
      <c r="K782" s="16">
        <v>2015</v>
      </c>
      <c r="L782" s="7">
        <f t="shared" ca="1" si="584"/>
        <v>1</v>
      </c>
      <c r="M782" s="7">
        <f t="shared" si="556"/>
        <v>0.66363636363636369</v>
      </c>
      <c r="N782" s="14">
        <f t="shared" si="595"/>
        <v>9.0909090909090912E-2</v>
      </c>
      <c r="O782" s="1">
        <f ca="1">P782*J782*(1+Growth!G$6)^(2010-K782)</f>
        <v>136.93087474379445</v>
      </c>
      <c r="P782" s="2">
        <f t="shared" si="568"/>
        <v>103.16</v>
      </c>
      <c r="Q782" s="11">
        <v>103.16</v>
      </c>
      <c r="R782" s="21">
        <f t="shared" ca="1" si="551"/>
        <v>18750.064458100725</v>
      </c>
      <c r="U782" s="11"/>
      <c r="X782" s="11"/>
      <c r="AA782" s="11"/>
      <c r="AB782" s="11"/>
      <c r="AC782" s="1">
        <f t="shared" si="569"/>
        <v>7.3</v>
      </c>
      <c r="AD782" s="5">
        <v>1</v>
      </c>
      <c r="AE782" s="5">
        <v>0</v>
      </c>
      <c r="AF782" s="5">
        <v>1</v>
      </c>
      <c r="AG782" s="5">
        <v>1</v>
      </c>
      <c r="AH782" s="5">
        <v>1</v>
      </c>
      <c r="AI782" s="3">
        <f t="shared" si="589"/>
        <v>3.3</v>
      </c>
      <c r="AJ782" s="5">
        <f t="shared" si="555"/>
        <v>0</v>
      </c>
      <c r="AK782" s="5">
        <f t="shared" si="585"/>
        <v>0</v>
      </c>
      <c r="AL782" s="5">
        <f t="shared" si="586"/>
        <v>0</v>
      </c>
      <c r="AM782" s="5">
        <f t="shared" si="557"/>
        <v>1</v>
      </c>
      <c r="AN782" s="5">
        <f t="shared" si="587"/>
        <v>0</v>
      </c>
      <c r="AO782" s="5">
        <f t="shared" si="558"/>
        <v>0</v>
      </c>
      <c r="AP782" s="11" t="s">
        <v>42</v>
      </c>
      <c r="AQ782" s="11">
        <v>1</v>
      </c>
      <c r="AR782" s="5">
        <v>0</v>
      </c>
      <c r="AS782" s="5">
        <v>0</v>
      </c>
      <c r="AT782" s="5">
        <v>1</v>
      </c>
      <c r="AU782" s="5">
        <v>0</v>
      </c>
      <c r="AV782" s="5">
        <v>0</v>
      </c>
      <c r="AW782" s="5">
        <v>0</v>
      </c>
      <c r="AX782" s="5">
        <v>1</v>
      </c>
      <c r="AY782" s="1">
        <f t="shared" si="591"/>
        <v>0</v>
      </c>
      <c r="AZ782" s="1">
        <f t="shared" si="592"/>
        <v>1</v>
      </c>
      <c r="BA782" s="1">
        <f t="shared" si="593"/>
        <v>0</v>
      </c>
      <c r="BB782" s="5">
        <v>0</v>
      </c>
      <c r="BC782" s="5">
        <v>0</v>
      </c>
      <c r="BD782" s="5">
        <v>1</v>
      </c>
      <c r="BE782" s="5">
        <f t="shared" si="596"/>
        <v>0</v>
      </c>
      <c r="BF782" s="5">
        <v>0</v>
      </c>
      <c r="BG782" s="5">
        <f t="shared" si="588"/>
        <v>0</v>
      </c>
      <c r="BH782" s="5">
        <f t="shared" si="588"/>
        <v>0</v>
      </c>
      <c r="BI782" s="5">
        <f t="shared" si="588"/>
        <v>0</v>
      </c>
      <c r="BJ782" s="5">
        <f t="shared" si="588"/>
        <v>0</v>
      </c>
      <c r="BK782" s="5">
        <f t="shared" si="588"/>
        <v>0</v>
      </c>
      <c r="BL782" s="5">
        <f t="shared" si="588"/>
        <v>0</v>
      </c>
      <c r="BM782" s="5">
        <f t="shared" si="588"/>
        <v>0</v>
      </c>
      <c r="BN782" s="5">
        <f t="shared" si="582"/>
        <v>0</v>
      </c>
      <c r="BO782" s="5">
        <f t="shared" si="582"/>
        <v>0</v>
      </c>
      <c r="BP782" s="5">
        <f t="shared" si="582"/>
        <v>0</v>
      </c>
      <c r="BQ782" s="5">
        <f t="shared" si="582"/>
        <v>0</v>
      </c>
      <c r="BR782" s="5">
        <f t="shared" si="582"/>
        <v>0</v>
      </c>
      <c r="BS782" s="5">
        <f t="shared" si="582"/>
        <v>0</v>
      </c>
      <c r="BT782" s="5">
        <f t="shared" si="582"/>
        <v>0</v>
      </c>
      <c r="BU782" s="5">
        <f t="shared" si="582"/>
        <v>0</v>
      </c>
      <c r="BV782" s="5">
        <f t="shared" si="582"/>
        <v>0</v>
      </c>
      <c r="BW782" s="5">
        <f t="shared" si="582"/>
        <v>0</v>
      </c>
      <c r="BX782" s="5">
        <f t="shared" si="582"/>
        <v>0</v>
      </c>
      <c r="BY782" s="5">
        <f t="shared" si="582"/>
        <v>0</v>
      </c>
      <c r="BZ782" s="5">
        <f t="shared" si="582"/>
        <v>0</v>
      </c>
      <c r="CA782" s="5">
        <f t="shared" si="582"/>
        <v>0</v>
      </c>
      <c r="CB782" s="5">
        <f t="shared" si="582"/>
        <v>0</v>
      </c>
      <c r="CC782" s="5">
        <f t="shared" si="583"/>
        <v>1</v>
      </c>
      <c r="CD782" s="5">
        <f t="shared" si="577"/>
        <v>0</v>
      </c>
      <c r="CE782" s="5">
        <f t="shared" si="577"/>
        <v>0</v>
      </c>
    </row>
    <row r="783" spans="1:83" x14ac:dyDescent="0.2">
      <c r="A783" s="11"/>
      <c r="B783" s="11"/>
      <c r="C783" s="1">
        <f>Growth!D788</f>
        <v>0</v>
      </c>
      <c r="D783" s="5" t="b">
        <f t="shared" si="590"/>
        <v>0</v>
      </c>
      <c r="E783" s="5">
        <v>2013</v>
      </c>
      <c r="F783" s="5">
        <f ca="1">LOOKUP($E783,frequence!$A$2:$A$35,frequence!L$2:L$35)</f>
        <v>46.610663652887361</v>
      </c>
      <c r="G783" s="5">
        <f ca="1">LOOKUP($E783,frequence!$A$2:$A$35,frequence!K$2:K$35)</f>
        <v>7.3617115683267258</v>
      </c>
      <c r="H783" s="5">
        <f ca="1">LOOKUP($E783,frequence!$A$2:$A$35,frequence!M$2:M$35)</f>
        <v>214.81113443396845</v>
      </c>
      <c r="I783" s="16">
        <v>1995</v>
      </c>
      <c r="J783" s="7">
        <f>LOOKUP(I783,CPI!A$69:A$103,CPI!O$69:O$103)</f>
        <v>1.4308136482939633</v>
      </c>
      <c r="K783" s="16">
        <v>2015</v>
      </c>
      <c r="L783" s="7">
        <f t="shared" ca="1" si="584"/>
        <v>1</v>
      </c>
      <c r="M783" s="7">
        <f t="shared" si="556"/>
        <v>0.66363636363636369</v>
      </c>
      <c r="N783" s="14">
        <f t="shared" si="595"/>
        <v>9.0909090909090912E-2</v>
      </c>
      <c r="O783" s="1">
        <f ca="1">P783*J783*(1+Growth!G$6)^(2010-K783)</f>
        <v>59.890665649864339</v>
      </c>
      <c r="P783" s="2">
        <f t="shared" si="568"/>
        <v>45.12</v>
      </c>
      <c r="Q783" s="11">
        <v>45.12</v>
      </c>
      <c r="R783" s="21">
        <f t="shared" ca="1" si="551"/>
        <v>3586.8918319838403</v>
      </c>
      <c r="U783" s="11"/>
      <c r="X783" s="11"/>
      <c r="AA783" s="11"/>
      <c r="AB783" s="11"/>
      <c r="AC783" s="1">
        <f t="shared" si="569"/>
        <v>7.3</v>
      </c>
      <c r="AD783" s="5">
        <v>1</v>
      </c>
      <c r="AE783" s="5">
        <v>0</v>
      </c>
      <c r="AF783" s="5">
        <v>1</v>
      </c>
      <c r="AG783" s="5">
        <v>1</v>
      </c>
      <c r="AH783" s="5">
        <v>1</v>
      </c>
      <c r="AI783" s="3">
        <f t="shared" si="589"/>
        <v>3.3</v>
      </c>
      <c r="AJ783" s="5">
        <f t="shared" si="555"/>
        <v>0</v>
      </c>
      <c r="AK783" s="5">
        <f t="shared" si="585"/>
        <v>0</v>
      </c>
      <c r="AL783" s="5">
        <f t="shared" si="586"/>
        <v>0</v>
      </c>
      <c r="AM783" s="5">
        <f t="shared" si="557"/>
        <v>1</v>
      </c>
      <c r="AN783" s="5">
        <f t="shared" si="587"/>
        <v>0</v>
      </c>
      <c r="AO783" s="5">
        <f t="shared" si="558"/>
        <v>0</v>
      </c>
      <c r="AP783" s="11" t="s">
        <v>42</v>
      </c>
      <c r="AQ783" s="11">
        <v>1</v>
      </c>
      <c r="AR783" s="5">
        <v>0</v>
      </c>
      <c r="AS783" s="5">
        <v>0</v>
      </c>
      <c r="AT783" s="5">
        <v>1</v>
      </c>
      <c r="AU783" s="5">
        <v>0</v>
      </c>
      <c r="AV783" s="5">
        <v>0</v>
      </c>
      <c r="AW783" s="5">
        <v>0</v>
      </c>
      <c r="AX783" s="5">
        <v>1</v>
      </c>
      <c r="AY783" s="1">
        <f t="shared" si="591"/>
        <v>0</v>
      </c>
      <c r="AZ783" s="1">
        <f t="shared" si="592"/>
        <v>1</v>
      </c>
      <c r="BA783" s="1">
        <f t="shared" si="593"/>
        <v>0</v>
      </c>
      <c r="BB783" s="5">
        <v>0</v>
      </c>
      <c r="BC783" s="5">
        <v>0</v>
      </c>
      <c r="BD783" s="5">
        <v>1</v>
      </c>
      <c r="BE783" s="5">
        <f t="shared" si="596"/>
        <v>0</v>
      </c>
      <c r="BF783" s="5">
        <v>0</v>
      </c>
      <c r="BG783" s="5">
        <f t="shared" si="588"/>
        <v>0</v>
      </c>
      <c r="BH783" s="5">
        <f t="shared" si="588"/>
        <v>0</v>
      </c>
      <c r="BI783" s="5">
        <f t="shared" si="588"/>
        <v>0</v>
      </c>
      <c r="BJ783" s="5">
        <f t="shared" si="588"/>
        <v>0</v>
      </c>
      <c r="BK783" s="5">
        <f t="shared" si="588"/>
        <v>0</v>
      </c>
      <c r="BL783" s="5">
        <f t="shared" si="588"/>
        <v>0</v>
      </c>
      <c r="BM783" s="5">
        <f t="shared" si="588"/>
        <v>0</v>
      </c>
      <c r="BN783" s="5">
        <f t="shared" si="582"/>
        <v>0</v>
      </c>
      <c r="BO783" s="5">
        <f t="shared" si="582"/>
        <v>0</v>
      </c>
      <c r="BP783" s="5">
        <f t="shared" si="582"/>
        <v>0</v>
      </c>
      <c r="BQ783" s="5">
        <f t="shared" si="582"/>
        <v>0</v>
      </c>
      <c r="BR783" s="5">
        <f t="shared" si="582"/>
        <v>0</v>
      </c>
      <c r="BS783" s="5">
        <f t="shared" si="582"/>
        <v>0</v>
      </c>
      <c r="BT783" s="5">
        <f t="shared" si="582"/>
        <v>0</v>
      </c>
      <c r="BU783" s="5">
        <f t="shared" si="582"/>
        <v>0</v>
      </c>
      <c r="BV783" s="5">
        <f t="shared" si="582"/>
        <v>0</v>
      </c>
      <c r="BW783" s="5">
        <f t="shared" si="582"/>
        <v>0</v>
      </c>
      <c r="BX783" s="5">
        <f t="shared" si="582"/>
        <v>0</v>
      </c>
      <c r="BY783" s="5">
        <f t="shared" si="582"/>
        <v>0</v>
      </c>
      <c r="BZ783" s="5">
        <f t="shared" si="582"/>
        <v>0</v>
      </c>
      <c r="CA783" s="5">
        <f t="shared" si="582"/>
        <v>0</v>
      </c>
      <c r="CB783" s="5">
        <f t="shared" si="582"/>
        <v>0</v>
      </c>
      <c r="CC783" s="5">
        <f t="shared" si="583"/>
        <v>1</v>
      </c>
      <c r="CD783" s="5">
        <f t="shared" si="583"/>
        <v>0</v>
      </c>
      <c r="CE783" s="5">
        <f t="shared" si="583"/>
        <v>0</v>
      </c>
    </row>
    <row r="784" spans="1:83" x14ac:dyDescent="0.2">
      <c r="A784" s="11"/>
      <c r="B784" s="11"/>
      <c r="C784" s="1">
        <f>Growth!D789</f>
        <v>0</v>
      </c>
      <c r="D784" s="5" t="b">
        <f t="shared" si="590"/>
        <v>0</v>
      </c>
      <c r="E784" s="5">
        <v>2013</v>
      </c>
      <c r="F784" s="5">
        <f ca="1">LOOKUP($E784,frequence!$A$2:$A$35,frequence!L$2:L$35)</f>
        <v>46.610663652887361</v>
      </c>
      <c r="G784" s="5">
        <f ca="1">LOOKUP($E784,frequence!$A$2:$A$35,frequence!K$2:K$35)</f>
        <v>7.3617115683267258</v>
      </c>
      <c r="H784" s="5">
        <f ca="1">LOOKUP($E784,frequence!$A$2:$A$35,frequence!M$2:M$35)</f>
        <v>214.81113443396845</v>
      </c>
      <c r="I784" s="16">
        <v>1995</v>
      </c>
      <c r="J784" s="7">
        <f>LOOKUP(I784,CPI!A$69:A$103,CPI!O$69:O$103)</f>
        <v>1.4308136482939633</v>
      </c>
      <c r="K784" s="16">
        <v>2015</v>
      </c>
      <c r="L784" s="7">
        <f t="shared" ca="1" si="584"/>
        <v>1</v>
      </c>
      <c r="M784" s="7">
        <f t="shared" si="556"/>
        <v>0.66363636363636369</v>
      </c>
      <c r="N784" s="14">
        <f t="shared" si="595"/>
        <v>9.0909090909090912E-2</v>
      </c>
      <c r="O784" s="1">
        <f ca="1">P784*J784*(1+Growth!G$6)^(2010-K784)</f>
        <v>26.89239552451799</v>
      </c>
      <c r="P784" s="2">
        <f t="shared" si="568"/>
        <v>20.260000000000002</v>
      </c>
      <c r="Q784" s="11">
        <v>20.260000000000002</v>
      </c>
      <c r="R784" s="21">
        <f t="shared" ca="1" si="551"/>
        <v>723.20093704711519</v>
      </c>
      <c r="U784" s="11"/>
      <c r="X784" s="11"/>
      <c r="AA784" s="11"/>
      <c r="AB784" s="11"/>
      <c r="AC784" s="1">
        <f t="shared" si="569"/>
        <v>7.3</v>
      </c>
      <c r="AD784" s="5">
        <v>1</v>
      </c>
      <c r="AE784" s="5">
        <v>0</v>
      </c>
      <c r="AF784" s="5">
        <v>1</v>
      </c>
      <c r="AG784" s="5">
        <v>1</v>
      </c>
      <c r="AH784" s="5">
        <v>1</v>
      </c>
      <c r="AI784" s="3">
        <f t="shared" si="589"/>
        <v>3.3</v>
      </c>
      <c r="AJ784" s="5">
        <f t="shared" si="555"/>
        <v>0</v>
      </c>
      <c r="AK784" s="5">
        <f t="shared" si="585"/>
        <v>0</v>
      </c>
      <c r="AL784" s="5">
        <f t="shared" si="586"/>
        <v>0</v>
      </c>
      <c r="AM784" s="5">
        <f t="shared" si="557"/>
        <v>1</v>
      </c>
      <c r="AN784" s="5">
        <f t="shared" si="587"/>
        <v>0</v>
      </c>
      <c r="AO784" s="5">
        <f t="shared" si="558"/>
        <v>0</v>
      </c>
      <c r="AP784" s="11" t="s">
        <v>42</v>
      </c>
      <c r="AQ784" s="11">
        <v>1</v>
      </c>
      <c r="AR784" s="5">
        <v>0</v>
      </c>
      <c r="AS784" s="5">
        <v>0</v>
      </c>
      <c r="AT784" s="5">
        <v>1</v>
      </c>
      <c r="AU784" s="5">
        <v>0</v>
      </c>
      <c r="AV784" s="5">
        <v>0</v>
      </c>
      <c r="AW784" s="5">
        <v>0</v>
      </c>
      <c r="AX784" s="5">
        <v>1</v>
      </c>
      <c r="AY784" s="1">
        <f t="shared" si="591"/>
        <v>0</v>
      </c>
      <c r="AZ784" s="1">
        <f t="shared" si="592"/>
        <v>1</v>
      </c>
      <c r="BA784" s="1">
        <f t="shared" si="593"/>
        <v>0</v>
      </c>
      <c r="BB784" s="5">
        <v>0</v>
      </c>
      <c r="BC784" s="5">
        <v>0</v>
      </c>
      <c r="BD784" s="5">
        <v>1</v>
      </c>
      <c r="BE784" s="5">
        <f t="shared" si="596"/>
        <v>0</v>
      </c>
      <c r="BF784" s="5">
        <v>0</v>
      </c>
      <c r="BG784" s="5">
        <f t="shared" si="588"/>
        <v>0</v>
      </c>
      <c r="BH784" s="5">
        <f t="shared" si="588"/>
        <v>0</v>
      </c>
      <c r="BI784" s="5">
        <f t="shared" si="588"/>
        <v>0</v>
      </c>
      <c r="BJ784" s="5">
        <f t="shared" si="588"/>
        <v>0</v>
      </c>
      <c r="BK784" s="5">
        <f t="shared" si="588"/>
        <v>0</v>
      </c>
      <c r="BL784" s="5">
        <f t="shared" si="588"/>
        <v>0</v>
      </c>
      <c r="BM784" s="5">
        <f t="shared" si="588"/>
        <v>0</v>
      </c>
      <c r="BN784" s="5">
        <f t="shared" si="582"/>
        <v>0</v>
      </c>
      <c r="BO784" s="5">
        <f t="shared" si="582"/>
        <v>0</v>
      </c>
      <c r="BP784" s="5">
        <f t="shared" si="582"/>
        <v>0</v>
      </c>
      <c r="BQ784" s="5">
        <f t="shared" si="582"/>
        <v>0</v>
      </c>
      <c r="BR784" s="5">
        <f t="shared" si="582"/>
        <v>0</v>
      </c>
      <c r="BS784" s="5">
        <f t="shared" si="582"/>
        <v>0</v>
      </c>
      <c r="BT784" s="5">
        <f t="shared" si="582"/>
        <v>0</v>
      </c>
      <c r="BU784" s="5">
        <f t="shared" si="582"/>
        <v>0</v>
      </c>
      <c r="BV784" s="5">
        <f t="shared" si="582"/>
        <v>0</v>
      </c>
      <c r="BW784" s="5">
        <f t="shared" si="582"/>
        <v>0</v>
      </c>
      <c r="BX784" s="5">
        <f t="shared" si="582"/>
        <v>0</v>
      </c>
      <c r="BY784" s="5">
        <f t="shared" si="582"/>
        <v>0</v>
      </c>
      <c r="BZ784" s="5">
        <f t="shared" si="582"/>
        <v>0</v>
      </c>
      <c r="CA784" s="5">
        <f t="shared" si="582"/>
        <v>0</v>
      </c>
      <c r="CB784" s="5">
        <f t="shared" si="582"/>
        <v>0</v>
      </c>
      <c r="CC784" s="5">
        <f t="shared" si="583"/>
        <v>1</v>
      </c>
      <c r="CD784" s="5">
        <f t="shared" si="583"/>
        <v>0</v>
      </c>
      <c r="CE784" s="5">
        <f t="shared" si="583"/>
        <v>0</v>
      </c>
    </row>
    <row r="785" spans="1:83" x14ac:dyDescent="0.2">
      <c r="A785" s="11"/>
      <c r="B785" s="11"/>
      <c r="C785" s="1">
        <f>Growth!D790</f>
        <v>0</v>
      </c>
      <c r="D785" s="5" t="b">
        <f t="shared" si="590"/>
        <v>0</v>
      </c>
      <c r="E785" s="5">
        <v>2013</v>
      </c>
      <c r="F785" s="5">
        <f ca="1">LOOKUP($E785,frequence!$A$2:$A$35,frequence!L$2:L$35)</f>
        <v>46.610663652887361</v>
      </c>
      <c r="G785" s="5">
        <f ca="1">LOOKUP($E785,frequence!$A$2:$A$35,frequence!K$2:K$35)</f>
        <v>7.3617115683267258</v>
      </c>
      <c r="H785" s="5">
        <f ca="1">LOOKUP($E785,frequence!$A$2:$A$35,frequence!M$2:M$35)</f>
        <v>214.81113443396845</v>
      </c>
      <c r="I785" s="16">
        <v>1995</v>
      </c>
      <c r="J785" s="7">
        <f>LOOKUP(I785,CPI!A$69:A$103,CPI!O$69:O$103)</f>
        <v>1.4308136482939633</v>
      </c>
      <c r="K785" s="16">
        <v>2015</v>
      </c>
      <c r="L785" s="7">
        <f t="shared" ca="1" si="584"/>
        <v>1</v>
      </c>
      <c r="M785" s="7">
        <f t="shared" si="556"/>
        <v>0.66363636363636369</v>
      </c>
      <c r="N785" s="14">
        <f t="shared" si="595"/>
        <v>9.0909090909090912E-2</v>
      </c>
      <c r="O785" s="1">
        <f ca="1">P785*J785*(1+Growth!G$6)^(2010-K785)</f>
        <v>13.300187717456575</v>
      </c>
      <c r="P785" s="2">
        <f t="shared" si="568"/>
        <v>10.02</v>
      </c>
      <c r="Q785" s="11">
        <v>10.02</v>
      </c>
      <c r="R785" s="21">
        <f t="shared" ca="1" si="551"/>
        <v>176.89499331958274</v>
      </c>
      <c r="U785" s="11"/>
      <c r="X785" s="11"/>
      <c r="AA785" s="11"/>
      <c r="AB785" s="11"/>
      <c r="AC785" s="1">
        <f t="shared" si="569"/>
        <v>7.3</v>
      </c>
      <c r="AD785" s="5">
        <v>1</v>
      </c>
      <c r="AE785" s="5">
        <v>0</v>
      </c>
      <c r="AF785" s="5">
        <v>1</v>
      </c>
      <c r="AG785" s="5">
        <v>1</v>
      </c>
      <c r="AH785" s="5">
        <v>1</v>
      </c>
      <c r="AI785" s="3">
        <f t="shared" si="589"/>
        <v>3.3</v>
      </c>
      <c r="AJ785" s="5">
        <f t="shared" si="555"/>
        <v>1</v>
      </c>
      <c r="AK785" s="5">
        <f t="shared" si="585"/>
        <v>0</v>
      </c>
      <c r="AL785" s="5">
        <f t="shared" si="586"/>
        <v>0</v>
      </c>
      <c r="AM785" s="5">
        <f t="shared" si="557"/>
        <v>0</v>
      </c>
      <c r="AN785" s="5">
        <f t="shared" si="587"/>
        <v>0</v>
      </c>
      <c r="AO785" s="5">
        <f t="shared" si="558"/>
        <v>0</v>
      </c>
      <c r="AP785" s="11" t="s">
        <v>42</v>
      </c>
      <c r="AQ785" s="11">
        <v>3</v>
      </c>
      <c r="AR785" s="5">
        <v>0</v>
      </c>
      <c r="AS785" s="5">
        <v>0</v>
      </c>
      <c r="AT785" s="5">
        <v>1</v>
      </c>
      <c r="AU785" s="5">
        <v>0</v>
      </c>
      <c r="AV785" s="5">
        <v>0</v>
      </c>
      <c r="AW785" s="5">
        <v>0</v>
      </c>
      <c r="AX785" s="5">
        <v>1</v>
      </c>
      <c r="AY785" s="1">
        <f t="shared" si="591"/>
        <v>1</v>
      </c>
      <c r="AZ785" s="1">
        <f t="shared" si="592"/>
        <v>0</v>
      </c>
      <c r="BA785" s="1">
        <f t="shared" si="593"/>
        <v>0</v>
      </c>
      <c r="BB785" s="5">
        <v>0</v>
      </c>
      <c r="BC785" s="5">
        <v>0</v>
      </c>
      <c r="BD785" s="5">
        <v>1</v>
      </c>
      <c r="BE785" s="5">
        <f t="shared" si="596"/>
        <v>0</v>
      </c>
      <c r="BF785" s="5">
        <v>0</v>
      </c>
      <c r="BG785" s="5">
        <f t="shared" si="588"/>
        <v>0</v>
      </c>
      <c r="BH785" s="5">
        <f t="shared" si="588"/>
        <v>0</v>
      </c>
      <c r="BI785" s="5">
        <f t="shared" si="588"/>
        <v>0</v>
      </c>
      <c r="BJ785" s="5">
        <f t="shared" si="588"/>
        <v>0</v>
      </c>
      <c r="BK785" s="5">
        <f t="shared" si="588"/>
        <v>0</v>
      </c>
      <c r="BL785" s="5">
        <f t="shared" si="588"/>
        <v>0</v>
      </c>
      <c r="BM785" s="5">
        <f t="shared" si="588"/>
        <v>0</v>
      </c>
      <c r="BN785" s="5">
        <f t="shared" si="582"/>
        <v>0</v>
      </c>
      <c r="BO785" s="5">
        <f t="shared" si="582"/>
        <v>0</v>
      </c>
      <c r="BP785" s="5">
        <f t="shared" si="582"/>
        <v>0</v>
      </c>
      <c r="BQ785" s="5">
        <f t="shared" si="582"/>
        <v>0</v>
      </c>
      <c r="BR785" s="5">
        <f t="shared" si="582"/>
        <v>0</v>
      </c>
      <c r="BS785" s="5">
        <f t="shared" si="582"/>
        <v>0</v>
      </c>
      <c r="BT785" s="5">
        <f t="shared" si="582"/>
        <v>0</v>
      </c>
      <c r="BU785" s="5">
        <f t="shared" si="582"/>
        <v>0</v>
      </c>
      <c r="BV785" s="5">
        <f t="shared" si="582"/>
        <v>0</v>
      </c>
      <c r="BW785" s="5">
        <f t="shared" si="582"/>
        <v>0</v>
      </c>
      <c r="BX785" s="5">
        <f t="shared" si="582"/>
        <v>0</v>
      </c>
      <c r="BY785" s="5">
        <f t="shared" si="582"/>
        <v>0</v>
      </c>
      <c r="BZ785" s="5">
        <f t="shared" si="582"/>
        <v>0</v>
      </c>
      <c r="CA785" s="5">
        <f t="shared" si="582"/>
        <v>0</v>
      </c>
      <c r="CB785" s="5">
        <f t="shared" si="582"/>
        <v>0</v>
      </c>
      <c r="CC785" s="5">
        <f t="shared" si="583"/>
        <v>1</v>
      </c>
      <c r="CD785" s="5">
        <f t="shared" si="583"/>
        <v>0</v>
      </c>
      <c r="CE785" s="5">
        <f t="shared" si="583"/>
        <v>0</v>
      </c>
    </row>
    <row r="786" spans="1:83" x14ac:dyDescent="0.2">
      <c r="A786" s="11"/>
      <c r="B786" s="11"/>
      <c r="C786" s="1">
        <f>Growth!D791</f>
        <v>0</v>
      </c>
      <c r="D786" s="5" t="b">
        <f t="shared" si="590"/>
        <v>0</v>
      </c>
      <c r="E786" s="5">
        <v>2013</v>
      </c>
      <c r="F786" s="5">
        <f ca="1">LOOKUP($E786,frequence!$A$2:$A$35,frequence!L$2:L$35)</f>
        <v>46.610663652887361</v>
      </c>
      <c r="G786" s="5">
        <f ca="1">LOOKUP($E786,frequence!$A$2:$A$35,frequence!K$2:K$35)</f>
        <v>7.3617115683267258</v>
      </c>
      <c r="H786" s="5">
        <f ca="1">LOOKUP($E786,frequence!$A$2:$A$35,frequence!M$2:M$35)</f>
        <v>214.81113443396845</v>
      </c>
      <c r="I786" s="16">
        <v>1995</v>
      </c>
      <c r="J786" s="7">
        <f>LOOKUP(I786,CPI!A$69:A$103,CPI!O$69:O$103)</f>
        <v>1.4308136482939633</v>
      </c>
      <c r="K786" s="16">
        <v>2015</v>
      </c>
      <c r="L786" s="7">
        <f t="shared" ca="1" si="584"/>
        <v>1</v>
      </c>
      <c r="M786" s="7">
        <f t="shared" si="556"/>
        <v>0.66363636363636369</v>
      </c>
      <c r="N786" s="14">
        <f t="shared" si="595"/>
        <v>9.0909090909090912E-2</v>
      </c>
      <c r="O786" s="1">
        <f ca="1">P786*J786*(1+Growth!G$6)^(2010-K786)</f>
        <v>5.1368988489577792</v>
      </c>
      <c r="P786" s="2">
        <f t="shared" si="568"/>
        <v>3.87</v>
      </c>
      <c r="Q786" s="11">
        <v>3.87</v>
      </c>
      <c r="R786" s="21">
        <f t="shared" ca="1" si="551"/>
        <v>26.387729784423755</v>
      </c>
      <c r="U786" s="11"/>
      <c r="X786" s="11"/>
      <c r="AA786" s="11"/>
      <c r="AB786" s="11"/>
      <c r="AC786" s="1">
        <f t="shared" si="569"/>
        <v>7.3</v>
      </c>
      <c r="AD786" s="5">
        <v>1</v>
      </c>
      <c r="AE786" s="5">
        <v>0</v>
      </c>
      <c r="AF786" s="5">
        <v>1</v>
      </c>
      <c r="AG786" s="5">
        <v>1</v>
      </c>
      <c r="AH786" s="5">
        <v>1</v>
      </c>
      <c r="AI786" s="3">
        <f t="shared" si="589"/>
        <v>3.3</v>
      </c>
      <c r="AJ786" s="5">
        <f t="shared" si="555"/>
        <v>1</v>
      </c>
      <c r="AK786" s="5">
        <f t="shared" si="585"/>
        <v>0</v>
      </c>
      <c r="AL786" s="5">
        <f t="shared" si="586"/>
        <v>0</v>
      </c>
      <c r="AM786" s="5">
        <f t="shared" si="557"/>
        <v>0</v>
      </c>
      <c r="AN786" s="5">
        <f t="shared" si="587"/>
        <v>0</v>
      </c>
      <c r="AO786" s="5">
        <f t="shared" si="558"/>
        <v>0</v>
      </c>
      <c r="AP786" s="11" t="s">
        <v>42</v>
      </c>
      <c r="AQ786" s="11">
        <v>3</v>
      </c>
      <c r="AR786" s="5">
        <v>0</v>
      </c>
      <c r="AS786" s="5">
        <v>0</v>
      </c>
      <c r="AT786" s="5">
        <v>1</v>
      </c>
      <c r="AU786" s="5">
        <v>0</v>
      </c>
      <c r="AV786" s="5">
        <v>0</v>
      </c>
      <c r="AW786" s="5">
        <v>0</v>
      </c>
      <c r="AX786" s="5">
        <v>1</v>
      </c>
      <c r="AY786" s="1">
        <f t="shared" si="591"/>
        <v>1</v>
      </c>
      <c r="AZ786" s="1">
        <f t="shared" si="592"/>
        <v>0</v>
      </c>
      <c r="BA786" s="1">
        <f t="shared" si="593"/>
        <v>0</v>
      </c>
      <c r="BB786" s="5">
        <v>0</v>
      </c>
      <c r="BC786" s="5">
        <v>0</v>
      </c>
      <c r="BD786" s="5">
        <v>1</v>
      </c>
      <c r="BE786" s="5">
        <f t="shared" si="596"/>
        <v>0</v>
      </c>
      <c r="BF786" s="5">
        <v>0</v>
      </c>
      <c r="BG786" s="5">
        <f t="shared" si="588"/>
        <v>0</v>
      </c>
      <c r="BH786" s="5">
        <f t="shared" si="588"/>
        <v>0</v>
      </c>
      <c r="BI786" s="5">
        <f t="shared" si="588"/>
        <v>0</v>
      </c>
      <c r="BJ786" s="5">
        <f t="shared" si="588"/>
        <v>0</v>
      </c>
      <c r="BK786" s="5">
        <f t="shared" si="588"/>
        <v>0</v>
      </c>
      <c r="BL786" s="5">
        <f t="shared" si="588"/>
        <v>0</v>
      </c>
      <c r="BM786" s="5">
        <f t="shared" si="588"/>
        <v>0</v>
      </c>
      <c r="BN786" s="5">
        <f t="shared" si="582"/>
        <v>0</v>
      </c>
      <c r="BO786" s="5">
        <f t="shared" si="582"/>
        <v>0</v>
      </c>
      <c r="BP786" s="5">
        <f t="shared" si="582"/>
        <v>0</v>
      </c>
      <c r="BQ786" s="5">
        <f t="shared" si="582"/>
        <v>0</v>
      </c>
      <c r="BR786" s="5">
        <f t="shared" si="582"/>
        <v>0</v>
      </c>
      <c r="BS786" s="5">
        <f t="shared" si="582"/>
        <v>0</v>
      </c>
      <c r="BT786" s="5">
        <f t="shared" si="582"/>
        <v>0</v>
      </c>
      <c r="BU786" s="5">
        <f t="shared" si="582"/>
        <v>0</v>
      </c>
      <c r="BV786" s="5">
        <f t="shared" si="582"/>
        <v>0</v>
      </c>
      <c r="BW786" s="5">
        <f t="shared" si="582"/>
        <v>0</v>
      </c>
      <c r="BX786" s="5">
        <f t="shared" si="582"/>
        <v>0</v>
      </c>
      <c r="BY786" s="5">
        <f t="shared" si="582"/>
        <v>0</v>
      </c>
      <c r="BZ786" s="5">
        <f t="shared" si="582"/>
        <v>0</v>
      </c>
      <c r="CA786" s="5">
        <f t="shared" si="582"/>
        <v>0</v>
      </c>
      <c r="CB786" s="5">
        <f t="shared" si="582"/>
        <v>0</v>
      </c>
      <c r="CC786" s="5">
        <f t="shared" si="583"/>
        <v>1</v>
      </c>
      <c r="CD786" s="5">
        <f t="shared" si="583"/>
        <v>0</v>
      </c>
      <c r="CE786" s="5">
        <f t="shared" si="583"/>
        <v>0</v>
      </c>
    </row>
    <row r="787" spans="1:83" x14ac:dyDescent="0.2">
      <c r="A787" s="11"/>
      <c r="B787" s="11"/>
      <c r="C787" s="1">
        <f>Growth!D792</f>
        <v>0</v>
      </c>
      <c r="D787" s="5" t="b">
        <f t="shared" si="590"/>
        <v>0</v>
      </c>
      <c r="E787" s="5">
        <v>2013</v>
      </c>
      <c r="F787" s="5">
        <f ca="1">LOOKUP($E787,frequence!$A$2:$A$35,frequence!L$2:L$35)</f>
        <v>46.610663652887361</v>
      </c>
      <c r="G787" s="5">
        <f ca="1">LOOKUP($E787,frequence!$A$2:$A$35,frequence!K$2:K$35)</f>
        <v>7.3617115683267258</v>
      </c>
      <c r="H787" s="5">
        <f ca="1">LOOKUP($E787,frequence!$A$2:$A$35,frequence!M$2:M$35)</f>
        <v>214.81113443396845</v>
      </c>
      <c r="I787" s="16">
        <v>1995</v>
      </c>
      <c r="J787" s="7">
        <f>LOOKUP(I787,CPI!A$69:A$103,CPI!O$69:O$103)</f>
        <v>1.4308136482939633</v>
      </c>
      <c r="K787" s="16">
        <v>2015</v>
      </c>
      <c r="L787" s="7">
        <f t="shared" ca="1" si="584"/>
        <v>1</v>
      </c>
      <c r="M787" s="7">
        <f t="shared" si="556"/>
        <v>0.66363636363636369</v>
      </c>
      <c r="N787" s="14">
        <f t="shared" si="595"/>
        <v>9.0909090909090912E-2</v>
      </c>
      <c r="O787" s="1">
        <f ca="1">P787*J787*(1+Growth!G$6)^(2010-K787)</f>
        <v>0.942428470997422</v>
      </c>
      <c r="P787" s="2">
        <f t="shared" si="568"/>
        <v>0.71</v>
      </c>
      <c r="Q787" s="11">
        <v>0.71</v>
      </c>
      <c r="R787" s="21">
        <f t="shared" ca="1" si="551"/>
        <v>0.88817142294653872</v>
      </c>
      <c r="U787" s="11"/>
      <c r="X787" s="11"/>
      <c r="AA787" s="11"/>
      <c r="AB787" s="11"/>
      <c r="AC787" s="1">
        <f t="shared" si="569"/>
        <v>7.3</v>
      </c>
      <c r="AD787" s="5">
        <v>1</v>
      </c>
      <c r="AE787" s="5">
        <v>0</v>
      </c>
      <c r="AF787" s="5">
        <v>1</v>
      </c>
      <c r="AG787" s="5">
        <v>1</v>
      </c>
      <c r="AH787" s="5">
        <v>1</v>
      </c>
      <c r="AI787" s="3">
        <f t="shared" si="589"/>
        <v>3.3</v>
      </c>
      <c r="AJ787" s="5">
        <f t="shared" si="555"/>
        <v>1</v>
      </c>
      <c r="AK787" s="5">
        <f t="shared" si="585"/>
        <v>0</v>
      </c>
      <c r="AL787" s="5">
        <f t="shared" si="586"/>
        <v>0</v>
      </c>
      <c r="AM787" s="5">
        <f t="shared" si="557"/>
        <v>0</v>
      </c>
      <c r="AN787" s="5">
        <f t="shared" si="587"/>
        <v>0</v>
      </c>
      <c r="AO787" s="5">
        <f t="shared" si="558"/>
        <v>0</v>
      </c>
      <c r="AP787" s="11" t="s">
        <v>42</v>
      </c>
      <c r="AQ787" s="11">
        <v>3</v>
      </c>
      <c r="AR787" s="5">
        <v>0</v>
      </c>
      <c r="AS787" s="5">
        <v>0</v>
      </c>
      <c r="AT787" s="5">
        <v>1</v>
      </c>
      <c r="AU787" s="5">
        <v>0</v>
      </c>
      <c r="AV787" s="5">
        <v>0</v>
      </c>
      <c r="AW787" s="5">
        <v>0</v>
      </c>
      <c r="AX787" s="5">
        <v>1</v>
      </c>
      <c r="AY787" s="1">
        <f t="shared" si="591"/>
        <v>1</v>
      </c>
      <c r="AZ787" s="1">
        <f t="shared" si="592"/>
        <v>0</v>
      </c>
      <c r="BA787" s="1">
        <f t="shared" si="593"/>
        <v>0</v>
      </c>
      <c r="BB787" s="5">
        <v>0</v>
      </c>
      <c r="BC787" s="5">
        <v>0</v>
      </c>
      <c r="BD787" s="5">
        <v>1</v>
      </c>
      <c r="BE787" s="5">
        <f t="shared" si="596"/>
        <v>0</v>
      </c>
      <c r="BF787" s="5">
        <v>0</v>
      </c>
      <c r="BG787" s="5">
        <f t="shared" si="588"/>
        <v>0</v>
      </c>
      <c r="BH787" s="5">
        <f t="shared" si="588"/>
        <v>0</v>
      </c>
      <c r="BI787" s="5">
        <f t="shared" si="588"/>
        <v>0</v>
      </c>
      <c r="BJ787" s="5">
        <f t="shared" si="588"/>
        <v>0</v>
      </c>
      <c r="BK787" s="5">
        <f t="shared" si="588"/>
        <v>0</v>
      </c>
      <c r="BL787" s="5">
        <f t="shared" si="588"/>
        <v>0</v>
      </c>
      <c r="BM787" s="5">
        <f t="shared" si="588"/>
        <v>0</v>
      </c>
      <c r="BN787" s="5">
        <f t="shared" si="582"/>
        <v>0</v>
      </c>
      <c r="BO787" s="5">
        <f t="shared" si="582"/>
        <v>0</v>
      </c>
      <c r="BP787" s="5">
        <f t="shared" si="582"/>
        <v>0</v>
      </c>
      <c r="BQ787" s="5">
        <f t="shared" si="582"/>
        <v>0</v>
      </c>
      <c r="BR787" s="5">
        <f t="shared" si="582"/>
        <v>0</v>
      </c>
      <c r="BS787" s="5">
        <f t="shared" si="582"/>
        <v>0</v>
      </c>
      <c r="BT787" s="5">
        <f t="shared" si="582"/>
        <v>0</v>
      </c>
      <c r="BU787" s="5">
        <f t="shared" si="582"/>
        <v>0</v>
      </c>
      <c r="BV787" s="5">
        <f t="shared" si="582"/>
        <v>0</v>
      </c>
      <c r="BW787" s="5">
        <f t="shared" si="582"/>
        <v>0</v>
      </c>
      <c r="BX787" s="5">
        <f t="shared" si="582"/>
        <v>0</v>
      </c>
      <c r="BY787" s="5">
        <f t="shared" si="582"/>
        <v>0</v>
      </c>
      <c r="BZ787" s="5">
        <f t="shared" si="582"/>
        <v>0</v>
      </c>
      <c r="CA787" s="5">
        <f t="shared" si="582"/>
        <v>0</v>
      </c>
      <c r="CB787" s="5">
        <f t="shared" ref="CB787:CE806" si="597">IF($E787=CB$2,1,0)</f>
        <v>0</v>
      </c>
      <c r="CC787" s="5">
        <f t="shared" si="583"/>
        <v>1</v>
      </c>
      <c r="CD787" s="5">
        <f t="shared" si="583"/>
        <v>0</v>
      </c>
      <c r="CE787" s="5">
        <f t="shared" si="583"/>
        <v>0</v>
      </c>
    </row>
    <row r="788" spans="1:83" x14ac:dyDescent="0.2">
      <c r="A788" s="11"/>
      <c r="B788" s="11"/>
      <c r="C788" s="1">
        <f>Growth!D793</f>
        <v>0</v>
      </c>
      <c r="D788" s="5" t="b">
        <f t="shared" si="590"/>
        <v>0</v>
      </c>
      <c r="E788" s="5">
        <v>2013</v>
      </c>
      <c r="F788" s="5">
        <f ca="1">LOOKUP($E788,frequence!$A$2:$A$35,frequence!L$2:L$35)</f>
        <v>46.610663652887361</v>
      </c>
      <c r="G788" s="5">
        <f ca="1">LOOKUP($E788,frequence!$A$2:$A$35,frequence!K$2:K$35)</f>
        <v>7.3617115683267258</v>
      </c>
      <c r="H788" s="5">
        <f ca="1">LOOKUP($E788,frequence!$A$2:$A$35,frequence!M$2:M$35)</f>
        <v>214.81113443396845</v>
      </c>
      <c r="I788" s="16">
        <v>1995</v>
      </c>
      <c r="J788" s="7">
        <f>LOOKUP(I788,CPI!A$69:A$103,CPI!O$69:O$103)</f>
        <v>1.4308136482939633</v>
      </c>
      <c r="K788" s="16">
        <v>2015</v>
      </c>
      <c r="L788" s="7">
        <f t="shared" ca="1" si="584"/>
        <v>1</v>
      </c>
      <c r="M788" s="7">
        <f t="shared" si="556"/>
        <v>0.66363636363636369</v>
      </c>
      <c r="N788" s="14">
        <f t="shared" si="595"/>
        <v>9.0909090909090912E-2</v>
      </c>
      <c r="O788" s="1">
        <f ca="1">P788*J788*(1+Growth!G$6)^(2010-K788)</f>
        <v>68.226511844038725</v>
      </c>
      <c r="P788" s="2">
        <f t="shared" si="568"/>
        <v>51.4</v>
      </c>
      <c r="Q788" s="11">
        <v>51.4</v>
      </c>
      <c r="R788" s="21">
        <f t="shared" ca="1" si="551"/>
        <v>4654.8569184047565</v>
      </c>
      <c r="U788" s="11"/>
      <c r="X788" s="11"/>
      <c r="AA788" s="11"/>
      <c r="AB788" s="11"/>
      <c r="AC788" s="1">
        <f t="shared" si="569"/>
        <v>7.3</v>
      </c>
      <c r="AD788" s="5">
        <v>1</v>
      </c>
      <c r="AE788" s="5">
        <v>0</v>
      </c>
      <c r="AF788" s="5">
        <v>1</v>
      </c>
      <c r="AG788" s="5">
        <v>1</v>
      </c>
      <c r="AH788" s="5">
        <v>1</v>
      </c>
      <c r="AI788" s="3">
        <f t="shared" si="589"/>
        <v>3.3</v>
      </c>
      <c r="AJ788" s="5">
        <f t="shared" si="555"/>
        <v>0</v>
      </c>
      <c r="AK788" s="5">
        <f t="shared" si="585"/>
        <v>0</v>
      </c>
      <c r="AL788" s="5">
        <f t="shared" si="586"/>
        <v>0</v>
      </c>
      <c r="AM788" s="5">
        <f t="shared" si="557"/>
        <v>1</v>
      </c>
      <c r="AN788" s="5">
        <f t="shared" si="587"/>
        <v>0</v>
      </c>
      <c r="AO788" s="5">
        <f t="shared" si="558"/>
        <v>0</v>
      </c>
      <c r="AP788" s="11" t="s">
        <v>42</v>
      </c>
      <c r="AQ788" s="11">
        <v>1</v>
      </c>
      <c r="AR788" s="5">
        <v>0</v>
      </c>
      <c r="AS788" s="5">
        <v>1</v>
      </c>
      <c r="AT788" s="5">
        <v>1</v>
      </c>
      <c r="AU788" s="5">
        <v>0</v>
      </c>
      <c r="AV788" s="5">
        <v>0</v>
      </c>
      <c r="AW788" s="5">
        <v>0</v>
      </c>
      <c r="AX788" s="5">
        <v>1</v>
      </c>
      <c r="AY788" s="1">
        <f t="shared" si="591"/>
        <v>0</v>
      </c>
      <c r="AZ788" s="1">
        <f t="shared" si="592"/>
        <v>1</v>
      </c>
      <c r="BA788" s="1">
        <f t="shared" si="593"/>
        <v>0</v>
      </c>
      <c r="BB788" s="5">
        <v>0</v>
      </c>
      <c r="BC788" s="5">
        <v>0</v>
      </c>
      <c r="BD788" s="5">
        <v>1</v>
      </c>
      <c r="BE788" s="5">
        <f t="shared" si="596"/>
        <v>0</v>
      </c>
      <c r="BF788" s="5">
        <v>0</v>
      </c>
      <c r="BG788" s="5">
        <f t="shared" si="588"/>
        <v>0</v>
      </c>
      <c r="BH788" s="5">
        <f t="shared" si="588"/>
        <v>0</v>
      </c>
      <c r="BI788" s="5">
        <f t="shared" si="588"/>
        <v>0</v>
      </c>
      <c r="BJ788" s="5">
        <f t="shared" si="588"/>
        <v>0</v>
      </c>
      <c r="BK788" s="5">
        <f t="shared" si="588"/>
        <v>0</v>
      </c>
      <c r="BL788" s="5">
        <f t="shared" si="588"/>
        <v>0</v>
      </c>
      <c r="BM788" s="5">
        <f t="shared" si="588"/>
        <v>0</v>
      </c>
      <c r="BN788" s="5">
        <f t="shared" si="588"/>
        <v>0</v>
      </c>
      <c r="BO788" s="5">
        <f t="shared" ref="BO788:CA803" si="598">IF($E788=BO$2,1,0)</f>
        <v>0</v>
      </c>
      <c r="BP788" s="5">
        <f t="shared" si="598"/>
        <v>0</v>
      </c>
      <c r="BQ788" s="5">
        <f t="shared" si="598"/>
        <v>0</v>
      </c>
      <c r="BR788" s="5">
        <f t="shared" si="598"/>
        <v>0</v>
      </c>
      <c r="BS788" s="5">
        <f t="shared" si="598"/>
        <v>0</v>
      </c>
      <c r="BT788" s="5">
        <f t="shared" si="598"/>
        <v>0</v>
      </c>
      <c r="BU788" s="5">
        <f t="shared" si="598"/>
        <v>0</v>
      </c>
      <c r="BV788" s="5">
        <f t="shared" si="598"/>
        <v>0</v>
      </c>
      <c r="BW788" s="5">
        <f t="shared" si="598"/>
        <v>0</v>
      </c>
      <c r="BX788" s="5">
        <f t="shared" si="598"/>
        <v>0</v>
      </c>
      <c r="BY788" s="5">
        <f t="shared" si="598"/>
        <v>0</v>
      </c>
      <c r="BZ788" s="5">
        <f t="shared" si="598"/>
        <v>0</v>
      </c>
      <c r="CA788" s="5">
        <f t="shared" si="598"/>
        <v>0</v>
      </c>
      <c r="CB788" s="5">
        <f t="shared" si="597"/>
        <v>0</v>
      </c>
      <c r="CC788" s="5">
        <f t="shared" si="583"/>
        <v>1</v>
      </c>
      <c r="CD788" s="5">
        <f t="shared" si="583"/>
        <v>0</v>
      </c>
      <c r="CE788" s="5">
        <f t="shared" si="583"/>
        <v>0</v>
      </c>
    </row>
    <row r="789" spans="1:83" x14ac:dyDescent="0.2">
      <c r="A789" s="11"/>
      <c r="B789" s="11"/>
      <c r="C789" s="1">
        <f>Growth!D794</f>
        <v>0</v>
      </c>
      <c r="D789" s="5" t="b">
        <f t="shared" si="590"/>
        <v>0</v>
      </c>
      <c r="E789" s="5">
        <v>2013</v>
      </c>
      <c r="F789" s="5">
        <f ca="1">LOOKUP($E789,frequence!$A$2:$A$35,frequence!L$2:L$35)</f>
        <v>46.610663652887361</v>
      </c>
      <c r="G789" s="5">
        <f ca="1">LOOKUP($E789,frequence!$A$2:$A$35,frequence!K$2:K$35)</f>
        <v>7.3617115683267258</v>
      </c>
      <c r="H789" s="5">
        <f ca="1">LOOKUP($E789,frequence!$A$2:$A$35,frequence!M$2:M$35)</f>
        <v>214.81113443396845</v>
      </c>
      <c r="I789" s="16">
        <v>1995</v>
      </c>
      <c r="J789" s="7">
        <f>LOOKUP(I789,CPI!A$69:A$103,CPI!O$69:O$103)</f>
        <v>1.4308136482939633</v>
      </c>
      <c r="K789" s="16">
        <v>2015</v>
      </c>
      <c r="L789" s="7">
        <f t="shared" ca="1" si="584"/>
        <v>1</v>
      </c>
      <c r="M789" s="7">
        <f t="shared" si="556"/>
        <v>0.66363636363636369</v>
      </c>
      <c r="N789" s="14">
        <f t="shared" si="595"/>
        <v>9.0909090909090912E-2</v>
      </c>
      <c r="O789" s="1">
        <f ca="1">P789*J789*(1+Growth!G$6)^(2010-K789)</f>
        <v>436.60985488053808</v>
      </c>
      <c r="P789" s="2">
        <f t="shared" si="568"/>
        <v>328.93</v>
      </c>
      <c r="Q789" s="11">
        <v>328.93</v>
      </c>
      <c r="R789" s="21">
        <f t="shared" ca="1" si="551"/>
        <v>190628.16537880452</v>
      </c>
      <c r="U789" s="11"/>
      <c r="X789" s="11"/>
      <c r="AA789" s="11"/>
      <c r="AB789" s="11"/>
      <c r="AC789" s="1">
        <f t="shared" si="569"/>
        <v>7.3</v>
      </c>
      <c r="AD789" s="5">
        <v>1</v>
      </c>
      <c r="AE789" s="5">
        <v>0</v>
      </c>
      <c r="AF789" s="5">
        <v>1</v>
      </c>
      <c r="AG789" s="5">
        <v>1</v>
      </c>
      <c r="AH789" s="5">
        <v>1</v>
      </c>
      <c r="AI789" s="3">
        <f t="shared" si="589"/>
        <v>3.3</v>
      </c>
      <c r="AJ789" s="5">
        <f t="shared" si="555"/>
        <v>0</v>
      </c>
      <c r="AK789" s="5">
        <f t="shared" si="585"/>
        <v>0</v>
      </c>
      <c r="AL789" s="5">
        <f t="shared" si="586"/>
        <v>0</v>
      </c>
      <c r="AM789" s="5">
        <f t="shared" si="557"/>
        <v>1</v>
      </c>
      <c r="AN789" s="5">
        <f t="shared" si="587"/>
        <v>0</v>
      </c>
      <c r="AO789" s="5">
        <f t="shared" si="558"/>
        <v>0</v>
      </c>
      <c r="AP789" s="11" t="s">
        <v>42</v>
      </c>
      <c r="AQ789" s="11">
        <v>1</v>
      </c>
      <c r="AR789" s="5">
        <v>1</v>
      </c>
      <c r="AS789" s="5">
        <v>1</v>
      </c>
      <c r="AT789" s="5">
        <v>1</v>
      </c>
      <c r="AU789" s="5">
        <v>0</v>
      </c>
      <c r="AV789" s="5">
        <v>0</v>
      </c>
      <c r="AW789" s="5">
        <v>0</v>
      </c>
      <c r="AX789" s="5">
        <v>1</v>
      </c>
      <c r="AY789" s="1">
        <f t="shared" si="591"/>
        <v>0</v>
      </c>
      <c r="AZ789" s="1">
        <f t="shared" si="592"/>
        <v>0</v>
      </c>
      <c r="BA789" s="1">
        <f t="shared" si="593"/>
        <v>0</v>
      </c>
      <c r="BB789" s="5">
        <v>0</v>
      </c>
      <c r="BC789" s="5">
        <v>0</v>
      </c>
      <c r="BD789" s="5">
        <v>1</v>
      </c>
      <c r="BE789" s="5">
        <f t="shared" si="596"/>
        <v>0</v>
      </c>
      <c r="BF789" s="5">
        <v>0</v>
      </c>
      <c r="BG789" s="5">
        <f t="shared" ref="BG789:BN804" si="599">IF($E789=BG$2,1,0)</f>
        <v>0</v>
      </c>
      <c r="BH789" s="5">
        <f t="shared" si="599"/>
        <v>0</v>
      </c>
      <c r="BI789" s="5">
        <f t="shared" si="599"/>
        <v>0</v>
      </c>
      <c r="BJ789" s="5">
        <f t="shared" si="599"/>
        <v>0</v>
      </c>
      <c r="BK789" s="5">
        <f t="shared" si="599"/>
        <v>0</v>
      </c>
      <c r="BL789" s="5">
        <f t="shared" si="599"/>
        <v>0</v>
      </c>
      <c r="BM789" s="5">
        <f t="shared" si="599"/>
        <v>0</v>
      </c>
      <c r="BN789" s="5">
        <f t="shared" si="599"/>
        <v>0</v>
      </c>
      <c r="BO789" s="5">
        <f t="shared" si="598"/>
        <v>0</v>
      </c>
      <c r="BP789" s="5">
        <f t="shared" si="598"/>
        <v>0</v>
      </c>
      <c r="BQ789" s="5">
        <f t="shared" si="598"/>
        <v>0</v>
      </c>
      <c r="BR789" s="5">
        <f t="shared" si="598"/>
        <v>0</v>
      </c>
      <c r="BS789" s="5">
        <f t="shared" si="598"/>
        <v>0</v>
      </c>
      <c r="BT789" s="5">
        <f t="shared" si="598"/>
        <v>0</v>
      </c>
      <c r="BU789" s="5">
        <f t="shared" si="598"/>
        <v>0</v>
      </c>
      <c r="BV789" s="5">
        <f t="shared" si="598"/>
        <v>0</v>
      </c>
      <c r="BW789" s="5">
        <f t="shared" si="598"/>
        <v>0</v>
      </c>
      <c r="BX789" s="5">
        <f t="shared" si="598"/>
        <v>0</v>
      </c>
      <c r="BY789" s="5">
        <f t="shared" si="598"/>
        <v>0</v>
      </c>
      <c r="BZ789" s="5">
        <f t="shared" si="598"/>
        <v>0</v>
      </c>
      <c r="CA789" s="5">
        <f t="shared" si="598"/>
        <v>0</v>
      </c>
      <c r="CB789" s="5">
        <f t="shared" si="597"/>
        <v>0</v>
      </c>
      <c r="CC789" s="5">
        <f t="shared" si="583"/>
        <v>1</v>
      </c>
      <c r="CD789" s="5">
        <f t="shared" si="583"/>
        <v>0</v>
      </c>
      <c r="CE789" s="5">
        <f t="shared" si="583"/>
        <v>0</v>
      </c>
    </row>
    <row r="790" spans="1:83" x14ac:dyDescent="0.2">
      <c r="A790" s="11" t="s">
        <v>193</v>
      </c>
      <c r="B790" s="11" t="s">
        <v>194</v>
      </c>
      <c r="C790" s="1">
        <f>Growth!D795</f>
        <v>0.33333333333333331</v>
      </c>
      <c r="D790" s="5">
        <f t="shared" si="590"/>
        <v>2013</v>
      </c>
      <c r="E790" s="5">
        <v>2013</v>
      </c>
      <c r="F790" s="5">
        <f ca="1">LOOKUP($E790,frequence!$A$2:$A$35,frequence!L$2:L$35)</f>
        <v>46.610663652887361</v>
      </c>
      <c r="G790" s="5">
        <f ca="1">LOOKUP($E790,frequence!$A$2:$A$35,frequence!K$2:K$35)</f>
        <v>7.3617115683267258</v>
      </c>
      <c r="H790" s="5">
        <f ca="1">LOOKUP($E790,frequence!$A$2:$A$35,frequence!M$2:M$35)</f>
        <v>214.81113443396845</v>
      </c>
      <c r="I790" s="16">
        <v>2007</v>
      </c>
      <c r="J790" s="7">
        <f>LOOKUP(I790,CPI!A$69:A$103,CPI!O$69:O$103)</f>
        <v>1.0516730811895323</v>
      </c>
      <c r="K790" s="16">
        <v>2015</v>
      </c>
      <c r="L790" s="7">
        <f t="shared" ca="1" si="584"/>
        <v>1</v>
      </c>
      <c r="M790" s="7">
        <f t="shared" si="556"/>
        <v>2.0999999999999996</v>
      </c>
      <c r="N790" s="14">
        <f t="shared" ref="N790:N795" si="600">1/3</f>
        <v>0.33333333333333331</v>
      </c>
      <c r="O790" s="1">
        <f ca="1">P790*J790*(1+Growth!G$6)^(2010-K790)</f>
        <v>11.707629727900636</v>
      </c>
      <c r="P790" s="11">
        <v>12</v>
      </c>
      <c r="Q790" s="2">
        <f t="shared" ref="Q790:Q792" si="601">P790</f>
        <v>12</v>
      </c>
      <c r="R790" s="21">
        <f t="shared" ca="1" si="551"/>
        <v>137.06859384562273</v>
      </c>
      <c r="U790" s="11"/>
      <c r="X790" s="11"/>
      <c r="AA790" s="11"/>
      <c r="AB790" s="11"/>
      <c r="AC790" s="1">
        <f t="shared" si="569"/>
        <v>6.3</v>
      </c>
      <c r="AD790" s="5">
        <v>0</v>
      </c>
      <c r="AE790" s="5">
        <v>0</v>
      </c>
      <c r="AF790" s="5">
        <v>1</v>
      </c>
      <c r="AG790" s="5">
        <v>1</v>
      </c>
      <c r="AH790" s="5">
        <v>1</v>
      </c>
      <c r="AI790" s="3">
        <f t="shared" si="589"/>
        <v>3.3</v>
      </c>
      <c r="AJ790" s="5">
        <f t="shared" si="555"/>
        <v>0</v>
      </c>
      <c r="AK790" s="5">
        <f t="shared" si="585"/>
        <v>0</v>
      </c>
      <c r="AL790" s="5">
        <f t="shared" si="586"/>
        <v>0</v>
      </c>
      <c r="AM790" s="5">
        <f t="shared" si="557"/>
        <v>0</v>
      </c>
      <c r="AN790" s="5">
        <f t="shared" si="587"/>
        <v>0</v>
      </c>
      <c r="AO790" s="5">
        <f t="shared" si="558"/>
        <v>0</v>
      </c>
      <c r="AP790" s="11">
        <v>5</v>
      </c>
      <c r="AQ790" s="11" t="s">
        <v>42</v>
      </c>
      <c r="AR790" s="5">
        <v>0</v>
      </c>
      <c r="AS790" s="5">
        <v>0</v>
      </c>
      <c r="AT790" s="5">
        <v>0</v>
      </c>
      <c r="AU790" s="5">
        <v>0</v>
      </c>
      <c r="AV790" s="5">
        <v>0</v>
      </c>
      <c r="AW790" s="5">
        <v>0</v>
      </c>
      <c r="AX790" s="5">
        <v>1</v>
      </c>
      <c r="AY790" s="1">
        <f t="shared" ref="AY790:AY792" si="602">AJ790*$AD790*(1-$AV790)*(1-$AR790)</f>
        <v>0</v>
      </c>
      <c r="AZ790" s="1">
        <f t="shared" ref="AZ790:AZ792" si="603">AM790*$AD790*(1-$AV790)*(1-$AR790)</f>
        <v>0</v>
      </c>
      <c r="BA790" s="1">
        <f t="shared" ref="BA790:BA792" si="604">AO790*$AD790*(1-$AV790)*(1-$AR790)</f>
        <v>0</v>
      </c>
      <c r="BB790" s="5">
        <v>0</v>
      </c>
      <c r="BC790" s="5">
        <v>0</v>
      </c>
      <c r="BD790" s="5">
        <v>0</v>
      </c>
      <c r="BE790" s="5">
        <f t="shared" ref="BE790" si="605">1-SUM(BB790:BD790)</f>
        <v>1</v>
      </c>
      <c r="BF790" s="5">
        <v>0</v>
      </c>
      <c r="BG790" s="5">
        <f t="shared" si="599"/>
        <v>0</v>
      </c>
      <c r="BH790" s="5">
        <f t="shared" si="599"/>
        <v>0</v>
      </c>
      <c r="BI790" s="5">
        <f t="shared" si="599"/>
        <v>0</v>
      </c>
      <c r="BJ790" s="5">
        <f t="shared" si="599"/>
        <v>0</v>
      </c>
      <c r="BK790" s="5">
        <f t="shared" si="599"/>
        <v>0</v>
      </c>
      <c r="BL790" s="5">
        <f t="shared" si="599"/>
        <v>0</v>
      </c>
      <c r="BM790" s="5">
        <f t="shared" si="599"/>
        <v>0</v>
      </c>
      <c r="BN790" s="5">
        <f t="shared" si="599"/>
        <v>0</v>
      </c>
      <c r="BO790" s="5">
        <f t="shared" si="598"/>
        <v>0</v>
      </c>
      <c r="BP790" s="5">
        <f t="shared" si="598"/>
        <v>0</v>
      </c>
      <c r="BQ790" s="5">
        <f t="shared" si="598"/>
        <v>0</v>
      </c>
      <c r="BR790" s="5">
        <f t="shared" si="598"/>
        <v>0</v>
      </c>
      <c r="BS790" s="5">
        <f t="shared" si="598"/>
        <v>0</v>
      </c>
      <c r="BT790" s="5">
        <f t="shared" si="598"/>
        <v>0</v>
      </c>
      <c r="BU790" s="5">
        <f t="shared" si="598"/>
        <v>0</v>
      </c>
      <c r="BV790" s="5">
        <f t="shared" si="598"/>
        <v>0</v>
      </c>
      <c r="BW790" s="5">
        <f t="shared" si="598"/>
        <v>0</v>
      </c>
      <c r="BX790" s="5">
        <f t="shared" si="598"/>
        <v>0</v>
      </c>
      <c r="BY790" s="5">
        <f t="shared" si="598"/>
        <v>0</v>
      </c>
      <c r="BZ790" s="5">
        <f t="shared" si="598"/>
        <v>0</v>
      </c>
      <c r="CA790" s="5">
        <f t="shared" si="598"/>
        <v>0</v>
      </c>
      <c r="CB790" s="5">
        <f t="shared" si="597"/>
        <v>0</v>
      </c>
      <c r="CC790" s="5">
        <f t="shared" si="583"/>
        <v>1</v>
      </c>
      <c r="CD790" s="5">
        <f t="shared" si="583"/>
        <v>0</v>
      </c>
      <c r="CE790" s="5">
        <f t="shared" si="583"/>
        <v>0</v>
      </c>
    </row>
    <row r="791" spans="1:83" x14ac:dyDescent="0.2">
      <c r="A791" s="11"/>
      <c r="B791" s="11"/>
      <c r="C791" s="1">
        <f>Growth!D796</f>
        <v>0.33333333333333331</v>
      </c>
      <c r="D791" s="5" t="b">
        <f t="shared" si="590"/>
        <v>0</v>
      </c>
      <c r="E791" s="5">
        <v>2013</v>
      </c>
      <c r="F791" s="5">
        <f ca="1">LOOKUP($E791,frequence!$A$2:$A$35,frequence!L$2:L$35)</f>
        <v>46.610663652887361</v>
      </c>
      <c r="G791" s="5">
        <f ca="1">LOOKUP($E791,frequence!$A$2:$A$35,frequence!K$2:K$35)</f>
        <v>7.3617115683267258</v>
      </c>
      <c r="H791" s="5">
        <f ca="1">LOOKUP($E791,frequence!$A$2:$A$35,frequence!M$2:M$35)</f>
        <v>214.81113443396845</v>
      </c>
      <c r="I791" s="16">
        <v>2007</v>
      </c>
      <c r="J791" s="7">
        <f>LOOKUP(I791,CPI!A$69:A$103,CPI!O$69:O$103)</f>
        <v>1.0516730811895323</v>
      </c>
      <c r="K791" s="16">
        <v>2015</v>
      </c>
      <c r="L791" s="7">
        <f t="shared" ca="1" si="584"/>
        <v>1</v>
      </c>
      <c r="M791" s="7">
        <f t="shared" si="556"/>
        <v>2.0999999999999996</v>
      </c>
      <c r="N791" s="14">
        <f t="shared" si="600"/>
        <v>0.33333333333333331</v>
      </c>
      <c r="O791" s="1">
        <f ca="1">P791*J791*(1+Growth!G$6)^(2010-K791)</f>
        <v>37.074160805018685</v>
      </c>
      <c r="P791" s="11">
        <v>38</v>
      </c>
      <c r="Q791" s="2">
        <f t="shared" si="601"/>
        <v>38</v>
      </c>
      <c r="R791" s="21">
        <f t="shared" ca="1" si="551"/>
        <v>1374.4933993963837</v>
      </c>
      <c r="U791" s="11"/>
      <c r="X791" s="11"/>
      <c r="AA791" s="11"/>
      <c r="AB791" s="11"/>
      <c r="AC791" s="1">
        <f t="shared" si="569"/>
        <v>6.3</v>
      </c>
      <c r="AD791" s="5">
        <v>0</v>
      </c>
      <c r="AE791" s="5">
        <v>0</v>
      </c>
      <c r="AF791" s="5">
        <v>1</v>
      </c>
      <c r="AG791" s="5">
        <v>1</v>
      </c>
      <c r="AH791" s="5">
        <v>1</v>
      </c>
      <c r="AI791" s="3">
        <f t="shared" si="589"/>
        <v>3.3</v>
      </c>
      <c r="AJ791" s="5">
        <f t="shared" ref="AJ791:AJ854" si="606">IF($AQ791=3,1,0)</f>
        <v>0</v>
      </c>
      <c r="AK791" s="5">
        <f t="shared" si="585"/>
        <v>0</v>
      </c>
      <c r="AL791" s="5">
        <f t="shared" si="586"/>
        <v>0</v>
      </c>
      <c r="AM791" s="5">
        <f t="shared" si="557"/>
        <v>0</v>
      </c>
      <c r="AN791" s="5">
        <f t="shared" si="587"/>
        <v>0</v>
      </c>
      <c r="AO791" s="5">
        <f t="shared" si="558"/>
        <v>0</v>
      </c>
      <c r="AP791" s="11">
        <v>3</v>
      </c>
      <c r="AQ791" s="11" t="s">
        <v>42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1</v>
      </c>
      <c r="AY791" s="1">
        <f t="shared" si="602"/>
        <v>0</v>
      </c>
      <c r="AZ791" s="1">
        <f t="shared" si="603"/>
        <v>0</v>
      </c>
      <c r="BA791" s="1">
        <f t="shared" si="604"/>
        <v>0</v>
      </c>
      <c r="BB791" s="5">
        <v>0</v>
      </c>
      <c r="BC791" s="5">
        <v>0</v>
      </c>
      <c r="BD791" s="5">
        <v>0</v>
      </c>
      <c r="BE791" s="5">
        <f t="shared" ref="BE791:BE795" si="607">1-SUM(BB791:BD791)</f>
        <v>1</v>
      </c>
      <c r="BF791" s="5">
        <v>0</v>
      </c>
      <c r="BG791" s="5">
        <f t="shared" si="599"/>
        <v>0</v>
      </c>
      <c r="BH791" s="5">
        <f t="shared" si="599"/>
        <v>0</v>
      </c>
      <c r="BI791" s="5">
        <f t="shared" si="599"/>
        <v>0</v>
      </c>
      <c r="BJ791" s="5">
        <f t="shared" si="599"/>
        <v>0</v>
      </c>
      <c r="BK791" s="5">
        <f t="shared" si="599"/>
        <v>0</v>
      </c>
      <c r="BL791" s="5">
        <f t="shared" si="599"/>
        <v>0</v>
      </c>
      <c r="BM791" s="5">
        <f t="shared" si="599"/>
        <v>0</v>
      </c>
      <c r="BN791" s="5">
        <f t="shared" si="599"/>
        <v>0</v>
      </c>
      <c r="BO791" s="5">
        <f t="shared" si="598"/>
        <v>0</v>
      </c>
      <c r="BP791" s="5">
        <f t="shared" si="598"/>
        <v>0</v>
      </c>
      <c r="BQ791" s="5">
        <f t="shared" si="598"/>
        <v>0</v>
      </c>
      <c r="BR791" s="5">
        <f t="shared" si="598"/>
        <v>0</v>
      </c>
      <c r="BS791" s="5">
        <f t="shared" si="598"/>
        <v>0</v>
      </c>
      <c r="BT791" s="5">
        <f t="shared" si="598"/>
        <v>0</v>
      </c>
      <c r="BU791" s="5">
        <f t="shared" si="598"/>
        <v>0</v>
      </c>
      <c r="BV791" s="5">
        <f t="shared" si="598"/>
        <v>0</v>
      </c>
      <c r="BW791" s="5">
        <f t="shared" si="598"/>
        <v>0</v>
      </c>
      <c r="BX791" s="5">
        <f t="shared" si="598"/>
        <v>0</v>
      </c>
      <c r="BY791" s="5">
        <f t="shared" si="598"/>
        <v>0</v>
      </c>
      <c r="BZ791" s="5">
        <f t="shared" si="598"/>
        <v>0</v>
      </c>
      <c r="CA791" s="5">
        <f t="shared" si="598"/>
        <v>0</v>
      </c>
      <c r="CB791" s="5">
        <f t="shared" si="597"/>
        <v>0</v>
      </c>
      <c r="CC791" s="5">
        <f t="shared" si="583"/>
        <v>1</v>
      </c>
      <c r="CD791" s="5">
        <f t="shared" si="583"/>
        <v>0</v>
      </c>
      <c r="CE791" s="5">
        <f t="shared" si="583"/>
        <v>0</v>
      </c>
    </row>
    <row r="792" spans="1:83" x14ac:dyDescent="0.2">
      <c r="A792" s="11"/>
      <c r="B792" s="11"/>
      <c r="C792" s="1">
        <f>Growth!D797</f>
        <v>0.33333333333333331</v>
      </c>
      <c r="D792" s="5" t="b">
        <f t="shared" si="590"/>
        <v>0</v>
      </c>
      <c r="E792" s="5">
        <v>2013</v>
      </c>
      <c r="F792" s="5">
        <f ca="1">LOOKUP($E792,frequence!$A$2:$A$35,frequence!L$2:L$35)</f>
        <v>46.610663652887361</v>
      </c>
      <c r="G792" s="5">
        <f ca="1">LOOKUP($E792,frequence!$A$2:$A$35,frequence!K$2:K$35)</f>
        <v>7.3617115683267258</v>
      </c>
      <c r="H792" s="5">
        <f ca="1">LOOKUP($E792,frequence!$A$2:$A$35,frequence!M$2:M$35)</f>
        <v>214.81113443396845</v>
      </c>
      <c r="I792" s="16">
        <v>2007</v>
      </c>
      <c r="J792" s="7">
        <f>LOOKUP(I792,CPI!A$69:A$103,CPI!O$69:O$103)</f>
        <v>1.0516730811895323</v>
      </c>
      <c r="K792" s="16">
        <v>2015</v>
      </c>
      <c r="L792" s="7">
        <f t="shared" ca="1" si="584"/>
        <v>1</v>
      </c>
      <c r="M792" s="7">
        <f t="shared" ref="M792:M855" si="608">N792*AC792</f>
        <v>2.0999999999999996</v>
      </c>
      <c r="N792" s="14">
        <f t="shared" si="600"/>
        <v>0.33333333333333331</v>
      </c>
      <c r="O792" s="1">
        <f ca="1">P792*J792*(1+Growth!G$6)^(2010-K792)</f>
        <v>56.586877018186414</v>
      </c>
      <c r="P792" s="11">
        <v>58</v>
      </c>
      <c r="Q792" s="2">
        <f t="shared" si="601"/>
        <v>58</v>
      </c>
      <c r="R792" s="21">
        <f t="shared" ca="1" si="551"/>
        <v>3202.0746506713535</v>
      </c>
      <c r="U792" s="11"/>
      <c r="X792" s="11"/>
      <c r="AA792" s="11"/>
      <c r="AB792" s="11"/>
      <c r="AC792" s="1">
        <f t="shared" si="569"/>
        <v>6.3</v>
      </c>
      <c r="AD792" s="5">
        <v>0</v>
      </c>
      <c r="AE792" s="5">
        <v>0</v>
      </c>
      <c r="AF792" s="5">
        <v>1</v>
      </c>
      <c r="AG792" s="5">
        <v>1</v>
      </c>
      <c r="AH792" s="5">
        <v>1</v>
      </c>
      <c r="AI792" s="3">
        <f t="shared" si="589"/>
        <v>3.3</v>
      </c>
      <c r="AJ792" s="5">
        <f t="shared" si="606"/>
        <v>0</v>
      </c>
      <c r="AK792" s="5">
        <f t="shared" si="585"/>
        <v>0</v>
      </c>
      <c r="AL792" s="5">
        <f t="shared" si="586"/>
        <v>0</v>
      </c>
      <c r="AM792" s="5">
        <f t="shared" si="557"/>
        <v>0</v>
      </c>
      <c r="AN792" s="5">
        <f t="shared" si="587"/>
        <v>0</v>
      </c>
      <c r="AO792" s="5">
        <f t="shared" si="558"/>
        <v>0</v>
      </c>
      <c r="AP792" s="11">
        <v>2</v>
      </c>
      <c r="AQ792" s="11" t="s">
        <v>42</v>
      </c>
      <c r="AR792" s="5">
        <v>0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1</v>
      </c>
      <c r="AY792" s="1">
        <f t="shared" si="602"/>
        <v>0</v>
      </c>
      <c r="AZ792" s="1">
        <f t="shared" si="603"/>
        <v>0</v>
      </c>
      <c r="BA792" s="1">
        <f t="shared" si="604"/>
        <v>0</v>
      </c>
      <c r="BB792" s="5">
        <v>0</v>
      </c>
      <c r="BC792" s="5">
        <v>0</v>
      </c>
      <c r="BD792" s="5">
        <v>0</v>
      </c>
      <c r="BE792" s="5">
        <f t="shared" si="607"/>
        <v>1</v>
      </c>
      <c r="BF792" s="5">
        <v>0</v>
      </c>
      <c r="BG792" s="5">
        <f t="shared" si="599"/>
        <v>0</v>
      </c>
      <c r="BH792" s="5">
        <f t="shared" si="599"/>
        <v>0</v>
      </c>
      <c r="BI792" s="5">
        <f t="shared" si="599"/>
        <v>0</v>
      </c>
      <c r="BJ792" s="5">
        <f t="shared" si="599"/>
        <v>0</v>
      </c>
      <c r="BK792" s="5">
        <f t="shared" si="599"/>
        <v>0</v>
      </c>
      <c r="BL792" s="5">
        <f t="shared" si="599"/>
        <v>0</v>
      </c>
      <c r="BM792" s="5">
        <f t="shared" si="599"/>
        <v>0</v>
      </c>
      <c r="BN792" s="5">
        <f t="shared" si="599"/>
        <v>0</v>
      </c>
      <c r="BO792" s="5">
        <f t="shared" si="598"/>
        <v>0</v>
      </c>
      <c r="BP792" s="5">
        <f t="shared" si="598"/>
        <v>0</v>
      </c>
      <c r="BQ792" s="5">
        <f t="shared" si="598"/>
        <v>0</v>
      </c>
      <c r="BR792" s="5">
        <f t="shared" si="598"/>
        <v>0</v>
      </c>
      <c r="BS792" s="5">
        <f t="shared" si="598"/>
        <v>0</v>
      </c>
      <c r="BT792" s="5">
        <f t="shared" si="598"/>
        <v>0</v>
      </c>
      <c r="BU792" s="5">
        <f t="shared" si="598"/>
        <v>0</v>
      </c>
      <c r="BV792" s="5">
        <f t="shared" si="598"/>
        <v>0</v>
      </c>
      <c r="BW792" s="5">
        <f t="shared" si="598"/>
        <v>0</v>
      </c>
      <c r="BX792" s="5">
        <f t="shared" si="598"/>
        <v>0</v>
      </c>
      <c r="BY792" s="5">
        <f t="shared" si="598"/>
        <v>0</v>
      </c>
      <c r="BZ792" s="5">
        <f t="shared" si="598"/>
        <v>0</v>
      </c>
      <c r="CA792" s="5">
        <f t="shared" si="598"/>
        <v>0</v>
      </c>
      <c r="CB792" s="5">
        <f t="shared" si="597"/>
        <v>0</v>
      </c>
      <c r="CC792" s="5">
        <f t="shared" si="597"/>
        <v>1</v>
      </c>
      <c r="CD792" s="5">
        <f t="shared" si="597"/>
        <v>0</v>
      </c>
      <c r="CE792" s="5">
        <f t="shared" si="597"/>
        <v>0</v>
      </c>
    </row>
    <row r="793" spans="1:83" x14ac:dyDescent="0.2">
      <c r="A793" s="11" t="s">
        <v>195</v>
      </c>
      <c r="B793" s="11" t="s">
        <v>197</v>
      </c>
      <c r="C793" s="1">
        <f>Growth!D798</f>
        <v>0</v>
      </c>
      <c r="D793" s="5">
        <f t="shared" si="590"/>
        <v>2015</v>
      </c>
      <c r="E793" s="5">
        <v>2015</v>
      </c>
      <c r="F793" s="5">
        <f ca="1">LOOKUP($E793,frequence!$A$2:$A$35,frequence!L$2:L$35)</f>
        <v>59.915964498406019</v>
      </c>
      <c r="G793" s="5">
        <f ca="1">LOOKUP($E793,frequence!$A$2:$A$35,frequence!K$2:K$35)</f>
        <v>12.697082100333608</v>
      </c>
      <c r="H793" s="5">
        <f ca="1">LOOKUP($E793,frequence!$A$2:$A$35,frequence!M$2:M$35)</f>
        <v>262.07305844619424</v>
      </c>
      <c r="I793" s="16">
        <v>2007</v>
      </c>
      <c r="J793" s="7">
        <f>LOOKUP(I793,CPI!A$69:A$103,CPI!O$69:O$103)</f>
        <v>1.0516730811895323</v>
      </c>
      <c r="K793" s="16">
        <v>2010</v>
      </c>
      <c r="L793" s="7">
        <f t="shared" ca="1" si="584"/>
        <v>1</v>
      </c>
      <c r="M793" s="7">
        <f t="shared" si="608"/>
        <v>2.1666666666666665</v>
      </c>
      <c r="N793" s="14">
        <f t="shared" si="600"/>
        <v>0.33333333333333331</v>
      </c>
      <c r="O793" s="1">
        <f ca="1">P793*J793*(1+Growth!G$6)^(2010-K793)</f>
        <v>38.56134631028285</v>
      </c>
      <c r="P793" s="11">
        <f>10*44/12</f>
        <v>36.666666666666664</v>
      </c>
      <c r="Q793" s="2">
        <f t="shared" ref="Q793:Q796" si="609">P793</f>
        <v>36.666666666666664</v>
      </c>
      <c r="R793" s="21">
        <f t="shared" ref="R793:R795" ca="1" si="610">O793*O793</f>
        <v>1486.9774292615648</v>
      </c>
      <c r="U793" s="11"/>
      <c r="X793" s="11"/>
      <c r="AA793" s="11"/>
      <c r="AB793" s="11"/>
      <c r="AC793" s="1">
        <f t="shared" si="569"/>
        <v>6.5</v>
      </c>
      <c r="AD793" s="5">
        <v>1</v>
      </c>
      <c r="AE793" s="5">
        <v>0</v>
      </c>
      <c r="AF793" s="5">
        <v>1</v>
      </c>
      <c r="AG793" s="5">
        <v>0</v>
      </c>
      <c r="AH793" s="5">
        <v>1</v>
      </c>
      <c r="AI793" s="3">
        <f t="shared" si="589"/>
        <v>3.5</v>
      </c>
      <c r="AJ793" s="5">
        <f t="shared" si="606"/>
        <v>0</v>
      </c>
      <c r="AK793" s="5">
        <f t="shared" si="585"/>
        <v>0</v>
      </c>
      <c r="AL793" s="5">
        <f t="shared" si="586"/>
        <v>0</v>
      </c>
      <c r="AM793" s="5">
        <f t="shared" si="557"/>
        <v>0</v>
      </c>
      <c r="AN793" s="5">
        <f t="shared" si="587"/>
        <v>0</v>
      </c>
      <c r="AO793" s="5">
        <f t="shared" si="558"/>
        <v>0</v>
      </c>
      <c r="AP793" s="11">
        <v>5</v>
      </c>
      <c r="AQ793" s="11" t="s">
        <v>42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1</v>
      </c>
      <c r="AY793" s="1">
        <f t="shared" ref="AY793:AY794" si="611">AJ793*$AD793*(1-$AV793)*(1-$AR793)</f>
        <v>0</v>
      </c>
      <c r="AZ793" s="1">
        <f t="shared" ref="AZ793:AZ795" si="612">AM793*$AD793*(1-$AV793)*(1-$AR793)</f>
        <v>0</v>
      </c>
      <c r="BA793" s="1">
        <f t="shared" ref="BA793:BA795" si="613">AO793*$AD793*(1-$AV793)*(1-$AR793)</f>
        <v>0</v>
      </c>
      <c r="BB793" s="5">
        <v>0</v>
      </c>
      <c r="BC793" s="5">
        <v>0</v>
      </c>
      <c r="BD793" s="5">
        <v>0</v>
      </c>
      <c r="BE793" s="5">
        <f t="shared" si="607"/>
        <v>1</v>
      </c>
      <c r="BF793" s="5">
        <v>0</v>
      </c>
      <c r="BG793" s="5">
        <f t="shared" si="599"/>
        <v>0</v>
      </c>
      <c r="BH793" s="5">
        <f t="shared" si="599"/>
        <v>0</v>
      </c>
      <c r="BI793" s="5">
        <f t="shared" si="599"/>
        <v>0</v>
      </c>
      <c r="BJ793" s="5">
        <f t="shared" si="599"/>
        <v>0</v>
      </c>
      <c r="BK793" s="5">
        <f t="shared" si="599"/>
        <v>0</v>
      </c>
      <c r="BL793" s="5">
        <f t="shared" si="599"/>
        <v>0</v>
      </c>
      <c r="BM793" s="5">
        <f t="shared" si="599"/>
        <v>0</v>
      </c>
      <c r="BN793" s="5">
        <f t="shared" si="599"/>
        <v>0</v>
      </c>
      <c r="BO793" s="5">
        <f t="shared" si="598"/>
        <v>0</v>
      </c>
      <c r="BP793" s="5">
        <f t="shared" si="598"/>
        <v>0</v>
      </c>
      <c r="BQ793" s="5">
        <f t="shared" si="598"/>
        <v>0</v>
      </c>
      <c r="BR793" s="5">
        <f t="shared" si="598"/>
        <v>0</v>
      </c>
      <c r="BS793" s="5">
        <f t="shared" si="598"/>
        <v>0</v>
      </c>
      <c r="BT793" s="5">
        <f t="shared" si="598"/>
        <v>0</v>
      </c>
      <c r="BU793" s="5">
        <f t="shared" si="598"/>
        <v>0</v>
      </c>
      <c r="BV793" s="5">
        <f t="shared" si="598"/>
        <v>0</v>
      </c>
      <c r="BW793" s="5">
        <f t="shared" si="598"/>
        <v>0</v>
      </c>
      <c r="BX793" s="5">
        <f t="shared" si="598"/>
        <v>0</v>
      </c>
      <c r="BY793" s="5">
        <f t="shared" si="598"/>
        <v>0</v>
      </c>
      <c r="BZ793" s="5">
        <f t="shared" si="598"/>
        <v>0</v>
      </c>
      <c r="CA793" s="5">
        <f t="shared" si="598"/>
        <v>0</v>
      </c>
      <c r="CB793" s="5">
        <f t="shared" si="597"/>
        <v>0</v>
      </c>
      <c r="CC793" s="5">
        <f t="shared" si="597"/>
        <v>0</v>
      </c>
      <c r="CD793" s="5">
        <f t="shared" si="597"/>
        <v>0</v>
      </c>
      <c r="CE793" s="5">
        <f t="shared" si="597"/>
        <v>1</v>
      </c>
    </row>
    <row r="794" spans="1:83" x14ac:dyDescent="0.2">
      <c r="A794" s="11"/>
      <c r="B794" s="11"/>
      <c r="C794" s="1">
        <f>Growth!D799</f>
        <v>0</v>
      </c>
      <c r="D794" s="5" t="b">
        <f t="shared" si="590"/>
        <v>0</v>
      </c>
      <c r="E794" s="5">
        <v>2015</v>
      </c>
      <c r="F794" s="5">
        <f ca="1">LOOKUP($E794,frequence!$A$2:$A$35,frequence!L$2:L$35)</f>
        <v>59.915964498406019</v>
      </c>
      <c r="G794" s="5">
        <f ca="1">LOOKUP($E794,frequence!$A$2:$A$35,frequence!K$2:K$35)</f>
        <v>12.697082100333608</v>
      </c>
      <c r="H794" s="5">
        <f ca="1">LOOKUP($E794,frequence!$A$2:$A$35,frequence!M$2:M$35)</f>
        <v>262.07305844619424</v>
      </c>
      <c r="I794" s="16">
        <v>2007</v>
      </c>
      <c r="J794" s="7">
        <f>LOOKUP(I794,CPI!A$69:A$103,CPI!O$69:O$103)</f>
        <v>1.0516730811895323</v>
      </c>
      <c r="K794" s="16">
        <v>2010</v>
      </c>
      <c r="L794" s="7">
        <f t="shared" ca="1" si="584"/>
        <v>1</v>
      </c>
      <c r="M794" s="7">
        <f t="shared" si="608"/>
        <v>2.1666666666666665</v>
      </c>
      <c r="N794" s="14">
        <f t="shared" si="600"/>
        <v>0.33333333333333331</v>
      </c>
      <c r="O794" s="1">
        <f ca="1">P794*J794*(1+Growth!G$6)^(2010-K794)</f>
        <v>123.39630819290511</v>
      </c>
      <c r="P794" s="11">
        <f>32*44/12</f>
        <v>117.33333333333333</v>
      </c>
      <c r="Q794" s="2">
        <f t="shared" si="609"/>
        <v>117.33333333333333</v>
      </c>
      <c r="R794" s="21">
        <f t="shared" ca="1" si="610"/>
        <v>15226.648875638421</v>
      </c>
      <c r="U794" s="11"/>
      <c r="X794" s="11"/>
      <c r="AA794" s="11"/>
      <c r="AB794" s="11"/>
      <c r="AC794" s="1">
        <f t="shared" si="569"/>
        <v>6.5</v>
      </c>
      <c r="AD794" s="5">
        <v>1</v>
      </c>
      <c r="AE794" s="5">
        <v>0</v>
      </c>
      <c r="AF794" s="5">
        <v>1</v>
      </c>
      <c r="AG794" s="5">
        <v>0</v>
      </c>
      <c r="AH794" s="5">
        <v>1</v>
      </c>
      <c r="AI794" s="3">
        <f t="shared" si="589"/>
        <v>3.5</v>
      </c>
      <c r="AJ794" s="5">
        <f t="shared" si="606"/>
        <v>0</v>
      </c>
      <c r="AK794" s="5">
        <f t="shared" si="585"/>
        <v>0</v>
      </c>
      <c r="AL794" s="5">
        <f t="shared" si="586"/>
        <v>0</v>
      </c>
      <c r="AM794" s="5">
        <f t="shared" ref="AM794:AM857" si="614">IF($AQ794=1,1,0)</f>
        <v>0</v>
      </c>
      <c r="AN794" s="5">
        <f t="shared" si="587"/>
        <v>0</v>
      </c>
      <c r="AO794" s="5">
        <f t="shared" ref="AO794:AO857" si="615">IF($AQ794=0,1,0)</f>
        <v>0</v>
      </c>
      <c r="AP794" s="11">
        <v>3</v>
      </c>
      <c r="AQ794" s="11" t="s">
        <v>42</v>
      </c>
      <c r="AR794" s="5">
        <v>0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1</v>
      </c>
      <c r="AY794" s="1">
        <f t="shared" si="611"/>
        <v>0</v>
      </c>
      <c r="AZ794" s="1">
        <f t="shared" si="612"/>
        <v>0</v>
      </c>
      <c r="BA794" s="1">
        <f t="shared" si="613"/>
        <v>0</v>
      </c>
      <c r="BB794" s="5">
        <v>0</v>
      </c>
      <c r="BC794" s="5">
        <v>0</v>
      </c>
      <c r="BD794" s="5">
        <v>0</v>
      </c>
      <c r="BE794" s="5">
        <f t="shared" si="607"/>
        <v>1</v>
      </c>
      <c r="BF794" s="5">
        <v>0</v>
      </c>
      <c r="BG794" s="5">
        <f t="shared" si="599"/>
        <v>0</v>
      </c>
      <c r="BH794" s="5">
        <f t="shared" si="599"/>
        <v>0</v>
      </c>
      <c r="BI794" s="5">
        <f t="shared" si="599"/>
        <v>0</v>
      </c>
      <c r="BJ794" s="5">
        <f t="shared" si="599"/>
        <v>0</v>
      </c>
      <c r="BK794" s="5">
        <f t="shared" si="599"/>
        <v>0</v>
      </c>
      <c r="BL794" s="5">
        <f t="shared" si="599"/>
        <v>0</v>
      </c>
      <c r="BM794" s="5">
        <f t="shared" si="599"/>
        <v>0</v>
      </c>
      <c r="BN794" s="5">
        <f t="shared" si="599"/>
        <v>0</v>
      </c>
      <c r="BO794" s="5">
        <f t="shared" si="598"/>
        <v>0</v>
      </c>
      <c r="BP794" s="5">
        <f t="shared" si="598"/>
        <v>0</v>
      </c>
      <c r="BQ794" s="5">
        <f t="shared" si="598"/>
        <v>0</v>
      </c>
      <c r="BR794" s="5">
        <f t="shared" si="598"/>
        <v>0</v>
      </c>
      <c r="BS794" s="5">
        <f t="shared" si="598"/>
        <v>0</v>
      </c>
      <c r="BT794" s="5">
        <f t="shared" si="598"/>
        <v>0</v>
      </c>
      <c r="BU794" s="5">
        <f t="shared" si="598"/>
        <v>0</v>
      </c>
      <c r="BV794" s="5">
        <f t="shared" si="598"/>
        <v>0</v>
      </c>
      <c r="BW794" s="5">
        <f t="shared" si="598"/>
        <v>0</v>
      </c>
      <c r="BX794" s="5">
        <f t="shared" si="598"/>
        <v>0</v>
      </c>
      <c r="BY794" s="5">
        <f t="shared" si="598"/>
        <v>0</v>
      </c>
      <c r="BZ794" s="5">
        <f t="shared" si="598"/>
        <v>0</v>
      </c>
      <c r="CA794" s="5">
        <f t="shared" si="598"/>
        <v>0</v>
      </c>
      <c r="CB794" s="5">
        <f t="shared" si="597"/>
        <v>0</v>
      </c>
      <c r="CC794" s="5">
        <f t="shared" si="597"/>
        <v>0</v>
      </c>
      <c r="CD794" s="5">
        <f t="shared" si="597"/>
        <v>0</v>
      </c>
      <c r="CE794" s="5">
        <f t="shared" si="597"/>
        <v>1</v>
      </c>
    </row>
    <row r="795" spans="1:83" x14ac:dyDescent="0.2">
      <c r="A795" s="11"/>
      <c r="B795" s="11"/>
      <c r="C795" s="1">
        <f>Growth!D800</f>
        <v>0</v>
      </c>
      <c r="D795" s="5" t="b">
        <f t="shared" si="590"/>
        <v>0</v>
      </c>
      <c r="E795" s="5">
        <v>2015</v>
      </c>
      <c r="F795" s="5">
        <f ca="1">LOOKUP($E795,frequence!$A$2:$A$35,frequence!L$2:L$35)</f>
        <v>59.915964498406019</v>
      </c>
      <c r="G795" s="5">
        <f ca="1">LOOKUP($E795,frequence!$A$2:$A$35,frequence!K$2:K$35)</f>
        <v>12.697082100333608</v>
      </c>
      <c r="H795" s="5">
        <f ca="1">LOOKUP($E795,frequence!$A$2:$A$35,frequence!M$2:M$35)</f>
        <v>262.07305844619424</v>
      </c>
      <c r="I795" s="16">
        <v>2007</v>
      </c>
      <c r="J795" s="7">
        <f>LOOKUP(I795,CPI!A$69:A$103,CPI!O$69:O$103)</f>
        <v>1.0516730811895323</v>
      </c>
      <c r="K795" s="16">
        <v>2010</v>
      </c>
      <c r="L795" s="7">
        <f t="shared" ca="1" si="584"/>
        <v>1</v>
      </c>
      <c r="M795" s="7">
        <f t="shared" si="608"/>
        <v>2.1666666666666665</v>
      </c>
      <c r="N795" s="14">
        <f t="shared" si="600"/>
        <v>0.33333333333333331</v>
      </c>
      <c r="O795" s="1">
        <f ca="1">P795*J795*(1+Growth!G$6)^(2010-K795)</f>
        <v>258.36102027889507</v>
      </c>
      <c r="P795" s="11">
        <f>67*44/12</f>
        <v>245.66666666666666</v>
      </c>
      <c r="Q795" s="2">
        <f t="shared" si="609"/>
        <v>245.66666666666666</v>
      </c>
      <c r="R795" s="21">
        <f t="shared" ca="1" si="610"/>
        <v>66750.416799551633</v>
      </c>
      <c r="U795" s="11"/>
      <c r="X795" s="11"/>
      <c r="AA795" s="11"/>
      <c r="AB795" s="11"/>
      <c r="AC795" s="1">
        <f t="shared" si="569"/>
        <v>6.5</v>
      </c>
      <c r="AD795" s="5">
        <v>1</v>
      </c>
      <c r="AE795" s="5">
        <v>0</v>
      </c>
      <c r="AF795" s="5">
        <v>1</v>
      </c>
      <c r="AG795" s="5">
        <v>0</v>
      </c>
      <c r="AH795" s="5">
        <v>1</v>
      </c>
      <c r="AI795" s="3">
        <f t="shared" si="589"/>
        <v>3.5</v>
      </c>
      <c r="AJ795" s="5">
        <f t="shared" si="606"/>
        <v>0</v>
      </c>
      <c r="AK795" s="5">
        <f t="shared" si="585"/>
        <v>0</v>
      </c>
      <c r="AL795" s="5">
        <f t="shared" si="586"/>
        <v>0</v>
      </c>
      <c r="AM795" s="5">
        <f t="shared" si="614"/>
        <v>0</v>
      </c>
      <c r="AN795" s="5">
        <f t="shared" si="587"/>
        <v>0</v>
      </c>
      <c r="AO795" s="5">
        <f t="shared" si="615"/>
        <v>0</v>
      </c>
      <c r="AP795" s="11">
        <v>1.4</v>
      </c>
      <c r="AQ795" s="11" t="s">
        <v>42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1</v>
      </c>
      <c r="AY795" s="1">
        <f t="shared" ref="AY795" si="616">AJ795*$AD795*(1-$AV795)*(1-$AR795)</f>
        <v>0</v>
      </c>
      <c r="AZ795" s="1">
        <f t="shared" si="612"/>
        <v>0</v>
      </c>
      <c r="BA795" s="1">
        <f t="shared" si="613"/>
        <v>0</v>
      </c>
      <c r="BB795" s="5">
        <v>0</v>
      </c>
      <c r="BC795" s="5">
        <v>0</v>
      </c>
      <c r="BD795" s="5">
        <v>0</v>
      </c>
      <c r="BE795" s="5">
        <f t="shared" si="607"/>
        <v>1</v>
      </c>
      <c r="BF795" s="5">
        <v>0</v>
      </c>
      <c r="BG795" s="5">
        <f t="shared" si="599"/>
        <v>0</v>
      </c>
      <c r="BH795" s="5">
        <f t="shared" si="599"/>
        <v>0</v>
      </c>
      <c r="BI795" s="5">
        <f t="shared" si="599"/>
        <v>0</v>
      </c>
      <c r="BJ795" s="5">
        <f t="shared" si="599"/>
        <v>0</v>
      </c>
      <c r="BK795" s="5">
        <f t="shared" si="599"/>
        <v>0</v>
      </c>
      <c r="BL795" s="5">
        <f t="shared" si="599"/>
        <v>0</v>
      </c>
      <c r="BM795" s="5">
        <f t="shared" si="599"/>
        <v>0</v>
      </c>
      <c r="BN795" s="5">
        <f t="shared" si="599"/>
        <v>0</v>
      </c>
      <c r="BO795" s="5">
        <f t="shared" si="598"/>
        <v>0</v>
      </c>
      <c r="BP795" s="5">
        <f t="shared" si="598"/>
        <v>0</v>
      </c>
      <c r="BQ795" s="5">
        <f t="shared" si="598"/>
        <v>0</v>
      </c>
      <c r="BR795" s="5">
        <f t="shared" si="598"/>
        <v>0</v>
      </c>
      <c r="BS795" s="5">
        <f t="shared" si="598"/>
        <v>0</v>
      </c>
      <c r="BT795" s="5">
        <f t="shared" si="598"/>
        <v>0</v>
      </c>
      <c r="BU795" s="5">
        <f t="shared" si="598"/>
        <v>0</v>
      </c>
      <c r="BV795" s="5">
        <f t="shared" si="598"/>
        <v>0</v>
      </c>
      <c r="BW795" s="5">
        <f t="shared" si="598"/>
        <v>0</v>
      </c>
      <c r="BX795" s="5">
        <f t="shared" si="598"/>
        <v>0</v>
      </c>
      <c r="BY795" s="5">
        <f t="shared" si="598"/>
        <v>0</v>
      </c>
      <c r="BZ795" s="5">
        <f t="shared" si="598"/>
        <v>0</v>
      </c>
      <c r="CA795" s="5">
        <f t="shared" si="598"/>
        <v>0</v>
      </c>
      <c r="CB795" s="5">
        <f t="shared" si="597"/>
        <v>0</v>
      </c>
      <c r="CC795" s="5">
        <f t="shared" si="597"/>
        <v>0</v>
      </c>
      <c r="CD795" s="5">
        <f t="shared" si="597"/>
        <v>0</v>
      </c>
      <c r="CE795" s="5">
        <f t="shared" si="597"/>
        <v>1</v>
      </c>
    </row>
    <row r="796" spans="1:83" x14ac:dyDescent="0.2">
      <c r="A796" s="11" t="s">
        <v>196</v>
      </c>
      <c r="B796" s="11" t="s">
        <v>197</v>
      </c>
      <c r="C796" s="1">
        <f>Growth!D801</f>
        <v>0.125</v>
      </c>
      <c r="D796" s="5">
        <f t="shared" si="590"/>
        <v>2015</v>
      </c>
      <c r="E796" s="5">
        <v>2015</v>
      </c>
      <c r="F796" s="5">
        <f ca="1">LOOKUP($E796,frequence!$A$2:$A$35,frequence!L$2:L$35)</f>
        <v>59.915964498406019</v>
      </c>
      <c r="G796" s="5">
        <f ca="1">LOOKUP($E796,frequence!$A$2:$A$35,frequence!K$2:K$35)</f>
        <v>12.697082100333608</v>
      </c>
      <c r="H796" s="5">
        <f ca="1">LOOKUP($E796,frequence!$A$2:$A$35,frequence!M$2:M$35)</f>
        <v>262.07305844619424</v>
      </c>
      <c r="I796" s="16">
        <v>1990</v>
      </c>
      <c r="J796" s="7">
        <f>LOOKUP(I796,CPI!A$69:A$103,CPI!O$69:O$103)</f>
        <v>1.6683703136954862</v>
      </c>
      <c r="K796" s="16">
        <v>2020</v>
      </c>
      <c r="L796" s="7">
        <f t="shared" ca="1" si="584"/>
        <v>1</v>
      </c>
      <c r="M796" s="7">
        <f t="shared" si="608"/>
        <v>0.8125</v>
      </c>
      <c r="N796" s="14">
        <f>1/8</f>
        <v>0.125</v>
      </c>
      <c r="O796" s="1">
        <f ca="1">P796*J796*(1+Growth!G$6)^(2010-K796)</f>
        <v>73.706513674350319</v>
      </c>
      <c r="P796" s="2">
        <f>X796</f>
        <v>51.333333333333336</v>
      </c>
      <c r="Q796" s="2">
        <f t="shared" si="609"/>
        <v>51.333333333333336</v>
      </c>
      <c r="R796" s="21">
        <f t="shared" ca="1" si="551"/>
        <v>5432.6501580271906</v>
      </c>
      <c r="U796" s="11"/>
      <c r="V796" s="11">
        <f>5*44/12</f>
        <v>18.333333333333332</v>
      </c>
      <c r="W796" s="11">
        <f>8*44/12</f>
        <v>29.333333333333332</v>
      </c>
      <c r="X796" s="11">
        <f>14*44/12</f>
        <v>51.333333333333336</v>
      </c>
      <c r="Y796" s="11">
        <f>26*44/12</f>
        <v>95.333333333333329</v>
      </c>
      <c r="Z796" s="11">
        <f>49*44/12</f>
        <v>179.66666666666666</v>
      </c>
      <c r="AA796" s="11"/>
      <c r="AB796" s="11"/>
      <c r="AC796" s="1">
        <f t="shared" ref="AC796:AC803" si="617">SUM(AD796:AI796)</f>
        <v>6.5</v>
      </c>
      <c r="AD796" s="5">
        <v>1</v>
      </c>
      <c r="AE796" s="5">
        <v>0</v>
      </c>
      <c r="AF796" s="5">
        <v>1</v>
      </c>
      <c r="AG796" s="5">
        <v>0</v>
      </c>
      <c r="AH796" s="5">
        <v>1</v>
      </c>
      <c r="AI796" s="3">
        <f t="shared" si="589"/>
        <v>3.5</v>
      </c>
      <c r="AJ796" s="5">
        <f t="shared" si="606"/>
        <v>0</v>
      </c>
      <c r="AK796" s="5">
        <f t="shared" si="585"/>
        <v>0</v>
      </c>
      <c r="AL796" s="5">
        <f t="shared" si="586"/>
        <v>0</v>
      </c>
      <c r="AM796" s="5">
        <f t="shared" si="614"/>
        <v>0</v>
      </c>
      <c r="AN796" s="5">
        <f t="shared" si="587"/>
        <v>1</v>
      </c>
      <c r="AO796" s="5">
        <f t="shared" si="615"/>
        <v>0</v>
      </c>
      <c r="AP796" s="11" t="s">
        <v>42</v>
      </c>
      <c r="AQ796" s="11">
        <v>0.1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1</v>
      </c>
      <c r="AY796" s="1">
        <f t="shared" ref="AY796:AY803" si="618">AJ796*$AD796*(1-$AV796)*(1-$AR796)</f>
        <v>0</v>
      </c>
      <c r="AZ796" s="1">
        <f t="shared" ref="AZ796:AZ803" si="619">AM796*$AD796*(1-$AV796)*(1-$AR796)</f>
        <v>0</v>
      </c>
      <c r="BA796" s="1">
        <f t="shared" ref="BA796:BA803" si="620">AO796*$AD796*(1-$AV796)*(1-$AR796)</f>
        <v>0</v>
      </c>
      <c r="BB796" s="5">
        <v>0</v>
      </c>
      <c r="BC796" s="5">
        <v>0</v>
      </c>
      <c r="BD796" s="5">
        <v>0</v>
      </c>
      <c r="BE796" s="5">
        <f t="shared" ref="BE796:BE803" si="621">1-SUM(BB796:BD796)</f>
        <v>1</v>
      </c>
      <c r="BF796" s="5">
        <v>1</v>
      </c>
      <c r="BG796" s="5">
        <f t="shared" si="599"/>
        <v>0</v>
      </c>
      <c r="BH796" s="5">
        <f t="shared" si="599"/>
        <v>0</v>
      </c>
      <c r="BI796" s="5">
        <f t="shared" si="599"/>
        <v>0</v>
      </c>
      <c r="BJ796" s="5">
        <f t="shared" si="599"/>
        <v>0</v>
      </c>
      <c r="BK796" s="5">
        <f t="shared" si="599"/>
        <v>0</v>
      </c>
      <c r="BL796" s="5">
        <f t="shared" si="599"/>
        <v>0</v>
      </c>
      <c r="BM796" s="5">
        <f t="shared" si="599"/>
        <v>0</v>
      </c>
      <c r="BN796" s="5">
        <f t="shared" si="599"/>
        <v>0</v>
      </c>
      <c r="BO796" s="5">
        <f t="shared" si="598"/>
        <v>0</v>
      </c>
      <c r="BP796" s="5">
        <f t="shared" si="598"/>
        <v>0</v>
      </c>
      <c r="BQ796" s="5">
        <f t="shared" si="598"/>
        <v>0</v>
      </c>
      <c r="BR796" s="5">
        <f t="shared" si="598"/>
        <v>0</v>
      </c>
      <c r="BS796" s="5">
        <f t="shared" si="598"/>
        <v>0</v>
      </c>
      <c r="BT796" s="5">
        <f t="shared" si="598"/>
        <v>0</v>
      </c>
      <c r="BU796" s="5">
        <f t="shared" si="598"/>
        <v>0</v>
      </c>
      <c r="BV796" s="5">
        <f t="shared" si="598"/>
        <v>0</v>
      </c>
      <c r="BW796" s="5">
        <f t="shared" si="598"/>
        <v>0</v>
      </c>
      <c r="BX796" s="5">
        <f t="shared" si="598"/>
        <v>0</v>
      </c>
      <c r="BY796" s="5">
        <f t="shared" si="598"/>
        <v>0</v>
      </c>
      <c r="BZ796" s="5">
        <f t="shared" si="598"/>
        <v>0</v>
      </c>
      <c r="CA796" s="5">
        <f t="shared" si="598"/>
        <v>0</v>
      </c>
      <c r="CB796" s="5">
        <f t="shared" si="597"/>
        <v>0</v>
      </c>
      <c r="CC796" s="5">
        <f t="shared" si="597"/>
        <v>0</v>
      </c>
      <c r="CD796" s="5">
        <f t="shared" si="597"/>
        <v>0</v>
      </c>
      <c r="CE796" s="5">
        <f t="shared" si="597"/>
        <v>1</v>
      </c>
    </row>
    <row r="797" spans="1:83" x14ac:dyDescent="0.2">
      <c r="A797" s="11"/>
      <c r="B797" s="11"/>
      <c r="C797" s="1">
        <f>Growth!D802</f>
        <v>0.125</v>
      </c>
      <c r="D797" s="5" t="b">
        <f t="shared" si="590"/>
        <v>0</v>
      </c>
      <c r="E797" s="5">
        <v>2015</v>
      </c>
      <c r="F797" s="5">
        <f ca="1">LOOKUP($E797,frequence!$A$2:$A$35,frequence!L$2:L$35)</f>
        <v>59.915964498406019</v>
      </c>
      <c r="G797" s="5">
        <f ca="1">LOOKUP($E797,frequence!$A$2:$A$35,frequence!K$2:K$35)</f>
        <v>12.697082100333608</v>
      </c>
      <c r="H797" s="5">
        <f ca="1">LOOKUP($E797,frequence!$A$2:$A$35,frequence!M$2:M$35)</f>
        <v>262.07305844619424</v>
      </c>
      <c r="I797" s="16">
        <v>1990</v>
      </c>
      <c r="J797" s="7">
        <f>LOOKUP(I797,CPI!A$69:A$103,CPI!O$69:O$103)</f>
        <v>1.6683703136954862</v>
      </c>
      <c r="K797" s="16">
        <v>2020</v>
      </c>
      <c r="L797" s="7">
        <f t="shared" ca="1" si="584"/>
        <v>1</v>
      </c>
      <c r="M797" s="7">
        <f t="shared" si="608"/>
        <v>0.8125</v>
      </c>
      <c r="N797" s="14">
        <f t="shared" ref="N797:N803" si="622">1/8</f>
        <v>0.125</v>
      </c>
      <c r="O797" s="1">
        <f ca="1">P797*J797*(1+Growth!G$6)^(2010-K797)</f>
        <v>68.441762697611011</v>
      </c>
      <c r="P797" s="2">
        <f t="shared" ref="P797:P803" si="623">X797</f>
        <v>47.666666666666664</v>
      </c>
      <c r="Q797" s="2">
        <f t="shared" ref="Q797:Q803" si="624">P797</f>
        <v>47.666666666666664</v>
      </c>
      <c r="R797" s="21">
        <f t="shared" ca="1" si="551"/>
        <v>4684.2748811560978</v>
      </c>
      <c r="U797" s="11"/>
      <c r="V797" s="11">
        <f>4*44/12</f>
        <v>14.666666666666666</v>
      </c>
      <c r="W797" s="11">
        <f>7*44/12</f>
        <v>25.666666666666668</v>
      </c>
      <c r="X797" s="11">
        <f>13*44/12</f>
        <v>47.666666666666664</v>
      </c>
      <c r="Y797" s="11">
        <f>26*44/12</f>
        <v>95.333333333333329</v>
      </c>
      <c r="Z797" s="11">
        <f>52*44/12</f>
        <v>190.66666666666666</v>
      </c>
      <c r="AA797" s="11"/>
      <c r="AB797" s="11"/>
      <c r="AC797" s="1">
        <f t="shared" si="617"/>
        <v>6.5</v>
      </c>
      <c r="AD797" s="5">
        <v>1</v>
      </c>
      <c r="AE797" s="5">
        <v>0</v>
      </c>
      <c r="AF797" s="5">
        <v>1</v>
      </c>
      <c r="AG797" s="5">
        <v>0</v>
      </c>
      <c r="AH797" s="5">
        <v>1</v>
      </c>
      <c r="AI797" s="3">
        <f t="shared" si="589"/>
        <v>3.5</v>
      </c>
      <c r="AJ797" s="5">
        <f t="shared" si="606"/>
        <v>0</v>
      </c>
      <c r="AK797" s="5">
        <f t="shared" si="585"/>
        <v>0</v>
      </c>
      <c r="AL797" s="5">
        <f t="shared" si="586"/>
        <v>0</v>
      </c>
      <c r="AM797" s="5">
        <f t="shared" si="614"/>
        <v>0</v>
      </c>
      <c r="AN797" s="5">
        <f t="shared" si="587"/>
        <v>1</v>
      </c>
      <c r="AO797" s="5">
        <f t="shared" si="615"/>
        <v>0</v>
      </c>
      <c r="AP797" s="11" t="s">
        <v>42</v>
      </c>
      <c r="AQ797" s="11">
        <v>0.1</v>
      </c>
      <c r="AR797" s="5">
        <v>0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1</v>
      </c>
      <c r="AY797" s="1">
        <f t="shared" si="618"/>
        <v>0</v>
      </c>
      <c r="AZ797" s="1">
        <f t="shared" si="619"/>
        <v>0</v>
      </c>
      <c r="BA797" s="1">
        <f t="shared" si="620"/>
        <v>0</v>
      </c>
      <c r="BB797" s="5">
        <v>0</v>
      </c>
      <c r="BC797" s="5">
        <v>0</v>
      </c>
      <c r="BD797" s="5">
        <v>0</v>
      </c>
      <c r="BE797" s="5">
        <f t="shared" si="621"/>
        <v>1</v>
      </c>
      <c r="BF797" s="5">
        <v>1</v>
      </c>
      <c r="BG797" s="5">
        <f t="shared" si="599"/>
        <v>0</v>
      </c>
      <c r="BH797" s="5">
        <f t="shared" si="599"/>
        <v>0</v>
      </c>
      <c r="BI797" s="5">
        <f t="shared" si="599"/>
        <v>0</v>
      </c>
      <c r="BJ797" s="5">
        <f t="shared" si="599"/>
        <v>0</v>
      </c>
      <c r="BK797" s="5">
        <f t="shared" si="599"/>
        <v>0</v>
      </c>
      <c r="BL797" s="5">
        <f t="shared" si="599"/>
        <v>0</v>
      </c>
      <c r="BM797" s="5">
        <f t="shared" si="599"/>
        <v>0</v>
      </c>
      <c r="BN797" s="5">
        <f t="shared" si="599"/>
        <v>0</v>
      </c>
      <c r="BO797" s="5">
        <f t="shared" si="598"/>
        <v>0</v>
      </c>
      <c r="BP797" s="5">
        <f t="shared" si="598"/>
        <v>0</v>
      </c>
      <c r="BQ797" s="5">
        <f t="shared" si="598"/>
        <v>0</v>
      </c>
      <c r="BR797" s="5">
        <f t="shared" si="598"/>
        <v>0</v>
      </c>
      <c r="BS797" s="5">
        <f t="shared" si="598"/>
        <v>0</v>
      </c>
      <c r="BT797" s="5">
        <f t="shared" si="598"/>
        <v>0</v>
      </c>
      <c r="BU797" s="5">
        <f t="shared" si="598"/>
        <v>0</v>
      </c>
      <c r="BV797" s="5">
        <f t="shared" si="598"/>
        <v>0</v>
      </c>
      <c r="BW797" s="5">
        <f t="shared" si="598"/>
        <v>0</v>
      </c>
      <c r="BX797" s="5">
        <f t="shared" si="598"/>
        <v>0</v>
      </c>
      <c r="BY797" s="5">
        <f t="shared" si="598"/>
        <v>0</v>
      </c>
      <c r="BZ797" s="5">
        <f t="shared" si="598"/>
        <v>0</v>
      </c>
      <c r="CA797" s="5">
        <f t="shared" si="598"/>
        <v>0</v>
      </c>
      <c r="CB797" s="5">
        <f t="shared" si="597"/>
        <v>0</v>
      </c>
      <c r="CC797" s="5">
        <f t="shared" si="597"/>
        <v>0</v>
      </c>
      <c r="CD797" s="5">
        <f t="shared" si="597"/>
        <v>0</v>
      </c>
      <c r="CE797" s="5">
        <f t="shared" si="597"/>
        <v>1</v>
      </c>
    </row>
    <row r="798" spans="1:83" x14ac:dyDescent="0.2">
      <c r="A798" s="11"/>
      <c r="B798" s="11"/>
      <c r="C798" s="1">
        <f>Growth!D803</f>
        <v>0.125</v>
      </c>
      <c r="D798" s="5" t="b">
        <f t="shared" si="590"/>
        <v>0</v>
      </c>
      <c r="E798" s="5">
        <v>2015</v>
      </c>
      <c r="F798" s="5">
        <f ca="1">LOOKUP($E798,frequence!$A$2:$A$35,frequence!L$2:L$35)</f>
        <v>59.915964498406019</v>
      </c>
      <c r="G798" s="5">
        <f ca="1">LOOKUP($E798,frequence!$A$2:$A$35,frequence!K$2:K$35)</f>
        <v>12.697082100333608</v>
      </c>
      <c r="H798" s="5">
        <f ca="1">LOOKUP($E798,frequence!$A$2:$A$35,frequence!M$2:M$35)</f>
        <v>262.07305844619424</v>
      </c>
      <c r="I798" s="16">
        <v>1990</v>
      </c>
      <c r="J798" s="7">
        <f>LOOKUP(I798,CPI!A$69:A$103,CPI!O$69:O$103)</f>
        <v>1.6683703136954862</v>
      </c>
      <c r="K798" s="16">
        <v>2020</v>
      </c>
      <c r="L798" s="7">
        <f t="shared" ca="1" si="584"/>
        <v>1</v>
      </c>
      <c r="M798" s="7">
        <f t="shared" si="608"/>
        <v>0.8125</v>
      </c>
      <c r="N798" s="14">
        <f t="shared" si="622"/>
        <v>0.125</v>
      </c>
      <c r="O798" s="1">
        <f ca="1">P798*J798*(1+Growth!G$6)^(2010-K798)</f>
        <v>68.441762697611011</v>
      </c>
      <c r="P798" s="2">
        <f t="shared" si="623"/>
        <v>47.666666666666664</v>
      </c>
      <c r="Q798" s="2">
        <f t="shared" si="624"/>
        <v>47.666666666666664</v>
      </c>
      <c r="R798" s="21">
        <f t="shared" ca="1" si="551"/>
        <v>4684.2748811560978</v>
      </c>
      <c r="U798" s="11"/>
      <c r="V798" s="11">
        <f>4*44/12</f>
        <v>14.666666666666666</v>
      </c>
      <c r="W798" s="11">
        <f>7*44/12</f>
        <v>25.666666666666668</v>
      </c>
      <c r="X798" s="11">
        <f>13*44/12</f>
        <v>47.666666666666664</v>
      </c>
      <c r="Y798" s="11">
        <f>26*44/12</f>
        <v>95.333333333333329</v>
      </c>
      <c r="Z798" s="11">
        <f>52*44/12</f>
        <v>190.66666666666666</v>
      </c>
      <c r="AA798" s="11"/>
      <c r="AB798" s="11"/>
      <c r="AC798" s="1">
        <f t="shared" si="617"/>
        <v>6.5</v>
      </c>
      <c r="AD798" s="5">
        <v>1</v>
      </c>
      <c r="AE798" s="5">
        <v>0</v>
      </c>
      <c r="AF798" s="5">
        <v>1</v>
      </c>
      <c r="AG798" s="5">
        <v>0</v>
      </c>
      <c r="AH798" s="5">
        <v>1</v>
      </c>
      <c r="AI798" s="3">
        <f t="shared" si="589"/>
        <v>3.5</v>
      </c>
      <c r="AJ798" s="5">
        <f t="shared" si="606"/>
        <v>0</v>
      </c>
      <c r="AK798" s="5">
        <f t="shared" si="585"/>
        <v>0</v>
      </c>
      <c r="AL798" s="5">
        <f t="shared" si="586"/>
        <v>0</v>
      </c>
      <c r="AM798" s="5">
        <f t="shared" si="614"/>
        <v>0</v>
      </c>
      <c r="AN798" s="5">
        <f t="shared" si="587"/>
        <v>1</v>
      </c>
      <c r="AO798" s="5">
        <f t="shared" si="615"/>
        <v>0</v>
      </c>
      <c r="AP798" s="11" t="s">
        <v>42</v>
      </c>
      <c r="AQ798" s="11">
        <v>0.1</v>
      </c>
      <c r="AR798" s="5">
        <v>0</v>
      </c>
      <c r="AS798" s="5">
        <v>0</v>
      </c>
      <c r="AT798" s="5">
        <v>0</v>
      </c>
      <c r="AU798" s="5">
        <v>0</v>
      </c>
      <c r="AV798" s="5">
        <v>0</v>
      </c>
      <c r="AW798" s="5">
        <v>0</v>
      </c>
      <c r="AX798" s="5">
        <v>1</v>
      </c>
      <c r="AY798" s="1">
        <f t="shared" si="618"/>
        <v>0</v>
      </c>
      <c r="AZ798" s="1">
        <f t="shared" si="619"/>
        <v>0</v>
      </c>
      <c r="BA798" s="1">
        <f t="shared" si="620"/>
        <v>0</v>
      </c>
      <c r="BB798" s="5">
        <v>0</v>
      </c>
      <c r="BC798" s="5">
        <v>0</v>
      </c>
      <c r="BD798" s="5">
        <v>0</v>
      </c>
      <c r="BE798" s="5">
        <f t="shared" si="621"/>
        <v>1</v>
      </c>
      <c r="BF798" s="5">
        <v>1</v>
      </c>
      <c r="BG798" s="5">
        <f t="shared" si="599"/>
        <v>0</v>
      </c>
      <c r="BH798" s="5">
        <f t="shared" si="599"/>
        <v>0</v>
      </c>
      <c r="BI798" s="5">
        <f t="shared" si="599"/>
        <v>0</v>
      </c>
      <c r="BJ798" s="5">
        <f t="shared" si="599"/>
        <v>0</v>
      </c>
      <c r="BK798" s="5">
        <f t="shared" si="599"/>
        <v>0</v>
      </c>
      <c r="BL798" s="5">
        <f t="shared" si="599"/>
        <v>0</v>
      </c>
      <c r="BM798" s="5">
        <f t="shared" si="599"/>
        <v>0</v>
      </c>
      <c r="BN798" s="5">
        <f t="shared" si="599"/>
        <v>0</v>
      </c>
      <c r="BO798" s="5">
        <f t="shared" si="598"/>
        <v>0</v>
      </c>
      <c r="BP798" s="5">
        <f t="shared" si="598"/>
        <v>0</v>
      </c>
      <c r="BQ798" s="5">
        <f t="shared" si="598"/>
        <v>0</v>
      </c>
      <c r="BR798" s="5">
        <f t="shared" si="598"/>
        <v>0</v>
      </c>
      <c r="BS798" s="5">
        <f t="shared" si="598"/>
        <v>0</v>
      </c>
      <c r="BT798" s="5">
        <f t="shared" si="598"/>
        <v>0</v>
      </c>
      <c r="BU798" s="5">
        <f t="shared" si="598"/>
        <v>0</v>
      </c>
      <c r="BV798" s="5">
        <f t="shared" si="598"/>
        <v>0</v>
      </c>
      <c r="BW798" s="5">
        <f t="shared" si="598"/>
        <v>0</v>
      </c>
      <c r="BX798" s="5">
        <f t="shared" si="598"/>
        <v>0</v>
      </c>
      <c r="BY798" s="5">
        <f t="shared" si="598"/>
        <v>0</v>
      </c>
      <c r="BZ798" s="5">
        <f t="shared" si="598"/>
        <v>0</v>
      </c>
      <c r="CA798" s="5">
        <f t="shared" si="598"/>
        <v>0</v>
      </c>
      <c r="CB798" s="5">
        <f t="shared" si="597"/>
        <v>0</v>
      </c>
      <c r="CC798" s="5">
        <f t="shared" si="597"/>
        <v>0</v>
      </c>
      <c r="CD798" s="5">
        <f t="shared" si="597"/>
        <v>0</v>
      </c>
      <c r="CE798" s="5">
        <f t="shared" si="597"/>
        <v>1</v>
      </c>
    </row>
    <row r="799" spans="1:83" x14ac:dyDescent="0.2">
      <c r="A799" s="11"/>
      <c r="B799" s="11"/>
      <c r="C799" s="1">
        <f>Growth!D804</f>
        <v>0.125</v>
      </c>
      <c r="D799" s="5" t="b">
        <f t="shared" si="590"/>
        <v>0</v>
      </c>
      <c r="E799" s="5">
        <v>2015</v>
      </c>
      <c r="F799" s="5">
        <f ca="1">LOOKUP($E799,frequence!$A$2:$A$35,frequence!L$2:L$35)</f>
        <v>59.915964498406019</v>
      </c>
      <c r="G799" s="5">
        <f ca="1">LOOKUP($E799,frequence!$A$2:$A$35,frequence!K$2:K$35)</f>
        <v>12.697082100333608</v>
      </c>
      <c r="H799" s="5">
        <f ca="1">LOOKUP($E799,frequence!$A$2:$A$35,frequence!M$2:M$35)</f>
        <v>262.07305844619424</v>
      </c>
      <c r="I799" s="16">
        <v>1990</v>
      </c>
      <c r="J799" s="7">
        <f>LOOKUP(I799,CPI!A$69:A$103,CPI!O$69:O$103)</f>
        <v>1.6683703136954862</v>
      </c>
      <c r="K799" s="16">
        <v>2020</v>
      </c>
      <c r="L799" s="7">
        <f t="shared" ca="1" si="584"/>
        <v>1</v>
      </c>
      <c r="M799" s="7">
        <f t="shared" si="608"/>
        <v>0.8125</v>
      </c>
      <c r="N799" s="14">
        <f t="shared" si="622"/>
        <v>0.125</v>
      </c>
      <c r="O799" s="1">
        <f ca="1">P799*J799*(1+Growth!G$6)^(2010-K799)</f>
        <v>73.706513674350319</v>
      </c>
      <c r="P799" s="2">
        <f t="shared" si="623"/>
        <v>51.333333333333336</v>
      </c>
      <c r="Q799" s="2">
        <f t="shared" si="624"/>
        <v>51.333333333333336</v>
      </c>
      <c r="R799" s="21">
        <f t="shared" ca="1" si="551"/>
        <v>5432.6501580271906</v>
      </c>
      <c r="U799" s="11"/>
      <c r="V799" s="11">
        <f>5*44/12</f>
        <v>18.333333333333332</v>
      </c>
      <c r="W799" s="11">
        <f>8*44/12</f>
        <v>29.333333333333332</v>
      </c>
      <c r="X799" s="11">
        <f t="shared" ref="X799:X800" si="625">14*44/12</f>
        <v>51.333333333333336</v>
      </c>
      <c r="Y799" s="11">
        <f>27*44/12</f>
        <v>99</v>
      </c>
      <c r="Z799" s="11">
        <f>51*44/12</f>
        <v>187</v>
      </c>
      <c r="AA799" s="11"/>
      <c r="AB799" s="11"/>
      <c r="AC799" s="1">
        <f t="shared" si="617"/>
        <v>6.5</v>
      </c>
      <c r="AD799" s="5">
        <v>1</v>
      </c>
      <c r="AE799" s="5">
        <v>0</v>
      </c>
      <c r="AF799" s="5">
        <v>1</v>
      </c>
      <c r="AG799" s="5">
        <v>0</v>
      </c>
      <c r="AH799" s="5">
        <v>1</v>
      </c>
      <c r="AI799" s="3">
        <f t="shared" si="589"/>
        <v>3.5</v>
      </c>
      <c r="AJ799" s="5">
        <f t="shared" si="606"/>
        <v>0</v>
      </c>
      <c r="AK799" s="5">
        <f t="shared" si="585"/>
        <v>0</v>
      </c>
      <c r="AL799" s="5">
        <f t="shared" si="586"/>
        <v>0</v>
      </c>
      <c r="AM799" s="5">
        <f t="shared" si="614"/>
        <v>0</v>
      </c>
      <c r="AN799" s="5">
        <f t="shared" si="587"/>
        <v>1</v>
      </c>
      <c r="AO799" s="5">
        <f t="shared" si="615"/>
        <v>0</v>
      </c>
      <c r="AP799" s="11" t="s">
        <v>42</v>
      </c>
      <c r="AQ799" s="11">
        <v>0.1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1</v>
      </c>
      <c r="AY799" s="1">
        <f t="shared" si="618"/>
        <v>0</v>
      </c>
      <c r="AZ799" s="1">
        <f t="shared" si="619"/>
        <v>0</v>
      </c>
      <c r="BA799" s="1">
        <f t="shared" si="620"/>
        <v>0</v>
      </c>
      <c r="BB799" s="5">
        <v>0</v>
      </c>
      <c r="BC799" s="5">
        <v>0</v>
      </c>
      <c r="BD799" s="5">
        <v>0</v>
      </c>
      <c r="BE799" s="5">
        <f t="shared" si="621"/>
        <v>1</v>
      </c>
      <c r="BF799" s="5">
        <v>1</v>
      </c>
      <c r="BG799" s="5">
        <f t="shared" si="599"/>
        <v>0</v>
      </c>
      <c r="BH799" s="5">
        <f t="shared" si="599"/>
        <v>0</v>
      </c>
      <c r="BI799" s="5">
        <f t="shared" si="599"/>
        <v>0</v>
      </c>
      <c r="BJ799" s="5">
        <f t="shared" si="599"/>
        <v>0</v>
      </c>
      <c r="BK799" s="5">
        <f t="shared" si="599"/>
        <v>0</v>
      </c>
      <c r="BL799" s="5">
        <f t="shared" si="599"/>
        <v>0</v>
      </c>
      <c r="BM799" s="5">
        <f t="shared" si="599"/>
        <v>0</v>
      </c>
      <c r="BN799" s="5">
        <f t="shared" si="599"/>
        <v>0</v>
      </c>
      <c r="BO799" s="5">
        <f t="shared" si="598"/>
        <v>0</v>
      </c>
      <c r="BP799" s="5">
        <f t="shared" si="598"/>
        <v>0</v>
      </c>
      <c r="BQ799" s="5">
        <f t="shared" si="598"/>
        <v>0</v>
      </c>
      <c r="BR799" s="5">
        <f t="shared" si="598"/>
        <v>0</v>
      </c>
      <c r="BS799" s="5">
        <f t="shared" si="598"/>
        <v>0</v>
      </c>
      <c r="BT799" s="5">
        <f t="shared" si="598"/>
        <v>0</v>
      </c>
      <c r="BU799" s="5">
        <f t="shared" si="598"/>
        <v>0</v>
      </c>
      <c r="BV799" s="5">
        <f t="shared" si="598"/>
        <v>0</v>
      </c>
      <c r="BW799" s="5">
        <f t="shared" si="598"/>
        <v>0</v>
      </c>
      <c r="BX799" s="5">
        <f t="shared" si="598"/>
        <v>0</v>
      </c>
      <c r="BY799" s="5">
        <f t="shared" si="598"/>
        <v>0</v>
      </c>
      <c r="BZ799" s="5">
        <f t="shared" si="598"/>
        <v>0</v>
      </c>
      <c r="CA799" s="5">
        <f t="shared" si="598"/>
        <v>0</v>
      </c>
      <c r="CB799" s="5">
        <f t="shared" si="597"/>
        <v>0</v>
      </c>
      <c r="CC799" s="5">
        <f t="shared" si="597"/>
        <v>0</v>
      </c>
      <c r="CD799" s="5">
        <f t="shared" si="597"/>
        <v>0</v>
      </c>
      <c r="CE799" s="5">
        <f t="shared" si="597"/>
        <v>1</v>
      </c>
    </row>
    <row r="800" spans="1:83" x14ac:dyDescent="0.2">
      <c r="A800" s="11"/>
      <c r="B800" s="11"/>
      <c r="C800" s="1">
        <f>Growth!D805</f>
        <v>0.125</v>
      </c>
      <c r="D800" s="5" t="b">
        <f t="shared" si="590"/>
        <v>0</v>
      </c>
      <c r="E800" s="5">
        <v>2015</v>
      </c>
      <c r="F800" s="5">
        <f ca="1">LOOKUP($E800,frequence!$A$2:$A$35,frequence!L$2:L$35)</f>
        <v>59.915964498406019</v>
      </c>
      <c r="G800" s="5">
        <f ca="1">LOOKUP($E800,frequence!$A$2:$A$35,frequence!K$2:K$35)</f>
        <v>12.697082100333608</v>
      </c>
      <c r="H800" s="5">
        <f ca="1">LOOKUP($E800,frequence!$A$2:$A$35,frequence!M$2:M$35)</f>
        <v>262.07305844619424</v>
      </c>
      <c r="I800" s="16">
        <v>1990</v>
      </c>
      <c r="J800" s="7">
        <f>LOOKUP(I800,CPI!A$69:A$103,CPI!O$69:O$103)</f>
        <v>1.6683703136954862</v>
      </c>
      <c r="K800" s="16">
        <v>2020</v>
      </c>
      <c r="L800" s="7">
        <f t="shared" ca="1" si="584"/>
        <v>1</v>
      </c>
      <c r="M800" s="7">
        <f t="shared" si="608"/>
        <v>0.8125</v>
      </c>
      <c r="N800" s="14">
        <f t="shared" si="622"/>
        <v>0.125</v>
      </c>
      <c r="O800" s="1">
        <f ca="1">P800*J800*(1+Growth!G$6)^(2010-K800)</f>
        <v>73.706513674350319</v>
      </c>
      <c r="P800" s="2">
        <f t="shared" si="623"/>
        <v>51.333333333333336</v>
      </c>
      <c r="Q800" s="2">
        <f t="shared" si="624"/>
        <v>51.333333333333336</v>
      </c>
      <c r="R800" s="21">
        <f t="shared" ca="1" si="551"/>
        <v>5432.6501580271906</v>
      </c>
      <c r="U800" s="11"/>
      <c r="V800" s="11">
        <f>5*44/12</f>
        <v>18.333333333333332</v>
      </c>
      <c r="W800" s="11">
        <f>8*44/12</f>
        <v>29.333333333333332</v>
      </c>
      <c r="X800" s="11">
        <f t="shared" si="625"/>
        <v>51.333333333333336</v>
      </c>
      <c r="Y800" s="11">
        <f>28*44/12</f>
        <v>102.66666666666667</v>
      </c>
      <c r="Z800" s="11">
        <f>52*44/12</f>
        <v>190.66666666666666</v>
      </c>
      <c r="AA800" s="11"/>
      <c r="AB800" s="11"/>
      <c r="AC800" s="1">
        <f t="shared" si="617"/>
        <v>6.5</v>
      </c>
      <c r="AD800" s="5">
        <v>1</v>
      </c>
      <c r="AE800" s="5">
        <v>0</v>
      </c>
      <c r="AF800" s="5">
        <v>1</v>
      </c>
      <c r="AG800" s="5">
        <v>0</v>
      </c>
      <c r="AH800" s="5">
        <v>1</v>
      </c>
      <c r="AI800" s="3">
        <f t="shared" si="589"/>
        <v>3.5</v>
      </c>
      <c r="AJ800" s="5">
        <f t="shared" si="606"/>
        <v>0</v>
      </c>
      <c r="AK800" s="5">
        <f t="shared" si="585"/>
        <v>0</v>
      </c>
      <c r="AL800" s="5">
        <f t="shared" si="586"/>
        <v>0</v>
      </c>
      <c r="AM800" s="5">
        <f t="shared" si="614"/>
        <v>0</v>
      </c>
      <c r="AN800" s="5">
        <f t="shared" si="587"/>
        <v>1</v>
      </c>
      <c r="AO800" s="5">
        <f t="shared" si="615"/>
        <v>0</v>
      </c>
      <c r="AP800" s="11" t="s">
        <v>42</v>
      </c>
      <c r="AQ800" s="11">
        <v>0.1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1</v>
      </c>
      <c r="AY800" s="1">
        <f t="shared" si="618"/>
        <v>0</v>
      </c>
      <c r="AZ800" s="1">
        <f t="shared" si="619"/>
        <v>0</v>
      </c>
      <c r="BA800" s="1">
        <f t="shared" si="620"/>
        <v>0</v>
      </c>
      <c r="BB800" s="5">
        <v>0</v>
      </c>
      <c r="BC800" s="5">
        <v>0</v>
      </c>
      <c r="BD800" s="5">
        <v>0</v>
      </c>
      <c r="BE800" s="5">
        <f t="shared" si="621"/>
        <v>1</v>
      </c>
      <c r="BF800" s="5">
        <v>1</v>
      </c>
      <c r="BG800" s="5">
        <f t="shared" si="599"/>
        <v>0</v>
      </c>
      <c r="BH800" s="5">
        <f t="shared" si="599"/>
        <v>0</v>
      </c>
      <c r="BI800" s="5">
        <f t="shared" si="599"/>
        <v>0</v>
      </c>
      <c r="BJ800" s="5">
        <f t="shared" si="599"/>
        <v>0</v>
      </c>
      <c r="BK800" s="5">
        <f t="shared" si="599"/>
        <v>0</v>
      </c>
      <c r="BL800" s="5">
        <f t="shared" si="599"/>
        <v>0</v>
      </c>
      <c r="BM800" s="5">
        <f t="shared" si="599"/>
        <v>0</v>
      </c>
      <c r="BN800" s="5">
        <f t="shared" si="599"/>
        <v>0</v>
      </c>
      <c r="BO800" s="5">
        <f t="shared" si="598"/>
        <v>0</v>
      </c>
      <c r="BP800" s="5">
        <f t="shared" si="598"/>
        <v>0</v>
      </c>
      <c r="BQ800" s="5">
        <f t="shared" si="598"/>
        <v>0</v>
      </c>
      <c r="BR800" s="5">
        <f t="shared" si="598"/>
        <v>0</v>
      </c>
      <c r="BS800" s="5">
        <f t="shared" si="598"/>
        <v>0</v>
      </c>
      <c r="BT800" s="5">
        <f t="shared" si="598"/>
        <v>0</v>
      </c>
      <c r="BU800" s="5">
        <f t="shared" si="598"/>
        <v>0</v>
      </c>
      <c r="BV800" s="5">
        <f t="shared" si="598"/>
        <v>0</v>
      </c>
      <c r="BW800" s="5">
        <f t="shared" si="598"/>
        <v>0</v>
      </c>
      <c r="BX800" s="5">
        <f t="shared" si="598"/>
        <v>0</v>
      </c>
      <c r="BY800" s="5">
        <f t="shared" si="598"/>
        <v>0</v>
      </c>
      <c r="BZ800" s="5">
        <f t="shared" si="598"/>
        <v>0</v>
      </c>
      <c r="CA800" s="5">
        <f t="shared" si="598"/>
        <v>0</v>
      </c>
      <c r="CB800" s="5">
        <f t="shared" si="597"/>
        <v>0</v>
      </c>
      <c r="CC800" s="5">
        <f t="shared" si="597"/>
        <v>0</v>
      </c>
      <c r="CD800" s="5">
        <f t="shared" si="597"/>
        <v>0</v>
      </c>
      <c r="CE800" s="5">
        <f t="shared" si="597"/>
        <v>1</v>
      </c>
    </row>
    <row r="801" spans="1:83" x14ac:dyDescent="0.2">
      <c r="A801" s="11"/>
      <c r="B801" s="11"/>
      <c r="C801" s="1">
        <f>Growth!D806</f>
        <v>0.125</v>
      </c>
      <c r="D801" s="5" t="b">
        <f t="shared" si="590"/>
        <v>0</v>
      </c>
      <c r="E801" s="5">
        <v>2015</v>
      </c>
      <c r="F801" s="5">
        <f ca="1">LOOKUP($E801,frequence!$A$2:$A$35,frequence!L$2:L$35)</f>
        <v>59.915964498406019</v>
      </c>
      <c r="G801" s="5">
        <f ca="1">LOOKUP($E801,frequence!$A$2:$A$35,frequence!K$2:K$35)</f>
        <v>12.697082100333608</v>
      </c>
      <c r="H801" s="5">
        <f ca="1">LOOKUP($E801,frequence!$A$2:$A$35,frequence!M$2:M$35)</f>
        <v>262.07305844619424</v>
      </c>
      <c r="I801" s="16">
        <v>1990</v>
      </c>
      <c r="J801" s="7">
        <f>LOOKUP(I801,CPI!A$69:A$103,CPI!O$69:O$103)</f>
        <v>1.6683703136954862</v>
      </c>
      <c r="K801" s="16">
        <v>2020</v>
      </c>
      <c r="L801" s="7">
        <f t="shared" ca="1" si="584"/>
        <v>1</v>
      </c>
      <c r="M801" s="7">
        <f t="shared" si="608"/>
        <v>0.8125</v>
      </c>
      <c r="N801" s="14">
        <f t="shared" si="622"/>
        <v>0.125</v>
      </c>
      <c r="O801" s="1">
        <f ca="1">P801*J801*(1+Growth!G$6)^(2010-K801)</f>
        <v>31.588505860435856</v>
      </c>
      <c r="P801" s="2">
        <f t="shared" si="623"/>
        <v>22</v>
      </c>
      <c r="Q801" s="2">
        <f t="shared" si="624"/>
        <v>22</v>
      </c>
      <c r="R801" s="21">
        <f t="shared" ca="1" si="551"/>
        <v>997.83370249479037</v>
      </c>
      <c r="U801" s="11"/>
      <c r="V801" s="11">
        <f>1*44/12</f>
        <v>3.6666666666666665</v>
      </c>
      <c r="W801" s="11">
        <f>2*44/12</f>
        <v>7.333333333333333</v>
      </c>
      <c r="X801" s="11">
        <f>6*44/12</f>
        <v>22</v>
      </c>
      <c r="Y801" s="11">
        <f>15*44/12</f>
        <v>55</v>
      </c>
      <c r="Z801" s="11">
        <f>30*44/12</f>
        <v>110</v>
      </c>
      <c r="AA801" s="11"/>
      <c r="AB801" s="11"/>
      <c r="AC801" s="1">
        <f t="shared" si="617"/>
        <v>6.5</v>
      </c>
      <c r="AD801" s="5">
        <v>1</v>
      </c>
      <c r="AE801" s="5">
        <v>0</v>
      </c>
      <c r="AF801" s="5">
        <v>1</v>
      </c>
      <c r="AG801" s="5">
        <v>0</v>
      </c>
      <c r="AH801" s="5">
        <v>1</v>
      </c>
      <c r="AI801" s="3">
        <f t="shared" si="589"/>
        <v>3.5</v>
      </c>
      <c r="AJ801" s="5">
        <f t="shared" si="606"/>
        <v>0</v>
      </c>
      <c r="AK801" s="5">
        <f t="shared" si="585"/>
        <v>0</v>
      </c>
      <c r="AL801" s="5">
        <f t="shared" si="586"/>
        <v>0</v>
      </c>
      <c r="AM801" s="5">
        <f t="shared" si="614"/>
        <v>0</v>
      </c>
      <c r="AN801" s="5">
        <f t="shared" si="587"/>
        <v>1</v>
      </c>
      <c r="AO801" s="5">
        <f t="shared" si="615"/>
        <v>0</v>
      </c>
      <c r="AP801" s="11" t="s">
        <v>42</v>
      </c>
      <c r="AQ801" s="11">
        <v>0.1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1</v>
      </c>
      <c r="AY801" s="1">
        <f t="shared" si="618"/>
        <v>0</v>
      </c>
      <c r="AZ801" s="1">
        <f t="shared" si="619"/>
        <v>0</v>
      </c>
      <c r="BA801" s="1">
        <f t="shared" si="620"/>
        <v>0</v>
      </c>
      <c r="BB801" s="5">
        <v>0</v>
      </c>
      <c r="BC801" s="5">
        <v>0</v>
      </c>
      <c r="BD801" s="5">
        <v>0</v>
      </c>
      <c r="BE801" s="5">
        <f t="shared" si="621"/>
        <v>1</v>
      </c>
      <c r="BF801" s="5">
        <v>1</v>
      </c>
      <c r="BG801" s="5">
        <f t="shared" si="599"/>
        <v>0</v>
      </c>
      <c r="BH801" s="5">
        <f t="shared" si="599"/>
        <v>0</v>
      </c>
      <c r="BI801" s="5">
        <f t="shared" si="599"/>
        <v>0</v>
      </c>
      <c r="BJ801" s="5">
        <f t="shared" si="599"/>
        <v>0</v>
      </c>
      <c r="BK801" s="5">
        <f t="shared" si="599"/>
        <v>0</v>
      </c>
      <c r="BL801" s="5">
        <f t="shared" si="599"/>
        <v>0</v>
      </c>
      <c r="BM801" s="5">
        <f t="shared" si="599"/>
        <v>0</v>
      </c>
      <c r="BN801" s="5">
        <f t="shared" si="599"/>
        <v>0</v>
      </c>
      <c r="BO801" s="5">
        <f t="shared" si="598"/>
        <v>0</v>
      </c>
      <c r="BP801" s="5">
        <f t="shared" si="598"/>
        <v>0</v>
      </c>
      <c r="BQ801" s="5">
        <f t="shared" si="598"/>
        <v>0</v>
      </c>
      <c r="BR801" s="5">
        <f t="shared" si="598"/>
        <v>0</v>
      </c>
      <c r="BS801" s="5">
        <f t="shared" si="598"/>
        <v>0</v>
      </c>
      <c r="BT801" s="5">
        <f t="shared" si="598"/>
        <v>0</v>
      </c>
      <c r="BU801" s="5">
        <f t="shared" si="598"/>
        <v>0</v>
      </c>
      <c r="BV801" s="5">
        <f t="shared" si="598"/>
        <v>0</v>
      </c>
      <c r="BW801" s="5">
        <f t="shared" si="598"/>
        <v>0</v>
      </c>
      <c r="BX801" s="5">
        <f t="shared" si="598"/>
        <v>0</v>
      </c>
      <c r="BY801" s="5">
        <f t="shared" si="598"/>
        <v>0</v>
      </c>
      <c r="BZ801" s="5">
        <f t="shared" si="598"/>
        <v>0</v>
      </c>
      <c r="CA801" s="5">
        <f t="shared" si="598"/>
        <v>0</v>
      </c>
      <c r="CB801" s="5">
        <f t="shared" si="597"/>
        <v>0</v>
      </c>
      <c r="CC801" s="5">
        <f t="shared" si="597"/>
        <v>0</v>
      </c>
      <c r="CD801" s="5">
        <f t="shared" si="597"/>
        <v>0</v>
      </c>
      <c r="CE801" s="5">
        <f t="shared" si="597"/>
        <v>1</v>
      </c>
    </row>
    <row r="802" spans="1:83" x14ac:dyDescent="0.2">
      <c r="A802" s="11"/>
      <c r="B802" s="11"/>
      <c r="C802" s="1">
        <f>Growth!D807</f>
        <v>0.125</v>
      </c>
      <c r="D802" s="5" t="b">
        <f t="shared" si="590"/>
        <v>0</v>
      </c>
      <c r="E802" s="5">
        <v>2015</v>
      </c>
      <c r="F802" s="5">
        <f ca="1">LOOKUP($E802,frequence!$A$2:$A$35,frequence!L$2:L$35)</f>
        <v>59.915964498406019</v>
      </c>
      <c r="G802" s="5">
        <f ca="1">LOOKUP($E802,frequence!$A$2:$A$35,frequence!K$2:K$35)</f>
        <v>12.697082100333608</v>
      </c>
      <c r="H802" s="5">
        <f ca="1">LOOKUP($E802,frequence!$A$2:$A$35,frequence!M$2:M$35)</f>
        <v>262.07305844619424</v>
      </c>
      <c r="I802" s="16">
        <v>1990</v>
      </c>
      <c r="J802" s="7">
        <f>LOOKUP(I802,CPI!A$69:A$103,CPI!O$69:O$103)</f>
        <v>1.6683703136954862</v>
      </c>
      <c r="K802" s="16">
        <v>2020</v>
      </c>
      <c r="L802" s="7">
        <f t="shared" ca="1" si="584"/>
        <v>1</v>
      </c>
      <c r="M802" s="7">
        <f t="shared" si="608"/>
        <v>0.8125</v>
      </c>
      <c r="N802" s="14">
        <f t="shared" si="622"/>
        <v>0.125</v>
      </c>
      <c r="O802" s="1">
        <f ca="1">P802*J802*(1+Growth!G$6)^(2010-K802)</f>
        <v>42.118007813914467</v>
      </c>
      <c r="P802" s="2">
        <f t="shared" si="623"/>
        <v>29.333333333333332</v>
      </c>
      <c r="Q802" s="2">
        <f t="shared" si="624"/>
        <v>29.333333333333332</v>
      </c>
      <c r="R802" s="21">
        <f t="shared" ca="1" si="551"/>
        <v>1773.9265822129601</v>
      </c>
      <c r="U802" s="11"/>
      <c r="V802" s="11">
        <f>2*44/12</f>
        <v>7.333333333333333</v>
      </c>
      <c r="W802" s="11">
        <f>3*44/12</f>
        <v>11</v>
      </c>
      <c r="X802" s="11">
        <f>8*44/12</f>
        <v>29.333333333333332</v>
      </c>
      <c r="Y802" s="11">
        <f>19*44/12</f>
        <v>69.666666666666671</v>
      </c>
      <c r="Z802" s="11">
        <f>38*44/12</f>
        <v>139.33333333333334</v>
      </c>
      <c r="AA802" s="11"/>
      <c r="AB802" s="11"/>
      <c r="AC802" s="1">
        <f t="shared" si="617"/>
        <v>6.5</v>
      </c>
      <c r="AD802" s="5">
        <v>1</v>
      </c>
      <c r="AE802" s="5">
        <v>0</v>
      </c>
      <c r="AF802" s="5">
        <v>1</v>
      </c>
      <c r="AG802" s="5">
        <v>0</v>
      </c>
      <c r="AH802" s="5">
        <v>1</v>
      </c>
      <c r="AI802" s="3">
        <f t="shared" si="589"/>
        <v>3.5</v>
      </c>
      <c r="AJ802" s="5">
        <f t="shared" si="606"/>
        <v>0</v>
      </c>
      <c r="AK802" s="5">
        <f t="shared" si="585"/>
        <v>0</v>
      </c>
      <c r="AL802" s="5">
        <f t="shared" si="586"/>
        <v>0</v>
      </c>
      <c r="AM802" s="5">
        <f t="shared" si="614"/>
        <v>0</v>
      </c>
      <c r="AN802" s="5">
        <f t="shared" si="587"/>
        <v>1</v>
      </c>
      <c r="AO802" s="5">
        <f t="shared" si="615"/>
        <v>0</v>
      </c>
      <c r="AP802" s="11" t="s">
        <v>42</v>
      </c>
      <c r="AQ802" s="11">
        <v>0.1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1</v>
      </c>
      <c r="AY802" s="1">
        <f t="shared" si="618"/>
        <v>0</v>
      </c>
      <c r="AZ802" s="1">
        <f t="shared" si="619"/>
        <v>0</v>
      </c>
      <c r="BA802" s="1">
        <f t="shared" si="620"/>
        <v>0</v>
      </c>
      <c r="BB802" s="5">
        <v>0</v>
      </c>
      <c r="BC802" s="5">
        <v>0</v>
      </c>
      <c r="BD802" s="5">
        <v>0</v>
      </c>
      <c r="BE802" s="5">
        <f t="shared" si="621"/>
        <v>1</v>
      </c>
      <c r="BF802" s="5">
        <v>1</v>
      </c>
      <c r="BG802" s="5">
        <f t="shared" si="599"/>
        <v>0</v>
      </c>
      <c r="BH802" s="5">
        <f t="shared" si="599"/>
        <v>0</v>
      </c>
      <c r="BI802" s="5">
        <f t="shared" si="599"/>
        <v>0</v>
      </c>
      <c r="BJ802" s="5">
        <f t="shared" si="599"/>
        <v>0</v>
      </c>
      <c r="BK802" s="5">
        <f t="shared" si="599"/>
        <v>0</v>
      </c>
      <c r="BL802" s="5">
        <f t="shared" si="599"/>
        <v>0</v>
      </c>
      <c r="BM802" s="5">
        <f t="shared" si="599"/>
        <v>0</v>
      </c>
      <c r="BN802" s="5">
        <f t="shared" si="599"/>
        <v>0</v>
      </c>
      <c r="BO802" s="5">
        <f t="shared" si="598"/>
        <v>0</v>
      </c>
      <c r="BP802" s="5">
        <f t="shared" si="598"/>
        <v>0</v>
      </c>
      <c r="BQ802" s="5">
        <f t="shared" si="598"/>
        <v>0</v>
      </c>
      <c r="BR802" s="5">
        <f t="shared" si="598"/>
        <v>0</v>
      </c>
      <c r="BS802" s="5">
        <f t="shared" si="598"/>
        <v>0</v>
      </c>
      <c r="BT802" s="5">
        <f t="shared" si="598"/>
        <v>0</v>
      </c>
      <c r="BU802" s="5">
        <f t="shared" si="598"/>
        <v>0</v>
      </c>
      <c r="BV802" s="5">
        <f t="shared" si="598"/>
        <v>0</v>
      </c>
      <c r="BW802" s="5">
        <f t="shared" si="598"/>
        <v>0</v>
      </c>
      <c r="BX802" s="5">
        <f t="shared" si="598"/>
        <v>0</v>
      </c>
      <c r="BY802" s="5">
        <f t="shared" si="598"/>
        <v>0</v>
      </c>
      <c r="BZ802" s="5">
        <f t="shared" si="598"/>
        <v>0</v>
      </c>
      <c r="CA802" s="5">
        <f t="shared" si="598"/>
        <v>0</v>
      </c>
      <c r="CB802" s="5">
        <f t="shared" si="597"/>
        <v>0</v>
      </c>
      <c r="CC802" s="5">
        <f t="shared" si="597"/>
        <v>0</v>
      </c>
      <c r="CD802" s="5">
        <f t="shared" si="597"/>
        <v>0</v>
      </c>
      <c r="CE802" s="5">
        <f t="shared" si="597"/>
        <v>1</v>
      </c>
    </row>
    <row r="803" spans="1:83" x14ac:dyDescent="0.2">
      <c r="A803" s="11"/>
      <c r="B803" s="11"/>
      <c r="C803" s="1">
        <f>Growth!D808</f>
        <v>0.125</v>
      </c>
      <c r="D803" s="5" t="b">
        <f t="shared" si="590"/>
        <v>0</v>
      </c>
      <c r="E803" s="5">
        <v>2015</v>
      </c>
      <c r="F803" s="5">
        <f ca="1">LOOKUP($E803,frequence!$A$2:$A$35,frequence!L$2:L$35)</f>
        <v>59.915964498406019</v>
      </c>
      <c r="G803" s="5">
        <f ca="1">LOOKUP($E803,frequence!$A$2:$A$35,frequence!K$2:K$35)</f>
        <v>12.697082100333608</v>
      </c>
      <c r="H803" s="5">
        <f ca="1">LOOKUP($E803,frequence!$A$2:$A$35,frequence!M$2:M$35)</f>
        <v>262.07305844619424</v>
      </c>
      <c r="I803" s="16">
        <v>1990</v>
      </c>
      <c r="J803" s="7">
        <f>LOOKUP(I803,CPI!A$69:A$103,CPI!O$69:O$103)</f>
        <v>1.6683703136954862</v>
      </c>
      <c r="K803" s="16">
        <v>2020</v>
      </c>
      <c r="L803" s="7">
        <f t="shared" ca="1" si="584"/>
        <v>1</v>
      </c>
      <c r="M803" s="7">
        <f t="shared" si="608"/>
        <v>0.8125</v>
      </c>
      <c r="N803" s="14">
        <f t="shared" si="622"/>
        <v>0.125</v>
      </c>
      <c r="O803" s="1">
        <f ca="1">P803*J803*(1+Growth!G$6)^(2010-K803)</f>
        <v>47.382758790653781</v>
      </c>
      <c r="P803" s="2">
        <f t="shared" si="623"/>
        <v>33</v>
      </c>
      <c r="Q803" s="2">
        <f t="shared" si="624"/>
        <v>33</v>
      </c>
      <c r="R803" s="21">
        <f t="shared" ca="1" si="551"/>
        <v>2245.1258306132781</v>
      </c>
      <c r="U803" s="11"/>
      <c r="V803" s="11">
        <f>2*44/12</f>
        <v>7.333333333333333</v>
      </c>
      <c r="W803" s="11">
        <f>4*44/12</f>
        <v>14.666666666666666</v>
      </c>
      <c r="X803" s="11">
        <f>9*44/12</f>
        <v>33</v>
      </c>
      <c r="Y803" s="11">
        <f>20*44/12</f>
        <v>73.333333333333329</v>
      </c>
      <c r="Z803" s="11">
        <f>43*44/12</f>
        <v>157.66666666666666</v>
      </c>
      <c r="AA803" s="11"/>
      <c r="AB803" s="11"/>
      <c r="AC803" s="1">
        <f t="shared" si="617"/>
        <v>6.5</v>
      </c>
      <c r="AD803" s="5">
        <v>1</v>
      </c>
      <c r="AE803" s="5">
        <v>0</v>
      </c>
      <c r="AF803" s="5">
        <v>1</v>
      </c>
      <c r="AG803" s="5">
        <v>0</v>
      </c>
      <c r="AH803" s="5">
        <v>1</v>
      </c>
      <c r="AI803" s="3">
        <f t="shared" si="589"/>
        <v>3.5</v>
      </c>
      <c r="AJ803" s="5">
        <f t="shared" si="606"/>
        <v>0</v>
      </c>
      <c r="AK803" s="5">
        <f t="shared" si="585"/>
        <v>0</v>
      </c>
      <c r="AL803" s="5">
        <f t="shared" si="586"/>
        <v>0</v>
      </c>
      <c r="AM803" s="5">
        <f t="shared" si="614"/>
        <v>0</v>
      </c>
      <c r="AN803" s="5">
        <f t="shared" si="587"/>
        <v>1</v>
      </c>
      <c r="AO803" s="5">
        <f t="shared" si="615"/>
        <v>0</v>
      </c>
      <c r="AP803" s="11" t="s">
        <v>42</v>
      </c>
      <c r="AQ803" s="11">
        <v>0.1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1</v>
      </c>
      <c r="AY803" s="1">
        <f t="shared" si="618"/>
        <v>0</v>
      </c>
      <c r="AZ803" s="1">
        <f t="shared" si="619"/>
        <v>0</v>
      </c>
      <c r="BA803" s="1">
        <f t="shared" si="620"/>
        <v>0</v>
      </c>
      <c r="BB803" s="5">
        <v>0</v>
      </c>
      <c r="BC803" s="5">
        <v>0</v>
      </c>
      <c r="BD803" s="5">
        <v>0</v>
      </c>
      <c r="BE803" s="5">
        <f t="shared" si="621"/>
        <v>1</v>
      </c>
      <c r="BF803" s="5">
        <v>1</v>
      </c>
      <c r="BG803" s="5">
        <f t="shared" si="599"/>
        <v>0</v>
      </c>
      <c r="BH803" s="5">
        <f t="shared" si="599"/>
        <v>0</v>
      </c>
      <c r="BI803" s="5">
        <f t="shared" si="599"/>
        <v>0</v>
      </c>
      <c r="BJ803" s="5">
        <f t="shared" si="599"/>
        <v>0</v>
      </c>
      <c r="BK803" s="5">
        <f t="shared" si="599"/>
        <v>0</v>
      </c>
      <c r="BL803" s="5">
        <f t="shared" si="599"/>
        <v>0</v>
      </c>
      <c r="BM803" s="5">
        <f t="shared" si="599"/>
        <v>0</v>
      </c>
      <c r="BN803" s="5">
        <f t="shared" si="599"/>
        <v>0</v>
      </c>
      <c r="BO803" s="5">
        <f t="shared" si="598"/>
        <v>0</v>
      </c>
      <c r="BP803" s="5">
        <f t="shared" si="598"/>
        <v>0</v>
      </c>
      <c r="BQ803" s="5">
        <f t="shared" si="598"/>
        <v>0</v>
      </c>
      <c r="BR803" s="5">
        <f t="shared" si="598"/>
        <v>0</v>
      </c>
      <c r="BS803" s="5">
        <f t="shared" si="598"/>
        <v>0</v>
      </c>
      <c r="BT803" s="5">
        <f t="shared" si="598"/>
        <v>0</v>
      </c>
      <c r="BU803" s="5">
        <f t="shared" si="598"/>
        <v>0</v>
      </c>
      <c r="BV803" s="5">
        <f t="shared" si="598"/>
        <v>0</v>
      </c>
      <c r="BW803" s="5">
        <f t="shared" si="598"/>
        <v>0</v>
      </c>
      <c r="BX803" s="5">
        <f t="shared" si="598"/>
        <v>0</v>
      </c>
      <c r="BY803" s="5">
        <f t="shared" si="598"/>
        <v>0</v>
      </c>
      <c r="BZ803" s="5">
        <f t="shared" si="598"/>
        <v>0</v>
      </c>
      <c r="CA803" s="5">
        <f t="shared" si="598"/>
        <v>0</v>
      </c>
      <c r="CB803" s="5">
        <f t="shared" si="597"/>
        <v>0</v>
      </c>
      <c r="CC803" s="5">
        <f t="shared" si="597"/>
        <v>0</v>
      </c>
      <c r="CD803" s="5">
        <f t="shared" si="597"/>
        <v>0</v>
      </c>
      <c r="CE803" s="5">
        <f t="shared" si="597"/>
        <v>1</v>
      </c>
    </row>
    <row r="804" spans="1:83" x14ac:dyDescent="0.2">
      <c r="A804" s="11" t="s">
        <v>198</v>
      </c>
      <c r="B804" s="11" t="s">
        <v>197</v>
      </c>
      <c r="C804" s="1">
        <f>Growth!D809</f>
        <v>3.5714285714285712E-2</v>
      </c>
      <c r="D804" s="5">
        <f t="shared" si="590"/>
        <v>2014</v>
      </c>
      <c r="E804" s="5">
        <v>2014</v>
      </c>
      <c r="F804" s="5">
        <f ca="1">LOOKUP($E804,frequence!$A$2:$A$35,frequence!L$2:L$35)</f>
        <v>50.75383375536623</v>
      </c>
      <c r="G804" s="5">
        <f ca="1">LOOKUP($E804,frequence!$A$2:$A$35,frequence!K$2:K$35)</f>
        <v>9.9751715831189358</v>
      </c>
      <c r="H804" s="5">
        <f ca="1">LOOKUP($E804,frequence!$A$2:$A$35,frequence!M$2:M$35)</f>
        <v>236.05429056976001</v>
      </c>
      <c r="I804" s="16">
        <v>2010</v>
      </c>
      <c r="J804" s="7">
        <f>LOOKUP(I804,CPI!A$69:A$103,CPI!O$69:O$103)</f>
        <v>1</v>
      </c>
      <c r="K804" s="16">
        <v>2010</v>
      </c>
      <c r="L804" s="7">
        <f t="shared" ca="1" si="584"/>
        <v>1</v>
      </c>
      <c r="M804" s="7">
        <f t="shared" si="608"/>
        <v>0.22857142857142856</v>
      </c>
      <c r="N804" s="14">
        <f>1/28</f>
        <v>3.5714285714285712E-2</v>
      </c>
      <c r="O804" s="1">
        <f ca="1">P804*J804*(1+Growth!G$6)^(2010-K804)</f>
        <v>25</v>
      </c>
      <c r="P804" s="11">
        <v>25</v>
      </c>
      <c r="Q804" s="2">
        <f t="shared" ref="Q804:Q831" si="626">P804</f>
        <v>25</v>
      </c>
      <c r="R804" s="21">
        <f t="shared" ref="R804:R831" ca="1" si="627">O804*O804</f>
        <v>625</v>
      </c>
      <c r="U804" s="11"/>
      <c r="V804" s="11"/>
      <c r="W804" s="11"/>
      <c r="X804" s="11"/>
      <c r="Y804" s="11"/>
      <c r="Z804" s="11"/>
      <c r="AA804" s="11"/>
      <c r="AB804" s="11"/>
      <c r="AC804" s="1">
        <f t="shared" ref="AC804:AC831" si="628">SUM(AD804:AI804)</f>
        <v>6.4</v>
      </c>
      <c r="AD804" s="5">
        <v>1</v>
      </c>
      <c r="AE804" s="5">
        <v>0</v>
      </c>
      <c r="AF804" s="5">
        <v>1</v>
      </c>
      <c r="AG804" s="5">
        <v>0</v>
      </c>
      <c r="AH804" s="5">
        <v>1</v>
      </c>
      <c r="AI804" s="3">
        <f t="shared" si="589"/>
        <v>3.4</v>
      </c>
      <c r="AJ804" s="5">
        <f t="shared" si="606"/>
        <v>0</v>
      </c>
      <c r="AK804" s="5">
        <f t="shared" si="585"/>
        <v>0</v>
      </c>
      <c r="AL804" s="5">
        <f t="shared" si="586"/>
        <v>1</v>
      </c>
      <c r="AM804" s="5">
        <f t="shared" si="614"/>
        <v>0</v>
      </c>
      <c r="AN804" s="5">
        <f t="shared" si="587"/>
        <v>0</v>
      </c>
      <c r="AO804" s="5">
        <f t="shared" si="615"/>
        <v>0</v>
      </c>
      <c r="AP804" s="11" t="s">
        <v>42</v>
      </c>
      <c r="AQ804" s="11">
        <v>1.5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1</v>
      </c>
      <c r="AY804" s="1">
        <f t="shared" ref="AY804:AY831" si="629">AJ804*$AD804*(1-$AV804)*(1-$AR804)</f>
        <v>0</v>
      </c>
      <c r="AZ804" s="1">
        <f t="shared" ref="AZ804:AZ831" si="630">AM804*$AD804*(1-$AV804)*(1-$AR804)</f>
        <v>0</v>
      </c>
      <c r="BA804" s="1">
        <f t="shared" ref="BA804:BA831" si="631">AO804*$AD804*(1-$AV804)*(1-$AR804)</f>
        <v>0</v>
      </c>
      <c r="BB804" s="5">
        <v>0</v>
      </c>
      <c r="BC804" s="5">
        <v>0</v>
      </c>
      <c r="BD804" s="5">
        <v>0</v>
      </c>
      <c r="BE804" s="5">
        <f t="shared" ref="BE804:BE831" si="632">1-SUM(BB804:BD804)</f>
        <v>1</v>
      </c>
      <c r="BF804" s="5">
        <v>1</v>
      </c>
      <c r="BG804" s="5">
        <f t="shared" si="599"/>
        <v>0</v>
      </c>
      <c r="BH804" s="5">
        <f t="shared" si="599"/>
        <v>0</v>
      </c>
      <c r="BI804" s="5">
        <f t="shared" si="599"/>
        <v>0</v>
      </c>
      <c r="BJ804" s="5">
        <f t="shared" si="599"/>
        <v>0</v>
      </c>
      <c r="BK804" s="5">
        <f t="shared" si="599"/>
        <v>0</v>
      </c>
      <c r="BL804" s="5">
        <f t="shared" si="599"/>
        <v>0</v>
      </c>
      <c r="BM804" s="5">
        <f t="shared" si="599"/>
        <v>0</v>
      </c>
      <c r="BN804" s="5">
        <f t="shared" ref="BN804:CB819" si="633">IF($E804=BN$2,1,0)</f>
        <v>0</v>
      </c>
      <c r="BO804" s="5">
        <f t="shared" si="633"/>
        <v>0</v>
      </c>
      <c r="BP804" s="5">
        <f t="shared" si="633"/>
        <v>0</v>
      </c>
      <c r="BQ804" s="5">
        <f t="shared" si="633"/>
        <v>0</v>
      </c>
      <c r="BR804" s="5">
        <f t="shared" si="633"/>
        <v>0</v>
      </c>
      <c r="BS804" s="5">
        <f t="shared" si="633"/>
        <v>0</v>
      </c>
      <c r="BT804" s="5">
        <f t="shared" si="633"/>
        <v>0</v>
      </c>
      <c r="BU804" s="5">
        <f t="shared" si="633"/>
        <v>0</v>
      </c>
      <c r="BV804" s="5">
        <f t="shared" si="633"/>
        <v>0</v>
      </c>
      <c r="BW804" s="5">
        <f t="shared" si="633"/>
        <v>0</v>
      </c>
      <c r="BX804" s="5">
        <f t="shared" si="633"/>
        <v>0</v>
      </c>
      <c r="BY804" s="5">
        <f t="shared" si="633"/>
        <v>0</v>
      </c>
      <c r="BZ804" s="5">
        <f t="shared" si="633"/>
        <v>0</v>
      </c>
      <c r="CA804" s="5">
        <f t="shared" si="633"/>
        <v>0</v>
      </c>
      <c r="CB804" s="5">
        <f t="shared" si="597"/>
        <v>0</v>
      </c>
      <c r="CC804" s="5">
        <f t="shared" si="597"/>
        <v>0</v>
      </c>
      <c r="CD804" s="5">
        <f t="shared" si="597"/>
        <v>1</v>
      </c>
      <c r="CE804" s="5">
        <f t="shared" si="597"/>
        <v>0</v>
      </c>
    </row>
    <row r="805" spans="1:83" x14ac:dyDescent="0.2">
      <c r="A805" s="11"/>
      <c r="B805" s="11"/>
      <c r="C805" s="1">
        <f>Growth!D810</f>
        <v>3.5714285714285712E-2</v>
      </c>
      <c r="D805" s="5" t="b">
        <f t="shared" si="590"/>
        <v>0</v>
      </c>
      <c r="E805" s="5">
        <v>2014</v>
      </c>
      <c r="F805" s="5">
        <f ca="1">LOOKUP($E805,frequence!$A$2:$A$35,frequence!L$2:L$35)</f>
        <v>50.75383375536623</v>
      </c>
      <c r="G805" s="5">
        <f ca="1">LOOKUP($E805,frequence!$A$2:$A$35,frequence!K$2:K$35)</f>
        <v>9.9751715831189358</v>
      </c>
      <c r="H805" s="5">
        <f ca="1">LOOKUP($E805,frequence!$A$2:$A$35,frequence!M$2:M$35)</f>
        <v>236.05429056976001</v>
      </c>
      <c r="I805" s="16">
        <v>2010</v>
      </c>
      <c r="J805" s="7">
        <f>LOOKUP(I805,CPI!A$69:A$103,CPI!O$69:O$103)</f>
        <v>1</v>
      </c>
      <c r="K805" s="16">
        <v>2010</v>
      </c>
      <c r="L805" s="7">
        <f t="shared" ca="1" si="584"/>
        <v>1</v>
      </c>
      <c r="M805" s="7">
        <f t="shared" si="608"/>
        <v>0.22857142857142856</v>
      </c>
      <c r="N805" s="14">
        <f t="shared" ref="N805:N831" si="634">1/28</f>
        <v>3.5714285714285712E-2</v>
      </c>
      <c r="O805" s="1">
        <f ca="1">P805*J805*(1+Growth!G$6)^(2010-K805)</f>
        <v>95</v>
      </c>
      <c r="P805" s="11">
        <v>95</v>
      </c>
      <c r="Q805" s="2">
        <f t="shared" si="626"/>
        <v>95</v>
      </c>
      <c r="R805" s="21">
        <f t="shared" ca="1" si="627"/>
        <v>9025</v>
      </c>
      <c r="U805" s="11"/>
      <c r="V805" s="11"/>
      <c r="W805" s="11"/>
      <c r="X805" s="11"/>
      <c r="Y805" s="11"/>
      <c r="Z805" s="11"/>
      <c r="AA805" s="11"/>
      <c r="AB805" s="11"/>
      <c r="AC805" s="1">
        <f t="shared" si="628"/>
        <v>6.4</v>
      </c>
      <c r="AD805" s="5">
        <v>1</v>
      </c>
      <c r="AE805" s="5">
        <v>0</v>
      </c>
      <c r="AF805" s="5">
        <v>1</v>
      </c>
      <c r="AG805" s="5">
        <v>0</v>
      </c>
      <c r="AH805" s="5">
        <v>1</v>
      </c>
      <c r="AI805" s="3">
        <f t="shared" si="589"/>
        <v>3.4</v>
      </c>
      <c r="AJ805" s="5">
        <f t="shared" si="606"/>
        <v>0</v>
      </c>
      <c r="AK805" s="5">
        <f t="shared" si="585"/>
        <v>0</v>
      </c>
      <c r="AL805" s="5">
        <f t="shared" si="586"/>
        <v>0</v>
      </c>
      <c r="AM805" s="5">
        <f t="shared" si="614"/>
        <v>0</v>
      </c>
      <c r="AN805" s="5">
        <f t="shared" si="587"/>
        <v>1</v>
      </c>
      <c r="AO805" s="5">
        <f t="shared" si="615"/>
        <v>0</v>
      </c>
      <c r="AP805" s="11" t="s">
        <v>42</v>
      </c>
      <c r="AQ805" s="11">
        <v>0.1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1</v>
      </c>
      <c r="AY805" s="1">
        <f t="shared" si="629"/>
        <v>0</v>
      </c>
      <c r="AZ805" s="1">
        <f t="shared" si="630"/>
        <v>0</v>
      </c>
      <c r="BA805" s="1">
        <f t="shared" si="631"/>
        <v>0</v>
      </c>
      <c r="BB805" s="5">
        <v>0</v>
      </c>
      <c r="BC805" s="5">
        <v>0</v>
      </c>
      <c r="BD805" s="5">
        <v>0</v>
      </c>
      <c r="BE805" s="5">
        <f t="shared" si="632"/>
        <v>1</v>
      </c>
      <c r="BF805" s="5">
        <v>1</v>
      </c>
      <c r="BG805" s="5">
        <f t="shared" ref="BG805:BN820" si="635">IF($E805=BG$2,1,0)</f>
        <v>0</v>
      </c>
      <c r="BH805" s="5">
        <f t="shared" si="635"/>
        <v>0</v>
      </c>
      <c r="BI805" s="5">
        <f t="shared" si="635"/>
        <v>0</v>
      </c>
      <c r="BJ805" s="5">
        <f t="shared" si="635"/>
        <v>0</v>
      </c>
      <c r="BK805" s="5">
        <f t="shared" si="635"/>
        <v>0</v>
      </c>
      <c r="BL805" s="5">
        <f t="shared" si="635"/>
        <v>0</v>
      </c>
      <c r="BM805" s="5">
        <f t="shared" si="635"/>
        <v>0</v>
      </c>
      <c r="BN805" s="5">
        <f t="shared" si="633"/>
        <v>0</v>
      </c>
      <c r="BO805" s="5">
        <f t="shared" si="633"/>
        <v>0</v>
      </c>
      <c r="BP805" s="5">
        <f t="shared" si="633"/>
        <v>0</v>
      </c>
      <c r="BQ805" s="5">
        <f t="shared" si="633"/>
        <v>0</v>
      </c>
      <c r="BR805" s="5">
        <f t="shared" si="633"/>
        <v>0</v>
      </c>
      <c r="BS805" s="5">
        <f t="shared" si="633"/>
        <v>0</v>
      </c>
      <c r="BT805" s="5">
        <f t="shared" si="633"/>
        <v>0</v>
      </c>
      <c r="BU805" s="5">
        <f t="shared" si="633"/>
        <v>0</v>
      </c>
      <c r="BV805" s="5">
        <f t="shared" si="633"/>
        <v>0</v>
      </c>
      <c r="BW805" s="5">
        <f t="shared" si="633"/>
        <v>0</v>
      </c>
      <c r="BX805" s="5">
        <f t="shared" si="633"/>
        <v>0</v>
      </c>
      <c r="BY805" s="5">
        <f t="shared" si="633"/>
        <v>0</v>
      </c>
      <c r="BZ805" s="5">
        <f t="shared" si="633"/>
        <v>0</v>
      </c>
      <c r="CA805" s="5">
        <f t="shared" si="633"/>
        <v>0</v>
      </c>
      <c r="CB805" s="5">
        <f t="shared" si="597"/>
        <v>0</v>
      </c>
      <c r="CC805" s="5">
        <f t="shared" si="597"/>
        <v>0</v>
      </c>
      <c r="CD805" s="5">
        <f t="shared" si="597"/>
        <v>1</v>
      </c>
      <c r="CE805" s="5">
        <f t="shared" si="597"/>
        <v>0</v>
      </c>
    </row>
    <row r="806" spans="1:83" x14ac:dyDescent="0.2">
      <c r="A806" s="11"/>
      <c r="B806" s="11"/>
      <c r="C806" s="1">
        <f>Growth!D811</f>
        <v>3.5714285714285712E-2</v>
      </c>
      <c r="D806" s="5" t="b">
        <f t="shared" si="590"/>
        <v>0</v>
      </c>
      <c r="E806" s="5">
        <v>2014</v>
      </c>
      <c r="F806" s="5">
        <f ca="1">LOOKUP($E806,frequence!$A$2:$A$35,frequence!L$2:L$35)</f>
        <v>50.75383375536623</v>
      </c>
      <c r="G806" s="5">
        <f ca="1">LOOKUP($E806,frequence!$A$2:$A$35,frequence!K$2:K$35)</f>
        <v>9.9751715831189358</v>
      </c>
      <c r="H806" s="5">
        <f ca="1">LOOKUP($E806,frequence!$A$2:$A$35,frequence!M$2:M$35)</f>
        <v>236.05429056976001</v>
      </c>
      <c r="I806" s="16">
        <v>2010</v>
      </c>
      <c r="J806" s="7">
        <f>LOOKUP(I806,CPI!A$69:A$103,CPI!O$69:O$103)</f>
        <v>1</v>
      </c>
      <c r="K806" s="16">
        <v>2010</v>
      </c>
      <c r="L806" s="7">
        <f t="shared" ca="1" si="584"/>
        <v>1</v>
      </c>
      <c r="M806" s="7">
        <f t="shared" si="608"/>
        <v>0.22857142857142856</v>
      </c>
      <c r="N806" s="14">
        <f t="shared" si="634"/>
        <v>3.5714285714285712E-2</v>
      </c>
      <c r="O806" s="1">
        <f ca="1">P806*J806*(1+Growth!G$6)^(2010-K806)</f>
        <v>29.3</v>
      </c>
      <c r="P806" s="11">
        <v>29.3</v>
      </c>
      <c r="Q806" s="2">
        <f t="shared" si="626"/>
        <v>29.3</v>
      </c>
      <c r="R806" s="21">
        <f t="shared" ca="1" si="627"/>
        <v>858.49</v>
      </c>
      <c r="U806" s="11"/>
      <c r="V806" s="11"/>
      <c r="W806" s="11"/>
      <c r="X806" s="11"/>
      <c r="Y806" s="11"/>
      <c r="Z806" s="11"/>
      <c r="AA806" s="11"/>
      <c r="AB806" s="11"/>
      <c r="AC806" s="1">
        <f t="shared" si="628"/>
        <v>6.4</v>
      </c>
      <c r="AD806" s="5">
        <v>1</v>
      </c>
      <c r="AE806" s="5">
        <v>0</v>
      </c>
      <c r="AF806" s="5">
        <v>1</v>
      </c>
      <c r="AG806" s="5">
        <v>0</v>
      </c>
      <c r="AH806" s="5">
        <v>1</v>
      </c>
      <c r="AI806" s="3">
        <f t="shared" si="589"/>
        <v>3.4</v>
      </c>
      <c r="AJ806" s="5">
        <f t="shared" si="606"/>
        <v>0</v>
      </c>
      <c r="AK806" s="5">
        <f t="shared" si="585"/>
        <v>0</v>
      </c>
      <c r="AL806" s="5">
        <f t="shared" si="586"/>
        <v>1</v>
      </c>
      <c r="AM806" s="5">
        <f t="shared" si="614"/>
        <v>0</v>
      </c>
      <c r="AN806" s="5">
        <f t="shared" si="587"/>
        <v>0</v>
      </c>
      <c r="AO806" s="5">
        <f t="shared" si="615"/>
        <v>0</v>
      </c>
      <c r="AP806" s="11" t="s">
        <v>42</v>
      </c>
      <c r="AQ806" s="11">
        <v>1.5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1</v>
      </c>
      <c r="AY806" s="1">
        <f t="shared" si="629"/>
        <v>0</v>
      </c>
      <c r="AZ806" s="1">
        <f t="shared" si="630"/>
        <v>0</v>
      </c>
      <c r="BA806" s="1">
        <f t="shared" si="631"/>
        <v>0</v>
      </c>
      <c r="BB806" s="5">
        <v>0</v>
      </c>
      <c r="BC806" s="5">
        <v>0</v>
      </c>
      <c r="BD806" s="5">
        <v>0</v>
      </c>
      <c r="BE806" s="5">
        <f t="shared" si="632"/>
        <v>1</v>
      </c>
      <c r="BF806" s="5">
        <v>1</v>
      </c>
      <c r="BG806" s="5">
        <f t="shared" si="635"/>
        <v>0</v>
      </c>
      <c r="BH806" s="5">
        <f t="shared" si="635"/>
        <v>0</v>
      </c>
      <c r="BI806" s="5">
        <f t="shared" si="635"/>
        <v>0</v>
      </c>
      <c r="BJ806" s="5">
        <f t="shared" si="635"/>
        <v>0</v>
      </c>
      <c r="BK806" s="5">
        <f t="shared" si="635"/>
        <v>0</v>
      </c>
      <c r="BL806" s="5">
        <f t="shared" si="635"/>
        <v>0</v>
      </c>
      <c r="BM806" s="5">
        <f t="shared" si="635"/>
        <v>0</v>
      </c>
      <c r="BN806" s="5">
        <f t="shared" si="633"/>
        <v>0</v>
      </c>
      <c r="BO806" s="5">
        <f t="shared" si="633"/>
        <v>0</v>
      </c>
      <c r="BP806" s="5">
        <f t="shared" si="633"/>
        <v>0</v>
      </c>
      <c r="BQ806" s="5">
        <f t="shared" si="633"/>
        <v>0</v>
      </c>
      <c r="BR806" s="5">
        <f t="shared" si="633"/>
        <v>0</v>
      </c>
      <c r="BS806" s="5">
        <f t="shared" si="633"/>
        <v>0</v>
      </c>
      <c r="BT806" s="5">
        <f t="shared" si="633"/>
        <v>0</v>
      </c>
      <c r="BU806" s="5">
        <f t="shared" si="633"/>
        <v>0</v>
      </c>
      <c r="BV806" s="5">
        <f t="shared" si="633"/>
        <v>0</v>
      </c>
      <c r="BW806" s="5">
        <f t="shared" si="633"/>
        <v>0</v>
      </c>
      <c r="BX806" s="5">
        <f t="shared" si="633"/>
        <v>0</v>
      </c>
      <c r="BY806" s="5">
        <f t="shared" si="633"/>
        <v>0</v>
      </c>
      <c r="BZ806" s="5">
        <f t="shared" si="633"/>
        <v>0</v>
      </c>
      <c r="CA806" s="5">
        <f t="shared" si="633"/>
        <v>0</v>
      </c>
      <c r="CB806" s="5">
        <f t="shared" si="597"/>
        <v>0</v>
      </c>
      <c r="CC806" s="5">
        <f t="shared" si="597"/>
        <v>0</v>
      </c>
      <c r="CD806" s="5">
        <f t="shared" si="597"/>
        <v>1</v>
      </c>
      <c r="CE806" s="5">
        <f t="shared" si="597"/>
        <v>0</v>
      </c>
    </row>
    <row r="807" spans="1:83" x14ac:dyDescent="0.2">
      <c r="A807" s="11"/>
      <c r="B807" s="11"/>
      <c r="C807" s="1">
        <f>Growth!D812</f>
        <v>3.5714285714285712E-2</v>
      </c>
      <c r="D807" s="5" t="b">
        <f t="shared" si="590"/>
        <v>0</v>
      </c>
      <c r="E807" s="5">
        <v>2014</v>
      </c>
      <c r="F807" s="5">
        <f ca="1">LOOKUP($E807,frequence!$A$2:$A$35,frequence!L$2:L$35)</f>
        <v>50.75383375536623</v>
      </c>
      <c r="G807" s="5">
        <f ca="1">LOOKUP($E807,frequence!$A$2:$A$35,frequence!K$2:K$35)</f>
        <v>9.9751715831189358</v>
      </c>
      <c r="H807" s="5">
        <f ca="1">LOOKUP($E807,frequence!$A$2:$A$35,frequence!M$2:M$35)</f>
        <v>236.05429056976001</v>
      </c>
      <c r="I807" s="16">
        <v>2010</v>
      </c>
      <c r="J807" s="7">
        <f>LOOKUP(I807,CPI!A$69:A$103,CPI!O$69:O$103)</f>
        <v>1</v>
      </c>
      <c r="K807" s="16">
        <v>2010</v>
      </c>
      <c r="L807" s="7">
        <f t="shared" ca="1" si="584"/>
        <v>1</v>
      </c>
      <c r="M807" s="7">
        <f t="shared" si="608"/>
        <v>0.22857142857142856</v>
      </c>
      <c r="N807" s="14">
        <f t="shared" si="634"/>
        <v>3.5714285714285712E-2</v>
      </c>
      <c r="O807" s="1">
        <f ca="1">P807*J807*(1+Growth!G$6)^(2010-K807)</f>
        <v>215.9</v>
      </c>
      <c r="P807" s="1">
        <v>215.9</v>
      </c>
      <c r="Q807" s="2">
        <f t="shared" si="626"/>
        <v>215.9</v>
      </c>
      <c r="R807" s="21">
        <f t="shared" ca="1" si="627"/>
        <v>46612.810000000005</v>
      </c>
      <c r="U807" s="11"/>
      <c r="V807" s="11"/>
      <c r="W807" s="11"/>
      <c r="X807" s="11"/>
      <c r="Y807" s="11"/>
      <c r="Z807" s="11"/>
      <c r="AA807" s="11"/>
      <c r="AB807" s="11"/>
      <c r="AC807" s="1">
        <f t="shared" si="628"/>
        <v>6.4</v>
      </c>
      <c r="AD807" s="5">
        <v>1</v>
      </c>
      <c r="AE807" s="5">
        <v>0</v>
      </c>
      <c r="AF807" s="5">
        <v>1</v>
      </c>
      <c r="AG807" s="5">
        <v>0</v>
      </c>
      <c r="AH807" s="5">
        <v>1</v>
      </c>
      <c r="AI807" s="3">
        <f t="shared" si="589"/>
        <v>3.4</v>
      </c>
      <c r="AJ807" s="5">
        <f t="shared" si="606"/>
        <v>0</v>
      </c>
      <c r="AK807" s="5">
        <f t="shared" si="585"/>
        <v>0</v>
      </c>
      <c r="AL807" s="5">
        <f t="shared" si="586"/>
        <v>0</v>
      </c>
      <c r="AM807" s="5">
        <f t="shared" si="614"/>
        <v>0</v>
      </c>
      <c r="AN807" s="5">
        <f t="shared" si="587"/>
        <v>1</v>
      </c>
      <c r="AO807" s="5">
        <f t="shared" si="615"/>
        <v>0</v>
      </c>
      <c r="AP807" s="11" t="s">
        <v>42</v>
      </c>
      <c r="AQ807" s="11">
        <v>0.1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1</v>
      </c>
      <c r="AY807" s="1">
        <f t="shared" si="629"/>
        <v>0</v>
      </c>
      <c r="AZ807" s="1">
        <f t="shared" si="630"/>
        <v>0</v>
      </c>
      <c r="BA807" s="1">
        <f t="shared" si="631"/>
        <v>0</v>
      </c>
      <c r="BB807" s="5">
        <v>0</v>
      </c>
      <c r="BC807" s="5">
        <v>0</v>
      </c>
      <c r="BD807" s="5">
        <v>0</v>
      </c>
      <c r="BE807" s="5">
        <f t="shared" si="632"/>
        <v>1</v>
      </c>
      <c r="BF807" s="5">
        <v>1</v>
      </c>
      <c r="BG807" s="5">
        <f t="shared" si="635"/>
        <v>0</v>
      </c>
      <c r="BH807" s="5">
        <f t="shared" si="635"/>
        <v>0</v>
      </c>
      <c r="BI807" s="5">
        <f t="shared" si="635"/>
        <v>0</v>
      </c>
      <c r="BJ807" s="5">
        <f t="shared" si="635"/>
        <v>0</v>
      </c>
      <c r="BK807" s="5">
        <f t="shared" si="635"/>
        <v>0</v>
      </c>
      <c r="BL807" s="5">
        <f t="shared" si="635"/>
        <v>0</v>
      </c>
      <c r="BM807" s="5">
        <f t="shared" si="635"/>
        <v>0</v>
      </c>
      <c r="BN807" s="5">
        <f t="shared" si="633"/>
        <v>0</v>
      </c>
      <c r="BO807" s="5">
        <f t="shared" si="633"/>
        <v>0</v>
      </c>
      <c r="BP807" s="5">
        <f t="shared" si="633"/>
        <v>0</v>
      </c>
      <c r="BQ807" s="5">
        <f t="shared" si="633"/>
        <v>0</v>
      </c>
      <c r="BR807" s="5">
        <f t="shared" si="633"/>
        <v>0</v>
      </c>
      <c r="BS807" s="5">
        <f t="shared" si="633"/>
        <v>0</v>
      </c>
      <c r="BT807" s="5">
        <f t="shared" si="633"/>
        <v>0</v>
      </c>
      <c r="BU807" s="5">
        <f t="shared" si="633"/>
        <v>0</v>
      </c>
      <c r="BV807" s="5">
        <f t="shared" si="633"/>
        <v>0</v>
      </c>
      <c r="BW807" s="5">
        <f t="shared" si="633"/>
        <v>0</v>
      </c>
      <c r="BX807" s="5">
        <f t="shared" si="633"/>
        <v>0</v>
      </c>
      <c r="BY807" s="5">
        <f t="shared" si="633"/>
        <v>0</v>
      </c>
      <c r="BZ807" s="5">
        <f t="shared" si="633"/>
        <v>0</v>
      </c>
      <c r="CA807" s="5">
        <f t="shared" si="633"/>
        <v>0</v>
      </c>
      <c r="CB807" s="5">
        <f t="shared" si="633"/>
        <v>0</v>
      </c>
      <c r="CC807" s="5">
        <f t="shared" ref="CC807:CE826" si="636">IF($E807=CC$2,1,0)</f>
        <v>0</v>
      </c>
      <c r="CD807" s="5">
        <f t="shared" si="636"/>
        <v>1</v>
      </c>
      <c r="CE807" s="5">
        <f t="shared" si="636"/>
        <v>0</v>
      </c>
    </row>
    <row r="808" spans="1:83" x14ac:dyDescent="0.2">
      <c r="A808" s="11"/>
      <c r="B808" s="11"/>
      <c r="C808" s="1">
        <f>Growth!D813</f>
        <v>3.5714285714285712E-2</v>
      </c>
      <c r="D808" s="5" t="b">
        <f t="shared" si="590"/>
        <v>0</v>
      </c>
      <c r="E808" s="5">
        <v>2014</v>
      </c>
      <c r="F808" s="5">
        <f ca="1">LOOKUP($E808,frequence!$A$2:$A$35,frequence!L$2:L$35)</f>
        <v>50.75383375536623</v>
      </c>
      <c r="G808" s="5">
        <f ca="1">LOOKUP($E808,frequence!$A$2:$A$35,frequence!K$2:K$35)</f>
        <v>9.9751715831189358</v>
      </c>
      <c r="H808" s="5">
        <f ca="1">LOOKUP($E808,frequence!$A$2:$A$35,frequence!M$2:M$35)</f>
        <v>236.05429056976001</v>
      </c>
      <c r="I808" s="16">
        <v>2010</v>
      </c>
      <c r="J808" s="7">
        <f>LOOKUP(I808,CPI!A$69:A$103,CPI!O$69:O$103)</f>
        <v>1</v>
      </c>
      <c r="K808" s="16">
        <v>2010</v>
      </c>
      <c r="L808" s="7">
        <f t="shared" ca="1" si="584"/>
        <v>1</v>
      </c>
      <c r="M808" s="7">
        <f t="shared" si="608"/>
        <v>0.22857142857142856</v>
      </c>
      <c r="N808" s="14">
        <f t="shared" si="634"/>
        <v>3.5714285714285712E-2</v>
      </c>
      <c r="O808" s="1">
        <f ca="1">P808*J808*(1+Growth!G$6)^(2010-K808)</f>
        <v>27.6</v>
      </c>
      <c r="P808" s="1">
        <v>27.6</v>
      </c>
      <c r="Q808" s="2">
        <f t="shared" si="626"/>
        <v>27.6</v>
      </c>
      <c r="R808" s="21">
        <f t="shared" ca="1" si="627"/>
        <v>761.7600000000001</v>
      </c>
      <c r="U808" s="11"/>
      <c r="V808" s="11"/>
      <c r="W808" s="11"/>
      <c r="X808" s="11"/>
      <c r="Y808" s="11"/>
      <c r="Z808" s="11"/>
      <c r="AA808" s="11"/>
      <c r="AB808" s="11"/>
      <c r="AC808" s="1">
        <f t="shared" si="628"/>
        <v>6.4</v>
      </c>
      <c r="AD808" s="5">
        <v>1</v>
      </c>
      <c r="AE808" s="5">
        <v>0</v>
      </c>
      <c r="AF808" s="5">
        <v>1</v>
      </c>
      <c r="AG808" s="5">
        <v>0</v>
      </c>
      <c r="AH808" s="5">
        <v>1</v>
      </c>
      <c r="AI808" s="3">
        <f t="shared" si="589"/>
        <v>3.4</v>
      </c>
      <c r="AJ808" s="5">
        <f t="shared" si="606"/>
        <v>0</v>
      </c>
      <c r="AK808" s="5">
        <f t="shared" si="585"/>
        <v>0</v>
      </c>
      <c r="AL808" s="5">
        <f t="shared" si="586"/>
        <v>1</v>
      </c>
      <c r="AM808" s="5">
        <f t="shared" si="614"/>
        <v>0</v>
      </c>
      <c r="AN808" s="5">
        <f t="shared" si="587"/>
        <v>0</v>
      </c>
      <c r="AO808" s="5">
        <f t="shared" si="615"/>
        <v>0</v>
      </c>
      <c r="AP808" s="11" t="s">
        <v>42</v>
      </c>
      <c r="AQ808" s="11">
        <v>1.5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1</v>
      </c>
      <c r="AY808" s="1">
        <f t="shared" si="629"/>
        <v>0</v>
      </c>
      <c r="AZ808" s="1">
        <f t="shared" si="630"/>
        <v>0</v>
      </c>
      <c r="BA808" s="1">
        <f t="shared" si="631"/>
        <v>0</v>
      </c>
      <c r="BB808" s="5">
        <v>0</v>
      </c>
      <c r="BC808" s="5">
        <v>0</v>
      </c>
      <c r="BD808" s="5">
        <v>0</v>
      </c>
      <c r="BE808" s="5">
        <f t="shared" si="632"/>
        <v>1</v>
      </c>
      <c r="BF808" s="5">
        <v>1</v>
      </c>
      <c r="BG808" s="5">
        <f t="shared" si="635"/>
        <v>0</v>
      </c>
      <c r="BH808" s="5">
        <f t="shared" si="635"/>
        <v>0</v>
      </c>
      <c r="BI808" s="5">
        <f t="shared" si="635"/>
        <v>0</v>
      </c>
      <c r="BJ808" s="5">
        <f t="shared" si="635"/>
        <v>0</v>
      </c>
      <c r="BK808" s="5">
        <f t="shared" si="635"/>
        <v>0</v>
      </c>
      <c r="BL808" s="5">
        <f t="shared" si="635"/>
        <v>0</v>
      </c>
      <c r="BM808" s="5">
        <f t="shared" si="635"/>
        <v>0</v>
      </c>
      <c r="BN808" s="5">
        <f t="shared" si="633"/>
        <v>0</v>
      </c>
      <c r="BO808" s="5">
        <f t="shared" si="633"/>
        <v>0</v>
      </c>
      <c r="BP808" s="5">
        <f t="shared" si="633"/>
        <v>0</v>
      </c>
      <c r="BQ808" s="5">
        <f t="shared" si="633"/>
        <v>0</v>
      </c>
      <c r="BR808" s="5">
        <f t="shared" si="633"/>
        <v>0</v>
      </c>
      <c r="BS808" s="5">
        <f t="shared" si="633"/>
        <v>0</v>
      </c>
      <c r="BT808" s="5">
        <f t="shared" si="633"/>
        <v>0</v>
      </c>
      <c r="BU808" s="5">
        <f t="shared" si="633"/>
        <v>0</v>
      </c>
      <c r="BV808" s="5">
        <f t="shared" si="633"/>
        <v>0</v>
      </c>
      <c r="BW808" s="5">
        <f t="shared" si="633"/>
        <v>0</v>
      </c>
      <c r="BX808" s="5">
        <f t="shared" si="633"/>
        <v>0</v>
      </c>
      <c r="BY808" s="5">
        <f t="shared" si="633"/>
        <v>0</v>
      </c>
      <c r="BZ808" s="5">
        <f t="shared" si="633"/>
        <v>0</v>
      </c>
      <c r="CA808" s="5">
        <f t="shared" si="633"/>
        <v>0</v>
      </c>
      <c r="CB808" s="5">
        <f t="shared" si="633"/>
        <v>0</v>
      </c>
      <c r="CC808" s="5">
        <f t="shared" si="636"/>
        <v>0</v>
      </c>
      <c r="CD808" s="5">
        <f t="shared" si="636"/>
        <v>1</v>
      </c>
      <c r="CE808" s="5">
        <f t="shared" si="636"/>
        <v>0</v>
      </c>
    </row>
    <row r="809" spans="1:83" x14ac:dyDescent="0.2">
      <c r="A809" s="11"/>
      <c r="B809" s="11"/>
      <c r="C809" s="1">
        <f>Growth!D814</f>
        <v>3.5714285714285712E-2</v>
      </c>
      <c r="D809" s="5" t="b">
        <f t="shared" si="590"/>
        <v>0</v>
      </c>
      <c r="E809" s="5">
        <v>2014</v>
      </c>
      <c r="F809" s="5">
        <f ca="1">LOOKUP($E809,frequence!$A$2:$A$35,frequence!L$2:L$35)</f>
        <v>50.75383375536623</v>
      </c>
      <c r="G809" s="5">
        <f ca="1">LOOKUP($E809,frequence!$A$2:$A$35,frequence!K$2:K$35)</f>
        <v>9.9751715831189358</v>
      </c>
      <c r="H809" s="5">
        <f ca="1">LOOKUP($E809,frequence!$A$2:$A$35,frequence!M$2:M$35)</f>
        <v>236.05429056976001</v>
      </c>
      <c r="I809" s="16">
        <v>2010</v>
      </c>
      <c r="J809" s="7">
        <f>LOOKUP(I809,CPI!A$69:A$103,CPI!O$69:O$103)</f>
        <v>1</v>
      </c>
      <c r="K809" s="16">
        <v>2010</v>
      </c>
      <c r="L809" s="7">
        <f t="shared" ca="1" si="584"/>
        <v>1</v>
      </c>
      <c r="M809" s="7">
        <f t="shared" si="608"/>
        <v>0.22857142857142856</v>
      </c>
      <c r="N809" s="14">
        <f t="shared" si="634"/>
        <v>3.5714285714285712E-2</v>
      </c>
      <c r="O809" s="1">
        <f ca="1">P809*J809*(1+Growth!G$6)^(2010-K809)</f>
        <v>27.7</v>
      </c>
      <c r="P809" s="1">
        <v>27.7</v>
      </c>
      <c r="Q809" s="2">
        <f t="shared" si="626"/>
        <v>27.7</v>
      </c>
      <c r="R809" s="21">
        <f t="shared" ca="1" si="627"/>
        <v>767.29</v>
      </c>
      <c r="U809" s="11"/>
      <c r="V809" s="11"/>
      <c r="W809" s="11"/>
      <c r="X809" s="11"/>
      <c r="Y809" s="11"/>
      <c r="Z809" s="11"/>
      <c r="AA809" s="11"/>
      <c r="AB809" s="11"/>
      <c r="AC809" s="1">
        <f t="shared" si="628"/>
        <v>6.4</v>
      </c>
      <c r="AD809" s="5">
        <v>1</v>
      </c>
      <c r="AE809" s="5">
        <v>0</v>
      </c>
      <c r="AF809" s="5">
        <v>1</v>
      </c>
      <c r="AG809" s="5">
        <v>0</v>
      </c>
      <c r="AH809" s="5">
        <v>1</v>
      </c>
      <c r="AI809" s="3">
        <f t="shared" si="589"/>
        <v>3.4</v>
      </c>
      <c r="AJ809" s="5">
        <f t="shared" si="606"/>
        <v>0</v>
      </c>
      <c r="AK809" s="5">
        <f t="shared" si="585"/>
        <v>0</v>
      </c>
      <c r="AL809" s="5">
        <f t="shared" si="586"/>
        <v>1</v>
      </c>
      <c r="AM809" s="5">
        <f t="shared" si="614"/>
        <v>0</v>
      </c>
      <c r="AN809" s="5">
        <f t="shared" si="587"/>
        <v>0</v>
      </c>
      <c r="AO809" s="5">
        <f t="shared" si="615"/>
        <v>0</v>
      </c>
      <c r="AP809" s="11" t="s">
        <v>42</v>
      </c>
      <c r="AQ809" s="11">
        <v>1.5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1</v>
      </c>
      <c r="AY809" s="1">
        <f t="shared" si="629"/>
        <v>0</v>
      </c>
      <c r="AZ809" s="1">
        <f t="shared" si="630"/>
        <v>0</v>
      </c>
      <c r="BA809" s="1">
        <f t="shared" si="631"/>
        <v>0</v>
      </c>
      <c r="BB809" s="5">
        <v>0</v>
      </c>
      <c r="BC809" s="5">
        <v>0</v>
      </c>
      <c r="BD809" s="5">
        <v>0</v>
      </c>
      <c r="BE809" s="5">
        <f t="shared" si="632"/>
        <v>1</v>
      </c>
      <c r="BF809" s="5">
        <v>1</v>
      </c>
      <c r="BG809" s="5">
        <f t="shared" si="635"/>
        <v>0</v>
      </c>
      <c r="BH809" s="5">
        <f t="shared" si="635"/>
        <v>0</v>
      </c>
      <c r="BI809" s="5">
        <f t="shared" si="635"/>
        <v>0</v>
      </c>
      <c r="BJ809" s="5">
        <f t="shared" si="635"/>
        <v>0</v>
      </c>
      <c r="BK809" s="5">
        <f t="shared" si="635"/>
        <v>0</v>
      </c>
      <c r="BL809" s="5">
        <f t="shared" si="635"/>
        <v>0</v>
      </c>
      <c r="BM809" s="5">
        <f t="shared" si="635"/>
        <v>0</v>
      </c>
      <c r="BN809" s="5">
        <f t="shared" si="633"/>
        <v>0</v>
      </c>
      <c r="BO809" s="5">
        <f t="shared" si="633"/>
        <v>0</v>
      </c>
      <c r="BP809" s="5">
        <f t="shared" si="633"/>
        <v>0</v>
      </c>
      <c r="BQ809" s="5">
        <f t="shared" si="633"/>
        <v>0</v>
      </c>
      <c r="BR809" s="5">
        <f t="shared" si="633"/>
        <v>0</v>
      </c>
      <c r="BS809" s="5">
        <f t="shared" si="633"/>
        <v>0</v>
      </c>
      <c r="BT809" s="5">
        <f t="shared" si="633"/>
        <v>0</v>
      </c>
      <c r="BU809" s="5">
        <f t="shared" si="633"/>
        <v>0</v>
      </c>
      <c r="BV809" s="5">
        <f t="shared" si="633"/>
        <v>0</v>
      </c>
      <c r="BW809" s="5">
        <f t="shared" si="633"/>
        <v>0</v>
      </c>
      <c r="BX809" s="5">
        <f t="shared" si="633"/>
        <v>0</v>
      </c>
      <c r="BY809" s="5">
        <f t="shared" si="633"/>
        <v>0</v>
      </c>
      <c r="BZ809" s="5">
        <f t="shared" si="633"/>
        <v>0</v>
      </c>
      <c r="CA809" s="5">
        <f t="shared" si="633"/>
        <v>0</v>
      </c>
      <c r="CB809" s="5">
        <f t="shared" si="633"/>
        <v>0</v>
      </c>
      <c r="CC809" s="5">
        <f t="shared" si="636"/>
        <v>0</v>
      </c>
      <c r="CD809" s="5">
        <f t="shared" si="636"/>
        <v>1</v>
      </c>
      <c r="CE809" s="5">
        <f t="shared" si="636"/>
        <v>0</v>
      </c>
    </row>
    <row r="810" spans="1:83" x14ac:dyDescent="0.2">
      <c r="A810" s="11"/>
      <c r="B810" s="11"/>
      <c r="C810" s="1">
        <f>Growth!D815</f>
        <v>3.5714285714285712E-2</v>
      </c>
      <c r="D810" s="5" t="b">
        <f t="shared" si="590"/>
        <v>0</v>
      </c>
      <c r="E810" s="5">
        <v>2014</v>
      </c>
      <c r="F810" s="5">
        <f ca="1">LOOKUP($E810,frequence!$A$2:$A$35,frequence!L$2:L$35)</f>
        <v>50.75383375536623</v>
      </c>
      <c r="G810" s="5">
        <f ca="1">LOOKUP($E810,frequence!$A$2:$A$35,frequence!K$2:K$35)</f>
        <v>9.9751715831189358</v>
      </c>
      <c r="H810" s="5">
        <f ca="1">LOOKUP($E810,frequence!$A$2:$A$35,frequence!M$2:M$35)</f>
        <v>236.05429056976001</v>
      </c>
      <c r="I810" s="16">
        <v>2010</v>
      </c>
      <c r="J810" s="7">
        <f>LOOKUP(I810,CPI!A$69:A$103,CPI!O$69:O$103)</f>
        <v>1</v>
      </c>
      <c r="K810" s="16">
        <v>2010</v>
      </c>
      <c r="L810" s="7">
        <f t="shared" ca="1" si="584"/>
        <v>1</v>
      </c>
      <c r="M810" s="7">
        <f t="shared" si="608"/>
        <v>0.22857142857142856</v>
      </c>
      <c r="N810" s="14">
        <f t="shared" si="634"/>
        <v>3.5714285714285712E-2</v>
      </c>
      <c r="O810" s="1">
        <f ca="1">P810*J810*(1+Growth!G$6)^(2010-K810)</f>
        <v>27.8</v>
      </c>
      <c r="P810" s="1">
        <v>27.8</v>
      </c>
      <c r="Q810" s="2">
        <f t="shared" si="626"/>
        <v>27.8</v>
      </c>
      <c r="R810" s="21">
        <f t="shared" ca="1" si="627"/>
        <v>772.84</v>
      </c>
      <c r="U810" s="11"/>
      <c r="V810" s="11"/>
      <c r="W810" s="11"/>
      <c r="X810" s="11"/>
      <c r="Y810" s="11"/>
      <c r="Z810" s="11"/>
      <c r="AA810" s="11"/>
      <c r="AB810" s="11"/>
      <c r="AC810" s="1">
        <f t="shared" si="628"/>
        <v>6.4</v>
      </c>
      <c r="AD810" s="5">
        <v>1</v>
      </c>
      <c r="AE810" s="5">
        <v>0</v>
      </c>
      <c r="AF810" s="5">
        <v>1</v>
      </c>
      <c r="AG810" s="5">
        <v>0</v>
      </c>
      <c r="AH810" s="5">
        <v>1</v>
      </c>
      <c r="AI810" s="3">
        <f t="shared" si="589"/>
        <v>3.4</v>
      </c>
      <c r="AJ810" s="5">
        <f t="shared" si="606"/>
        <v>0</v>
      </c>
      <c r="AK810" s="5">
        <f t="shared" si="585"/>
        <v>0</v>
      </c>
      <c r="AL810" s="5">
        <f t="shared" si="586"/>
        <v>1</v>
      </c>
      <c r="AM810" s="5">
        <f t="shared" si="614"/>
        <v>0</v>
      </c>
      <c r="AN810" s="5">
        <f t="shared" si="587"/>
        <v>0</v>
      </c>
      <c r="AO810" s="5">
        <f t="shared" si="615"/>
        <v>0</v>
      </c>
      <c r="AP810" s="11" t="s">
        <v>42</v>
      </c>
      <c r="AQ810" s="11">
        <v>1.5</v>
      </c>
      <c r="AR810" s="5">
        <v>0</v>
      </c>
      <c r="AS810" s="5">
        <v>0</v>
      </c>
      <c r="AT810" s="5">
        <v>0</v>
      </c>
      <c r="AU810" s="5">
        <v>0</v>
      </c>
      <c r="AV810" s="5">
        <v>0</v>
      </c>
      <c r="AW810" s="5">
        <v>0</v>
      </c>
      <c r="AX810" s="5">
        <v>1</v>
      </c>
      <c r="AY810" s="1">
        <f t="shared" si="629"/>
        <v>0</v>
      </c>
      <c r="AZ810" s="1">
        <f t="shared" si="630"/>
        <v>0</v>
      </c>
      <c r="BA810" s="1">
        <f t="shared" si="631"/>
        <v>0</v>
      </c>
      <c r="BB810" s="5">
        <v>0</v>
      </c>
      <c r="BC810" s="5">
        <v>0</v>
      </c>
      <c r="BD810" s="5">
        <v>0</v>
      </c>
      <c r="BE810" s="5">
        <f t="shared" si="632"/>
        <v>1</v>
      </c>
      <c r="BF810" s="5">
        <v>1</v>
      </c>
      <c r="BG810" s="5">
        <f t="shared" si="635"/>
        <v>0</v>
      </c>
      <c r="BH810" s="5">
        <f t="shared" si="635"/>
        <v>0</v>
      </c>
      <c r="BI810" s="5">
        <f t="shared" si="635"/>
        <v>0</v>
      </c>
      <c r="BJ810" s="5">
        <f t="shared" si="635"/>
        <v>0</v>
      </c>
      <c r="BK810" s="5">
        <f t="shared" si="635"/>
        <v>0</v>
      </c>
      <c r="BL810" s="5">
        <f t="shared" si="635"/>
        <v>0</v>
      </c>
      <c r="BM810" s="5">
        <f t="shared" si="635"/>
        <v>0</v>
      </c>
      <c r="BN810" s="5">
        <f t="shared" si="633"/>
        <v>0</v>
      </c>
      <c r="BO810" s="5">
        <f t="shared" si="633"/>
        <v>0</v>
      </c>
      <c r="BP810" s="5">
        <f t="shared" si="633"/>
        <v>0</v>
      </c>
      <c r="BQ810" s="5">
        <f t="shared" si="633"/>
        <v>0</v>
      </c>
      <c r="BR810" s="5">
        <f t="shared" si="633"/>
        <v>0</v>
      </c>
      <c r="BS810" s="5">
        <f t="shared" si="633"/>
        <v>0</v>
      </c>
      <c r="BT810" s="5">
        <f t="shared" si="633"/>
        <v>0</v>
      </c>
      <c r="BU810" s="5">
        <f t="shared" si="633"/>
        <v>0</v>
      </c>
      <c r="BV810" s="5">
        <f t="shared" si="633"/>
        <v>0</v>
      </c>
      <c r="BW810" s="5">
        <f t="shared" si="633"/>
        <v>0</v>
      </c>
      <c r="BX810" s="5">
        <f t="shared" si="633"/>
        <v>0</v>
      </c>
      <c r="BY810" s="5">
        <f t="shared" si="633"/>
        <v>0</v>
      </c>
      <c r="BZ810" s="5">
        <f t="shared" si="633"/>
        <v>0</v>
      </c>
      <c r="CA810" s="5">
        <f t="shared" si="633"/>
        <v>0</v>
      </c>
      <c r="CB810" s="5">
        <f t="shared" si="633"/>
        <v>0</v>
      </c>
      <c r="CC810" s="5">
        <f t="shared" si="636"/>
        <v>0</v>
      </c>
      <c r="CD810" s="5">
        <f t="shared" si="636"/>
        <v>1</v>
      </c>
      <c r="CE810" s="5">
        <f t="shared" si="636"/>
        <v>0</v>
      </c>
    </row>
    <row r="811" spans="1:83" x14ac:dyDescent="0.2">
      <c r="A811" s="11"/>
      <c r="B811" s="11"/>
      <c r="C811" s="1">
        <f>Growth!D816</f>
        <v>3.5714285714285712E-2</v>
      </c>
      <c r="D811" s="5" t="b">
        <f t="shared" si="590"/>
        <v>0</v>
      </c>
      <c r="E811" s="5">
        <v>2014</v>
      </c>
      <c r="F811" s="5">
        <f ca="1">LOOKUP($E811,frequence!$A$2:$A$35,frequence!L$2:L$35)</f>
        <v>50.75383375536623</v>
      </c>
      <c r="G811" s="5">
        <f ca="1">LOOKUP($E811,frequence!$A$2:$A$35,frequence!K$2:K$35)</f>
        <v>9.9751715831189358</v>
      </c>
      <c r="H811" s="5">
        <f ca="1">LOOKUP($E811,frequence!$A$2:$A$35,frequence!M$2:M$35)</f>
        <v>236.05429056976001</v>
      </c>
      <c r="I811" s="16">
        <v>2010</v>
      </c>
      <c r="J811" s="7">
        <f>LOOKUP(I811,CPI!A$69:A$103,CPI!O$69:O$103)</f>
        <v>1</v>
      </c>
      <c r="K811" s="16">
        <v>2010</v>
      </c>
      <c r="L811" s="7">
        <f t="shared" ca="1" si="584"/>
        <v>1</v>
      </c>
      <c r="M811" s="7">
        <f t="shared" si="608"/>
        <v>0.22857142857142856</v>
      </c>
      <c r="N811" s="14">
        <f t="shared" si="634"/>
        <v>3.5714285714285712E-2</v>
      </c>
      <c r="O811" s="1">
        <f ca="1">P811*J811*(1+Growth!G$6)^(2010-K811)</f>
        <v>27.9</v>
      </c>
      <c r="P811" s="1">
        <v>27.9</v>
      </c>
      <c r="Q811" s="2">
        <f t="shared" si="626"/>
        <v>27.9</v>
      </c>
      <c r="R811" s="21">
        <f t="shared" ca="1" si="627"/>
        <v>778.41</v>
      </c>
      <c r="U811" s="11"/>
      <c r="V811" s="11"/>
      <c r="W811" s="11"/>
      <c r="X811" s="11"/>
      <c r="Y811" s="11"/>
      <c r="Z811" s="11"/>
      <c r="AA811" s="11"/>
      <c r="AB811" s="11"/>
      <c r="AC811" s="1">
        <f t="shared" si="628"/>
        <v>6.4</v>
      </c>
      <c r="AD811" s="5">
        <v>1</v>
      </c>
      <c r="AE811" s="5">
        <v>0</v>
      </c>
      <c r="AF811" s="5">
        <v>1</v>
      </c>
      <c r="AG811" s="5">
        <v>0</v>
      </c>
      <c r="AH811" s="5">
        <v>1</v>
      </c>
      <c r="AI811" s="3">
        <f t="shared" si="589"/>
        <v>3.4</v>
      </c>
      <c r="AJ811" s="5">
        <f t="shared" si="606"/>
        <v>0</v>
      </c>
      <c r="AK811" s="5">
        <f t="shared" si="585"/>
        <v>0</v>
      </c>
      <c r="AL811" s="5">
        <f t="shared" si="586"/>
        <v>1</v>
      </c>
      <c r="AM811" s="5">
        <f t="shared" si="614"/>
        <v>0</v>
      </c>
      <c r="AN811" s="5">
        <f t="shared" si="587"/>
        <v>0</v>
      </c>
      <c r="AO811" s="5">
        <f t="shared" si="615"/>
        <v>0</v>
      </c>
      <c r="AP811" s="11" t="s">
        <v>42</v>
      </c>
      <c r="AQ811" s="11">
        <v>1.5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1</v>
      </c>
      <c r="AY811" s="1">
        <f t="shared" si="629"/>
        <v>0</v>
      </c>
      <c r="AZ811" s="1">
        <f t="shared" si="630"/>
        <v>0</v>
      </c>
      <c r="BA811" s="1">
        <f t="shared" si="631"/>
        <v>0</v>
      </c>
      <c r="BB811" s="5">
        <v>0</v>
      </c>
      <c r="BC811" s="5">
        <v>0</v>
      </c>
      <c r="BD811" s="5">
        <v>0</v>
      </c>
      <c r="BE811" s="5">
        <f t="shared" si="632"/>
        <v>1</v>
      </c>
      <c r="BF811" s="5">
        <v>1</v>
      </c>
      <c r="BG811" s="5">
        <f t="shared" si="635"/>
        <v>0</v>
      </c>
      <c r="BH811" s="5">
        <f t="shared" si="635"/>
        <v>0</v>
      </c>
      <c r="BI811" s="5">
        <f t="shared" si="635"/>
        <v>0</v>
      </c>
      <c r="BJ811" s="5">
        <f t="shared" si="635"/>
        <v>0</v>
      </c>
      <c r="BK811" s="5">
        <f t="shared" si="635"/>
        <v>0</v>
      </c>
      <c r="BL811" s="5">
        <f t="shared" si="635"/>
        <v>0</v>
      </c>
      <c r="BM811" s="5">
        <f t="shared" si="635"/>
        <v>0</v>
      </c>
      <c r="BN811" s="5">
        <f t="shared" si="633"/>
        <v>0</v>
      </c>
      <c r="BO811" s="5">
        <f t="shared" si="633"/>
        <v>0</v>
      </c>
      <c r="BP811" s="5">
        <f t="shared" si="633"/>
        <v>0</v>
      </c>
      <c r="BQ811" s="5">
        <f t="shared" si="633"/>
        <v>0</v>
      </c>
      <c r="BR811" s="5">
        <f t="shared" si="633"/>
        <v>0</v>
      </c>
      <c r="BS811" s="5">
        <f t="shared" si="633"/>
        <v>0</v>
      </c>
      <c r="BT811" s="5">
        <f t="shared" si="633"/>
        <v>0</v>
      </c>
      <c r="BU811" s="5">
        <f t="shared" si="633"/>
        <v>0</v>
      </c>
      <c r="BV811" s="5">
        <f t="shared" si="633"/>
        <v>0</v>
      </c>
      <c r="BW811" s="5">
        <f t="shared" si="633"/>
        <v>0</v>
      </c>
      <c r="BX811" s="5">
        <f t="shared" si="633"/>
        <v>0</v>
      </c>
      <c r="BY811" s="5">
        <f t="shared" si="633"/>
        <v>0</v>
      </c>
      <c r="BZ811" s="5">
        <f t="shared" si="633"/>
        <v>0</v>
      </c>
      <c r="CA811" s="5">
        <f t="shared" si="633"/>
        <v>0</v>
      </c>
      <c r="CB811" s="5">
        <f t="shared" si="633"/>
        <v>0</v>
      </c>
      <c r="CC811" s="5">
        <f t="shared" si="636"/>
        <v>0</v>
      </c>
      <c r="CD811" s="5">
        <f t="shared" si="636"/>
        <v>1</v>
      </c>
      <c r="CE811" s="5">
        <f t="shared" si="636"/>
        <v>0</v>
      </c>
    </row>
    <row r="812" spans="1:83" x14ac:dyDescent="0.2">
      <c r="A812" s="11"/>
      <c r="B812" s="11"/>
      <c r="C812" s="1">
        <f>Growth!D817</f>
        <v>3.5714285714285712E-2</v>
      </c>
      <c r="D812" s="5" t="b">
        <f t="shared" si="590"/>
        <v>0</v>
      </c>
      <c r="E812" s="5">
        <v>2014</v>
      </c>
      <c r="F812" s="5">
        <f ca="1">LOOKUP($E812,frequence!$A$2:$A$35,frequence!L$2:L$35)</f>
        <v>50.75383375536623</v>
      </c>
      <c r="G812" s="5">
        <f ca="1">LOOKUP($E812,frequence!$A$2:$A$35,frequence!K$2:K$35)</f>
        <v>9.9751715831189358</v>
      </c>
      <c r="H812" s="5">
        <f ca="1">LOOKUP($E812,frequence!$A$2:$A$35,frequence!M$2:M$35)</f>
        <v>236.05429056976001</v>
      </c>
      <c r="I812" s="16">
        <v>2010</v>
      </c>
      <c r="J812" s="7">
        <f>LOOKUP(I812,CPI!A$69:A$103,CPI!O$69:O$103)</f>
        <v>1</v>
      </c>
      <c r="K812" s="16">
        <v>2010</v>
      </c>
      <c r="L812" s="7">
        <f t="shared" ca="1" si="584"/>
        <v>1</v>
      </c>
      <c r="M812" s="7">
        <f t="shared" si="608"/>
        <v>0.22857142857142856</v>
      </c>
      <c r="N812" s="14">
        <f t="shared" si="634"/>
        <v>3.5714285714285712E-2</v>
      </c>
      <c r="O812" s="1">
        <f ca="1">P812*J812*(1+Growth!G$6)^(2010-K812)</f>
        <v>27.9</v>
      </c>
      <c r="P812" s="1">
        <v>27.9</v>
      </c>
      <c r="Q812" s="2">
        <f t="shared" si="626"/>
        <v>27.9</v>
      </c>
      <c r="R812" s="21">
        <f t="shared" ca="1" si="627"/>
        <v>778.41</v>
      </c>
      <c r="U812" s="11"/>
      <c r="V812" s="11"/>
      <c r="W812" s="11"/>
      <c r="X812" s="11"/>
      <c r="Y812" s="11"/>
      <c r="Z812" s="11"/>
      <c r="AA812" s="11"/>
      <c r="AB812" s="11"/>
      <c r="AC812" s="1">
        <f t="shared" si="628"/>
        <v>6.4</v>
      </c>
      <c r="AD812" s="5">
        <v>1</v>
      </c>
      <c r="AE812" s="5">
        <v>0</v>
      </c>
      <c r="AF812" s="5">
        <v>1</v>
      </c>
      <c r="AG812" s="5">
        <v>0</v>
      </c>
      <c r="AH812" s="5">
        <v>1</v>
      </c>
      <c r="AI812" s="3">
        <f t="shared" si="589"/>
        <v>3.4</v>
      </c>
      <c r="AJ812" s="5">
        <f t="shared" si="606"/>
        <v>0</v>
      </c>
      <c r="AK812" s="5">
        <f t="shared" si="585"/>
        <v>0</v>
      </c>
      <c r="AL812" s="5">
        <f t="shared" si="586"/>
        <v>1</v>
      </c>
      <c r="AM812" s="5">
        <f t="shared" si="614"/>
        <v>0</v>
      </c>
      <c r="AN812" s="5">
        <f t="shared" si="587"/>
        <v>0</v>
      </c>
      <c r="AO812" s="5">
        <f t="shared" si="615"/>
        <v>0</v>
      </c>
      <c r="AP812" s="11" t="s">
        <v>42</v>
      </c>
      <c r="AQ812" s="11">
        <v>1.5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1</v>
      </c>
      <c r="AY812" s="1">
        <f t="shared" si="629"/>
        <v>0</v>
      </c>
      <c r="AZ812" s="1">
        <f t="shared" si="630"/>
        <v>0</v>
      </c>
      <c r="BA812" s="1">
        <f t="shared" si="631"/>
        <v>0</v>
      </c>
      <c r="BB812" s="5">
        <v>0</v>
      </c>
      <c r="BC812" s="5">
        <v>0</v>
      </c>
      <c r="BD812" s="5">
        <v>0</v>
      </c>
      <c r="BE812" s="5">
        <f t="shared" si="632"/>
        <v>1</v>
      </c>
      <c r="BF812" s="5">
        <v>1</v>
      </c>
      <c r="BG812" s="5">
        <f t="shared" si="635"/>
        <v>0</v>
      </c>
      <c r="BH812" s="5">
        <f t="shared" si="635"/>
        <v>0</v>
      </c>
      <c r="BI812" s="5">
        <f t="shared" si="635"/>
        <v>0</v>
      </c>
      <c r="BJ812" s="5">
        <f t="shared" si="635"/>
        <v>0</v>
      </c>
      <c r="BK812" s="5">
        <f t="shared" si="635"/>
        <v>0</v>
      </c>
      <c r="BL812" s="5">
        <f t="shared" si="635"/>
        <v>0</v>
      </c>
      <c r="BM812" s="5">
        <f t="shared" si="635"/>
        <v>0</v>
      </c>
      <c r="BN812" s="5">
        <f t="shared" si="633"/>
        <v>0</v>
      </c>
      <c r="BO812" s="5">
        <f t="shared" si="633"/>
        <v>0</v>
      </c>
      <c r="BP812" s="5">
        <f t="shared" si="633"/>
        <v>0</v>
      </c>
      <c r="BQ812" s="5">
        <f t="shared" si="633"/>
        <v>0</v>
      </c>
      <c r="BR812" s="5">
        <f t="shared" si="633"/>
        <v>0</v>
      </c>
      <c r="BS812" s="5">
        <f t="shared" si="633"/>
        <v>0</v>
      </c>
      <c r="BT812" s="5">
        <f t="shared" si="633"/>
        <v>0</v>
      </c>
      <c r="BU812" s="5">
        <f t="shared" si="633"/>
        <v>0</v>
      </c>
      <c r="BV812" s="5">
        <f t="shared" si="633"/>
        <v>0</v>
      </c>
      <c r="BW812" s="5">
        <f t="shared" si="633"/>
        <v>0</v>
      </c>
      <c r="BX812" s="5">
        <f t="shared" si="633"/>
        <v>0</v>
      </c>
      <c r="BY812" s="5">
        <f t="shared" si="633"/>
        <v>0</v>
      </c>
      <c r="BZ812" s="5">
        <f t="shared" si="633"/>
        <v>0</v>
      </c>
      <c r="CA812" s="5">
        <f t="shared" si="633"/>
        <v>0</v>
      </c>
      <c r="CB812" s="5">
        <f t="shared" si="633"/>
        <v>0</v>
      </c>
      <c r="CC812" s="5">
        <f t="shared" si="636"/>
        <v>0</v>
      </c>
      <c r="CD812" s="5">
        <f t="shared" si="636"/>
        <v>1</v>
      </c>
      <c r="CE812" s="5">
        <f t="shared" si="636"/>
        <v>0</v>
      </c>
    </row>
    <row r="813" spans="1:83" x14ac:dyDescent="0.2">
      <c r="A813" s="11"/>
      <c r="B813" s="11"/>
      <c r="C813" s="1">
        <f>Growth!D818</f>
        <v>3.5714285714285712E-2</v>
      </c>
      <c r="D813" s="5" t="b">
        <f t="shared" si="590"/>
        <v>0</v>
      </c>
      <c r="E813" s="5">
        <v>2014</v>
      </c>
      <c r="F813" s="5">
        <f ca="1">LOOKUP($E813,frequence!$A$2:$A$35,frequence!L$2:L$35)</f>
        <v>50.75383375536623</v>
      </c>
      <c r="G813" s="5">
        <f ca="1">LOOKUP($E813,frequence!$A$2:$A$35,frequence!K$2:K$35)</f>
        <v>9.9751715831189358</v>
      </c>
      <c r="H813" s="5">
        <f ca="1">LOOKUP($E813,frequence!$A$2:$A$35,frequence!M$2:M$35)</f>
        <v>236.05429056976001</v>
      </c>
      <c r="I813" s="16">
        <v>2010</v>
      </c>
      <c r="J813" s="7">
        <f>LOOKUP(I813,CPI!A$69:A$103,CPI!O$69:O$103)</f>
        <v>1</v>
      </c>
      <c r="K813" s="16">
        <v>2010</v>
      </c>
      <c r="L813" s="7">
        <f t="shared" ca="1" si="584"/>
        <v>1</v>
      </c>
      <c r="M813" s="7">
        <f t="shared" si="608"/>
        <v>0.22857142857142856</v>
      </c>
      <c r="N813" s="14">
        <f t="shared" si="634"/>
        <v>3.5714285714285712E-2</v>
      </c>
      <c r="O813" s="1">
        <f ca="1">P813*J813*(1+Growth!G$6)^(2010-K813)</f>
        <v>198.6</v>
      </c>
      <c r="P813" s="1">
        <v>198.6</v>
      </c>
      <c r="Q813" s="2">
        <f t="shared" si="626"/>
        <v>198.6</v>
      </c>
      <c r="R813" s="21">
        <f t="shared" ca="1" si="627"/>
        <v>39441.96</v>
      </c>
      <c r="U813" s="11"/>
      <c r="V813" s="11"/>
      <c r="W813" s="11"/>
      <c r="X813" s="11"/>
      <c r="Y813" s="11"/>
      <c r="Z813" s="11"/>
      <c r="AA813" s="11"/>
      <c r="AB813" s="11"/>
      <c r="AC813" s="1">
        <f t="shared" si="628"/>
        <v>6.4</v>
      </c>
      <c r="AD813" s="5">
        <v>1</v>
      </c>
      <c r="AE813" s="5">
        <v>0</v>
      </c>
      <c r="AF813" s="5">
        <v>1</v>
      </c>
      <c r="AG813" s="5">
        <v>0</v>
      </c>
      <c r="AH813" s="5">
        <v>1</v>
      </c>
      <c r="AI813" s="3">
        <f t="shared" si="589"/>
        <v>3.4</v>
      </c>
      <c r="AJ813" s="5">
        <f t="shared" si="606"/>
        <v>0</v>
      </c>
      <c r="AK813" s="5">
        <f t="shared" si="585"/>
        <v>0</v>
      </c>
      <c r="AL813" s="5">
        <f t="shared" si="586"/>
        <v>0</v>
      </c>
      <c r="AM813" s="5">
        <f t="shared" si="614"/>
        <v>0</v>
      </c>
      <c r="AN813" s="5">
        <f t="shared" si="587"/>
        <v>1</v>
      </c>
      <c r="AO813" s="5">
        <f t="shared" si="615"/>
        <v>0</v>
      </c>
      <c r="AP813" s="11" t="s">
        <v>42</v>
      </c>
      <c r="AQ813" s="11">
        <v>0.1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1</v>
      </c>
      <c r="AY813" s="1">
        <f t="shared" si="629"/>
        <v>0</v>
      </c>
      <c r="AZ813" s="1">
        <f t="shared" si="630"/>
        <v>0</v>
      </c>
      <c r="BA813" s="1">
        <f t="shared" si="631"/>
        <v>0</v>
      </c>
      <c r="BB813" s="5">
        <v>0</v>
      </c>
      <c r="BC813" s="5">
        <v>0</v>
      </c>
      <c r="BD813" s="5">
        <v>0</v>
      </c>
      <c r="BE813" s="5">
        <f t="shared" si="632"/>
        <v>1</v>
      </c>
      <c r="BF813" s="5">
        <v>1</v>
      </c>
      <c r="BG813" s="5">
        <f t="shared" si="635"/>
        <v>0</v>
      </c>
      <c r="BH813" s="5">
        <f t="shared" si="635"/>
        <v>0</v>
      </c>
      <c r="BI813" s="5">
        <f t="shared" si="635"/>
        <v>0</v>
      </c>
      <c r="BJ813" s="5">
        <f t="shared" si="635"/>
        <v>0</v>
      </c>
      <c r="BK813" s="5">
        <f t="shared" si="635"/>
        <v>0</v>
      </c>
      <c r="BL813" s="5">
        <f t="shared" si="635"/>
        <v>0</v>
      </c>
      <c r="BM813" s="5">
        <f t="shared" si="635"/>
        <v>0</v>
      </c>
      <c r="BN813" s="5">
        <f t="shared" si="633"/>
        <v>0</v>
      </c>
      <c r="BO813" s="5">
        <f t="shared" si="633"/>
        <v>0</v>
      </c>
      <c r="BP813" s="5">
        <f t="shared" si="633"/>
        <v>0</v>
      </c>
      <c r="BQ813" s="5">
        <f t="shared" si="633"/>
        <v>0</v>
      </c>
      <c r="BR813" s="5">
        <f t="shared" si="633"/>
        <v>0</v>
      </c>
      <c r="BS813" s="5">
        <f t="shared" si="633"/>
        <v>0</v>
      </c>
      <c r="BT813" s="5">
        <f t="shared" si="633"/>
        <v>0</v>
      </c>
      <c r="BU813" s="5">
        <f t="shared" si="633"/>
        <v>0</v>
      </c>
      <c r="BV813" s="5">
        <f t="shared" si="633"/>
        <v>0</v>
      </c>
      <c r="BW813" s="5">
        <f t="shared" si="633"/>
        <v>0</v>
      </c>
      <c r="BX813" s="5">
        <f t="shared" si="633"/>
        <v>0</v>
      </c>
      <c r="BY813" s="5">
        <f t="shared" si="633"/>
        <v>0</v>
      </c>
      <c r="BZ813" s="5">
        <f t="shared" si="633"/>
        <v>0</v>
      </c>
      <c r="CA813" s="5">
        <f t="shared" si="633"/>
        <v>0</v>
      </c>
      <c r="CB813" s="5">
        <f t="shared" si="633"/>
        <v>0</v>
      </c>
      <c r="CC813" s="5">
        <f t="shared" si="636"/>
        <v>0</v>
      </c>
      <c r="CD813" s="5">
        <f t="shared" si="636"/>
        <v>1</v>
      </c>
      <c r="CE813" s="5">
        <f t="shared" si="636"/>
        <v>0</v>
      </c>
    </row>
    <row r="814" spans="1:83" x14ac:dyDescent="0.2">
      <c r="A814" s="11"/>
      <c r="B814" s="11"/>
      <c r="C814" s="1">
        <f>Growth!D819</f>
        <v>3.5714285714285712E-2</v>
      </c>
      <c r="D814" s="5" t="b">
        <f t="shared" si="590"/>
        <v>0</v>
      </c>
      <c r="E814" s="5">
        <v>2014</v>
      </c>
      <c r="F814" s="5">
        <f ca="1">LOOKUP($E814,frequence!$A$2:$A$35,frequence!L$2:L$35)</f>
        <v>50.75383375536623</v>
      </c>
      <c r="G814" s="5">
        <f ca="1">LOOKUP($E814,frequence!$A$2:$A$35,frequence!K$2:K$35)</f>
        <v>9.9751715831189358</v>
      </c>
      <c r="H814" s="5">
        <f ca="1">LOOKUP($E814,frequence!$A$2:$A$35,frequence!M$2:M$35)</f>
        <v>236.05429056976001</v>
      </c>
      <c r="I814" s="16">
        <v>2010</v>
      </c>
      <c r="J814" s="7">
        <f>LOOKUP(I814,CPI!A$69:A$103,CPI!O$69:O$103)</f>
        <v>1</v>
      </c>
      <c r="K814" s="16">
        <v>2010</v>
      </c>
      <c r="L814" s="7">
        <f t="shared" ca="1" si="584"/>
        <v>1</v>
      </c>
      <c r="M814" s="7">
        <f t="shared" si="608"/>
        <v>0.22857142857142856</v>
      </c>
      <c r="N814" s="14">
        <f t="shared" si="634"/>
        <v>3.5714285714285712E-2</v>
      </c>
      <c r="O814" s="1">
        <f ca="1">P814*J814*(1+Growth!G$6)^(2010-K814)</f>
        <v>184.8</v>
      </c>
      <c r="P814" s="1">
        <v>184.8</v>
      </c>
      <c r="Q814" s="2">
        <f t="shared" si="626"/>
        <v>184.8</v>
      </c>
      <c r="R814" s="21">
        <f t="shared" ca="1" si="627"/>
        <v>34151.040000000001</v>
      </c>
      <c r="U814" s="11"/>
      <c r="V814" s="11"/>
      <c r="W814" s="11"/>
      <c r="X814" s="11"/>
      <c r="Y814" s="11"/>
      <c r="Z814" s="11"/>
      <c r="AA814" s="11"/>
      <c r="AB814" s="11"/>
      <c r="AC814" s="1">
        <f t="shared" si="628"/>
        <v>6.4</v>
      </c>
      <c r="AD814" s="5">
        <v>1</v>
      </c>
      <c r="AE814" s="5">
        <v>0</v>
      </c>
      <c r="AF814" s="5">
        <v>1</v>
      </c>
      <c r="AG814" s="5">
        <v>0</v>
      </c>
      <c r="AH814" s="5">
        <v>1</v>
      </c>
      <c r="AI814" s="3">
        <f t="shared" si="589"/>
        <v>3.4</v>
      </c>
      <c r="AJ814" s="5">
        <f t="shared" si="606"/>
        <v>0</v>
      </c>
      <c r="AK814" s="5">
        <f t="shared" si="585"/>
        <v>0</v>
      </c>
      <c r="AL814" s="5">
        <f t="shared" si="586"/>
        <v>0</v>
      </c>
      <c r="AM814" s="5">
        <f t="shared" si="614"/>
        <v>0</v>
      </c>
      <c r="AN814" s="5">
        <f t="shared" si="587"/>
        <v>1</v>
      </c>
      <c r="AO814" s="5">
        <f t="shared" si="615"/>
        <v>0</v>
      </c>
      <c r="AP814" s="11" t="s">
        <v>42</v>
      </c>
      <c r="AQ814" s="11">
        <v>0.1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1</v>
      </c>
      <c r="AY814" s="1">
        <f t="shared" si="629"/>
        <v>0</v>
      </c>
      <c r="AZ814" s="1">
        <f t="shared" si="630"/>
        <v>0</v>
      </c>
      <c r="BA814" s="1">
        <f t="shared" si="631"/>
        <v>0</v>
      </c>
      <c r="BB814" s="5">
        <v>0</v>
      </c>
      <c r="BC814" s="5">
        <v>0</v>
      </c>
      <c r="BD814" s="5">
        <v>0</v>
      </c>
      <c r="BE814" s="5">
        <f t="shared" si="632"/>
        <v>1</v>
      </c>
      <c r="BF814" s="5">
        <v>1</v>
      </c>
      <c r="BG814" s="5">
        <f t="shared" si="635"/>
        <v>0</v>
      </c>
      <c r="BH814" s="5">
        <f t="shared" si="635"/>
        <v>0</v>
      </c>
      <c r="BI814" s="5">
        <f t="shared" si="635"/>
        <v>0</v>
      </c>
      <c r="BJ814" s="5">
        <f t="shared" si="635"/>
        <v>0</v>
      </c>
      <c r="BK814" s="5">
        <f t="shared" si="635"/>
        <v>0</v>
      </c>
      <c r="BL814" s="5">
        <f t="shared" si="635"/>
        <v>0</v>
      </c>
      <c r="BM814" s="5">
        <f t="shared" si="635"/>
        <v>0</v>
      </c>
      <c r="BN814" s="5">
        <f t="shared" si="633"/>
        <v>0</v>
      </c>
      <c r="BO814" s="5">
        <f t="shared" si="633"/>
        <v>0</v>
      </c>
      <c r="BP814" s="5">
        <f t="shared" si="633"/>
        <v>0</v>
      </c>
      <c r="BQ814" s="5">
        <f t="shared" si="633"/>
        <v>0</v>
      </c>
      <c r="BR814" s="5">
        <f t="shared" si="633"/>
        <v>0</v>
      </c>
      <c r="BS814" s="5">
        <f t="shared" si="633"/>
        <v>0</v>
      </c>
      <c r="BT814" s="5">
        <f t="shared" si="633"/>
        <v>0</v>
      </c>
      <c r="BU814" s="5">
        <f t="shared" si="633"/>
        <v>0</v>
      </c>
      <c r="BV814" s="5">
        <f t="shared" si="633"/>
        <v>0</v>
      </c>
      <c r="BW814" s="5">
        <f t="shared" si="633"/>
        <v>0</v>
      </c>
      <c r="BX814" s="5">
        <f t="shared" si="633"/>
        <v>0</v>
      </c>
      <c r="BY814" s="5">
        <f t="shared" si="633"/>
        <v>0</v>
      </c>
      <c r="BZ814" s="5">
        <f t="shared" si="633"/>
        <v>0</v>
      </c>
      <c r="CA814" s="5">
        <f t="shared" si="633"/>
        <v>0</v>
      </c>
      <c r="CB814" s="5">
        <f t="shared" si="633"/>
        <v>0</v>
      </c>
      <c r="CC814" s="5">
        <f t="shared" si="636"/>
        <v>0</v>
      </c>
      <c r="CD814" s="5">
        <f t="shared" si="636"/>
        <v>1</v>
      </c>
      <c r="CE814" s="5">
        <f t="shared" si="636"/>
        <v>0</v>
      </c>
    </row>
    <row r="815" spans="1:83" x14ac:dyDescent="0.2">
      <c r="A815" s="11"/>
      <c r="B815" s="11"/>
      <c r="C815" s="1">
        <f>Growth!D820</f>
        <v>3.5714285714285712E-2</v>
      </c>
      <c r="D815" s="5" t="b">
        <f t="shared" si="590"/>
        <v>0</v>
      </c>
      <c r="E815" s="5">
        <v>2014</v>
      </c>
      <c r="F815" s="5">
        <f ca="1">LOOKUP($E815,frequence!$A$2:$A$35,frequence!L$2:L$35)</f>
        <v>50.75383375536623</v>
      </c>
      <c r="G815" s="5">
        <f ca="1">LOOKUP($E815,frequence!$A$2:$A$35,frequence!K$2:K$35)</f>
        <v>9.9751715831189358</v>
      </c>
      <c r="H815" s="5">
        <f ca="1">LOOKUP($E815,frequence!$A$2:$A$35,frequence!M$2:M$35)</f>
        <v>236.05429056976001</v>
      </c>
      <c r="I815" s="16">
        <v>2010</v>
      </c>
      <c r="J815" s="7">
        <f>LOOKUP(I815,CPI!A$69:A$103,CPI!O$69:O$103)</f>
        <v>1</v>
      </c>
      <c r="K815" s="16">
        <v>2010</v>
      </c>
      <c r="L815" s="7">
        <f t="shared" ca="1" si="584"/>
        <v>1</v>
      </c>
      <c r="M815" s="7">
        <f t="shared" si="608"/>
        <v>0.22857142857142856</v>
      </c>
      <c r="N815" s="14">
        <f t="shared" si="634"/>
        <v>3.5714285714285712E-2</v>
      </c>
      <c r="O815" s="1">
        <f ca="1">P815*J815*(1+Growth!G$6)^(2010-K815)</f>
        <v>209.2</v>
      </c>
      <c r="P815" s="1">
        <v>209.2</v>
      </c>
      <c r="Q815" s="2">
        <f t="shared" si="626"/>
        <v>209.2</v>
      </c>
      <c r="R815" s="21">
        <f t="shared" ca="1" si="627"/>
        <v>43764.639999999992</v>
      </c>
      <c r="U815" s="11"/>
      <c r="V815" s="11"/>
      <c r="W815" s="11"/>
      <c r="X815" s="11"/>
      <c r="Y815" s="11"/>
      <c r="Z815" s="11"/>
      <c r="AA815" s="11"/>
      <c r="AB815" s="11"/>
      <c r="AC815" s="1">
        <f t="shared" si="628"/>
        <v>6.4</v>
      </c>
      <c r="AD815" s="5">
        <v>1</v>
      </c>
      <c r="AE815" s="5">
        <v>0</v>
      </c>
      <c r="AF815" s="5">
        <v>1</v>
      </c>
      <c r="AG815" s="5">
        <v>0</v>
      </c>
      <c r="AH815" s="5">
        <v>1</v>
      </c>
      <c r="AI815" s="3">
        <f t="shared" si="589"/>
        <v>3.4</v>
      </c>
      <c r="AJ815" s="5">
        <f t="shared" si="606"/>
        <v>0</v>
      </c>
      <c r="AK815" s="5">
        <f t="shared" si="585"/>
        <v>0</v>
      </c>
      <c r="AL815" s="5">
        <f t="shared" si="586"/>
        <v>0</v>
      </c>
      <c r="AM815" s="5">
        <f t="shared" si="614"/>
        <v>0</v>
      </c>
      <c r="AN815" s="5">
        <f t="shared" si="587"/>
        <v>1</v>
      </c>
      <c r="AO815" s="5">
        <f t="shared" si="615"/>
        <v>0</v>
      </c>
      <c r="AP815" s="11" t="s">
        <v>42</v>
      </c>
      <c r="AQ815" s="11">
        <v>0.1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1</v>
      </c>
      <c r="AY815" s="1">
        <f t="shared" si="629"/>
        <v>0</v>
      </c>
      <c r="AZ815" s="1">
        <f t="shared" si="630"/>
        <v>0</v>
      </c>
      <c r="BA815" s="1">
        <f t="shared" si="631"/>
        <v>0</v>
      </c>
      <c r="BB815" s="5">
        <v>0</v>
      </c>
      <c r="BC815" s="5">
        <v>0</v>
      </c>
      <c r="BD815" s="5">
        <v>0</v>
      </c>
      <c r="BE815" s="5">
        <f t="shared" si="632"/>
        <v>1</v>
      </c>
      <c r="BF815" s="5">
        <v>1</v>
      </c>
      <c r="BG815" s="5">
        <f t="shared" si="635"/>
        <v>0</v>
      </c>
      <c r="BH815" s="5">
        <f t="shared" si="635"/>
        <v>0</v>
      </c>
      <c r="BI815" s="5">
        <f t="shared" si="635"/>
        <v>0</v>
      </c>
      <c r="BJ815" s="5">
        <f t="shared" si="635"/>
        <v>0</v>
      </c>
      <c r="BK815" s="5">
        <f t="shared" si="635"/>
        <v>0</v>
      </c>
      <c r="BL815" s="5">
        <f t="shared" si="635"/>
        <v>0</v>
      </c>
      <c r="BM815" s="5">
        <f t="shared" si="635"/>
        <v>0</v>
      </c>
      <c r="BN815" s="5">
        <f t="shared" si="633"/>
        <v>0</v>
      </c>
      <c r="BO815" s="5">
        <f t="shared" si="633"/>
        <v>0</v>
      </c>
      <c r="BP815" s="5">
        <f t="shared" si="633"/>
        <v>0</v>
      </c>
      <c r="BQ815" s="5">
        <f t="shared" si="633"/>
        <v>0</v>
      </c>
      <c r="BR815" s="5">
        <f t="shared" si="633"/>
        <v>0</v>
      </c>
      <c r="BS815" s="5">
        <f t="shared" si="633"/>
        <v>0</v>
      </c>
      <c r="BT815" s="5">
        <f t="shared" si="633"/>
        <v>0</v>
      </c>
      <c r="BU815" s="5">
        <f t="shared" si="633"/>
        <v>0</v>
      </c>
      <c r="BV815" s="5">
        <f t="shared" si="633"/>
        <v>0</v>
      </c>
      <c r="BW815" s="5">
        <f t="shared" si="633"/>
        <v>0</v>
      </c>
      <c r="BX815" s="5">
        <f t="shared" si="633"/>
        <v>0</v>
      </c>
      <c r="BY815" s="5">
        <f t="shared" si="633"/>
        <v>0</v>
      </c>
      <c r="BZ815" s="5">
        <f t="shared" si="633"/>
        <v>0</v>
      </c>
      <c r="CA815" s="5">
        <f t="shared" si="633"/>
        <v>0</v>
      </c>
      <c r="CB815" s="5">
        <f t="shared" si="633"/>
        <v>0</v>
      </c>
      <c r="CC815" s="5">
        <f t="shared" si="636"/>
        <v>0</v>
      </c>
      <c r="CD815" s="5">
        <f t="shared" si="636"/>
        <v>1</v>
      </c>
      <c r="CE815" s="5">
        <f t="shared" si="636"/>
        <v>0</v>
      </c>
    </row>
    <row r="816" spans="1:83" x14ac:dyDescent="0.2">
      <c r="A816" s="11"/>
      <c r="B816" s="11"/>
      <c r="C816" s="1">
        <f>Growth!D821</f>
        <v>3.5714285714285712E-2</v>
      </c>
      <c r="D816" s="5" t="b">
        <f t="shared" si="590"/>
        <v>0</v>
      </c>
      <c r="E816" s="5">
        <v>2014</v>
      </c>
      <c r="F816" s="5">
        <f ca="1">LOOKUP($E816,frequence!$A$2:$A$35,frequence!L$2:L$35)</f>
        <v>50.75383375536623</v>
      </c>
      <c r="G816" s="5">
        <f ca="1">LOOKUP($E816,frequence!$A$2:$A$35,frequence!K$2:K$35)</f>
        <v>9.9751715831189358</v>
      </c>
      <c r="H816" s="5">
        <f ca="1">LOOKUP($E816,frequence!$A$2:$A$35,frequence!M$2:M$35)</f>
        <v>236.05429056976001</v>
      </c>
      <c r="I816" s="16">
        <v>2010</v>
      </c>
      <c r="J816" s="7">
        <f>LOOKUP(I816,CPI!A$69:A$103,CPI!O$69:O$103)</f>
        <v>1</v>
      </c>
      <c r="K816" s="16">
        <v>2010</v>
      </c>
      <c r="L816" s="7">
        <f t="shared" ca="1" si="584"/>
        <v>1</v>
      </c>
      <c r="M816" s="7">
        <f t="shared" si="608"/>
        <v>0.22857142857142856</v>
      </c>
      <c r="N816" s="14">
        <f t="shared" si="634"/>
        <v>3.5714285714285712E-2</v>
      </c>
      <c r="O816" s="1">
        <f ca="1">P816*J816*(1+Growth!G$6)^(2010-K816)</f>
        <v>213.4</v>
      </c>
      <c r="P816" s="1">
        <v>213.4</v>
      </c>
      <c r="Q816" s="2">
        <f t="shared" si="626"/>
        <v>213.4</v>
      </c>
      <c r="R816" s="21">
        <f t="shared" ca="1" si="627"/>
        <v>45539.560000000005</v>
      </c>
      <c r="U816" s="11"/>
      <c r="V816" s="11"/>
      <c r="W816" s="11"/>
      <c r="X816" s="11"/>
      <c r="Y816" s="11"/>
      <c r="Z816" s="11"/>
      <c r="AA816" s="11"/>
      <c r="AB816" s="11"/>
      <c r="AC816" s="1">
        <f t="shared" si="628"/>
        <v>6.4</v>
      </c>
      <c r="AD816" s="5">
        <v>1</v>
      </c>
      <c r="AE816" s="5">
        <v>0</v>
      </c>
      <c r="AF816" s="5">
        <v>1</v>
      </c>
      <c r="AG816" s="5">
        <v>0</v>
      </c>
      <c r="AH816" s="5">
        <v>1</v>
      </c>
      <c r="AI816" s="3">
        <f t="shared" si="589"/>
        <v>3.4</v>
      </c>
      <c r="AJ816" s="5">
        <f t="shared" si="606"/>
        <v>0</v>
      </c>
      <c r="AK816" s="5">
        <f t="shared" si="585"/>
        <v>0</v>
      </c>
      <c r="AL816" s="5">
        <f t="shared" si="586"/>
        <v>0</v>
      </c>
      <c r="AM816" s="5">
        <f t="shared" si="614"/>
        <v>0</v>
      </c>
      <c r="AN816" s="5">
        <f t="shared" si="587"/>
        <v>1</v>
      </c>
      <c r="AO816" s="5">
        <f t="shared" si="615"/>
        <v>0</v>
      </c>
      <c r="AP816" s="11" t="s">
        <v>42</v>
      </c>
      <c r="AQ816" s="11">
        <v>0.1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1</v>
      </c>
      <c r="AY816" s="1">
        <f t="shared" si="629"/>
        <v>0</v>
      </c>
      <c r="AZ816" s="1">
        <f t="shared" si="630"/>
        <v>0</v>
      </c>
      <c r="BA816" s="1">
        <f t="shared" si="631"/>
        <v>0</v>
      </c>
      <c r="BB816" s="5">
        <v>0</v>
      </c>
      <c r="BC816" s="5">
        <v>0</v>
      </c>
      <c r="BD816" s="5">
        <v>0</v>
      </c>
      <c r="BE816" s="5">
        <f t="shared" si="632"/>
        <v>1</v>
      </c>
      <c r="BF816" s="5">
        <v>1</v>
      </c>
      <c r="BG816" s="5">
        <f t="shared" si="635"/>
        <v>0</v>
      </c>
      <c r="BH816" s="5">
        <f t="shared" si="635"/>
        <v>0</v>
      </c>
      <c r="BI816" s="5">
        <f t="shared" si="635"/>
        <v>0</v>
      </c>
      <c r="BJ816" s="5">
        <f t="shared" si="635"/>
        <v>0</v>
      </c>
      <c r="BK816" s="5">
        <f t="shared" si="635"/>
        <v>0</v>
      </c>
      <c r="BL816" s="5">
        <f t="shared" si="635"/>
        <v>0</v>
      </c>
      <c r="BM816" s="5">
        <f t="shared" si="635"/>
        <v>0</v>
      </c>
      <c r="BN816" s="5">
        <f t="shared" si="633"/>
        <v>0</v>
      </c>
      <c r="BO816" s="5">
        <f t="shared" si="633"/>
        <v>0</v>
      </c>
      <c r="BP816" s="5">
        <f t="shared" si="633"/>
        <v>0</v>
      </c>
      <c r="BQ816" s="5">
        <f t="shared" si="633"/>
        <v>0</v>
      </c>
      <c r="BR816" s="5">
        <f t="shared" si="633"/>
        <v>0</v>
      </c>
      <c r="BS816" s="5">
        <f t="shared" si="633"/>
        <v>0</v>
      </c>
      <c r="BT816" s="5">
        <f t="shared" si="633"/>
        <v>0</v>
      </c>
      <c r="BU816" s="5">
        <f t="shared" si="633"/>
        <v>0</v>
      </c>
      <c r="BV816" s="5">
        <f t="shared" si="633"/>
        <v>0</v>
      </c>
      <c r="BW816" s="5">
        <f t="shared" si="633"/>
        <v>0</v>
      </c>
      <c r="BX816" s="5">
        <f t="shared" si="633"/>
        <v>0</v>
      </c>
      <c r="BY816" s="5">
        <f t="shared" si="633"/>
        <v>0</v>
      </c>
      <c r="BZ816" s="5">
        <f t="shared" si="633"/>
        <v>0</v>
      </c>
      <c r="CA816" s="5">
        <f t="shared" si="633"/>
        <v>0</v>
      </c>
      <c r="CB816" s="5">
        <f t="shared" si="633"/>
        <v>0</v>
      </c>
      <c r="CC816" s="5">
        <f t="shared" si="636"/>
        <v>0</v>
      </c>
      <c r="CD816" s="5">
        <f t="shared" si="636"/>
        <v>1</v>
      </c>
      <c r="CE816" s="5">
        <f t="shared" si="636"/>
        <v>0</v>
      </c>
    </row>
    <row r="817" spans="1:83" x14ac:dyDescent="0.2">
      <c r="A817" s="11"/>
      <c r="B817" s="11"/>
      <c r="C817" s="1">
        <f>Growth!D822</f>
        <v>3.5714285714285712E-2</v>
      </c>
      <c r="D817" s="5" t="b">
        <f t="shared" si="590"/>
        <v>0</v>
      </c>
      <c r="E817" s="5">
        <v>2014</v>
      </c>
      <c r="F817" s="5">
        <f ca="1">LOOKUP($E817,frequence!$A$2:$A$35,frequence!L$2:L$35)</f>
        <v>50.75383375536623</v>
      </c>
      <c r="G817" s="5">
        <f ca="1">LOOKUP($E817,frequence!$A$2:$A$35,frequence!K$2:K$35)</f>
        <v>9.9751715831189358</v>
      </c>
      <c r="H817" s="5">
        <f ca="1">LOOKUP($E817,frequence!$A$2:$A$35,frequence!M$2:M$35)</f>
        <v>236.05429056976001</v>
      </c>
      <c r="I817" s="16">
        <v>2010</v>
      </c>
      <c r="J817" s="7">
        <f>LOOKUP(I817,CPI!A$69:A$103,CPI!O$69:O$103)</f>
        <v>1</v>
      </c>
      <c r="K817" s="16">
        <v>2010</v>
      </c>
      <c r="L817" s="7">
        <f t="shared" ca="1" si="584"/>
        <v>1</v>
      </c>
      <c r="M817" s="7">
        <f t="shared" si="608"/>
        <v>0.22857142857142856</v>
      </c>
      <c r="N817" s="14">
        <f t="shared" si="634"/>
        <v>3.5714285714285712E-2</v>
      </c>
      <c r="O817" s="1">
        <f ca="1">P817*J817*(1+Growth!G$6)^(2010-K817)</f>
        <v>215.5</v>
      </c>
      <c r="P817" s="1">
        <v>215.5</v>
      </c>
      <c r="Q817" s="2">
        <f t="shared" si="626"/>
        <v>215.5</v>
      </c>
      <c r="R817" s="21">
        <f t="shared" ca="1" si="627"/>
        <v>46440.25</v>
      </c>
      <c r="U817" s="11"/>
      <c r="V817" s="11"/>
      <c r="W817" s="11"/>
      <c r="X817" s="11"/>
      <c r="Y817" s="11"/>
      <c r="Z817" s="11"/>
      <c r="AA817" s="11"/>
      <c r="AB817" s="11"/>
      <c r="AC817" s="1">
        <f t="shared" si="628"/>
        <v>6.4</v>
      </c>
      <c r="AD817" s="5">
        <v>1</v>
      </c>
      <c r="AE817" s="5">
        <v>0</v>
      </c>
      <c r="AF817" s="5">
        <v>1</v>
      </c>
      <c r="AG817" s="5">
        <v>0</v>
      </c>
      <c r="AH817" s="5">
        <v>1</v>
      </c>
      <c r="AI817" s="3">
        <f t="shared" si="589"/>
        <v>3.4</v>
      </c>
      <c r="AJ817" s="5">
        <f t="shared" si="606"/>
        <v>0</v>
      </c>
      <c r="AK817" s="5">
        <f t="shared" si="585"/>
        <v>0</v>
      </c>
      <c r="AL817" s="5">
        <f t="shared" si="586"/>
        <v>0</v>
      </c>
      <c r="AM817" s="5">
        <f t="shared" si="614"/>
        <v>0</v>
      </c>
      <c r="AN817" s="5">
        <f t="shared" si="587"/>
        <v>1</v>
      </c>
      <c r="AO817" s="5">
        <f t="shared" si="615"/>
        <v>0</v>
      </c>
      <c r="AP817" s="11" t="s">
        <v>42</v>
      </c>
      <c r="AQ817" s="11">
        <v>0.1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1</v>
      </c>
      <c r="AY817" s="1">
        <f t="shared" si="629"/>
        <v>0</v>
      </c>
      <c r="AZ817" s="1">
        <f t="shared" si="630"/>
        <v>0</v>
      </c>
      <c r="BA817" s="1">
        <f t="shared" si="631"/>
        <v>0</v>
      </c>
      <c r="BB817" s="5">
        <v>0</v>
      </c>
      <c r="BC817" s="5">
        <v>0</v>
      </c>
      <c r="BD817" s="5">
        <v>0</v>
      </c>
      <c r="BE817" s="5">
        <f t="shared" si="632"/>
        <v>1</v>
      </c>
      <c r="BF817" s="5">
        <v>1</v>
      </c>
      <c r="BG817" s="5">
        <f t="shared" si="635"/>
        <v>0</v>
      </c>
      <c r="BH817" s="5">
        <f t="shared" si="635"/>
        <v>0</v>
      </c>
      <c r="BI817" s="5">
        <f t="shared" si="635"/>
        <v>0</v>
      </c>
      <c r="BJ817" s="5">
        <f t="shared" si="635"/>
        <v>0</v>
      </c>
      <c r="BK817" s="5">
        <f t="shared" si="635"/>
        <v>0</v>
      </c>
      <c r="BL817" s="5">
        <f t="shared" si="635"/>
        <v>0</v>
      </c>
      <c r="BM817" s="5">
        <f t="shared" si="635"/>
        <v>0</v>
      </c>
      <c r="BN817" s="5">
        <f t="shared" si="633"/>
        <v>0</v>
      </c>
      <c r="BO817" s="5">
        <f t="shared" si="633"/>
        <v>0</v>
      </c>
      <c r="BP817" s="5">
        <f t="shared" si="633"/>
        <v>0</v>
      </c>
      <c r="BQ817" s="5">
        <f t="shared" si="633"/>
        <v>0</v>
      </c>
      <c r="BR817" s="5">
        <f t="shared" si="633"/>
        <v>0</v>
      </c>
      <c r="BS817" s="5">
        <f t="shared" si="633"/>
        <v>0</v>
      </c>
      <c r="BT817" s="5">
        <f t="shared" si="633"/>
        <v>0</v>
      </c>
      <c r="BU817" s="5">
        <f t="shared" si="633"/>
        <v>0</v>
      </c>
      <c r="BV817" s="5">
        <f t="shared" si="633"/>
        <v>0</v>
      </c>
      <c r="BW817" s="5">
        <f t="shared" si="633"/>
        <v>0</v>
      </c>
      <c r="BX817" s="5">
        <f t="shared" si="633"/>
        <v>0</v>
      </c>
      <c r="BY817" s="5">
        <f t="shared" si="633"/>
        <v>0</v>
      </c>
      <c r="BZ817" s="5">
        <f t="shared" si="633"/>
        <v>0</v>
      </c>
      <c r="CA817" s="5">
        <f t="shared" si="633"/>
        <v>0</v>
      </c>
      <c r="CB817" s="5">
        <f t="shared" si="633"/>
        <v>0</v>
      </c>
      <c r="CC817" s="5">
        <f t="shared" si="636"/>
        <v>0</v>
      </c>
      <c r="CD817" s="5">
        <f t="shared" si="636"/>
        <v>1</v>
      </c>
      <c r="CE817" s="5">
        <f t="shared" si="636"/>
        <v>0</v>
      </c>
    </row>
    <row r="818" spans="1:83" x14ac:dyDescent="0.2">
      <c r="A818" s="11"/>
      <c r="B818" s="11"/>
      <c r="C818" s="1">
        <f>Growth!D823</f>
        <v>3.5714285714285712E-2</v>
      </c>
      <c r="D818" s="5" t="b">
        <f t="shared" si="590"/>
        <v>0</v>
      </c>
      <c r="E818" s="5">
        <v>2014</v>
      </c>
      <c r="F818" s="5">
        <f ca="1">LOOKUP($E818,frequence!$A$2:$A$35,frequence!L$2:L$35)</f>
        <v>50.75383375536623</v>
      </c>
      <c r="G818" s="5">
        <f ca="1">LOOKUP($E818,frequence!$A$2:$A$35,frequence!K$2:K$35)</f>
        <v>9.9751715831189358</v>
      </c>
      <c r="H818" s="5">
        <f ca="1">LOOKUP($E818,frequence!$A$2:$A$35,frequence!M$2:M$35)</f>
        <v>236.05429056976001</v>
      </c>
      <c r="I818" s="16">
        <v>2010</v>
      </c>
      <c r="J818" s="7">
        <f>LOOKUP(I818,CPI!A$69:A$103,CPI!O$69:O$103)</f>
        <v>1</v>
      </c>
      <c r="K818" s="16">
        <v>2010</v>
      </c>
      <c r="L818" s="7">
        <f t="shared" ca="1" si="584"/>
        <v>1</v>
      </c>
      <c r="M818" s="7">
        <f t="shared" si="608"/>
        <v>0.22857142857142856</v>
      </c>
      <c r="N818" s="14">
        <f t="shared" si="634"/>
        <v>3.5714285714285712E-2</v>
      </c>
      <c r="O818" s="1">
        <f ca="1">P818*J818*(1+Growth!G$6)^(2010-K818)</f>
        <v>25</v>
      </c>
      <c r="P818" s="11">
        <v>25</v>
      </c>
      <c r="Q818" s="2">
        <f t="shared" si="626"/>
        <v>25</v>
      </c>
      <c r="R818" s="21">
        <f t="shared" ca="1" si="627"/>
        <v>625</v>
      </c>
      <c r="U818" s="11"/>
      <c r="V818" s="11"/>
      <c r="W818" s="11"/>
      <c r="X818" s="11"/>
      <c r="Y818" s="11"/>
      <c r="Z818" s="11"/>
      <c r="AA818" s="11"/>
      <c r="AB818" s="11"/>
      <c r="AC818" s="1">
        <f t="shared" si="628"/>
        <v>6.4</v>
      </c>
      <c r="AD818" s="5">
        <v>1</v>
      </c>
      <c r="AE818" s="5">
        <v>0</v>
      </c>
      <c r="AF818" s="5">
        <v>1</v>
      </c>
      <c r="AG818" s="5">
        <v>0</v>
      </c>
      <c r="AH818" s="5">
        <v>1</v>
      </c>
      <c r="AI818" s="3">
        <f t="shared" si="589"/>
        <v>3.4</v>
      </c>
      <c r="AJ818" s="5">
        <f t="shared" si="606"/>
        <v>0</v>
      </c>
      <c r="AK818" s="5">
        <f t="shared" si="585"/>
        <v>0</v>
      </c>
      <c r="AL818" s="5">
        <f t="shared" si="586"/>
        <v>1</v>
      </c>
      <c r="AM818" s="5">
        <f t="shared" si="614"/>
        <v>0</v>
      </c>
      <c r="AN818" s="5">
        <f t="shared" si="587"/>
        <v>0</v>
      </c>
      <c r="AO818" s="5">
        <f t="shared" si="615"/>
        <v>0</v>
      </c>
      <c r="AP818" s="11" t="s">
        <v>42</v>
      </c>
      <c r="AQ818" s="11">
        <v>1.5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1</v>
      </c>
      <c r="AY818" s="1">
        <f t="shared" si="629"/>
        <v>0</v>
      </c>
      <c r="AZ818" s="1">
        <f t="shared" si="630"/>
        <v>0</v>
      </c>
      <c r="BA818" s="1">
        <f t="shared" si="631"/>
        <v>0</v>
      </c>
      <c r="BB818" s="5">
        <v>0</v>
      </c>
      <c r="BC818" s="5">
        <v>0</v>
      </c>
      <c r="BD818" s="5">
        <v>0</v>
      </c>
      <c r="BE818" s="5">
        <f t="shared" si="632"/>
        <v>1</v>
      </c>
      <c r="BF818" s="5">
        <v>1</v>
      </c>
      <c r="BG818" s="5">
        <f t="shared" si="635"/>
        <v>0</v>
      </c>
      <c r="BH818" s="5">
        <f t="shared" si="635"/>
        <v>0</v>
      </c>
      <c r="BI818" s="5">
        <f t="shared" si="635"/>
        <v>0</v>
      </c>
      <c r="BJ818" s="5">
        <f t="shared" si="635"/>
        <v>0</v>
      </c>
      <c r="BK818" s="5">
        <f t="shared" si="635"/>
        <v>0</v>
      </c>
      <c r="BL818" s="5">
        <f t="shared" si="635"/>
        <v>0</v>
      </c>
      <c r="BM818" s="5">
        <f t="shared" si="635"/>
        <v>0</v>
      </c>
      <c r="BN818" s="5">
        <f t="shared" si="633"/>
        <v>0</v>
      </c>
      <c r="BO818" s="5">
        <f t="shared" si="633"/>
        <v>0</v>
      </c>
      <c r="BP818" s="5">
        <f t="shared" si="633"/>
        <v>0</v>
      </c>
      <c r="BQ818" s="5">
        <f t="shared" si="633"/>
        <v>0</v>
      </c>
      <c r="BR818" s="5">
        <f t="shared" si="633"/>
        <v>0</v>
      </c>
      <c r="BS818" s="5">
        <f t="shared" si="633"/>
        <v>0</v>
      </c>
      <c r="BT818" s="5">
        <f t="shared" si="633"/>
        <v>0</v>
      </c>
      <c r="BU818" s="5">
        <f t="shared" si="633"/>
        <v>0</v>
      </c>
      <c r="BV818" s="5">
        <f t="shared" si="633"/>
        <v>0</v>
      </c>
      <c r="BW818" s="5">
        <f t="shared" si="633"/>
        <v>0</v>
      </c>
      <c r="BX818" s="5">
        <f t="shared" si="633"/>
        <v>0</v>
      </c>
      <c r="BY818" s="5">
        <f t="shared" si="633"/>
        <v>0</v>
      </c>
      <c r="BZ818" s="5">
        <f t="shared" si="633"/>
        <v>0</v>
      </c>
      <c r="CA818" s="5">
        <f t="shared" si="633"/>
        <v>0</v>
      </c>
      <c r="CB818" s="5">
        <f t="shared" si="633"/>
        <v>0</v>
      </c>
      <c r="CC818" s="5">
        <f t="shared" si="636"/>
        <v>0</v>
      </c>
      <c r="CD818" s="5">
        <f t="shared" si="636"/>
        <v>1</v>
      </c>
      <c r="CE818" s="5">
        <f t="shared" si="636"/>
        <v>0</v>
      </c>
    </row>
    <row r="819" spans="1:83" x14ac:dyDescent="0.2">
      <c r="A819" s="11"/>
      <c r="B819" s="11"/>
      <c r="C819" s="1">
        <f>Growth!D824</f>
        <v>3.5714285714285712E-2</v>
      </c>
      <c r="D819" s="5" t="b">
        <f t="shared" si="590"/>
        <v>0</v>
      </c>
      <c r="E819" s="5">
        <v>2014</v>
      </c>
      <c r="F819" s="5">
        <f ca="1">LOOKUP($E819,frequence!$A$2:$A$35,frequence!L$2:L$35)</f>
        <v>50.75383375536623</v>
      </c>
      <c r="G819" s="5">
        <f ca="1">LOOKUP($E819,frequence!$A$2:$A$35,frequence!K$2:K$35)</f>
        <v>9.9751715831189358</v>
      </c>
      <c r="H819" s="5">
        <f ca="1">LOOKUP($E819,frequence!$A$2:$A$35,frequence!M$2:M$35)</f>
        <v>236.05429056976001</v>
      </c>
      <c r="I819" s="16">
        <v>2010</v>
      </c>
      <c r="J819" s="7">
        <f>LOOKUP(I819,CPI!A$69:A$103,CPI!O$69:O$103)</f>
        <v>1</v>
      </c>
      <c r="K819" s="16">
        <v>2010</v>
      </c>
      <c r="L819" s="7">
        <f t="shared" ca="1" si="584"/>
        <v>1</v>
      </c>
      <c r="M819" s="7">
        <f t="shared" si="608"/>
        <v>0.22857142857142856</v>
      </c>
      <c r="N819" s="14">
        <f t="shared" si="634"/>
        <v>3.5714285714285712E-2</v>
      </c>
      <c r="O819" s="1">
        <f ca="1">P819*J819*(1+Growth!G$6)^(2010-K819)</f>
        <v>95</v>
      </c>
      <c r="P819" s="11">
        <v>95</v>
      </c>
      <c r="Q819" s="2">
        <f t="shared" si="626"/>
        <v>95</v>
      </c>
      <c r="R819" s="21">
        <f t="shared" ca="1" si="627"/>
        <v>9025</v>
      </c>
      <c r="U819" s="11"/>
      <c r="V819" s="11"/>
      <c r="W819" s="11"/>
      <c r="X819" s="11"/>
      <c r="Y819" s="11"/>
      <c r="Z819" s="11"/>
      <c r="AA819" s="11"/>
      <c r="AB819" s="11"/>
      <c r="AC819" s="1">
        <f t="shared" si="628"/>
        <v>6.4</v>
      </c>
      <c r="AD819" s="5">
        <v>1</v>
      </c>
      <c r="AE819" s="5">
        <v>0</v>
      </c>
      <c r="AF819" s="5">
        <v>1</v>
      </c>
      <c r="AG819" s="5">
        <v>0</v>
      </c>
      <c r="AH819" s="5">
        <v>1</v>
      </c>
      <c r="AI819" s="3">
        <f t="shared" si="589"/>
        <v>3.4</v>
      </c>
      <c r="AJ819" s="5">
        <f t="shared" si="606"/>
        <v>0</v>
      </c>
      <c r="AK819" s="5">
        <f t="shared" si="585"/>
        <v>0</v>
      </c>
      <c r="AL819" s="5">
        <f t="shared" si="586"/>
        <v>0</v>
      </c>
      <c r="AM819" s="5">
        <f t="shared" si="614"/>
        <v>0</v>
      </c>
      <c r="AN819" s="5">
        <f t="shared" si="587"/>
        <v>1</v>
      </c>
      <c r="AO819" s="5">
        <f t="shared" si="615"/>
        <v>0</v>
      </c>
      <c r="AP819" s="11" t="s">
        <v>42</v>
      </c>
      <c r="AQ819" s="11">
        <v>0.1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1</v>
      </c>
      <c r="AY819" s="1">
        <f t="shared" si="629"/>
        <v>0</v>
      </c>
      <c r="AZ819" s="1">
        <f t="shared" si="630"/>
        <v>0</v>
      </c>
      <c r="BA819" s="1">
        <f t="shared" si="631"/>
        <v>0</v>
      </c>
      <c r="BB819" s="5">
        <v>0</v>
      </c>
      <c r="BC819" s="5">
        <v>0</v>
      </c>
      <c r="BD819" s="5">
        <v>0</v>
      </c>
      <c r="BE819" s="5">
        <f t="shared" si="632"/>
        <v>1</v>
      </c>
      <c r="BF819" s="5">
        <v>1</v>
      </c>
      <c r="BG819" s="5">
        <f t="shared" si="635"/>
        <v>0</v>
      </c>
      <c r="BH819" s="5">
        <f t="shared" si="635"/>
        <v>0</v>
      </c>
      <c r="BI819" s="5">
        <f t="shared" si="635"/>
        <v>0</v>
      </c>
      <c r="BJ819" s="5">
        <f t="shared" si="635"/>
        <v>0</v>
      </c>
      <c r="BK819" s="5">
        <f t="shared" si="635"/>
        <v>0</v>
      </c>
      <c r="BL819" s="5">
        <f t="shared" si="635"/>
        <v>0</v>
      </c>
      <c r="BM819" s="5">
        <f t="shared" si="635"/>
        <v>0</v>
      </c>
      <c r="BN819" s="5">
        <f t="shared" si="633"/>
        <v>0</v>
      </c>
      <c r="BO819" s="5">
        <f t="shared" si="633"/>
        <v>0</v>
      </c>
      <c r="BP819" s="5">
        <f t="shared" si="633"/>
        <v>0</v>
      </c>
      <c r="BQ819" s="5">
        <f t="shared" si="633"/>
        <v>0</v>
      </c>
      <c r="BR819" s="5">
        <f t="shared" si="633"/>
        <v>0</v>
      </c>
      <c r="BS819" s="5">
        <f t="shared" si="633"/>
        <v>0</v>
      </c>
      <c r="BT819" s="5">
        <f t="shared" si="633"/>
        <v>0</v>
      </c>
      <c r="BU819" s="5">
        <f t="shared" si="633"/>
        <v>0</v>
      </c>
      <c r="BV819" s="5">
        <f t="shared" si="633"/>
        <v>0</v>
      </c>
      <c r="BW819" s="5">
        <f t="shared" si="633"/>
        <v>0</v>
      </c>
      <c r="BX819" s="5">
        <f t="shared" si="633"/>
        <v>0</v>
      </c>
      <c r="BY819" s="5">
        <f t="shared" si="633"/>
        <v>0</v>
      </c>
      <c r="BZ819" s="5">
        <f t="shared" si="633"/>
        <v>0</v>
      </c>
      <c r="CA819" s="5">
        <f t="shared" si="633"/>
        <v>0</v>
      </c>
      <c r="CB819" s="5">
        <f t="shared" si="633"/>
        <v>0</v>
      </c>
      <c r="CC819" s="5">
        <f t="shared" si="636"/>
        <v>0</v>
      </c>
      <c r="CD819" s="5">
        <f t="shared" si="636"/>
        <v>1</v>
      </c>
      <c r="CE819" s="5">
        <f t="shared" si="636"/>
        <v>0</v>
      </c>
    </row>
    <row r="820" spans="1:83" x14ac:dyDescent="0.2">
      <c r="A820" s="11"/>
      <c r="B820" s="11"/>
      <c r="C820" s="1">
        <f>Growth!D825</f>
        <v>3.5714285714285712E-2</v>
      </c>
      <c r="D820" s="5" t="b">
        <f t="shared" si="590"/>
        <v>0</v>
      </c>
      <c r="E820" s="5">
        <v>2014</v>
      </c>
      <c r="F820" s="5">
        <f ca="1">LOOKUP($E820,frequence!$A$2:$A$35,frequence!L$2:L$35)</f>
        <v>50.75383375536623</v>
      </c>
      <c r="G820" s="5">
        <f ca="1">LOOKUP($E820,frequence!$A$2:$A$35,frequence!K$2:K$35)</f>
        <v>9.9751715831189358</v>
      </c>
      <c r="H820" s="5">
        <f ca="1">LOOKUP($E820,frequence!$A$2:$A$35,frequence!M$2:M$35)</f>
        <v>236.05429056976001</v>
      </c>
      <c r="I820" s="16">
        <v>2010</v>
      </c>
      <c r="J820" s="7">
        <f>LOOKUP(I820,CPI!A$69:A$103,CPI!O$69:O$103)</f>
        <v>1</v>
      </c>
      <c r="K820" s="16">
        <v>2010</v>
      </c>
      <c r="L820" s="7">
        <f t="shared" ca="1" si="584"/>
        <v>1</v>
      </c>
      <c r="M820" s="7">
        <f t="shared" si="608"/>
        <v>0.22857142857142856</v>
      </c>
      <c r="N820" s="14">
        <f t="shared" si="634"/>
        <v>3.5714285714285712E-2</v>
      </c>
      <c r="O820" s="1">
        <f ca="1">P820*J820*(1+Growth!G$6)^(2010-K820)</f>
        <v>29.3</v>
      </c>
      <c r="P820" s="11">
        <v>29.3</v>
      </c>
      <c r="Q820" s="2">
        <f t="shared" si="626"/>
        <v>29.3</v>
      </c>
      <c r="R820" s="21">
        <f t="shared" ca="1" si="627"/>
        <v>858.49</v>
      </c>
      <c r="U820" s="11"/>
      <c r="V820" s="11"/>
      <c r="W820" s="11"/>
      <c r="X820" s="11"/>
      <c r="Y820" s="11"/>
      <c r="Z820" s="11"/>
      <c r="AA820" s="11"/>
      <c r="AB820" s="11"/>
      <c r="AC820" s="1">
        <f t="shared" si="628"/>
        <v>6.4</v>
      </c>
      <c r="AD820" s="5">
        <v>1</v>
      </c>
      <c r="AE820" s="5">
        <v>0</v>
      </c>
      <c r="AF820" s="5">
        <v>1</v>
      </c>
      <c r="AG820" s="5">
        <v>0</v>
      </c>
      <c r="AH820" s="5">
        <v>1</v>
      </c>
      <c r="AI820" s="3">
        <f t="shared" si="589"/>
        <v>3.4</v>
      </c>
      <c r="AJ820" s="5">
        <f t="shared" si="606"/>
        <v>0</v>
      </c>
      <c r="AK820" s="5">
        <f t="shared" si="585"/>
        <v>0</v>
      </c>
      <c r="AL820" s="5">
        <f t="shared" si="586"/>
        <v>1</v>
      </c>
      <c r="AM820" s="5">
        <f t="shared" si="614"/>
        <v>0</v>
      </c>
      <c r="AN820" s="5">
        <f t="shared" si="587"/>
        <v>0</v>
      </c>
      <c r="AO820" s="5">
        <f t="shared" si="615"/>
        <v>0</v>
      </c>
      <c r="AP820" s="11" t="s">
        <v>42</v>
      </c>
      <c r="AQ820" s="11">
        <v>1.5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1</v>
      </c>
      <c r="AY820" s="1">
        <f t="shared" si="629"/>
        <v>0</v>
      </c>
      <c r="AZ820" s="1">
        <f t="shared" si="630"/>
        <v>0</v>
      </c>
      <c r="BA820" s="1">
        <f t="shared" si="631"/>
        <v>0</v>
      </c>
      <c r="BB820" s="5">
        <v>0</v>
      </c>
      <c r="BC820" s="5">
        <v>0</v>
      </c>
      <c r="BD820" s="5">
        <v>0</v>
      </c>
      <c r="BE820" s="5">
        <f t="shared" si="632"/>
        <v>1</v>
      </c>
      <c r="BF820" s="5">
        <v>1</v>
      </c>
      <c r="BG820" s="5">
        <f t="shared" si="635"/>
        <v>0</v>
      </c>
      <c r="BH820" s="5">
        <f t="shared" si="635"/>
        <v>0</v>
      </c>
      <c r="BI820" s="5">
        <f t="shared" si="635"/>
        <v>0</v>
      </c>
      <c r="BJ820" s="5">
        <f t="shared" si="635"/>
        <v>0</v>
      </c>
      <c r="BK820" s="5">
        <f t="shared" si="635"/>
        <v>0</v>
      </c>
      <c r="BL820" s="5">
        <f t="shared" si="635"/>
        <v>0</v>
      </c>
      <c r="BM820" s="5">
        <f t="shared" si="635"/>
        <v>0</v>
      </c>
      <c r="BN820" s="5">
        <f t="shared" si="635"/>
        <v>0</v>
      </c>
      <c r="BO820" s="5">
        <f t="shared" ref="BO820:CC835" si="637">IF($E820=BO$2,1,0)</f>
        <v>0</v>
      </c>
      <c r="BP820" s="5">
        <f t="shared" si="637"/>
        <v>0</v>
      </c>
      <c r="BQ820" s="5">
        <f t="shared" si="637"/>
        <v>0</v>
      </c>
      <c r="BR820" s="5">
        <f t="shared" si="637"/>
        <v>0</v>
      </c>
      <c r="BS820" s="5">
        <f t="shared" si="637"/>
        <v>0</v>
      </c>
      <c r="BT820" s="5">
        <f t="shared" si="637"/>
        <v>0</v>
      </c>
      <c r="BU820" s="5">
        <f t="shared" si="637"/>
        <v>0</v>
      </c>
      <c r="BV820" s="5">
        <f t="shared" si="637"/>
        <v>0</v>
      </c>
      <c r="BW820" s="5">
        <f t="shared" si="637"/>
        <v>0</v>
      </c>
      <c r="BX820" s="5">
        <f t="shared" si="637"/>
        <v>0</v>
      </c>
      <c r="BY820" s="5">
        <f t="shared" si="637"/>
        <v>0</v>
      </c>
      <c r="BZ820" s="5">
        <f t="shared" si="637"/>
        <v>0</v>
      </c>
      <c r="CA820" s="5">
        <f t="shared" si="637"/>
        <v>0</v>
      </c>
      <c r="CB820" s="5">
        <f t="shared" si="637"/>
        <v>0</v>
      </c>
      <c r="CC820" s="5">
        <f t="shared" si="636"/>
        <v>0</v>
      </c>
      <c r="CD820" s="5">
        <f t="shared" si="636"/>
        <v>1</v>
      </c>
      <c r="CE820" s="5">
        <f t="shared" si="636"/>
        <v>0</v>
      </c>
    </row>
    <row r="821" spans="1:83" x14ac:dyDescent="0.2">
      <c r="A821" s="11"/>
      <c r="B821" s="11"/>
      <c r="C821" s="1">
        <f>Growth!D826</f>
        <v>3.5714285714285712E-2</v>
      </c>
      <c r="D821" s="5" t="b">
        <f t="shared" si="590"/>
        <v>0</v>
      </c>
      <c r="E821" s="5">
        <v>2014</v>
      </c>
      <c r="F821" s="5">
        <f ca="1">LOOKUP($E821,frequence!$A$2:$A$35,frequence!L$2:L$35)</f>
        <v>50.75383375536623</v>
      </c>
      <c r="G821" s="5">
        <f ca="1">LOOKUP($E821,frequence!$A$2:$A$35,frequence!K$2:K$35)</f>
        <v>9.9751715831189358</v>
      </c>
      <c r="H821" s="5">
        <f ca="1">LOOKUP($E821,frequence!$A$2:$A$35,frequence!M$2:M$35)</f>
        <v>236.05429056976001</v>
      </c>
      <c r="I821" s="16">
        <v>2010</v>
      </c>
      <c r="J821" s="7">
        <f>LOOKUP(I821,CPI!A$69:A$103,CPI!O$69:O$103)</f>
        <v>1</v>
      </c>
      <c r="K821" s="16">
        <v>2010</v>
      </c>
      <c r="L821" s="7">
        <f t="shared" ca="1" si="584"/>
        <v>1</v>
      </c>
      <c r="M821" s="7">
        <f t="shared" si="608"/>
        <v>0.22857142857142856</v>
      </c>
      <c r="N821" s="14">
        <f t="shared" si="634"/>
        <v>3.5714285714285712E-2</v>
      </c>
      <c r="O821" s="1">
        <f ca="1">P821*J821*(1+Growth!G$6)^(2010-K821)</f>
        <v>215.9</v>
      </c>
      <c r="P821" s="1">
        <v>215.9</v>
      </c>
      <c r="Q821" s="2">
        <f t="shared" si="626"/>
        <v>215.9</v>
      </c>
      <c r="R821" s="21">
        <f t="shared" ca="1" si="627"/>
        <v>46612.810000000005</v>
      </c>
      <c r="U821" s="11"/>
      <c r="V821" s="11"/>
      <c r="W821" s="11"/>
      <c r="X821" s="11"/>
      <c r="Y821" s="11"/>
      <c r="Z821" s="11"/>
      <c r="AA821" s="11"/>
      <c r="AB821" s="11"/>
      <c r="AC821" s="1">
        <f t="shared" si="628"/>
        <v>6.4</v>
      </c>
      <c r="AD821" s="5">
        <v>1</v>
      </c>
      <c r="AE821" s="5">
        <v>0</v>
      </c>
      <c r="AF821" s="5">
        <v>1</v>
      </c>
      <c r="AG821" s="5">
        <v>0</v>
      </c>
      <c r="AH821" s="5">
        <v>1</v>
      </c>
      <c r="AI821" s="3">
        <f t="shared" si="589"/>
        <v>3.4</v>
      </c>
      <c r="AJ821" s="5">
        <f t="shared" si="606"/>
        <v>0</v>
      </c>
      <c r="AK821" s="5">
        <f t="shared" si="585"/>
        <v>0</v>
      </c>
      <c r="AL821" s="5">
        <f t="shared" si="586"/>
        <v>0</v>
      </c>
      <c r="AM821" s="5">
        <f t="shared" si="614"/>
        <v>0</v>
      </c>
      <c r="AN821" s="5">
        <f t="shared" si="587"/>
        <v>1</v>
      </c>
      <c r="AO821" s="5">
        <f t="shared" si="615"/>
        <v>0</v>
      </c>
      <c r="AP821" s="11" t="s">
        <v>42</v>
      </c>
      <c r="AQ821" s="11">
        <v>0.1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1</v>
      </c>
      <c r="AY821" s="1">
        <f t="shared" si="629"/>
        <v>0</v>
      </c>
      <c r="AZ821" s="1">
        <f t="shared" si="630"/>
        <v>0</v>
      </c>
      <c r="BA821" s="1">
        <f t="shared" si="631"/>
        <v>0</v>
      </c>
      <c r="BB821" s="5">
        <v>0</v>
      </c>
      <c r="BC821" s="5">
        <v>0</v>
      </c>
      <c r="BD821" s="5">
        <v>0</v>
      </c>
      <c r="BE821" s="5">
        <f t="shared" si="632"/>
        <v>1</v>
      </c>
      <c r="BF821" s="5">
        <v>1</v>
      </c>
      <c r="BG821" s="5">
        <f t="shared" ref="BG821:BN836" si="638">IF($E821=BG$2,1,0)</f>
        <v>0</v>
      </c>
      <c r="BH821" s="5">
        <f t="shared" si="638"/>
        <v>0</v>
      </c>
      <c r="BI821" s="5">
        <f t="shared" si="638"/>
        <v>0</v>
      </c>
      <c r="BJ821" s="5">
        <f t="shared" si="638"/>
        <v>0</v>
      </c>
      <c r="BK821" s="5">
        <f t="shared" si="638"/>
        <v>0</v>
      </c>
      <c r="BL821" s="5">
        <f t="shared" si="638"/>
        <v>0</v>
      </c>
      <c r="BM821" s="5">
        <f t="shared" si="638"/>
        <v>0</v>
      </c>
      <c r="BN821" s="5">
        <f t="shared" si="638"/>
        <v>0</v>
      </c>
      <c r="BO821" s="5">
        <f t="shared" si="637"/>
        <v>0</v>
      </c>
      <c r="BP821" s="5">
        <f t="shared" si="637"/>
        <v>0</v>
      </c>
      <c r="BQ821" s="5">
        <f t="shared" si="637"/>
        <v>0</v>
      </c>
      <c r="BR821" s="5">
        <f t="shared" si="637"/>
        <v>0</v>
      </c>
      <c r="BS821" s="5">
        <f t="shared" si="637"/>
        <v>0</v>
      </c>
      <c r="BT821" s="5">
        <f t="shared" si="637"/>
        <v>0</v>
      </c>
      <c r="BU821" s="5">
        <f t="shared" si="637"/>
        <v>0</v>
      </c>
      <c r="BV821" s="5">
        <f t="shared" si="637"/>
        <v>0</v>
      </c>
      <c r="BW821" s="5">
        <f t="shared" si="637"/>
        <v>0</v>
      </c>
      <c r="BX821" s="5">
        <f t="shared" si="637"/>
        <v>0</v>
      </c>
      <c r="BY821" s="5">
        <f t="shared" si="637"/>
        <v>0</v>
      </c>
      <c r="BZ821" s="5">
        <f t="shared" si="637"/>
        <v>0</v>
      </c>
      <c r="CA821" s="5">
        <f t="shared" si="637"/>
        <v>0</v>
      </c>
      <c r="CB821" s="5">
        <f t="shared" si="637"/>
        <v>0</v>
      </c>
      <c r="CC821" s="5">
        <f t="shared" si="636"/>
        <v>0</v>
      </c>
      <c r="CD821" s="5">
        <f t="shared" si="636"/>
        <v>1</v>
      </c>
      <c r="CE821" s="5">
        <f t="shared" si="636"/>
        <v>0</v>
      </c>
    </row>
    <row r="822" spans="1:83" x14ac:dyDescent="0.2">
      <c r="A822" s="11"/>
      <c r="B822" s="11"/>
      <c r="C822" s="1">
        <f>Growth!D827</f>
        <v>3.5714285714285712E-2</v>
      </c>
      <c r="D822" s="5" t="b">
        <f t="shared" si="590"/>
        <v>0</v>
      </c>
      <c r="E822" s="5">
        <v>2014</v>
      </c>
      <c r="F822" s="5">
        <f ca="1">LOOKUP($E822,frequence!$A$2:$A$35,frequence!L$2:L$35)</f>
        <v>50.75383375536623</v>
      </c>
      <c r="G822" s="5">
        <f ca="1">LOOKUP($E822,frequence!$A$2:$A$35,frequence!K$2:K$35)</f>
        <v>9.9751715831189358</v>
      </c>
      <c r="H822" s="5">
        <f ca="1">LOOKUP($E822,frequence!$A$2:$A$35,frequence!M$2:M$35)</f>
        <v>236.05429056976001</v>
      </c>
      <c r="I822" s="16">
        <v>2010</v>
      </c>
      <c r="J822" s="7">
        <f>LOOKUP(I822,CPI!A$69:A$103,CPI!O$69:O$103)</f>
        <v>1</v>
      </c>
      <c r="K822" s="16">
        <v>2010</v>
      </c>
      <c r="L822" s="7">
        <f t="shared" ca="1" si="584"/>
        <v>1</v>
      </c>
      <c r="M822" s="7">
        <f t="shared" si="608"/>
        <v>0.22857142857142856</v>
      </c>
      <c r="N822" s="14">
        <f t="shared" si="634"/>
        <v>3.5714285714285712E-2</v>
      </c>
      <c r="O822" s="1">
        <f ca="1">P822*J822*(1+Growth!G$6)^(2010-K822)</f>
        <v>27.6</v>
      </c>
      <c r="P822" s="1">
        <v>27.6</v>
      </c>
      <c r="Q822" s="2">
        <f t="shared" si="626"/>
        <v>27.6</v>
      </c>
      <c r="R822" s="21">
        <f t="shared" ca="1" si="627"/>
        <v>761.7600000000001</v>
      </c>
      <c r="U822" s="11"/>
      <c r="V822" s="11"/>
      <c r="W822" s="11"/>
      <c r="X822" s="11"/>
      <c r="Y822" s="11"/>
      <c r="Z822" s="11"/>
      <c r="AA822" s="11"/>
      <c r="AB822" s="11"/>
      <c r="AC822" s="1">
        <f t="shared" si="628"/>
        <v>6.4</v>
      </c>
      <c r="AD822" s="5">
        <v>1</v>
      </c>
      <c r="AE822" s="5">
        <v>0</v>
      </c>
      <c r="AF822" s="5">
        <v>1</v>
      </c>
      <c r="AG822" s="5">
        <v>0</v>
      </c>
      <c r="AH822" s="5">
        <v>1</v>
      </c>
      <c r="AI822" s="3">
        <f t="shared" si="589"/>
        <v>3.4</v>
      </c>
      <c r="AJ822" s="5">
        <f t="shared" si="606"/>
        <v>0</v>
      </c>
      <c r="AK822" s="5">
        <f t="shared" si="585"/>
        <v>0</v>
      </c>
      <c r="AL822" s="5">
        <f t="shared" si="586"/>
        <v>1</v>
      </c>
      <c r="AM822" s="5">
        <f t="shared" si="614"/>
        <v>0</v>
      </c>
      <c r="AN822" s="5">
        <f t="shared" si="587"/>
        <v>0</v>
      </c>
      <c r="AO822" s="5">
        <f t="shared" si="615"/>
        <v>0</v>
      </c>
      <c r="AP822" s="11" t="s">
        <v>42</v>
      </c>
      <c r="AQ822" s="11">
        <v>1.5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1</v>
      </c>
      <c r="AY822" s="1">
        <f t="shared" si="629"/>
        <v>0</v>
      </c>
      <c r="AZ822" s="1">
        <f t="shared" si="630"/>
        <v>0</v>
      </c>
      <c r="BA822" s="1">
        <f t="shared" si="631"/>
        <v>0</v>
      </c>
      <c r="BB822" s="5">
        <v>0</v>
      </c>
      <c r="BC822" s="5">
        <v>0</v>
      </c>
      <c r="BD822" s="5">
        <v>0</v>
      </c>
      <c r="BE822" s="5">
        <f t="shared" si="632"/>
        <v>1</v>
      </c>
      <c r="BF822" s="5">
        <v>1</v>
      </c>
      <c r="BG822" s="5">
        <f t="shared" si="638"/>
        <v>0</v>
      </c>
      <c r="BH822" s="5">
        <f t="shared" si="638"/>
        <v>0</v>
      </c>
      <c r="BI822" s="5">
        <f t="shared" si="638"/>
        <v>0</v>
      </c>
      <c r="BJ822" s="5">
        <f t="shared" si="638"/>
        <v>0</v>
      </c>
      <c r="BK822" s="5">
        <f t="shared" si="638"/>
        <v>0</v>
      </c>
      <c r="BL822" s="5">
        <f t="shared" si="638"/>
        <v>0</v>
      </c>
      <c r="BM822" s="5">
        <f t="shared" si="638"/>
        <v>0</v>
      </c>
      <c r="BN822" s="5">
        <f t="shared" si="638"/>
        <v>0</v>
      </c>
      <c r="BO822" s="5">
        <f t="shared" si="637"/>
        <v>0</v>
      </c>
      <c r="BP822" s="5">
        <f t="shared" si="637"/>
        <v>0</v>
      </c>
      <c r="BQ822" s="5">
        <f t="shared" si="637"/>
        <v>0</v>
      </c>
      <c r="BR822" s="5">
        <f t="shared" si="637"/>
        <v>0</v>
      </c>
      <c r="BS822" s="5">
        <f t="shared" si="637"/>
        <v>0</v>
      </c>
      <c r="BT822" s="5">
        <f t="shared" si="637"/>
        <v>0</v>
      </c>
      <c r="BU822" s="5">
        <f t="shared" si="637"/>
        <v>0</v>
      </c>
      <c r="BV822" s="5">
        <f t="shared" si="637"/>
        <v>0</v>
      </c>
      <c r="BW822" s="5">
        <f t="shared" si="637"/>
        <v>0</v>
      </c>
      <c r="BX822" s="5">
        <f t="shared" si="637"/>
        <v>0</v>
      </c>
      <c r="BY822" s="5">
        <f t="shared" si="637"/>
        <v>0</v>
      </c>
      <c r="BZ822" s="5">
        <f t="shared" si="637"/>
        <v>0</v>
      </c>
      <c r="CA822" s="5">
        <f t="shared" si="637"/>
        <v>0</v>
      </c>
      <c r="CB822" s="5">
        <f t="shared" si="637"/>
        <v>0</v>
      </c>
      <c r="CC822" s="5">
        <f t="shared" si="636"/>
        <v>0</v>
      </c>
      <c r="CD822" s="5">
        <f t="shared" si="636"/>
        <v>1</v>
      </c>
      <c r="CE822" s="5">
        <f t="shared" si="636"/>
        <v>0</v>
      </c>
    </row>
    <row r="823" spans="1:83" x14ac:dyDescent="0.2">
      <c r="A823" s="11"/>
      <c r="B823" s="11"/>
      <c r="C823" s="1">
        <f>Growth!D828</f>
        <v>3.5714285714285712E-2</v>
      </c>
      <c r="D823" s="5" t="b">
        <f t="shared" si="590"/>
        <v>0</v>
      </c>
      <c r="E823" s="5">
        <v>2014</v>
      </c>
      <c r="F823" s="5">
        <f ca="1">LOOKUP($E823,frequence!$A$2:$A$35,frequence!L$2:L$35)</f>
        <v>50.75383375536623</v>
      </c>
      <c r="G823" s="5">
        <f ca="1">LOOKUP($E823,frequence!$A$2:$A$35,frequence!K$2:K$35)</f>
        <v>9.9751715831189358</v>
      </c>
      <c r="H823" s="5">
        <f ca="1">LOOKUP($E823,frequence!$A$2:$A$35,frequence!M$2:M$35)</f>
        <v>236.05429056976001</v>
      </c>
      <c r="I823" s="16">
        <v>2010</v>
      </c>
      <c r="J823" s="7">
        <f>LOOKUP(I823,CPI!A$69:A$103,CPI!O$69:O$103)</f>
        <v>1</v>
      </c>
      <c r="K823" s="16">
        <v>2010</v>
      </c>
      <c r="L823" s="7">
        <f t="shared" ca="1" si="584"/>
        <v>1</v>
      </c>
      <c r="M823" s="7">
        <f t="shared" si="608"/>
        <v>0.22857142857142856</v>
      </c>
      <c r="N823" s="14">
        <f t="shared" si="634"/>
        <v>3.5714285714285712E-2</v>
      </c>
      <c r="O823" s="1">
        <f ca="1">P823*J823*(1+Growth!G$6)^(2010-K823)</f>
        <v>28.1</v>
      </c>
      <c r="P823" s="1">
        <v>28.1</v>
      </c>
      <c r="Q823" s="2">
        <f t="shared" si="626"/>
        <v>28.1</v>
      </c>
      <c r="R823" s="21">
        <f t="shared" ca="1" si="627"/>
        <v>789.61000000000013</v>
      </c>
      <c r="U823" s="11"/>
      <c r="V823" s="11"/>
      <c r="W823" s="11"/>
      <c r="X823" s="11"/>
      <c r="Y823" s="11"/>
      <c r="Z823" s="11"/>
      <c r="AA823" s="11"/>
      <c r="AB823" s="11"/>
      <c r="AC823" s="1">
        <f t="shared" si="628"/>
        <v>6.4</v>
      </c>
      <c r="AD823" s="5">
        <v>1</v>
      </c>
      <c r="AE823" s="5">
        <v>0</v>
      </c>
      <c r="AF823" s="5">
        <v>1</v>
      </c>
      <c r="AG823" s="5">
        <v>0</v>
      </c>
      <c r="AH823" s="5">
        <v>1</v>
      </c>
      <c r="AI823" s="3">
        <f t="shared" si="589"/>
        <v>3.4</v>
      </c>
      <c r="AJ823" s="5">
        <f t="shared" si="606"/>
        <v>0</v>
      </c>
      <c r="AK823" s="5">
        <f t="shared" si="585"/>
        <v>0</v>
      </c>
      <c r="AL823" s="5">
        <f t="shared" si="586"/>
        <v>1</v>
      </c>
      <c r="AM823" s="5">
        <f t="shared" si="614"/>
        <v>0</v>
      </c>
      <c r="AN823" s="5">
        <f t="shared" si="587"/>
        <v>0</v>
      </c>
      <c r="AO823" s="5">
        <f t="shared" si="615"/>
        <v>0</v>
      </c>
      <c r="AP823" s="11" t="s">
        <v>42</v>
      </c>
      <c r="AQ823" s="11">
        <v>1.5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1</v>
      </c>
      <c r="AY823" s="1">
        <f t="shared" si="629"/>
        <v>0</v>
      </c>
      <c r="AZ823" s="1">
        <f t="shared" si="630"/>
        <v>0</v>
      </c>
      <c r="BA823" s="1">
        <f t="shared" si="631"/>
        <v>0</v>
      </c>
      <c r="BB823" s="5">
        <v>0</v>
      </c>
      <c r="BC823" s="5">
        <v>0</v>
      </c>
      <c r="BD823" s="5">
        <v>0</v>
      </c>
      <c r="BE823" s="5">
        <f t="shared" si="632"/>
        <v>1</v>
      </c>
      <c r="BF823" s="5">
        <v>1</v>
      </c>
      <c r="BG823" s="5">
        <f t="shared" si="638"/>
        <v>0</v>
      </c>
      <c r="BH823" s="5">
        <f t="shared" si="638"/>
        <v>0</v>
      </c>
      <c r="BI823" s="5">
        <f t="shared" si="638"/>
        <v>0</v>
      </c>
      <c r="BJ823" s="5">
        <f t="shared" si="638"/>
        <v>0</v>
      </c>
      <c r="BK823" s="5">
        <f t="shared" si="638"/>
        <v>0</v>
      </c>
      <c r="BL823" s="5">
        <f t="shared" si="638"/>
        <v>0</v>
      </c>
      <c r="BM823" s="5">
        <f t="shared" si="638"/>
        <v>0</v>
      </c>
      <c r="BN823" s="5">
        <f t="shared" si="638"/>
        <v>0</v>
      </c>
      <c r="BO823" s="5">
        <f t="shared" si="637"/>
        <v>0</v>
      </c>
      <c r="BP823" s="5">
        <f t="shared" si="637"/>
        <v>0</v>
      </c>
      <c r="BQ823" s="5">
        <f t="shared" si="637"/>
        <v>0</v>
      </c>
      <c r="BR823" s="5">
        <f t="shared" si="637"/>
        <v>0</v>
      </c>
      <c r="BS823" s="5">
        <f t="shared" si="637"/>
        <v>0</v>
      </c>
      <c r="BT823" s="5">
        <f t="shared" si="637"/>
        <v>0</v>
      </c>
      <c r="BU823" s="5">
        <f t="shared" si="637"/>
        <v>0</v>
      </c>
      <c r="BV823" s="5">
        <f t="shared" si="637"/>
        <v>0</v>
      </c>
      <c r="BW823" s="5">
        <f t="shared" si="637"/>
        <v>0</v>
      </c>
      <c r="BX823" s="5">
        <f t="shared" si="637"/>
        <v>0</v>
      </c>
      <c r="BY823" s="5">
        <f t="shared" si="637"/>
        <v>0</v>
      </c>
      <c r="BZ823" s="5">
        <f t="shared" si="637"/>
        <v>0</v>
      </c>
      <c r="CA823" s="5">
        <f t="shared" si="637"/>
        <v>0</v>
      </c>
      <c r="CB823" s="5">
        <f t="shared" si="637"/>
        <v>0</v>
      </c>
      <c r="CC823" s="5">
        <f t="shared" si="636"/>
        <v>0</v>
      </c>
      <c r="CD823" s="5">
        <f t="shared" si="636"/>
        <v>1</v>
      </c>
      <c r="CE823" s="5">
        <f t="shared" si="636"/>
        <v>0</v>
      </c>
    </row>
    <row r="824" spans="1:83" x14ac:dyDescent="0.2">
      <c r="A824" s="11"/>
      <c r="B824" s="11"/>
      <c r="C824" s="1">
        <f>Growth!D829</f>
        <v>3.5714285714285712E-2</v>
      </c>
      <c r="D824" s="5" t="b">
        <f t="shared" si="590"/>
        <v>0</v>
      </c>
      <c r="E824" s="5">
        <v>2014</v>
      </c>
      <c r="F824" s="5">
        <f ca="1">LOOKUP($E824,frequence!$A$2:$A$35,frequence!L$2:L$35)</f>
        <v>50.75383375536623</v>
      </c>
      <c r="G824" s="5">
        <f ca="1">LOOKUP($E824,frequence!$A$2:$A$35,frequence!K$2:K$35)</f>
        <v>9.9751715831189358</v>
      </c>
      <c r="H824" s="5">
        <f ca="1">LOOKUP($E824,frequence!$A$2:$A$35,frequence!M$2:M$35)</f>
        <v>236.05429056976001</v>
      </c>
      <c r="I824" s="16">
        <v>2010</v>
      </c>
      <c r="J824" s="7">
        <f>LOOKUP(I824,CPI!A$69:A$103,CPI!O$69:O$103)</f>
        <v>1</v>
      </c>
      <c r="K824" s="16">
        <v>2010</v>
      </c>
      <c r="L824" s="7">
        <f t="shared" ca="1" si="584"/>
        <v>1</v>
      </c>
      <c r="M824" s="7">
        <f t="shared" si="608"/>
        <v>0.22857142857142856</v>
      </c>
      <c r="N824" s="14">
        <f t="shared" si="634"/>
        <v>3.5714285714285712E-2</v>
      </c>
      <c r="O824" s="1">
        <f ca="1">P824*J824*(1+Growth!G$6)^(2010-K824)</f>
        <v>27.4</v>
      </c>
      <c r="P824" s="1">
        <v>27.4</v>
      </c>
      <c r="Q824" s="2">
        <f t="shared" si="626"/>
        <v>27.4</v>
      </c>
      <c r="R824" s="21">
        <f t="shared" ca="1" si="627"/>
        <v>750.75999999999988</v>
      </c>
      <c r="U824" s="11"/>
      <c r="V824" s="11"/>
      <c r="W824" s="11"/>
      <c r="X824" s="11"/>
      <c r="Y824" s="11"/>
      <c r="Z824" s="11"/>
      <c r="AA824" s="11"/>
      <c r="AB824" s="11"/>
      <c r="AC824" s="1">
        <f t="shared" si="628"/>
        <v>6.4</v>
      </c>
      <c r="AD824" s="5">
        <v>1</v>
      </c>
      <c r="AE824" s="5">
        <v>0</v>
      </c>
      <c r="AF824" s="5">
        <v>1</v>
      </c>
      <c r="AG824" s="5">
        <v>0</v>
      </c>
      <c r="AH824" s="5">
        <v>1</v>
      </c>
      <c r="AI824" s="3">
        <f t="shared" si="589"/>
        <v>3.4</v>
      </c>
      <c r="AJ824" s="5">
        <f t="shared" si="606"/>
        <v>0</v>
      </c>
      <c r="AK824" s="5">
        <f t="shared" si="585"/>
        <v>0</v>
      </c>
      <c r="AL824" s="5">
        <f t="shared" si="586"/>
        <v>1</v>
      </c>
      <c r="AM824" s="5">
        <f t="shared" si="614"/>
        <v>0</v>
      </c>
      <c r="AN824" s="5">
        <f t="shared" si="587"/>
        <v>0</v>
      </c>
      <c r="AO824" s="5">
        <f t="shared" si="615"/>
        <v>0</v>
      </c>
      <c r="AP824" s="11" t="s">
        <v>42</v>
      </c>
      <c r="AQ824" s="11">
        <v>1.5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1</v>
      </c>
      <c r="AY824" s="1">
        <f t="shared" si="629"/>
        <v>0</v>
      </c>
      <c r="AZ824" s="1">
        <f t="shared" si="630"/>
        <v>0</v>
      </c>
      <c r="BA824" s="1">
        <f t="shared" si="631"/>
        <v>0</v>
      </c>
      <c r="BB824" s="5">
        <v>0</v>
      </c>
      <c r="BC824" s="5">
        <v>0</v>
      </c>
      <c r="BD824" s="5">
        <v>0</v>
      </c>
      <c r="BE824" s="5">
        <f t="shared" si="632"/>
        <v>1</v>
      </c>
      <c r="BF824" s="5">
        <v>1</v>
      </c>
      <c r="BG824" s="5">
        <f t="shared" si="638"/>
        <v>0</v>
      </c>
      <c r="BH824" s="5">
        <f t="shared" si="638"/>
        <v>0</v>
      </c>
      <c r="BI824" s="5">
        <f t="shared" si="638"/>
        <v>0</v>
      </c>
      <c r="BJ824" s="5">
        <f t="shared" si="638"/>
        <v>0</v>
      </c>
      <c r="BK824" s="5">
        <f t="shared" si="638"/>
        <v>0</v>
      </c>
      <c r="BL824" s="5">
        <f t="shared" si="638"/>
        <v>0</v>
      </c>
      <c r="BM824" s="5">
        <f t="shared" si="638"/>
        <v>0</v>
      </c>
      <c r="BN824" s="5">
        <f t="shared" si="638"/>
        <v>0</v>
      </c>
      <c r="BO824" s="5">
        <f t="shared" si="637"/>
        <v>0</v>
      </c>
      <c r="BP824" s="5">
        <f t="shared" si="637"/>
        <v>0</v>
      </c>
      <c r="BQ824" s="5">
        <f t="shared" si="637"/>
        <v>0</v>
      </c>
      <c r="BR824" s="5">
        <f t="shared" si="637"/>
        <v>0</v>
      </c>
      <c r="BS824" s="5">
        <f t="shared" si="637"/>
        <v>0</v>
      </c>
      <c r="BT824" s="5">
        <f t="shared" si="637"/>
        <v>0</v>
      </c>
      <c r="BU824" s="5">
        <f t="shared" si="637"/>
        <v>0</v>
      </c>
      <c r="BV824" s="5">
        <f t="shared" si="637"/>
        <v>0</v>
      </c>
      <c r="BW824" s="5">
        <f t="shared" si="637"/>
        <v>0</v>
      </c>
      <c r="BX824" s="5">
        <f t="shared" si="637"/>
        <v>0</v>
      </c>
      <c r="BY824" s="5">
        <f t="shared" si="637"/>
        <v>0</v>
      </c>
      <c r="BZ824" s="5">
        <f t="shared" si="637"/>
        <v>0</v>
      </c>
      <c r="CA824" s="5">
        <f t="shared" si="637"/>
        <v>0</v>
      </c>
      <c r="CB824" s="5">
        <f t="shared" si="637"/>
        <v>0</v>
      </c>
      <c r="CC824" s="5">
        <f t="shared" si="636"/>
        <v>0</v>
      </c>
      <c r="CD824" s="5">
        <f t="shared" si="636"/>
        <v>1</v>
      </c>
      <c r="CE824" s="5">
        <f t="shared" si="636"/>
        <v>0</v>
      </c>
    </row>
    <row r="825" spans="1:83" x14ac:dyDescent="0.2">
      <c r="A825" s="11"/>
      <c r="B825" s="11"/>
      <c r="C825" s="1">
        <f>Growth!D830</f>
        <v>3.5714285714285712E-2</v>
      </c>
      <c r="D825" s="5" t="b">
        <f t="shared" si="590"/>
        <v>0</v>
      </c>
      <c r="E825" s="5">
        <v>2014</v>
      </c>
      <c r="F825" s="5">
        <f ca="1">LOOKUP($E825,frequence!$A$2:$A$35,frequence!L$2:L$35)</f>
        <v>50.75383375536623</v>
      </c>
      <c r="G825" s="5">
        <f ca="1">LOOKUP($E825,frequence!$A$2:$A$35,frequence!K$2:K$35)</f>
        <v>9.9751715831189358</v>
      </c>
      <c r="H825" s="5">
        <f ca="1">LOOKUP($E825,frequence!$A$2:$A$35,frequence!M$2:M$35)</f>
        <v>236.05429056976001</v>
      </c>
      <c r="I825" s="16">
        <v>2010</v>
      </c>
      <c r="J825" s="7">
        <f>LOOKUP(I825,CPI!A$69:A$103,CPI!O$69:O$103)</f>
        <v>1</v>
      </c>
      <c r="K825" s="16">
        <v>2010</v>
      </c>
      <c r="L825" s="7">
        <f t="shared" ca="1" si="584"/>
        <v>1</v>
      </c>
      <c r="M825" s="7">
        <f t="shared" si="608"/>
        <v>0.22857142857142856</v>
      </c>
      <c r="N825" s="14">
        <f t="shared" si="634"/>
        <v>3.5714285714285712E-2</v>
      </c>
      <c r="O825" s="1">
        <f ca="1">P825*J825*(1+Growth!G$6)^(2010-K825)</f>
        <v>27.4</v>
      </c>
      <c r="P825" s="1">
        <v>27.4</v>
      </c>
      <c r="Q825" s="2">
        <f t="shared" si="626"/>
        <v>27.4</v>
      </c>
      <c r="R825" s="21">
        <f t="shared" ca="1" si="627"/>
        <v>750.75999999999988</v>
      </c>
      <c r="U825" s="11"/>
      <c r="V825" s="11"/>
      <c r="W825" s="11"/>
      <c r="X825" s="11"/>
      <c r="Y825" s="11"/>
      <c r="Z825" s="11"/>
      <c r="AA825" s="11"/>
      <c r="AB825" s="11"/>
      <c r="AC825" s="1">
        <f t="shared" si="628"/>
        <v>6.4</v>
      </c>
      <c r="AD825" s="5">
        <v>1</v>
      </c>
      <c r="AE825" s="5">
        <v>0</v>
      </c>
      <c r="AF825" s="5">
        <v>1</v>
      </c>
      <c r="AG825" s="5">
        <v>0</v>
      </c>
      <c r="AH825" s="5">
        <v>1</v>
      </c>
      <c r="AI825" s="3">
        <f t="shared" si="589"/>
        <v>3.4</v>
      </c>
      <c r="AJ825" s="5">
        <f t="shared" si="606"/>
        <v>0</v>
      </c>
      <c r="AK825" s="5">
        <f t="shared" si="585"/>
        <v>0</v>
      </c>
      <c r="AL825" s="5">
        <f t="shared" si="586"/>
        <v>1</v>
      </c>
      <c r="AM825" s="5">
        <f t="shared" si="614"/>
        <v>0</v>
      </c>
      <c r="AN825" s="5">
        <f t="shared" si="587"/>
        <v>0</v>
      </c>
      <c r="AO825" s="5">
        <f t="shared" si="615"/>
        <v>0</v>
      </c>
      <c r="AP825" s="11" t="s">
        <v>42</v>
      </c>
      <c r="AQ825" s="11">
        <v>1.5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1</v>
      </c>
      <c r="AY825" s="1">
        <f t="shared" si="629"/>
        <v>0</v>
      </c>
      <c r="AZ825" s="1">
        <f t="shared" si="630"/>
        <v>0</v>
      </c>
      <c r="BA825" s="1">
        <f t="shared" si="631"/>
        <v>0</v>
      </c>
      <c r="BB825" s="5">
        <v>0</v>
      </c>
      <c r="BC825" s="5">
        <v>0</v>
      </c>
      <c r="BD825" s="5">
        <v>0</v>
      </c>
      <c r="BE825" s="5">
        <f t="shared" si="632"/>
        <v>1</v>
      </c>
      <c r="BF825" s="5">
        <v>1</v>
      </c>
      <c r="BG825" s="5">
        <f t="shared" si="638"/>
        <v>0</v>
      </c>
      <c r="BH825" s="5">
        <f t="shared" si="638"/>
        <v>0</v>
      </c>
      <c r="BI825" s="5">
        <f t="shared" si="638"/>
        <v>0</v>
      </c>
      <c r="BJ825" s="5">
        <f t="shared" si="638"/>
        <v>0</v>
      </c>
      <c r="BK825" s="5">
        <f t="shared" si="638"/>
        <v>0</v>
      </c>
      <c r="BL825" s="5">
        <f t="shared" si="638"/>
        <v>0</v>
      </c>
      <c r="BM825" s="5">
        <f t="shared" si="638"/>
        <v>0</v>
      </c>
      <c r="BN825" s="5">
        <f t="shared" si="638"/>
        <v>0</v>
      </c>
      <c r="BO825" s="5">
        <f t="shared" si="637"/>
        <v>0</v>
      </c>
      <c r="BP825" s="5">
        <f t="shared" si="637"/>
        <v>0</v>
      </c>
      <c r="BQ825" s="5">
        <f t="shared" si="637"/>
        <v>0</v>
      </c>
      <c r="BR825" s="5">
        <f t="shared" si="637"/>
        <v>0</v>
      </c>
      <c r="BS825" s="5">
        <f t="shared" si="637"/>
        <v>0</v>
      </c>
      <c r="BT825" s="5">
        <f t="shared" si="637"/>
        <v>0</v>
      </c>
      <c r="BU825" s="5">
        <f t="shared" si="637"/>
        <v>0</v>
      </c>
      <c r="BV825" s="5">
        <f t="shared" si="637"/>
        <v>0</v>
      </c>
      <c r="BW825" s="5">
        <f t="shared" si="637"/>
        <v>0</v>
      </c>
      <c r="BX825" s="5">
        <f t="shared" si="637"/>
        <v>0</v>
      </c>
      <c r="BY825" s="5">
        <f t="shared" si="637"/>
        <v>0</v>
      </c>
      <c r="BZ825" s="5">
        <f t="shared" si="637"/>
        <v>0</v>
      </c>
      <c r="CA825" s="5">
        <f t="shared" si="637"/>
        <v>0</v>
      </c>
      <c r="CB825" s="5">
        <f t="shared" si="637"/>
        <v>0</v>
      </c>
      <c r="CC825" s="5">
        <f t="shared" si="636"/>
        <v>0</v>
      </c>
      <c r="CD825" s="5">
        <f t="shared" si="636"/>
        <v>1</v>
      </c>
      <c r="CE825" s="5">
        <f t="shared" si="636"/>
        <v>0</v>
      </c>
    </row>
    <row r="826" spans="1:83" x14ac:dyDescent="0.2">
      <c r="A826" s="11"/>
      <c r="B826" s="11"/>
      <c r="C826" s="1">
        <f>Growth!D831</f>
        <v>3.5714285714285712E-2</v>
      </c>
      <c r="D826" s="5" t="b">
        <f t="shared" si="590"/>
        <v>0</v>
      </c>
      <c r="E826" s="5">
        <v>2014</v>
      </c>
      <c r="F826" s="5">
        <f ca="1">LOOKUP($E826,frequence!$A$2:$A$35,frequence!L$2:L$35)</f>
        <v>50.75383375536623</v>
      </c>
      <c r="G826" s="5">
        <f ca="1">LOOKUP($E826,frequence!$A$2:$A$35,frequence!K$2:K$35)</f>
        <v>9.9751715831189358</v>
      </c>
      <c r="H826" s="5">
        <f ca="1">LOOKUP($E826,frequence!$A$2:$A$35,frequence!M$2:M$35)</f>
        <v>236.05429056976001</v>
      </c>
      <c r="I826" s="16">
        <v>2010</v>
      </c>
      <c r="J826" s="7">
        <f>LOOKUP(I826,CPI!A$69:A$103,CPI!O$69:O$103)</f>
        <v>1</v>
      </c>
      <c r="K826" s="16">
        <v>2010</v>
      </c>
      <c r="L826" s="7">
        <f t="shared" ca="1" si="584"/>
        <v>1</v>
      </c>
      <c r="M826" s="7">
        <f t="shared" si="608"/>
        <v>0.22857142857142856</v>
      </c>
      <c r="N826" s="14">
        <f t="shared" si="634"/>
        <v>3.5714285714285712E-2</v>
      </c>
      <c r="O826" s="1">
        <f ca="1">P826*J826*(1+Growth!G$6)^(2010-K826)</f>
        <v>27.4</v>
      </c>
      <c r="P826" s="1">
        <v>27.4</v>
      </c>
      <c r="Q826" s="2">
        <f t="shared" si="626"/>
        <v>27.4</v>
      </c>
      <c r="R826" s="21">
        <f t="shared" ca="1" si="627"/>
        <v>750.75999999999988</v>
      </c>
      <c r="U826" s="11"/>
      <c r="V826" s="11"/>
      <c r="W826" s="11"/>
      <c r="X826" s="11"/>
      <c r="Y826" s="11"/>
      <c r="Z826" s="11"/>
      <c r="AA826" s="11"/>
      <c r="AB826" s="11"/>
      <c r="AC826" s="1">
        <f t="shared" si="628"/>
        <v>6.4</v>
      </c>
      <c r="AD826" s="5">
        <v>1</v>
      </c>
      <c r="AE826" s="5">
        <v>0</v>
      </c>
      <c r="AF826" s="5">
        <v>1</v>
      </c>
      <c r="AG826" s="5">
        <v>0</v>
      </c>
      <c r="AH826" s="5">
        <v>1</v>
      </c>
      <c r="AI826" s="3">
        <f t="shared" si="589"/>
        <v>3.4</v>
      </c>
      <c r="AJ826" s="5">
        <f t="shared" si="606"/>
        <v>0</v>
      </c>
      <c r="AK826" s="5">
        <f t="shared" si="585"/>
        <v>0</v>
      </c>
      <c r="AL826" s="5">
        <f t="shared" si="586"/>
        <v>1</v>
      </c>
      <c r="AM826" s="5">
        <f t="shared" si="614"/>
        <v>0</v>
      </c>
      <c r="AN826" s="5">
        <f t="shared" si="587"/>
        <v>0</v>
      </c>
      <c r="AO826" s="5">
        <f t="shared" si="615"/>
        <v>0</v>
      </c>
      <c r="AP826" s="11" t="s">
        <v>42</v>
      </c>
      <c r="AQ826" s="11">
        <v>1.5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1</v>
      </c>
      <c r="AY826" s="1">
        <f t="shared" si="629"/>
        <v>0</v>
      </c>
      <c r="AZ826" s="1">
        <f t="shared" si="630"/>
        <v>0</v>
      </c>
      <c r="BA826" s="1">
        <f t="shared" si="631"/>
        <v>0</v>
      </c>
      <c r="BB826" s="5">
        <v>0</v>
      </c>
      <c r="BC826" s="5">
        <v>0</v>
      </c>
      <c r="BD826" s="5">
        <v>0</v>
      </c>
      <c r="BE826" s="5">
        <f t="shared" si="632"/>
        <v>1</v>
      </c>
      <c r="BF826" s="5">
        <v>1</v>
      </c>
      <c r="BG826" s="5">
        <f t="shared" si="638"/>
        <v>0</v>
      </c>
      <c r="BH826" s="5">
        <f t="shared" si="638"/>
        <v>0</v>
      </c>
      <c r="BI826" s="5">
        <f t="shared" si="638"/>
        <v>0</v>
      </c>
      <c r="BJ826" s="5">
        <f t="shared" si="638"/>
        <v>0</v>
      </c>
      <c r="BK826" s="5">
        <f t="shared" si="638"/>
        <v>0</v>
      </c>
      <c r="BL826" s="5">
        <f t="shared" si="638"/>
        <v>0</v>
      </c>
      <c r="BM826" s="5">
        <f t="shared" si="638"/>
        <v>0</v>
      </c>
      <c r="BN826" s="5">
        <f t="shared" si="638"/>
        <v>0</v>
      </c>
      <c r="BO826" s="5">
        <f t="shared" si="637"/>
        <v>0</v>
      </c>
      <c r="BP826" s="5">
        <f t="shared" si="637"/>
        <v>0</v>
      </c>
      <c r="BQ826" s="5">
        <f t="shared" si="637"/>
        <v>0</v>
      </c>
      <c r="BR826" s="5">
        <f t="shared" si="637"/>
        <v>0</v>
      </c>
      <c r="BS826" s="5">
        <f t="shared" si="637"/>
        <v>0</v>
      </c>
      <c r="BT826" s="5">
        <f t="shared" si="637"/>
        <v>0</v>
      </c>
      <c r="BU826" s="5">
        <f t="shared" si="637"/>
        <v>0</v>
      </c>
      <c r="BV826" s="5">
        <f t="shared" si="637"/>
        <v>0</v>
      </c>
      <c r="BW826" s="5">
        <f t="shared" si="637"/>
        <v>0</v>
      </c>
      <c r="BX826" s="5">
        <f t="shared" si="637"/>
        <v>0</v>
      </c>
      <c r="BY826" s="5">
        <f t="shared" si="637"/>
        <v>0</v>
      </c>
      <c r="BZ826" s="5">
        <f t="shared" si="637"/>
        <v>0</v>
      </c>
      <c r="CA826" s="5">
        <f t="shared" si="637"/>
        <v>0</v>
      </c>
      <c r="CB826" s="5">
        <f t="shared" si="637"/>
        <v>0</v>
      </c>
      <c r="CC826" s="5">
        <f t="shared" si="636"/>
        <v>0</v>
      </c>
      <c r="CD826" s="5">
        <f t="shared" si="636"/>
        <v>1</v>
      </c>
      <c r="CE826" s="5">
        <f t="shared" si="636"/>
        <v>0</v>
      </c>
    </row>
    <row r="827" spans="1:83" x14ac:dyDescent="0.2">
      <c r="A827" s="11"/>
      <c r="B827" s="11"/>
      <c r="C827" s="1">
        <f>Growth!D832</f>
        <v>3.5714285714285712E-2</v>
      </c>
      <c r="D827" s="5" t="b">
        <f t="shared" si="590"/>
        <v>0</v>
      </c>
      <c r="E827" s="5">
        <v>2014</v>
      </c>
      <c r="F827" s="5">
        <f ca="1">LOOKUP($E827,frequence!$A$2:$A$35,frequence!L$2:L$35)</f>
        <v>50.75383375536623</v>
      </c>
      <c r="G827" s="5">
        <f ca="1">LOOKUP($E827,frequence!$A$2:$A$35,frequence!K$2:K$35)</f>
        <v>9.9751715831189358</v>
      </c>
      <c r="H827" s="5">
        <f ca="1">LOOKUP($E827,frequence!$A$2:$A$35,frequence!M$2:M$35)</f>
        <v>236.05429056976001</v>
      </c>
      <c r="I827" s="16">
        <v>2010</v>
      </c>
      <c r="J827" s="7">
        <f>LOOKUP(I827,CPI!A$69:A$103,CPI!O$69:O$103)</f>
        <v>1</v>
      </c>
      <c r="K827" s="16">
        <v>2010</v>
      </c>
      <c r="L827" s="7">
        <f t="shared" ca="1" si="584"/>
        <v>1</v>
      </c>
      <c r="M827" s="7">
        <f t="shared" si="608"/>
        <v>0.22857142857142856</v>
      </c>
      <c r="N827" s="14">
        <f t="shared" si="634"/>
        <v>3.5714285714285712E-2</v>
      </c>
      <c r="O827" s="1">
        <f ca="1">P827*J827*(1+Growth!G$6)^(2010-K827)</f>
        <v>198.6</v>
      </c>
      <c r="P827" s="1">
        <v>198.6</v>
      </c>
      <c r="Q827" s="2">
        <f t="shared" si="626"/>
        <v>198.6</v>
      </c>
      <c r="R827" s="21">
        <f t="shared" ca="1" si="627"/>
        <v>39441.96</v>
      </c>
      <c r="U827" s="11"/>
      <c r="V827" s="11"/>
      <c r="W827" s="11"/>
      <c r="X827" s="11"/>
      <c r="Y827" s="11"/>
      <c r="Z827" s="11"/>
      <c r="AA827" s="11"/>
      <c r="AB827" s="11"/>
      <c r="AC827" s="1">
        <f t="shared" si="628"/>
        <v>6.4</v>
      </c>
      <c r="AD827" s="5">
        <v>1</v>
      </c>
      <c r="AE827" s="5">
        <v>0</v>
      </c>
      <c r="AF827" s="5">
        <v>1</v>
      </c>
      <c r="AG827" s="5">
        <v>0</v>
      </c>
      <c r="AH827" s="5">
        <v>1</v>
      </c>
      <c r="AI827" s="3">
        <f t="shared" si="589"/>
        <v>3.4</v>
      </c>
      <c r="AJ827" s="5">
        <f t="shared" si="606"/>
        <v>0</v>
      </c>
      <c r="AK827" s="5">
        <f t="shared" si="585"/>
        <v>0</v>
      </c>
      <c r="AL827" s="5">
        <f t="shared" si="586"/>
        <v>0</v>
      </c>
      <c r="AM827" s="5">
        <f t="shared" si="614"/>
        <v>0</v>
      </c>
      <c r="AN827" s="5">
        <f t="shared" si="587"/>
        <v>1</v>
      </c>
      <c r="AO827" s="5">
        <f t="shared" si="615"/>
        <v>0</v>
      </c>
      <c r="AP827" s="11" t="s">
        <v>42</v>
      </c>
      <c r="AQ827" s="11">
        <v>0.1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1</v>
      </c>
      <c r="AY827" s="1">
        <f t="shared" si="629"/>
        <v>0</v>
      </c>
      <c r="AZ827" s="1">
        <f t="shared" si="630"/>
        <v>0</v>
      </c>
      <c r="BA827" s="1">
        <f t="shared" si="631"/>
        <v>0</v>
      </c>
      <c r="BB827" s="5">
        <v>0</v>
      </c>
      <c r="BC827" s="5">
        <v>0</v>
      </c>
      <c r="BD827" s="5">
        <v>0</v>
      </c>
      <c r="BE827" s="5">
        <f t="shared" si="632"/>
        <v>1</v>
      </c>
      <c r="BF827" s="5">
        <v>1</v>
      </c>
      <c r="BG827" s="5">
        <f t="shared" si="638"/>
        <v>0</v>
      </c>
      <c r="BH827" s="5">
        <f t="shared" si="638"/>
        <v>0</v>
      </c>
      <c r="BI827" s="5">
        <f t="shared" si="638"/>
        <v>0</v>
      </c>
      <c r="BJ827" s="5">
        <f t="shared" si="638"/>
        <v>0</v>
      </c>
      <c r="BK827" s="5">
        <f t="shared" si="638"/>
        <v>0</v>
      </c>
      <c r="BL827" s="5">
        <f t="shared" si="638"/>
        <v>0</v>
      </c>
      <c r="BM827" s="5">
        <f t="shared" si="638"/>
        <v>0</v>
      </c>
      <c r="BN827" s="5">
        <f t="shared" si="638"/>
        <v>0</v>
      </c>
      <c r="BO827" s="5">
        <f t="shared" si="637"/>
        <v>0</v>
      </c>
      <c r="BP827" s="5">
        <f t="shared" si="637"/>
        <v>0</v>
      </c>
      <c r="BQ827" s="5">
        <f t="shared" si="637"/>
        <v>0</v>
      </c>
      <c r="BR827" s="5">
        <f t="shared" si="637"/>
        <v>0</v>
      </c>
      <c r="BS827" s="5">
        <f t="shared" si="637"/>
        <v>0</v>
      </c>
      <c r="BT827" s="5">
        <f t="shared" si="637"/>
        <v>0</v>
      </c>
      <c r="BU827" s="5">
        <f t="shared" si="637"/>
        <v>0</v>
      </c>
      <c r="BV827" s="5">
        <f t="shared" si="637"/>
        <v>0</v>
      </c>
      <c r="BW827" s="5">
        <f t="shared" si="637"/>
        <v>0</v>
      </c>
      <c r="BX827" s="5">
        <f t="shared" si="637"/>
        <v>0</v>
      </c>
      <c r="BY827" s="5">
        <f t="shared" si="637"/>
        <v>0</v>
      </c>
      <c r="BZ827" s="5">
        <f t="shared" si="637"/>
        <v>0</v>
      </c>
      <c r="CA827" s="5">
        <f t="shared" si="637"/>
        <v>0</v>
      </c>
      <c r="CB827" s="5">
        <f t="shared" si="637"/>
        <v>0</v>
      </c>
      <c r="CC827" s="5">
        <f t="shared" si="637"/>
        <v>0</v>
      </c>
      <c r="CD827" s="5">
        <f t="shared" ref="CD827:CE846" si="639">IF($E827=CD$2,1,0)</f>
        <v>1</v>
      </c>
      <c r="CE827" s="5">
        <f t="shared" si="639"/>
        <v>0</v>
      </c>
    </row>
    <row r="828" spans="1:83" x14ac:dyDescent="0.2">
      <c r="A828" s="11"/>
      <c r="B828" s="11"/>
      <c r="C828" s="1">
        <f>Growth!D833</f>
        <v>3.5714285714285712E-2</v>
      </c>
      <c r="D828" s="5" t="b">
        <f t="shared" si="590"/>
        <v>0</v>
      </c>
      <c r="E828" s="5">
        <v>2014</v>
      </c>
      <c r="F828" s="5">
        <f ca="1">LOOKUP($E828,frequence!$A$2:$A$35,frequence!L$2:L$35)</f>
        <v>50.75383375536623</v>
      </c>
      <c r="G828" s="5">
        <f ca="1">LOOKUP($E828,frequence!$A$2:$A$35,frequence!K$2:K$35)</f>
        <v>9.9751715831189358</v>
      </c>
      <c r="H828" s="5">
        <f ca="1">LOOKUP($E828,frequence!$A$2:$A$35,frequence!M$2:M$35)</f>
        <v>236.05429056976001</v>
      </c>
      <c r="I828" s="16">
        <v>2010</v>
      </c>
      <c r="J828" s="7">
        <f>LOOKUP(I828,CPI!A$69:A$103,CPI!O$69:O$103)</f>
        <v>1</v>
      </c>
      <c r="K828" s="16">
        <v>2010</v>
      </c>
      <c r="L828" s="7">
        <f t="shared" ca="1" si="584"/>
        <v>1</v>
      </c>
      <c r="M828" s="7">
        <f t="shared" si="608"/>
        <v>0.22857142857142856</v>
      </c>
      <c r="N828" s="14">
        <f t="shared" si="634"/>
        <v>3.5714285714285712E-2</v>
      </c>
      <c r="O828" s="1">
        <f ca="1">P828*J828*(1+Growth!G$6)^(2010-K828)</f>
        <v>191.9</v>
      </c>
      <c r="P828" s="1">
        <v>191.9</v>
      </c>
      <c r="Q828" s="2">
        <f t="shared" si="626"/>
        <v>191.9</v>
      </c>
      <c r="R828" s="21">
        <f t="shared" ca="1" si="627"/>
        <v>36825.61</v>
      </c>
      <c r="U828" s="11"/>
      <c r="V828" s="11"/>
      <c r="W828" s="11"/>
      <c r="X828" s="11"/>
      <c r="Y828" s="11"/>
      <c r="Z828" s="11"/>
      <c r="AA828" s="11"/>
      <c r="AB828" s="11"/>
      <c r="AC828" s="1">
        <f t="shared" si="628"/>
        <v>6.4</v>
      </c>
      <c r="AD828" s="5">
        <v>1</v>
      </c>
      <c r="AE828" s="5">
        <v>0</v>
      </c>
      <c r="AF828" s="5">
        <v>1</v>
      </c>
      <c r="AG828" s="5">
        <v>0</v>
      </c>
      <c r="AH828" s="5">
        <v>1</v>
      </c>
      <c r="AI828" s="3">
        <f t="shared" si="589"/>
        <v>3.4</v>
      </c>
      <c r="AJ828" s="5">
        <f t="shared" si="606"/>
        <v>0</v>
      </c>
      <c r="AK828" s="5">
        <f t="shared" si="585"/>
        <v>0</v>
      </c>
      <c r="AL828" s="5">
        <f t="shared" si="586"/>
        <v>0</v>
      </c>
      <c r="AM828" s="5">
        <f t="shared" si="614"/>
        <v>0</v>
      </c>
      <c r="AN828" s="5">
        <f t="shared" si="587"/>
        <v>1</v>
      </c>
      <c r="AO828" s="5">
        <f t="shared" si="615"/>
        <v>0</v>
      </c>
      <c r="AP828" s="11" t="s">
        <v>42</v>
      </c>
      <c r="AQ828" s="11">
        <v>0.1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1</v>
      </c>
      <c r="AY828" s="1">
        <f t="shared" si="629"/>
        <v>0</v>
      </c>
      <c r="AZ828" s="1">
        <f t="shared" si="630"/>
        <v>0</v>
      </c>
      <c r="BA828" s="1">
        <f t="shared" si="631"/>
        <v>0</v>
      </c>
      <c r="BB828" s="5">
        <v>0</v>
      </c>
      <c r="BC828" s="5">
        <v>0</v>
      </c>
      <c r="BD828" s="5">
        <v>0</v>
      </c>
      <c r="BE828" s="5">
        <f t="shared" si="632"/>
        <v>1</v>
      </c>
      <c r="BF828" s="5">
        <v>1</v>
      </c>
      <c r="BG828" s="5">
        <f t="shared" si="638"/>
        <v>0</v>
      </c>
      <c r="BH828" s="5">
        <f t="shared" si="638"/>
        <v>0</v>
      </c>
      <c r="BI828" s="5">
        <f t="shared" si="638"/>
        <v>0</v>
      </c>
      <c r="BJ828" s="5">
        <f t="shared" si="638"/>
        <v>0</v>
      </c>
      <c r="BK828" s="5">
        <f t="shared" si="638"/>
        <v>0</v>
      </c>
      <c r="BL828" s="5">
        <f t="shared" si="638"/>
        <v>0</v>
      </c>
      <c r="BM828" s="5">
        <f t="shared" si="638"/>
        <v>0</v>
      </c>
      <c r="BN828" s="5">
        <f t="shared" si="638"/>
        <v>0</v>
      </c>
      <c r="BO828" s="5">
        <f t="shared" si="637"/>
        <v>0</v>
      </c>
      <c r="BP828" s="5">
        <f t="shared" si="637"/>
        <v>0</v>
      </c>
      <c r="BQ828" s="5">
        <f t="shared" si="637"/>
        <v>0</v>
      </c>
      <c r="BR828" s="5">
        <f t="shared" si="637"/>
        <v>0</v>
      </c>
      <c r="BS828" s="5">
        <f t="shared" si="637"/>
        <v>0</v>
      </c>
      <c r="BT828" s="5">
        <f t="shared" si="637"/>
        <v>0</v>
      </c>
      <c r="BU828" s="5">
        <f t="shared" si="637"/>
        <v>0</v>
      </c>
      <c r="BV828" s="5">
        <f t="shared" si="637"/>
        <v>0</v>
      </c>
      <c r="BW828" s="5">
        <f t="shared" si="637"/>
        <v>0</v>
      </c>
      <c r="BX828" s="5">
        <f t="shared" si="637"/>
        <v>0</v>
      </c>
      <c r="BY828" s="5">
        <f t="shared" si="637"/>
        <v>0</v>
      </c>
      <c r="BZ828" s="5">
        <f t="shared" si="637"/>
        <v>0</v>
      </c>
      <c r="CA828" s="5">
        <f t="shared" si="637"/>
        <v>0</v>
      </c>
      <c r="CB828" s="5">
        <f t="shared" si="637"/>
        <v>0</v>
      </c>
      <c r="CC828" s="5">
        <f t="shared" si="637"/>
        <v>0</v>
      </c>
      <c r="CD828" s="5">
        <f t="shared" si="639"/>
        <v>1</v>
      </c>
      <c r="CE828" s="5">
        <f t="shared" si="639"/>
        <v>0</v>
      </c>
    </row>
    <row r="829" spans="1:83" x14ac:dyDescent="0.2">
      <c r="A829" s="11"/>
      <c r="B829" s="11"/>
      <c r="C829" s="1">
        <f>Growth!D834</f>
        <v>3.5714285714285712E-2</v>
      </c>
      <c r="D829" s="5" t="b">
        <f t="shared" si="590"/>
        <v>0</v>
      </c>
      <c r="E829" s="5">
        <v>2014</v>
      </c>
      <c r="F829" s="5">
        <f ca="1">LOOKUP($E829,frequence!$A$2:$A$35,frequence!L$2:L$35)</f>
        <v>50.75383375536623</v>
      </c>
      <c r="G829" s="5">
        <f ca="1">LOOKUP($E829,frequence!$A$2:$A$35,frequence!K$2:K$35)</f>
        <v>9.9751715831189358</v>
      </c>
      <c r="H829" s="5">
        <f ca="1">LOOKUP($E829,frequence!$A$2:$A$35,frequence!M$2:M$35)</f>
        <v>236.05429056976001</v>
      </c>
      <c r="I829" s="16">
        <v>2010</v>
      </c>
      <c r="J829" s="7">
        <f>LOOKUP(I829,CPI!A$69:A$103,CPI!O$69:O$103)</f>
        <v>1</v>
      </c>
      <c r="K829" s="16">
        <v>2010</v>
      </c>
      <c r="L829" s="7">
        <f t="shared" ca="1" si="584"/>
        <v>1</v>
      </c>
      <c r="M829" s="7">
        <f t="shared" si="608"/>
        <v>0.22857142857142856</v>
      </c>
      <c r="N829" s="14">
        <f t="shared" si="634"/>
        <v>3.5714285714285712E-2</v>
      </c>
      <c r="O829" s="1">
        <f ca="1">P829*J829*(1+Growth!G$6)^(2010-K829)</f>
        <v>200.4</v>
      </c>
      <c r="P829" s="1">
        <v>200.4</v>
      </c>
      <c r="Q829" s="2">
        <f t="shared" si="626"/>
        <v>200.4</v>
      </c>
      <c r="R829" s="21">
        <f t="shared" ca="1" si="627"/>
        <v>40160.160000000003</v>
      </c>
      <c r="U829" s="11"/>
      <c r="V829" s="11"/>
      <c r="W829" s="11"/>
      <c r="X829" s="11"/>
      <c r="Y829" s="11"/>
      <c r="Z829" s="11"/>
      <c r="AA829" s="11"/>
      <c r="AB829" s="11"/>
      <c r="AC829" s="1">
        <f t="shared" si="628"/>
        <v>6.4</v>
      </c>
      <c r="AD829" s="5">
        <v>1</v>
      </c>
      <c r="AE829" s="5">
        <v>0</v>
      </c>
      <c r="AF829" s="5">
        <v>1</v>
      </c>
      <c r="AG829" s="5">
        <v>0</v>
      </c>
      <c r="AH829" s="5">
        <v>1</v>
      </c>
      <c r="AI829" s="3">
        <f t="shared" si="589"/>
        <v>3.4</v>
      </c>
      <c r="AJ829" s="5">
        <f t="shared" si="606"/>
        <v>0</v>
      </c>
      <c r="AK829" s="5">
        <f t="shared" si="585"/>
        <v>0</v>
      </c>
      <c r="AL829" s="5">
        <f t="shared" si="586"/>
        <v>0</v>
      </c>
      <c r="AM829" s="5">
        <f t="shared" si="614"/>
        <v>0</v>
      </c>
      <c r="AN829" s="5">
        <f t="shared" si="587"/>
        <v>1</v>
      </c>
      <c r="AO829" s="5">
        <f t="shared" si="615"/>
        <v>0</v>
      </c>
      <c r="AP829" s="11" t="s">
        <v>42</v>
      </c>
      <c r="AQ829" s="11">
        <v>0.1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1</v>
      </c>
      <c r="AY829" s="1">
        <f t="shared" si="629"/>
        <v>0</v>
      </c>
      <c r="AZ829" s="1">
        <f t="shared" si="630"/>
        <v>0</v>
      </c>
      <c r="BA829" s="1">
        <f t="shared" si="631"/>
        <v>0</v>
      </c>
      <c r="BB829" s="5">
        <v>0</v>
      </c>
      <c r="BC829" s="5">
        <v>0</v>
      </c>
      <c r="BD829" s="5">
        <v>0</v>
      </c>
      <c r="BE829" s="5">
        <f t="shared" si="632"/>
        <v>1</v>
      </c>
      <c r="BF829" s="5">
        <v>1</v>
      </c>
      <c r="BG829" s="5">
        <f t="shared" si="638"/>
        <v>0</v>
      </c>
      <c r="BH829" s="5">
        <f t="shared" si="638"/>
        <v>0</v>
      </c>
      <c r="BI829" s="5">
        <f t="shared" si="638"/>
        <v>0</v>
      </c>
      <c r="BJ829" s="5">
        <f t="shared" si="638"/>
        <v>0</v>
      </c>
      <c r="BK829" s="5">
        <f t="shared" si="638"/>
        <v>0</v>
      </c>
      <c r="BL829" s="5">
        <f t="shared" si="638"/>
        <v>0</v>
      </c>
      <c r="BM829" s="5">
        <f t="shared" si="638"/>
        <v>0</v>
      </c>
      <c r="BN829" s="5">
        <f t="shared" si="638"/>
        <v>0</v>
      </c>
      <c r="BO829" s="5">
        <f t="shared" si="637"/>
        <v>0</v>
      </c>
      <c r="BP829" s="5">
        <f t="shared" si="637"/>
        <v>0</v>
      </c>
      <c r="BQ829" s="5">
        <f t="shared" si="637"/>
        <v>0</v>
      </c>
      <c r="BR829" s="5">
        <f t="shared" si="637"/>
        <v>0</v>
      </c>
      <c r="BS829" s="5">
        <f t="shared" si="637"/>
        <v>0</v>
      </c>
      <c r="BT829" s="5">
        <f t="shared" si="637"/>
        <v>0</v>
      </c>
      <c r="BU829" s="5">
        <f t="shared" si="637"/>
        <v>0</v>
      </c>
      <c r="BV829" s="5">
        <f t="shared" si="637"/>
        <v>0</v>
      </c>
      <c r="BW829" s="5">
        <f t="shared" si="637"/>
        <v>0</v>
      </c>
      <c r="BX829" s="5">
        <f t="shared" si="637"/>
        <v>0</v>
      </c>
      <c r="BY829" s="5">
        <f t="shared" si="637"/>
        <v>0</v>
      </c>
      <c r="BZ829" s="5">
        <f t="shared" si="637"/>
        <v>0</v>
      </c>
      <c r="CA829" s="5">
        <f t="shared" si="637"/>
        <v>0</v>
      </c>
      <c r="CB829" s="5">
        <f t="shared" si="637"/>
        <v>0</v>
      </c>
      <c r="CC829" s="5">
        <f t="shared" si="637"/>
        <v>0</v>
      </c>
      <c r="CD829" s="5">
        <f t="shared" si="639"/>
        <v>1</v>
      </c>
      <c r="CE829" s="5">
        <f t="shared" si="639"/>
        <v>0</v>
      </c>
    </row>
    <row r="830" spans="1:83" x14ac:dyDescent="0.2">
      <c r="A830" s="11"/>
      <c r="B830" s="11"/>
      <c r="C830" s="1">
        <f>Growth!D835</f>
        <v>3.5714285714285712E-2</v>
      </c>
      <c r="D830" s="5" t="b">
        <f t="shared" si="590"/>
        <v>0</v>
      </c>
      <c r="E830" s="5">
        <v>2014</v>
      </c>
      <c r="F830" s="5">
        <f ca="1">LOOKUP($E830,frequence!$A$2:$A$35,frequence!L$2:L$35)</f>
        <v>50.75383375536623</v>
      </c>
      <c r="G830" s="5">
        <f ca="1">LOOKUP($E830,frequence!$A$2:$A$35,frequence!K$2:K$35)</f>
        <v>9.9751715831189358</v>
      </c>
      <c r="H830" s="5">
        <f ca="1">LOOKUP($E830,frequence!$A$2:$A$35,frequence!M$2:M$35)</f>
        <v>236.05429056976001</v>
      </c>
      <c r="I830" s="16">
        <v>2010</v>
      </c>
      <c r="J830" s="7">
        <f>LOOKUP(I830,CPI!A$69:A$103,CPI!O$69:O$103)</f>
        <v>1</v>
      </c>
      <c r="K830" s="16">
        <v>2010</v>
      </c>
      <c r="L830" s="7">
        <f t="shared" ca="1" si="584"/>
        <v>1</v>
      </c>
      <c r="M830" s="7">
        <f t="shared" si="608"/>
        <v>0.22857142857142856</v>
      </c>
      <c r="N830" s="14">
        <f t="shared" si="634"/>
        <v>3.5714285714285712E-2</v>
      </c>
      <c r="O830" s="1">
        <f ca="1">P830*J830*(1+Growth!G$6)^(2010-K830)</f>
        <v>202.8</v>
      </c>
      <c r="P830" s="1">
        <v>202.8</v>
      </c>
      <c r="Q830" s="2">
        <f t="shared" si="626"/>
        <v>202.8</v>
      </c>
      <c r="R830" s="21">
        <f t="shared" ca="1" si="627"/>
        <v>41127.840000000004</v>
      </c>
      <c r="U830" s="11"/>
      <c r="V830" s="11"/>
      <c r="W830" s="11"/>
      <c r="X830" s="11"/>
      <c r="Y830" s="11"/>
      <c r="Z830" s="11"/>
      <c r="AA830" s="11"/>
      <c r="AB830" s="11"/>
      <c r="AC830" s="1">
        <f t="shared" si="628"/>
        <v>6.4</v>
      </c>
      <c r="AD830" s="5">
        <v>1</v>
      </c>
      <c r="AE830" s="5">
        <v>0</v>
      </c>
      <c r="AF830" s="5">
        <v>1</v>
      </c>
      <c r="AG830" s="5">
        <v>0</v>
      </c>
      <c r="AH830" s="5">
        <v>1</v>
      </c>
      <c r="AI830" s="3">
        <f t="shared" si="589"/>
        <v>3.4</v>
      </c>
      <c r="AJ830" s="5">
        <f t="shared" si="606"/>
        <v>0</v>
      </c>
      <c r="AK830" s="5">
        <f t="shared" si="585"/>
        <v>0</v>
      </c>
      <c r="AL830" s="5">
        <f t="shared" si="586"/>
        <v>0</v>
      </c>
      <c r="AM830" s="5">
        <f t="shared" si="614"/>
        <v>0</v>
      </c>
      <c r="AN830" s="5">
        <f t="shared" si="587"/>
        <v>1</v>
      </c>
      <c r="AO830" s="5">
        <f t="shared" si="615"/>
        <v>0</v>
      </c>
      <c r="AP830" s="11" t="s">
        <v>42</v>
      </c>
      <c r="AQ830" s="11">
        <v>0.1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1</v>
      </c>
      <c r="AY830" s="1">
        <f t="shared" si="629"/>
        <v>0</v>
      </c>
      <c r="AZ830" s="1">
        <f t="shared" si="630"/>
        <v>0</v>
      </c>
      <c r="BA830" s="1">
        <f t="shared" si="631"/>
        <v>0</v>
      </c>
      <c r="BB830" s="5">
        <v>0</v>
      </c>
      <c r="BC830" s="5">
        <v>0</v>
      </c>
      <c r="BD830" s="5">
        <v>0</v>
      </c>
      <c r="BE830" s="5">
        <f t="shared" si="632"/>
        <v>1</v>
      </c>
      <c r="BF830" s="5">
        <v>1</v>
      </c>
      <c r="BG830" s="5">
        <f t="shared" si="638"/>
        <v>0</v>
      </c>
      <c r="BH830" s="5">
        <f t="shared" si="638"/>
        <v>0</v>
      </c>
      <c r="BI830" s="5">
        <f t="shared" si="638"/>
        <v>0</v>
      </c>
      <c r="BJ830" s="5">
        <f t="shared" si="638"/>
        <v>0</v>
      </c>
      <c r="BK830" s="5">
        <f t="shared" si="638"/>
        <v>0</v>
      </c>
      <c r="BL830" s="5">
        <f t="shared" si="638"/>
        <v>0</v>
      </c>
      <c r="BM830" s="5">
        <f t="shared" si="638"/>
        <v>0</v>
      </c>
      <c r="BN830" s="5">
        <f t="shared" si="638"/>
        <v>0</v>
      </c>
      <c r="BO830" s="5">
        <f t="shared" si="637"/>
        <v>0</v>
      </c>
      <c r="BP830" s="5">
        <f t="shared" si="637"/>
        <v>0</v>
      </c>
      <c r="BQ830" s="5">
        <f t="shared" si="637"/>
        <v>0</v>
      </c>
      <c r="BR830" s="5">
        <f t="shared" si="637"/>
        <v>0</v>
      </c>
      <c r="BS830" s="5">
        <f t="shared" si="637"/>
        <v>0</v>
      </c>
      <c r="BT830" s="5">
        <f t="shared" si="637"/>
        <v>0</v>
      </c>
      <c r="BU830" s="5">
        <f t="shared" si="637"/>
        <v>0</v>
      </c>
      <c r="BV830" s="5">
        <f t="shared" si="637"/>
        <v>0</v>
      </c>
      <c r="BW830" s="5">
        <f t="shared" si="637"/>
        <v>0</v>
      </c>
      <c r="BX830" s="5">
        <f t="shared" si="637"/>
        <v>0</v>
      </c>
      <c r="BY830" s="5">
        <f t="shared" si="637"/>
        <v>0</v>
      </c>
      <c r="BZ830" s="5">
        <f t="shared" si="637"/>
        <v>0</v>
      </c>
      <c r="CA830" s="5">
        <f t="shared" si="637"/>
        <v>0</v>
      </c>
      <c r="CB830" s="5">
        <f t="shared" si="637"/>
        <v>0</v>
      </c>
      <c r="CC830" s="5">
        <f t="shared" si="637"/>
        <v>0</v>
      </c>
      <c r="CD830" s="5">
        <f t="shared" si="639"/>
        <v>1</v>
      </c>
      <c r="CE830" s="5">
        <f t="shared" si="639"/>
        <v>0</v>
      </c>
    </row>
    <row r="831" spans="1:83" x14ac:dyDescent="0.2">
      <c r="A831" s="11"/>
      <c r="B831" s="11"/>
      <c r="C831" s="1">
        <f>Growth!D836</f>
        <v>3.5714285714285712E-2</v>
      </c>
      <c r="D831" s="5" t="b">
        <f t="shared" si="590"/>
        <v>0</v>
      </c>
      <c r="E831" s="5">
        <v>2014</v>
      </c>
      <c r="F831" s="5">
        <f ca="1">LOOKUP($E831,frequence!$A$2:$A$35,frequence!L$2:L$35)</f>
        <v>50.75383375536623</v>
      </c>
      <c r="G831" s="5">
        <f ca="1">LOOKUP($E831,frequence!$A$2:$A$35,frequence!K$2:K$35)</f>
        <v>9.9751715831189358</v>
      </c>
      <c r="H831" s="5">
        <f ca="1">LOOKUP($E831,frequence!$A$2:$A$35,frequence!M$2:M$35)</f>
        <v>236.05429056976001</v>
      </c>
      <c r="I831" s="16">
        <v>2010</v>
      </c>
      <c r="J831" s="7">
        <f>LOOKUP(I831,CPI!A$69:A$103,CPI!O$69:O$103)</f>
        <v>1</v>
      </c>
      <c r="K831" s="16">
        <v>2010</v>
      </c>
      <c r="L831" s="7">
        <f t="shared" ca="1" si="584"/>
        <v>1</v>
      </c>
      <c r="M831" s="7">
        <f t="shared" si="608"/>
        <v>0.22857142857142856</v>
      </c>
      <c r="N831" s="14">
        <f t="shared" si="634"/>
        <v>3.5714285714285712E-2</v>
      </c>
      <c r="O831" s="1">
        <f ca="1">P831*J831*(1+Growth!G$6)^(2010-K831)</f>
        <v>204.3</v>
      </c>
      <c r="P831" s="1">
        <v>204.3</v>
      </c>
      <c r="Q831" s="2">
        <f t="shared" si="626"/>
        <v>204.3</v>
      </c>
      <c r="R831" s="21">
        <f t="shared" ca="1" si="627"/>
        <v>41738.490000000005</v>
      </c>
      <c r="U831" s="11"/>
      <c r="V831" s="11"/>
      <c r="W831" s="11"/>
      <c r="X831" s="11"/>
      <c r="Y831" s="11"/>
      <c r="Z831" s="11"/>
      <c r="AA831" s="11"/>
      <c r="AB831" s="11"/>
      <c r="AC831" s="1">
        <f t="shared" si="628"/>
        <v>6.4</v>
      </c>
      <c r="AD831" s="5">
        <v>1</v>
      </c>
      <c r="AE831" s="5">
        <v>0</v>
      </c>
      <c r="AF831" s="5">
        <v>1</v>
      </c>
      <c r="AG831" s="5">
        <v>0</v>
      </c>
      <c r="AH831" s="5">
        <v>1</v>
      </c>
      <c r="AI831" s="3">
        <f t="shared" si="589"/>
        <v>3.4</v>
      </c>
      <c r="AJ831" s="5">
        <f t="shared" si="606"/>
        <v>0</v>
      </c>
      <c r="AK831" s="5">
        <f t="shared" si="585"/>
        <v>0</v>
      </c>
      <c r="AL831" s="5">
        <f t="shared" si="586"/>
        <v>0</v>
      </c>
      <c r="AM831" s="5">
        <f t="shared" si="614"/>
        <v>0</v>
      </c>
      <c r="AN831" s="5">
        <f t="shared" si="587"/>
        <v>1</v>
      </c>
      <c r="AO831" s="5">
        <f t="shared" si="615"/>
        <v>0</v>
      </c>
      <c r="AP831" s="11" t="s">
        <v>42</v>
      </c>
      <c r="AQ831" s="11">
        <v>0.1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1</v>
      </c>
      <c r="AY831" s="1">
        <f t="shared" si="629"/>
        <v>0</v>
      </c>
      <c r="AZ831" s="1">
        <f t="shared" si="630"/>
        <v>0</v>
      </c>
      <c r="BA831" s="1">
        <f t="shared" si="631"/>
        <v>0</v>
      </c>
      <c r="BB831" s="5">
        <v>0</v>
      </c>
      <c r="BC831" s="5">
        <v>0</v>
      </c>
      <c r="BD831" s="5">
        <v>0</v>
      </c>
      <c r="BE831" s="5">
        <f t="shared" si="632"/>
        <v>1</v>
      </c>
      <c r="BF831" s="5">
        <v>1</v>
      </c>
      <c r="BG831" s="5">
        <f t="shared" si="638"/>
        <v>0</v>
      </c>
      <c r="BH831" s="5">
        <f t="shared" si="638"/>
        <v>0</v>
      </c>
      <c r="BI831" s="5">
        <f t="shared" si="638"/>
        <v>0</v>
      </c>
      <c r="BJ831" s="5">
        <f t="shared" si="638"/>
        <v>0</v>
      </c>
      <c r="BK831" s="5">
        <f t="shared" si="638"/>
        <v>0</v>
      </c>
      <c r="BL831" s="5">
        <f t="shared" si="638"/>
        <v>0</v>
      </c>
      <c r="BM831" s="5">
        <f t="shared" si="638"/>
        <v>0</v>
      </c>
      <c r="BN831" s="5">
        <f t="shared" si="638"/>
        <v>0</v>
      </c>
      <c r="BO831" s="5">
        <f t="shared" si="637"/>
        <v>0</v>
      </c>
      <c r="BP831" s="5">
        <f t="shared" si="637"/>
        <v>0</v>
      </c>
      <c r="BQ831" s="5">
        <f t="shared" si="637"/>
        <v>0</v>
      </c>
      <c r="BR831" s="5">
        <f t="shared" si="637"/>
        <v>0</v>
      </c>
      <c r="BS831" s="5">
        <f t="shared" si="637"/>
        <v>0</v>
      </c>
      <c r="BT831" s="5">
        <f t="shared" si="637"/>
        <v>0</v>
      </c>
      <c r="BU831" s="5">
        <f t="shared" si="637"/>
        <v>0</v>
      </c>
      <c r="BV831" s="5">
        <f t="shared" si="637"/>
        <v>0</v>
      </c>
      <c r="BW831" s="5">
        <f t="shared" si="637"/>
        <v>0</v>
      </c>
      <c r="BX831" s="5">
        <f t="shared" si="637"/>
        <v>0</v>
      </c>
      <c r="BY831" s="5">
        <f t="shared" si="637"/>
        <v>0</v>
      </c>
      <c r="BZ831" s="5">
        <f t="shared" si="637"/>
        <v>0</v>
      </c>
      <c r="CA831" s="5">
        <f t="shared" si="637"/>
        <v>0</v>
      </c>
      <c r="CB831" s="5">
        <f t="shared" si="637"/>
        <v>0</v>
      </c>
      <c r="CC831" s="5">
        <f t="shared" si="637"/>
        <v>0</v>
      </c>
      <c r="CD831" s="5">
        <f t="shared" si="639"/>
        <v>1</v>
      </c>
      <c r="CE831" s="5">
        <f t="shared" si="639"/>
        <v>0</v>
      </c>
    </row>
    <row r="832" spans="1:83" x14ac:dyDescent="0.2">
      <c r="A832" s="11" t="s">
        <v>199</v>
      </c>
      <c r="B832" s="11" t="s">
        <v>197</v>
      </c>
      <c r="C832" s="1">
        <f>Growth!D837</f>
        <v>5.8823529411764705E-2</v>
      </c>
      <c r="D832" s="5">
        <f t="shared" si="590"/>
        <v>2014</v>
      </c>
      <c r="E832" s="5">
        <v>2014</v>
      </c>
      <c r="F832" s="5">
        <f ca="1">LOOKUP($E832,frequence!$A$2:$A$35,frequence!L$2:L$35)</f>
        <v>50.75383375536623</v>
      </c>
      <c r="G832" s="5">
        <f ca="1">LOOKUP($E832,frequence!$A$2:$A$35,frequence!K$2:K$35)</f>
        <v>9.9751715831189358</v>
      </c>
      <c r="H832" s="5">
        <f ca="1">LOOKUP($E832,frequence!$A$2:$A$35,frequence!M$2:M$35)</f>
        <v>236.05429056976001</v>
      </c>
      <c r="I832" s="16">
        <v>2005</v>
      </c>
      <c r="J832" s="7">
        <f>LOOKUP(I832,CPI!A$69:A$103,CPI!O$69:O$103)</f>
        <v>1.1165181771633383</v>
      </c>
      <c r="K832" s="16">
        <v>2010</v>
      </c>
      <c r="L832" s="7">
        <f t="shared" ca="1" si="584"/>
        <v>1</v>
      </c>
      <c r="M832" s="7">
        <f t="shared" si="608"/>
        <v>0.37647058823529411</v>
      </c>
      <c r="N832" s="14">
        <f>1/17</f>
        <v>5.8823529411764705E-2</v>
      </c>
      <c r="O832" s="1">
        <f ca="1">P832*J832*(1+Growth!G$6)^(2010-K832)</f>
        <v>40.938999829322405</v>
      </c>
      <c r="P832" s="1">
        <f>10*44/12</f>
        <v>36.666666666666664</v>
      </c>
      <c r="Q832" s="2">
        <f t="shared" ref="Q832:Q836" si="640">P832</f>
        <v>36.666666666666664</v>
      </c>
      <c r="R832" s="21">
        <f t="shared" ref="R832:R836" ca="1" si="641">O832*O832</f>
        <v>1676.00170702526</v>
      </c>
      <c r="U832" s="11"/>
      <c r="V832" s="11"/>
      <c r="W832" s="11"/>
      <c r="X832" s="11"/>
      <c r="Y832" s="11"/>
      <c r="Z832" s="11"/>
      <c r="AA832" s="11"/>
      <c r="AB832" s="11"/>
      <c r="AC832" s="1">
        <f t="shared" ref="AC832:AC836" si="642">SUM(AD832:AI832)</f>
        <v>6.4</v>
      </c>
      <c r="AD832" s="5">
        <v>1</v>
      </c>
      <c r="AE832" s="5">
        <v>0</v>
      </c>
      <c r="AF832" s="5">
        <v>1</v>
      </c>
      <c r="AG832" s="5">
        <v>0</v>
      </c>
      <c r="AH832" s="5">
        <v>1</v>
      </c>
      <c r="AI832" s="3">
        <f t="shared" si="589"/>
        <v>3.4</v>
      </c>
      <c r="AJ832" s="5">
        <f t="shared" si="606"/>
        <v>0</v>
      </c>
      <c r="AK832" s="5">
        <f t="shared" si="585"/>
        <v>0</v>
      </c>
      <c r="AL832" s="5">
        <f t="shared" si="586"/>
        <v>1</v>
      </c>
      <c r="AM832" s="5">
        <f t="shared" si="614"/>
        <v>0</v>
      </c>
      <c r="AN832" s="5">
        <f t="shared" si="587"/>
        <v>0</v>
      </c>
      <c r="AO832" s="5">
        <f t="shared" si="615"/>
        <v>0</v>
      </c>
      <c r="AP832" s="11" t="s">
        <v>42</v>
      </c>
      <c r="AQ832" s="11">
        <v>1.5</v>
      </c>
      <c r="AR832" s="5">
        <v>0</v>
      </c>
      <c r="AS832" s="5">
        <v>0</v>
      </c>
      <c r="AT832" s="5">
        <v>1</v>
      </c>
      <c r="AU832" s="5">
        <v>0</v>
      </c>
      <c r="AV832" s="5">
        <v>0</v>
      </c>
      <c r="AW832" s="5">
        <v>0</v>
      </c>
      <c r="AX832" s="5">
        <v>1</v>
      </c>
      <c r="AY832" s="1">
        <f t="shared" ref="AY832:AY841" si="643">AJ832*$AD832*(1-$AV832)*(1-$AR832)</f>
        <v>0</v>
      </c>
      <c r="AZ832" s="1">
        <f t="shared" ref="AZ832:AZ841" si="644">AM832*$AD832*(1-$AV832)*(1-$AR832)</f>
        <v>0</v>
      </c>
      <c r="BA832" s="1">
        <f t="shared" ref="BA832:BA841" si="645">AO832*$AD832*(1-$AV832)*(1-$AR832)</f>
        <v>0</v>
      </c>
      <c r="BB832" s="5">
        <v>0</v>
      </c>
      <c r="BC832" s="5">
        <v>0</v>
      </c>
      <c r="BD832" s="5">
        <v>0</v>
      </c>
      <c r="BE832" s="5">
        <f t="shared" ref="BE832:BE841" si="646">1-SUM(BB832:BD832)</f>
        <v>1</v>
      </c>
      <c r="BF832" s="5">
        <v>0</v>
      </c>
      <c r="BG832" s="5">
        <f t="shared" si="638"/>
        <v>0</v>
      </c>
      <c r="BH832" s="5">
        <f t="shared" si="638"/>
        <v>0</v>
      </c>
      <c r="BI832" s="5">
        <f t="shared" si="638"/>
        <v>0</v>
      </c>
      <c r="BJ832" s="5">
        <f t="shared" si="638"/>
        <v>0</v>
      </c>
      <c r="BK832" s="5">
        <f t="shared" si="638"/>
        <v>0</v>
      </c>
      <c r="BL832" s="5">
        <f t="shared" si="638"/>
        <v>0</v>
      </c>
      <c r="BM832" s="5">
        <f t="shared" si="638"/>
        <v>0</v>
      </c>
      <c r="BN832" s="5">
        <f t="shared" si="638"/>
        <v>0</v>
      </c>
      <c r="BO832" s="5">
        <f t="shared" si="637"/>
        <v>0</v>
      </c>
      <c r="BP832" s="5">
        <f t="shared" si="637"/>
        <v>0</v>
      </c>
      <c r="BQ832" s="5">
        <f t="shared" si="637"/>
        <v>0</v>
      </c>
      <c r="BR832" s="5">
        <f t="shared" si="637"/>
        <v>0</v>
      </c>
      <c r="BS832" s="5">
        <f t="shared" si="637"/>
        <v>0</v>
      </c>
      <c r="BT832" s="5">
        <f t="shared" si="637"/>
        <v>0</v>
      </c>
      <c r="BU832" s="5">
        <f t="shared" si="637"/>
        <v>0</v>
      </c>
      <c r="BV832" s="5">
        <f t="shared" si="637"/>
        <v>0</v>
      </c>
      <c r="BW832" s="5">
        <f t="shared" si="637"/>
        <v>0</v>
      </c>
      <c r="BX832" s="5">
        <f t="shared" si="637"/>
        <v>0</v>
      </c>
      <c r="BY832" s="5">
        <f t="shared" si="637"/>
        <v>0</v>
      </c>
      <c r="BZ832" s="5">
        <f t="shared" si="637"/>
        <v>0</v>
      </c>
      <c r="CA832" s="5">
        <f t="shared" si="637"/>
        <v>0</v>
      </c>
      <c r="CB832" s="5">
        <f t="shared" si="637"/>
        <v>0</v>
      </c>
      <c r="CC832" s="5">
        <f t="shared" si="637"/>
        <v>0</v>
      </c>
      <c r="CD832" s="5">
        <f t="shared" si="639"/>
        <v>1</v>
      </c>
      <c r="CE832" s="5">
        <f t="shared" si="639"/>
        <v>0</v>
      </c>
    </row>
    <row r="833" spans="1:83" x14ac:dyDescent="0.2">
      <c r="A833" s="11"/>
      <c r="B833" s="11"/>
      <c r="C833" s="1">
        <f>Growth!D838</f>
        <v>0.23529411764705882</v>
      </c>
      <c r="D833" s="5" t="b">
        <f t="shared" si="590"/>
        <v>0</v>
      </c>
      <c r="E833" s="5">
        <v>2014</v>
      </c>
      <c r="F833" s="5">
        <f ca="1">LOOKUP($E833,frequence!$A$2:$A$35,frequence!L$2:L$35)</f>
        <v>50.75383375536623</v>
      </c>
      <c r="G833" s="5">
        <f ca="1">LOOKUP($E833,frequence!$A$2:$A$35,frequence!K$2:K$35)</f>
        <v>9.9751715831189358</v>
      </c>
      <c r="H833" s="5">
        <f ca="1">LOOKUP($E833,frequence!$A$2:$A$35,frequence!M$2:M$35)</f>
        <v>236.05429056976001</v>
      </c>
      <c r="I833" s="16">
        <v>2005</v>
      </c>
      <c r="J833" s="7">
        <f>LOOKUP(I833,CPI!A$69:A$103,CPI!O$69:O$103)</f>
        <v>1.1165181771633383</v>
      </c>
      <c r="K833" s="16">
        <v>2010</v>
      </c>
      <c r="L833" s="7">
        <f t="shared" ca="1" si="584"/>
        <v>0</v>
      </c>
      <c r="M833" s="7">
        <f t="shared" si="608"/>
        <v>1.5058823529411764</v>
      </c>
      <c r="N833" s="14">
        <f>4/17</f>
        <v>0.23529411764705882</v>
      </c>
      <c r="O833" s="1">
        <f ca="1">P833*J833*(1+Growth!G$6)^(2010-K833)</f>
        <v>105213.22956135857</v>
      </c>
      <c r="P833" s="11">
        <f>25700*44/12</f>
        <v>94233.333333333328</v>
      </c>
      <c r="Q833" s="2">
        <f t="shared" si="640"/>
        <v>94233.333333333328</v>
      </c>
      <c r="R833" s="21">
        <f t="shared" ca="1" si="641"/>
        <v>11069823674.731138</v>
      </c>
      <c r="U833" s="11"/>
      <c r="V833" s="11"/>
      <c r="W833" s="11"/>
      <c r="X833" s="11"/>
      <c r="Y833" s="11"/>
      <c r="Z833" s="11"/>
      <c r="AA833" s="11"/>
      <c r="AB833" s="11"/>
      <c r="AC833" s="1">
        <f t="shared" si="642"/>
        <v>6.4</v>
      </c>
      <c r="AD833" s="5">
        <v>1</v>
      </c>
      <c r="AE833" s="5">
        <v>0</v>
      </c>
      <c r="AF833" s="5">
        <v>1</v>
      </c>
      <c r="AG833" s="5">
        <v>0</v>
      </c>
      <c r="AH833" s="5">
        <v>1</v>
      </c>
      <c r="AI833" s="3">
        <f t="shared" si="589"/>
        <v>3.4</v>
      </c>
      <c r="AJ833" s="5">
        <f t="shared" si="606"/>
        <v>0</v>
      </c>
      <c r="AK833" s="5">
        <f t="shared" si="585"/>
        <v>0</v>
      </c>
      <c r="AL833" s="5">
        <f t="shared" si="586"/>
        <v>1</v>
      </c>
      <c r="AM833" s="5">
        <f t="shared" si="614"/>
        <v>0</v>
      </c>
      <c r="AN833" s="5">
        <f t="shared" si="587"/>
        <v>0</v>
      </c>
      <c r="AO833" s="5">
        <f t="shared" si="615"/>
        <v>0</v>
      </c>
      <c r="AP833" s="11" t="s">
        <v>42</v>
      </c>
      <c r="AQ833" s="11">
        <v>1.5</v>
      </c>
      <c r="AR833" s="5">
        <v>0</v>
      </c>
      <c r="AS833" s="5">
        <v>0</v>
      </c>
      <c r="AT833" s="5">
        <v>1</v>
      </c>
      <c r="AU833" s="5">
        <v>0</v>
      </c>
      <c r="AV833" s="5">
        <v>0</v>
      </c>
      <c r="AW833" s="5">
        <v>0</v>
      </c>
      <c r="AX833" s="5">
        <v>1</v>
      </c>
      <c r="AY833" s="1">
        <f t="shared" si="643"/>
        <v>0</v>
      </c>
      <c r="AZ833" s="1">
        <f t="shared" si="644"/>
        <v>0</v>
      </c>
      <c r="BA833" s="1">
        <f t="shared" si="645"/>
        <v>0</v>
      </c>
      <c r="BB833" s="5">
        <v>0</v>
      </c>
      <c r="BC833" s="5">
        <v>0</v>
      </c>
      <c r="BD833" s="5">
        <v>0</v>
      </c>
      <c r="BE833" s="5">
        <f t="shared" si="646"/>
        <v>1</v>
      </c>
      <c r="BF833" s="5">
        <v>0</v>
      </c>
      <c r="BG833" s="5">
        <f t="shared" si="638"/>
        <v>0</v>
      </c>
      <c r="BH833" s="5">
        <f t="shared" si="638"/>
        <v>0</v>
      </c>
      <c r="BI833" s="5">
        <f t="shared" si="638"/>
        <v>0</v>
      </c>
      <c r="BJ833" s="5">
        <f t="shared" si="638"/>
        <v>0</v>
      </c>
      <c r="BK833" s="5">
        <f t="shared" si="638"/>
        <v>0</v>
      </c>
      <c r="BL833" s="5">
        <f t="shared" si="638"/>
        <v>0</v>
      </c>
      <c r="BM833" s="5">
        <f t="shared" si="638"/>
        <v>0</v>
      </c>
      <c r="BN833" s="5">
        <f t="shared" si="638"/>
        <v>0</v>
      </c>
      <c r="BO833" s="5">
        <f t="shared" si="637"/>
        <v>0</v>
      </c>
      <c r="BP833" s="5">
        <f t="shared" si="637"/>
        <v>0</v>
      </c>
      <c r="BQ833" s="5">
        <f t="shared" si="637"/>
        <v>0</v>
      </c>
      <c r="BR833" s="5">
        <f t="shared" si="637"/>
        <v>0</v>
      </c>
      <c r="BS833" s="5">
        <f t="shared" si="637"/>
        <v>0</v>
      </c>
      <c r="BT833" s="5">
        <f t="shared" si="637"/>
        <v>0</v>
      </c>
      <c r="BU833" s="5">
        <f t="shared" si="637"/>
        <v>0</v>
      </c>
      <c r="BV833" s="5">
        <f t="shared" si="637"/>
        <v>0</v>
      </c>
      <c r="BW833" s="5">
        <f t="shared" si="637"/>
        <v>0</v>
      </c>
      <c r="BX833" s="5">
        <f t="shared" si="637"/>
        <v>0</v>
      </c>
      <c r="BY833" s="5">
        <f t="shared" si="637"/>
        <v>0</v>
      </c>
      <c r="BZ833" s="5">
        <f t="shared" si="637"/>
        <v>0</v>
      </c>
      <c r="CA833" s="5">
        <f t="shared" si="637"/>
        <v>0</v>
      </c>
      <c r="CB833" s="5">
        <f t="shared" si="637"/>
        <v>0</v>
      </c>
      <c r="CC833" s="5">
        <f t="shared" si="637"/>
        <v>0</v>
      </c>
      <c r="CD833" s="5">
        <f t="shared" si="639"/>
        <v>1</v>
      </c>
      <c r="CE833" s="5">
        <f t="shared" si="639"/>
        <v>0</v>
      </c>
    </row>
    <row r="834" spans="1:83" x14ac:dyDescent="0.2">
      <c r="A834" s="11"/>
      <c r="B834" s="11"/>
      <c r="C834" s="1">
        <f>Growth!D839</f>
        <v>0.47058823529411764</v>
      </c>
      <c r="D834" s="5" t="b">
        <f t="shared" si="590"/>
        <v>0</v>
      </c>
      <c r="E834" s="5">
        <v>2014</v>
      </c>
      <c r="F834" s="5">
        <f ca="1">LOOKUP($E834,frequence!$A$2:$A$35,frequence!L$2:L$35)</f>
        <v>50.75383375536623</v>
      </c>
      <c r="G834" s="5">
        <f ca="1">LOOKUP($E834,frequence!$A$2:$A$35,frequence!K$2:K$35)</f>
        <v>9.9751715831189358</v>
      </c>
      <c r="H834" s="5">
        <f ca="1">LOOKUP($E834,frequence!$A$2:$A$35,frequence!M$2:M$35)</f>
        <v>236.05429056976001</v>
      </c>
      <c r="I834" s="16">
        <v>2005</v>
      </c>
      <c r="J834" s="7">
        <f>LOOKUP(I834,CPI!A$69:A$103,CPI!O$69:O$103)</f>
        <v>1.1165181771633383</v>
      </c>
      <c r="K834" s="16">
        <v>2010</v>
      </c>
      <c r="L834" s="7">
        <f t="shared" ca="1" si="584"/>
        <v>1</v>
      </c>
      <c r="M834" s="7">
        <f t="shared" si="608"/>
        <v>3.0117647058823529</v>
      </c>
      <c r="N834" s="14">
        <f>8/17</f>
        <v>0.47058823529411764</v>
      </c>
      <c r="O834" s="1">
        <f ca="1">P834*J834*(1+Growth!G$6)^(2010-K834)</f>
        <v>18.422549923195081</v>
      </c>
      <c r="P834" s="1">
        <f>4.5*44/12</f>
        <v>16.5</v>
      </c>
      <c r="Q834" s="2">
        <f t="shared" si="640"/>
        <v>16.5</v>
      </c>
      <c r="R834" s="21">
        <f t="shared" ca="1" si="641"/>
        <v>339.39034567261507</v>
      </c>
      <c r="U834" s="11"/>
      <c r="V834" s="11"/>
      <c r="W834" s="11"/>
      <c r="X834" s="11"/>
      <c r="Y834" s="11"/>
      <c r="Z834" s="11"/>
      <c r="AA834" s="11"/>
      <c r="AB834" s="11"/>
      <c r="AC834" s="1">
        <f t="shared" si="642"/>
        <v>6.4</v>
      </c>
      <c r="AD834" s="5">
        <v>1</v>
      </c>
      <c r="AE834" s="5">
        <v>0</v>
      </c>
      <c r="AF834" s="5">
        <v>1</v>
      </c>
      <c r="AG834" s="5">
        <v>0</v>
      </c>
      <c r="AH834" s="5">
        <v>1</v>
      </c>
      <c r="AI834" s="3">
        <f t="shared" si="589"/>
        <v>3.4</v>
      </c>
      <c r="AJ834" s="5">
        <f t="shared" si="606"/>
        <v>0</v>
      </c>
      <c r="AK834" s="5">
        <f t="shared" si="585"/>
        <v>0</v>
      </c>
      <c r="AL834" s="5">
        <f t="shared" si="586"/>
        <v>1</v>
      </c>
      <c r="AM834" s="5">
        <f t="shared" si="614"/>
        <v>0</v>
      </c>
      <c r="AN834" s="5">
        <f t="shared" si="587"/>
        <v>0</v>
      </c>
      <c r="AO834" s="5">
        <f t="shared" si="615"/>
        <v>0</v>
      </c>
      <c r="AP834" s="11" t="s">
        <v>42</v>
      </c>
      <c r="AQ834" s="11">
        <v>1.5</v>
      </c>
      <c r="AR834" s="5">
        <v>0</v>
      </c>
      <c r="AS834" s="5">
        <v>0</v>
      </c>
      <c r="AT834" s="5">
        <v>1</v>
      </c>
      <c r="AU834" s="5">
        <v>0</v>
      </c>
      <c r="AV834" s="5">
        <v>0</v>
      </c>
      <c r="AW834" s="5">
        <v>0</v>
      </c>
      <c r="AX834" s="5">
        <v>1</v>
      </c>
      <c r="AY834" s="1">
        <f t="shared" si="643"/>
        <v>0</v>
      </c>
      <c r="AZ834" s="1">
        <f t="shared" si="644"/>
        <v>0</v>
      </c>
      <c r="BA834" s="1">
        <f t="shared" si="645"/>
        <v>0</v>
      </c>
      <c r="BB834" s="5">
        <v>0</v>
      </c>
      <c r="BC834" s="5">
        <v>0</v>
      </c>
      <c r="BD834" s="5">
        <v>0</v>
      </c>
      <c r="BE834" s="5">
        <f t="shared" si="646"/>
        <v>1</v>
      </c>
      <c r="BF834" s="5">
        <v>1</v>
      </c>
      <c r="BG834" s="5">
        <f t="shared" si="638"/>
        <v>0</v>
      </c>
      <c r="BH834" s="5">
        <f t="shared" si="638"/>
        <v>0</v>
      </c>
      <c r="BI834" s="5">
        <f t="shared" si="638"/>
        <v>0</v>
      </c>
      <c r="BJ834" s="5">
        <f t="shared" si="638"/>
        <v>0</v>
      </c>
      <c r="BK834" s="5">
        <f t="shared" si="638"/>
        <v>0</v>
      </c>
      <c r="BL834" s="5">
        <f t="shared" si="638"/>
        <v>0</v>
      </c>
      <c r="BM834" s="5">
        <f t="shared" si="638"/>
        <v>0</v>
      </c>
      <c r="BN834" s="5">
        <f t="shared" si="638"/>
        <v>0</v>
      </c>
      <c r="BO834" s="5">
        <f t="shared" si="637"/>
        <v>0</v>
      </c>
      <c r="BP834" s="5">
        <f t="shared" si="637"/>
        <v>0</v>
      </c>
      <c r="BQ834" s="5">
        <f t="shared" si="637"/>
        <v>0</v>
      </c>
      <c r="BR834" s="5">
        <f t="shared" si="637"/>
        <v>0</v>
      </c>
      <c r="BS834" s="5">
        <f t="shared" si="637"/>
        <v>0</v>
      </c>
      <c r="BT834" s="5">
        <f t="shared" si="637"/>
        <v>0</v>
      </c>
      <c r="BU834" s="5">
        <f t="shared" si="637"/>
        <v>0</v>
      </c>
      <c r="BV834" s="5">
        <f t="shared" si="637"/>
        <v>0</v>
      </c>
      <c r="BW834" s="5">
        <f t="shared" si="637"/>
        <v>0</v>
      </c>
      <c r="BX834" s="5">
        <f t="shared" si="637"/>
        <v>0</v>
      </c>
      <c r="BY834" s="5">
        <f t="shared" si="637"/>
        <v>0</v>
      </c>
      <c r="BZ834" s="5">
        <f t="shared" si="637"/>
        <v>0</v>
      </c>
      <c r="CA834" s="5">
        <f t="shared" si="637"/>
        <v>0</v>
      </c>
      <c r="CB834" s="5">
        <f t="shared" si="637"/>
        <v>0</v>
      </c>
      <c r="CC834" s="5">
        <f t="shared" si="637"/>
        <v>0</v>
      </c>
      <c r="CD834" s="5">
        <f t="shared" si="639"/>
        <v>1</v>
      </c>
      <c r="CE834" s="5">
        <f t="shared" si="639"/>
        <v>0</v>
      </c>
    </row>
    <row r="835" spans="1:83" x14ac:dyDescent="0.2">
      <c r="A835" s="11"/>
      <c r="B835" s="11"/>
      <c r="C835" s="1">
        <f>Growth!D840</f>
        <v>0.11764705882352941</v>
      </c>
      <c r="D835" s="5" t="b">
        <f t="shared" si="590"/>
        <v>0</v>
      </c>
      <c r="E835" s="5">
        <v>2014</v>
      </c>
      <c r="F835" s="5">
        <f ca="1">LOOKUP($E835,frequence!$A$2:$A$35,frequence!L$2:L$35)</f>
        <v>50.75383375536623</v>
      </c>
      <c r="G835" s="5">
        <f ca="1">LOOKUP($E835,frequence!$A$2:$A$35,frequence!K$2:K$35)</f>
        <v>9.9751715831189358</v>
      </c>
      <c r="H835" s="5">
        <f ca="1">LOOKUP($E835,frequence!$A$2:$A$35,frequence!M$2:M$35)</f>
        <v>236.05429056976001</v>
      </c>
      <c r="I835" s="16">
        <v>2005</v>
      </c>
      <c r="J835" s="7">
        <f>LOOKUP(I835,CPI!A$69:A$103,CPI!O$69:O$103)</f>
        <v>1.1165181771633383</v>
      </c>
      <c r="K835" s="16">
        <v>2010</v>
      </c>
      <c r="L835" s="7">
        <f t="shared" ca="1" si="584"/>
        <v>0.10673258893794701</v>
      </c>
      <c r="M835" s="7">
        <f t="shared" si="608"/>
        <v>0.75294117647058822</v>
      </c>
      <c r="N835" s="14">
        <f>2/17</f>
        <v>0.11764705882352941</v>
      </c>
      <c r="O835" s="1">
        <f ca="1">P835*J835*(1+Growth!G$6)^(2010-K835)</f>
        <v>6918.6909711554872</v>
      </c>
      <c r="P835" s="1">
        <f>1690*44/12</f>
        <v>6196.666666666667</v>
      </c>
      <c r="Q835" s="2">
        <f t="shared" si="640"/>
        <v>6196.666666666667</v>
      </c>
      <c r="R835" s="21">
        <f t="shared" ca="1" si="641"/>
        <v>47868284.754348457</v>
      </c>
      <c r="U835" s="11"/>
      <c r="V835" s="11"/>
      <c r="W835" s="11"/>
      <c r="X835" s="11"/>
      <c r="Y835" s="11"/>
      <c r="Z835" s="11"/>
      <c r="AA835" s="11"/>
      <c r="AB835" s="11"/>
      <c r="AC835" s="1">
        <f t="shared" si="642"/>
        <v>6.4</v>
      </c>
      <c r="AD835" s="5">
        <v>1</v>
      </c>
      <c r="AE835" s="5">
        <v>0</v>
      </c>
      <c r="AF835" s="5">
        <v>1</v>
      </c>
      <c r="AG835" s="5">
        <v>0</v>
      </c>
      <c r="AH835" s="5">
        <v>1</v>
      </c>
      <c r="AI835" s="3">
        <f t="shared" si="589"/>
        <v>3.4</v>
      </c>
      <c r="AJ835" s="5">
        <f t="shared" si="606"/>
        <v>0</v>
      </c>
      <c r="AK835" s="5">
        <f t="shared" si="585"/>
        <v>0</v>
      </c>
      <c r="AL835" s="5">
        <f t="shared" si="586"/>
        <v>1</v>
      </c>
      <c r="AM835" s="5">
        <f t="shared" si="614"/>
        <v>0</v>
      </c>
      <c r="AN835" s="5">
        <f t="shared" si="587"/>
        <v>0</v>
      </c>
      <c r="AO835" s="5">
        <f t="shared" si="615"/>
        <v>0</v>
      </c>
      <c r="AP835" s="11" t="s">
        <v>42</v>
      </c>
      <c r="AQ835" s="11">
        <v>1.5</v>
      </c>
      <c r="AR835" s="5">
        <v>0</v>
      </c>
      <c r="AS835" s="5">
        <v>0</v>
      </c>
      <c r="AT835" s="5">
        <v>1</v>
      </c>
      <c r="AU835" s="5">
        <v>0</v>
      </c>
      <c r="AV835" s="5">
        <v>0</v>
      </c>
      <c r="AW835" s="5">
        <v>0</v>
      </c>
      <c r="AX835" s="5">
        <v>1</v>
      </c>
      <c r="AY835" s="1">
        <f t="shared" si="643"/>
        <v>0</v>
      </c>
      <c r="AZ835" s="1">
        <f t="shared" si="644"/>
        <v>0</v>
      </c>
      <c r="BA835" s="1">
        <f t="shared" si="645"/>
        <v>0</v>
      </c>
      <c r="BB835" s="5">
        <v>0</v>
      </c>
      <c r="BC835" s="5">
        <v>0</v>
      </c>
      <c r="BD835" s="5">
        <v>0</v>
      </c>
      <c r="BE835" s="5">
        <f t="shared" si="646"/>
        <v>1</v>
      </c>
      <c r="BF835" s="5">
        <v>0</v>
      </c>
      <c r="BG835" s="5">
        <f t="shared" si="638"/>
        <v>0</v>
      </c>
      <c r="BH835" s="5">
        <f t="shared" si="638"/>
        <v>0</v>
      </c>
      <c r="BI835" s="5">
        <f t="shared" si="638"/>
        <v>0</v>
      </c>
      <c r="BJ835" s="5">
        <f t="shared" si="638"/>
        <v>0</v>
      </c>
      <c r="BK835" s="5">
        <f t="shared" si="638"/>
        <v>0</v>
      </c>
      <c r="BL835" s="5">
        <f t="shared" si="638"/>
        <v>0</v>
      </c>
      <c r="BM835" s="5">
        <f t="shared" si="638"/>
        <v>0</v>
      </c>
      <c r="BN835" s="5">
        <f t="shared" si="638"/>
        <v>0</v>
      </c>
      <c r="BO835" s="5">
        <f t="shared" si="637"/>
        <v>0</v>
      </c>
      <c r="BP835" s="5">
        <f t="shared" si="637"/>
        <v>0</v>
      </c>
      <c r="BQ835" s="5">
        <f t="shared" si="637"/>
        <v>0</v>
      </c>
      <c r="BR835" s="5">
        <f t="shared" si="637"/>
        <v>0</v>
      </c>
      <c r="BS835" s="5">
        <f t="shared" si="637"/>
        <v>0</v>
      </c>
      <c r="BT835" s="5">
        <f t="shared" si="637"/>
        <v>0</v>
      </c>
      <c r="BU835" s="5">
        <f t="shared" si="637"/>
        <v>0</v>
      </c>
      <c r="BV835" s="5">
        <f t="shared" si="637"/>
        <v>0</v>
      </c>
      <c r="BW835" s="5">
        <f t="shared" si="637"/>
        <v>0</v>
      </c>
      <c r="BX835" s="5">
        <f t="shared" si="637"/>
        <v>0</v>
      </c>
      <c r="BY835" s="5">
        <f t="shared" si="637"/>
        <v>0</v>
      </c>
      <c r="BZ835" s="5">
        <f t="shared" si="637"/>
        <v>0</v>
      </c>
      <c r="CA835" s="5">
        <f t="shared" si="637"/>
        <v>0</v>
      </c>
      <c r="CB835" s="5">
        <f t="shared" si="637"/>
        <v>0</v>
      </c>
      <c r="CC835" s="5">
        <f t="shared" si="637"/>
        <v>0</v>
      </c>
      <c r="CD835" s="5">
        <f t="shared" si="639"/>
        <v>1</v>
      </c>
      <c r="CE835" s="5">
        <f t="shared" si="639"/>
        <v>0</v>
      </c>
    </row>
    <row r="836" spans="1:83" x14ac:dyDescent="0.2">
      <c r="A836" s="11"/>
      <c r="B836" s="11"/>
      <c r="C836" s="1">
        <f>Growth!D841</f>
        <v>0.11764705882352941</v>
      </c>
      <c r="D836" s="5" t="b">
        <f t="shared" si="590"/>
        <v>0</v>
      </c>
      <c r="E836" s="5">
        <v>2014</v>
      </c>
      <c r="F836" s="5">
        <f ca="1">LOOKUP($E836,frequence!$A$2:$A$35,frequence!L$2:L$35)</f>
        <v>50.75383375536623</v>
      </c>
      <c r="G836" s="5">
        <f ca="1">LOOKUP($E836,frequence!$A$2:$A$35,frequence!K$2:K$35)</f>
        <v>9.9751715831189358</v>
      </c>
      <c r="H836" s="5">
        <f ca="1">LOOKUP($E836,frequence!$A$2:$A$35,frequence!M$2:M$35)</f>
        <v>236.05429056976001</v>
      </c>
      <c r="I836" s="16">
        <v>2005</v>
      </c>
      <c r="J836" s="7">
        <f>LOOKUP(I836,CPI!A$69:A$103,CPI!O$69:O$103)</f>
        <v>1.1165181771633383</v>
      </c>
      <c r="K836" s="16">
        <v>2010</v>
      </c>
      <c r="L836" s="7">
        <f t="shared" ca="1" si="584"/>
        <v>1</v>
      </c>
      <c r="M836" s="7">
        <f t="shared" si="608"/>
        <v>0.75294117647058822</v>
      </c>
      <c r="N836" s="14">
        <f>2/17</f>
        <v>0.11764705882352941</v>
      </c>
      <c r="O836" s="1">
        <f ca="1">P836*J836*(1+Growth!G$6)^(2010-K836)</f>
        <v>180.13159924901859</v>
      </c>
      <c r="P836" s="1">
        <f>44*44/12</f>
        <v>161.33333333333334</v>
      </c>
      <c r="Q836" s="2">
        <f t="shared" si="640"/>
        <v>161.33333333333334</v>
      </c>
      <c r="R836" s="21">
        <f t="shared" ca="1" si="641"/>
        <v>32447.393048009035</v>
      </c>
      <c r="U836" s="11"/>
      <c r="V836" s="11"/>
      <c r="W836" s="11"/>
      <c r="X836" s="11"/>
      <c r="Y836" s="11"/>
      <c r="Z836" s="11"/>
      <c r="AA836" s="11"/>
      <c r="AB836" s="11"/>
      <c r="AC836" s="1">
        <f t="shared" si="642"/>
        <v>6.4</v>
      </c>
      <c r="AD836" s="5">
        <v>1</v>
      </c>
      <c r="AE836" s="5">
        <v>0</v>
      </c>
      <c r="AF836" s="5">
        <v>1</v>
      </c>
      <c r="AG836" s="5">
        <v>0</v>
      </c>
      <c r="AH836" s="5">
        <v>1</v>
      </c>
      <c r="AI836" s="3">
        <f t="shared" si="589"/>
        <v>3.4</v>
      </c>
      <c r="AJ836" s="5">
        <f t="shared" si="606"/>
        <v>0</v>
      </c>
      <c r="AK836" s="5">
        <f t="shared" si="585"/>
        <v>0</v>
      </c>
      <c r="AL836" s="5">
        <f t="shared" si="586"/>
        <v>1</v>
      </c>
      <c r="AM836" s="5">
        <f t="shared" si="614"/>
        <v>0</v>
      </c>
      <c r="AN836" s="5">
        <f t="shared" si="587"/>
        <v>0</v>
      </c>
      <c r="AO836" s="5">
        <f t="shared" si="615"/>
        <v>0</v>
      </c>
      <c r="AP836" s="11" t="s">
        <v>42</v>
      </c>
      <c r="AQ836" s="11">
        <v>1.5</v>
      </c>
      <c r="AR836" s="5">
        <v>0</v>
      </c>
      <c r="AS836" s="5">
        <v>0</v>
      </c>
      <c r="AT836" s="5">
        <v>1</v>
      </c>
      <c r="AU836" s="5">
        <v>0</v>
      </c>
      <c r="AV836" s="5">
        <v>0</v>
      </c>
      <c r="AW836" s="5">
        <v>0</v>
      </c>
      <c r="AX836" s="5">
        <v>1</v>
      </c>
      <c r="AY836" s="1">
        <f t="shared" si="643"/>
        <v>0</v>
      </c>
      <c r="AZ836" s="1">
        <f t="shared" si="644"/>
        <v>0</v>
      </c>
      <c r="BA836" s="1">
        <f t="shared" si="645"/>
        <v>0</v>
      </c>
      <c r="BB836" s="5">
        <v>0</v>
      </c>
      <c r="BC836" s="5">
        <v>0</v>
      </c>
      <c r="BD836" s="5">
        <v>0</v>
      </c>
      <c r="BE836" s="5">
        <f t="shared" si="646"/>
        <v>1</v>
      </c>
      <c r="BF836" s="5">
        <v>0</v>
      </c>
      <c r="BG836" s="5">
        <f t="shared" si="638"/>
        <v>0</v>
      </c>
      <c r="BH836" s="5">
        <f t="shared" si="638"/>
        <v>0</v>
      </c>
      <c r="BI836" s="5">
        <f t="shared" si="638"/>
        <v>0</v>
      </c>
      <c r="BJ836" s="5">
        <f t="shared" si="638"/>
        <v>0</v>
      </c>
      <c r="BK836" s="5">
        <f t="shared" si="638"/>
        <v>0</v>
      </c>
      <c r="BL836" s="5">
        <f t="shared" si="638"/>
        <v>0</v>
      </c>
      <c r="BM836" s="5">
        <f t="shared" si="638"/>
        <v>0</v>
      </c>
      <c r="BN836" s="5">
        <f t="shared" ref="BN836:CB851" si="647">IF($E836=BN$2,1,0)</f>
        <v>0</v>
      </c>
      <c r="BO836" s="5">
        <f t="shared" si="647"/>
        <v>0</v>
      </c>
      <c r="BP836" s="5">
        <f t="shared" si="647"/>
        <v>0</v>
      </c>
      <c r="BQ836" s="5">
        <f t="shared" si="647"/>
        <v>0</v>
      </c>
      <c r="BR836" s="5">
        <f t="shared" si="647"/>
        <v>0</v>
      </c>
      <c r="BS836" s="5">
        <f t="shared" si="647"/>
        <v>0</v>
      </c>
      <c r="BT836" s="5">
        <f t="shared" si="647"/>
        <v>0</v>
      </c>
      <c r="BU836" s="5">
        <f t="shared" si="647"/>
        <v>0</v>
      </c>
      <c r="BV836" s="5">
        <f t="shared" si="647"/>
        <v>0</v>
      </c>
      <c r="BW836" s="5">
        <f t="shared" si="647"/>
        <v>0</v>
      </c>
      <c r="BX836" s="5">
        <f t="shared" si="647"/>
        <v>0</v>
      </c>
      <c r="BY836" s="5">
        <f t="shared" si="647"/>
        <v>0</v>
      </c>
      <c r="BZ836" s="5">
        <f t="shared" si="647"/>
        <v>0</v>
      </c>
      <c r="CA836" s="5">
        <f t="shared" si="647"/>
        <v>0</v>
      </c>
      <c r="CB836" s="5">
        <f t="shared" si="647"/>
        <v>0</v>
      </c>
      <c r="CC836" s="5">
        <f t="shared" ref="CC836:CE855" si="648">IF($E836=CC$2,1,0)</f>
        <v>0</v>
      </c>
      <c r="CD836" s="5">
        <f t="shared" si="639"/>
        <v>1</v>
      </c>
      <c r="CE836" s="5">
        <f t="shared" si="639"/>
        <v>0</v>
      </c>
    </row>
    <row r="837" spans="1:83" x14ac:dyDescent="0.2">
      <c r="A837" s="11" t="s">
        <v>182</v>
      </c>
      <c r="B837" s="11" t="s">
        <v>197</v>
      </c>
      <c r="C837" s="1">
        <f>Growth!D842</f>
        <v>0.13333333333333333</v>
      </c>
      <c r="D837" s="5">
        <f t="shared" si="590"/>
        <v>2014</v>
      </c>
      <c r="E837" s="5">
        <v>2014</v>
      </c>
      <c r="F837" s="5">
        <f ca="1">LOOKUP($E837,frequence!$A$2:$A$35,frequence!L$2:L$35)</f>
        <v>50.75383375536623</v>
      </c>
      <c r="G837" s="5">
        <f ca="1">LOOKUP($E837,frequence!$A$2:$A$35,frequence!K$2:K$35)</f>
        <v>9.9751715831189358</v>
      </c>
      <c r="H837" s="5">
        <f ca="1">LOOKUP($E837,frequence!$A$2:$A$35,frequence!M$2:M$35)</f>
        <v>236.05429056976001</v>
      </c>
      <c r="I837" s="18">
        <v>2005</v>
      </c>
      <c r="J837" s="7">
        <f>LOOKUP(I837,CPI!A$69:A$103,CPI!O$69:O$103)</f>
        <v>1.1165181771633383</v>
      </c>
      <c r="K837" s="18">
        <v>2009</v>
      </c>
      <c r="L837" s="7">
        <f t="shared" ref="L837:L900" ca="1" si="649">IF(O837&lt;L$1,1,IF(O837&gt;L$2,0,1-(O837-L$1)/(L$2-L$1)))</f>
        <v>1</v>
      </c>
      <c r="M837" s="7">
        <f t="shared" si="608"/>
        <v>0.85333333333333339</v>
      </c>
      <c r="N837" s="14">
        <f>2/15</f>
        <v>0.13333333333333333</v>
      </c>
      <c r="O837" s="1">
        <f ca="1">P837*J837*(1+Growth!G$6)^(2010-K837)</f>
        <v>423.89276597568244</v>
      </c>
      <c r="P837" s="2">
        <f>Q837</f>
        <v>374</v>
      </c>
      <c r="Q837" s="11">
        <f>102*44/12</f>
        <v>374</v>
      </c>
      <c r="R837" s="21">
        <f t="shared" ref="R837:R871" ca="1" si="650">O837*O837</f>
        <v>179685.07704651466</v>
      </c>
      <c r="U837" s="11">
        <f>11*44/12</f>
        <v>40.333333333333336</v>
      </c>
      <c r="V837" s="11"/>
      <c r="W837" s="11"/>
      <c r="X837" s="11">
        <f>49*44/12</f>
        <v>179.66666666666666</v>
      </c>
      <c r="Y837" s="11"/>
      <c r="Z837" s="11"/>
      <c r="AA837" s="11">
        <f>231*44/12</f>
        <v>847</v>
      </c>
      <c r="AB837" s="11">
        <f>447*44/12</f>
        <v>1639</v>
      </c>
      <c r="AC837" s="1">
        <f t="shared" ref="AC837:AC841" si="651">SUM(AD837:AI837)</f>
        <v>6.4</v>
      </c>
      <c r="AD837" s="5">
        <v>1</v>
      </c>
      <c r="AE837" s="5">
        <v>0</v>
      </c>
      <c r="AF837" s="5">
        <v>1</v>
      </c>
      <c r="AG837" s="5">
        <v>0</v>
      </c>
      <c r="AH837" s="5">
        <v>1</v>
      </c>
      <c r="AI837" s="3">
        <f t="shared" si="589"/>
        <v>3.4</v>
      </c>
      <c r="AJ837" s="5">
        <f t="shared" si="606"/>
        <v>0</v>
      </c>
      <c r="AK837" s="5">
        <f t="shared" ref="AK837:AK900" si="652">IF($AQ837=2,1,0)</f>
        <v>0</v>
      </c>
      <c r="AL837" s="5">
        <f t="shared" ref="AL837:AL900" si="653">IF($AQ837=1.5,1,0)</f>
        <v>0</v>
      </c>
      <c r="AM837" s="5">
        <f t="shared" si="614"/>
        <v>0</v>
      </c>
      <c r="AN837" s="5">
        <f t="shared" ref="AN837:AN900" si="654">IF($AQ837=0.1,1,0)</f>
        <v>0</v>
      </c>
      <c r="AO837" s="5">
        <f t="shared" si="615"/>
        <v>0</v>
      </c>
      <c r="AP837" s="11" t="s">
        <v>42</v>
      </c>
      <c r="AQ837" s="11" t="s">
        <v>42</v>
      </c>
      <c r="AR837" s="5">
        <v>1</v>
      </c>
      <c r="AS837" s="5">
        <v>0</v>
      </c>
      <c r="AT837" s="5">
        <v>1</v>
      </c>
      <c r="AU837" s="5">
        <v>0</v>
      </c>
      <c r="AV837" s="5">
        <v>0</v>
      </c>
      <c r="AW837" s="5">
        <v>0</v>
      </c>
      <c r="AX837" s="5">
        <v>1</v>
      </c>
      <c r="AY837" s="1">
        <f t="shared" si="643"/>
        <v>0</v>
      </c>
      <c r="AZ837" s="1">
        <f t="shared" si="644"/>
        <v>0</v>
      </c>
      <c r="BA837" s="1">
        <f t="shared" si="645"/>
        <v>0</v>
      </c>
      <c r="BB837" s="5">
        <v>1</v>
      </c>
      <c r="BC837" s="5">
        <v>0</v>
      </c>
      <c r="BD837" s="5">
        <v>0</v>
      </c>
      <c r="BE837" s="5">
        <f t="shared" si="646"/>
        <v>0</v>
      </c>
      <c r="BF837" s="5">
        <v>0</v>
      </c>
      <c r="BG837" s="5">
        <f t="shared" ref="BG837:BN852" si="655">IF($E837=BG$2,1,0)</f>
        <v>0</v>
      </c>
      <c r="BH837" s="5">
        <f t="shared" si="655"/>
        <v>0</v>
      </c>
      <c r="BI837" s="5">
        <f t="shared" si="655"/>
        <v>0</v>
      </c>
      <c r="BJ837" s="5">
        <f t="shared" si="655"/>
        <v>0</v>
      </c>
      <c r="BK837" s="5">
        <f t="shared" si="655"/>
        <v>0</v>
      </c>
      <c r="BL837" s="5">
        <f t="shared" si="655"/>
        <v>0</v>
      </c>
      <c r="BM837" s="5">
        <f t="shared" si="655"/>
        <v>0</v>
      </c>
      <c r="BN837" s="5">
        <f t="shared" si="647"/>
        <v>0</v>
      </c>
      <c r="BO837" s="5">
        <f t="shared" si="647"/>
        <v>0</v>
      </c>
      <c r="BP837" s="5">
        <f t="shared" si="647"/>
        <v>0</v>
      </c>
      <c r="BQ837" s="5">
        <f t="shared" si="647"/>
        <v>0</v>
      </c>
      <c r="BR837" s="5">
        <f t="shared" si="647"/>
        <v>0</v>
      </c>
      <c r="BS837" s="5">
        <f t="shared" si="647"/>
        <v>0</v>
      </c>
      <c r="BT837" s="5">
        <f t="shared" si="647"/>
        <v>0</v>
      </c>
      <c r="BU837" s="5">
        <f t="shared" si="647"/>
        <v>0</v>
      </c>
      <c r="BV837" s="5">
        <f t="shared" si="647"/>
        <v>0</v>
      </c>
      <c r="BW837" s="5">
        <f t="shared" si="647"/>
        <v>0</v>
      </c>
      <c r="BX837" s="5">
        <f t="shared" si="647"/>
        <v>0</v>
      </c>
      <c r="BY837" s="5">
        <f t="shared" si="647"/>
        <v>0</v>
      </c>
      <c r="BZ837" s="5">
        <f t="shared" si="647"/>
        <v>0</v>
      </c>
      <c r="CA837" s="5">
        <f t="shared" si="647"/>
        <v>0</v>
      </c>
      <c r="CB837" s="5">
        <f t="shared" si="647"/>
        <v>0</v>
      </c>
      <c r="CC837" s="5">
        <f t="shared" si="648"/>
        <v>0</v>
      </c>
      <c r="CD837" s="5">
        <f t="shared" si="639"/>
        <v>1</v>
      </c>
      <c r="CE837" s="5">
        <f t="shared" si="639"/>
        <v>0</v>
      </c>
    </row>
    <row r="838" spans="1:83" x14ac:dyDescent="0.2">
      <c r="A838" s="11"/>
      <c r="B838" s="11"/>
      <c r="C838" s="1">
        <f>Growth!D843</f>
        <v>6.6666666666666666E-2</v>
      </c>
      <c r="D838" s="5" t="b">
        <f t="shared" si="590"/>
        <v>0</v>
      </c>
      <c r="E838" s="5">
        <v>2014</v>
      </c>
      <c r="F838" s="5">
        <f ca="1">LOOKUP($E838,frequence!$A$2:$A$35,frequence!L$2:L$35)</f>
        <v>50.75383375536623</v>
      </c>
      <c r="G838" s="5">
        <f ca="1">LOOKUP($E838,frequence!$A$2:$A$35,frequence!K$2:K$35)</f>
        <v>9.9751715831189358</v>
      </c>
      <c r="H838" s="5">
        <f ca="1">LOOKUP($E838,frequence!$A$2:$A$35,frequence!M$2:M$35)</f>
        <v>236.05429056976001</v>
      </c>
      <c r="I838" s="18">
        <v>2005</v>
      </c>
      <c r="J838" s="7">
        <f>LOOKUP(I838,CPI!A$69:A$103,CPI!O$69:O$103)</f>
        <v>1.1165181771633383</v>
      </c>
      <c r="K838" s="18">
        <v>2009</v>
      </c>
      <c r="L838" s="7">
        <f t="shared" ca="1" si="649"/>
        <v>1</v>
      </c>
      <c r="M838" s="7">
        <f t="shared" si="608"/>
        <v>0.42666666666666669</v>
      </c>
      <c r="N838" s="14">
        <f>1/15</f>
        <v>6.6666666666666666E-2</v>
      </c>
      <c r="O838" s="1">
        <f ca="1">P838*J838*(1+Growth!G$6)^(2010-K838)</f>
        <v>369.86721737093859</v>
      </c>
      <c r="P838" s="2">
        <f t="shared" ref="P838:P841" si="656">Q838</f>
        <v>326.33333333333331</v>
      </c>
      <c r="Q838" s="11">
        <f>89*44/12</f>
        <v>326.33333333333331</v>
      </c>
      <c r="R838" s="21">
        <f t="shared" ca="1" si="650"/>
        <v>136801.75848572113</v>
      </c>
      <c r="U838" s="11">
        <f>17*44/12</f>
        <v>62.333333333333336</v>
      </c>
      <c r="V838" s="11"/>
      <c r="W838" s="11"/>
      <c r="X838" s="11">
        <f>61*44/12</f>
        <v>223.66666666666666</v>
      </c>
      <c r="Y838" s="11"/>
      <c r="Z838" s="11"/>
      <c r="AA838" s="11">
        <f>253*44/12</f>
        <v>927.66666666666663</v>
      </c>
      <c r="AB838" s="11">
        <f>457*44/12</f>
        <v>1675.6666666666667</v>
      </c>
      <c r="AC838" s="1">
        <f t="shared" si="651"/>
        <v>6.4</v>
      </c>
      <c r="AD838" s="5">
        <v>1</v>
      </c>
      <c r="AE838" s="5">
        <v>0</v>
      </c>
      <c r="AF838" s="5">
        <v>1</v>
      </c>
      <c r="AG838" s="5">
        <v>0</v>
      </c>
      <c r="AH838" s="5">
        <v>1</v>
      </c>
      <c r="AI838" s="3">
        <f t="shared" si="589"/>
        <v>3.4</v>
      </c>
      <c r="AJ838" s="5">
        <f t="shared" si="606"/>
        <v>0</v>
      </c>
      <c r="AK838" s="5">
        <f t="shared" si="652"/>
        <v>0</v>
      </c>
      <c r="AL838" s="5">
        <f t="shared" si="653"/>
        <v>0</v>
      </c>
      <c r="AM838" s="5">
        <f t="shared" si="614"/>
        <v>0</v>
      </c>
      <c r="AN838" s="5">
        <f t="shared" si="654"/>
        <v>0</v>
      </c>
      <c r="AO838" s="5">
        <f t="shared" si="615"/>
        <v>0</v>
      </c>
      <c r="AP838" s="11" t="s">
        <v>42</v>
      </c>
      <c r="AQ838" s="11" t="s">
        <v>42</v>
      </c>
      <c r="AR838" s="5">
        <v>1</v>
      </c>
      <c r="AS838" s="5">
        <v>0</v>
      </c>
      <c r="AT838" s="5">
        <v>1</v>
      </c>
      <c r="AU838" s="5">
        <v>0</v>
      </c>
      <c r="AV838" s="5">
        <v>0</v>
      </c>
      <c r="AW838" s="5">
        <v>0</v>
      </c>
      <c r="AX838" s="5">
        <v>1</v>
      </c>
      <c r="AY838" s="1">
        <f t="shared" si="643"/>
        <v>0</v>
      </c>
      <c r="AZ838" s="1">
        <f t="shared" si="644"/>
        <v>0</v>
      </c>
      <c r="BA838" s="1">
        <f t="shared" si="645"/>
        <v>0</v>
      </c>
      <c r="BB838" s="5">
        <v>1</v>
      </c>
      <c r="BC838" s="5">
        <v>0</v>
      </c>
      <c r="BD838" s="5">
        <v>0</v>
      </c>
      <c r="BE838" s="5">
        <f t="shared" si="646"/>
        <v>0</v>
      </c>
      <c r="BF838" s="5">
        <v>0</v>
      </c>
      <c r="BG838" s="5">
        <f t="shared" si="655"/>
        <v>0</v>
      </c>
      <c r="BH838" s="5">
        <f t="shared" si="655"/>
        <v>0</v>
      </c>
      <c r="BI838" s="5">
        <f t="shared" si="655"/>
        <v>0</v>
      </c>
      <c r="BJ838" s="5">
        <f t="shared" si="655"/>
        <v>0</v>
      </c>
      <c r="BK838" s="5">
        <f t="shared" si="655"/>
        <v>0</v>
      </c>
      <c r="BL838" s="5">
        <f t="shared" si="655"/>
        <v>0</v>
      </c>
      <c r="BM838" s="5">
        <f t="shared" si="655"/>
        <v>0</v>
      </c>
      <c r="BN838" s="5">
        <f t="shared" si="647"/>
        <v>0</v>
      </c>
      <c r="BO838" s="5">
        <f t="shared" si="647"/>
        <v>0</v>
      </c>
      <c r="BP838" s="5">
        <f t="shared" si="647"/>
        <v>0</v>
      </c>
      <c r="BQ838" s="5">
        <f t="shared" si="647"/>
        <v>0</v>
      </c>
      <c r="BR838" s="5">
        <f t="shared" si="647"/>
        <v>0</v>
      </c>
      <c r="BS838" s="5">
        <f t="shared" si="647"/>
        <v>0</v>
      </c>
      <c r="BT838" s="5">
        <f t="shared" si="647"/>
        <v>0</v>
      </c>
      <c r="BU838" s="5">
        <f t="shared" si="647"/>
        <v>0</v>
      </c>
      <c r="BV838" s="5">
        <f t="shared" si="647"/>
        <v>0</v>
      </c>
      <c r="BW838" s="5">
        <f t="shared" si="647"/>
        <v>0</v>
      </c>
      <c r="BX838" s="5">
        <f t="shared" si="647"/>
        <v>0</v>
      </c>
      <c r="BY838" s="5">
        <f t="shared" si="647"/>
        <v>0</v>
      </c>
      <c r="BZ838" s="5">
        <f t="shared" si="647"/>
        <v>0</v>
      </c>
      <c r="CA838" s="5">
        <f t="shared" si="647"/>
        <v>0</v>
      </c>
      <c r="CB838" s="5">
        <f t="shared" si="647"/>
        <v>0</v>
      </c>
      <c r="CC838" s="5">
        <f t="shared" si="648"/>
        <v>0</v>
      </c>
      <c r="CD838" s="5">
        <f t="shared" si="639"/>
        <v>1</v>
      </c>
      <c r="CE838" s="5">
        <f t="shared" si="639"/>
        <v>0</v>
      </c>
    </row>
    <row r="839" spans="1:83" x14ac:dyDescent="0.2">
      <c r="A839" s="11"/>
      <c r="B839" s="11"/>
      <c r="C839" s="1">
        <f>Growth!D844</f>
        <v>0.2</v>
      </c>
      <c r="D839" s="5" t="b">
        <f t="shared" si="590"/>
        <v>0</v>
      </c>
      <c r="E839" s="5">
        <v>2014</v>
      </c>
      <c r="F839" s="5">
        <f ca="1">LOOKUP($E839,frequence!$A$2:$A$35,frequence!L$2:L$35)</f>
        <v>50.75383375536623</v>
      </c>
      <c r="G839" s="5">
        <f ca="1">LOOKUP($E839,frequence!$A$2:$A$35,frequence!K$2:K$35)</f>
        <v>9.9751715831189358</v>
      </c>
      <c r="H839" s="5">
        <f ca="1">LOOKUP($E839,frequence!$A$2:$A$35,frequence!M$2:M$35)</f>
        <v>236.05429056976001</v>
      </c>
      <c r="I839" s="18">
        <v>2005</v>
      </c>
      <c r="J839" s="7">
        <f>LOOKUP(I839,CPI!A$69:A$103,CPI!O$69:O$103)</f>
        <v>1.1165181771633383</v>
      </c>
      <c r="K839" s="18">
        <v>2009</v>
      </c>
      <c r="L839" s="7">
        <f t="shared" ca="1" si="649"/>
        <v>1</v>
      </c>
      <c r="M839" s="7">
        <f t="shared" si="608"/>
        <v>1.2800000000000002</v>
      </c>
      <c r="N839" s="14">
        <f>3/15</f>
        <v>0.2</v>
      </c>
      <c r="O839" s="1">
        <f ca="1">P839*J839*(1+Growth!G$6)^(2010-K839)</f>
        <v>619.21590323898704</v>
      </c>
      <c r="P839" s="2">
        <f t="shared" si="656"/>
        <v>546.33333333333337</v>
      </c>
      <c r="Q839" s="11">
        <f>149*44/12</f>
        <v>546.33333333333337</v>
      </c>
      <c r="R839" s="21">
        <f t="shared" ca="1" si="650"/>
        <v>383428.33482407458</v>
      </c>
      <c r="U839" s="11">
        <f t="shared" ref="U839:U841" si="657">17*44/12</f>
        <v>62.333333333333336</v>
      </c>
      <c r="V839" s="11"/>
      <c r="W839" s="11"/>
      <c r="X839" s="11">
        <f>69*44/12</f>
        <v>253</v>
      </c>
      <c r="Y839" s="11"/>
      <c r="Z839" s="11"/>
      <c r="AA839" s="11">
        <f>534*44/12</f>
        <v>1958</v>
      </c>
      <c r="AB839" s="11">
        <f>1338*44/12</f>
        <v>4906</v>
      </c>
      <c r="AC839" s="1">
        <f t="shared" si="651"/>
        <v>6.4</v>
      </c>
      <c r="AD839" s="5">
        <v>1</v>
      </c>
      <c r="AE839" s="5">
        <v>0</v>
      </c>
      <c r="AF839" s="5">
        <v>1</v>
      </c>
      <c r="AG839" s="5">
        <v>0</v>
      </c>
      <c r="AH839" s="5">
        <v>1</v>
      </c>
      <c r="AI839" s="3">
        <f t="shared" si="589"/>
        <v>3.4</v>
      </c>
      <c r="AJ839" s="5">
        <f t="shared" si="606"/>
        <v>0</v>
      </c>
      <c r="AK839" s="5">
        <f t="shared" si="652"/>
        <v>0</v>
      </c>
      <c r="AL839" s="5">
        <f t="shared" si="653"/>
        <v>0</v>
      </c>
      <c r="AM839" s="5">
        <f t="shared" si="614"/>
        <v>0</v>
      </c>
      <c r="AN839" s="5">
        <f t="shared" si="654"/>
        <v>0</v>
      </c>
      <c r="AO839" s="5">
        <f t="shared" si="615"/>
        <v>0</v>
      </c>
      <c r="AP839" s="11" t="s">
        <v>42</v>
      </c>
      <c r="AQ839" s="11" t="s">
        <v>42</v>
      </c>
      <c r="AR839" s="5">
        <v>1</v>
      </c>
      <c r="AS839" s="5">
        <v>0</v>
      </c>
      <c r="AT839" s="5">
        <v>1</v>
      </c>
      <c r="AU839" s="5">
        <v>0</v>
      </c>
      <c r="AV839" s="5">
        <v>0</v>
      </c>
      <c r="AW839" s="5">
        <v>0</v>
      </c>
      <c r="AX839" s="5">
        <v>1</v>
      </c>
      <c r="AY839" s="1">
        <f t="shared" si="643"/>
        <v>0</v>
      </c>
      <c r="AZ839" s="1">
        <f t="shared" si="644"/>
        <v>0</v>
      </c>
      <c r="BA839" s="1">
        <f t="shared" si="645"/>
        <v>0</v>
      </c>
      <c r="BB839" s="5">
        <v>1</v>
      </c>
      <c r="BC839" s="5">
        <v>0</v>
      </c>
      <c r="BD839" s="5">
        <v>0</v>
      </c>
      <c r="BE839" s="5">
        <f t="shared" si="646"/>
        <v>0</v>
      </c>
      <c r="BF839" s="5">
        <v>0</v>
      </c>
      <c r="BG839" s="5">
        <f t="shared" si="655"/>
        <v>0</v>
      </c>
      <c r="BH839" s="5">
        <f t="shared" si="655"/>
        <v>0</v>
      </c>
      <c r="BI839" s="5">
        <f t="shared" si="655"/>
        <v>0</v>
      </c>
      <c r="BJ839" s="5">
        <f t="shared" si="655"/>
        <v>0</v>
      </c>
      <c r="BK839" s="5">
        <f t="shared" si="655"/>
        <v>0</v>
      </c>
      <c r="BL839" s="5">
        <f t="shared" si="655"/>
        <v>0</v>
      </c>
      <c r="BM839" s="5">
        <f t="shared" si="655"/>
        <v>0</v>
      </c>
      <c r="BN839" s="5">
        <f t="shared" si="647"/>
        <v>0</v>
      </c>
      <c r="BO839" s="5">
        <f t="shared" si="647"/>
        <v>0</v>
      </c>
      <c r="BP839" s="5">
        <f t="shared" si="647"/>
        <v>0</v>
      </c>
      <c r="BQ839" s="5">
        <f t="shared" si="647"/>
        <v>0</v>
      </c>
      <c r="BR839" s="5">
        <f t="shared" si="647"/>
        <v>0</v>
      </c>
      <c r="BS839" s="5">
        <f t="shared" si="647"/>
        <v>0</v>
      </c>
      <c r="BT839" s="5">
        <f t="shared" si="647"/>
        <v>0</v>
      </c>
      <c r="BU839" s="5">
        <f t="shared" si="647"/>
        <v>0</v>
      </c>
      <c r="BV839" s="5">
        <f t="shared" si="647"/>
        <v>0</v>
      </c>
      <c r="BW839" s="5">
        <f t="shared" si="647"/>
        <v>0</v>
      </c>
      <c r="BX839" s="5">
        <f t="shared" si="647"/>
        <v>0</v>
      </c>
      <c r="BY839" s="5">
        <f t="shared" si="647"/>
        <v>0</v>
      </c>
      <c r="BZ839" s="5">
        <f t="shared" si="647"/>
        <v>0</v>
      </c>
      <c r="CA839" s="5">
        <f t="shared" si="647"/>
        <v>0</v>
      </c>
      <c r="CB839" s="5">
        <f t="shared" si="647"/>
        <v>0</v>
      </c>
      <c r="CC839" s="5">
        <f t="shared" si="648"/>
        <v>0</v>
      </c>
      <c r="CD839" s="5">
        <f t="shared" si="639"/>
        <v>1</v>
      </c>
      <c r="CE839" s="5">
        <f t="shared" si="639"/>
        <v>0</v>
      </c>
    </row>
    <row r="840" spans="1:83" x14ac:dyDescent="0.2">
      <c r="A840" s="11"/>
      <c r="B840" s="11"/>
      <c r="C840" s="1">
        <f>Growth!D845</f>
        <v>0.26666666666666666</v>
      </c>
      <c r="D840" s="5" t="b">
        <f t="shared" si="590"/>
        <v>0</v>
      </c>
      <c r="E840" s="5">
        <v>2014</v>
      </c>
      <c r="F840" s="5">
        <f ca="1">LOOKUP($E840,frequence!$A$2:$A$35,frequence!L$2:L$35)</f>
        <v>50.75383375536623</v>
      </c>
      <c r="G840" s="5">
        <f ca="1">LOOKUP($E840,frequence!$A$2:$A$35,frequence!K$2:K$35)</f>
        <v>9.9751715831189358</v>
      </c>
      <c r="H840" s="5">
        <f ca="1">LOOKUP($E840,frequence!$A$2:$A$35,frequence!M$2:M$35)</f>
        <v>236.05429056976001</v>
      </c>
      <c r="I840" s="18">
        <v>2005</v>
      </c>
      <c r="J840" s="7">
        <f>LOOKUP(I840,CPI!A$69:A$103,CPI!O$69:O$103)</f>
        <v>1.1165181771633383</v>
      </c>
      <c r="K840" s="18">
        <v>2009</v>
      </c>
      <c r="L840" s="7">
        <f t="shared" ca="1" si="649"/>
        <v>1</v>
      </c>
      <c r="M840" s="7">
        <f t="shared" si="608"/>
        <v>1.7066666666666668</v>
      </c>
      <c r="N840" s="14">
        <f>4/15</f>
        <v>0.26666666666666666</v>
      </c>
      <c r="O840" s="1">
        <f ca="1">P840*J840*(1+Growth!G$6)^(2010-K840)</f>
        <v>669.08564041259683</v>
      </c>
      <c r="P840" s="2">
        <f t="shared" si="656"/>
        <v>590.33333333333337</v>
      </c>
      <c r="Q840" s="11">
        <f>161*44/12</f>
        <v>590.33333333333337</v>
      </c>
      <c r="R840" s="21">
        <f t="shared" ca="1" si="650"/>
        <v>447675.59420633485</v>
      </c>
      <c r="U840" s="11">
        <f t="shared" si="657"/>
        <v>62.333333333333336</v>
      </c>
      <c r="V840" s="11"/>
      <c r="W840" s="11"/>
      <c r="X840" s="11">
        <f>68*44/12</f>
        <v>249.33333333333334</v>
      </c>
      <c r="Y840" s="11"/>
      <c r="Z840" s="11"/>
      <c r="AA840" s="11">
        <f>573*44/12</f>
        <v>2101</v>
      </c>
      <c r="AB840" s="11">
        <f>1685*44/12</f>
        <v>6178.333333333333</v>
      </c>
      <c r="AC840" s="1">
        <f t="shared" si="651"/>
        <v>6.4</v>
      </c>
      <c r="AD840" s="5">
        <v>1</v>
      </c>
      <c r="AE840" s="5">
        <v>0</v>
      </c>
      <c r="AF840" s="5">
        <v>1</v>
      </c>
      <c r="AG840" s="5">
        <v>0</v>
      </c>
      <c r="AH840" s="5">
        <v>1</v>
      </c>
      <c r="AI840" s="3">
        <f t="shared" si="589"/>
        <v>3.4</v>
      </c>
      <c r="AJ840" s="5">
        <f t="shared" si="606"/>
        <v>0</v>
      </c>
      <c r="AK840" s="5">
        <f t="shared" si="652"/>
        <v>0</v>
      </c>
      <c r="AL840" s="5">
        <f t="shared" si="653"/>
        <v>0</v>
      </c>
      <c r="AM840" s="5">
        <f t="shared" si="614"/>
        <v>0</v>
      </c>
      <c r="AN840" s="5">
        <f t="shared" si="654"/>
        <v>0</v>
      </c>
      <c r="AO840" s="5">
        <f t="shared" si="615"/>
        <v>0</v>
      </c>
      <c r="AP840" s="11" t="s">
        <v>42</v>
      </c>
      <c r="AQ840" s="11" t="s">
        <v>42</v>
      </c>
      <c r="AR840" s="5">
        <v>1</v>
      </c>
      <c r="AS840" s="5">
        <v>0</v>
      </c>
      <c r="AT840" s="5">
        <v>1</v>
      </c>
      <c r="AU840" s="5">
        <v>0</v>
      </c>
      <c r="AV840" s="5">
        <v>0</v>
      </c>
      <c r="AW840" s="5">
        <v>0</v>
      </c>
      <c r="AX840" s="5">
        <v>1</v>
      </c>
      <c r="AY840" s="1">
        <f t="shared" si="643"/>
        <v>0</v>
      </c>
      <c r="AZ840" s="1">
        <f t="shared" si="644"/>
        <v>0</v>
      </c>
      <c r="BA840" s="1">
        <f t="shared" si="645"/>
        <v>0</v>
      </c>
      <c r="BB840" s="5">
        <v>1</v>
      </c>
      <c r="BC840" s="5">
        <v>0</v>
      </c>
      <c r="BD840" s="5">
        <v>0</v>
      </c>
      <c r="BE840" s="5">
        <f t="shared" si="646"/>
        <v>0</v>
      </c>
      <c r="BF840" s="5">
        <v>0</v>
      </c>
      <c r="BG840" s="5">
        <f t="shared" si="655"/>
        <v>0</v>
      </c>
      <c r="BH840" s="5">
        <f t="shared" si="655"/>
        <v>0</v>
      </c>
      <c r="BI840" s="5">
        <f t="shared" si="655"/>
        <v>0</v>
      </c>
      <c r="BJ840" s="5">
        <f t="shared" si="655"/>
        <v>0</v>
      </c>
      <c r="BK840" s="5">
        <f t="shared" si="655"/>
        <v>0</v>
      </c>
      <c r="BL840" s="5">
        <f t="shared" si="655"/>
        <v>0</v>
      </c>
      <c r="BM840" s="5">
        <f t="shared" si="655"/>
        <v>0</v>
      </c>
      <c r="BN840" s="5">
        <f t="shared" si="647"/>
        <v>0</v>
      </c>
      <c r="BO840" s="5">
        <f t="shared" si="647"/>
        <v>0</v>
      </c>
      <c r="BP840" s="5">
        <f t="shared" si="647"/>
        <v>0</v>
      </c>
      <c r="BQ840" s="5">
        <f t="shared" si="647"/>
        <v>0</v>
      </c>
      <c r="BR840" s="5">
        <f t="shared" si="647"/>
        <v>0</v>
      </c>
      <c r="BS840" s="5">
        <f t="shared" si="647"/>
        <v>0</v>
      </c>
      <c r="BT840" s="5">
        <f t="shared" si="647"/>
        <v>0</v>
      </c>
      <c r="BU840" s="5">
        <f t="shared" si="647"/>
        <v>0</v>
      </c>
      <c r="BV840" s="5">
        <f t="shared" si="647"/>
        <v>0</v>
      </c>
      <c r="BW840" s="5">
        <f t="shared" si="647"/>
        <v>0</v>
      </c>
      <c r="BX840" s="5">
        <f t="shared" si="647"/>
        <v>0</v>
      </c>
      <c r="BY840" s="5">
        <f t="shared" si="647"/>
        <v>0</v>
      </c>
      <c r="BZ840" s="5">
        <f t="shared" si="647"/>
        <v>0</v>
      </c>
      <c r="CA840" s="5">
        <f t="shared" si="647"/>
        <v>0</v>
      </c>
      <c r="CB840" s="5">
        <f t="shared" si="647"/>
        <v>0</v>
      </c>
      <c r="CC840" s="5">
        <f t="shared" si="648"/>
        <v>0</v>
      </c>
      <c r="CD840" s="5">
        <f t="shared" si="639"/>
        <v>1</v>
      </c>
      <c r="CE840" s="5">
        <f t="shared" si="639"/>
        <v>0</v>
      </c>
    </row>
    <row r="841" spans="1:83" x14ac:dyDescent="0.2">
      <c r="A841" s="11"/>
      <c r="B841" s="11"/>
      <c r="C841" s="1">
        <f>Growth!D846</f>
        <v>0.33333333333333331</v>
      </c>
      <c r="D841" s="5" t="b">
        <f t="shared" si="590"/>
        <v>0</v>
      </c>
      <c r="E841" s="5">
        <v>2014</v>
      </c>
      <c r="F841" s="5">
        <f ca="1">LOOKUP($E841,frequence!$A$2:$A$35,frequence!L$2:L$35)</f>
        <v>50.75383375536623</v>
      </c>
      <c r="G841" s="5">
        <f ca="1">LOOKUP($E841,frequence!$A$2:$A$35,frequence!K$2:K$35)</f>
        <v>9.9751715831189358</v>
      </c>
      <c r="H841" s="5">
        <f ca="1">LOOKUP($E841,frequence!$A$2:$A$35,frequence!M$2:M$35)</f>
        <v>236.05429056976001</v>
      </c>
      <c r="I841" s="18">
        <v>2005</v>
      </c>
      <c r="J841" s="7">
        <f>LOOKUP(I841,CPI!A$69:A$103,CPI!O$69:O$103)</f>
        <v>1.1165181771633383</v>
      </c>
      <c r="K841" s="18">
        <v>2009</v>
      </c>
      <c r="L841" s="7">
        <f t="shared" ca="1" si="649"/>
        <v>1</v>
      </c>
      <c r="M841" s="7">
        <f t="shared" si="608"/>
        <v>2.1333333333333333</v>
      </c>
      <c r="N841" s="14">
        <f>5/15</f>
        <v>0.33333333333333331</v>
      </c>
      <c r="O841" s="1">
        <f ca="1">P841*J841*(1+Growth!G$6)^(2010-K841)</f>
        <v>947.52500629858434</v>
      </c>
      <c r="P841" s="2">
        <f t="shared" si="656"/>
        <v>836</v>
      </c>
      <c r="Q841" s="11">
        <f>228*44/12</f>
        <v>836</v>
      </c>
      <c r="R841" s="21">
        <f t="shared" ca="1" si="650"/>
        <v>897803.63756113232</v>
      </c>
      <c r="U841" s="11">
        <f t="shared" si="657"/>
        <v>62.333333333333336</v>
      </c>
      <c r="V841" s="11"/>
      <c r="W841" s="11"/>
      <c r="X841" s="11">
        <f>66*44/12</f>
        <v>242</v>
      </c>
      <c r="Y841" s="11"/>
      <c r="Z841" s="11"/>
      <c r="AA841" s="11">
        <f>893*44/12</f>
        <v>3274.3333333333335</v>
      </c>
      <c r="AB841" s="11">
        <f>3146*44/12</f>
        <v>11535.333333333334</v>
      </c>
      <c r="AC841" s="1">
        <f t="shared" si="651"/>
        <v>6.4</v>
      </c>
      <c r="AD841" s="5">
        <v>1</v>
      </c>
      <c r="AE841" s="5">
        <v>0</v>
      </c>
      <c r="AF841" s="5">
        <v>1</v>
      </c>
      <c r="AG841" s="5">
        <v>0</v>
      </c>
      <c r="AH841" s="5">
        <v>1</v>
      </c>
      <c r="AI841" s="3">
        <f t="shared" ref="AI841:AI904" si="658">(E841-1980)/10</f>
        <v>3.4</v>
      </c>
      <c r="AJ841" s="5">
        <f t="shared" si="606"/>
        <v>0</v>
      </c>
      <c r="AK841" s="5">
        <f t="shared" si="652"/>
        <v>0</v>
      </c>
      <c r="AL841" s="5">
        <f t="shared" si="653"/>
        <v>0</v>
      </c>
      <c r="AM841" s="5">
        <f t="shared" si="614"/>
        <v>0</v>
      </c>
      <c r="AN841" s="5">
        <f t="shared" si="654"/>
        <v>0</v>
      </c>
      <c r="AO841" s="5">
        <f t="shared" si="615"/>
        <v>0</v>
      </c>
      <c r="AP841" s="11" t="s">
        <v>42</v>
      </c>
      <c r="AQ841" s="11" t="s">
        <v>42</v>
      </c>
      <c r="AR841" s="5">
        <v>1</v>
      </c>
      <c r="AS841" s="5">
        <v>0</v>
      </c>
      <c r="AT841" s="5">
        <v>1</v>
      </c>
      <c r="AU841" s="5">
        <v>0</v>
      </c>
      <c r="AV841" s="5">
        <v>0</v>
      </c>
      <c r="AW841" s="5">
        <v>0</v>
      </c>
      <c r="AX841" s="5">
        <v>1</v>
      </c>
      <c r="AY841" s="1">
        <f t="shared" si="643"/>
        <v>0</v>
      </c>
      <c r="AZ841" s="1">
        <f t="shared" si="644"/>
        <v>0</v>
      </c>
      <c r="BA841" s="1">
        <f t="shared" si="645"/>
        <v>0</v>
      </c>
      <c r="BB841" s="5">
        <v>1</v>
      </c>
      <c r="BC841" s="5">
        <v>0</v>
      </c>
      <c r="BD841" s="5">
        <v>0</v>
      </c>
      <c r="BE841" s="5">
        <f t="shared" si="646"/>
        <v>0</v>
      </c>
      <c r="BF841" s="5">
        <v>0</v>
      </c>
      <c r="BG841" s="5">
        <f t="shared" si="655"/>
        <v>0</v>
      </c>
      <c r="BH841" s="5">
        <f t="shared" si="655"/>
        <v>0</v>
      </c>
      <c r="BI841" s="5">
        <f t="shared" si="655"/>
        <v>0</v>
      </c>
      <c r="BJ841" s="5">
        <f t="shared" si="655"/>
        <v>0</v>
      </c>
      <c r="BK841" s="5">
        <f t="shared" si="655"/>
        <v>0</v>
      </c>
      <c r="BL841" s="5">
        <f t="shared" si="655"/>
        <v>0</v>
      </c>
      <c r="BM841" s="5">
        <f t="shared" si="655"/>
        <v>0</v>
      </c>
      <c r="BN841" s="5">
        <f t="shared" si="647"/>
        <v>0</v>
      </c>
      <c r="BO841" s="5">
        <f t="shared" si="647"/>
        <v>0</v>
      </c>
      <c r="BP841" s="5">
        <f t="shared" si="647"/>
        <v>0</v>
      </c>
      <c r="BQ841" s="5">
        <f t="shared" si="647"/>
        <v>0</v>
      </c>
      <c r="BR841" s="5">
        <f t="shared" si="647"/>
        <v>0</v>
      </c>
      <c r="BS841" s="5">
        <f t="shared" si="647"/>
        <v>0</v>
      </c>
      <c r="BT841" s="5">
        <f t="shared" si="647"/>
        <v>0</v>
      </c>
      <c r="BU841" s="5">
        <f t="shared" si="647"/>
        <v>0</v>
      </c>
      <c r="BV841" s="5">
        <f t="shared" si="647"/>
        <v>0</v>
      </c>
      <c r="BW841" s="5">
        <f t="shared" si="647"/>
        <v>0</v>
      </c>
      <c r="BX841" s="5">
        <f t="shared" si="647"/>
        <v>0</v>
      </c>
      <c r="BY841" s="5">
        <f t="shared" si="647"/>
        <v>0</v>
      </c>
      <c r="BZ841" s="5">
        <f t="shared" si="647"/>
        <v>0</v>
      </c>
      <c r="CA841" s="5">
        <f t="shared" si="647"/>
        <v>0</v>
      </c>
      <c r="CB841" s="5">
        <f t="shared" si="647"/>
        <v>0</v>
      </c>
      <c r="CC841" s="5">
        <f t="shared" si="648"/>
        <v>0</v>
      </c>
      <c r="CD841" s="5">
        <f t="shared" si="639"/>
        <v>1</v>
      </c>
      <c r="CE841" s="5">
        <f t="shared" si="639"/>
        <v>0</v>
      </c>
    </row>
    <row r="842" spans="1:83" x14ac:dyDescent="0.2">
      <c r="A842" s="11" t="s">
        <v>200</v>
      </c>
      <c r="B842" s="11" t="s">
        <v>197</v>
      </c>
      <c r="C842" s="1">
        <f>Growth!D847</f>
        <v>0.12623274161735701</v>
      </c>
      <c r="D842" s="5">
        <f t="shared" ref="D842:D905" si="659">IF(B842&gt;0,E842)</f>
        <v>2014</v>
      </c>
      <c r="E842" s="5">
        <v>2014</v>
      </c>
      <c r="F842" s="5">
        <f ca="1">LOOKUP($E842,frequence!$A$2:$A$35,frequence!L$2:L$35)</f>
        <v>50.75383375536623</v>
      </c>
      <c r="G842" s="5">
        <f ca="1">LOOKUP($E842,frequence!$A$2:$A$35,frequence!K$2:K$35)</f>
        <v>9.9751715831189358</v>
      </c>
      <c r="H842" s="5">
        <f ca="1">LOOKUP($E842,frequence!$A$2:$A$35,frequence!M$2:M$35)</f>
        <v>236.05429056976001</v>
      </c>
      <c r="I842" s="16">
        <v>2007</v>
      </c>
      <c r="J842" s="7">
        <f>LOOKUP(I842,CPI!A$69:A$103,CPI!O$69:O$103)</f>
        <v>1.0516730811895323</v>
      </c>
      <c r="K842" s="16">
        <v>2010</v>
      </c>
      <c r="L842" s="7">
        <f t="shared" ca="1" si="649"/>
        <v>1</v>
      </c>
      <c r="M842" s="7">
        <f t="shared" si="608"/>
        <v>0.8078895463510849</v>
      </c>
      <c r="N842" s="14">
        <f>16*4/13/39</f>
        <v>0.12623274161735701</v>
      </c>
      <c r="O842" s="1">
        <f ca="1">P842*J842*(1+Growth!G$6)^(2010-K842)</f>
        <v>131.1085774549617</v>
      </c>
      <c r="P842" s="11">
        <f>34*44/12</f>
        <v>124.66666666666667</v>
      </c>
      <c r="Q842" s="2">
        <f t="shared" ref="Q842:Q871" si="660">P842</f>
        <v>124.66666666666667</v>
      </c>
      <c r="R842" s="21">
        <f t="shared" ca="1" si="650"/>
        <v>17189.459082263693</v>
      </c>
      <c r="U842" s="11"/>
      <c r="V842" s="11"/>
      <c r="W842" s="11"/>
      <c r="X842" s="11"/>
      <c r="Y842" s="11"/>
      <c r="Z842" s="11"/>
      <c r="AA842" s="11"/>
      <c r="AB842" s="11"/>
      <c r="AC842" s="1">
        <f t="shared" ref="AC842:AC878" si="661">SUM(AD842:AI842)</f>
        <v>6.4</v>
      </c>
      <c r="AD842" s="5">
        <v>1</v>
      </c>
      <c r="AE842" s="5">
        <v>0</v>
      </c>
      <c r="AF842" s="5">
        <v>1</v>
      </c>
      <c r="AG842" s="5">
        <v>0</v>
      </c>
      <c r="AH842" s="5">
        <v>1</v>
      </c>
      <c r="AI842" s="3">
        <f t="shared" si="658"/>
        <v>3.4</v>
      </c>
      <c r="AJ842" s="5">
        <f t="shared" si="606"/>
        <v>0</v>
      </c>
      <c r="AK842" s="5">
        <f t="shared" si="652"/>
        <v>0</v>
      </c>
      <c r="AL842" s="5">
        <f t="shared" si="653"/>
        <v>0</v>
      </c>
      <c r="AM842" s="5">
        <f t="shared" si="614"/>
        <v>0</v>
      </c>
      <c r="AN842" s="5">
        <f t="shared" si="654"/>
        <v>0</v>
      </c>
      <c r="AO842" s="5">
        <f t="shared" si="615"/>
        <v>0</v>
      </c>
      <c r="AP842" s="11">
        <v>3</v>
      </c>
      <c r="AQ842" s="11" t="s">
        <v>42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1</v>
      </c>
      <c r="AY842" s="1">
        <f t="shared" ref="AY842:AY871" si="662">AJ842*$AD842*(1-$AV842)*(1-$AR842)</f>
        <v>0</v>
      </c>
      <c r="AZ842" s="1">
        <f t="shared" ref="AZ842:AZ871" si="663">AM842*$AD842*(1-$AV842)*(1-$AR842)</f>
        <v>0</v>
      </c>
      <c r="BA842" s="1">
        <f t="shared" ref="BA842:BA871" si="664">AO842*$AD842*(1-$AV842)*(1-$AR842)</f>
        <v>0</v>
      </c>
      <c r="BB842" s="5">
        <v>0</v>
      </c>
      <c r="BC842" s="5">
        <v>0</v>
      </c>
      <c r="BD842" s="5">
        <v>0</v>
      </c>
      <c r="BE842" s="5">
        <f t="shared" ref="BE842:BE871" si="665">1-SUM(BB842:BD842)</f>
        <v>1</v>
      </c>
      <c r="BF842" s="5">
        <v>0</v>
      </c>
      <c r="BG842" s="5">
        <f t="shared" si="655"/>
        <v>0</v>
      </c>
      <c r="BH842" s="5">
        <f t="shared" si="655"/>
        <v>0</v>
      </c>
      <c r="BI842" s="5">
        <f t="shared" si="655"/>
        <v>0</v>
      </c>
      <c r="BJ842" s="5">
        <f t="shared" si="655"/>
        <v>0</v>
      </c>
      <c r="BK842" s="5">
        <f t="shared" si="655"/>
        <v>0</v>
      </c>
      <c r="BL842" s="5">
        <f t="shared" si="655"/>
        <v>0</v>
      </c>
      <c r="BM842" s="5">
        <f t="shared" si="655"/>
        <v>0</v>
      </c>
      <c r="BN842" s="5">
        <f t="shared" si="647"/>
        <v>0</v>
      </c>
      <c r="BO842" s="5">
        <f t="shared" si="647"/>
        <v>0</v>
      </c>
      <c r="BP842" s="5">
        <f t="shared" si="647"/>
        <v>0</v>
      </c>
      <c r="BQ842" s="5">
        <f t="shared" si="647"/>
        <v>0</v>
      </c>
      <c r="BR842" s="5">
        <f t="shared" si="647"/>
        <v>0</v>
      </c>
      <c r="BS842" s="5">
        <f t="shared" si="647"/>
        <v>0</v>
      </c>
      <c r="BT842" s="5">
        <f t="shared" si="647"/>
        <v>0</v>
      </c>
      <c r="BU842" s="5">
        <f t="shared" si="647"/>
        <v>0</v>
      </c>
      <c r="BV842" s="5">
        <f t="shared" si="647"/>
        <v>0</v>
      </c>
      <c r="BW842" s="5">
        <f t="shared" si="647"/>
        <v>0</v>
      </c>
      <c r="BX842" s="5">
        <f t="shared" si="647"/>
        <v>0</v>
      </c>
      <c r="BY842" s="5">
        <f t="shared" si="647"/>
        <v>0</v>
      </c>
      <c r="BZ842" s="5">
        <f t="shared" si="647"/>
        <v>0</v>
      </c>
      <c r="CA842" s="5">
        <f t="shared" si="647"/>
        <v>0</v>
      </c>
      <c r="CB842" s="5">
        <f t="shared" si="647"/>
        <v>0</v>
      </c>
      <c r="CC842" s="5">
        <f t="shared" si="648"/>
        <v>0</v>
      </c>
      <c r="CD842" s="5">
        <f t="shared" si="639"/>
        <v>1</v>
      </c>
      <c r="CE842" s="5">
        <f t="shared" si="639"/>
        <v>0</v>
      </c>
    </row>
    <row r="843" spans="1:83" x14ac:dyDescent="0.2">
      <c r="A843" s="11"/>
      <c r="B843" s="11"/>
      <c r="C843" s="1">
        <f>Growth!D848</f>
        <v>6.3116370808678504E-2</v>
      </c>
      <c r="D843" s="5" t="b">
        <f t="shared" si="659"/>
        <v>0</v>
      </c>
      <c r="E843" s="5">
        <v>2014</v>
      </c>
      <c r="F843" s="5">
        <f ca="1">LOOKUP($E843,frequence!$A$2:$A$35,frequence!L$2:L$35)</f>
        <v>50.75383375536623</v>
      </c>
      <c r="G843" s="5">
        <f ca="1">LOOKUP($E843,frequence!$A$2:$A$35,frequence!K$2:K$35)</f>
        <v>9.9751715831189358</v>
      </c>
      <c r="H843" s="5">
        <f ca="1">LOOKUP($E843,frequence!$A$2:$A$35,frequence!M$2:M$35)</f>
        <v>236.05429056976001</v>
      </c>
      <c r="I843" s="16">
        <v>2007</v>
      </c>
      <c r="J843" s="7">
        <f>LOOKUP(I843,CPI!A$69:A$103,CPI!O$69:O$103)</f>
        <v>1.0516730811895323</v>
      </c>
      <c r="K843" s="16">
        <v>2010</v>
      </c>
      <c r="L843" s="7">
        <f t="shared" ca="1" si="649"/>
        <v>1</v>
      </c>
      <c r="M843" s="7">
        <f t="shared" si="608"/>
        <v>0.40394477317554245</v>
      </c>
      <c r="N843" s="14">
        <f>8*4/13/39</f>
        <v>6.3116370808678504E-2</v>
      </c>
      <c r="O843" s="1">
        <f ca="1">P843*J843*(1+Growth!G$6)^(2010-K843)</f>
        <v>196.66286618244254</v>
      </c>
      <c r="P843" s="11">
        <f>51*44/12</f>
        <v>187</v>
      </c>
      <c r="Q843" s="2">
        <f t="shared" si="660"/>
        <v>187</v>
      </c>
      <c r="R843" s="21">
        <f t="shared" ca="1" si="650"/>
        <v>38676.282935093303</v>
      </c>
      <c r="U843" s="11"/>
      <c r="V843" s="11"/>
      <c r="W843" s="11"/>
      <c r="X843" s="11"/>
      <c r="Y843" s="11"/>
      <c r="Z843" s="11"/>
      <c r="AA843" s="11"/>
      <c r="AB843" s="11"/>
      <c r="AC843" s="1">
        <f t="shared" si="661"/>
        <v>6.4</v>
      </c>
      <c r="AD843" s="5">
        <v>1</v>
      </c>
      <c r="AE843" s="5">
        <v>0</v>
      </c>
      <c r="AF843" s="5">
        <v>1</v>
      </c>
      <c r="AG843" s="5">
        <v>0</v>
      </c>
      <c r="AH843" s="5">
        <v>1</v>
      </c>
      <c r="AI843" s="3">
        <f t="shared" si="658"/>
        <v>3.4</v>
      </c>
      <c r="AJ843" s="5">
        <f t="shared" si="606"/>
        <v>0</v>
      </c>
      <c r="AK843" s="5">
        <f t="shared" si="652"/>
        <v>0</v>
      </c>
      <c r="AL843" s="5">
        <f t="shared" si="653"/>
        <v>0</v>
      </c>
      <c r="AM843" s="5">
        <f t="shared" si="614"/>
        <v>0</v>
      </c>
      <c r="AN843" s="5">
        <f t="shared" si="654"/>
        <v>0</v>
      </c>
      <c r="AO843" s="5">
        <f t="shared" si="615"/>
        <v>0</v>
      </c>
      <c r="AP843" s="11">
        <v>3</v>
      </c>
      <c r="AQ843" s="11" t="s">
        <v>42</v>
      </c>
      <c r="AR843" s="5">
        <v>0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1</v>
      </c>
      <c r="AY843" s="1">
        <f t="shared" si="662"/>
        <v>0</v>
      </c>
      <c r="AZ843" s="1">
        <f t="shared" si="663"/>
        <v>0</v>
      </c>
      <c r="BA843" s="1">
        <f t="shared" si="664"/>
        <v>0</v>
      </c>
      <c r="BB843" s="5">
        <v>0</v>
      </c>
      <c r="BC843" s="5">
        <v>0</v>
      </c>
      <c r="BD843" s="5">
        <v>0</v>
      </c>
      <c r="BE843" s="5">
        <f t="shared" si="665"/>
        <v>1</v>
      </c>
      <c r="BF843" s="5">
        <v>0</v>
      </c>
      <c r="BG843" s="5">
        <f t="shared" si="655"/>
        <v>0</v>
      </c>
      <c r="BH843" s="5">
        <f t="shared" si="655"/>
        <v>0</v>
      </c>
      <c r="BI843" s="5">
        <f t="shared" si="655"/>
        <v>0</v>
      </c>
      <c r="BJ843" s="5">
        <f t="shared" si="655"/>
        <v>0</v>
      </c>
      <c r="BK843" s="5">
        <f t="shared" si="655"/>
        <v>0</v>
      </c>
      <c r="BL843" s="5">
        <f t="shared" si="655"/>
        <v>0</v>
      </c>
      <c r="BM843" s="5">
        <f t="shared" si="655"/>
        <v>0</v>
      </c>
      <c r="BN843" s="5">
        <f t="shared" si="647"/>
        <v>0</v>
      </c>
      <c r="BO843" s="5">
        <f t="shared" si="647"/>
        <v>0</v>
      </c>
      <c r="BP843" s="5">
        <f t="shared" si="647"/>
        <v>0</v>
      </c>
      <c r="BQ843" s="5">
        <f t="shared" si="647"/>
        <v>0</v>
      </c>
      <c r="BR843" s="5">
        <f t="shared" si="647"/>
        <v>0</v>
      </c>
      <c r="BS843" s="5">
        <f t="shared" si="647"/>
        <v>0</v>
      </c>
      <c r="BT843" s="5">
        <f t="shared" si="647"/>
        <v>0</v>
      </c>
      <c r="BU843" s="5">
        <f t="shared" si="647"/>
        <v>0</v>
      </c>
      <c r="BV843" s="5">
        <f t="shared" si="647"/>
        <v>0</v>
      </c>
      <c r="BW843" s="5">
        <f t="shared" si="647"/>
        <v>0</v>
      </c>
      <c r="BX843" s="5">
        <f t="shared" si="647"/>
        <v>0</v>
      </c>
      <c r="BY843" s="5">
        <f t="shared" si="647"/>
        <v>0</v>
      </c>
      <c r="BZ843" s="5">
        <f t="shared" si="647"/>
        <v>0</v>
      </c>
      <c r="CA843" s="5">
        <f t="shared" si="647"/>
        <v>0</v>
      </c>
      <c r="CB843" s="5">
        <f t="shared" si="647"/>
        <v>0</v>
      </c>
      <c r="CC843" s="5">
        <f t="shared" si="648"/>
        <v>0</v>
      </c>
      <c r="CD843" s="5">
        <f t="shared" si="639"/>
        <v>1</v>
      </c>
      <c r="CE843" s="5">
        <f t="shared" si="639"/>
        <v>0</v>
      </c>
    </row>
    <row r="844" spans="1:83" x14ac:dyDescent="0.2">
      <c r="A844" s="11"/>
      <c r="B844" s="11"/>
      <c r="C844" s="1">
        <f>Growth!D849</f>
        <v>6.3116370808678504E-2</v>
      </c>
      <c r="D844" s="5" t="b">
        <f t="shared" si="659"/>
        <v>0</v>
      </c>
      <c r="E844" s="5">
        <v>2014</v>
      </c>
      <c r="F844" s="5">
        <f ca="1">LOOKUP($E844,frequence!$A$2:$A$35,frequence!L$2:L$35)</f>
        <v>50.75383375536623</v>
      </c>
      <c r="G844" s="5">
        <f ca="1">LOOKUP($E844,frequence!$A$2:$A$35,frequence!K$2:K$35)</f>
        <v>9.9751715831189358</v>
      </c>
      <c r="H844" s="5">
        <f ca="1">LOOKUP($E844,frequence!$A$2:$A$35,frequence!M$2:M$35)</f>
        <v>236.05429056976001</v>
      </c>
      <c r="I844" s="16">
        <v>2007</v>
      </c>
      <c r="J844" s="7">
        <f>LOOKUP(I844,CPI!A$69:A$103,CPI!O$69:O$103)</f>
        <v>1.0516730811895323</v>
      </c>
      <c r="K844" s="16">
        <v>2010</v>
      </c>
      <c r="L844" s="7">
        <f t="shared" ca="1" si="649"/>
        <v>1</v>
      </c>
      <c r="M844" s="7">
        <f t="shared" si="608"/>
        <v>0.40394477317554245</v>
      </c>
      <c r="N844" s="14">
        <f>8*4/13/39</f>
        <v>6.3116370808678504E-2</v>
      </c>
      <c r="O844" s="1">
        <f ca="1">P844*J844*(1+Growth!G$6)^(2010-K844)</f>
        <v>424.17480941311135</v>
      </c>
      <c r="P844" s="11">
        <f>110*44/12</f>
        <v>403.33333333333331</v>
      </c>
      <c r="Q844" s="2">
        <f t="shared" si="660"/>
        <v>403.33333333333331</v>
      </c>
      <c r="R844" s="21">
        <f t="shared" ca="1" si="650"/>
        <v>179924.26894064934</v>
      </c>
      <c r="U844" s="11"/>
      <c r="V844" s="11"/>
      <c r="W844" s="11"/>
      <c r="X844" s="11"/>
      <c r="Y844" s="11"/>
      <c r="Z844" s="11"/>
      <c r="AA844" s="11"/>
      <c r="AB844" s="11"/>
      <c r="AC844" s="1">
        <f t="shared" si="661"/>
        <v>6.4</v>
      </c>
      <c r="AD844" s="5">
        <v>1</v>
      </c>
      <c r="AE844" s="5">
        <v>0</v>
      </c>
      <c r="AF844" s="5">
        <v>1</v>
      </c>
      <c r="AG844" s="5">
        <v>0</v>
      </c>
      <c r="AH844" s="5">
        <v>1</v>
      </c>
      <c r="AI844" s="3">
        <f t="shared" si="658"/>
        <v>3.4</v>
      </c>
      <c r="AJ844" s="5">
        <f t="shared" si="606"/>
        <v>0</v>
      </c>
      <c r="AK844" s="5">
        <f t="shared" si="652"/>
        <v>0</v>
      </c>
      <c r="AL844" s="5">
        <f t="shared" si="653"/>
        <v>0</v>
      </c>
      <c r="AM844" s="5">
        <f t="shared" si="614"/>
        <v>0</v>
      </c>
      <c r="AN844" s="5">
        <f t="shared" si="654"/>
        <v>0</v>
      </c>
      <c r="AO844" s="5">
        <f t="shared" si="615"/>
        <v>0</v>
      </c>
      <c r="AP844" s="11">
        <v>3</v>
      </c>
      <c r="AQ844" s="11" t="s">
        <v>42</v>
      </c>
      <c r="AR844" s="5">
        <v>0</v>
      </c>
      <c r="AS844" s="5">
        <v>0</v>
      </c>
      <c r="AT844" s="5">
        <v>0</v>
      </c>
      <c r="AU844" s="5">
        <v>0</v>
      </c>
      <c r="AV844" s="5">
        <v>0</v>
      </c>
      <c r="AW844" s="5">
        <v>0</v>
      </c>
      <c r="AX844" s="5">
        <v>1</v>
      </c>
      <c r="AY844" s="1">
        <f t="shared" si="662"/>
        <v>0</v>
      </c>
      <c r="AZ844" s="1">
        <f t="shared" si="663"/>
        <v>0</v>
      </c>
      <c r="BA844" s="1">
        <f t="shared" si="664"/>
        <v>0</v>
      </c>
      <c r="BB844" s="5">
        <v>0</v>
      </c>
      <c r="BC844" s="5">
        <v>0</v>
      </c>
      <c r="BD844" s="5">
        <v>0</v>
      </c>
      <c r="BE844" s="5">
        <f t="shared" si="665"/>
        <v>1</v>
      </c>
      <c r="BF844" s="5">
        <v>0</v>
      </c>
      <c r="BG844" s="5">
        <f t="shared" si="655"/>
        <v>0</v>
      </c>
      <c r="BH844" s="5">
        <f t="shared" si="655"/>
        <v>0</v>
      </c>
      <c r="BI844" s="5">
        <f t="shared" si="655"/>
        <v>0</v>
      </c>
      <c r="BJ844" s="5">
        <f t="shared" si="655"/>
        <v>0</v>
      </c>
      <c r="BK844" s="5">
        <f t="shared" si="655"/>
        <v>0</v>
      </c>
      <c r="BL844" s="5">
        <f t="shared" si="655"/>
        <v>0</v>
      </c>
      <c r="BM844" s="5">
        <f t="shared" si="655"/>
        <v>0</v>
      </c>
      <c r="BN844" s="5">
        <f t="shared" si="647"/>
        <v>0</v>
      </c>
      <c r="BO844" s="5">
        <f t="shared" si="647"/>
        <v>0</v>
      </c>
      <c r="BP844" s="5">
        <f t="shared" si="647"/>
        <v>0</v>
      </c>
      <c r="BQ844" s="5">
        <f t="shared" si="647"/>
        <v>0</v>
      </c>
      <c r="BR844" s="5">
        <f t="shared" si="647"/>
        <v>0</v>
      </c>
      <c r="BS844" s="5">
        <f t="shared" si="647"/>
        <v>0</v>
      </c>
      <c r="BT844" s="5">
        <f t="shared" si="647"/>
        <v>0</v>
      </c>
      <c r="BU844" s="5">
        <f t="shared" si="647"/>
        <v>0</v>
      </c>
      <c r="BV844" s="5">
        <f t="shared" si="647"/>
        <v>0</v>
      </c>
      <c r="BW844" s="5">
        <f t="shared" si="647"/>
        <v>0</v>
      </c>
      <c r="BX844" s="5">
        <f t="shared" si="647"/>
        <v>0</v>
      </c>
      <c r="BY844" s="5">
        <f t="shared" si="647"/>
        <v>0</v>
      </c>
      <c r="BZ844" s="5">
        <f t="shared" si="647"/>
        <v>0</v>
      </c>
      <c r="CA844" s="5">
        <f t="shared" si="647"/>
        <v>0</v>
      </c>
      <c r="CB844" s="5">
        <f t="shared" si="647"/>
        <v>0</v>
      </c>
      <c r="CC844" s="5">
        <f t="shared" si="648"/>
        <v>0</v>
      </c>
      <c r="CD844" s="5">
        <f t="shared" si="639"/>
        <v>1</v>
      </c>
      <c r="CE844" s="5">
        <f t="shared" si="639"/>
        <v>0</v>
      </c>
    </row>
    <row r="845" spans="1:83" x14ac:dyDescent="0.2">
      <c r="A845" s="11"/>
      <c r="B845" s="11"/>
      <c r="C845" s="1">
        <f>Growth!D850</f>
        <v>3.1558185404339252E-2</v>
      </c>
      <c r="D845" s="5" t="b">
        <f t="shared" si="659"/>
        <v>0</v>
      </c>
      <c r="E845" s="5">
        <v>2014</v>
      </c>
      <c r="F845" s="5">
        <f ca="1">LOOKUP($E845,frequence!$A$2:$A$35,frequence!L$2:L$35)</f>
        <v>50.75383375536623</v>
      </c>
      <c r="G845" s="5">
        <f ca="1">LOOKUP($E845,frequence!$A$2:$A$35,frequence!K$2:K$35)</f>
        <v>9.9751715831189358</v>
      </c>
      <c r="H845" s="5">
        <f ca="1">LOOKUP($E845,frequence!$A$2:$A$35,frequence!M$2:M$35)</f>
        <v>236.05429056976001</v>
      </c>
      <c r="I845" s="16">
        <v>2007</v>
      </c>
      <c r="J845" s="7">
        <f>LOOKUP(I845,CPI!A$69:A$103,CPI!O$69:O$103)</f>
        <v>1.0516730811895323</v>
      </c>
      <c r="K845" s="16">
        <v>2010</v>
      </c>
      <c r="L845" s="7">
        <f t="shared" ca="1" si="649"/>
        <v>1</v>
      </c>
      <c r="M845" s="7">
        <f t="shared" si="608"/>
        <v>0.20197238658777122</v>
      </c>
      <c r="N845" s="14">
        <f>4*4/13/39</f>
        <v>3.1558185404339252E-2</v>
      </c>
      <c r="O845" s="1">
        <f ca="1">P845*J845*(1+Growth!G$6)^(2010-K845)</f>
        <v>616.98154096452561</v>
      </c>
      <c r="P845" s="11">
        <f>160*44/12</f>
        <v>586.66666666666663</v>
      </c>
      <c r="Q845" s="2">
        <f t="shared" si="660"/>
        <v>586.66666666666663</v>
      </c>
      <c r="R845" s="21">
        <f t="shared" ca="1" si="650"/>
        <v>380666.22189096059</v>
      </c>
      <c r="U845" s="11"/>
      <c r="V845" s="11"/>
      <c r="W845" s="11"/>
      <c r="X845" s="11"/>
      <c r="Y845" s="11"/>
      <c r="Z845" s="11"/>
      <c r="AA845" s="11"/>
      <c r="AB845" s="11"/>
      <c r="AC845" s="1">
        <f t="shared" si="661"/>
        <v>6.4</v>
      </c>
      <c r="AD845" s="5">
        <v>1</v>
      </c>
      <c r="AE845" s="5">
        <v>0</v>
      </c>
      <c r="AF845" s="5">
        <v>1</v>
      </c>
      <c r="AG845" s="5">
        <v>0</v>
      </c>
      <c r="AH845" s="5">
        <v>1</v>
      </c>
      <c r="AI845" s="3">
        <f t="shared" si="658"/>
        <v>3.4</v>
      </c>
      <c r="AJ845" s="5">
        <f t="shared" si="606"/>
        <v>0</v>
      </c>
      <c r="AK845" s="5">
        <f t="shared" si="652"/>
        <v>0</v>
      </c>
      <c r="AL845" s="5">
        <f t="shared" si="653"/>
        <v>0</v>
      </c>
      <c r="AM845" s="5">
        <f t="shared" si="614"/>
        <v>0</v>
      </c>
      <c r="AN845" s="5">
        <f t="shared" si="654"/>
        <v>0</v>
      </c>
      <c r="AO845" s="5">
        <f t="shared" si="615"/>
        <v>0</v>
      </c>
      <c r="AP845" s="11">
        <v>3</v>
      </c>
      <c r="AQ845" s="11" t="s">
        <v>42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1</v>
      </c>
      <c r="AY845" s="1">
        <f t="shared" si="662"/>
        <v>0</v>
      </c>
      <c r="AZ845" s="1">
        <f t="shared" si="663"/>
        <v>0</v>
      </c>
      <c r="BA845" s="1">
        <f t="shared" si="664"/>
        <v>0</v>
      </c>
      <c r="BB845" s="5">
        <v>0</v>
      </c>
      <c r="BC845" s="5">
        <v>0</v>
      </c>
      <c r="BD845" s="5">
        <v>0</v>
      </c>
      <c r="BE845" s="5">
        <f t="shared" si="665"/>
        <v>1</v>
      </c>
      <c r="BF845" s="5">
        <v>0</v>
      </c>
      <c r="BG845" s="5">
        <f t="shared" si="655"/>
        <v>0</v>
      </c>
      <c r="BH845" s="5">
        <f t="shared" si="655"/>
        <v>0</v>
      </c>
      <c r="BI845" s="5">
        <f t="shared" si="655"/>
        <v>0</v>
      </c>
      <c r="BJ845" s="5">
        <f t="shared" si="655"/>
        <v>0</v>
      </c>
      <c r="BK845" s="5">
        <f t="shared" si="655"/>
        <v>0</v>
      </c>
      <c r="BL845" s="5">
        <f t="shared" si="655"/>
        <v>0</v>
      </c>
      <c r="BM845" s="5">
        <f t="shared" si="655"/>
        <v>0</v>
      </c>
      <c r="BN845" s="5">
        <f t="shared" si="647"/>
        <v>0</v>
      </c>
      <c r="BO845" s="5">
        <f t="shared" si="647"/>
        <v>0</v>
      </c>
      <c r="BP845" s="5">
        <f t="shared" si="647"/>
        <v>0</v>
      </c>
      <c r="BQ845" s="5">
        <f t="shared" si="647"/>
        <v>0</v>
      </c>
      <c r="BR845" s="5">
        <f t="shared" si="647"/>
        <v>0</v>
      </c>
      <c r="BS845" s="5">
        <f t="shared" si="647"/>
        <v>0</v>
      </c>
      <c r="BT845" s="5">
        <f t="shared" si="647"/>
        <v>0</v>
      </c>
      <c r="BU845" s="5">
        <f t="shared" si="647"/>
        <v>0</v>
      </c>
      <c r="BV845" s="5">
        <f t="shared" si="647"/>
        <v>0</v>
      </c>
      <c r="BW845" s="5">
        <f t="shared" si="647"/>
        <v>0</v>
      </c>
      <c r="BX845" s="5">
        <f t="shared" si="647"/>
        <v>0</v>
      </c>
      <c r="BY845" s="5">
        <f t="shared" si="647"/>
        <v>0</v>
      </c>
      <c r="BZ845" s="5">
        <f t="shared" si="647"/>
        <v>0</v>
      </c>
      <c r="CA845" s="5">
        <f t="shared" si="647"/>
        <v>0</v>
      </c>
      <c r="CB845" s="5">
        <f t="shared" si="647"/>
        <v>0</v>
      </c>
      <c r="CC845" s="5">
        <f t="shared" si="648"/>
        <v>0</v>
      </c>
      <c r="CD845" s="5">
        <f t="shared" si="639"/>
        <v>1</v>
      </c>
      <c r="CE845" s="5">
        <f t="shared" si="639"/>
        <v>0</v>
      </c>
    </row>
    <row r="846" spans="1:83" x14ac:dyDescent="0.2">
      <c r="A846" s="11"/>
      <c r="B846" s="11"/>
      <c r="C846" s="1">
        <f>Growth!D851</f>
        <v>1.5779092702169626E-2</v>
      </c>
      <c r="D846" s="5" t="b">
        <f t="shared" si="659"/>
        <v>0</v>
      </c>
      <c r="E846" s="5">
        <v>2014</v>
      </c>
      <c r="F846" s="5">
        <f ca="1">LOOKUP($E846,frequence!$A$2:$A$35,frequence!L$2:L$35)</f>
        <v>50.75383375536623</v>
      </c>
      <c r="G846" s="5">
        <f ca="1">LOOKUP($E846,frequence!$A$2:$A$35,frequence!K$2:K$35)</f>
        <v>9.9751715831189358</v>
      </c>
      <c r="H846" s="5">
        <f ca="1">LOOKUP($E846,frequence!$A$2:$A$35,frequence!M$2:M$35)</f>
        <v>236.05429056976001</v>
      </c>
      <c r="I846" s="16">
        <v>2007</v>
      </c>
      <c r="J846" s="7">
        <f>LOOKUP(I846,CPI!A$69:A$103,CPI!O$69:O$103)</f>
        <v>1.0516730811895323</v>
      </c>
      <c r="K846" s="16">
        <v>2010</v>
      </c>
      <c r="L846" s="7">
        <f t="shared" ca="1" si="649"/>
        <v>1</v>
      </c>
      <c r="M846" s="7">
        <f t="shared" si="608"/>
        <v>0.10098619329388561</v>
      </c>
      <c r="N846" s="14">
        <f>2*4/13/39</f>
        <v>1.5779092702169626E-2</v>
      </c>
      <c r="O846" s="1">
        <f ca="1">P846*J846*(1+Growth!G$6)^(2010-K846)</f>
        <v>964.03365775707118</v>
      </c>
      <c r="P846" s="11">
        <f>250*44/12</f>
        <v>916.66666666666663</v>
      </c>
      <c r="Q846" s="2">
        <f t="shared" si="660"/>
        <v>916.66666666666663</v>
      </c>
      <c r="R846" s="21">
        <f t="shared" ca="1" si="650"/>
        <v>929360.89328847791</v>
      </c>
      <c r="U846" s="11"/>
      <c r="V846" s="11"/>
      <c r="W846" s="11"/>
      <c r="X846" s="11"/>
      <c r="Y846" s="11"/>
      <c r="Z846" s="11"/>
      <c r="AA846" s="11"/>
      <c r="AB846" s="11"/>
      <c r="AC846" s="1">
        <f t="shared" si="661"/>
        <v>6.4</v>
      </c>
      <c r="AD846" s="5">
        <v>1</v>
      </c>
      <c r="AE846" s="5">
        <v>0</v>
      </c>
      <c r="AF846" s="5">
        <v>1</v>
      </c>
      <c r="AG846" s="5">
        <v>0</v>
      </c>
      <c r="AH846" s="5">
        <v>1</v>
      </c>
      <c r="AI846" s="3">
        <f t="shared" si="658"/>
        <v>3.4</v>
      </c>
      <c r="AJ846" s="5">
        <f t="shared" si="606"/>
        <v>0</v>
      </c>
      <c r="AK846" s="5">
        <f t="shared" si="652"/>
        <v>0</v>
      </c>
      <c r="AL846" s="5">
        <f t="shared" si="653"/>
        <v>0</v>
      </c>
      <c r="AM846" s="5">
        <f t="shared" si="614"/>
        <v>0</v>
      </c>
      <c r="AN846" s="5">
        <f t="shared" si="654"/>
        <v>0</v>
      </c>
      <c r="AO846" s="5">
        <f t="shared" si="615"/>
        <v>0</v>
      </c>
      <c r="AP846" s="11">
        <v>3</v>
      </c>
      <c r="AQ846" s="11" t="s">
        <v>42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1</v>
      </c>
      <c r="AY846" s="1">
        <f t="shared" si="662"/>
        <v>0</v>
      </c>
      <c r="AZ846" s="1">
        <f t="shared" si="663"/>
        <v>0</v>
      </c>
      <c r="BA846" s="1">
        <f t="shared" si="664"/>
        <v>0</v>
      </c>
      <c r="BB846" s="5">
        <v>0</v>
      </c>
      <c r="BC846" s="5">
        <v>0</v>
      </c>
      <c r="BD846" s="5">
        <v>0</v>
      </c>
      <c r="BE846" s="5">
        <f t="shared" si="665"/>
        <v>1</v>
      </c>
      <c r="BF846" s="5">
        <v>0</v>
      </c>
      <c r="BG846" s="5">
        <f t="shared" si="655"/>
        <v>0</v>
      </c>
      <c r="BH846" s="5">
        <f t="shared" si="655"/>
        <v>0</v>
      </c>
      <c r="BI846" s="5">
        <f t="shared" si="655"/>
        <v>0</v>
      </c>
      <c r="BJ846" s="5">
        <f t="shared" si="655"/>
        <v>0</v>
      </c>
      <c r="BK846" s="5">
        <f t="shared" si="655"/>
        <v>0</v>
      </c>
      <c r="BL846" s="5">
        <f t="shared" si="655"/>
        <v>0</v>
      </c>
      <c r="BM846" s="5">
        <f t="shared" si="655"/>
        <v>0</v>
      </c>
      <c r="BN846" s="5">
        <f t="shared" si="647"/>
        <v>0</v>
      </c>
      <c r="BO846" s="5">
        <f t="shared" si="647"/>
        <v>0</v>
      </c>
      <c r="BP846" s="5">
        <f t="shared" si="647"/>
        <v>0</v>
      </c>
      <c r="BQ846" s="5">
        <f t="shared" si="647"/>
        <v>0</v>
      </c>
      <c r="BR846" s="5">
        <f t="shared" si="647"/>
        <v>0</v>
      </c>
      <c r="BS846" s="5">
        <f t="shared" si="647"/>
        <v>0</v>
      </c>
      <c r="BT846" s="5">
        <f t="shared" si="647"/>
        <v>0</v>
      </c>
      <c r="BU846" s="5">
        <f t="shared" si="647"/>
        <v>0</v>
      </c>
      <c r="BV846" s="5">
        <f t="shared" si="647"/>
        <v>0</v>
      </c>
      <c r="BW846" s="5">
        <f t="shared" si="647"/>
        <v>0</v>
      </c>
      <c r="BX846" s="5">
        <f t="shared" si="647"/>
        <v>0</v>
      </c>
      <c r="BY846" s="5">
        <f t="shared" si="647"/>
        <v>0</v>
      </c>
      <c r="BZ846" s="5">
        <f t="shared" si="647"/>
        <v>0</v>
      </c>
      <c r="CA846" s="5">
        <f t="shared" si="647"/>
        <v>0</v>
      </c>
      <c r="CB846" s="5">
        <f t="shared" si="647"/>
        <v>0</v>
      </c>
      <c r="CC846" s="5">
        <f t="shared" si="648"/>
        <v>0</v>
      </c>
      <c r="CD846" s="5">
        <f t="shared" si="639"/>
        <v>1</v>
      </c>
      <c r="CE846" s="5">
        <f t="shared" si="639"/>
        <v>0</v>
      </c>
    </row>
    <row r="847" spans="1:83" x14ac:dyDescent="0.2">
      <c r="A847" s="11"/>
      <c r="B847" s="11"/>
      <c r="C847" s="1">
        <f>Growth!D852</f>
        <v>7.889546351084813E-3</v>
      </c>
      <c r="D847" s="5" t="b">
        <f t="shared" si="659"/>
        <v>0</v>
      </c>
      <c r="E847" s="5">
        <v>2014</v>
      </c>
      <c r="F847" s="5">
        <f ca="1">LOOKUP($E847,frequence!$A$2:$A$35,frequence!L$2:L$35)</f>
        <v>50.75383375536623</v>
      </c>
      <c r="G847" s="5">
        <f ca="1">LOOKUP($E847,frequence!$A$2:$A$35,frequence!K$2:K$35)</f>
        <v>9.9751715831189358</v>
      </c>
      <c r="H847" s="5">
        <f ca="1">LOOKUP($E847,frequence!$A$2:$A$35,frequence!M$2:M$35)</f>
        <v>236.05429056976001</v>
      </c>
      <c r="I847" s="16">
        <v>2007</v>
      </c>
      <c r="J847" s="7">
        <f>LOOKUP(I847,CPI!A$69:A$103,CPI!O$69:O$103)</f>
        <v>1.0516730811895323</v>
      </c>
      <c r="K847" s="16">
        <v>2010</v>
      </c>
      <c r="L847" s="7">
        <f t="shared" ca="1" si="649"/>
        <v>0.98568056683199445</v>
      </c>
      <c r="M847" s="7">
        <f t="shared" si="608"/>
        <v>5.0493096646942806E-2</v>
      </c>
      <c r="N847" s="14">
        <f>1*4/13/39</f>
        <v>7.889546351084813E-3</v>
      </c>
      <c r="O847" s="1">
        <f ca="1">P847*J847*(1+Growth!G$6)^(2010-K847)</f>
        <v>1233.9630819290512</v>
      </c>
      <c r="P847" s="11">
        <f>320*44/12</f>
        <v>1173.3333333333333</v>
      </c>
      <c r="Q847" s="2">
        <f t="shared" si="660"/>
        <v>1173.3333333333333</v>
      </c>
      <c r="R847" s="21">
        <f t="shared" ca="1" si="650"/>
        <v>1522664.8875638423</v>
      </c>
      <c r="U847" s="11"/>
      <c r="V847" s="11"/>
      <c r="W847" s="11"/>
      <c r="X847" s="11"/>
      <c r="Y847" s="11"/>
      <c r="Z847" s="11"/>
      <c r="AA847" s="11"/>
      <c r="AB847" s="11"/>
      <c r="AC847" s="1">
        <f t="shared" si="661"/>
        <v>6.4</v>
      </c>
      <c r="AD847" s="5">
        <v>1</v>
      </c>
      <c r="AE847" s="5">
        <v>0</v>
      </c>
      <c r="AF847" s="5">
        <v>1</v>
      </c>
      <c r="AG847" s="5">
        <v>0</v>
      </c>
      <c r="AH847" s="5">
        <v>1</v>
      </c>
      <c r="AI847" s="3">
        <f t="shared" si="658"/>
        <v>3.4</v>
      </c>
      <c r="AJ847" s="5">
        <f t="shared" si="606"/>
        <v>0</v>
      </c>
      <c r="AK847" s="5">
        <f t="shared" si="652"/>
        <v>0</v>
      </c>
      <c r="AL847" s="5">
        <f t="shared" si="653"/>
        <v>0</v>
      </c>
      <c r="AM847" s="5">
        <f t="shared" si="614"/>
        <v>0</v>
      </c>
      <c r="AN847" s="5">
        <f t="shared" si="654"/>
        <v>0</v>
      </c>
      <c r="AO847" s="5">
        <f t="shared" si="615"/>
        <v>0</v>
      </c>
      <c r="AP847" s="11">
        <v>3</v>
      </c>
      <c r="AQ847" s="11" t="s">
        <v>42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1</v>
      </c>
      <c r="AY847" s="1">
        <f t="shared" si="662"/>
        <v>0</v>
      </c>
      <c r="AZ847" s="1">
        <f t="shared" si="663"/>
        <v>0</v>
      </c>
      <c r="BA847" s="1">
        <f t="shared" si="664"/>
        <v>0</v>
      </c>
      <c r="BB847" s="5">
        <v>0</v>
      </c>
      <c r="BC847" s="5">
        <v>0</v>
      </c>
      <c r="BD847" s="5">
        <v>0</v>
      </c>
      <c r="BE847" s="5">
        <f t="shared" si="665"/>
        <v>1</v>
      </c>
      <c r="BF847" s="5">
        <v>0</v>
      </c>
      <c r="BG847" s="5">
        <f t="shared" si="655"/>
        <v>0</v>
      </c>
      <c r="BH847" s="5">
        <f t="shared" si="655"/>
        <v>0</v>
      </c>
      <c r="BI847" s="5">
        <f t="shared" si="655"/>
        <v>0</v>
      </c>
      <c r="BJ847" s="5">
        <f t="shared" si="655"/>
        <v>0</v>
      </c>
      <c r="BK847" s="5">
        <f t="shared" si="655"/>
        <v>0</v>
      </c>
      <c r="BL847" s="5">
        <f t="shared" si="655"/>
        <v>0</v>
      </c>
      <c r="BM847" s="5">
        <f t="shared" si="655"/>
        <v>0</v>
      </c>
      <c r="BN847" s="5">
        <f t="shared" si="647"/>
        <v>0</v>
      </c>
      <c r="BO847" s="5">
        <f t="shared" si="647"/>
        <v>0</v>
      </c>
      <c r="BP847" s="5">
        <f t="shared" si="647"/>
        <v>0</v>
      </c>
      <c r="BQ847" s="5">
        <f t="shared" si="647"/>
        <v>0</v>
      </c>
      <c r="BR847" s="5">
        <f t="shared" si="647"/>
        <v>0</v>
      </c>
      <c r="BS847" s="5">
        <f t="shared" si="647"/>
        <v>0</v>
      </c>
      <c r="BT847" s="5">
        <f t="shared" si="647"/>
        <v>0</v>
      </c>
      <c r="BU847" s="5">
        <f t="shared" si="647"/>
        <v>0</v>
      </c>
      <c r="BV847" s="5">
        <f t="shared" si="647"/>
        <v>0</v>
      </c>
      <c r="BW847" s="5">
        <f t="shared" si="647"/>
        <v>0</v>
      </c>
      <c r="BX847" s="5">
        <f t="shared" si="647"/>
        <v>0</v>
      </c>
      <c r="BY847" s="5">
        <f t="shared" si="647"/>
        <v>0</v>
      </c>
      <c r="BZ847" s="5">
        <f t="shared" si="647"/>
        <v>0</v>
      </c>
      <c r="CA847" s="5">
        <f t="shared" si="647"/>
        <v>0</v>
      </c>
      <c r="CB847" s="5">
        <f t="shared" si="647"/>
        <v>0</v>
      </c>
      <c r="CC847" s="5">
        <f t="shared" si="648"/>
        <v>0</v>
      </c>
      <c r="CD847" s="5">
        <f t="shared" si="648"/>
        <v>1</v>
      </c>
      <c r="CE847" s="5">
        <f t="shared" si="648"/>
        <v>0</v>
      </c>
    </row>
    <row r="848" spans="1:83" x14ac:dyDescent="0.2">
      <c r="A848" s="11"/>
      <c r="B848" s="11"/>
      <c r="C848" s="1">
        <f>Growth!D853</f>
        <v>6.3116370808678504E-2</v>
      </c>
      <c r="D848" s="5" t="b">
        <f t="shared" si="659"/>
        <v>0</v>
      </c>
      <c r="E848" s="5">
        <v>2014</v>
      </c>
      <c r="F848" s="5">
        <f ca="1">LOOKUP($E848,frequence!$A$2:$A$35,frequence!L$2:L$35)</f>
        <v>50.75383375536623</v>
      </c>
      <c r="G848" s="5">
        <f ca="1">LOOKUP($E848,frequence!$A$2:$A$35,frequence!K$2:K$35)</f>
        <v>9.9751715831189358</v>
      </c>
      <c r="H848" s="5">
        <f ca="1">LOOKUP($E848,frequence!$A$2:$A$35,frequence!M$2:M$35)</f>
        <v>236.05429056976001</v>
      </c>
      <c r="I848" s="16">
        <v>2007</v>
      </c>
      <c r="J848" s="7">
        <f>LOOKUP(I848,CPI!A$69:A$103,CPI!O$69:O$103)</f>
        <v>1.0516730811895323</v>
      </c>
      <c r="K848" s="16">
        <v>2010</v>
      </c>
      <c r="L848" s="7">
        <f t="shared" ca="1" si="649"/>
        <v>1</v>
      </c>
      <c r="M848" s="7">
        <f t="shared" si="608"/>
        <v>0.40394477317554245</v>
      </c>
      <c r="N848" s="14">
        <f>16*2/13/39</f>
        <v>6.3116370808678504E-2</v>
      </c>
      <c r="O848" s="1">
        <f ca="1">P848*J848*(1+Growth!G$6)^(2010-K848)</f>
        <v>96.40336577570713</v>
      </c>
      <c r="P848" s="11">
        <f>25*44/12</f>
        <v>91.666666666666671</v>
      </c>
      <c r="Q848" s="2">
        <f t="shared" si="660"/>
        <v>91.666666666666671</v>
      </c>
      <c r="R848" s="21">
        <f t="shared" ca="1" si="650"/>
        <v>9293.6089328847811</v>
      </c>
      <c r="U848" s="11"/>
      <c r="V848" s="11"/>
      <c r="W848" s="11"/>
      <c r="X848" s="11"/>
      <c r="Y848" s="11"/>
      <c r="Z848" s="11"/>
      <c r="AA848" s="11"/>
      <c r="AB848" s="11"/>
      <c r="AC848" s="1">
        <f t="shared" si="661"/>
        <v>6.4</v>
      </c>
      <c r="AD848" s="5">
        <v>1</v>
      </c>
      <c r="AE848" s="5">
        <v>0</v>
      </c>
      <c r="AF848" s="5">
        <v>1</v>
      </c>
      <c r="AG848" s="5">
        <v>0</v>
      </c>
      <c r="AH848" s="5">
        <v>1</v>
      </c>
      <c r="AI848" s="3">
        <f t="shared" si="658"/>
        <v>3.4</v>
      </c>
      <c r="AJ848" s="5">
        <f t="shared" si="606"/>
        <v>0</v>
      </c>
      <c r="AK848" s="5">
        <f t="shared" si="652"/>
        <v>0</v>
      </c>
      <c r="AL848" s="5">
        <f t="shared" si="653"/>
        <v>0</v>
      </c>
      <c r="AM848" s="5">
        <f t="shared" si="614"/>
        <v>0</v>
      </c>
      <c r="AN848" s="5">
        <f t="shared" si="654"/>
        <v>0</v>
      </c>
      <c r="AO848" s="5">
        <f t="shared" si="615"/>
        <v>0</v>
      </c>
      <c r="AP848" s="11">
        <v>3</v>
      </c>
      <c r="AQ848" s="11" t="s">
        <v>42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1</v>
      </c>
      <c r="AY848" s="1">
        <f t="shared" si="662"/>
        <v>0</v>
      </c>
      <c r="AZ848" s="1">
        <f t="shared" si="663"/>
        <v>0</v>
      </c>
      <c r="BA848" s="1">
        <f t="shared" si="664"/>
        <v>0</v>
      </c>
      <c r="BB848" s="5">
        <v>0</v>
      </c>
      <c r="BC848" s="5">
        <v>0</v>
      </c>
      <c r="BD848" s="5">
        <v>0</v>
      </c>
      <c r="BE848" s="5">
        <f t="shared" si="665"/>
        <v>1</v>
      </c>
      <c r="BF848" s="5">
        <v>0</v>
      </c>
      <c r="BG848" s="5">
        <f t="shared" si="655"/>
        <v>0</v>
      </c>
      <c r="BH848" s="5">
        <f t="shared" si="655"/>
        <v>0</v>
      </c>
      <c r="BI848" s="5">
        <f t="shared" si="655"/>
        <v>0</v>
      </c>
      <c r="BJ848" s="5">
        <f t="shared" si="655"/>
        <v>0</v>
      </c>
      <c r="BK848" s="5">
        <f t="shared" si="655"/>
        <v>0</v>
      </c>
      <c r="BL848" s="5">
        <f t="shared" si="655"/>
        <v>0</v>
      </c>
      <c r="BM848" s="5">
        <f t="shared" si="655"/>
        <v>0</v>
      </c>
      <c r="BN848" s="5">
        <f t="shared" si="647"/>
        <v>0</v>
      </c>
      <c r="BO848" s="5">
        <f t="shared" si="647"/>
        <v>0</v>
      </c>
      <c r="BP848" s="5">
        <f t="shared" si="647"/>
        <v>0</v>
      </c>
      <c r="BQ848" s="5">
        <f t="shared" si="647"/>
        <v>0</v>
      </c>
      <c r="BR848" s="5">
        <f t="shared" si="647"/>
        <v>0</v>
      </c>
      <c r="BS848" s="5">
        <f t="shared" si="647"/>
        <v>0</v>
      </c>
      <c r="BT848" s="5">
        <f t="shared" si="647"/>
        <v>0</v>
      </c>
      <c r="BU848" s="5">
        <f t="shared" si="647"/>
        <v>0</v>
      </c>
      <c r="BV848" s="5">
        <f t="shared" si="647"/>
        <v>0</v>
      </c>
      <c r="BW848" s="5">
        <f t="shared" si="647"/>
        <v>0</v>
      </c>
      <c r="BX848" s="5">
        <f t="shared" si="647"/>
        <v>0</v>
      </c>
      <c r="BY848" s="5">
        <f t="shared" si="647"/>
        <v>0</v>
      </c>
      <c r="BZ848" s="5">
        <f t="shared" si="647"/>
        <v>0</v>
      </c>
      <c r="CA848" s="5">
        <f t="shared" si="647"/>
        <v>0</v>
      </c>
      <c r="CB848" s="5">
        <f t="shared" si="647"/>
        <v>0</v>
      </c>
      <c r="CC848" s="5">
        <f t="shared" si="648"/>
        <v>0</v>
      </c>
      <c r="CD848" s="5">
        <f t="shared" si="648"/>
        <v>1</v>
      </c>
      <c r="CE848" s="5">
        <f t="shared" si="648"/>
        <v>0</v>
      </c>
    </row>
    <row r="849" spans="1:83" x14ac:dyDescent="0.2">
      <c r="A849" s="11"/>
      <c r="B849" s="11"/>
      <c r="C849" s="1">
        <f>Growth!D854</f>
        <v>3.1558185404339252E-2</v>
      </c>
      <c r="D849" s="5" t="b">
        <f t="shared" si="659"/>
        <v>0</v>
      </c>
      <c r="E849" s="5">
        <v>2014</v>
      </c>
      <c r="F849" s="5">
        <f ca="1">LOOKUP($E849,frequence!$A$2:$A$35,frequence!L$2:L$35)</f>
        <v>50.75383375536623</v>
      </c>
      <c r="G849" s="5">
        <f ca="1">LOOKUP($E849,frequence!$A$2:$A$35,frequence!K$2:K$35)</f>
        <v>9.9751715831189358</v>
      </c>
      <c r="H849" s="5">
        <f ca="1">LOOKUP($E849,frequence!$A$2:$A$35,frequence!M$2:M$35)</f>
        <v>236.05429056976001</v>
      </c>
      <c r="I849" s="16">
        <v>2007</v>
      </c>
      <c r="J849" s="7">
        <f>LOOKUP(I849,CPI!A$69:A$103,CPI!O$69:O$103)</f>
        <v>1.0516730811895323</v>
      </c>
      <c r="K849" s="16">
        <v>2010</v>
      </c>
      <c r="L849" s="7">
        <f t="shared" ca="1" si="649"/>
        <v>1</v>
      </c>
      <c r="M849" s="7">
        <f t="shared" si="608"/>
        <v>0.20197238658777122</v>
      </c>
      <c r="N849" s="14">
        <f>8*2/13/39</f>
        <v>3.1558185404339252E-2</v>
      </c>
      <c r="O849" s="1">
        <f ca="1">P849*J849*(1+Growth!G$6)^(2010-K849)</f>
        <v>131.1085774549617</v>
      </c>
      <c r="P849" s="11">
        <f t="shared" ref="P849:P867" si="666">34*44/12</f>
        <v>124.66666666666667</v>
      </c>
      <c r="Q849" s="2">
        <f t="shared" si="660"/>
        <v>124.66666666666667</v>
      </c>
      <c r="R849" s="21">
        <f t="shared" ca="1" si="650"/>
        <v>17189.459082263693</v>
      </c>
      <c r="U849" s="11"/>
      <c r="V849" s="11"/>
      <c r="W849" s="11"/>
      <c r="X849" s="11"/>
      <c r="Y849" s="11"/>
      <c r="Z849" s="11"/>
      <c r="AA849" s="11"/>
      <c r="AB849" s="11"/>
      <c r="AC849" s="1">
        <f t="shared" si="661"/>
        <v>6.4</v>
      </c>
      <c r="AD849" s="5">
        <v>1</v>
      </c>
      <c r="AE849" s="5">
        <v>0</v>
      </c>
      <c r="AF849" s="5">
        <v>1</v>
      </c>
      <c r="AG849" s="5">
        <v>0</v>
      </c>
      <c r="AH849" s="5">
        <v>1</v>
      </c>
      <c r="AI849" s="3">
        <f t="shared" si="658"/>
        <v>3.4</v>
      </c>
      <c r="AJ849" s="5">
        <f t="shared" si="606"/>
        <v>0</v>
      </c>
      <c r="AK849" s="5">
        <f t="shared" si="652"/>
        <v>0</v>
      </c>
      <c r="AL849" s="5">
        <f t="shared" si="653"/>
        <v>0</v>
      </c>
      <c r="AM849" s="5">
        <f t="shared" si="614"/>
        <v>0</v>
      </c>
      <c r="AN849" s="5">
        <f t="shared" si="654"/>
        <v>0</v>
      </c>
      <c r="AO849" s="5">
        <f t="shared" si="615"/>
        <v>0</v>
      </c>
      <c r="AP849" s="11">
        <v>3</v>
      </c>
      <c r="AQ849" s="11" t="s">
        <v>42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1</v>
      </c>
      <c r="AY849" s="1">
        <f t="shared" si="662"/>
        <v>0</v>
      </c>
      <c r="AZ849" s="1">
        <f t="shared" si="663"/>
        <v>0</v>
      </c>
      <c r="BA849" s="1">
        <f t="shared" si="664"/>
        <v>0</v>
      </c>
      <c r="BB849" s="5">
        <v>0</v>
      </c>
      <c r="BC849" s="5">
        <v>0</v>
      </c>
      <c r="BD849" s="5">
        <v>0</v>
      </c>
      <c r="BE849" s="5">
        <f t="shared" si="665"/>
        <v>1</v>
      </c>
      <c r="BF849" s="5">
        <v>0</v>
      </c>
      <c r="BG849" s="5">
        <f t="shared" si="655"/>
        <v>0</v>
      </c>
      <c r="BH849" s="5">
        <f t="shared" si="655"/>
        <v>0</v>
      </c>
      <c r="BI849" s="5">
        <f t="shared" si="655"/>
        <v>0</v>
      </c>
      <c r="BJ849" s="5">
        <f t="shared" si="655"/>
        <v>0</v>
      </c>
      <c r="BK849" s="5">
        <f t="shared" si="655"/>
        <v>0</v>
      </c>
      <c r="BL849" s="5">
        <f t="shared" si="655"/>
        <v>0</v>
      </c>
      <c r="BM849" s="5">
        <f t="shared" si="655"/>
        <v>0</v>
      </c>
      <c r="BN849" s="5">
        <f t="shared" si="647"/>
        <v>0</v>
      </c>
      <c r="BO849" s="5">
        <f t="shared" si="647"/>
        <v>0</v>
      </c>
      <c r="BP849" s="5">
        <f t="shared" si="647"/>
        <v>0</v>
      </c>
      <c r="BQ849" s="5">
        <f t="shared" si="647"/>
        <v>0</v>
      </c>
      <c r="BR849" s="5">
        <f t="shared" si="647"/>
        <v>0</v>
      </c>
      <c r="BS849" s="5">
        <f t="shared" si="647"/>
        <v>0</v>
      </c>
      <c r="BT849" s="5">
        <f t="shared" si="647"/>
        <v>0</v>
      </c>
      <c r="BU849" s="5">
        <f t="shared" si="647"/>
        <v>0</v>
      </c>
      <c r="BV849" s="5">
        <f t="shared" si="647"/>
        <v>0</v>
      </c>
      <c r="BW849" s="5">
        <f t="shared" si="647"/>
        <v>0</v>
      </c>
      <c r="BX849" s="5">
        <f t="shared" si="647"/>
        <v>0</v>
      </c>
      <c r="BY849" s="5">
        <f t="shared" si="647"/>
        <v>0</v>
      </c>
      <c r="BZ849" s="5">
        <f t="shared" si="647"/>
        <v>0</v>
      </c>
      <c r="CA849" s="5">
        <f t="shared" si="647"/>
        <v>0</v>
      </c>
      <c r="CB849" s="5">
        <f t="shared" si="647"/>
        <v>0</v>
      </c>
      <c r="CC849" s="5">
        <f t="shared" si="648"/>
        <v>0</v>
      </c>
      <c r="CD849" s="5">
        <f t="shared" si="648"/>
        <v>1</v>
      </c>
      <c r="CE849" s="5">
        <f t="shared" si="648"/>
        <v>0</v>
      </c>
    </row>
    <row r="850" spans="1:83" x14ac:dyDescent="0.2">
      <c r="A850" s="11"/>
      <c r="B850" s="11"/>
      <c r="C850" s="1">
        <f>Growth!D855</f>
        <v>3.1558185404339252E-2</v>
      </c>
      <c r="D850" s="5" t="b">
        <f t="shared" si="659"/>
        <v>0</v>
      </c>
      <c r="E850" s="5">
        <v>2014</v>
      </c>
      <c r="F850" s="5">
        <f ca="1">LOOKUP($E850,frequence!$A$2:$A$35,frequence!L$2:L$35)</f>
        <v>50.75383375536623</v>
      </c>
      <c r="G850" s="5">
        <f ca="1">LOOKUP($E850,frequence!$A$2:$A$35,frequence!K$2:K$35)</f>
        <v>9.9751715831189358</v>
      </c>
      <c r="H850" s="5">
        <f ca="1">LOOKUP($E850,frequence!$A$2:$A$35,frequence!M$2:M$35)</f>
        <v>236.05429056976001</v>
      </c>
      <c r="I850" s="16">
        <v>2007</v>
      </c>
      <c r="J850" s="7">
        <f>LOOKUP(I850,CPI!A$69:A$103,CPI!O$69:O$103)</f>
        <v>1.0516730811895323</v>
      </c>
      <c r="K850" s="16">
        <v>2010</v>
      </c>
      <c r="L850" s="7">
        <f t="shared" ca="1" si="649"/>
        <v>1</v>
      </c>
      <c r="M850" s="7">
        <f t="shared" si="608"/>
        <v>0.20197238658777122</v>
      </c>
      <c r="N850" s="14">
        <f>8*2/13/39</f>
        <v>3.1558185404339252E-2</v>
      </c>
      <c r="O850" s="1">
        <f ca="1">P850*J850*(1+Growth!G$6)^(2010-K850)</f>
        <v>254.50488564786681</v>
      </c>
      <c r="P850" s="11">
        <f>66*44/12</f>
        <v>242</v>
      </c>
      <c r="Q850" s="2">
        <f t="shared" si="660"/>
        <v>242</v>
      </c>
      <c r="R850" s="21">
        <f t="shared" ca="1" si="650"/>
        <v>64772.736818633763</v>
      </c>
      <c r="U850" s="11"/>
      <c r="V850" s="11"/>
      <c r="W850" s="11"/>
      <c r="X850" s="11"/>
      <c r="Y850" s="11"/>
      <c r="Z850" s="11"/>
      <c r="AA850" s="11"/>
      <c r="AB850" s="11"/>
      <c r="AC850" s="1">
        <f t="shared" si="661"/>
        <v>6.4</v>
      </c>
      <c r="AD850" s="5">
        <v>1</v>
      </c>
      <c r="AE850" s="5">
        <v>0</v>
      </c>
      <c r="AF850" s="5">
        <v>1</v>
      </c>
      <c r="AG850" s="5">
        <v>0</v>
      </c>
      <c r="AH850" s="5">
        <v>1</v>
      </c>
      <c r="AI850" s="3">
        <f t="shared" si="658"/>
        <v>3.4</v>
      </c>
      <c r="AJ850" s="5">
        <f t="shared" si="606"/>
        <v>0</v>
      </c>
      <c r="AK850" s="5">
        <f t="shared" si="652"/>
        <v>0</v>
      </c>
      <c r="AL850" s="5">
        <f t="shared" si="653"/>
        <v>0</v>
      </c>
      <c r="AM850" s="5">
        <f t="shared" si="614"/>
        <v>0</v>
      </c>
      <c r="AN850" s="5">
        <f t="shared" si="654"/>
        <v>0</v>
      </c>
      <c r="AO850" s="5">
        <f t="shared" si="615"/>
        <v>0</v>
      </c>
      <c r="AP850" s="11">
        <v>3</v>
      </c>
      <c r="AQ850" s="11" t="s">
        <v>42</v>
      </c>
      <c r="AR850" s="5">
        <v>0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1</v>
      </c>
      <c r="AY850" s="1">
        <f t="shared" si="662"/>
        <v>0</v>
      </c>
      <c r="AZ850" s="1">
        <f t="shared" si="663"/>
        <v>0</v>
      </c>
      <c r="BA850" s="1">
        <f t="shared" si="664"/>
        <v>0</v>
      </c>
      <c r="BB850" s="5">
        <v>0</v>
      </c>
      <c r="BC850" s="5">
        <v>0</v>
      </c>
      <c r="BD850" s="5">
        <v>0</v>
      </c>
      <c r="BE850" s="5">
        <f t="shared" si="665"/>
        <v>1</v>
      </c>
      <c r="BF850" s="5">
        <v>0</v>
      </c>
      <c r="BG850" s="5">
        <f t="shared" si="655"/>
        <v>0</v>
      </c>
      <c r="BH850" s="5">
        <f t="shared" si="655"/>
        <v>0</v>
      </c>
      <c r="BI850" s="5">
        <f t="shared" si="655"/>
        <v>0</v>
      </c>
      <c r="BJ850" s="5">
        <f t="shared" si="655"/>
        <v>0</v>
      </c>
      <c r="BK850" s="5">
        <f t="shared" si="655"/>
        <v>0</v>
      </c>
      <c r="BL850" s="5">
        <f t="shared" si="655"/>
        <v>0</v>
      </c>
      <c r="BM850" s="5">
        <f t="shared" si="655"/>
        <v>0</v>
      </c>
      <c r="BN850" s="5">
        <f t="shared" si="647"/>
        <v>0</v>
      </c>
      <c r="BO850" s="5">
        <f t="shared" si="647"/>
        <v>0</v>
      </c>
      <c r="BP850" s="5">
        <f t="shared" si="647"/>
        <v>0</v>
      </c>
      <c r="BQ850" s="5">
        <f t="shared" si="647"/>
        <v>0</v>
      </c>
      <c r="BR850" s="5">
        <f t="shared" si="647"/>
        <v>0</v>
      </c>
      <c r="BS850" s="5">
        <f t="shared" si="647"/>
        <v>0</v>
      </c>
      <c r="BT850" s="5">
        <f t="shared" si="647"/>
        <v>0</v>
      </c>
      <c r="BU850" s="5">
        <f t="shared" si="647"/>
        <v>0</v>
      </c>
      <c r="BV850" s="5">
        <f t="shared" si="647"/>
        <v>0</v>
      </c>
      <c r="BW850" s="5">
        <f t="shared" si="647"/>
        <v>0</v>
      </c>
      <c r="BX850" s="5">
        <f t="shared" si="647"/>
        <v>0</v>
      </c>
      <c r="BY850" s="5">
        <f t="shared" si="647"/>
        <v>0</v>
      </c>
      <c r="BZ850" s="5">
        <f t="shared" si="647"/>
        <v>0</v>
      </c>
      <c r="CA850" s="5">
        <f t="shared" si="647"/>
        <v>0</v>
      </c>
      <c r="CB850" s="5">
        <f t="shared" si="647"/>
        <v>0</v>
      </c>
      <c r="CC850" s="5">
        <f t="shared" si="648"/>
        <v>0</v>
      </c>
      <c r="CD850" s="5">
        <f t="shared" si="648"/>
        <v>1</v>
      </c>
      <c r="CE850" s="5">
        <f t="shared" si="648"/>
        <v>0</v>
      </c>
    </row>
    <row r="851" spans="1:83" x14ac:dyDescent="0.2">
      <c r="A851" s="11"/>
      <c r="B851" s="11"/>
      <c r="C851" s="1">
        <f>Growth!D856</f>
        <v>1.5779092702169626E-2</v>
      </c>
      <c r="D851" s="5" t="b">
        <f t="shared" si="659"/>
        <v>0</v>
      </c>
      <c r="E851" s="5">
        <v>2014</v>
      </c>
      <c r="F851" s="5">
        <f ca="1">LOOKUP($E851,frequence!$A$2:$A$35,frequence!L$2:L$35)</f>
        <v>50.75383375536623</v>
      </c>
      <c r="G851" s="5">
        <f ca="1">LOOKUP($E851,frequence!$A$2:$A$35,frequence!K$2:K$35)</f>
        <v>9.9751715831189358</v>
      </c>
      <c r="H851" s="5">
        <f ca="1">LOOKUP($E851,frequence!$A$2:$A$35,frequence!M$2:M$35)</f>
        <v>236.05429056976001</v>
      </c>
      <c r="I851" s="16">
        <v>2007</v>
      </c>
      <c r="J851" s="7">
        <f>LOOKUP(I851,CPI!A$69:A$103,CPI!O$69:O$103)</f>
        <v>1.0516730811895323</v>
      </c>
      <c r="K851" s="16">
        <v>2010</v>
      </c>
      <c r="L851" s="7">
        <f t="shared" ca="1" si="649"/>
        <v>1</v>
      </c>
      <c r="M851" s="7">
        <f t="shared" si="608"/>
        <v>0.10098619329388561</v>
      </c>
      <c r="N851" s="14">
        <f>4*2/13/39</f>
        <v>1.5779092702169626E-2</v>
      </c>
      <c r="O851" s="1">
        <f ca="1">P851*J851*(1+Growth!G$6)^(2010-K851)</f>
        <v>370.18892457871539</v>
      </c>
      <c r="P851" s="11">
        <f>96*44/12</f>
        <v>352</v>
      </c>
      <c r="Q851" s="2">
        <f t="shared" si="660"/>
        <v>352</v>
      </c>
      <c r="R851" s="21">
        <f t="shared" ca="1" si="650"/>
        <v>137039.83988074583</v>
      </c>
      <c r="U851" s="11"/>
      <c r="V851" s="11"/>
      <c r="W851" s="11"/>
      <c r="X851" s="11"/>
      <c r="Y851" s="11"/>
      <c r="Z851" s="11"/>
      <c r="AA851" s="11"/>
      <c r="AB851" s="11"/>
      <c r="AC851" s="1">
        <f t="shared" si="661"/>
        <v>6.4</v>
      </c>
      <c r="AD851" s="5">
        <v>1</v>
      </c>
      <c r="AE851" s="5">
        <v>0</v>
      </c>
      <c r="AF851" s="5">
        <v>1</v>
      </c>
      <c r="AG851" s="5">
        <v>0</v>
      </c>
      <c r="AH851" s="5">
        <v>1</v>
      </c>
      <c r="AI851" s="3">
        <f t="shared" si="658"/>
        <v>3.4</v>
      </c>
      <c r="AJ851" s="5">
        <f t="shared" si="606"/>
        <v>0</v>
      </c>
      <c r="AK851" s="5">
        <f t="shared" si="652"/>
        <v>0</v>
      </c>
      <c r="AL851" s="5">
        <f t="shared" si="653"/>
        <v>0</v>
      </c>
      <c r="AM851" s="5">
        <f t="shared" si="614"/>
        <v>0</v>
      </c>
      <c r="AN851" s="5">
        <f t="shared" si="654"/>
        <v>0</v>
      </c>
      <c r="AO851" s="5">
        <f t="shared" si="615"/>
        <v>0</v>
      </c>
      <c r="AP851" s="11">
        <v>3</v>
      </c>
      <c r="AQ851" s="11" t="s">
        <v>42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1</v>
      </c>
      <c r="AY851" s="1">
        <f t="shared" si="662"/>
        <v>0</v>
      </c>
      <c r="AZ851" s="1">
        <f t="shared" si="663"/>
        <v>0</v>
      </c>
      <c r="BA851" s="1">
        <f t="shared" si="664"/>
        <v>0</v>
      </c>
      <c r="BB851" s="5">
        <v>0</v>
      </c>
      <c r="BC851" s="5">
        <v>0</v>
      </c>
      <c r="BD851" s="5">
        <v>0</v>
      </c>
      <c r="BE851" s="5">
        <f t="shared" si="665"/>
        <v>1</v>
      </c>
      <c r="BF851" s="5">
        <v>0</v>
      </c>
      <c r="BG851" s="5">
        <f t="shared" si="655"/>
        <v>0</v>
      </c>
      <c r="BH851" s="5">
        <f t="shared" si="655"/>
        <v>0</v>
      </c>
      <c r="BI851" s="5">
        <f t="shared" si="655"/>
        <v>0</v>
      </c>
      <c r="BJ851" s="5">
        <f t="shared" si="655"/>
        <v>0</v>
      </c>
      <c r="BK851" s="5">
        <f t="shared" si="655"/>
        <v>0</v>
      </c>
      <c r="BL851" s="5">
        <f t="shared" si="655"/>
        <v>0</v>
      </c>
      <c r="BM851" s="5">
        <f t="shared" si="655"/>
        <v>0</v>
      </c>
      <c r="BN851" s="5">
        <f t="shared" si="647"/>
        <v>0</v>
      </c>
      <c r="BO851" s="5">
        <f t="shared" si="647"/>
        <v>0</v>
      </c>
      <c r="BP851" s="5">
        <f t="shared" si="647"/>
        <v>0</v>
      </c>
      <c r="BQ851" s="5">
        <f t="shared" si="647"/>
        <v>0</v>
      </c>
      <c r="BR851" s="5">
        <f t="shared" si="647"/>
        <v>0</v>
      </c>
      <c r="BS851" s="5">
        <f t="shared" si="647"/>
        <v>0</v>
      </c>
      <c r="BT851" s="5">
        <f t="shared" si="647"/>
        <v>0</v>
      </c>
      <c r="BU851" s="5">
        <f t="shared" si="647"/>
        <v>0</v>
      </c>
      <c r="BV851" s="5">
        <f t="shared" si="647"/>
        <v>0</v>
      </c>
      <c r="BW851" s="5">
        <f t="shared" si="647"/>
        <v>0</v>
      </c>
      <c r="BX851" s="5">
        <f t="shared" si="647"/>
        <v>0</v>
      </c>
      <c r="BY851" s="5">
        <f t="shared" si="647"/>
        <v>0</v>
      </c>
      <c r="BZ851" s="5">
        <f t="shared" si="647"/>
        <v>0</v>
      </c>
      <c r="CA851" s="5">
        <f t="shared" si="647"/>
        <v>0</v>
      </c>
      <c r="CB851" s="5">
        <f t="shared" ref="CB851:CE870" si="667">IF($E851=CB$2,1,0)</f>
        <v>0</v>
      </c>
      <c r="CC851" s="5">
        <f t="shared" si="648"/>
        <v>0</v>
      </c>
      <c r="CD851" s="5">
        <f t="shared" si="648"/>
        <v>1</v>
      </c>
      <c r="CE851" s="5">
        <f t="shared" si="648"/>
        <v>0</v>
      </c>
    </row>
    <row r="852" spans="1:83" x14ac:dyDescent="0.2">
      <c r="A852" s="11"/>
      <c r="B852" s="11"/>
      <c r="C852" s="1">
        <f>Growth!D857</f>
        <v>7.889546351084813E-3</v>
      </c>
      <c r="D852" s="5" t="b">
        <f t="shared" si="659"/>
        <v>0</v>
      </c>
      <c r="E852" s="5">
        <v>2014</v>
      </c>
      <c r="F852" s="5">
        <f ca="1">LOOKUP($E852,frequence!$A$2:$A$35,frequence!L$2:L$35)</f>
        <v>50.75383375536623</v>
      </c>
      <c r="G852" s="5">
        <f ca="1">LOOKUP($E852,frequence!$A$2:$A$35,frequence!K$2:K$35)</f>
        <v>9.9751715831189358</v>
      </c>
      <c r="H852" s="5">
        <f ca="1">LOOKUP($E852,frequence!$A$2:$A$35,frequence!M$2:M$35)</f>
        <v>236.05429056976001</v>
      </c>
      <c r="I852" s="16">
        <v>2007</v>
      </c>
      <c r="J852" s="7">
        <f>LOOKUP(I852,CPI!A$69:A$103,CPI!O$69:O$103)</f>
        <v>1.0516730811895323</v>
      </c>
      <c r="K852" s="16">
        <v>2010</v>
      </c>
      <c r="L852" s="7">
        <f t="shared" ca="1" si="649"/>
        <v>1</v>
      </c>
      <c r="M852" s="7">
        <f t="shared" si="608"/>
        <v>5.0493096646942806E-2</v>
      </c>
      <c r="N852" s="14">
        <f>2*2/13/39</f>
        <v>7.889546351084813E-3</v>
      </c>
      <c r="O852" s="1">
        <f ca="1">P852*J852*(1+Growth!G$6)^(2010-K852)</f>
        <v>616.98154096452561</v>
      </c>
      <c r="P852" s="11">
        <f>160*44/12</f>
        <v>586.66666666666663</v>
      </c>
      <c r="Q852" s="2">
        <f t="shared" si="660"/>
        <v>586.66666666666663</v>
      </c>
      <c r="R852" s="21">
        <f t="shared" ca="1" si="650"/>
        <v>380666.22189096059</v>
      </c>
      <c r="U852" s="11"/>
      <c r="V852" s="11"/>
      <c r="W852" s="11"/>
      <c r="X852" s="11"/>
      <c r="Y852" s="11"/>
      <c r="Z852" s="11"/>
      <c r="AA852" s="11"/>
      <c r="AB852" s="11"/>
      <c r="AC852" s="1">
        <f t="shared" si="661"/>
        <v>6.4</v>
      </c>
      <c r="AD852" s="5">
        <v>1</v>
      </c>
      <c r="AE852" s="5">
        <v>0</v>
      </c>
      <c r="AF852" s="5">
        <v>1</v>
      </c>
      <c r="AG852" s="5">
        <v>0</v>
      </c>
      <c r="AH852" s="5">
        <v>1</v>
      </c>
      <c r="AI852" s="3">
        <f t="shared" si="658"/>
        <v>3.4</v>
      </c>
      <c r="AJ852" s="5">
        <f t="shared" si="606"/>
        <v>0</v>
      </c>
      <c r="AK852" s="5">
        <f t="shared" si="652"/>
        <v>0</v>
      </c>
      <c r="AL852" s="5">
        <f t="shared" si="653"/>
        <v>0</v>
      </c>
      <c r="AM852" s="5">
        <f t="shared" si="614"/>
        <v>0</v>
      </c>
      <c r="AN852" s="5">
        <f t="shared" si="654"/>
        <v>0</v>
      </c>
      <c r="AO852" s="5">
        <f t="shared" si="615"/>
        <v>0</v>
      </c>
      <c r="AP852" s="11">
        <v>3</v>
      </c>
      <c r="AQ852" s="11" t="s">
        <v>42</v>
      </c>
      <c r="AR852" s="5">
        <v>0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1</v>
      </c>
      <c r="AY852" s="1">
        <f t="shared" si="662"/>
        <v>0</v>
      </c>
      <c r="AZ852" s="1">
        <f t="shared" si="663"/>
        <v>0</v>
      </c>
      <c r="BA852" s="1">
        <f t="shared" si="664"/>
        <v>0</v>
      </c>
      <c r="BB852" s="5">
        <v>0</v>
      </c>
      <c r="BC852" s="5">
        <v>0</v>
      </c>
      <c r="BD852" s="5">
        <v>0</v>
      </c>
      <c r="BE852" s="5">
        <f t="shared" si="665"/>
        <v>1</v>
      </c>
      <c r="BF852" s="5">
        <v>0</v>
      </c>
      <c r="BG852" s="5">
        <f t="shared" si="655"/>
        <v>0</v>
      </c>
      <c r="BH852" s="5">
        <f t="shared" si="655"/>
        <v>0</v>
      </c>
      <c r="BI852" s="5">
        <f t="shared" si="655"/>
        <v>0</v>
      </c>
      <c r="BJ852" s="5">
        <f t="shared" si="655"/>
        <v>0</v>
      </c>
      <c r="BK852" s="5">
        <f t="shared" si="655"/>
        <v>0</v>
      </c>
      <c r="BL852" s="5">
        <f t="shared" si="655"/>
        <v>0</v>
      </c>
      <c r="BM852" s="5">
        <f t="shared" si="655"/>
        <v>0</v>
      </c>
      <c r="BN852" s="5">
        <f t="shared" si="655"/>
        <v>0</v>
      </c>
      <c r="BO852" s="5">
        <f t="shared" ref="BO852:CA867" si="668">IF($E852=BO$2,1,0)</f>
        <v>0</v>
      </c>
      <c r="BP852" s="5">
        <f t="shared" si="668"/>
        <v>0</v>
      </c>
      <c r="BQ852" s="5">
        <f t="shared" si="668"/>
        <v>0</v>
      </c>
      <c r="BR852" s="5">
        <f t="shared" si="668"/>
        <v>0</v>
      </c>
      <c r="BS852" s="5">
        <f t="shared" si="668"/>
        <v>0</v>
      </c>
      <c r="BT852" s="5">
        <f t="shared" si="668"/>
        <v>0</v>
      </c>
      <c r="BU852" s="5">
        <f t="shared" si="668"/>
        <v>0</v>
      </c>
      <c r="BV852" s="5">
        <f t="shared" si="668"/>
        <v>0</v>
      </c>
      <c r="BW852" s="5">
        <f t="shared" si="668"/>
        <v>0</v>
      </c>
      <c r="BX852" s="5">
        <f t="shared" si="668"/>
        <v>0</v>
      </c>
      <c r="BY852" s="5">
        <f t="shared" si="668"/>
        <v>0</v>
      </c>
      <c r="BZ852" s="5">
        <f t="shared" si="668"/>
        <v>0</v>
      </c>
      <c r="CA852" s="5">
        <f t="shared" si="668"/>
        <v>0</v>
      </c>
      <c r="CB852" s="5">
        <f t="shared" si="667"/>
        <v>0</v>
      </c>
      <c r="CC852" s="5">
        <f t="shared" si="648"/>
        <v>0</v>
      </c>
      <c r="CD852" s="5">
        <f t="shared" si="648"/>
        <v>1</v>
      </c>
      <c r="CE852" s="5">
        <f t="shared" si="648"/>
        <v>0</v>
      </c>
    </row>
    <row r="853" spans="1:83" x14ac:dyDescent="0.2">
      <c r="A853" s="11"/>
      <c r="B853" s="11"/>
      <c r="C853" s="1">
        <f>Growth!D858</f>
        <v>3.9447731755424065E-3</v>
      </c>
      <c r="D853" s="5" t="b">
        <f t="shared" si="659"/>
        <v>0</v>
      </c>
      <c r="E853" s="5">
        <v>2014</v>
      </c>
      <c r="F853" s="5">
        <f ca="1">LOOKUP($E853,frequence!$A$2:$A$35,frequence!L$2:L$35)</f>
        <v>50.75383375536623</v>
      </c>
      <c r="G853" s="5">
        <f ca="1">LOOKUP($E853,frequence!$A$2:$A$35,frequence!K$2:K$35)</f>
        <v>9.9751715831189358</v>
      </c>
      <c r="H853" s="5">
        <f ca="1">LOOKUP($E853,frequence!$A$2:$A$35,frequence!M$2:M$35)</f>
        <v>236.05429056976001</v>
      </c>
      <c r="I853" s="16">
        <v>2007</v>
      </c>
      <c r="J853" s="7">
        <f>LOOKUP(I853,CPI!A$69:A$103,CPI!O$69:O$103)</f>
        <v>1.0516730811895323</v>
      </c>
      <c r="K853" s="16">
        <v>2010</v>
      </c>
      <c r="L853" s="7">
        <f t="shared" ca="1" si="649"/>
        <v>1</v>
      </c>
      <c r="M853" s="7">
        <f t="shared" si="608"/>
        <v>2.5246548323471403E-2</v>
      </c>
      <c r="N853" s="14">
        <f>1*2/13/39</f>
        <v>3.9447731755424065E-3</v>
      </c>
      <c r="O853" s="1">
        <f ca="1">P853*J853*(1+Growth!G$6)^(2010-K853)</f>
        <v>886.91096513650564</v>
      </c>
      <c r="P853" s="11">
        <f>230*44/12</f>
        <v>843.33333333333337</v>
      </c>
      <c r="Q853" s="2">
        <f t="shared" si="660"/>
        <v>843.33333333333337</v>
      </c>
      <c r="R853" s="21">
        <f t="shared" ca="1" si="650"/>
        <v>786611.06007936795</v>
      </c>
      <c r="U853" s="11"/>
      <c r="V853" s="11"/>
      <c r="W853" s="11"/>
      <c r="X853" s="11"/>
      <c r="Y853" s="11"/>
      <c r="Z853" s="11"/>
      <c r="AA853" s="11"/>
      <c r="AB853" s="11"/>
      <c r="AC853" s="1">
        <f t="shared" si="661"/>
        <v>6.4</v>
      </c>
      <c r="AD853" s="5">
        <v>1</v>
      </c>
      <c r="AE853" s="5">
        <v>0</v>
      </c>
      <c r="AF853" s="5">
        <v>1</v>
      </c>
      <c r="AG853" s="5">
        <v>0</v>
      </c>
      <c r="AH853" s="5">
        <v>1</v>
      </c>
      <c r="AI853" s="3">
        <f t="shared" si="658"/>
        <v>3.4</v>
      </c>
      <c r="AJ853" s="5">
        <f t="shared" si="606"/>
        <v>0</v>
      </c>
      <c r="AK853" s="5">
        <f t="shared" si="652"/>
        <v>0</v>
      </c>
      <c r="AL853" s="5">
        <f t="shared" si="653"/>
        <v>0</v>
      </c>
      <c r="AM853" s="5">
        <f t="shared" si="614"/>
        <v>0</v>
      </c>
      <c r="AN853" s="5">
        <f t="shared" si="654"/>
        <v>0</v>
      </c>
      <c r="AO853" s="5">
        <f t="shared" si="615"/>
        <v>0</v>
      </c>
      <c r="AP853" s="11">
        <v>3</v>
      </c>
      <c r="AQ853" s="11" t="s">
        <v>42</v>
      </c>
      <c r="AR853" s="5">
        <v>0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1</v>
      </c>
      <c r="AY853" s="1">
        <f t="shared" si="662"/>
        <v>0</v>
      </c>
      <c r="AZ853" s="1">
        <f t="shared" si="663"/>
        <v>0</v>
      </c>
      <c r="BA853" s="1">
        <f t="shared" si="664"/>
        <v>0</v>
      </c>
      <c r="BB853" s="5">
        <v>0</v>
      </c>
      <c r="BC853" s="5">
        <v>0</v>
      </c>
      <c r="BD853" s="5">
        <v>0</v>
      </c>
      <c r="BE853" s="5">
        <f t="shared" si="665"/>
        <v>1</v>
      </c>
      <c r="BF853" s="5">
        <v>0</v>
      </c>
      <c r="BG853" s="5">
        <f t="shared" ref="BG853:BN868" si="669">IF($E853=BG$2,1,0)</f>
        <v>0</v>
      </c>
      <c r="BH853" s="5">
        <f t="shared" si="669"/>
        <v>0</v>
      </c>
      <c r="BI853" s="5">
        <f t="shared" si="669"/>
        <v>0</v>
      </c>
      <c r="BJ853" s="5">
        <f t="shared" si="669"/>
        <v>0</v>
      </c>
      <c r="BK853" s="5">
        <f t="shared" si="669"/>
        <v>0</v>
      </c>
      <c r="BL853" s="5">
        <f t="shared" si="669"/>
        <v>0</v>
      </c>
      <c r="BM853" s="5">
        <f t="shared" si="669"/>
        <v>0</v>
      </c>
      <c r="BN853" s="5">
        <f t="shared" si="669"/>
        <v>0</v>
      </c>
      <c r="BO853" s="5">
        <f t="shared" si="668"/>
        <v>0</v>
      </c>
      <c r="BP853" s="5">
        <f t="shared" si="668"/>
        <v>0</v>
      </c>
      <c r="BQ853" s="5">
        <f t="shared" si="668"/>
        <v>0</v>
      </c>
      <c r="BR853" s="5">
        <f t="shared" si="668"/>
        <v>0</v>
      </c>
      <c r="BS853" s="5">
        <f t="shared" si="668"/>
        <v>0</v>
      </c>
      <c r="BT853" s="5">
        <f t="shared" si="668"/>
        <v>0</v>
      </c>
      <c r="BU853" s="5">
        <f t="shared" si="668"/>
        <v>0</v>
      </c>
      <c r="BV853" s="5">
        <f t="shared" si="668"/>
        <v>0</v>
      </c>
      <c r="BW853" s="5">
        <f t="shared" si="668"/>
        <v>0</v>
      </c>
      <c r="BX853" s="5">
        <f t="shared" si="668"/>
        <v>0</v>
      </c>
      <c r="BY853" s="5">
        <f t="shared" si="668"/>
        <v>0</v>
      </c>
      <c r="BZ853" s="5">
        <f t="shared" si="668"/>
        <v>0</v>
      </c>
      <c r="CA853" s="5">
        <f t="shared" si="668"/>
        <v>0</v>
      </c>
      <c r="CB853" s="5">
        <f t="shared" si="667"/>
        <v>0</v>
      </c>
      <c r="CC853" s="5">
        <f t="shared" si="648"/>
        <v>0</v>
      </c>
      <c r="CD853" s="5">
        <f t="shared" si="648"/>
        <v>1</v>
      </c>
      <c r="CE853" s="5">
        <f t="shared" si="648"/>
        <v>0</v>
      </c>
    </row>
    <row r="854" spans="1:83" x14ac:dyDescent="0.2">
      <c r="A854" s="11"/>
      <c r="B854" s="11"/>
      <c r="C854" s="1">
        <f>Growth!D859</f>
        <v>6.3116370808678504E-2</v>
      </c>
      <c r="D854" s="5" t="b">
        <f t="shared" si="659"/>
        <v>0</v>
      </c>
      <c r="E854" s="5">
        <v>2014</v>
      </c>
      <c r="F854" s="5">
        <f ca="1">LOOKUP($E854,frequence!$A$2:$A$35,frequence!L$2:L$35)</f>
        <v>50.75383375536623</v>
      </c>
      <c r="G854" s="5">
        <f ca="1">LOOKUP($E854,frequence!$A$2:$A$35,frequence!K$2:K$35)</f>
        <v>9.9751715831189358</v>
      </c>
      <c r="H854" s="5">
        <f ca="1">LOOKUP($E854,frequence!$A$2:$A$35,frequence!M$2:M$35)</f>
        <v>236.05429056976001</v>
      </c>
      <c r="I854" s="16">
        <v>2007</v>
      </c>
      <c r="J854" s="7">
        <f>LOOKUP(I854,CPI!A$69:A$103,CPI!O$69:O$103)</f>
        <v>1.0516730811895323</v>
      </c>
      <c r="K854" s="16">
        <v>2010</v>
      </c>
      <c r="L854" s="7">
        <f t="shared" ca="1" si="649"/>
        <v>1</v>
      </c>
      <c r="M854" s="7">
        <f t="shared" si="608"/>
        <v>0.40394477317554245</v>
      </c>
      <c r="N854" s="14">
        <f>16*2/13/39</f>
        <v>6.3116370808678504E-2</v>
      </c>
      <c r="O854" s="1">
        <f ca="1">P854*J854*(1+Growth!G$6)^(2010-K854)</f>
        <v>61.698154096452555</v>
      </c>
      <c r="P854" s="11">
        <f>16*44/12</f>
        <v>58.666666666666664</v>
      </c>
      <c r="Q854" s="2">
        <f t="shared" si="660"/>
        <v>58.666666666666664</v>
      </c>
      <c r="R854" s="21">
        <f t="shared" ca="1" si="650"/>
        <v>3806.6622189096051</v>
      </c>
      <c r="U854" s="11"/>
      <c r="V854" s="11"/>
      <c r="W854" s="11"/>
      <c r="X854" s="11"/>
      <c r="Y854" s="11"/>
      <c r="Z854" s="11"/>
      <c r="AA854" s="11"/>
      <c r="AB854" s="11"/>
      <c r="AC854" s="1">
        <f t="shared" si="661"/>
        <v>6.4</v>
      </c>
      <c r="AD854" s="5">
        <v>1</v>
      </c>
      <c r="AE854" s="5">
        <v>0</v>
      </c>
      <c r="AF854" s="5">
        <v>1</v>
      </c>
      <c r="AG854" s="5">
        <v>0</v>
      </c>
      <c r="AH854" s="5">
        <v>1</v>
      </c>
      <c r="AI854" s="3">
        <f t="shared" si="658"/>
        <v>3.4</v>
      </c>
      <c r="AJ854" s="5">
        <f t="shared" si="606"/>
        <v>0</v>
      </c>
      <c r="AK854" s="5">
        <f t="shared" si="652"/>
        <v>0</v>
      </c>
      <c r="AL854" s="5">
        <f t="shared" si="653"/>
        <v>0</v>
      </c>
      <c r="AM854" s="5">
        <f t="shared" si="614"/>
        <v>1</v>
      </c>
      <c r="AN854" s="5">
        <f t="shared" si="654"/>
        <v>0</v>
      </c>
      <c r="AO854" s="5">
        <f t="shared" si="615"/>
        <v>0</v>
      </c>
      <c r="AP854" s="11" t="s">
        <v>42</v>
      </c>
      <c r="AQ854" s="11">
        <v>1</v>
      </c>
      <c r="AR854" s="5">
        <v>0</v>
      </c>
      <c r="AS854" s="5">
        <v>0</v>
      </c>
      <c r="AT854" s="5">
        <v>0</v>
      </c>
      <c r="AU854" s="5">
        <v>0</v>
      </c>
      <c r="AV854" s="5">
        <v>0</v>
      </c>
      <c r="AW854" s="5">
        <v>0</v>
      </c>
      <c r="AX854" s="5">
        <v>1</v>
      </c>
      <c r="AY854" s="1">
        <f t="shared" si="662"/>
        <v>0</v>
      </c>
      <c r="AZ854" s="1">
        <f t="shared" si="663"/>
        <v>1</v>
      </c>
      <c r="BA854" s="1">
        <f t="shared" si="664"/>
        <v>0</v>
      </c>
      <c r="BB854" s="5">
        <v>0</v>
      </c>
      <c r="BC854" s="5">
        <v>0</v>
      </c>
      <c r="BD854" s="5">
        <v>0</v>
      </c>
      <c r="BE854" s="5">
        <f t="shared" si="665"/>
        <v>1</v>
      </c>
      <c r="BF854" s="5">
        <v>0</v>
      </c>
      <c r="BG854" s="5">
        <f t="shared" si="669"/>
        <v>0</v>
      </c>
      <c r="BH854" s="5">
        <f t="shared" si="669"/>
        <v>0</v>
      </c>
      <c r="BI854" s="5">
        <f t="shared" si="669"/>
        <v>0</v>
      </c>
      <c r="BJ854" s="5">
        <f t="shared" si="669"/>
        <v>0</v>
      </c>
      <c r="BK854" s="5">
        <f t="shared" si="669"/>
        <v>0</v>
      </c>
      <c r="BL854" s="5">
        <f t="shared" si="669"/>
        <v>0</v>
      </c>
      <c r="BM854" s="5">
        <f t="shared" si="669"/>
        <v>0</v>
      </c>
      <c r="BN854" s="5">
        <f t="shared" si="669"/>
        <v>0</v>
      </c>
      <c r="BO854" s="5">
        <f t="shared" si="668"/>
        <v>0</v>
      </c>
      <c r="BP854" s="5">
        <f t="shared" si="668"/>
        <v>0</v>
      </c>
      <c r="BQ854" s="5">
        <f t="shared" si="668"/>
        <v>0</v>
      </c>
      <c r="BR854" s="5">
        <f t="shared" si="668"/>
        <v>0</v>
      </c>
      <c r="BS854" s="5">
        <f t="shared" si="668"/>
        <v>0</v>
      </c>
      <c r="BT854" s="5">
        <f t="shared" si="668"/>
        <v>0</v>
      </c>
      <c r="BU854" s="5">
        <f t="shared" si="668"/>
        <v>0</v>
      </c>
      <c r="BV854" s="5">
        <f t="shared" si="668"/>
        <v>0</v>
      </c>
      <c r="BW854" s="5">
        <f t="shared" si="668"/>
        <v>0</v>
      </c>
      <c r="BX854" s="5">
        <f t="shared" si="668"/>
        <v>0</v>
      </c>
      <c r="BY854" s="5">
        <f t="shared" si="668"/>
        <v>0</v>
      </c>
      <c r="BZ854" s="5">
        <f t="shared" si="668"/>
        <v>0</v>
      </c>
      <c r="CA854" s="5">
        <f t="shared" si="668"/>
        <v>0</v>
      </c>
      <c r="CB854" s="5">
        <f t="shared" si="667"/>
        <v>0</v>
      </c>
      <c r="CC854" s="5">
        <f t="shared" si="648"/>
        <v>0</v>
      </c>
      <c r="CD854" s="5">
        <f t="shared" si="648"/>
        <v>1</v>
      </c>
      <c r="CE854" s="5">
        <f t="shared" si="648"/>
        <v>0</v>
      </c>
    </row>
    <row r="855" spans="1:83" x14ac:dyDescent="0.2">
      <c r="A855" s="11"/>
      <c r="B855" s="11"/>
      <c r="C855" s="1">
        <f>Growth!D860</f>
        <v>3.1558185404339252E-2</v>
      </c>
      <c r="D855" s="5" t="b">
        <f t="shared" si="659"/>
        <v>0</v>
      </c>
      <c r="E855" s="5">
        <v>2014</v>
      </c>
      <c r="F855" s="5">
        <f ca="1">LOOKUP($E855,frequence!$A$2:$A$35,frequence!L$2:L$35)</f>
        <v>50.75383375536623</v>
      </c>
      <c r="G855" s="5">
        <f ca="1">LOOKUP($E855,frequence!$A$2:$A$35,frequence!K$2:K$35)</f>
        <v>9.9751715831189358</v>
      </c>
      <c r="H855" s="5">
        <f ca="1">LOOKUP($E855,frequence!$A$2:$A$35,frequence!M$2:M$35)</f>
        <v>236.05429056976001</v>
      </c>
      <c r="I855" s="16">
        <v>2007</v>
      </c>
      <c r="J855" s="7">
        <f>LOOKUP(I855,CPI!A$69:A$103,CPI!O$69:O$103)</f>
        <v>1.0516730811895323</v>
      </c>
      <c r="K855" s="16">
        <v>2010</v>
      </c>
      <c r="L855" s="7">
        <f t="shared" ca="1" si="649"/>
        <v>1</v>
      </c>
      <c r="M855" s="7">
        <f t="shared" si="608"/>
        <v>0.20197238658777122</v>
      </c>
      <c r="N855" s="14">
        <f>8*2/13/39</f>
        <v>3.1558185404339252E-2</v>
      </c>
      <c r="O855" s="1">
        <f ca="1">P855*J855*(1+Growth!G$6)^(2010-K855)</f>
        <v>80.978827251593984</v>
      </c>
      <c r="P855" s="11">
        <f>21*44/12</f>
        <v>77</v>
      </c>
      <c r="Q855" s="2">
        <f t="shared" si="660"/>
        <v>77</v>
      </c>
      <c r="R855" s="21">
        <f t="shared" ca="1" si="650"/>
        <v>6557.5704630435002</v>
      </c>
      <c r="U855" s="11"/>
      <c r="V855" s="11"/>
      <c r="W855" s="11"/>
      <c r="X855" s="11"/>
      <c r="Y855" s="11"/>
      <c r="Z855" s="11"/>
      <c r="AA855" s="11"/>
      <c r="AB855" s="11"/>
      <c r="AC855" s="1">
        <f t="shared" si="661"/>
        <v>6.4</v>
      </c>
      <c r="AD855" s="5">
        <v>1</v>
      </c>
      <c r="AE855" s="5">
        <v>0</v>
      </c>
      <c r="AF855" s="5">
        <v>1</v>
      </c>
      <c r="AG855" s="5">
        <v>0</v>
      </c>
      <c r="AH855" s="5">
        <v>1</v>
      </c>
      <c r="AI855" s="3">
        <f t="shared" si="658"/>
        <v>3.4</v>
      </c>
      <c r="AJ855" s="5">
        <f t="shared" ref="AJ855:AJ918" si="670">IF($AQ855=3,1,0)</f>
        <v>0</v>
      </c>
      <c r="AK855" s="5">
        <f t="shared" si="652"/>
        <v>0</v>
      </c>
      <c r="AL855" s="5">
        <f t="shared" si="653"/>
        <v>0</v>
      </c>
      <c r="AM855" s="5">
        <f t="shared" si="614"/>
        <v>1</v>
      </c>
      <c r="AN855" s="5">
        <f t="shared" si="654"/>
        <v>0</v>
      </c>
      <c r="AO855" s="5">
        <f t="shared" si="615"/>
        <v>0</v>
      </c>
      <c r="AP855" s="11" t="s">
        <v>42</v>
      </c>
      <c r="AQ855" s="11">
        <v>1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1</v>
      </c>
      <c r="AY855" s="1">
        <f t="shared" si="662"/>
        <v>0</v>
      </c>
      <c r="AZ855" s="1">
        <f t="shared" si="663"/>
        <v>1</v>
      </c>
      <c r="BA855" s="1">
        <f t="shared" si="664"/>
        <v>0</v>
      </c>
      <c r="BB855" s="5">
        <v>0</v>
      </c>
      <c r="BC855" s="5">
        <v>0</v>
      </c>
      <c r="BD855" s="5">
        <v>0</v>
      </c>
      <c r="BE855" s="5">
        <f t="shared" si="665"/>
        <v>1</v>
      </c>
      <c r="BF855" s="5">
        <v>0</v>
      </c>
      <c r="BG855" s="5">
        <f t="shared" si="669"/>
        <v>0</v>
      </c>
      <c r="BH855" s="5">
        <f t="shared" si="669"/>
        <v>0</v>
      </c>
      <c r="BI855" s="5">
        <f t="shared" si="669"/>
        <v>0</v>
      </c>
      <c r="BJ855" s="5">
        <f t="shared" si="669"/>
        <v>0</v>
      </c>
      <c r="BK855" s="5">
        <f t="shared" si="669"/>
        <v>0</v>
      </c>
      <c r="BL855" s="5">
        <f t="shared" si="669"/>
        <v>0</v>
      </c>
      <c r="BM855" s="5">
        <f t="shared" si="669"/>
        <v>0</v>
      </c>
      <c r="BN855" s="5">
        <f t="shared" si="669"/>
        <v>0</v>
      </c>
      <c r="BO855" s="5">
        <f t="shared" si="668"/>
        <v>0</v>
      </c>
      <c r="BP855" s="5">
        <f t="shared" si="668"/>
        <v>0</v>
      </c>
      <c r="BQ855" s="5">
        <f t="shared" si="668"/>
        <v>0</v>
      </c>
      <c r="BR855" s="5">
        <f t="shared" si="668"/>
        <v>0</v>
      </c>
      <c r="BS855" s="5">
        <f t="shared" si="668"/>
        <v>0</v>
      </c>
      <c r="BT855" s="5">
        <f t="shared" si="668"/>
        <v>0</v>
      </c>
      <c r="BU855" s="5">
        <f t="shared" si="668"/>
        <v>0</v>
      </c>
      <c r="BV855" s="5">
        <f t="shared" si="668"/>
        <v>0</v>
      </c>
      <c r="BW855" s="5">
        <f t="shared" si="668"/>
        <v>0</v>
      </c>
      <c r="BX855" s="5">
        <f t="shared" si="668"/>
        <v>0</v>
      </c>
      <c r="BY855" s="5">
        <f t="shared" si="668"/>
        <v>0</v>
      </c>
      <c r="BZ855" s="5">
        <f t="shared" si="668"/>
        <v>0</v>
      </c>
      <c r="CA855" s="5">
        <f t="shared" si="668"/>
        <v>0</v>
      </c>
      <c r="CB855" s="5">
        <f t="shared" si="667"/>
        <v>0</v>
      </c>
      <c r="CC855" s="5">
        <f t="shared" si="648"/>
        <v>0</v>
      </c>
      <c r="CD855" s="5">
        <f t="shared" si="648"/>
        <v>1</v>
      </c>
      <c r="CE855" s="5">
        <f t="shared" si="648"/>
        <v>0</v>
      </c>
    </row>
    <row r="856" spans="1:83" x14ac:dyDescent="0.2">
      <c r="A856" s="11"/>
      <c r="B856" s="11"/>
      <c r="C856" s="1">
        <f>Growth!D861</f>
        <v>3.1558185404339252E-2</v>
      </c>
      <c r="D856" s="5" t="b">
        <f t="shared" si="659"/>
        <v>0</v>
      </c>
      <c r="E856" s="5">
        <v>2014</v>
      </c>
      <c r="F856" s="5">
        <f ca="1">LOOKUP($E856,frequence!$A$2:$A$35,frequence!L$2:L$35)</f>
        <v>50.75383375536623</v>
      </c>
      <c r="G856" s="5">
        <f ca="1">LOOKUP($E856,frequence!$A$2:$A$35,frequence!K$2:K$35)</f>
        <v>9.9751715831189358</v>
      </c>
      <c r="H856" s="5">
        <f ca="1">LOOKUP($E856,frequence!$A$2:$A$35,frequence!M$2:M$35)</f>
        <v>236.05429056976001</v>
      </c>
      <c r="I856" s="16">
        <v>2007</v>
      </c>
      <c r="J856" s="7">
        <f>LOOKUP(I856,CPI!A$69:A$103,CPI!O$69:O$103)</f>
        <v>1.0516730811895323</v>
      </c>
      <c r="K856" s="16">
        <v>2010</v>
      </c>
      <c r="L856" s="7">
        <f t="shared" ca="1" si="649"/>
        <v>1</v>
      </c>
      <c r="M856" s="7">
        <f t="shared" ref="M856:M1216" si="671">N856*AC856</f>
        <v>0.20197238658777122</v>
      </c>
      <c r="N856" s="14">
        <f>8*2/13/39</f>
        <v>3.1558185404339252E-2</v>
      </c>
      <c r="O856" s="1">
        <f ca="1">P856*J856*(1+Growth!G$6)^(2010-K856)</f>
        <v>158.10151987215968</v>
      </c>
      <c r="P856" s="11">
        <f>41*44/12</f>
        <v>150.33333333333334</v>
      </c>
      <c r="Q856" s="2">
        <f t="shared" si="660"/>
        <v>150.33333333333334</v>
      </c>
      <c r="R856" s="21">
        <f t="shared" ca="1" si="650"/>
        <v>24996.090585886905</v>
      </c>
      <c r="U856" s="11"/>
      <c r="V856" s="11"/>
      <c r="W856" s="11"/>
      <c r="X856" s="11"/>
      <c r="Y856" s="11"/>
      <c r="Z856" s="11"/>
      <c r="AA856" s="11"/>
      <c r="AB856" s="11"/>
      <c r="AC856" s="1">
        <f t="shared" si="661"/>
        <v>6.4</v>
      </c>
      <c r="AD856" s="5">
        <v>1</v>
      </c>
      <c r="AE856" s="5">
        <v>0</v>
      </c>
      <c r="AF856" s="5">
        <v>1</v>
      </c>
      <c r="AG856" s="5">
        <v>0</v>
      </c>
      <c r="AH856" s="5">
        <v>1</v>
      </c>
      <c r="AI856" s="3">
        <f t="shared" si="658"/>
        <v>3.4</v>
      </c>
      <c r="AJ856" s="5">
        <f t="shared" si="670"/>
        <v>0</v>
      </c>
      <c r="AK856" s="5">
        <f t="shared" si="652"/>
        <v>0</v>
      </c>
      <c r="AL856" s="5">
        <f t="shared" si="653"/>
        <v>0</v>
      </c>
      <c r="AM856" s="5">
        <f t="shared" si="614"/>
        <v>1</v>
      </c>
      <c r="AN856" s="5">
        <f t="shared" si="654"/>
        <v>0</v>
      </c>
      <c r="AO856" s="5">
        <f t="shared" si="615"/>
        <v>0</v>
      </c>
      <c r="AP856" s="11" t="s">
        <v>42</v>
      </c>
      <c r="AQ856" s="11">
        <v>1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1</v>
      </c>
      <c r="AY856" s="1">
        <f t="shared" si="662"/>
        <v>0</v>
      </c>
      <c r="AZ856" s="1">
        <f t="shared" si="663"/>
        <v>1</v>
      </c>
      <c r="BA856" s="1">
        <f t="shared" si="664"/>
        <v>0</v>
      </c>
      <c r="BB856" s="5">
        <v>0</v>
      </c>
      <c r="BC856" s="5">
        <v>0</v>
      </c>
      <c r="BD856" s="5">
        <v>0</v>
      </c>
      <c r="BE856" s="5">
        <f t="shared" si="665"/>
        <v>1</v>
      </c>
      <c r="BF856" s="5">
        <v>0</v>
      </c>
      <c r="BG856" s="5">
        <f t="shared" si="669"/>
        <v>0</v>
      </c>
      <c r="BH856" s="5">
        <f t="shared" si="669"/>
        <v>0</v>
      </c>
      <c r="BI856" s="5">
        <f t="shared" si="669"/>
        <v>0</v>
      </c>
      <c r="BJ856" s="5">
        <f t="shared" si="669"/>
        <v>0</v>
      </c>
      <c r="BK856" s="5">
        <f t="shared" si="669"/>
        <v>0</v>
      </c>
      <c r="BL856" s="5">
        <f t="shared" si="669"/>
        <v>0</v>
      </c>
      <c r="BM856" s="5">
        <f t="shared" si="669"/>
        <v>0</v>
      </c>
      <c r="BN856" s="5">
        <f t="shared" si="669"/>
        <v>0</v>
      </c>
      <c r="BO856" s="5">
        <f t="shared" si="668"/>
        <v>0</v>
      </c>
      <c r="BP856" s="5">
        <f t="shared" si="668"/>
        <v>0</v>
      </c>
      <c r="BQ856" s="5">
        <f t="shared" si="668"/>
        <v>0</v>
      </c>
      <c r="BR856" s="5">
        <f t="shared" si="668"/>
        <v>0</v>
      </c>
      <c r="BS856" s="5">
        <f t="shared" si="668"/>
        <v>0</v>
      </c>
      <c r="BT856" s="5">
        <f t="shared" si="668"/>
        <v>0</v>
      </c>
      <c r="BU856" s="5">
        <f t="shared" si="668"/>
        <v>0</v>
      </c>
      <c r="BV856" s="5">
        <f t="shared" si="668"/>
        <v>0</v>
      </c>
      <c r="BW856" s="5">
        <f t="shared" si="668"/>
        <v>0</v>
      </c>
      <c r="BX856" s="5">
        <f t="shared" si="668"/>
        <v>0</v>
      </c>
      <c r="BY856" s="5">
        <f t="shared" si="668"/>
        <v>0</v>
      </c>
      <c r="BZ856" s="5">
        <f t="shared" si="668"/>
        <v>0</v>
      </c>
      <c r="CA856" s="5">
        <f t="shared" si="668"/>
        <v>0</v>
      </c>
      <c r="CB856" s="5">
        <f t="shared" si="667"/>
        <v>0</v>
      </c>
      <c r="CC856" s="5">
        <f t="shared" si="667"/>
        <v>0</v>
      </c>
      <c r="CD856" s="5">
        <f t="shared" si="667"/>
        <v>1</v>
      </c>
      <c r="CE856" s="5">
        <f t="shared" si="667"/>
        <v>0</v>
      </c>
    </row>
    <row r="857" spans="1:83" x14ac:dyDescent="0.2">
      <c r="A857" s="11"/>
      <c r="B857" s="11"/>
      <c r="C857" s="1">
        <f>Growth!D862</f>
        <v>1.5779092702169626E-2</v>
      </c>
      <c r="D857" s="5" t="b">
        <f t="shared" si="659"/>
        <v>0</v>
      </c>
      <c r="E857" s="5">
        <v>2014</v>
      </c>
      <c r="F857" s="5">
        <f ca="1">LOOKUP($E857,frequence!$A$2:$A$35,frequence!L$2:L$35)</f>
        <v>50.75383375536623</v>
      </c>
      <c r="G857" s="5">
        <f ca="1">LOOKUP($E857,frequence!$A$2:$A$35,frequence!K$2:K$35)</f>
        <v>9.9751715831189358</v>
      </c>
      <c r="H857" s="5">
        <f ca="1">LOOKUP($E857,frequence!$A$2:$A$35,frequence!M$2:M$35)</f>
        <v>236.05429056976001</v>
      </c>
      <c r="I857" s="16">
        <v>2007</v>
      </c>
      <c r="J857" s="7">
        <f>LOOKUP(I857,CPI!A$69:A$103,CPI!O$69:O$103)</f>
        <v>1.0516730811895323</v>
      </c>
      <c r="K857" s="16">
        <v>2010</v>
      </c>
      <c r="L857" s="7">
        <f t="shared" ca="1" si="649"/>
        <v>1</v>
      </c>
      <c r="M857" s="7">
        <f t="shared" si="671"/>
        <v>0.10098619329388561</v>
      </c>
      <c r="N857" s="14">
        <f>4*2/13/39</f>
        <v>1.5779092702169626E-2</v>
      </c>
      <c r="O857" s="1">
        <f ca="1">P857*J857*(1+Growth!G$6)^(2010-K857)</f>
        <v>273.7855588030082</v>
      </c>
      <c r="P857" s="11">
        <f>71*44/12</f>
        <v>260.33333333333331</v>
      </c>
      <c r="Q857" s="2">
        <f t="shared" si="660"/>
        <v>260.33333333333331</v>
      </c>
      <c r="R857" s="21">
        <f t="shared" ca="1" si="650"/>
        <v>74958.532209075463</v>
      </c>
      <c r="U857" s="11"/>
      <c r="V857" s="11"/>
      <c r="W857" s="11"/>
      <c r="X857" s="11"/>
      <c r="Y857" s="11"/>
      <c r="Z857" s="11"/>
      <c r="AA857" s="11"/>
      <c r="AB857" s="11"/>
      <c r="AC857" s="1">
        <f t="shared" si="661"/>
        <v>6.4</v>
      </c>
      <c r="AD857" s="5">
        <v>1</v>
      </c>
      <c r="AE857" s="5">
        <v>0</v>
      </c>
      <c r="AF857" s="5">
        <v>1</v>
      </c>
      <c r="AG857" s="5">
        <v>0</v>
      </c>
      <c r="AH857" s="5">
        <v>1</v>
      </c>
      <c r="AI857" s="3">
        <f t="shared" si="658"/>
        <v>3.4</v>
      </c>
      <c r="AJ857" s="5">
        <f t="shared" si="670"/>
        <v>0</v>
      </c>
      <c r="AK857" s="5">
        <f t="shared" si="652"/>
        <v>0</v>
      </c>
      <c r="AL857" s="5">
        <f t="shared" si="653"/>
        <v>0</v>
      </c>
      <c r="AM857" s="5">
        <f t="shared" si="614"/>
        <v>1</v>
      </c>
      <c r="AN857" s="5">
        <f t="shared" si="654"/>
        <v>0</v>
      </c>
      <c r="AO857" s="5">
        <f t="shared" si="615"/>
        <v>0</v>
      </c>
      <c r="AP857" s="11" t="s">
        <v>42</v>
      </c>
      <c r="AQ857" s="11">
        <v>1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1</v>
      </c>
      <c r="AY857" s="1">
        <f t="shared" si="662"/>
        <v>0</v>
      </c>
      <c r="AZ857" s="1">
        <f t="shared" si="663"/>
        <v>1</v>
      </c>
      <c r="BA857" s="1">
        <f t="shared" si="664"/>
        <v>0</v>
      </c>
      <c r="BB857" s="5">
        <v>0</v>
      </c>
      <c r="BC857" s="5">
        <v>0</v>
      </c>
      <c r="BD857" s="5">
        <v>0</v>
      </c>
      <c r="BE857" s="5">
        <f t="shared" si="665"/>
        <v>1</v>
      </c>
      <c r="BF857" s="5">
        <v>0</v>
      </c>
      <c r="BG857" s="5">
        <f t="shared" si="669"/>
        <v>0</v>
      </c>
      <c r="BH857" s="5">
        <f t="shared" si="669"/>
        <v>0</v>
      </c>
      <c r="BI857" s="5">
        <f t="shared" si="669"/>
        <v>0</v>
      </c>
      <c r="BJ857" s="5">
        <f t="shared" si="669"/>
        <v>0</v>
      </c>
      <c r="BK857" s="5">
        <f t="shared" si="669"/>
        <v>0</v>
      </c>
      <c r="BL857" s="5">
        <f t="shared" si="669"/>
        <v>0</v>
      </c>
      <c r="BM857" s="5">
        <f t="shared" si="669"/>
        <v>0</v>
      </c>
      <c r="BN857" s="5">
        <f t="shared" si="669"/>
        <v>0</v>
      </c>
      <c r="BO857" s="5">
        <f t="shared" si="668"/>
        <v>0</v>
      </c>
      <c r="BP857" s="5">
        <f t="shared" si="668"/>
        <v>0</v>
      </c>
      <c r="BQ857" s="5">
        <f t="shared" si="668"/>
        <v>0</v>
      </c>
      <c r="BR857" s="5">
        <f t="shared" si="668"/>
        <v>0</v>
      </c>
      <c r="BS857" s="5">
        <f t="shared" si="668"/>
        <v>0</v>
      </c>
      <c r="BT857" s="5">
        <f t="shared" si="668"/>
        <v>0</v>
      </c>
      <c r="BU857" s="5">
        <f t="shared" si="668"/>
        <v>0</v>
      </c>
      <c r="BV857" s="5">
        <f t="shared" si="668"/>
        <v>0</v>
      </c>
      <c r="BW857" s="5">
        <f t="shared" si="668"/>
        <v>0</v>
      </c>
      <c r="BX857" s="5">
        <f t="shared" si="668"/>
        <v>0</v>
      </c>
      <c r="BY857" s="5">
        <f t="shared" si="668"/>
        <v>0</v>
      </c>
      <c r="BZ857" s="5">
        <f t="shared" si="668"/>
        <v>0</v>
      </c>
      <c r="CA857" s="5">
        <f t="shared" si="668"/>
        <v>0</v>
      </c>
      <c r="CB857" s="5">
        <f t="shared" si="667"/>
        <v>0</v>
      </c>
      <c r="CC857" s="5">
        <f t="shared" si="667"/>
        <v>0</v>
      </c>
      <c r="CD857" s="5">
        <f t="shared" si="667"/>
        <v>1</v>
      </c>
      <c r="CE857" s="5">
        <f t="shared" si="667"/>
        <v>0</v>
      </c>
    </row>
    <row r="858" spans="1:83" x14ac:dyDescent="0.2">
      <c r="A858" s="11"/>
      <c r="B858" s="11"/>
      <c r="C858" s="1">
        <f>Growth!D863</f>
        <v>7.889546351084813E-3</v>
      </c>
      <c r="D858" s="5" t="b">
        <f t="shared" si="659"/>
        <v>0</v>
      </c>
      <c r="E858" s="5">
        <v>2014</v>
      </c>
      <c r="F858" s="5">
        <f ca="1">LOOKUP($E858,frequence!$A$2:$A$35,frequence!L$2:L$35)</f>
        <v>50.75383375536623</v>
      </c>
      <c r="G858" s="5">
        <f ca="1">LOOKUP($E858,frequence!$A$2:$A$35,frequence!K$2:K$35)</f>
        <v>9.9751715831189358</v>
      </c>
      <c r="H858" s="5">
        <f ca="1">LOOKUP($E858,frequence!$A$2:$A$35,frequence!M$2:M$35)</f>
        <v>236.05429056976001</v>
      </c>
      <c r="I858" s="16">
        <v>2007</v>
      </c>
      <c r="J858" s="7">
        <f>LOOKUP(I858,CPI!A$69:A$103,CPI!O$69:O$103)</f>
        <v>1.0516730811895323</v>
      </c>
      <c r="K858" s="16">
        <v>2010</v>
      </c>
      <c r="L858" s="7">
        <f t="shared" ca="1" si="649"/>
        <v>1</v>
      </c>
      <c r="M858" s="7">
        <f t="shared" si="671"/>
        <v>5.0493096646942806E-2</v>
      </c>
      <c r="N858" s="14">
        <f>2*2/13/39</f>
        <v>7.889546351084813E-3</v>
      </c>
      <c r="O858" s="1">
        <f ca="1">P858*J858*(1+Growth!G$6)^(2010-K858)</f>
        <v>771.22692620565704</v>
      </c>
      <c r="P858" s="11">
        <f>200*44/12</f>
        <v>733.33333333333337</v>
      </c>
      <c r="Q858" s="2">
        <f t="shared" si="660"/>
        <v>733.33333333333337</v>
      </c>
      <c r="R858" s="21">
        <f t="shared" ca="1" si="650"/>
        <v>594790.97170462599</v>
      </c>
      <c r="U858" s="11"/>
      <c r="V858" s="11"/>
      <c r="W858" s="11"/>
      <c r="X858" s="11"/>
      <c r="Y858" s="11"/>
      <c r="Z858" s="11"/>
      <c r="AA858" s="11"/>
      <c r="AB858" s="11"/>
      <c r="AC858" s="1">
        <f t="shared" si="661"/>
        <v>6.4</v>
      </c>
      <c r="AD858" s="5">
        <v>1</v>
      </c>
      <c r="AE858" s="5">
        <v>0</v>
      </c>
      <c r="AF858" s="5">
        <v>1</v>
      </c>
      <c r="AG858" s="5">
        <v>0</v>
      </c>
      <c r="AH858" s="5">
        <v>1</v>
      </c>
      <c r="AI858" s="3">
        <f t="shared" si="658"/>
        <v>3.4</v>
      </c>
      <c r="AJ858" s="5">
        <f t="shared" si="670"/>
        <v>0</v>
      </c>
      <c r="AK858" s="5">
        <f t="shared" si="652"/>
        <v>0</v>
      </c>
      <c r="AL858" s="5">
        <f t="shared" si="653"/>
        <v>0</v>
      </c>
      <c r="AM858" s="5">
        <f t="shared" ref="AM858:AM921" si="672">IF($AQ858=1,1,0)</f>
        <v>1</v>
      </c>
      <c r="AN858" s="5">
        <f t="shared" si="654"/>
        <v>0</v>
      </c>
      <c r="AO858" s="5">
        <f t="shared" ref="AO858:AO921" si="673">IF($AQ858=0,1,0)</f>
        <v>0</v>
      </c>
      <c r="AP858" s="11" t="s">
        <v>42</v>
      </c>
      <c r="AQ858" s="11">
        <v>1</v>
      </c>
      <c r="AR858" s="5">
        <v>0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1</v>
      </c>
      <c r="AY858" s="1">
        <f t="shared" si="662"/>
        <v>0</v>
      </c>
      <c r="AZ858" s="1">
        <f t="shared" si="663"/>
        <v>1</v>
      </c>
      <c r="BA858" s="1">
        <f t="shared" si="664"/>
        <v>0</v>
      </c>
      <c r="BB858" s="5">
        <v>0</v>
      </c>
      <c r="BC858" s="5">
        <v>0</v>
      </c>
      <c r="BD858" s="5">
        <v>0</v>
      </c>
      <c r="BE858" s="5">
        <f t="shared" si="665"/>
        <v>1</v>
      </c>
      <c r="BF858" s="5">
        <v>0</v>
      </c>
      <c r="BG858" s="5">
        <f t="shared" si="669"/>
        <v>0</v>
      </c>
      <c r="BH858" s="5">
        <f t="shared" si="669"/>
        <v>0</v>
      </c>
      <c r="BI858" s="5">
        <f t="shared" si="669"/>
        <v>0</v>
      </c>
      <c r="BJ858" s="5">
        <f t="shared" si="669"/>
        <v>0</v>
      </c>
      <c r="BK858" s="5">
        <f t="shared" si="669"/>
        <v>0</v>
      </c>
      <c r="BL858" s="5">
        <f t="shared" si="669"/>
        <v>0</v>
      </c>
      <c r="BM858" s="5">
        <f t="shared" si="669"/>
        <v>0</v>
      </c>
      <c r="BN858" s="5">
        <f t="shared" si="669"/>
        <v>0</v>
      </c>
      <c r="BO858" s="5">
        <f t="shared" si="668"/>
        <v>0</v>
      </c>
      <c r="BP858" s="5">
        <f t="shared" si="668"/>
        <v>0</v>
      </c>
      <c r="BQ858" s="5">
        <f t="shared" si="668"/>
        <v>0</v>
      </c>
      <c r="BR858" s="5">
        <f t="shared" si="668"/>
        <v>0</v>
      </c>
      <c r="BS858" s="5">
        <f t="shared" si="668"/>
        <v>0</v>
      </c>
      <c r="BT858" s="5">
        <f t="shared" si="668"/>
        <v>0</v>
      </c>
      <c r="BU858" s="5">
        <f t="shared" si="668"/>
        <v>0</v>
      </c>
      <c r="BV858" s="5">
        <f t="shared" si="668"/>
        <v>0</v>
      </c>
      <c r="BW858" s="5">
        <f t="shared" si="668"/>
        <v>0</v>
      </c>
      <c r="BX858" s="5">
        <f t="shared" si="668"/>
        <v>0</v>
      </c>
      <c r="BY858" s="5">
        <f t="shared" si="668"/>
        <v>0</v>
      </c>
      <c r="BZ858" s="5">
        <f t="shared" si="668"/>
        <v>0</v>
      </c>
      <c r="CA858" s="5">
        <f t="shared" si="668"/>
        <v>0</v>
      </c>
      <c r="CB858" s="5">
        <f t="shared" si="667"/>
        <v>0</v>
      </c>
      <c r="CC858" s="5">
        <f t="shared" si="667"/>
        <v>0</v>
      </c>
      <c r="CD858" s="5">
        <f t="shared" si="667"/>
        <v>1</v>
      </c>
      <c r="CE858" s="5">
        <f t="shared" si="667"/>
        <v>0</v>
      </c>
    </row>
    <row r="859" spans="1:83" x14ac:dyDescent="0.2">
      <c r="A859" s="11"/>
      <c r="B859" s="11"/>
      <c r="C859" s="1">
        <f>Growth!D864</f>
        <v>3.9447731755424065E-3</v>
      </c>
      <c r="D859" s="5" t="b">
        <f t="shared" si="659"/>
        <v>0</v>
      </c>
      <c r="E859" s="5">
        <v>2014</v>
      </c>
      <c r="F859" s="5">
        <f ca="1">LOOKUP($E859,frequence!$A$2:$A$35,frequence!L$2:L$35)</f>
        <v>50.75383375536623</v>
      </c>
      <c r="G859" s="5">
        <f ca="1">LOOKUP($E859,frequence!$A$2:$A$35,frequence!K$2:K$35)</f>
        <v>9.9751715831189358</v>
      </c>
      <c r="H859" s="5">
        <f ca="1">LOOKUP($E859,frequence!$A$2:$A$35,frequence!M$2:M$35)</f>
        <v>236.05429056976001</v>
      </c>
      <c r="I859" s="16">
        <v>2007</v>
      </c>
      <c r="J859" s="7">
        <f>LOOKUP(I859,CPI!A$69:A$103,CPI!O$69:O$103)</f>
        <v>1.0516730811895323</v>
      </c>
      <c r="K859" s="16">
        <v>2010</v>
      </c>
      <c r="L859" s="7">
        <f t="shared" ca="1" si="649"/>
        <v>0.81277710993525409</v>
      </c>
      <c r="M859" s="7">
        <f t="shared" si="671"/>
        <v>2.5246548323471403E-2</v>
      </c>
      <c r="N859" s="14">
        <f>1*2/13/39</f>
        <v>3.9447731755424065E-3</v>
      </c>
      <c r="O859" s="1">
        <f ca="1">P859*J859*(1+Growth!G$6)^(2010-K859)</f>
        <v>2352.2421249272538</v>
      </c>
      <c r="P859" s="11">
        <f>610*44/12</f>
        <v>2236.6666666666665</v>
      </c>
      <c r="Q859" s="2">
        <f t="shared" si="660"/>
        <v>2236.6666666666665</v>
      </c>
      <c r="R859" s="21">
        <f t="shared" ca="1" si="650"/>
        <v>5533043.0142822824</v>
      </c>
      <c r="U859" s="11"/>
      <c r="V859" s="11"/>
      <c r="W859" s="11"/>
      <c r="X859" s="11"/>
      <c r="Y859" s="11"/>
      <c r="Z859" s="11"/>
      <c r="AA859" s="11"/>
      <c r="AB859" s="11"/>
      <c r="AC859" s="1">
        <f t="shared" si="661"/>
        <v>6.4</v>
      </c>
      <c r="AD859" s="5">
        <v>1</v>
      </c>
      <c r="AE859" s="5">
        <v>0</v>
      </c>
      <c r="AF859" s="5">
        <v>1</v>
      </c>
      <c r="AG859" s="5">
        <v>0</v>
      </c>
      <c r="AH859" s="5">
        <v>1</v>
      </c>
      <c r="AI859" s="3">
        <f t="shared" si="658"/>
        <v>3.4</v>
      </c>
      <c r="AJ859" s="5">
        <f t="shared" si="670"/>
        <v>0</v>
      </c>
      <c r="AK859" s="5">
        <f t="shared" si="652"/>
        <v>0</v>
      </c>
      <c r="AL859" s="5">
        <f t="shared" si="653"/>
        <v>0</v>
      </c>
      <c r="AM859" s="5">
        <f t="shared" si="672"/>
        <v>1</v>
      </c>
      <c r="AN859" s="5">
        <f t="shared" si="654"/>
        <v>0</v>
      </c>
      <c r="AO859" s="5">
        <f t="shared" si="673"/>
        <v>0</v>
      </c>
      <c r="AP859" s="11" t="s">
        <v>42</v>
      </c>
      <c r="AQ859" s="11">
        <v>1</v>
      </c>
      <c r="AR859" s="5">
        <v>0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1</v>
      </c>
      <c r="AY859" s="1">
        <f t="shared" si="662"/>
        <v>0</v>
      </c>
      <c r="AZ859" s="1">
        <f t="shared" si="663"/>
        <v>1</v>
      </c>
      <c r="BA859" s="1">
        <f t="shared" si="664"/>
        <v>0</v>
      </c>
      <c r="BB859" s="5">
        <v>0</v>
      </c>
      <c r="BC859" s="5">
        <v>0</v>
      </c>
      <c r="BD859" s="5">
        <v>0</v>
      </c>
      <c r="BE859" s="5">
        <f t="shared" si="665"/>
        <v>1</v>
      </c>
      <c r="BF859" s="5">
        <v>0</v>
      </c>
      <c r="BG859" s="5">
        <f t="shared" si="669"/>
        <v>0</v>
      </c>
      <c r="BH859" s="5">
        <f t="shared" si="669"/>
        <v>0</v>
      </c>
      <c r="BI859" s="5">
        <f t="shared" si="669"/>
        <v>0</v>
      </c>
      <c r="BJ859" s="5">
        <f t="shared" si="669"/>
        <v>0</v>
      </c>
      <c r="BK859" s="5">
        <f t="shared" si="669"/>
        <v>0</v>
      </c>
      <c r="BL859" s="5">
        <f t="shared" si="669"/>
        <v>0</v>
      </c>
      <c r="BM859" s="5">
        <f t="shared" si="669"/>
        <v>0</v>
      </c>
      <c r="BN859" s="5">
        <f t="shared" si="669"/>
        <v>0</v>
      </c>
      <c r="BO859" s="5">
        <f t="shared" si="668"/>
        <v>0</v>
      </c>
      <c r="BP859" s="5">
        <f t="shared" si="668"/>
        <v>0</v>
      </c>
      <c r="BQ859" s="5">
        <f t="shared" si="668"/>
        <v>0</v>
      </c>
      <c r="BR859" s="5">
        <f t="shared" si="668"/>
        <v>0</v>
      </c>
      <c r="BS859" s="5">
        <f t="shared" si="668"/>
        <v>0</v>
      </c>
      <c r="BT859" s="5">
        <f t="shared" si="668"/>
        <v>0</v>
      </c>
      <c r="BU859" s="5">
        <f t="shared" si="668"/>
        <v>0</v>
      </c>
      <c r="BV859" s="5">
        <f t="shared" si="668"/>
        <v>0</v>
      </c>
      <c r="BW859" s="5">
        <f t="shared" si="668"/>
        <v>0</v>
      </c>
      <c r="BX859" s="5">
        <f t="shared" si="668"/>
        <v>0</v>
      </c>
      <c r="BY859" s="5">
        <f t="shared" si="668"/>
        <v>0</v>
      </c>
      <c r="BZ859" s="5">
        <f t="shared" si="668"/>
        <v>0</v>
      </c>
      <c r="CA859" s="5">
        <f t="shared" si="668"/>
        <v>0</v>
      </c>
      <c r="CB859" s="5">
        <f t="shared" si="667"/>
        <v>0</v>
      </c>
      <c r="CC859" s="5">
        <f t="shared" si="667"/>
        <v>0</v>
      </c>
      <c r="CD859" s="5">
        <f t="shared" si="667"/>
        <v>1</v>
      </c>
      <c r="CE859" s="5">
        <f t="shared" si="667"/>
        <v>0</v>
      </c>
    </row>
    <row r="860" spans="1:83" x14ac:dyDescent="0.2">
      <c r="A860" s="11"/>
      <c r="B860" s="11"/>
      <c r="C860" s="1">
        <f>Growth!D865</f>
        <v>3.1558185404339252E-2</v>
      </c>
      <c r="D860" s="5" t="b">
        <f t="shared" si="659"/>
        <v>0</v>
      </c>
      <c r="E860" s="5">
        <v>2014</v>
      </c>
      <c r="F860" s="5">
        <f ca="1">LOOKUP($E860,frequence!$A$2:$A$35,frequence!L$2:L$35)</f>
        <v>50.75383375536623</v>
      </c>
      <c r="G860" s="5">
        <f ca="1">LOOKUP($E860,frequence!$A$2:$A$35,frequence!K$2:K$35)</f>
        <v>9.9751715831189358</v>
      </c>
      <c r="H860" s="5">
        <f ca="1">LOOKUP($E860,frequence!$A$2:$A$35,frequence!M$2:M$35)</f>
        <v>236.05429056976001</v>
      </c>
      <c r="I860" s="16">
        <v>2007</v>
      </c>
      <c r="J860" s="7">
        <f>LOOKUP(I860,CPI!A$69:A$103,CPI!O$69:O$103)</f>
        <v>1.0516730811895323</v>
      </c>
      <c r="K860" s="16">
        <v>2010</v>
      </c>
      <c r="L860" s="7">
        <f t="shared" ca="1" si="649"/>
        <v>1</v>
      </c>
      <c r="M860" s="7">
        <f t="shared" si="671"/>
        <v>0.20197238658777122</v>
      </c>
      <c r="N860" s="14">
        <f>16*1/13/39</f>
        <v>3.1558185404339252E-2</v>
      </c>
      <c r="O860" s="1">
        <f ca="1">P860*J860*(1+Growth!G$6)^(2010-K860)</f>
        <v>462.73615572339423</v>
      </c>
      <c r="P860" s="11">
        <f>120*44/12</f>
        <v>440</v>
      </c>
      <c r="Q860" s="2">
        <f t="shared" si="660"/>
        <v>440</v>
      </c>
      <c r="R860" s="21">
        <f t="shared" ca="1" si="650"/>
        <v>214124.74981366534</v>
      </c>
      <c r="U860" s="11"/>
      <c r="V860" s="11"/>
      <c r="W860" s="11"/>
      <c r="X860" s="11"/>
      <c r="Y860" s="11"/>
      <c r="Z860" s="11"/>
      <c r="AA860" s="11"/>
      <c r="AB860" s="11"/>
      <c r="AC860" s="1">
        <f t="shared" si="661"/>
        <v>6.4</v>
      </c>
      <c r="AD860" s="5">
        <v>1</v>
      </c>
      <c r="AE860" s="5">
        <v>0</v>
      </c>
      <c r="AF860" s="5">
        <v>1</v>
      </c>
      <c r="AG860" s="5">
        <v>0</v>
      </c>
      <c r="AH860" s="5">
        <v>1</v>
      </c>
      <c r="AI860" s="3">
        <f t="shared" si="658"/>
        <v>3.4</v>
      </c>
      <c r="AJ860" s="5">
        <f t="shared" si="670"/>
        <v>0</v>
      </c>
      <c r="AK860" s="5">
        <f t="shared" si="652"/>
        <v>0</v>
      </c>
      <c r="AL860" s="5">
        <f t="shared" si="653"/>
        <v>0</v>
      </c>
      <c r="AM860" s="5">
        <f t="shared" si="672"/>
        <v>0</v>
      </c>
      <c r="AN860" s="5">
        <f t="shared" si="654"/>
        <v>0</v>
      </c>
      <c r="AO860" s="5">
        <f t="shared" si="673"/>
        <v>1</v>
      </c>
      <c r="AP860" s="11" t="s">
        <v>42</v>
      </c>
      <c r="AQ860" s="11">
        <v>0</v>
      </c>
      <c r="AR860" s="5">
        <v>0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1</v>
      </c>
      <c r="AY860" s="1">
        <f t="shared" si="662"/>
        <v>0</v>
      </c>
      <c r="AZ860" s="1">
        <f t="shared" si="663"/>
        <v>0</v>
      </c>
      <c r="BA860" s="1">
        <f t="shared" si="664"/>
        <v>1</v>
      </c>
      <c r="BB860" s="5">
        <v>0</v>
      </c>
      <c r="BC860" s="5">
        <v>0</v>
      </c>
      <c r="BD860" s="5">
        <v>0</v>
      </c>
      <c r="BE860" s="5">
        <f t="shared" si="665"/>
        <v>1</v>
      </c>
      <c r="BF860" s="5">
        <v>0</v>
      </c>
      <c r="BG860" s="5">
        <f t="shared" si="669"/>
        <v>0</v>
      </c>
      <c r="BH860" s="5">
        <f t="shared" si="669"/>
        <v>0</v>
      </c>
      <c r="BI860" s="5">
        <f t="shared" si="669"/>
        <v>0</v>
      </c>
      <c r="BJ860" s="5">
        <f t="shared" si="669"/>
        <v>0</v>
      </c>
      <c r="BK860" s="5">
        <f t="shared" si="669"/>
        <v>0</v>
      </c>
      <c r="BL860" s="5">
        <f t="shared" si="669"/>
        <v>0</v>
      </c>
      <c r="BM860" s="5">
        <f t="shared" si="669"/>
        <v>0</v>
      </c>
      <c r="BN860" s="5">
        <f t="shared" si="669"/>
        <v>0</v>
      </c>
      <c r="BO860" s="5">
        <f t="shared" si="668"/>
        <v>0</v>
      </c>
      <c r="BP860" s="5">
        <f t="shared" si="668"/>
        <v>0</v>
      </c>
      <c r="BQ860" s="5">
        <f t="shared" si="668"/>
        <v>0</v>
      </c>
      <c r="BR860" s="5">
        <f t="shared" si="668"/>
        <v>0</v>
      </c>
      <c r="BS860" s="5">
        <f t="shared" si="668"/>
        <v>0</v>
      </c>
      <c r="BT860" s="5">
        <f t="shared" si="668"/>
        <v>0</v>
      </c>
      <c r="BU860" s="5">
        <f t="shared" si="668"/>
        <v>0</v>
      </c>
      <c r="BV860" s="5">
        <f t="shared" si="668"/>
        <v>0</v>
      </c>
      <c r="BW860" s="5">
        <f t="shared" si="668"/>
        <v>0</v>
      </c>
      <c r="BX860" s="5">
        <f t="shared" si="668"/>
        <v>0</v>
      </c>
      <c r="BY860" s="5">
        <f t="shared" si="668"/>
        <v>0</v>
      </c>
      <c r="BZ860" s="5">
        <f t="shared" si="668"/>
        <v>0</v>
      </c>
      <c r="CA860" s="5">
        <f t="shared" si="668"/>
        <v>0</v>
      </c>
      <c r="CB860" s="5">
        <f t="shared" si="667"/>
        <v>0</v>
      </c>
      <c r="CC860" s="5">
        <f t="shared" si="667"/>
        <v>0</v>
      </c>
      <c r="CD860" s="5">
        <f t="shared" si="667"/>
        <v>1</v>
      </c>
      <c r="CE860" s="5">
        <f t="shared" si="667"/>
        <v>0</v>
      </c>
    </row>
    <row r="861" spans="1:83" x14ac:dyDescent="0.2">
      <c r="A861" s="11"/>
      <c r="B861" s="11"/>
      <c r="C861" s="1">
        <f>Growth!D866</f>
        <v>1.5779092702169626E-2</v>
      </c>
      <c r="D861" s="5" t="b">
        <f t="shared" si="659"/>
        <v>0</v>
      </c>
      <c r="E861" s="5">
        <v>2014</v>
      </c>
      <c r="F861" s="5">
        <f ca="1">LOOKUP($E861,frequence!$A$2:$A$35,frequence!L$2:L$35)</f>
        <v>50.75383375536623</v>
      </c>
      <c r="G861" s="5">
        <f ca="1">LOOKUP($E861,frequence!$A$2:$A$35,frequence!K$2:K$35)</f>
        <v>9.9751715831189358</v>
      </c>
      <c r="H861" s="5">
        <f ca="1">LOOKUP($E861,frequence!$A$2:$A$35,frequence!M$2:M$35)</f>
        <v>236.05429056976001</v>
      </c>
      <c r="I861" s="16">
        <v>2007</v>
      </c>
      <c r="J861" s="7">
        <f>LOOKUP(I861,CPI!A$69:A$103,CPI!O$69:O$103)</f>
        <v>1.0516730811895323</v>
      </c>
      <c r="K861" s="16">
        <v>2010</v>
      </c>
      <c r="L861" s="7">
        <f t="shared" ca="1" si="649"/>
        <v>1</v>
      </c>
      <c r="M861" s="7">
        <f t="shared" si="671"/>
        <v>0.10098619329388561</v>
      </c>
      <c r="N861" s="14">
        <f>8*1/13/39</f>
        <v>1.5779092702169626E-2</v>
      </c>
      <c r="O861" s="1">
        <f ca="1">P861*J861*(1+Growth!G$6)^(2010-K861)</f>
        <v>1041.156350377637</v>
      </c>
      <c r="P861" s="11">
        <f>270*44/12</f>
        <v>990</v>
      </c>
      <c r="Q861" s="2">
        <f t="shared" si="660"/>
        <v>990</v>
      </c>
      <c r="R861" s="21">
        <f t="shared" ca="1" si="650"/>
        <v>1084006.5459316808</v>
      </c>
      <c r="U861" s="11"/>
      <c r="V861" s="11"/>
      <c r="W861" s="11"/>
      <c r="X861" s="11"/>
      <c r="Y861" s="11"/>
      <c r="Z861" s="11"/>
      <c r="AA861" s="11"/>
      <c r="AB861" s="11"/>
      <c r="AC861" s="1">
        <f t="shared" si="661"/>
        <v>6.4</v>
      </c>
      <c r="AD861" s="5">
        <v>1</v>
      </c>
      <c r="AE861" s="5">
        <v>0</v>
      </c>
      <c r="AF861" s="5">
        <v>1</v>
      </c>
      <c r="AG861" s="5">
        <v>0</v>
      </c>
      <c r="AH861" s="5">
        <v>1</v>
      </c>
      <c r="AI861" s="3">
        <f t="shared" si="658"/>
        <v>3.4</v>
      </c>
      <c r="AJ861" s="5">
        <f t="shared" si="670"/>
        <v>0</v>
      </c>
      <c r="AK861" s="5">
        <f t="shared" si="652"/>
        <v>0</v>
      </c>
      <c r="AL861" s="5">
        <f t="shared" si="653"/>
        <v>0</v>
      </c>
      <c r="AM861" s="5">
        <f t="shared" si="672"/>
        <v>0</v>
      </c>
      <c r="AN861" s="5">
        <f t="shared" si="654"/>
        <v>0</v>
      </c>
      <c r="AO861" s="5">
        <f t="shared" si="673"/>
        <v>1</v>
      </c>
      <c r="AP861" s="11" t="s">
        <v>42</v>
      </c>
      <c r="AQ861" s="11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1</v>
      </c>
      <c r="AY861" s="1">
        <f t="shared" si="662"/>
        <v>0</v>
      </c>
      <c r="AZ861" s="1">
        <f t="shared" si="663"/>
        <v>0</v>
      </c>
      <c r="BA861" s="1">
        <f t="shared" si="664"/>
        <v>1</v>
      </c>
      <c r="BB861" s="5">
        <v>0</v>
      </c>
      <c r="BC861" s="5">
        <v>0</v>
      </c>
      <c r="BD861" s="5">
        <v>0</v>
      </c>
      <c r="BE861" s="5">
        <f t="shared" si="665"/>
        <v>1</v>
      </c>
      <c r="BF861" s="5">
        <v>0</v>
      </c>
      <c r="BG861" s="5">
        <f t="shared" si="669"/>
        <v>0</v>
      </c>
      <c r="BH861" s="5">
        <f t="shared" si="669"/>
        <v>0</v>
      </c>
      <c r="BI861" s="5">
        <f t="shared" si="669"/>
        <v>0</v>
      </c>
      <c r="BJ861" s="5">
        <f t="shared" si="669"/>
        <v>0</v>
      </c>
      <c r="BK861" s="5">
        <f t="shared" si="669"/>
        <v>0</v>
      </c>
      <c r="BL861" s="5">
        <f t="shared" si="669"/>
        <v>0</v>
      </c>
      <c r="BM861" s="5">
        <f t="shared" si="669"/>
        <v>0</v>
      </c>
      <c r="BN861" s="5">
        <f t="shared" si="669"/>
        <v>0</v>
      </c>
      <c r="BO861" s="5">
        <f t="shared" si="668"/>
        <v>0</v>
      </c>
      <c r="BP861" s="5">
        <f t="shared" si="668"/>
        <v>0</v>
      </c>
      <c r="BQ861" s="5">
        <f t="shared" si="668"/>
        <v>0</v>
      </c>
      <c r="BR861" s="5">
        <f t="shared" si="668"/>
        <v>0</v>
      </c>
      <c r="BS861" s="5">
        <f t="shared" si="668"/>
        <v>0</v>
      </c>
      <c r="BT861" s="5">
        <f t="shared" si="668"/>
        <v>0</v>
      </c>
      <c r="BU861" s="5">
        <f t="shared" si="668"/>
        <v>0</v>
      </c>
      <c r="BV861" s="5">
        <f t="shared" si="668"/>
        <v>0</v>
      </c>
      <c r="BW861" s="5">
        <f t="shared" si="668"/>
        <v>0</v>
      </c>
      <c r="BX861" s="5">
        <f t="shared" si="668"/>
        <v>0</v>
      </c>
      <c r="BY861" s="5">
        <f t="shared" si="668"/>
        <v>0</v>
      </c>
      <c r="BZ861" s="5">
        <f t="shared" si="668"/>
        <v>0</v>
      </c>
      <c r="CA861" s="5">
        <f t="shared" si="668"/>
        <v>0</v>
      </c>
      <c r="CB861" s="5">
        <f t="shared" si="667"/>
        <v>0</v>
      </c>
      <c r="CC861" s="5">
        <f t="shared" si="667"/>
        <v>0</v>
      </c>
      <c r="CD861" s="5">
        <f t="shared" si="667"/>
        <v>1</v>
      </c>
      <c r="CE861" s="5">
        <f t="shared" si="667"/>
        <v>0</v>
      </c>
    </row>
    <row r="862" spans="1:83" x14ac:dyDescent="0.2">
      <c r="A862" s="11"/>
      <c r="B862" s="11"/>
      <c r="C862" s="1">
        <f>Growth!D867</f>
        <v>1.5779092702169626E-2</v>
      </c>
      <c r="D862" s="5" t="b">
        <f t="shared" si="659"/>
        <v>0</v>
      </c>
      <c r="E862" s="5">
        <v>2014</v>
      </c>
      <c r="F862" s="5">
        <f ca="1">LOOKUP($E862,frequence!$A$2:$A$35,frequence!L$2:L$35)</f>
        <v>50.75383375536623</v>
      </c>
      <c r="G862" s="5">
        <f ca="1">LOOKUP($E862,frequence!$A$2:$A$35,frequence!K$2:K$35)</f>
        <v>9.9751715831189358</v>
      </c>
      <c r="H862" s="5">
        <f ca="1">LOOKUP($E862,frequence!$A$2:$A$35,frequence!M$2:M$35)</f>
        <v>236.05429056976001</v>
      </c>
      <c r="I862" s="16">
        <v>2007</v>
      </c>
      <c r="J862" s="7">
        <f>LOOKUP(I862,CPI!A$69:A$103,CPI!O$69:O$103)</f>
        <v>1.0516730811895323</v>
      </c>
      <c r="K862" s="16">
        <v>2010</v>
      </c>
      <c r="L862" s="7">
        <f t="shared" ca="1" si="649"/>
        <v>0.71738209923360419</v>
      </c>
      <c r="M862" s="7">
        <f t="shared" si="671"/>
        <v>0.10098619329388561</v>
      </c>
      <c r="N862" s="14">
        <f>8*1/13/39</f>
        <v>1.5779092702169626E-2</v>
      </c>
      <c r="O862" s="1">
        <f ca="1">P862*J862*(1+Growth!G$6)^(2010-K862)</f>
        <v>2969.2236658917795</v>
      </c>
      <c r="P862" s="11">
        <f>770*44/12</f>
        <v>2823.3333333333335</v>
      </c>
      <c r="Q862" s="2">
        <f t="shared" si="660"/>
        <v>2823.3333333333335</v>
      </c>
      <c r="R862" s="21">
        <f t="shared" ca="1" si="650"/>
        <v>8816289.1780918185</v>
      </c>
      <c r="U862" s="11"/>
      <c r="V862" s="11"/>
      <c r="W862" s="11"/>
      <c r="X862" s="11"/>
      <c r="Y862" s="11"/>
      <c r="Z862" s="11"/>
      <c r="AA862" s="11"/>
      <c r="AB862" s="11"/>
      <c r="AC862" s="1">
        <f t="shared" si="661"/>
        <v>6.4</v>
      </c>
      <c r="AD862" s="5">
        <v>1</v>
      </c>
      <c r="AE862" s="5">
        <v>0</v>
      </c>
      <c r="AF862" s="5">
        <v>1</v>
      </c>
      <c r="AG862" s="5">
        <v>0</v>
      </c>
      <c r="AH862" s="5">
        <v>1</v>
      </c>
      <c r="AI862" s="3">
        <f t="shared" si="658"/>
        <v>3.4</v>
      </c>
      <c r="AJ862" s="5">
        <f t="shared" si="670"/>
        <v>0</v>
      </c>
      <c r="AK862" s="5">
        <f t="shared" si="652"/>
        <v>0</v>
      </c>
      <c r="AL862" s="5">
        <f t="shared" si="653"/>
        <v>0</v>
      </c>
      <c r="AM862" s="5">
        <f t="shared" si="672"/>
        <v>0</v>
      </c>
      <c r="AN862" s="5">
        <f t="shared" si="654"/>
        <v>0</v>
      </c>
      <c r="AO862" s="5">
        <f t="shared" si="673"/>
        <v>1</v>
      </c>
      <c r="AP862" s="11" t="s">
        <v>42</v>
      </c>
      <c r="AQ862" s="11">
        <v>0</v>
      </c>
      <c r="AR862" s="5">
        <v>0</v>
      </c>
      <c r="AS862" s="5">
        <v>0</v>
      </c>
      <c r="AT862" s="5">
        <v>0</v>
      </c>
      <c r="AU862" s="5">
        <v>0</v>
      </c>
      <c r="AV862" s="5">
        <v>0</v>
      </c>
      <c r="AW862" s="5">
        <v>0</v>
      </c>
      <c r="AX862" s="5">
        <v>1</v>
      </c>
      <c r="AY862" s="1">
        <f t="shared" si="662"/>
        <v>0</v>
      </c>
      <c r="AZ862" s="1">
        <f t="shared" si="663"/>
        <v>0</v>
      </c>
      <c r="BA862" s="1">
        <f t="shared" si="664"/>
        <v>1</v>
      </c>
      <c r="BB862" s="5">
        <v>0</v>
      </c>
      <c r="BC862" s="5">
        <v>0</v>
      </c>
      <c r="BD862" s="5">
        <v>0</v>
      </c>
      <c r="BE862" s="5">
        <f t="shared" si="665"/>
        <v>1</v>
      </c>
      <c r="BF862" s="5">
        <v>0</v>
      </c>
      <c r="BG862" s="5">
        <f t="shared" si="669"/>
        <v>0</v>
      </c>
      <c r="BH862" s="5">
        <f t="shared" si="669"/>
        <v>0</v>
      </c>
      <c r="BI862" s="5">
        <f t="shared" si="669"/>
        <v>0</v>
      </c>
      <c r="BJ862" s="5">
        <f t="shared" si="669"/>
        <v>0</v>
      </c>
      <c r="BK862" s="5">
        <f t="shared" si="669"/>
        <v>0</v>
      </c>
      <c r="BL862" s="5">
        <f t="shared" si="669"/>
        <v>0</v>
      </c>
      <c r="BM862" s="5">
        <f t="shared" si="669"/>
        <v>0</v>
      </c>
      <c r="BN862" s="5">
        <f t="shared" si="669"/>
        <v>0</v>
      </c>
      <c r="BO862" s="5">
        <f t="shared" si="668"/>
        <v>0</v>
      </c>
      <c r="BP862" s="5">
        <f t="shared" si="668"/>
        <v>0</v>
      </c>
      <c r="BQ862" s="5">
        <f t="shared" si="668"/>
        <v>0</v>
      </c>
      <c r="BR862" s="5">
        <f t="shared" si="668"/>
        <v>0</v>
      </c>
      <c r="BS862" s="5">
        <f t="shared" si="668"/>
        <v>0</v>
      </c>
      <c r="BT862" s="5">
        <f t="shared" si="668"/>
        <v>0</v>
      </c>
      <c r="BU862" s="5">
        <f t="shared" si="668"/>
        <v>0</v>
      </c>
      <c r="BV862" s="5">
        <f t="shared" si="668"/>
        <v>0</v>
      </c>
      <c r="BW862" s="5">
        <f t="shared" si="668"/>
        <v>0</v>
      </c>
      <c r="BX862" s="5">
        <f t="shared" si="668"/>
        <v>0</v>
      </c>
      <c r="BY862" s="5">
        <f t="shared" si="668"/>
        <v>0</v>
      </c>
      <c r="BZ862" s="5">
        <f t="shared" si="668"/>
        <v>0</v>
      </c>
      <c r="CA862" s="5">
        <f t="shared" si="668"/>
        <v>0</v>
      </c>
      <c r="CB862" s="5">
        <f t="shared" si="667"/>
        <v>0</v>
      </c>
      <c r="CC862" s="5">
        <f t="shared" si="667"/>
        <v>0</v>
      </c>
      <c r="CD862" s="5">
        <f t="shared" si="667"/>
        <v>1</v>
      </c>
      <c r="CE862" s="5">
        <f t="shared" si="667"/>
        <v>0</v>
      </c>
    </row>
    <row r="863" spans="1:83" x14ac:dyDescent="0.2">
      <c r="A863" s="11"/>
      <c r="B863" s="11"/>
      <c r="C863" s="1">
        <f>Growth!D868</f>
        <v>7.889546351084813E-3</v>
      </c>
      <c r="D863" s="5" t="b">
        <f t="shared" si="659"/>
        <v>0</v>
      </c>
      <c r="E863" s="5">
        <v>2014</v>
      </c>
      <c r="F863" s="5">
        <f ca="1">LOOKUP($E863,frequence!$A$2:$A$35,frequence!L$2:L$35)</f>
        <v>50.75383375536623</v>
      </c>
      <c r="G863" s="5">
        <f ca="1">LOOKUP($E863,frequence!$A$2:$A$35,frequence!K$2:K$35)</f>
        <v>9.9751715831189358</v>
      </c>
      <c r="H863" s="5">
        <f ca="1">LOOKUP($E863,frequence!$A$2:$A$35,frequence!M$2:M$35)</f>
        <v>236.05429056976001</v>
      </c>
      <c r="I863" s="16">
        <v>2007</v>
      </c>
      <c r="J863" s="7">
        <f>LOOKUP(I863,CPI!A$69:A$103,CPI!O$69:O$103)</f>
        <v>1.0516730811895323</v>
      </c>
      <c r="K863" s="16">
        <v>2010</v>
      </c>
      <c r="L863" s="7">
        <f t="shared" ca="1" si="649"/>
        <v>0.40138612628438897</v>
      </c>
      <c r="M863" s="7">
        <f t="shared" si="671"/>
        <v>5.0493096646942806E-2</v>
      </c>
      <c r="N863" s="14">
        <f>4*1/13/39</f>
        <v>7.889546351084813E-3</v>
      </c>
      <c r="O863" s="1">
        <f ca="1">P863*J863*(1+Growth!G$6)^(2010-K863)</f>
        <v>5012.9750203367712</v>
      </c>
      <c r="P863" s="11">
        <f>1300*44/12</f>
        <v>4766.666666666667</v>
      </c>
      <c r="Q863" s="2">
        <f t="shared" si="660"/>
        <v>4766.666666666667</v>
      </c>
      <c r="R863" s="21">
        <f t="shared" ca="1" si="650"/>
        <v>25129918.554520451</v>
      </c>
      <c r="U863" s="11"/>
      <c r="V863" s="11"/>
      <c r="W863" s="11"/>
      <c r="X863" s="11"/>
      <c r="Y863" s="11"/>
      <c r="Z863" s="11"/>
      <c r="AA863" s="11"/>
      <c r="AB863" s="11"/>
      <c r="AC863" s="1">
        <f t="shared" si="661"/>
        <v>6.4</v>
      </c>
      <c r="AD863" s="5">
        <v>1</v>
      </c>
      <c r="AE863" s="5">
        <v>0</v>
      </c>
      <c r="AF863" s="5">
        <v>1</v>
      </c>
      <c r="AG863" s="5">
        <v>0</v>
      </c>
      <c r="AH863" s="5">
        <v>1</v>
      </c>
      <c r="AI863" s="3">
        <f t="shared" si="658"/>
        <v>3.4</v>
      </c>
      <c r="AJ863" s="5">
        <f t="shared" si="670"/>
        <v>0</v>
      </c>
      <c r="AK863" s="5">
        <f t="shared" si="652"/>
        <v>0</v>
      </c>
      <c r="AL863" s="5">
        <f t="shared" si="653"/>
        <v>0</v>
      </c>
      <c r="AM863" s="5">
        <f t="shared" si="672"/>
        <v>0</v>
      </c>
      <c r="AN863" s="5">
        <f t="shared" si="654"/>
        <v>0</v>
      </c>
      <c r="AO863" s="5">
        <f t="shared" si="673"/>
        <v>1</v>
      </c>
      <c r="AP863" s="11" t="s">
        <v>42</v>
      </c>
      <c r="AQ863" s="11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0</v>
      </c>
      <c r="AW863" s="5">
        <v>0</v>
      </c>
      <c r="AX863" s="5">
        <v>1</v>
      </c>
      <c r="AY863" s="1">
        <f t="shared" si="662"/>
        <v>0</v>
      </c>
      <c r="AZ863" s="1">
        <f t="shared" si="663"/>
        <v>0</v>
      </c>
      <c r="BA863" s="1">
        <f t="shared" si="664"/>
        <v>1</v>
      </c>
      <c r="BB863" s="5">
        <v>0</v>
      </c>
      <c r="BC863" s="5">
        <v>0</v>
      </c>
      <c r="BD863" s="5">
        <v>0</v>
      </c>
      <c r="BE863" s="5">
        <f t="shared" si="665"/>
        <v>1</v>
      </c>
      <c r="BF863" s="5">
        <v>0</v>
      </c>
      <c r="BG863" s="5">
        <f t="shared" si="669"/>
        <v>0</v>
      </c>
      <c r="BH863" s="5">
        <f t="shared" si="669"/>
        <v>0</v>
      </c>
      <c r="BI863" s="5">
        <f t="shared" si="669"/>
        <v>0</v>
      </c>
      <c r="BJ863" s="5">
        <f t="shared" si="669"/>
        <v>0</v>
      </c>
      <c r="BK863" s="5">
        <f t="shared" si="669"/>
        <v>0</v>
      </c>
      <c r="BL863" s="5">
        <f t="shared" si="669"/>
        <v>0</v>
      </c>
      <c r="BM863" s="5">
        <f t="shared" si="669"/>
        <v>0</v>
      </c>
      <c r="BN863" s="5">
        <f t="shared" si="669"/>
        <v>0</v>
      </c>
      <c r="BO863" s="5">
        <f t="shared" si="668"/>
        <v>0</v>
      </c>
      <c r="BP863" s="5">
        <f t="shared" si="668"/>
        <v>0</v>
      </c>
      <c r="BQ863" s="5">
        <f t="shared" si="668"/>
        <v>0</v>
      </c>
      <c r="BR863" s="5">
        <f t="shared" si="668"/>
        <v>0</v>
      </c>
      <c r="BS863" s="5">
        <f t="shared" si="668"/>
        <v>0</v>
      </c>
      <c r="BT863" s="5">
        <f t="shared" si="668"/>
        <v>0</v>
      </c>
      <c r="BU863" s="5">
        <f t="shared" si="668"/>
        <v>0</v>
      </c>
      <c r="BV863" s="5">
        <f t="shared" si="668"/>
        <v>0</v>
      </c>
      <c r="BW863" s="5">
        <f t="shared" si="668"/>
        <v>0</v>
      </c>
      <c r="BX863" s="5">
        <f t="shared" si="668"/>
        <v>0</v>
      </c>
      <c r="BY863" s="5">
        <f t="shared" si="668"/>
        <v>0</v>
      </c>
      <c r="BZ863" s="5">
        <f t="shared" si="668"/>
        <v>0</v>
      </c>
      <c r="CA863" s="5">
        <f t="shared" si="668"/>
        <v>0</v>
      </c>
      <c r="CB863" s="5">
        <f t="shared" si="667"/>
        <v>0</v>
      </c>
      <c r="CC863" s="5">
        <f t="shared" si="667"/>
        <v>0</v>
      </c>
      <c r="CD863" s="5">
        <f t="shared" si="667"/>
        <v>1</v>
      </c>
      <c r="CE863" s="5">
        <f t="shared" si="667"/>
        <v>0</v>
      </c>
    </row>
    <row r="864" spans="1:83" x14ac:dyDescent="0.2">
      <c r="A864" s="11"/>
      <c r="B864" s="11"/>
      <c r="C864" s="1">
        <f>Growth!D869</f>
        <v>3.9447731755424065E-3</v>
      </c>
      <c r="D864" s="5" t="b">
        <f t="shared" si="659"/>
        <v>0</v>
      </c>
      <c r="E864" s="5">
        <v>2014</v>
      </c>
      <c r="F864" s="5">
        <f ca="1">LOOKUP($E864,frequence!$A$2:$A$35,frequence!L$2:L$35)</f>
        <v>50.75383375536623</v>
      </c>
      <c r="G864" s="5">
        <f ca="1">LOOKUP($E864,frequence!$A$2:$A$35,frequence!K$2:K$35)</f>
        <v>9.9751715831189358</v>
      </c>
      <c r="H864" s="5">
        <f ca="1">LOOKUP($E864,frequence!$A$2:$A$35,frequence!M$2:M$35)</f>
        <v>236.05429056976001</v>
      </c>
      <c r="I864" s="16">
        <v>2007</v>
      </c>
      <c r="J864" s="7">
        <f>LOOKUP(I864,CPI!A$69:A$103,CPI!O$69:O$103)</f>
        <v>1.0516730811895323</v>
      </c>
      <c r="K864" s="16">
        <v>2010</v>
      </c>
      <c r="L864" s="7">
        <f t="shared" ca="1" si="649"/>
        <v>0</v>
      </c>
      <c r="M864" s="7">
        <f t="shared" si="671"/>
        <v>2.5246548323471403E-2</v>
      </c>
      <c r="N864" s="14">
        <f>2*1/13/39</f>
        <v>3.9447731755424065E-3</v>
      </c>
      <c r="O864" s="1">
        <f ca="1">P864*J864*(1+Growth!G$6)^(2010-K864)</f>
        <v>9640.3365775707116</v>
      </c>
      <c r="P864" s="11">
        <f>2500*44/12</f>
        <v>9166.6666666666661</v>
      </c>
      <c r="Q864" s="2">
        <f t="shared" si="660"/>
        <v>9166.6666666666661</v>
      </c>
      <c r="R864" s="21">
        <f t="shared" ca="1" si="650"/>
        <v>92936089.328847781</v>
      </c>
      <c r="U864" s="11"/>
      <c r="V864" s="11"/>
      <c r="W864" s="11"/>
      <c r="X864" s="11"/>
      <c r="Y864" s="11"/>
      <c r="Z864" s="11"/>
      <c r="AA864" s="11"/>
      <c r="AB864" s="11"/>
      <c r="AC864" s="1">
        <f t="shared" si="661"/>
        <v>6.4</v>
      </c>
      <c r="AD864" s="5">
        <v>1</v>
      </c>
      <c r="AE864" s="5">
        <v>0</v>
      </c>
      <c r="AF864" s="5">
        <v>1</v>
      </c>
      <c r="AG864" s="5">
        <v>0</v>
      </c>
      <c r="AH864" s="5">
        <v>1</v>
      </c>
      <c r="AI864" s="3">
        <f t="shared" si="658"/>
        <v>3.4</v>
      </c>
      <c r="AJ864" s="5">
        <f t="shared" si="670"/>
        <v>0</v>
      </c>
      <c r="AK864" s="5">
        <f t="shared" si="652"/>
        <v>0</v>
      </c>
      <c r="AL864" s="5">
        <f t="shared" si="653"/>
        <v>0</v>
      </c>
      <c r="AM864" s="5">
        <f t="shared" si="672"/>
        <v>0</v>
      </c>
      <c r="AN864" s="5">
        <f t="shared" si="654"/>
        <v>0</v>
      </c>
      <c r="AO864" s="5">
        <f t="shared" si="673"/>
        <v>1</v>
      </c>
      <c r="AP864" s="11" t="s">
        <v>42</v>
      </c>
      <c r="AQ864" s="11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0</v>
      </c>
      <c r="AW864" s="5">
        <v>0</v>
      </c>
      <c r="AX864" s="5">
        <v>1</v>
      </c>
      <c r="AY864" s="1">
        <f t="shared" si="662"/>
        <v>0</v>
      </c>
      <c r="AZ864" s="1">
        <f t="shared" si="663"/>
        <v>0</v>
      </c>
      <c r="BA864" s="1">
        <f t="shared" si="664"/>
        <v>1</v>
      </c>
      <c r="BB864" s="5">
        <v>0</v>
      </c>
      <c r="BC864" s="5">
        <v>0</v>
      </c>
      <c r="BD864" s="5">
        <v>0</v>
      </c>
      <c r="BE864" s="5">
        <f t="shared" si="665"/>
        <v>1</v>
      </c>
      <c r="BF864" s="5">
        <v>0</v>
      </c>
      <c r="BG864" s="5">
        <f t="shared" si="669"/>
        <v>0</v>
      </c>
      <c r="BH864" s="5">
        <f t="shared" si="669"/>
        <v>0</v>
      </c>
      <c r="BI864" s="5">
        <f t="shared" si="669"/>
        <v>0</v>
      </c>
      <c r="BJ864" s="5">
        <f t="shared" si="669"/>
        <v>0</v>
      </c>
      <c r="BK864" s="5">
        <f t="shared" si="669"/>
        <v>0</v>
      </c>
      <c r="BL864" s="5">
        <f t="shared" si="669"/>
        <v>0</v>
      </c>
      <c r="BM864" s="5">
        <f t="shared" si="669"/>
        <v>0</v>
      </c>
      <c r="BN864" s="5">
        <f t="shared" si="669"/>
        <v>0</v>
      </c>
      <c r="BO864" s="5">
        <f t="shared" si="668"/>
        <v>0</v>
      </c>
      <c r="BP864" s="5">
        <f t="shared" si="668"/>
        <v>0</v>
      </c>
      <c r="BQ864" s="5">
        <f t="shared" si="668"/>
        <v>0</v>
      </c>
      <c r="BR864" s="5">
        <f t="shared" si="668"/>
        <v>0</v>
      </c>
      <c r="BS864" s="5">
        <f t="shared" si="668"/>
        <v>0</v>
      </c>
      <c r="BT864" s="5">
        <f t="shared" si="668"/>
        <v>0</v>
      </c>
      <c r="BU864" s="5">
        <f t="shared" si="668"/>
        <v>0</v>
      </c>
      <c r="BV864" s="5">
        <f t="shared" si="668"/>
        <v>0</v>
      </c>
      <c r="BW864" s="5">
        <f t="shared" si="668"/>
        <v>0</v>
      </c>
      <c r="BX864" s="5">
        <f t="shared" si="668"/>
        <v>0</v>
      </c>
      <c r="BY864" s="5">
        <f t="shared" si="668"/>
        <v>0</v>
      </c>
      <c r="BZ864" s="5">
        <f t="shared" si="668"/>
        <v>0</v>
      </c>
      <c r="CA864" s="5">
        <f t="shared" si="668"/>
        <v>0</v>
      </c>
      <c r="CB864" s="5">
        <f t="shared" si="667"/>
        <v>0</v>
      </c>
      <c r="CC864" s="5">
        <f t="shared" si="667"/>
        <v>0</v>
      </c>
      <c r="CD864" s="5">
        <f t="shared" si="667"/>
        <v>1</v>
      </c>
      <c r="CE864" s="5">
        <f t="shared" si="667"/>
        <v>0</v>
      </c>
    </row>
    <row r="865" spans="1:83" x14ac:dyDescent="0.2">
      <c r="A865" s="11"/>
      <c r="B865" s="11"/>
      <c r="C865" s="1">
        <f>Growth!D870</f>
        <v>1.9723865877712033E-3</v>
      </c>
      <c r="D865" s="5" t="b">
        <f t="shared" si="659"/>
        <v>0</v>
      </c>
      <c r="E865" s="5">
        <v>2014</v>
      </c>
      <c r="F865" s="5">
        <f ca="1">LOOKUP($E865,frequence!$A$2:$A$35,frequence!L$2:L$35)</f>
        <v>50.75383375536623</v>
      </c>
      <c r="G865" s="5">
        <f ca="1">LOOKUP($E865,frequence!$A$2:$A$35,frequence!K$2:K$35)</f>
        <v>9.9751715831189358</v>
      </c>
      <c r="H865" s="5">
        <f ca="1">LOOKUP($E865,frequence!$A$2:$A$35,frequence!M$2:M$35)</f>
        <v>236.05429056976001</v>
      </c>
      <c r="I865" s="16">
        <v>2007</v>
      </c>
      <c r="J865" s="7">
        <f>LOOKUP(I865,CPI!A$69:A$103,CPI!O$69:O$103)</f>
        <v>1.0516730811895323</v>
      </c>
      <c r="K865" s="16">
        <v>2010</v>
      </c>
      <c r="L865" s="7">
        <f t="shared" ca="1" si="649"/>
        <v>0</v>
      </c>
      <c r="M865" s="7">
        <f t="shared" si="671"/>
        <v>1.2623274161735702E-2</v>
      </c>
      <c r="N865" s="14">
        <f>1*1/13/39</f>
        <v>1.9723865877712033E-3</v>
      </c>
      <c r="O865" s="1">
        <f ca="1">P865*J865*(1+Growth!G$6)^(2010-K865)</f>
        <v>14653.311597907485</v>
      </c>
      <c r="P865" s="11">
        <f>3800*44/12</f>
        <v>13933.333333333334</v>
      </c>
      <c r="Q865" s="2">
        <f t="shared" si="660"/>
        <v>13933.333333333334</v>
      </c>
      <c r="R865" s="21">
        <f t="shared" ca="1" si="650"/>
        <v>214719540.78536999</v>
      </c>
      <c r="U865" s="11"/>
      <c r="V865" s="11"/>
      <c r="W865" s="11"/>
      <c r="X865" s="11"/>
      <c r="Y865" s="11"/>
      <c r="Z865" s="11"/>
      <c r="AA865" s="11"/>
      <c r="AB865" s="11"/>
      <c r="AC865" s="1">
        <f t="shared" si="661"/>
        <v>6.4</v>
      </c>
      <c r="AD865" s="5">
        <v>1</v>
      </c>
      <c r="AE865" s="5">
        <v>0</v>
      </c>
      <c r="AF865" s="5">
        <v>1</v>
      </c>
      <c r="AG865" s="5">
        <v>0</v>
      </c>
      <c r="AH865" s="5">
        <v>1</v>
      </c>
      <c r="AI865" s="3">
        <f t="shared" si="658"/>
        <v>3.4</v>
      </c>
      <c r="AJ865" s="5">
        <f t="shared" si="670"/>
        <v>0</v>
      </c>
      <c r="AK865" s="5">
        <f t="shared" si="652"/>
        <v>0</v>
      </c>
      <c r="AL865" s="5">
        <f t="shared" si="653"/>
        <v>0</v>
      </c>
      <c r="AM865" s="5">
        <f t="shared" si="672"/>
        <v>0</v>
      </c>
      <c r="AN865" s="5">
        <f t="shared" si="654"/>
        <v>0</v>
      </c>
      <c r="AO865" s="5">
        <f t="shared" si="673"/>
        <v>1</v>
      </c>
      <c r="AP865" s="11" t="s">
        <v>42</v>
      </c>
      <c r="AQ865" s="11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1</v>
      </c>
      <c r="AY865" s="1">
        <f t="shared" si="662"/>
        <v>0</v>
      </c>
      <c r="AZ865" s="1">
        <f t="shared" si="663"/>
        <v>0</v>
      </c>
      <c r="BA865" s="1">
        <f t="shared" si="664"/>
        <v>1</v>
      </c>
      <c r="BB865" s="5">
        <v>0</v>
      </c>
      <c r="BC865" s="5">
        <v>0</v>
      </c>
      <c r="BD865" s="5">
        <v>0</v>
      </c>
      <c r="BE865" s="5">
        <f t="shared" si="665"/>
        <v>1</v>
      </c>
      <c r="BF865" s="5">
        <v>0</v>
      </c>
      <c r="BG865" s="5">
        <f t="shared" si="669"/>
        <v>0</v>
      </c>
      <c r="BH865" s="5">
        <f t="shared" si="669"/>
        <v>0</v>
      </c>
      <c r="BI865" s="5">
        <f t="shared" si="669"/>
        <v>0</v>
      </c>
      <c r="BJ865" s="5">
        <f t="shared" si="669"/>
        <v>0</v>
      </c>
      <c r="BK865" s="5">
        <f t="shared" si="669"/>
        <v>0</v>
      </c>
      <c r="BL865" s="5">
        <f t="shared" si="669"/>
        <v>0</v>
      </c>
      <c r="BM865" s="5">
        <f t="shared" si="669"/>
        <v>0</v>
      </c>
      <c r="BN865" s="5">
        <f t="shared" si="669"/>
        <v>0</v>
      </c>
      <c r="BO865" s="5">
        <f t="shared" si="668"/>
        <v>0</v>
      </c>
      <c r="BP865" s="5">
        <f t="shared" si="668"/>
        <v>0</v>
      </c>
      <c r="BQ865" s="5">
        <f t="shared" si="668"/>
        <v>0</v>
      </c>
      <c r="BR865" s="5">
        <f t="shared" si="668"/>
        <v>0</v>
      </c>
      <c r="BS865" s="5">
        <f t="shared" si="668"/>
        <v>0</v>
      </c>
      <c r="BT865" s="5">
        <f t="shared" si="668"/>
        <v>0</v>
      </c>
      <c r="BU865" s="5">
        <f t="shared" si="668"/>
        <v>0</v>
      </c>
      <c r="BV865" s="5">
        <f t="shared" si="668"/>
        <v>0</v>
      </c>
      <c r="BW865" s="5">
        <f t="shared" si="668"/>
        <v>0</v>
      </c>
      <c r="BX865" s="5">
        <f t="shared" si="668"/>
        <v>0</v>
      </c>
      <c r="BY865" s="5">
        <f t="shared" si="668"/>
        <v>0</v>
      </c>
      <c r="BZ865" s="5">
        <f t="shared" si="668"/>
        <v>0</v>
      </c>
      <c r="CA865" s="5">
        <f t="shared" si="668"/>
        <v>0</v>
      </c>
      <c r="CB865" s="5">
        <f t="shared" si="667"/>
        <v>0</v>
      </c>
      <c r="CC865" s="5">
        <f t="shared" si="667"/>
        <v>0</v>
      </c>
      <c r="CD865" s="5">
        <f t="shared" si="667"/>
        <v>1</v>
      </c>
      <c r="CE865" s="5">
        <f t="shared" si="667"/>
        <v>0</v>
      </c>
    </row>
    <row r="866" spans="1:83" x14ac:dyDescent="0.2">
      <c r="A866" s="11"/>
      <c r="B866" s="11"/>
      <c r="C866" s="1">
        <f>Growth!D871</f>
        <v>0.12623274161735701</v>
      </c>
      <c r="D866" s="5" t="b">
        <f t="shared" si="659"/>
        <v>0</v>
      </c>
      <c r="E866" s="5">
        <v>2014</v>
      </c>
      <c r="F866" s="5">
        <f ca="1">LOOKUP($E866,frequence!$A$2:$A$35,frequence!L$2:L$35)</f>
        <v>50.75383375536623</v>
      </c>
      <c r="G866" s="5">
        <f ca="1">LOOKUP($E866,frequence!$A$2:$A$35,frequence!K$2:K$35)</f>
        <v>9.9751715831189358</v>
      </c>
      <c r="H866" s="5">
        <f ca="1">LOOKUP($E866,frequence!$A$2:$A$35,frequence!M$2:M$35)</f>
        <v>236.05429056976001</v>
      </c>
      <c r="I866" s="16">
        <v>2007</v>
      </c>
      <c r="J866" s="7">
        <f>LOOKUP(I866,CPI!A$69:A$103,CPI!O$69:O$103)</f>
        <v>1.0516730811895323</v>
      </c>
      <c r="K866" s="16">
        <v>2010</v>
      </c>
      <c r="L866" s="7">
        <f t="shared" ca="1" si="649"/>
        <v>1</v>
      </c>
      <c r="M866" s="7">
        <f t="shared" si="671"/>
        <v>0.8078895463510849</v>
      </c>
      <c r="N866" s="14">
        <f>16*4/13/39</f>
        <v>0.12623274161735701</v>
      </c>
      <c r="O866" s="1">
        <f ca="1">P866*J866*(1+Growth!G$6)^(2010-K866)</f>
        <v>111.82790429982026</v>
      </c>
      <c r="P866" s="11">
        <f>29*44/12</f>
        <v>106.33333333333333</v>
      </c>
      <c r="Q866" s="2">
        <f t="shared" si="660"/>
        <v>106.33333333333333</v>
      </c>
      <c r="R866" s="21">
        <f t="shared" ca="1" si="650"/>
        <v>12505.480180089759</v>
      </c>
      <c r="U866" s="11"/>
      <c r="V866" s="11"/>
      <c r="W866" s="11"/>
      <c r="X866" s="11"/>
      <c r="Y866" s="11"/>
      <c r="Z866" s="11"/>
      <c r="AA866" s="11"/>
      <c r="AB866" s="11"/>
      <c r="AC866" s="1">
        <f t="shared" si="661"/>
        <v>6.4</v>
      </c>
      <c r="AD866" s="5">
        <v>1</v>
      </c>
      <c r="AE866" s="5">
        <v>0</v>
      </c>
      <c r="AF866" s="5">
        <v>1</v>
      </c>
      <c r="AG866" s="5">
        <v>0</v>
      </c>
      <c r="AH866" s="5">
        <v>1</v>
      </c>
      <c r="AI866" s="3">
        <f t="shared" si="658"/>
        <v>3.4</v>
      </c>
      <c r="AJ866" s="5">
        <f t="shared" si="670"/>
        <v>0</v>
      </c>
      <c r="AK866" s="5">
        <f t="shared" si="652"/>
        <v>0</v>
      </c>
      <c r="AL866" s="5">
        <f t="shared" si="653"/>
        <v>0</v>
      </c>
      <c r="AM866" s="5">
        <f t="shared" si="672"/>
        <v>1</v>
      </c>
      <c r="AN866" s="5">
        <f t="shared" si="654"/>
        <v>0</v>
      </c>
      <c r="AO866" s="5">
        <f t="shared" si="673"/>
        <v>0</v>
      </c>
      <c r="AP866" s="11" t="s">
        <v>42</v>
      </c>
      <c r="AQ866" s="11">
        <v>1</v>
      </c>
      <c r="AR866" s="5">
        <v>0</v>
      </c>
      <c r="AS866" s="5">
        <v>0</v>
      </c>
      <c r="AT866" s="5">
        <v>0</v>
      </c>
      <c r="AU866" s="5">
        <v>0</v>
      </c>
      <c r="AV866" s="5">
        <v>0</v>
      </c>
      <c r="AW866" s="5">
        <v>0</v>
      </c>
      <c r="AX866" s="5">
        <v>1</v>
      </c>
      <c r="AY866" s="1">
        <f t="shared" si="662"/>
        <v>0</v>
      </c>
      <c r="AZ866" s="1">
        <f t="shared" si="663"/>
        <v>1</v>
      </c>
      <c r="BA866" s="1">
        <f t="shared" si="664"/>
        <v>0</v>
      </c>
      <c r="BB866" s="5">
        <v>0</v>
      </c>
      <c r="BC866" s="5">
        <v>0</v>
      </c>
      <c r="BD866" s="5">
        <v>0</v>
      </c>
      <c r="BE866" s="5">
        <f t="shared" si="665"/>
        <v>1</v>
      </c>
      <c r="BF866" s="5">
        <v>0</v>
      </c>
      <c r="BG866" s="5">
        <f t="shared" si="669"/>
        <v>0</v>
      </c>
      <c r="BH866" s="5">
        <f t="shared" si="669"/>
        <v>0</v>
      </c>
      <c r="BI866" s="5">
        <f t="shared" si="669"/>
        <v>0</v>
      </c>
      <c r="BJ866" s="5">
        <f t="shared" si="669"/>
        <v>0</v>
      </c>
      <c r="BK866" s="5">
        <f t="shared" si="669"/>
        <v>0</v>
      </c>
      <c r="BL866" s="5">
        <f t="shared" si="669"/>
        <v>0</v>
      </c>
      <c r="BM866" s="5">
        <f t="shared" si="669"/>
        <v>0</v>
      </c>
      <c r="BN866" s="5">
        <f t="shared" si="669"/>
        <v>0</v>
      </c>
      <c r="BO866" s="5">
        <f t="shared" si="668"/>
        <v>0</v>
      </c>
      <c r="BP866" s="5">
        <f t="shared" si="668"/>
        <v>0</v>
      </c>
      <c r="BQ866" s="5">
        <f t="shared" si="668"/>
        <v>0</v>
      </c>
      <c r="BR866" s="5">
        <f t="shared" si="668"/>
        <v>0</v>
      </c>
      <c r="BS866" s="5">
        <f t="shared" si="668"/>
        <v>0</v>
      </c>
      <c r="BT866" s="5">
        <f t="shared" si="668"/>
        <v>0</v>
      </c>
      <c r="BU866" s="5">
        <f t="shared" si="668"/>
        <v>0</v>
      </c>
      <c r="BV866" s="5">
        <f t="shared" si="668"/>
        <v>0</v>
      </c>
      <c r="BW866" s="5">
        <f t="shared" si="668"/>
        <v>0</v>
      </c>
      <c r="BX866" s="5">
        <f t="shared" si="668"/>
        <v>0</v>
      </c>
      <c r="BY866" s="5">
        <f t="shared" si="668"/>
        <v>0</v>
      </c>
      <c r="BZ866" s="5">
        <f t="shared" si="668"/>
        <v>0</v>
      </c>
      <c r="CA866" s="5">
        <f t="shared" si="668"/>
        <v>0</v>
      </c>
      <c r="CB866" s="5">
        <f t="shared" si="667"/>
        <v>0</v>
      </c>
      <c r="CC866" s="5">
        <f t="shared" si="667"/>
        <v>0</v>
      </c>
      <c r="CD866" s="5">
        <f t="shared" si="667"/>
        <v>1</v>
      </c>
      <c r="CE866" s="5">
        <f t="shared" si="667"/>
        <v>0</v>
      </c>
    </row>
    <row r="867" spans="1:83" x14ac:dyDescent="0.2">
      <c r="A867" s="11"/>
      <c r="B867" s="11"/>
      <c r="C867" s="1">
        <f>Growth!D872</f>
        <v>6.3116370808678504E-2</v>
      </c>
      <c r="D867" s="5" t="b">
        <f t="shared" si="659"/>
        <v>0</v>
      </c>
      <c r="E867" s="5">
        <v>2014</v>
      </c>
      <c r="F867" s="5">
        <f ca="1">LOOKUP($E867,frequence!$A$2:$A$35,frequence!L$2:L$35)</f>
        <v>50.75383375536623</v>
      </c>
      <c r="G867" s="5">
        <f ca="1">LOOKUP($E867,frequence!$A$2:$A$35,frequence!K$2:K$35)</f>
        <v>9.9751715831189358</v>
      </c>
      <c r="H867" s="5">
        <f ca="1">LOOKUP($E867,frequence!$A$2:$A$35,frequence!M$2:M$35)</f>
        <v>236.05429056976001</v>
      </c>
      <c r="I867" s="16">
        <v>2007</v>
      </c>
      <c r="J867" s="7">
        <f>LOOKUP(I867,CPI!A$69:A$103,CPI!O$69:O$103)</f>
        <v>1.0516730811895323</v>
      </c>
      <c r="K867" s="16">
        <v>2010</v>
      </c>
      <c r="L867" s="7">
        <f t="shared" ca="1" si="649"/>
        <v>1</v>
      </c>
      <c r="M867" s="7">
        <f t="shared" si="671"/>
        <v>0.40394477317554245</v>
      </c>
      <c r="N867" s="14">
        <f>8*4/13/39</f>
        <v>6.3116370808678504E-2</v>
      </c>
      <c r="O867" s="1">
        <f ca="1">P867*J867*(1+Growth!G$6)^(2010-K867)</f>
        <v>131.1085774549617</v>
      </c>
      <c r="P867" s="11">
        <f t="shared" si="666"/>
        <v>124.66666666666667</v>
      </c>
      <c r="Q867" s="2">
        <f t="shared" si="660"/>
        <v>124.66666666666667</v>
      </c>
      <c r="R867" s="21">
        <f t="shared" ca="1" si="650"/>
        <v>17189.459082263693</v>
      </c>
      <c r="U867" s="11"/>
      <c r="V867" s="11"/>
      <c r="W867" s="11"/>
      <c r="X867" s="11"/>
      <c r="Y867" s="11"/>
      <c r="Z867" s="11"/>
      <c r="AA867" s="11"/>
      <c r="AB867" s="11"/>
      <c r="AC867" s="1">
        <f t="shared" si="661"/>
        <v>6.4</v>
      </c>
      <c r="AD867" s="5">
        <v>1</v>
      </c>
      <c r="AE867" s="5">
        <v>0</v>
      </c>
      <c r="AF867" s="5">
        <v>1</v>
      </c>
      <c r="AG867" s="5">
        <v>0</v>
      </c>
      <c r="AH867" s="5">
        <v>1</v>
      </c>
      <c r="AI867" s="3">
        <f t="shared" si="658"/>
        <v>3.4</v>
      </c>
      <c r="AJ867" s="5">
        <f t="shared" si="670"/>
        <v>0</v>
      </c>
      <c r="AK867" s="5">
        <f t="shared" si="652"/>
        <v>0</v>
      </c>
      <c r="AL867" s="5">
        <f t="shared" si="653"/>
        <v>0</v>
      </c>
      <c r="AM867" s="5">
        <f t="shared" si="672"/>
        <v>1</v>
      </c>
      <c r="AN867" s="5">
        <f t="shared" si="654"/>
        <v>0</v>
      </c>
      <c r="AO867" s="5">
        <f t="shared" si="673"/>
        <v>0</v>
      </c>
      <c r="AP867" s="11" t="s">
        <v>42</v>
      </c>
      <c r="AQ867" s="11">
        <v>1</v>
      </c>
      <c r="AR867" s="5">
        <v>0</v>
      </c>
      <c r="AS867" s="5">
        <v>0</v>
      </c>
      <c r="AT867" s="5">
        <v>0</v>
      </c>
      <c r="AU867" s="5">
        <v>0</v>
      </c>
      <c r="AV867" s="5">
        <v>0</v>
      </c>
      <c r="AW867" s="5">
        <v>0</v>
      </c>
      <c r="AX867" s="5">
        <v>1</v>
      </c>
      <c r="AY867" s="1">
        <f t="shared" si="662"/>
        <v>0</v>
      </c>
      <c r="AZ867" s="1">
        <f t="shared" si="663"/>
        <v>1</v>
      </c>
      <c r="BA867" s="1">
        <f t="shared" si="664"/>
        <v>0</v>
      </c>
      <c r="BB867" s="5">
        <v>0</v>
      </c>
      <c r="BC867" s="5">
        <v>0</v>
      </c>
      <c r="BD867" s="5">
        <v>0</v>
      </c>
      <c r="BE867" s="5">
        <f t="shared" si="665"/>
        <v>1</v>
      </c>
      <c r="BF867" s="5">
        <v>0</v>
      </c>
      <c r="BG867" s="5">
        <f t="shared" si="669"/>
        <v>0</v>
      </c>
      <c r="BH867" s="5">
        <f t="shared" si="669"/>
        <v>0</v>
      </c>
      <c r="BI867" s="5">
        <f t="shared" si="669"/>
        <v>0</v>
      </c>
      <c r="BJ867" s="5">
        <f t="shared" si="669"/>
        <v>0</v>
      </c>
      <c r="BK867" s="5">
        <f t="shared" si="669"/>
        <v>0</v>
      </c>
      <c r="BL867" s="5">
        <f t="shared" si="669"/>
        <v>0</v>
      </c>
      <c r="BM867" s="5">
        <f t="shared" si="669"/>
        <v>0</v>
      </c>
      <c r="BN867" s="5">
        <f t="shared" si="669"/>
        <v>0</v>
      </c>
      <c r="BO867" s="5">
        <f t="shared" si="668"/>
        <v>0</v>
      </c>
      <c r="BP867" s="5">
        <f t="shared" si="668"/>
        <v>0</v>
      </c>
      <c r="BQ867" s="5">
        <f t="shared" si="668"/>
        <v>0</v>
      </c>
      <c r="BR867" s="5">
        <f t="shared" si="668"/>
        <v>0</v>
      </c>
      <c r="BS867" s="5">
        <f t="shared" si="668"/>
        <v>0</v>
      </c>
      <c r="BT867" s="5">
        <f t="shared" si="668"/>
        <v>0</v>
      </c>
      <c r="BU867" s="5">
        <f t="shared" si="668"/>
        <v>0</v>
      </c>
      <c r="BV867" s="5">
        <f t="shared" si="668"/>
        <v>0</v>
      </c>
      <c r="BW867" s="5">
        <f t="shared" si="668"/>
        <v>0</v>
      </c>
      <c r="BX867" s="5">
        <f t="shared" si="668"/>
        <v>0</v>
      </c>
      <c r="BY867" s="5">
        <f t="shared" si="668"/>
        <v>0</v>
      </c>
      <c r="BZ867" s="5">
        <f t="shared" si="668"/>
        <v>0</v>
      </c>
      <c r="CA867" s="5">
        <f t="shared" si="668"/>
        <v>0</v>
      </c>
      <c r="CB867" s="5">
        <f t="shared" si="667"/>
        <v>0</v>
      </c>
      <c r="CC867" s="5">
        <f t="shared" si="667"/>
        <v>0</v>
      </c>
      <c r="CD867" s="5">
        <f t="shared" si="667"/>
        <v>1</v>
      </c>
      <c r="CE867" s="5">
        <f t="shared" si="667"/>
        <v>0</v>
      </c>
    </row>
    <row r="868" spans="1:83" x14ac:dyDescent="0.2">
      <c r="A868" s="11"/>
      <c r="B868" s="11"/>
      <c r="C868" s="1">
        <f>Growth!D873</f>
        <v>6.3116370808678504E-2</v>
      </c>
      <c r="D868" s="5" t="b">
        <f t="shared" si="659"/>
        <v>0</v>
      </c>
      <c r="E868" s="5">
        <v>2014</v>
      </c>
      <c r="F868" s="5">
        <f ca="1">LOOKUP($E868,frequence!$A$2:$A$35,frequence!L$2:L$35)</f>
        <v>50.75383375536623</v>
      </c>
      <c r="G868" s="5">
        <f ca="1">LOOKUP($E868,frequence!$A$2:$A$35,frequence!K$2:K$35)</f>
        <v>9.9751715831189358</v>
      </c>
      <c r="H868" s="5">
        <f ca="1">LOOKUP($E868,frequence!$A$2:$A$35,frequence!M$2:M$35)</f>
        <v>236.05429056976001</v>
      </c>
      <c r="I868" s="16">
        <v>2007</v>
      </c>
      <c r="J868" s="7">
        <f>LOOKUP(I868,CPI!A$69:A$103,CPI!O$69:O$103)</f>
        <v>1.0516730811895323</v>
      </c>
      <c r="K868" s="16">
        <v>2010</v>
      </c>
      <c r="L868" s="7">
        <f t="shared" ca="1" si="649"/>
        <v>1</v>
      </c>
      <c r="M868" s="7">
        <f t="shared" si="671"/>
        <v>0.40394477317554245</v>
      </c>
      <c r="N868" s="14">
        <f>8*4/13/39</f>
        <v>6.3116370808678504E-2</v>
      </c>
      <c r="O868" s="1">
        <f ca="1">P868*J868*(1+Growth!G$6)^(2010-K868)</f>
        <v>289.21009732712139</v>
      </c>
      <c r="P868" s="11">
        <f>75*44/12</f>
        <v>275</v>
      </c>
      <c r="Q868" s="2">
        <f t="shared" si="660"/>
        <v>275</v>
      </c>
      <c r="R868" s="21">
        <f t="shared" ca="1" si="650"/>
        <v>83642.480395963023</v>
      </c>
      <c r="U868" s="11"/>
      <c r="V868" s="11"/>
      <c r="W868" s="11"/>
      <c r="X868" s="11"/>
      <c r="Y868" s="11"/>
      <c r="Z868" s="11"/>
      <c r="AA868" s="11"/>
      <c r="AB868" s="11"/>
      <c r="AC868" s="1">
        <f t="shared" si="661"/>
        <v>6.4</v>
      </c>
      <c r="AD868" s="5">
        <v>1</v>
      </c>
      <c r="AE868" s="5">
        <v>0</v>
      </c>
      <c r="AF868" s="5">
        <v>1</v>
      </c>
      <c r="AG868" s="5">
        <v>0</v>
      </c>
      <c r="AH868" s="5">
        <v>1</v>
      </c>
      <c r="AI868" s="3">
        <f t="shared" si="658"/>
        <v>3.4</v>
      </c>
      <c r="AJ868" s="5">
        <f t="shared" si="670"/>
        <v>0</v>
      </c>
      <c r="AK868" s="5">
        <f t="shared" si="652"/>
        <v>0</v>
      </c>
      <c r="AL868" s="5">
        <f t="shared" si="653"/>
        <v>0</v>
      </c>
      <c r="AM868" s="5">
        <f t="shared" si="672"/>
        <v>1</v>
      </c>
      <c r="AN868" s="5">
        <f t="shared" si="654"/>
        <v>0</v>
      </c>
      <c r="AO868" s="5">
        <f t="shared" si="673"/>
        <v>0</v>
      </c>
      <c r="AP868" s="11" t="s">
        <v>42</v>
      </c>
      <c r="AQ868" s="11">
        <v>1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1</v>
      </c>
      <c r="AY868" s="1">
        <f t="shared" si="662"/>
        <v>0</v>
      </c>
      <c r="AZ868" s="1">
        <f t="shared" si="663"/>
        <v>1</v>
      </c>
      <c r="BA868" s="1">
        <f t="shared" si="664"/>
        <v>0</v>
      </c>
      <c r="BB868" s="5">
        <v>0</v>
      </c>
      <c r="BC868" s="5">
        <v>0</v>
      </c>
      <c r="BD868" s="5">
        <v>0</v>
      </c>
      <c r="BE868" s="5">
        <f t="shared" si="665"/>
        <v>1</v>
      </c>
      <c r="BF868" s="5">
        <v>0</v>
      </c>
      <c r="BG868" s="5">
        <f t="shared" si="669"/>
        <v>0</v>
      </c>
      <c r="BH868" s="5">
        <f t="shared" si="669"/>
        <v>0</v>
      </c>
      <c r="BI868" s="5">
        <f t="shared" si="669"/>
        <v>0</v>
      </c>
      <c r="BJ868" s="5">
        <f t="shared" si="669"/>
        <v>0</v>
      </c>
      <c r="BK868" s="5">
        <f t="shared" si="669"/>
        <v>0</v>
      </c>
      <c r="BL868" s="5">
        <f t="shared" si="669"/>
        <v>0</v>
      </c>
      <c r="BM868" s="5">
        <f t="shared" si="669"/>
        <v>0</v>
      </c>
      <c r="BN868" s="5">
        <f t="shared" ref="BN868:CB883" si="674">IF($E868=BN$2,1,0)</f>
        <v>0</v>
      </c>
      <c r="BO868" s="5">
        <f t="shared" si="674"/>
        <v>0</v>
      </c>
      <c r="BP868" s="5">
        <f t="shared" si="674"/>
        <v>0</v>
      </c>
      <c r="BQ868" s="5">
        <f t="shared" si="674"/>
        <v>0</v>
      </c>
      <c r="BR868" s="5">
        <f t="shared" si="674"/>
        <v>0</v>
      </c>
      <c r="BS868" s="5">
        <f t="shared" si="674"/>
        <v>0</v>
      </c>
      <c r="BT868" s="5">
        <f t="shared" si="674"/>
        <v>0</v>
      </c>
      <c r="BU868" s="5">
        <f t="shared" si="674"/>
        <v>0</v>
      </c>
      <c r="BV868" s="5">
        <f t="shared" si="674"/>
        <v>0</v>
      </c>
      <c r="BW868" s="5">
        <f t="shared" si="674"/>
        <v>0</v>
      </c>
      <c r="BX868" s="5">
        <f t="shared" si="674"/>
        <v>0</v>
      </c>
      <c r="BY868" s="5">
        <f t="shared" si="674"/>
        <v>0</v>
      </c>
      <c r="BZ868" s="5">
        <f t="shared" si="674"/>
        <v>0</v>
      </c>
      <c r="CA868" s="5">
        <f t="shared" si="674"/>
        <v>0</v>
      </c>
      <c r="CB868" s="5">
        <f t="shared" si="667"/>
        <v>0</v>
      </c>
      <c r="CC868" s="5">
        <f t="shared" si="667"/>
        <v>0</v>
      </c>
      <c r="CD868" s="5">
        <f t="shared" si="667"/>
        <v>1</v>
      </c>
      <c r="CE868" s="5">
        <f t="shared" si="667"/>
        <v>0</v>
      </c>
    </row>
    <row r="869" spans="1:83" x14ac:dyDescent="0.2">
      <c r="A869" s="11"/>
      <c r="B869" s="11"/>
      <c r="C869" s="1">
        <f>Growth!D874</f>
        <v>3.1558185404339252E-2</v>
      </c>
      <c r="D869" s="5" t="b">
        <f t="shared" si="659"/>
        <v>0</v>
      </c>
      <c r="E869" s="5">
        <v>2014</v>
      </c>
      <c r="F869" s="5">
        <f ca="1">LOOKUP($E869,frequence!$A$2:$A$35,frequence!L$2:L$35)</f>
        <v>50.75383375536623</v>
      </c>
      <c r="G869" s="5">
        <f ca="1">LOOKUP($E869,frequence!$A$2:$A$35,frequence!K$2:K$35)</f>
        <v>9.9751715831189358</v>
      </c>
      <c r="H869" s="5">
        <f ca="1">LOOKUP($E869,frequence!$A$2:$A$35,frequence!M$2:M$35)</f>
        <v>236.05429056976001</v>
      </c>
      <c r="I869" s="16">
        <v>2007</v>
      </c>
      <c r="J869" s="7">
        <f>LOOKUP(I869,CPI!A$69:A$103,CPI!O$69:O$103)</f>
        <v>1.0516730811895323</v>
      </c>
      <c r="K869" s="16">
        <v>2010</v>
      </c>
      <c r="L869" s="7">
        <f t="shared" ca="1" si="649"/>
        <v>1</v>
      </c>
      <c r="M869" s="7">
        <f t="shared" si="671"/>
        <v>0.20197238658777122</v>
      </c>
      <c r="N869" s="14">
        <f>4*4/13/39</f>
        <v>3.1558185404339252E-2</v>
      </c>
      <c r="O869" s="1">
        <f ca="1">P869*J869*(1+Growth!G$6)^(2010-K869)</f>
        <v>578.42019465424278</v>
      </c>
      <c r="P869" s="11">
        <f>150*44/12</f>
        <v>550</v>
      </c>
      <c r="Q869" s="2">
        <f t="shared" si="660"/>
        <v>550</v>
      </c>
      <c r="R869" s="21">
        <f t="shared" ca="1" si="650"/>
        <v>334569.92158385209</v>
      </c>
      <c r="U869" s="11"/>
      <c r="V869" s="11"/>
      <c r="W869" s="11"/>
      <c r="X869" s="11"/>
      <c r="Y869" s="11"/>
      <c r="Z869" s="11"/>
      <c r="AA869" s="11"/>
      <c r="AB869" s="11"/>
      <c r="AC869" s="1">
        <f t="shared" si="661"/>
        <v>6.4</v>
      </c>
      <c r="AD869" s="5">
        <v>1</v>
      </c>
      <c r="AE869" s="5">
        <v>0</v>
      </c>
      <c r="AF869" s="5">
        <v>1</v>
      </c>
      <c r="AG869" s="5">
        <v>0</v>
      </c>
      <c r="AH869" s="5">
        <v>1</v>
      </c>
      <c r="AI869" s="3">
        <f t="shared" si="658"/>
        <v>3.4</v>
      </c>
      <c r="AJ869" s="5">
        <f t="shared" si="670"/>
        <v>0</v>
      </c>
      <c r="AK869" s="5">
        <f t="shared" si="652"/>
        <v>0</v>
      </c>
      <c r="AL869" s="5">
        <f t="shared" si="653"/>
        <v>0</v>
      </c>
      <c r="AM869" s="5">
        <f t="shared" si="672"/>
        <v>1</v>
      </c>
      <c r="AN869" s="5">
        <f t="shared" si="654"/>
        <v>0</v>
      </c>
      <c r="AO869" s="5">
        <f t="shared" si="673"/>
        <v>0</v>
      </c>
      <c r="AP869" s="11" t="s">
        <v>42</v>
      </c>
      <c r="AQ869" s="11">
        <v>1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1</v>
      </c>
      <c r="AY869" s="1">
        <f t="shared" si="662"/>
        <v>0</v>
      </c>
      <c r="AZ869" s="1">
        <f t="shared" si="663"/>
        <v>1</v>
      </c>
      <c r="BA869" s="1">
        <f t="shared" si="664"/>
        <v>0</v>
      </c>
      <c r="BB869" s="5">
        <v>0</v>
      </c>
      <c r="BC869" s="5">
        <v>0</v>
      </c>
      <c r="BD869" s="5">
        <v>0</v>
      </c>
      <c r="BE869" s="5">
        <f t="shared" si="665"/>
        <v>1</v>
      </c>
      <c r="BF869" s="5">
        <v>0</v>
      </c>
      <c r="BG869" s="5">
        <f t="shared" ref="BG869:BN884" si="675">IF($E869=BG$2,1,0)</f>
        <v>0</v>
      </c>
      <c r="BH869" s="5">
        <f t="shared" si="675"/>
        <v>0</v>
      </c>
      <c r="BI869" s="5">
        <f t="shared" si="675"/>
        <v>0</v>
      </c>
      <c r="BJ869" s="5">
        <f t="shared" si="675"/>
        <v>0</v>
      </c>
      <c r="BK869" s="5">
        <f t="shared" si="675"/>
        <v>0</v>
      </c>
      <c r="BL869" s="5">
        <f t="shared" si="675"/>
        <v>0</v>
      </c>
      <c r="BM869" s="5">
        <f t="shared" si="675"/>
        <v>0</v>
      </c>
      <c r="BN869" s="5">
        <f t="shared" si="674"/>
        <v>0</v>
      </c>
      <c r="BO869" s="5">
        <f t="shared" si="674"/>
        <v>0</v>
      </c>
      <c r="BP869" s="5">
        <f t="shared" si="674"/>
        <v>0</v>
      </c>
      <c r="BQ869" s="5">
        <f t="shared" si="674"/>
        <v>0</v>
      </c>
      <c r="BR869" s="5">
        <f t="shared" si="674"/>
        <v>0</v>
      </c>
      <c r="BS869" s="5">
        <f t="shared" si="674"/>
        <v>0</v>
      </c>
      <c r="BT869" s="5">
        <f t="shared" si="674"/>
        <v>0</v>
      </c>
      <c r="BU869" s="5">
        <f t="shared" si="674"/>
        <v>0</v>
      </c>
      <c r="BV869" s="5">
        <f t="shared" si="674"/>
        <v>0</v>
      </c>
      <c r="BW869" s="5">
        <f t="shared" si="674"/>
        <v>0</v>
      </c>
      <c r="BX869" s="5">
        <f t="shared" si="674"/>
        <v>0</v>
      </c>
      <c r="BY869" s="5">
        <f t="shared" si="674"/>
        <v>0</v>
      </c>
      <c r="BZ869" s="5">
        <f t="shared" si="674"/>
        <v>0</v>
      </c>
      <c r="CA869" s="5">
        <f t="shared" si="674"/>
        <v>0</v>
      </c>
      <c r="CB869" s="5">
        <f t="shared" si="667"/>
        <v>0</v>
      </c>
      <c r="CC869" s="5">
        <f t="shared" si="667"/>
        <v>0</v>
      </c>
      <c r="CD869" s="5">
        <f t="shared" si="667"/>
        <v>1</v>
      </c>
      <c r="CE869" s="5">
        <f t="shared" si="667"/>
        <v>0</v>
      </c>
    </row>
    <row r="870" spans="1:83" x14ac:dyDescent="0.2">
      <c r="A870" s="11"/>
      <c r="B870" s="11"/>
      <c r="C870" s="1">
        <f>Growth!D875</f>
        <v>1.5779092702169626E-2</v>
      </c>
      <c r="D870" s="5" t="b">
        <f t="shared" si="659"/>
        <v>0</v>
      </c>
      <c r="E870" s="5">
        <v>2014</v>
      </c>
      <c r="F870" s="5">
        <f ca="1">LOOKUP($E870,frequence!$A$2:$A$35,frequence!L$2:L$35)</f>
        <v>50.75383375536623</v>
      </c>
      <c r="G870" s="5">
        <f ca="1">LOOKUP($E870,frequence!$A$2:$A$35,frequence!K$2:K$35)</f>
        <v>9.9751715831189358</v>
      </c>
      <c r="H870" s="5">
        <f ca="1">LOOKUP($E870,frequence!$A$2:$A$35,frequence!M$2:M$35)</f>
        <v>236.05429056976001</v>
      </c>
      <c r="I870" s="16">
        <v>2007</v>
      </c>
      <c r="J870" s="7">
        <f>LOOKUP(I870,CPI!A$69:A$103,CPI!O$69:O$103)</f>
        <v>1.0516730811895323</v>
      </c>
      <c r="K870" s="16">
        <v>2010</v>
      </c>
      <c r="L870" s="7">
        <f t="shared" ca="1" si="649"/>
        <v>0.52062988966145129</v>
      </c>
      <c r="M870" s="7">
        <f t="shared" si="671"/>
        <v>0.10098619329388561</v>
      </c>
      <c r="N870" s="14">
        <f>2*4/13/39</f>
        <v>1.5779092702169626E-2</v>
      </c>
      <c r="O870" s="1">
        <f ca="1">P870*J870*(1+Growth!G$6)^(2010-K870)</f>
        <v>4241.7480941311142</v>
      </c>
      <c r="P870" s="11">
        <f>1100*44/12</f>
        <v>4033.3333333333335</v>
      </c>
      <c r="Q870" s="2">
        <f t="shared" si="660"/>
        <v>4033.3333333333335</v>
      </c>
      <c r="R870" s="21">
        <f t="shared" ca="1" si="650"/>
        <v>17992426.894064941</v>
      </c>
      <c r="U870" s="11"/>
      <c r="V870" s="11"/>
      <c r="W870" s="11"/>
      <c r="X870" s="11"/>
      <c r="Y870" s="11"/>
      <c r="Z870" s="11"/>
      <c r="AA870" s="11"/>
      <c r="AB870" s="11"/>
      <c r="AC870" s="1">
        <f t="shared" si="661"/>
        <v>6.4</v>
      </c>
      <c r="AD870" s="5">
        <v>1</v>
      </c>
      <c r="AE870" s="5">
        <v>0</v>
      </c>
      <c r="AF870" s="5">
        <v>1</v>
      </c>
      <c r="AG870" s="5">
        <v>0</v>
      </c>
      <c r="AH870" s="5">
        <v>1</v>
      </c>
      <c r="AI870" s="3">
        <f t="shared" si="658"/>
        <v>3.4</v>
      </c>
      <c r="AJ870" s="5">
        <f t="shared" si="670"/>
        <v>0</v>
      </c>
      <c r="AK870" s="5">
        <f t="shared" si="652"/>
        <v>0</v>
      </c>
      <c r="AL870" s="5">
        <f t="shared" si="653"/>
        <v>0</v>
      </c>
      <c r="AM870" s="5">
        <f t="shared" si="672"/>
        <v>1</v>
      </c>
      <c r="AN870" s="5">
        <f t="shared" si="654"/>
        <v>0</v>
      </c>
      <c r="AO870" s="5">
        <f t="shared" si="673"/>
        <v>0</v>
      </c>
      <c r="AP870" s="11" t="s">
        <v>42</v>
      </c>
      <c r="AQ870" s="11">
        <v>1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1</v>
      </c>
      <c r="AY870" s="1">
        <f t="shared" si="662"/>
        <v>0</v>
      </c>
      <c r="AZ870" s="1">
        <f t="shared" si="663"/>
        <v>1</v>
      </c>
      <c r="BA870" s="1">
        <f t="shared" si="664"/>
        <v>0</v>
      </c>
      <c r="BB870" s="5">
        <v>0</v>
      </c>
      <c r="BC870" s="5">
        <v>0</v>
      </c>
      <c r="BD870" s="5">
        <v>0</v>
      </c>
      <c r="BE870" s="5">
        <f t="shared" si="665"/>
        <v>1</v>
      </c>
      <c r="BF870" s="5">
        <v>0</v>
      </c>
      <c r="BG870" s="5">
        <f t="shared" si="675"/>
        <v>0</v>
      </c>
      <c r="BH870" s="5">
        <f t="shared" si="675"/>
        <v>0</v>
      </c>
      <c r="BI870" s="5">
        <f t="shared" si="675"/>
        <v>0</v>
      </c>
      <c r="BJ870" s="5">
        <f t="shared" si="675"/>
        <v>0</v>
      </c>
      <c r="BK870" s="5">
        <f t="shared" si="675"/>
        <v>0</v>
      </c>
      <c r="BL870" s="5">
        <f t="shared" si="675"/>
        <v>0</v>
      </c>
      <c r="BM870" s="5">
        <f t="shared" si="675"/>
        <v>0</v>
      </c>
      <c r="BN870" s="5">
        <f t="shared" si="674"/>
        <v>0</v>
      </c>
      <c r="BO870" s="5">
        <f t="shared" si="674"/>
        <v>0</v>
      </c>
      <c r="BP870" s="5">
        <f t="shared" si="674"/>
        <v>0</v>
      </c>
      <c r="BQ870" s="5">
        <f t="shared" si="674"/>
        <v>0</v>
      </c>
      <c r="BR870" s="5">
        <f t="shared" si="674"/>
        <v>0</v>
      </c>
      <c r="BS870" s="5">
        <f t="shared" si="674"/>
        <v>0</v>
      </c>
      <c r="BT870" s="5">
        <f t="shared" si="674"/>
        <v>0</v>
      </c>
      <c r="BU870" s="5">
        <f t="shared" si="674"/>
        <v>0</v>
      </c>
      <c r="BV870" s="5">
        <f t="shared" si="674"/>
        <v>0</v>
      </c>
      <c r="BW870" s="5">
        <f t="shared" si="674"/>
        <v>0</v>
      </c>
      <c r="BX870" s="5">
        <f t="shared" si="674"/>
        <v>0</v>
      </c>
      <c r="BY870" s="5">
        <f t="shared" si="674"/>
        <v>0</v>
      </c>
      <c r="BZ870" s="5">
        <f t="shared" si="674"/>
        <v>0</v>
      </c>
      <c r="CA870" s="5">
        <f t="shared" si="674"/>
        <v>0</v>
      </c>
      <c r="CB870" s="5">
        <f t="shared" si="667"/>
        <v>0</v>
      </c>
      <c r="CC870" s="5">
        <f t="shared" si="667"/>
        <v>0</v>
      </c>
      <c r="CD870" s="5">
        <f t="shared" si="667"/>
        <v>1</v>
      </c>
      <c r="CE870" s="5">
        <f t="shared" si="667"/>
        <v>0</v>
      </c>
    </row>
    <row r="871" spans="1:83" x14ac:dyDescent="0.2">
      <c r="A871" s="11"/>
      <c r="B871" s="11"/>
      <c r="C871" s="1">
        <f>Growth!D876</f>
        <v>7.889546351084813E-3</v>
      </c>
      <c r="D871" s="5" t="b">
        <f t="shared" si="659"/>
        <v>0</v>
      </c>
      <c r="E871" s="5">
        <v>2014</v>
      </c>
      <c r="F871" s="5">
        <f ca="1">LOOKUP($E871,frequence!$A$2:$A$35,frequence!L$2:L$35)</f>
        <v>50.75383375536623</v>
      </c>
      <c r="G871" s="5">
        <f ca="1">LOOKUP($E871,frequence!$A$2:$A$35,frequence!K$2:K$35)</f>
        <v>9.9751715831189358</v>
      </c>
      <c r="H871" s="5">
        <f ca="1">LOOKUP($E871,frequence!$A$2:$A$35,frequence!M$2:M$35)</f>
        <v>236.05429056976001</v>
      </c>
      <c r="I871" s="16">
        <v>2007</v>
      </c>
      <c r="J871" s="7">
        <f>LOOKUP(I871,CPI!A$69:A$103,CPI!O$69:O$103)</f>
        <v>1.0516730811895323</v>
      </c>
      <c r="K871" s="16">
        <v>2010</v>
      </c>
      <c r="L871" s="7">
        <f t="shared" ca="1" si="649"/>
        <v>0</v>
      </c>
      <c r="M871" s="7">
        <f t="shared" si="671"/>
        <v>5.0493096646942806E-2</v>
      </c>
      <c r="N871" s="14">
        <f>1*4/13/39</f>
        <v>7.889546351084813E-3</v>
      </c>
      <c r="O871" s="1">
        <f ca="1">P871*J871*(1+Growth!G$6)^(2010-K871)</f>
        <v>14653.311597907485</v>
      </c>
      <c r="P871" s="11">
        <f>3800*44/12</f>
        <v>13933.333333333334</v>
      </c>
      <c r="Q871" s="2">
        <f t="shared" si="660"/>
        <v>13933.333333333334</v>
      </c>
      <c r="R871" s="21">
        <f t="shared" ca="1" si="650"/>
        <v>214719540.78536999</v>
      </c>
      <c r="U871" s="11"/>
      <c r="V871" s="11"/>
      <c r="W871" s="11"/>
      <c r="X871" s="11"/>
      <c r="Y871" s="11"/>
      <c r="Z871" s="11"/>
      <c r="AA871" s="11"/>
      <c r="AB871" s="11"/>
      <c r="AC871" s="1">
        <f t="shared" si="661"/>
        <v>6.4</v>
      </c>
      <c r="AD871" s="5">
        <v>1</v>
      </c>
      <c r="AE871" s="5">
        <v>0</v>
      </c>
      <c r="AF871" s="5">
        <v>1</v>
      </c>
      <c r="AG871" s="5">
        <v>0</v>
      </c>
      <c r="AH871" s="5">
        <v>1</v>
      </c>
      <c r="AI871" s="3">
        <f t="shared" si="658"/>
        <v>3.4</v>
      </c>
      <c r="AJ871" s="5">
        <f t="shared" si="670"/>
        <v>0</v>
      </c>
      <c r="AK871" s="5">
        <f t="shared" si="652"/>
        <v>0</v>
      </c>
      <c r="AL871" s="5">
        <f t="shared" si="653"/>
        <v>0</v>
      </c>
      <c r="AM871" s="5">
        <f t="shared" si="672"/>
        <v>1</v>
      </c>
      <c r="AN871" s="5">
        <f t="shared" si="654"/>
        <v>0</v>
      </c>
      <c r="AO871" s="5">
        <f t="shared" si="673"/>
        <v>0</v>
      </c>
      <c r="AP871" s="11" t="s">
        <v>42</v>
      </c>
      <c r="AQ871" s="11">
        <v>1</v>
      </c>
      <c r="AR871" s="5">
        <v>0</v>
      </c>
      <c r="AS871" s="5">
        <v>0</v>
      </c>
      <c r="AT871" s="5">
        <v>0</v>
      </c>
      <c r="AU871" s="5">
        <v>0</v>
      </c>
      <c r="AV871" s="5">
        <v>0</v>
      </c>
      <c r="AW871" s="5">
        <v>0</v>
      </c>
      <c r="AX871" s="5">
        <v>1</v>
      </c>
      <c r="AY871" s="1">
        <f t="shared" si="662"/>
        <v>0</v>
      </c>
      <c r="AZ871" s="1">
        <f t="shared" si="663"/>
        <v>1</v>
      </c>
      <c r="BA871" s="1">
        <f t="shared" si="664"/>
        <v>0</v>
      </c>
      <c r="BB871" s="5">
        <v>0</v>
      </c>
      <c r="BC871" s="5">
        <v>0</v>
      </c>
      <c r="BD871" s="5">
        <v>0</v>
      </c>
      <c r="BE871" s="5">
        <f t="shared" si="665"/>
        <v>1</v>
      </c>
      <c r="BF871" s="5">
        <v>0</v>
      </c>
      <c r="BG871" s="5">
        <f t="shared" si="675"/>
        <v>0</v>
      </c>
      <c r="BH871" s="5">
        <f t="shared" si="675"/>
        <v>0</v>
      </c>
      <c r="BI871" s="5">
        <f t="shared" si="675"/>
        <v>0</v>
      </c>
      <c r="BJ871" s="5">
        <f t="shared" si="675"/>
        <v>0</v>
      </c>
      <c r="BK871" s="5">
        <f t="shared" si="675"/>
        <v>0</v>
      </c>
      <c r="BL871" s="5">
        <f t="shared" si="675"/>
        <v>0</v>
      </c>
      <c r="BM871" s="5">
        <f t="shared" si="675"/>
        <v>0</v>
      </c>
      <c r="BN871" s="5">
        <f t="shared" si="674"/>
        <v>0</v>
      </c>
      <c r="BO871" s="5">
        <f t="shared" si="674"/>
        <v>0</v>
      </c>
      <c r="BP871" s="5">
        <f t="shared" si="674"/>
        <v>0</v>
      </c>
      <c r="BQ871" s="5">
        <f t="shared" si="674"/>
        <v>0</v>
      </c>
      <c r="BR871" s="5">
        <f t="shared" si="674"/>
        <v>0</v>
      </c>
      <c r="BS871" s="5">
        <f t="shared" si="674"/>
        <v>0</v>
      </c>
      <c r="BT871" s="5">
        <f t="shared" si="674"/>
        <v>0</v>
      </c>
      <c r="BU871" s="5">
        <f t="shared" si="674"/>
        <v>0</v>
      </c>
      <c r="BV871" s="5">
        <f t="shared" si="674"/>
        <v>0</v>
      </c>
      <c r="BW871" s="5">
        <f t="shared" si="674"/>
        <v>0</v>
      </c>
      <c r="BX871" s="5">
        <f t="shared" si="674"/>
        <v>0</v>
      </c>
      <c r="BY871" s="5">
        <f t="shared" si="674"/>
        <v>0</v>
      </c>
      <c r="BZ871" s="5">
        <f t="shared" si="674"/>
        <v>0</v>
      </c>
      <c r="CA871" s="5">
        <f t="shared" si="674"/>
        <v>0</v>
      </c>
      <c r="CB871" s="5">
        <f t="shared" si="674"/>
        <v>0</v>
      </c>
      <c r="CC871" s="5">
        <f t="shared" ref="CC871:CE890" si="676">IF($E871=CC$2,1,0)</f>
        <v>0</v>
      </c>
      <c r="CD871" s="5">
        <f t="shared" si="676"/>
        <v>1</v>
      </c>
      <c r="CE871" s="5">
        <f t="shared" si="676"/>
        <v>0</v>
      </c>
    </row>
    <row r="872" spans="1:83" x14ac:dyDescent="0.2">
      <c r="A872" s="11" t="s">
        <v>201</v>
      </c>
      <c r="B872" s="11" t="s">
        <v>197</v>
      </c>
      <c r="C872" s="1">
        <f>Growth!D877</f>
        <v>6.1538461538461542E-2</v>
      </c>
      <c r="D872" s="5">
        <f t="shared" si="659"/>
        <v>2014</v>
      </c>
      <c r="E872" s="5">
        <v>2014</v>
      </c>
      <c r="F872" s="5">
        <f ca="1">LOOKUP($E872,frequence!$A$2:$A$35,frequence!L$2:L$35)</f>
        <v>50.75383375536623</v>
      </c>
      <c r="G872" s="5">
        <f ca="1">LOOKUP($E872,frequence!$A$2:$A$35,frequence!K$2:K$35)</f>
        <v>9.9751715831189358</v>
      </c>
      <c r="H872" s="5">
        <f ca="1">LOOKUP($E872,frequence!$A$2:$A$35,frequence!M$2:M$35)</f>
        <v>236.05429056976001</v>
      </c>
      <c r="I872" s="16">
        <v>2015</v>
      </c>
      <c r="J872" s="7">
        <f>LOOKUP(I872,CPI!A$69:A$103,CPI!O$69:O$103)</f>
        <v>0.92109353879426881</v>
      </c>
      <c r="K872" s="16">
        <v>2012</v>
      </c>
      <c r="L872" s="7">
        <f t="shared" ca="1" si="649"/>
        <v>1</v>
      </c>
      <c r="M872" s="7">
        <f t="shared" si="671"/>
        <v>0.3938461538461539</v>
      </c>
      <c r="N872" s="14">
        <f>4/65</f>
        <v>6.1538461538461542E-2</v>
      </c>
      <c r="O872" s="1">
        <f ca="1">P872*J872*(1+Growth!G$6)^(2010-K872)</f>
        <v>38.435716501599366</v>
      </c>
      <c r="P872" s="11">
        <v>43</v>
      </c>
      <c r="Q872" s="2">
        <f t="shared" ref="Q872:Q892" si="677">P872</f>
        <v>43</v>
      </c>
      <c r="R872" s="21">
        <f t="shared" ref="R872:R878" ca="1" si="678">O872*O872</f>
        <v>1477.3043029913179</v>
      </c>
      <c r="U872" s="11"/>
      <c r="V872" s="11"/>
      <c r="W872" s="11"/>
      <c r="X872" s="11"/>
      <c r="Y872" s="11"/>
      <c r="Z872" s="11"/>
      <c r="AA872" s="11"/>
      <c r="AB872" s="11"/>
      <c r="AC872" s="1">
        <f t="shared" si="661"/>
        <v>6.4</v>
      </c>
      <c r="AD872" s="5">
        <v>1</v>
      </c>
      <c r="AE872" s="5">
        <v>0</v>
      </c>
      <c r="AF872" s="5">
        <v>1</v>
      </c>
      <c r="AG872" s="5">
        <v>0</v>
      </c>
      <c r="AH872" s="5">
        <v>1</v>
      </c>
      <c r="AI872" s="3">
        <f t="shared" si="658"/>
        <v>3.4</v>
      </c>
      <c r="AJ872" s="5">
        <f t="shared" si="670"/>
        <v>0</v>
      </c>
      <c r="AK872" s="5">
        <f t="shared" si="652"/>
        <v>0</v>
      </c>
      <c r="AL872" s="5">
        <f t="shared" si="653"/>
        <v>1</v>
      </c>
      <c r="AM872" s="5">
        <f t="shared" si="672"/>
        <v>0</v>
      </c>
      <c r="AN872" s="5">
        <f t="shared" si="654"/>
        <v>0</v>
      </c>
      <c r="AO872" s="5">
        <f t="shared" si="673"/>
        <v>0</v>
      </c>
      <c r="AP872" s="11" t="s">
        <v>42</v>
      </c>
      <c r="AQ872" s="11">
        <v>1.5</v>
      </c>
      <c r="AR872" s="5">
        <v>0</v>
      </c>
      <c r="AS872" s="5">
        <v>0</v>
      </c>
      <c r="AT872" s="5">
        <v>0</v>
      </c>
      <c r="AU872" s="5">
        <v>0</v>
      </c>
      <c r="AV872" s="5">
        <v>0</v>
      </c>
      <c r="AW872" s="5">
        <v>0</v>
      </c>
      <c r="AX872" s="5">
        <v>1</v>
      </c>
      <c r="AY872" s="1">
        <f t="shared" ref="AY872:AY878" si="679">AJ872*$AD872*(1-$AV872)*(1-$AR872)</f>
        <v>0</v>
      </c>
      <c r="AZ872" s="1">
        <f t="shared" ref="AZ872:AZ878" si="680">AM872*$AD872*(1-$AV872)*(1-$AR872)</f>
        <v>0</v>
      </c>
      <c r="BA872" s="1">
        <f t="shared" ref="BA872:BA878" si="681">AO872*$AD872*(1-$AV872)*(1-$AR872)</f>
        <v>0</v>
      </c>
      <c r="BB872" s="5">
        <v>0</v>
      </c>
      <c r="BC872" s="5">
        <v>0</v>
      </c>
      <c r="BD872" s="5">
        <v>0</v>
      </c>
      <c r="BE872" s="5">
        <f t="shared" ref="BE872:BE878" si="682">1-SUM(BB872:BD872)</f>
        <v>1</v>
      </c>
      <c r="BF872" s="5">
        <v>0</v>
      </c>
      <c r="BG872" s="5">
        <f t="shared" si="675"/>
        <v>0</v>
      </c>
      <c r="BH872" s="5">
        <f t="shared" si="675"/>
        <v>0</v>
      </c>
      <c r="BI872" s="5">
        <f t="shared" si="675"/>
        <v>0</v>
      </c>
      <c r="BJ872" s="5">
        <f t="shared" si="675"/>
        <v>0</v>
      </c>
      <c r="BK872" s="5">
        <f t="shared" si="675"/>
        <v>0</v>
      </c>
      <c r="BL872" s="5">
        <f t="shared" si="675"/>
        <v>0</v>
      </c>
      <c r="BM872" s="5">
        <f t="shared" si="675"/>
        <v>0</v>
      </c>
      <c r="BN872" s="5">
        <f t="shared" si="674"/>
        <v>0</v>
      </c>
      <c r="BO872" s="5">
        <f t="shared" si="674"/>
        <v>0</v>
      </c>
      <c r="BP872" s="5">
        <f t="shared" si="674"/>
        <v>0</v>
      </c>
      <c r="BQ872" s="5">
        <f t="shared" si="674"/>
        <v>0</v>
      </c>
      <c r="BR872" s="5">
        <f t="shared" si="674"/>
        <v>0</v>
      </c>
      <c r="BS872" s="5">
        <f t="shared" si="674"/>
        <v>0</v>
      </c>
      <c r="BT872" s="5">
        <f t="shared" si="674"/>
        <v>0</v>
      </c>
      <c r="BU872" s="5">
        <f t="shared" si="674"/>
        <v>0</v>
      </c>
      <c r="BV872" s="5">
        <f t="shared" si="674"/>
        <v>0</v>
      </c>
      <c r="BW872" s="5">
        <f t="shared" si="674"/>
        <v>0</v>
      </c>
      <c r="BX872" s="5">
        <f t="shared" si="674"/>
        <v>0</v>
      </c>
      <c r="BY872" s="5">
        <f t="shared" si="674"/>
        <v>0</v>
      </c>
      <c r="BZ872" s="5">
        <f t="shared" si="674"/>
        <v>0</v>
      </c>
      <c r="CA872" s="5">
        <f t="shared" si="674"/>
        <v>0</v>
      </c>
      <c r="CB872" s="5">
        <f t="shared" si="674"/>
        <v>0</v>
      </c>
      <c r="CC872" s="5">
        <f t="shared" si="676"/>
        <v>0</v>
      </c>
      <c r="CD872" s="5">
        <f t="shared" si="676"/>
        <v>1</v>
      </c>
      <c r="CE872" s="5">
        <f t="shared" si="676"/>
        <v>0</v>
      </c>
    </row>
    <row r="873" spans="1:83" x14ac:dyDescent="0.2">
      <c r="A873" s="11"/>
      <c r="B873" s="11"/>
      <c r="C873" s="1">
        <f>Growth!D878</f>
        <v>0.12307692307692308</v>
      </c>
      <c r="D873" s="5" t="b">
        <f t="shared" si="659"/>
        <v>0</v>
      </c>
      <c r="E873" s="5">
        <v>2014</v>
      </c>
      <c r="F873" s="5">
        <f ca="1">LOOKUP($E873,frequence!$A$2:$A$35,frequence!L$2:L$35)</f>
        <v>50.75383375536623</v>
      </c>
      <c r="G873" s="5">
        <f ca="1">LOOKUP($E873,frequence!$A$2:$A$35,frequence!K$2:K$35)</f>
        <v>9.9751715831189358</v>
      </c>
      <c r="H873" s="5">
        <f ca="1">LOOKUP($E873,frequence!$A$2:$A$35,frequence!M$2:M$35)</f>
        <v>236.05429056976001</v>
      </c>
      <c r="I873" s="16">
        <v>2015</v>
      </c>
      <c r="J873" s="7">
        <f>LOOKUP(I873,CPI!A$69:A$103,CPI!O$69:O$103)</f>
        <v>0.92109353879426881</v>
      </c>
      <c r="K873" s="16">
        <v>2012</v>
      </c>
      <c r="L873" s="7">
        <f t="shared" ca="1" si="649"/>
        <v>1</v>
      </c>
      <c r="M873" s="7">
        <f t="shared" si="671"/>
        <v>0.7876923076923078</v>
      </c>
      <c r="N873" s="14">
        <f>8/65</f>
        <v>0.12307692307692308</v>
      </c>
      <c r="O873" s="1">
        <f ca="1">P873*J873*(1+Growth!G$6)^(2010-K873)</f>
        <v>45.586547478641116</v>
      </c>
      <c r="P873" s="11">
        <v>51</v>
      </c>
      <c r="Q873" s="2">
        <f t="shared" si="677"/>
        <v>51</v>
      </c>
      <c r="R873" s="21">
        <f t="shared" ca="1" si="678"/>
        <v>2078.1333110224004</v>
      </c>
      <c r="U873" s="11"/>
      <c r="V873" s="11"/>
      <c r="W873" s="11"/>
      <c r="X873" s="11"/>
      <c r="Y873" s="11"/>
      <c r="Z873" s="11"/>
      <c r="AA873" s="11"/>
      <c r="AB873" s="11"/>
      <c r="AC873" s="1">
        <f t="shared" si="661"/>
        <v>6.4</v>
      </c>
      <c r="AD873" s="5">
        <v>1</v>
      </c>
      <c r="AE873" s="5">
        <v>0</v>
      </c>
      <c r="AF873" s="5">
        <v>1</v>
      </c>
      <c r="AG873" s="5">
        <v>0</v>
      </c>
      <c r="AH873" s="5">
        <v>1</v>
      </c>
      <c r="AI873" s="3">
        <f t="shared" si="658"/>
        <v>3.4</v>
      </c>
      <c r="AJ873" s="5">
        <f t="shared" si="670"/>
        <v>0</v>
      </c>
      <c r="AK873" s="5">
        <f t="shared" si="652"/>
        <v>0</v>
      </c>
      <c r="AL873" s="5">
        <f t="shared" si="653"/>
        <v>1</v>
      </c>
      <c r="AM873" s="5">
        <f t="shared" si="672"/>
        <v>0</v>
      </c>
      <c r="AN873" s="5">
        <f t="shared" si="654"/>
        <v>0</v>
      </c>
      <c r="AO873" s="5">
        <f t="shared" si="673"/>
        <v>0</v>
      </c>
      <c r="AP873" s="11" t="s">
        <v>42</v>
      </c>
      <c r="AQ873" s="11">
        <v>1.5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1</v>
      </c>
      <c r="AY873" s="1">
        <f t="shared" si="679"/>
        <v>0</v>
      </c>
      <c r="AZ873" s="1">
        <f t="shared" si="680"/>
        <v>0</v>
      </c>
      <c r="BA873" s="1">
        <f t="shared" si="681"/>
        <v>0</v>
      </c>
      <c r="BB873" s="5">
        <v>0</v>
      </c>
      <c r="BC873" s="5">
        <v>0</v>
      </c>
      <c r="BD873" s="5">
        <v>0</v>
      </c>
      <c r="BE873" s="5">
        <f t="shared" si="682"/>
        <v>1</v>
      </c>
      <c r="BF873" s="5">
        <v>0</v>
      </c>
      <c r="BG873" s="5">
        <f t="shared" si="675"/>
        <v>0</v>
      </c>
      <c r="BH873" s="5">
        <f t="shared" si="675"/>
        <v>0</v>
      </c>
      <c r="BI873" s="5">
        <f t="shared" si="675"/>
        <v>0</v>
      </c>
      <c r="BJ873" s="5">
        <f t="shared" si="675"/>
        <v>0</v>
      </c>
      <c r="BK873" s="5">
        <f t="shared" si="675"/>
        <v>0</v>
      </c>
      <c r="BL873" s="5">
        <f t="shared" si="675"/>
        <v>0</v>
      </c>
      <c r="BM873" s="5">
        <f t="shared" si="675"/>
        <v>0</v>
      </c>
      <c r="BN873" s="5">
        <f t="shared" si="674"/>
        <v>0</v>
      </c>
      <c r="BO873" s="5">
        <f t="shared" si="674"/>
        <v>0</v>
      </c>
      <c r="BP873" s="5">
        <f t="shared" si="674"/>
        <v>0</v>
      </c>
      <c r="BQ873" s="5">
        <f t="shared" si="674"/>
        <v>0</v>
      </c>
      <c r="BR873" s="5">
        <f t="shared" si="674"/>
        <v>0</v>
      </c>
      <c r="BS873" s="5">
        <f t="shared" si="674"/>
        <v>0</v>
      </c>
      <c r="BT873" s="5">
        <f t="shared" si="674"/>
        <v>0</v>
      </c>
      <c r="BU873" s="5">
        <f t="shared" si="674"/>
        <v>0</v>
      </c>
      <c r="BV873" s="5">
        <f t="shared" si="674"/>
        <v>0</v>
      </c>
      <c r="BW873" s="5">
        <f t="shared" si="674"/>
        <v>0</v>
      </c>
      <c r="BX873" s="5">
        <f t="shared" si="674"/>
        <v>0</v>
      </c>
      <c r="BY873" s="5">
        <f t="shared" si="674"/>
        <v>0</v>
      </c>
      <c r="BZ873" s="5">
        <f t="shared" si="674"/>
        <v>0</v>
      </c>
      <c r="CA873" s="5">
        <f t="shared" si="674"/>
        <v>0</v>
      </c>
      <c r="CB873" s="5">
        <f t="shared" si="674"/>
        <v>0</v>
      </c>
      <c r="CC873" s="5">
        <f t="shared" si="676"/>
        <v>0</v>
      </c>
      <c r="CD873" s="5">
        <f t="shared" si="676"/>
        <v>1</v>
      </c>
      <c r="CE873" s="5">
        <f t="shared" si="676"/>
        <v>0</v>
      </c>
    </row>
    <row r="874" spans="1:83" x14ac:dyDescent="0.2">
      <c r="A874" s="11"/>
      <c r="B874" s="11"/>
      <c r="C874" s="1">
        <f>Growth!D879</f>
        <v>3.0769230769230771E-2</v>
      </c>
      <c r="D874" s="5" t="b">
        <f t="shared" si="659"/>
        <v>0</v>
      </c>
      <c r="E874" s="5">
        <v>2014</v>
      </c>
      <c r="F874" s="5">
        <f ca="1">LOOKUP($E874,frequence!$A$2:$A$35,frequence!L$2:L$35)</f>
        <v>50.75383375536623</v>
      </c>
      <c r="G874" s="5">
        <f ca="1">LOOKUP($E874,frequence!$A$2:$A$35,frequence!K$2:K$35)</f>
        <v>9.9751715831189358</v>
      </c>
      <c r="H874" s="5">
        <f ca="1">LOOKUP($E874,frequence!$A$2:$A$35,frequence!M$2:M$35)</f>
        <v>236.05429056976001</v>
      </c>
      <c r="I874" s="16">
        <v>2015</v>
      </c>
      <c r="J874" s="7">
        <f>LOOKUP(I874,CPI!A$69:A$103,CPI!O$69:O$103)</f>
        <v>0.92109353879426881</v>
      </c>
      <c r="K874" s="16">
        <v>2012</v>
      </c>
      <c r="L874" s="7">
        <f t="shared" ca="1" si="649"/>
        <v>1</v>
      </c>
      <c r="M874" s="7">
        <f t="shared" si="671"/>
        <v>0.19692307692307695</v>
      </c>
      <c r="N874" s="14">
        <f>2/65</f>
        <v>3.0769230769230771E-2</v>
      </c>
      <c r="O874" s="1">
        <f ca="1">P874*J874*(1+Growth!G$6)^(2010-K874)</f>
        <v>31.284885524557627</v>
      </c>
      <c r="P874" s="11">
        <v>35</v>
      </c>
      <c r="Q874" s="2">
        <f t="shared" si="677"/>
        <v>35</v>
      </c>
      <c r="R874" s="21">
        <f t="shared" ca="1" si="678"/>
        <v>978.74406228467535</v>
      </c>
      <c r="U874" s="11"/>
      <c r="V874" s="11"/>
      <c r="W874" s="11"/>
      <c r="X874" s="11"/>
      <c r="Y874" s="11"/>
      <c r="Z874" s="11"/>
      <c r="AA874" s="11"/>
      <c r="AB874" s="11"/>
      <c r="AC874" s="1">
        <f t="shared" si="661"/>
        <v>6.4</v>
      </c>
      <c r="AD874" s="5">
        <v>1</v>
      </c>
      <c r="AE874" s="5">
        <v>0</v>
      </c>
      <c r="AF874" s="5">
        <v>1</v>
      </c>
      <c r="AG874" s="5">
        <v>0</v>
      </c>
      <c r="AH874" s="5">
        <v>1</v>
      </c>
      <c r="AI874" s="3">
        <f t="shared" si="658"/>
        <v>3.4</v>
      </c>
      <c r="AJ874" s="5">
        <f t="shared" si="670"/>
        <v>0</v>
      </c>
      <c r="AK874" s="5">
        <f t="shared" si="652"/>
        <v>0</v>
      </c>
      <c r="AL874" s="5">
        <f t="shared" si="653"/>
        <v>1</v>
      </c>
      <c r="AM874" s="5">
        <f t="shared" si="672"/>
        <v>0</v>
      </c>
      <c r="AN874" s="5">
        <f t="shared" si="654"/>
        <v>0</v>
      </c>
      <c r="AO874" s="5">
        <f t="shared" si="673"/>
        <v>0</v>
      </c>
      <c r="AP874" s="11" t="s">
        <v>42</v>
      </c>
      <c r="AQ874" s="11">
        <v>1.5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1</v>
      </c>
      <c r="AY874" s="1">
        <f t="shared" si="679"/>
        <v>0</v>
      </c>
      <c r="AZ874" s="1">
        <f t="shared" si="680"/>
        <v>0</v>
      </c>
      <c r="BA874" s="1">
        <f t="shared" si="681"/>
        <v>0</v>
      </c>
      <c r="BB874" s="5">
        <v>0</v>
      </c>
      <c r="BC874" s="5">
        <v>0</v>
      </c>
      <c r="BD874" s="5">
        <v>0</v>
      </c>
      <c r="BE874" s="5">
        <f t="shared" si="682"/>
        <v>1</v>
      </c>
      <c r="BF874" s="5">
        <v>0</v>
      </c>
      <c r="BG874" s="5">
        <f t="shared" si="675"/>
        <v>0</v>
      </c>
      <c r="BH874" s="5">
        <f t="shared" si="675"/>
        <v>0</v>
      </c>
      <c r="BI874" s="5">
        <f t="shared" si="675"/>
        <v>0</v>
      </c>
      <c r="BJ874" s="5">
        <f t="shared" si="675"/>
        <v>0</v>
      </c>
      <c r="BK874" s="5">
        <f t="shared" si="675"/>
        <v>0</v>
      </c>
      <c r="BL874" s="5">
        <f t="shared" si="675"/>
        <v>0</v>
      </c>
      <c r="BM874" s="5">
        <f t="shared" si="675"/>
        <v>0</v>
      </c>
      <c r="BN874" s="5">
        <f t="shared" si="674"/>
        <v>0</v>
      </c>
      <c r="BO874" s="5">
        <f t="shared" si="674"/>
        <v>0</v>
      </c>
      <c r="BP874" s="5">
        <f t="shared" si="674"/>
        <v>0</v>
      </c>
      <c r="BQ874" s="5">
        <f t="shared" si="674"/>
        <v>0</v>
      </c>
      <c r="BR874" s="5">
        <f t="shared" si="674"/>
        <v>0</v>
      </c>
      <c r="BS874" s="5">
        <f t="shared" si="674"/>
        <v>0</v>
      </c>
      <c r="BT874" s="5">
        <f t="shared" si="674"/>
        <v>0</v>
      </c>
      <c r="BU874" s="5">
        <f t="shared" si="674"/>
        <v>0</v>
      </c>
      <c r="BV874" s="5">
        <f t="shared" si="674"/>
        <v>0</v>
      </c>
      <c r="BW874" s="5">
        <f t="shared" si="674"/>
        <v>0</v>
      </c>
      <c r="BX874" s="5">
        <f t="shared" si="674"/>
        <v>0</v>
      </c>
      <c r="BY874" s="5">
        <f t="shared" si="674"/>
        <v>0</v>
      </c>
      <c r="BZ874" s="5">
        <f t="shared" si="674"/>
        <v>0</v>
      </c>
      <c r="CA874" s="5">
        <f t="shared" si="674"/>
        <v>0</v>
      </c>
      <c r="CB874" s="5">
        <f t="shared" si="674"/>
        <v>0</v>
      </c>
      <c r="CC874" s="5">
        <f t="shared" si="676"/>
        <v>0</v>
      </c>
      <c r="CD874" s="5">
        <f t="shared" si="676"/>
        <v>1</v>
      </c>
      <c r="CE874" s="5">
        <f t="shared" si="676"/>
        <v>0</v>
      </c>
    </row>
    <row r="875" spans="1:83" x14ac:dyDescent="0.2">
      <c r="A875" s="11"/>
      <c r="B875" s="11"/>
      <c r="C875" s="1">
        <f>Growth!D880</f>
        <v>1.5384615384615385E-2</v>
      </c>
      <c r="D875" s="5" t="b">
        <f t="shared" si="659"/>
        <v>0</v>
      </c>
      <c r="E875" s="5">
        <v>2014</v>
      </c>
      <c r="F875" s="5">
        <f ca="1">LOOKUP($E875,frequence!$A$2:$A$35,frequence!L$2:L$35)</f>
        <v>50.75383375536623</v>
      </c>
      <c r="G875" s="5">
        <f ca="1">LOOKUP($E875,frequence!$A$2:$A$35,frequence!K$2:K$35)</f>
        <v>9.9751715831189358</v>
      </c>
      <c r="H875" s="5">
        <f ca="1">LOOKUP($E875,frequence!$A$2:$A$35,frequence!M$2:M$35)</f>
        <v>236.05429056976001</v>
      </c>
      <c r="I875" s="16">
        <v>2015</v>
      </c>
      <c r="J875" s="7">
        <f>LOOKUP(I875,CPI!A$69:A$103,CPI!O$69:O$103)</f>
        <v>0.92109353879426881</v>
      </c>
      <c r="K875" s="16">
        <v>2012</v>
      </c>
      <c r="L875" s="7">
        <f t="shared" ca="1" si="649"/>
        <v>1</v>
      </c>
      <c r="M875" s="7">
        <f t="shared" si="671"/>
        <v>9.8461538461538475E-2</v>
      </c>
      <c r="N875" s="14">
        <f>1/65</f>
        <v>1.5384615384615385E-2</v>
      </c>
      <c r="O875" s="1">
        <f ca="1">P875*J875*(1+Growth!G$6)^(2010-K875)</f>
        <v>30.391031652427408</v>
      </c>
      <c r="P875" s="11">
        <v>34</v>
      </c>
      <c r="Q875" s="2">
        <f t="shared" si="677"/>
        <v>34</v>
      </c>
      <c r="R875" s="21">
        <f t="shared" ca="1" si="678"/>
        <v>923.61480489884457</v>
      </c>
      <c r="U875" s="11"/>
      <c r="V875" s="11"/>
      <c r="W875" s="11"/>
      <c r="X875" s="11"/>
      <c r="Y875" s="11"/>
      <c r="Z875" s="11"/>
      <c r="AA875" s="11"/>
      <c r="AB875" s="11"/>
      <c r="AC875" s="1">
        <f t="shared" si="661"/>
        <v>6.4</v>
      </c>
      <c r="AD875" s="5">
        <v>1</v>
      </c>
      <c r="AE875" s="5">
        <v>0</v>
      </c>
      <c r="AF875" s="5">
        <v>1</v>
      </c>
      <c r="AG875" s="5">
        <v>0</v>
      </c>
      <c r="AH875" s="5">
        <v>1</v>
      </c>
      <c r="AI875" s="3">
        <f t="shared" si="658"/>
        <v>3.4</v>
      </c>
      <c r="AJ875" s="5">
        <f t="shared" si="670"/>
        <v>0</v>
      </c>
      <c r="AK875" s="5">
        <f t="shared" si="652"/>
        <v>0</v>
      </c>
      <c r="AL875" s="5">
        <f t="shared" si="653"/>
        <v>1</v>
      </c>
      <c r="AM875" s="5">
        <f t="shared" si="672"/>
        <v>0</v>
      </c>
      <c r="AN875" s="5">
        <f t="shared" si="654"/>
        <v>0</v>
      </c>
      <c r="AO875" s="5">
        <f t="shared" si="673"/>
        <v>0</v>
      </c>
      <c r="AP875" s="11" t="s">
        <v>42</v>
      </c>
      <c r="AQ875" s="11">
        <v>1.5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1</v>
      </c>
      <c r="AY875" s="1">
        <f t="shared" si="679"/>
        <v>0</v>
      </c>
      <c r="AZ875" s="1">
        <f t="shared" si="680"/>
        <v>0</v>
      </c>
      <c r="BA875" s="1">
        <f t="shared" si="681"/>
        <v>0</v>
      </c>
      <c r="BB875" s="5">
        <v>0</v>
      </c>
      <c r="BC875" s="5">
        <v>0</v>
      </c>
      <c r="BD875" s="5">
        <v>0</v>
      </c>
      <c r="BE875" s="5">
        <f t="shared" si="682"/>
        <v>1</v>
      </c>
      <c r="BF875" s="5">
        <v>0</v>
      </c>
      <c r="BG875" s="5">
        <f t="shared" si="675"/>
        <v>0</v>
      </c>
      <c r="BH875" s="5">
        <f t="shared" si="675"/>
        <v>0</v>
      </c>
      <c r="BI875" s="5">
        <f t="shared" si="675"/>
        <v>0</v>
      </c>
      <c r="BJ875" s="5">
        <f t="shared" si="675"/>
        <v>0</v>
      </c>
      <c r="BK875" s="5">
        <f t="shared" si="675"/>
        <v>0</v>
      </c>
      <c r="BL875" s="5">
        <f t="shared" si="675"/>
        <v>0</v>
      </c>
      <c r="BM875" s="5">
        <f t="shared" si="675"/>
        <v>0</v>
      </c>
      <c r="BN875" s="5">
        <f t="shared" si="674"/>
        <v>0</v>
      </c>
      <c r="BO875" s="5">
        <f t="shared" si="674"/>
        <v>0</v>
      </c>
      <c r="BP875" s="5">
        <f t="shared" si="674"/>
        <v>0</v>
      </c>
      <c r="BQ875" s="5">
        <f t="shared" si="674"/>
        <v>0</v>
      </c>
      <c r="BR875" s="5">
        <f t="shared" si="674"/>
        <v>0</v>
      </c>
      <c r="BS875" s="5">
        <f t="shared" si="674"/>
        <v>0</v>
      </c>
      <c r="BT875" s="5">
        <f t="shared" si="674"/>
        <v>0</v>
      </c>
      <c r="BU875" s="5">
        <f t="shared" si="674"/>
        <v>0</v>
      </c>
      <c r="BV875" s="5">
        <f t="shared" si="674"/>
        <v>0</v>
      </c>
      <c r="BW875" s="5">
        <f t="shared" si="674"/>
        <v>0</v>
      </c>
      <c r="BX875" s="5">
        <f t="shared" si="674"/>
        <v>0</v>
      </c>
      <c r="BY875" s="5">
        <f t="shared" si="674"/>
        <v>0</v>
      </c>
      <c r="BZ875" s="5">
        <f t="shared" si="674"/>
        <v>0</v>
      </c>
      <c r="CA875" s="5">
        <f t="shared" si="674"/>
        <v>0</v>
      </c>
      <c r="CB875" s="5">
        <f t="shared" si="674"/>
        <v>0</v>
      </c>
      <c r="CC875" s="5">
        <f t="shared" si="676"/>
        <v>0</v>
      </c>
      <c r="CD875" s="5">
        <f t="shared" si="676"/>
        <v>1</v>
      </c>
      <c r="CE875" s="5">
        <f t="shared" si="676"/>
        <v>0</v>
      </c>
    </row>
    <row r="876" spans="1:83" x14ac:dyDescent="0.2">
      <c r="A876" s="11"/>
      <c r="B876" s="11"/>
      <c r="C876" s="1">
        <f>Growth!D881</f>
        <v>3.0769230769230771E-2</v>
      </c>
      <c r="D876" s="5" t="b">
        <f t="shared" si="659"/>
        <v>0</v>
      </c>
      <c r="E876" s="5">
        <v>2014</v>
      </c>
      <c r="F876" s="5">
        <f ca="1">LOOKUP($E876,frequence!$A$2:$A$35,frequence!L$2:L$35)</f>
        <v>50.75383375536623</v>
      </c>
      <c r="G876" s="5">
        <f ca="1">LOOKUP($E876,frequence!$A$2:$A$35,frequence!K$2:K$35)</f>
        <v>9.9751715831189358</v>
      </c>
      <c r="H876" s="5">
        <f ca="1">LOOKUP($E876,frequence!$A$2:$A$35,frequence!M$2:M$35)</f>
        <v>236.05429056976001</v>
      </c>
      <c r="I876" s="16">
        <v>2015</v>
      </c>
      <c r="J876" s="7">
        <f>LOOKUP(I876,CPI!A$69:A$103,CPI!O$69:O$103)</f>
        <v>0.92109353879426881</v>
      </c>
      <c r="K876" s="16">
        <v>2012</v>
      </c>
      <c r="L876" s="7">
        <f t="shared" ca="1" si="649"/>
        <v>1</v>
      </c>
      <c r="M876" s="7">
        <f t="shared" si="671"/>
        <v>0.19692307692307695</v>
      </c>
      <c r="N876" s="14">
        <f>2/65</f>
        <v>3.0769230769230771E-2</v>
      </c>
      <c r="O876" s="1">
        <f ca="1">P876*J876*(1+Growth!G$6)^(2010-K876)</f>
        <v>75.977579131068524</v>
      </c>
      <c r="P876" s="11">
        <v>85</v>
      </c>
      <c r="Q876" s="2">
        <f t="shared" si="677"/>
        <v>85</v>
      </c>
      <c r="R876" s="21">
        <f t="shared" ca="1" si="678"/>
        <v>5772.5925306177796</v>
      </c>
      <c r="U876" s="11"/>
      <c r="V876" s="11"/>
      <c r="W876" s="11"/>
      <c r="X876" s="11"/>
      <c r="Y876" s="11"/>
      <c r="Z876" s="11"/>
      <c r="AA876" s="11"/>
      <c r="AB876" s="11"/>
      <c r="AC876" s="1">
        <f t="shared" si="661"/>
        <v>6.4</v>
      </c>
      <c r="AD876" s="5">
        <v>1</v>
      </c>
      <c r="AE876" s="5">
        <v>0</v>
      </c>
      <c r="AF876" s="5">
        <v>1</v>
      </c>
      <c r="AG876" s="5">
        <v>0</v>
      </c>
      <c r="AH876" s="5">
        <v>1</v>
      </c>
      <c r="AI876" s="3">
        <f t="shared" si="658"/>
        <v>3.4</v>
      </c>
      <c r="AJ876" s="5">
        <f t="shared" si="670"/>
        <v>0</v>
      </c>
      <c r="AK876" s="5">
        <f t="shared" si="652"/>
        <v>0</v>
      </c>
      <c r="AL876" s="5">
        <f t="shared" si="653"/>
        <v>1</v>
      </c>
      <c r="AM876" s="5">
        <f t="shared" si="672"/>
        <v>0</v>
      </c>
      <c r="AN876" s="5">
        <f t="shared" si="654"/>
        <v>0</v>
      </c>
      <c r="AO876" s="5">
        <f t="shared" si="673"/>
        <v>0</v>
      </c>
      <c r="AP876" s="11" t="s">
        <v>42</v>
      </c>
      <c r="AQ876" s="11">
        <v>1.5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1</v>
      </c>
      <c r="AY876" s="1">
        <f t="shared" si="679"/>
        <v>0</v>
      </c>
      <c r="AZ876" s="1">
        <f t="shared" si="680"/>
        <v>0</v>
      </c>
      <c r="BA876" s="1">
        <f t="shared" si="681"/>
        <v>0</v>
      </c>
      <c r="BB876" s="5">
        <v>0</v>
      </c>
      <c r="BC876" s="5">
        <v>0</v>
      </c>
      <c r="BD876" s="5">
        <v>0</v>
      </c>
      <c r="BE876" s="5">
        <f t="shared" si="682"/>
        <v>1</v>
      </c>
      <c r="BF876" s="5">
        <v>0</v>
      </c>
      <c r="BG876" s="5">
        <f t="shared" si="675"/>
        <v>0</v>
      </c>
      <c r="BH876" s="5">
        <f t="shared" si="675"/>
        <v>0</v>
      </c>
      <c r="BI876" s="5">
        <f t="shared" si="675"/>
        <v>0</v>
      </c>
      <c r="BJ876" s="5">
        <f t="shared" si="675"/>
        <v>0</v>
      </c>
      <c r="BK876" s="5">
        <f t="shared" si="675"/>
        <v>0</v>
      </c>
      <c r="BL876" s="5">
        <f t="shared" si="675"/>
        <v>0</v>
      </c>
      <c r="BM876" s="5">
        <f t="shared" si="675"/>
        <v>0</v>
      </c>
      <c r="BN876" s="5">
        <f t="shared" si="674"/>
        <v>0</v>
      </c>
      <c r="BO876" s="5">
        <f t="shared" si="674"/>
        <v>0</v>
      </c>
      <c r="BP876" s="5">
        <f t="shared" si="674"/>
        <v>0</v>
      </c>
      <c r="BQ876" s="5">
        <f t="shared" si="674"/>
        <v>0</v>
      </c>
      <c r="BR876" s="5">
        <f t="shared" si="674"/>
        <v>0</v>
      </c>
      <c r="BS876" s="5">
        <f t="shared" si="674"/>
        <v>0</v>
      </c>
      <c r="BT876" s="5">
        <f t="shared" si="674"/>
        <v>0</v>
      </c>
      <c r="BU876" s="5">
        <f t="shared" si="674"/>
        <v>0</v>
      </c>
      <c r="BV876" s="5">
        <f t="shared" si="674"/>
        <v>0</v>
      </c>
      <c r="BW876" s="5">
        <f t="shared" si="674"/>
        <v>0</v>
      </c>
      <c r="BX876" s="5">
        <f t="shared" si="674"/>
        <v>0</v>
      </c>
      <c r="BY876" s="5">
        <f t="shared" si="674"/>
        <v>0</v>
      </c>
      <c r="BZ876" s="5">
        <f t="shared" si="674"/>
        <v>0</v>
      </c>
      <c r="CA876" s="5">
        <f t="shared" si="674"/>
        <v>0</v>
      </c>
      <c r="CB876" s="5">
        <f t="shared" si="674"/>
        <v>0</v>
      </c>
      <c r="CC876" s="5">
        <f t="shared" si="676"/>
        <v>0</v>
      </c>
      <c r="CD876" s="5">
        <f t="shared" si="676"/>
        <v>1</v>
      </c>
      <c r="CE876" s="5">
        <f t="shared" si="676"/>
        <v>0</v>
      </c>
    </row>
    <row r="877" spans="1:83" x14ac:dyDescent="0.2">
      <c r="A877" s="11"/>
      <c r="B877" s="11"/>
      <c r="C877" s="1">
        <f>Growth!D882</f>
        <v>0.24615384615384617</v>
      </c>
      <c r="D877" s="5" t="b">
        <f t="shared" si="659"/>
        <v>0</v>
      </c>
      <c r="E877" s="5">
        <v>2014</v>
      </c>
      <c r="F877" s="5">
        <f ca="1">LOOKUP($E877,frequence!$A$2:$A$35,frequence!L$2:L$35)</f>
        <v>50.75383375536623</v>
      </c>
      <c r="G877" s="5">
        <f ca="1">LOOKUP($E877,frequence!$A$2:$A$35,frequence!K$2:K$35)</f>
        <v>9.9751715831189358</v>
      </c>
      <c r="H877" s="5">
        <f ca="1">LOOKUP($E877,frequence!$A$2:$A$35,frequence!M$2:M$35)</f>
        <v>236.05429056976001</v>
      </c>
      <c r="I877" s="16">
        <v>2015</v>
      </c>
      <c r="J877" s="7">
        <f>LOOKUP(I877,CPI!A$69:A$103,CPI!O$69:O$103)</f>
        <v>0.92109353879426881</v>
      </c>
      <c r="K877" s="16">
        <v>2012</v>
      </c>
      <c r="L877" s="7">
        <f t="shared" ca="1" si="649"/>
        <v>1</v>
      </c>
      <c r="M877" s="7">
        <f t="shared" si="671"/>
        <v>1.5753846153846156</v>
      </c>
      <c r="N877" s="14">
        <f>16/65</f>
        <v>0.24615384615384617</v>
      </c>
      <c r="O877" s="1">
        <f ca="1">P877*J877*(1+Growth!G$6)^(2010-K877)</f>
        <v>63.463624921245469</v>
      </c>
      <c r="P877" s="11">
        <v>71</v>
      </c>
      <c r="Q877" s="2">
        <f t="shared" si="677"/>
        <v>71</v>
      </c>
      <c r="R877" s="21">
        <f t="shared" ca="1" si="678"/>
        <v>4027.6316881445291</v>
      </c>
      <c r="U877" s="11"/>
      <c r="V877" s="11"/>
      <c r="W877" s="11"/>
      <c r="X877" s="11"/>
      <c r="Y877" s="11"/>
      <c r="Z877" s="11"/>
      <c r="AA877" s="11"/>
      <c r="AB877" s="11"/>
      <c r="AC877" s="1">
        <f t="shared" si="661"/>
        <v>6.4</v>
      </c>
      <c r="AD877" s="5">
        <v>1</v>
      </c>
      <c r="AE877" s="5">
        <v>0</v>
      </c>
      <c r="AF877" s="5">
        <v>1</v>
      </c>
      <c r="AG877" s="5">
        <v>0</v>
      </c>
      <c r="AH877" s="5">
        <v>1</v>
      </c>
      <c r="AI877" s="3">
        <f t="shared" si="658"/>
        <v>3.4</v>
      </c>
      <c r="AJ877" s="5">
        <f t="shared" si="670"/>
        <v>0</v>
      </c>
      <c r="AK877" s="5">
        <f t="shared" si="652"/>
        <v>0</v>
      </c>
      <c r="AL877" s="5">
        <f t="shared" si="653"/>
        <v>1</v>
      </c>
      <c r="AM877" s="5">
        <f t="shared" si="672"/>
        <v>0</v>
      </c>
      <c r="AN877" s="5">
        <f t="shared" si="654"/>
        <v>0</v>
      </c>
      <c r="AO877" s="5">
        <f t="shared" si="673"/>
        <v>0</v>
      </c>
      <c r="AP877" s="11" t="s">
        <v>42</v>
      </c>
      <c r="AQ877" s="11">
        <v>1.5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1</v>
      </c>
      <c r="AY877" s="1">
        <f t="shared" si="679"/>
        <v>0</v>
      </c>
      <c r="AZ877" s="1">
        <f t="shared" si="680"/>
        <v>0</v>
      </c>
      <c r="BA877" s="1">
        <f t="shared" si="681"/>
        <v>0</v>
      </c>
      <c r="BB877" s="5">
        <v>0</v>
      </c>
      <c r="BC877" s="5">
        <v>0</v>
      </c>
      <c r="BD877" s="5">
        <v>0</v>
      </c>
      <c r="BE877" s="5">
        <f t="shared" si="682"/>
        <v>1</v>
      </c>
      <c r="BF877" s="5">
        <v>0</v>
      </c>
      <c r="BG877" s="5">
        <f t="shared" si="675"/>
        <v>0</v>
      </c>
      <c r="BH877" s="5">
        <f t="shared" si="675"/>
        <v>0</v>
      </c>
      <c r="BI877" s="5">
        <f t="shared" si="675"/>
        <v>0</v>
      </c>
      <c r="BJ877" s="5">
        <f t="shared" si="675"/>
        <v>0</v>
      </c>
      <c r="BK877" s="5">
        <f t="shared" si="675"/>
        <v>0</v>
      </c>
      <c r="BL877" s="5">
        <f t="shared" si="675"/>
        <v>0</v>
      </c>
      <c r="BM877" s="5">
        <f t="shared" si="675"/>
        <v>0</v>
      </c>
      <c r="BN877" s="5">
        <f t="shared" si="674"/>
        <v>0</v>
      </c>
      <c r="BO877" s="5">
        <f t="shared" si="674"/>
        <v>0</v>
      </c>
      <c r="BP877" s="5">
        <f t="shared" si="674"/>
        <v>0</v>
      </c>
      <c r="BQ877" s="5">
        <f t="shared" si="674"/>
        <v>0</v>
      </c>
      <c r="BR877" s="5">
        <f t="shared" si="674"/>
        <v>0</v>
      </c>
      <c r="BS877" s="5">
        <f t="shared" si="674"/>
        <v>0</v>
      </c>
      <c r="BT877" s="5">
        <f t="shared" si="674"/>
        <v>0</v>
      </c>
      <c r="BU877" s="5">
        <f t="shared" si="674"/>
        <v>0</v>
      </c>
      <c r="BV877" s="5">
        <f t="shared" si="674"/>
        <v>0</v>
      </c>
      <c r="BW877" s="5">
        <f t="shared" si="674"/>
        <v>0</v>
      </c>
      <c r="BX877" s="5">
        <f t="shared" si="674"/>
        <v>0</v>
      </c>
      <c r="BY877" s="5">
        <f t="shared" si="674"/>
        <v>0</v>
      </c>
      <c r="BZ877" s="5">
        <f t="shared" si="674"/>
        <v>0</v>
      </c>
      <c r="CA877" s="5">
        <f t="shared" si="674"/>
        <v>0</v>
      </c>
      <c r="CB877" s="5">
        <f t="shared" si="674"/>
        <v>0</v>
      </c>
      <c r="CC877" s="5">
        <f t="shared" si="676"/>
        <v>0</v>
      </c>
      <c r="CD877" s="5">
        <f t="shared" si="676"/>
        <v>1</v>
      </c>
      <c r="CE877" s="5">
        <f t="shared" si="676"/>
        <v>0</v>
      </c>
    </row>
    <row r="878" spans="1:83" x14ac:dyDescent="0.2">
      <c r="A878" s="11"/>
      <c r="B878" s="11"/>
      <c r="C878" s="1">
        <f>Growth!D883</f>
        <v>0.49230769230769234</v>
      </c>
      <c r="D878" s="5" t="b">
        <f t="shared" si="659"/>
        <v>0</v>
      </c>
      <c r="E878" s="5">
        <v>2014</v>
      </c>
      <c r="F878" s="5">
        <f ca="1">LOOKUP($E878,frequence!$A$2:$A$35,frequence!L$2:L$35)</f>
        <v>50.75383375536623</v>
      </c>
      <c r="G878" s="5">
        <f ca="1">LOOKUP($E878,frequence!$A$2:$A$35,frequence!K$2:K$35)</f>
        <v>9.9751715831189358</v>
      </c>
      <c r="H878" s="5">
        <f ca="1">LOOKUP($E878,frequence!$A$2:$A$35,frequence!M$2:M$35)</f>
        <v>236.05429056976001</v>
      </c>
      <c r="I878" s="16">
        <v>2015</v>
      </c>
      <c r="J878" s="7">
        <f>LOOKUP(I878,CPI!A$69:A$103,CPI!O$69:O$103)</f>
        <v>0.92109353879426881</v>
      </c>
      <c r="K878" s="16">
        <v>2012</v>
      </c>
      <c r="L878" s="7">
        <f t="shared" ca="1" si="649"/>
        <v>1</v>
      </c>
      <c r="M878" s="7">
        <f t="shared" si="671"/>
        <v>3.1507692307692312</v>
      </c>
      <c r="N878" s="14">
        <f>32/65</f>
        <v>0.49230769230769234</v>
      </c>
      <c r="O878" s="1">
        <f ca="1">P878*J878*(1+Growth!G$6)^(2010-K878)</f>
        <v>50.055816839292206</v>
      </c>
      <c r="P878" s="11">
        <v>56</v>
      </c>
      <c r="Q878" s="2">
        <f t="shared" si="677"/>
        <v>56</v>
      </c>
      <c r="R878" s="21">
        <f t="shared" ca="1" si="678"/>
        <v>2505.584799448769</v>
      </c>
      <c r="U878" s="11"/>
      <c r="V878" s="11"/>
      <c r="W878" s="11"/>
      <c r="X878" s="11"/>
      <c r="Y878" s="11"/>
      <c r="Z878" s="11"/>
      <c r="AA878" s="11"/>
      <c r="AB878" s="11"/>
      <c r="AC878" s="1">
        <f t="shared" si="661"/>
        <v>6.4</v>
      </c>
      <c r="AD878" s="5">
        <v>1</v>
      </c>
      <c r="AE878" s="5">
        <v>0</v>
      </c>
      <c r="AF878" s="5">
        <v>1</v>
      </c>
      <c r="AG878" s="5">
        <v>0</v>
      </c>
      <c r="AH878" s="5">
        <v>1</v>
      </c>
      <c r="AI878" s="3">
        <f t="shared" si="658"/>
        <v>3.4</v>
      </c>
      <c r="AJ878" s="5">
        <f t="shared" si="670"/>
        <v>0</v>
      </c>
      <c r="AK878" s="5">
        <f t="shared" si="652"/>
        <v>0</v>
      </c>
      <c r="AL878" s="5">
        <f t="shared" si="653"/>
        <v>1</v>
      </c>
      <c r="AM878" s="5">
        <f t="shared" si="672"/>
        <v>0</v>
      </c>
      <c r="AN878" s="5">
        <f t="shared" si="654"/>
        <v>0</v>
      </c>
      <c r="AO878" s="5">
        <f t="shared" si="673"/>
        <v>0</v>
      </c>
      <c r="AP878" s="11" t="s">
        <v>42</v>
      </c>
      <c r="AQ878" s="11">
        <v>1.5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1</v>
      </c>
      <c r="AY878" s="1">
        <f t="shared" si="679"/>
        <v>0</v>
      </c>
      <c r="AZ878" s="1">
        <f t="shared" si="680"/>
        <v>0</v>
      </c>
      <c r="BA878" s="1">
        <f t="shared" si="681"/>
        <v>0</v>
      </c>
      <c r="BB878" s="5">
        <v>0</v>
      </c>
      <c r="BC878" s="5">
        <v>0</v>
      </c>
      <c r="BD878" s="5">
        <v>0</v>
      </c>
      <c r="BE878" s="5">
        <f t="shared" si="682"/>
        <v>1</v>
      </c>
      <c r="BF878" s="5">
        <v>0</v>
      </c>
      <c r="BG878" s="5">
        <f t="shared" si="675"/>
        <v>0</v>
      </c>
      <c r="BH878" s="5">
        <f t="shared" si="675"/>
        <v>0</v>
      </c>
      <c r="BI878" s="5">
        <f t="shared" si="675"/>
        <v>0</v>
      </c>
      <c r="BJ878" s="5">
        <f t="shared" si="675"/>
        <v>0</v>
      </c>
      <c r="BK878" s="5">
        <f t="shared" si="675"/>
        <v>0</v>
      </c>
      <c r="BL878" s="5">
        <f t="shared" si="675"/>
        <v>0</v>
      </c>
      <c r="BM878" s="5">
        <f t="shared" si="675"/>
        <v>0</v>
      </c>
      <c r="BN878" s="5">
        <f t="shared" si="674"/>
        <v>0</v>
      </c>
      <c r="BO878" s="5">
        <f t="shared" si="674"/>
        <v>0</v>
      </c>
      <c r="BP878" s="5">
        <f t="shared" si="674"/>
        <v>0</v>
      </c>
      <c r="BQ878" s="5">
        <f t="shared" si="674"/>
        <v>0</v>
      </c>
      <c r="BR878" s="5">
        <f t="shared" si="674"/>
        <v>0</v>
      </c>
      <c r="BS878" s="5">
        <f t="shared" si="674"/>
        <v>0</v>
      </c>
      <c r="BT878" s="5">
        <f t="shared" si="674"/>
        <v>0</v>
      </c>
      <c r="BU878" s="5">
        <f t="shared" si="674"/>
        <v>0</v>
      </c>
      <c r="BV878" s="5">
        <f t="shared" si="674"/>
        <v>0</v>
      </c>
      <c r="BW878" s="5">
        <f t="shared" si="674"/>
        <v>0</v>
      </c>
      <c r="BX878" s="5">
        <f t="shared" si="674"/>
        <v>0</v>
      </c>
      <c r="BY878" s="5">
        <f t="shared" si="674"/>
        <v>0</v>
      </c>
      <c r="BZ878" s="5">
        <f t="shared" si="674"/>
        <v>0</v>
      </c>
      <c r="CA878" s="5">
        <f t="shared" si="674"/>
        <v>0</v>
      </c>
      <c r="CB878" s="5">
        <f t="shared" si="674"/>
        <v>0</v>
      </c>
      <c r="CC878" s="5">
        <f t="shared" si="676"/>
        <v>0</v>
      </c>
      <c r="CD878" s="5">
        <f t="shared" si="676"/>
        <v>1</v>
      </c>
      <c r="CE878" s="5">
        <f t="shared" si="676"/>
        <v>0</v>
      </c>
    </row>
    <row r="879" spans="1:83" x14ac:dyDescent="0.2">
      <c r="A879" s="11" t="s">
        <v>202</v>
      </c>
      <c r="B879" s="11" t="s">
        <v>197</v>
      </c>
      <c r="C879" s="1">
        <f>Growth!D884</f>
        <v>1.5873015873015872E-2</v>
      </c>
      <c r="D879" s="5">
        <f t="shared" si="659"/>
        <v>2014</v>
      </c>
      <c r="E879" s="5">
        <v>2014</v>
      </c>
      <c r="F879" s="5">
        <f ca="1">LOOKUP($E879,frequence!$A$2:$A$35,frequence!L$2:L$35)</f>
        <v>50.75383375536623</v>
      </c>
      <c r="G879" s="5">
        <f ca="1">LOOKUP($E879,frequence!$A$2:$A$35,frequence!K$2:K$35)</f>
        <v>9.9751715831189358</v>
      </c>
      <c r="H879" s="5">
        <f ca="1">LOOKUP($E879,frequence!$A$2:$A$35,frequence!M$2:M$35)</f>
        <v>236.05429056976001</v>
      </c>
      <c r="I879" s="16">
        <v>2015</v>
      </c>
      <c r="J879" s="7">
        <f>LOOKUP(I879,CPI!A$69:A$103,CPI!O$69:O$103)</f>
        <v>0.92109353879426881</v>
      </c>
      <c r="K879" s="16">
        <v>2015</v>
      </c>
      <c r="L879" s="7">
        <f t="shared" ca="1" si="649"/>
        <v>1</v>
      </c>
      <c r="M879" s="7">
        <f t="shared" si="671"/>
        <v>0.10158730158730159</v>
      </c>
      <c r="N879" s="14">
        <f>1/63</f>
        <v>1.5873015873015872E-2</v>
      </c>
      <c r="O879" s="1">
        <f ca="1">P879*J879*(1+Growth!G$6)^(2010-K879)</f>
        <v>39.306877245803065</v>
      </c>
      <c r="P879" s="11">
        <v>46</v>
      </c>
      <c r="Q879" s="2">
        <f t="shared" si="677"/>
        <v>46</v>
      </c>
      <c r="R879" s="21">
        <f t="shared" ref="R879:R892" ca="1" si="683">O879*O879</f>
        <v>1545.0305988166308</v>
      </c>
      <c r="U879" s="11"/>
      <c r="V879" s="11"/>
      <c r="W879" s="11"/>
      <c r="X879" s="11"/>
      <c r="Y879" s="11"/>
      <c r="Z879" s="11"/>
      <c r="AA879" s="11"/>
      <c r="AB879" s="11"/>
      <c r="AC879" s="1">
        <f t="shared" ref="AC879:AC892" si="684">SUM(AD879:AI879)</f>
        <v>6.4</v>
      </c>
      <c r="AD879" s="5">
        <v>1</v>
      </c>
      <c r="AE879" s="5">
        <v>0</v>
      </c>
      <c r="AF879" s="5">
        <v>1</v>
      </c>
      <c r="AG879" s="5">
        <v>0</v>
      </c>
      <c r="AH879" s="5">
        <v>1</v>
      </c>
      <c r="AI879" s="3">
        <f t="shared" si="658"/>
        <v>3.4</v>
      </c>
      <c r="AJ879" s="5">
        <f t="shared" si="670"/>
        <v>0</v>
      </c>
      <c r="AK879" s="5">
        <f t="shared" si="652"/>
        <v>0</v>
      </c>
      <c r="AL879" s="5">
        <f t="shared" si="653"/>
        <v>1</v>
      </c>
      <c r="AM879" s="5">
        <f t="shared" si="672"/>
        <v>0</v>
      </c>
      <c r="AN879" s="5">
        <f t="shared" si="654"/>
        <v>0</v>
      </c>
      <c r="AO879" s="5">
        <f t="shared" si="673"/>
        <v>0</v>
      </c>
      <c r="AP879" s="11" t="s">
        <v>42</v>
      </c>
      <c r="AQ879" s="11">
        <v>1.5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1</v>
      </c>
      <c r="AY879" s="1">
        <f t="shared" ref="AY879:AY892" si="685">AJ879*$AD879*(1-$AV879)*(1-$AR879)</f>
        <v>0</v>
      </c>
      <c r="AZ879" s="1">
        <f t="shared" ref="AZ879:AZ892" si="686">AM879*$AD879*(1-$AV879)*(1-$AR879)</f>
        <v>0</v>
      </c>
      <c r="BA879" s="1">
        <f t="shared" ref="BA879:BA892" si="687">AO879*$AD879*(1-$AV879)*(1-$AR879)</f>
        <v>0</v>
      </c>
      <c r="BB879" s="5">
        <v>0</v>
      </c>
      <c r="BC879" s="5">
        <v>0</v>
      </c>
      <c r="BD879" s="5">
        <v>0</v>
      </c>
      <c r="BE879" s="5">
        <f t="shared" ref="BE879:BE892" si="688">1-SUM(BB879:BD879)</f>
        <v>1</v>
      </c>
      <c r="BF879" s="5">
        <v>0</v>
      </c>
      <c r="BG879" s="5">
        <f t="shared" si="675"/>
        <v>0</v>
      </c>
      <c r="BH879" s="5">
        <f t="shared" si="675"/>
        <v>0</v>
      </c>
      <c r="BI879" s="5">
        <f t="shared" si="675"/>
        <v>0</v>
      </c>
      <c r="BJ879" s="5">
        <f t="shared" si="675"/>
        <v>0</v>
      </c>
      <c r="BK879" s="5">
        <f t="shared" si="675"/>
        <v>0</v>
      </c>
      <c r="BL879" s="5">
        <f t="shared" si="675"/>
        <v>0</v>
      </c>
      <c r="BM879" s="5">
        <f t="shared" si="675"/>
        <v>0</v>
      </c>
      <c r="BN879" s="5">
        <f t="shared" si="674"/>
        <v>0</v>
      </c>
      <c r="BO879" s="5">
        <f t="shared" si="674"/>
        <v>0</v>
      </c>
      <c r="BP879" s="5">
        <f t="shared" si="674"/>
        <v>0</v>
      </c>
      <c r="BQ879" s="5">
        <f t="shared" si="674"/>
        <v>0</v>
      </c>
      <c r="BR879" s="5">
        <f t="shared" si="674"/>
        <v>0</v>
      </c>
      <c r="BS879" s="5">
        <f t="shared" si="674"/>
        <v>0</v>
      </c>
      <c r="BT879" s="5">
        <f t="shared" si="674"/>
        <v>0</v>
      </c>
      <c r="BU879" s="5">
        <f t="shared" si="674"/>
        <v>0</v>
      </c>
      <c r="BV879" s="5">
        <f t="shared" si="674"/>
        <v>0</v>
      </c>
      <c r="BW879" s="5">
        <f t="shared" si="674"/>
        <v>0</v>
      </c>
      <c r="BX879" s="5">
        <f t="shared" si="674"/>
        <v>0</v>
      </c>
      <c r="BY879" s="5">
        <f t="shared" si="674"/>
        <v>0</v>
      </c>
      <c r="BZ879" s="5">
        <f t="shared" si="674"/>
        <v>0</v>
      </c>
      <c r="CA879" s="5">
        <f t="shared" si="674"/>
        <v>0</v>
      </c>
      <c r="CB879" s="5">
        <f t="shared" si="674"/>
        <v>0</v>
      </c>
      <c r="CC879" s="5">
        <f t="shared" si="676"/>
        <v>0</v>
      </c>
      <c r="CD879" s="5">
        <f t="shared" si="676"/>
        <v>1</v>
      </c>
      <c r="CE879" s="5">
        <f t="shared" si="676"/>
        <v>0</v>
      </c>
    </row>
    <row r="880" spans="1:83" x14ac:dyDescent="0.2">
      <c r="A880" s="11"/>
      <c r="B880" s="11"/>
      <c r="C880" s="1">
        <f>Growth!D885</f>
        <v>6.3492063492063489E-2</v>
      </c>
      <c r="D880" s="5" t="b">
        <f t="shared" si="659"/>
        <v>0</v>
      </c>
      <c r="E880" s="5">
        <v>2014</v>
      </c>
      <c r="F880" s="5">
        <f ca="1">LOOKUP($E880,frequence!$A$2:$A$35,frequence!L$2:L$35)</f>
        <v>50.75383375536623</v>
      </c>
      <c r="G880" s="5">
        <f ca="1">LOOKUP($E880,frequence!$A$2:$A$35,frequence!K$2:K$35)</f>
        <v>9.9751715831189358</v>
      </c>
      <c r="H880" s="5">
        <f ca="1">LOOKUP($E880,frequence!$A$2:$A$35,frequence!M$2:M$35)</f>
        <v>236.05429056976001</v>
      </c>
      <c r="I880" s="16">
        <v>2015</v>
      </c>
      <c r="J880" s="7">
        <f>LOOKUP(I880,CPI!A$69:A$103,CPI!O$69:O$103)</f>
        <v>0.92109353879426881</v>
      </c>
      <c r="K880" s="16">
        <v>2015</v>
      </c>
      <c r="L880" s="7">
        <f t="shared" ca="1" si="649"/>
        <v>1</v>
      </c>
      <c r="M880" s="7">
        <f t="shared" si="671"/>
        <v>0.40634920634920635</v>
      </c>
      <c r="N880" s="14">
        <f>4/63</f>
        <v>6.3492063492063489E-2</v>
      </c>
      <c r="O880" s="1">
        <f ca="1">P880*J880*(1+Growth!G$6)^(2010-K880)</f>
        <v>38.452379914372564</v>
      </c>
      <c r="P880" s="11">
        <v>45</v>
      </c>
      <c r="Q880" s="2">
        <f t="shared" si="677"/>
        <v>45</v>
      </c>
      <c r="R880" s="21">
        <f t="shared" ca="1" si="683"/>
        <v>1478.5855210792427</v>
      </c>
      <c r="U880" s="11"/>
      <c r="V880" s="11"/>
      <c r="W880" s="11"/>
      <c r="X880" s="11"/>
      <c r="Y880" s="11"/>
      <c r="Z880" s="11"/>
      <c r="AA880" s="11"/>
      <c r="AB880" s="11"/>
      <c r="AC880" s="1">
        <f t="shared" si="684"/>
        <v>6.4</v>
      </c>
      <c r="AD880" s="5">
        <v>1</v>
      </c>
      <c r="AE880" s="5">
        <v>0</v>
      </c>
      <c r="AF880" s="5">
        <v>1</v>
      </c>
      <c r="AG880" s="5">
        <v>0</v>
      </c>
      <c r="AH880" s="5">
        <v>1</v>
      </c>
      <c r="AI880" s="3">
        <f t="shared" si="658"/>
        <v>3.4</v>
      </c>
      <c r="AJ880" s="5">
        <f t="shared" si="670"/>
        <v>0</v>
      </c>
      <c r="AK880" s="5">
        <f t="shared" si="652"/>
        <v>0</v>
      </c>
      <c r="AL880" s="5">
        <f t="shared" si="653"/>
        <v>1</v>
      </c>
      <c r="AM880" s="5">
        <f t="shared" si="672"/>
        <v>0</v>
      </c>
      <c r="AN880" s="5">
        <f t="shared" si="654"/>
        <v>0</v>
      </c>
      <c r="AO880" s="5">
        <f t="shared" si="673"/>
        <v>0</v>
      </c>
      <c r="AP880" s="11" t="s">
        <v>42</v>
      </c>
      <c r="AQ880" s="11">
        <v>1.5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1</v>
      </c>
      <c r="AY880" s="1">
        <f t="shared" si="685"/>
        <v>0</v>
      </c>
      <c r="AZ880" s="1">
        <f t="shared" si="686"/>
        <v>0</v>
      </c>
      <c r="BA880" s="1">
        <f t="shared" si="687"/>
        <v>0</v>
      </c>
      <c r="BB880" s="5">
        <v>0</v>
      </c>
      <c r="BC880" s="5">
        <v>0</v>
      </c>
      <c r="BD880" s="5">
        <v>0</v>
      </c>
      <c r="BE880" s="5">
        <f t="shared" si="688"/>
        <v>1</v>
      </c>
      <c r="BF880" s="5">
        <v>0</v>
      </c>
      <c r="BG880" s="5">
        <f t="shared" si="675"/>
        <v>0</v>
      </c>
      <c r="BH880" s="5">
        <f t="shared" si="675"/>
        <v>0</v>
      </c>
      <c r="BI880" s="5">
        <f t="shared" si="675"/>
        <v>0</v>
      </c>
      <c r="BJ880" s="5">
        <f t="shared" si="675"/>
        <v>0</v>
      </c>
      <c r="BK880" s="5">
        <f t="shared" si="675"/>
        <v>0</v>
      </c>
      <c r="BL880" s="5">
        <f t="shared" si="675"/>
        <v>0</v>
      </c>
      <c r="BM880" s="5">
        <f t="shared" si="675"/>
        <v>0</v>
      </c>
      <c r="BN880" s="5">
        <f t="shared" si="674"/>
        <v>0</v>
      </c>
      <c r="BO880" s="5">
        <f t="shared" si="674"/>
        <v>0</v>
      </c>
      <c r="BP880" s="5">
        <f t="shared" si="674"/>
        <v>0</v>
      </c>
      <c r="BQ880" s="5">
        <f t="shared" si="674"/>
        <v>0</v>
      </c>
      <c r="BR880" s="5">
        <f t="shared" si="674"/>
        <v>0</v>
      </c>
      <c r="BS880" s="5">
        <f t="shared" si="674"/>
        <v>0</v>
      </c>
      <c r="BT880" s="5">
        <f t="shared" si="674"/>
        <v>0</v>
      </c>
      <c r="BU880" s="5">
        <f t="shared" si="674"/>
        <v>0</v>
      </c>
      <c r="BV880" s="5">
        <f t="shared" si="674"/>
        <v>0</v>
      </c>
      <c r="BW880" s="5">
        <f t="shared" si="674"/>
        <v>0</v>
      </c>
      <c r="BX880" s="5">
        <f t="shared" si="674"/>
        <v>0</v>
      </c>
      <c r="BY880" s="5">
        <f t="shared" si="674"/>
        <v>0</v>
      </c>
      <c r="BZ880" s="5">
        <f t="shared" si="674"/>
        <v>0</v>
      </c>
      <c r="CA880" s="5">
        <f t="shared" si="674"/>
        <v>0</v>
      </c>
      <c r="CB880" s="5">
        <f t="shared" si="674"/>
        <v>0</v>
      </c>
      <c r="CC880" s="5">
        <f t="shared" si="676"/>
        <v>0</v>
      </c>
      <c r="CD880" s="5">
        <f t="shared" si="676"/>
        <v>1</v>
      </c>
      <c r="CE880" s="5">
        <f t="shared" si="676"/>
        <v>0</v>
      </c>
    </row>
    <row r="881" spans="1:83" x14ac:dyDescent="0.2">
      <c r="A881" s="11"/>
      <c r="B881" s="11"/>
      <c r="C881" s="1">
        <f>Growth!D886</f>
        <v>6.3492063492063489E-2</v>
      </c>
      <c r="D881" s="5" t="b">
        <f t="shared" si="659"/>
        <v>0</v>
      </c>
      <c r="E881" s="5">
        <v>2014</v>
      </c>
      <c r="F881" s="5">
        <f ca="1">LOOKUP($E881,frequence!$A$2:$A$35,frequence!L$2:L$35)</f>
        <v>50.75383375536623</v>
      </c>
      <c r="G881" s="5">
        <f ca="1">LOOKUP($E881,frequence!$A$2:$A$35,frequence!K$2:K$35)</f>
        <v>9.9751715831189358</v>
      </c>
      <c r="H881" s="5">
        <f ca="1">LOOKUP($E881,frequence!$A$2:$A$35,frequence!M$2:M$35)</f>
        <v>236.05429056976001</v>
      </c>
      <c r="I881" s="16">
        <v>2015</v>
      </c>
      <c r="J881" s="7">
        <f>LOOKUP(I881,CPI!A$69:A$103,CPI!O$69:O$103)</f>
        <v>0.92109353879426881</v>
      </c>
      <c r="K881" s="16">
        <v>2015</v>
      </c>
      <c r="L881" s="7">
        <f t="shared" ca="1" si="649"/>
        <v>1</v>
      </c>
      <c r="M881" s="7">
        <f t="shared" si="671"/>
        <v>0.40634920634920635</v>
      </c>
      <c r="N881" s="14">
        <f>4/63</f>
        <v>6.3492063492063489E-2</v>
      </c>
      <c r="O881" s="1">
        <f ca="1">P881*J881*(1+Growth!G$6)^(2010-K881)</f>
        <v>37.597882582942063</v>
      </c>
      <c r="P881" s="11">
        <v>44</v>
      </c>
      <c r="Q881" s="2">
        <f t="shared" si="677"/>
        <v>44</v>
      </c>
      <c r="R881" s="21">
        <f t="shared" ca="1" si="683"/>
        <v>1413.6007747206982</v>
      </c>
      <c r="U881" s="11"/>
      <c r="V881" s="11"/>
      <c r="W881" s="11"/>
      <c r="X881" s="11"/>
      <c r="Y881" s="11"/>
      <c r="Z881" s="11"/>
      <c r="AA881" s="11"/>
      <c r="AB881" s="11"/>
      <c r="AC881" s="1">
        <f t="shared" si="684"/>
        <v>6.4</v>
      </c>
      <c r="AD881" s="5">
        <v>1</v>
      </c>
      <c r="AE881" s="5">
        <v>0</v>
      </c>
      <c r="AF881" s="5">
        <v>1</v>
      </c>
      <c r="AG881" s="5">
        <v>0</v>
      </c>
      <c r="AH881" s="5">
        <v>1</v>
      </c>
      <c r="AI881" s="3">
        <f t="shared" si="658"/>
        <v>3.4</v>
      </c>
      <c r="AJ881" s="5">
        <f t="shared" si="670"/>
        <v>0</v>
      </c>
      <c r="AK881" s="5">
        <f t="shared" si="652"/>
        <v>0</v>
      </c>
      <c r="AL881" s="5">
        <f t="shared" si="653"/>
        <v>1</v>
      </c>
      <c r="AM881" s="5">
        <f t="shared" si="672"/>
        <v>0</v>
      </c>
      <c r="AN881" s="5">
        <f t="shared" si="654"/>
        <v>0</v>
      </c>
      <c r="AO881" s="5">
        <f t="shared" si="673"/>
        <v>0</v>
      </c>
      <c r="AP881" s="11" t="s">
        <v>42</v>
      </c>
      <c r="AQ881" s="11">
        <v>1.5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1</v>
      </c>
      <c r="AY881" s="1">
        <f t="shared" si="685"/>
        <v>0</v>
      </c>
      <c r="AZ881" s="1">
        <f t="shared" si="686"/>
        <v>0</v>
      </c>
      <c r="BA881" s="1">
        <f t="shared" si="687"/>
        <v>0</v>
      </c>
      <c r="BB881" s="5">
        <v>0</v>
      </c>
      <c r="BC881" s="5">
        <v>0</v>
      </c>
      <c r="BD881" s="5">
        <v>0</v>
      </c>
      <c r="BE881" s="5">
        <f t="shared" si="688"/>
        <v>1</v>
      </c>
      <c r="BF881" s="5">
        <v>0</v>
      </c>
      <c r="BG881" s="5">
        <f t="shared" si="675"/>
        <v>0</v>
      </c>
      <c r="BH881" s="5">
        <f t="shared" si="675"/>
        <v>0</v>
      </c>
      <c r="BI881" s="5">
        <f t="shared" si="675"/>
        <v>0</v>
      </c>
      <c r="BJ881" s="5">
        <f t="shared" si="675"/>
        <v>0</v>
      </c>
      <c r="BK881" s="5">
        <f t="shared" si="675"/>
        <v>0</v>
      </c>
      <c r="BL881" s="5">
        <f t="shared" si="675"/>
        <v>0</v>
      </c>
      <c r="BM881" s="5">
        <f t="shared" si="675"/>
        <v>0</v>
      </c>
      <c r="BN881" s="5">
        <f t="shared" si="674"/>
        <v>0</v>
      </c>
      <c r="BO881" s="5">
        <f t="shared" si="674"/>
        <v>0</v>
      </c>
      <c r="BP881" s="5">
        <f t="shared" si="674"/>
        <v>0</v>
      </c>
      <c r="BQ881" s="5">
        <f t="shared" si="674"/>
        <v>0</v>
      </c>
      <c r="BR881" s="5">
        <f t="shared" si="674"/>
        <v>0</v>
      </c>
      <c r="BS881" s="5">
        <f t="shared" si="674"/>
        <v>0</v>
      </c>
      <c r="BT881" s="5">
        <f t="shared" si="674"/>
        <v>0</v>
      </c>
      <c r="BU881" s="5">
        <f t="shared" si="674"/>
        <v>0</v>
      </c>
      <c r="BV881" s="5">
        <f t="shared" si="674"/>
        <v>0</v>
      </c>
      <c r="BW881" s="5">
        <f t="shared" si="674"/>
        <v>0</v>
      </c>
      <c r="BX881" s="5">
        <f t="shared" si="674"/>
        <v>0</v>
      </c>
      <c r="BY881" s="5">
        <f t="shared" si="674"/>
        <v>0</v>
      </c>
      <c r="BZ881" s="5">
        <f t="shared" si="674"/>
        <v>0</v>
      </c>
      <c r="CA881" s="5">
        <f t="shared" si="674"/>
        <v>0</v>
      </c>
      <c r="CB881" s="5">
        <f t="shared" si="674"/>
        <v>0</v>
      </c>
      <c r="CC881" s="5">
        <f t="shared" si="676"/>
        <v>0</v>
      </c>
      <c r="CD881" s="5">
        <f t="shared" si="676"/>
        <v>1</v>
      </c>
      <c r="CE881" s="5">
        <f t="shared" si="676"/>
        <v>0</v>
      </c>
    </row>
    <row r="882" spans="1:83" x14ac:dyDescent="0.2">
      <c r="A882" s="11"/>
      <c r="B882" s="11"/>
      <c r="C882" s="1">
        <f>Growth!D887</f>
        <v>6.3492063492063489E-2</v>
      </c>
      <c r="D882" s="5" t="b">
        <f t="shared" si="659"/>
        <v>0</v>
      </c>
      <c r="E882" s="5">
        <v>2014</v>
      </c>
      <c r="F882" s="5">
        <f ca="1">LOOKUP($E882,frequence!$A$2:$A$35,frequence!L$2:L$35)</f>
        <v>50.75383375536623</v>
      </c>
      <c r="G882" s="5">
        <f ca="1">LOOKUP($E882,frequence!$A$2:$A$35,frequence!K$2:K$35)</f>
        <v>9.9751715831189358</v>
      </c>
      <c r="H882" s="5">
        <f ca="1">LOOKUP($E882,frequence!$A$2:$A$35,frequence!M$2:M$35)</f>
        <v>236.05429056976001</v>
      </c>
      <c r="I882" s="16">
        <v>2015</v>
      </c>
      <c r="J882" s="7">
        <f>LOOKUP(I882,CPI!A$69:A$103,CPI!O$69:O$103)</f>
        <v>0.92109353879426881</v>
      </c>
      <c r="K882" s="16">
        <v>2015</v>
      </c>
      <c r="L882" s="7">
        <f t="shared" ca="1" si="649"/>
        <v>1</v>
      </c>
      <c r="M882" s="7">
        <f t="shared" si="671"/>
        <v>0.40634920634920635</v>
      </c>
      <c r="N882" s="14">
        <f>4/63</f>
        <v>6.3492063492063489E-2</v>
      </c>
      <c r="O882" s="1">
        <f ca="1">P882*J882*(1+Growth!G$6)^(2010-K882)</f>
        <v>41.015871908664067</v>
      </c>
      <c r="P882" s="11">
        <v>48</v>
      </c>
      <c r="Q882" s="2">
        <f t="shared" si="677"/>
        <v>48</v>
      </c>
      <c r="R882" s="21">
        <f t="shared" ca="1" si="683"/>
        <v>1682.3017484279383</v>
      </c>
      <c r="U882" s="11"/>
      <c r="V882" s="11"/>
      <c r="W882" s="11"/>
      <c r="X882" s="11"/>
      <c r="Y882" s="11"/>
      <c r="Z882" s="11"/>
      <c r="AA882" s="11"/>
      <c r="AB882" s="11"/>
      <c r="AC882" s="1">
        <f t="shared" si="684"/>
        <v>6.4</v>
      </c>
      <c r="AD882" s="5">
        <v>1</v>
      </c>
      <c r="AE882" s="5">
        <v>0</v>
      </c>
      <c r="AF882" s="5">
        <v>1</v>
      </c>
      <c r="AG882" s="5">
        <v>0</v>
      </c>
      <c r="AH882" s="5">
        <v>1</v>
      </c>
      <c r="AI882" s="3">
        <f t="shared" si="658"/>
        <v>3.4</v>
      </c>
      <c r="AJ882" s="5">
        <f t="shared" si="670"/>
        <v>0</v>
      </c>
      <c r="AK882" s="5">
        <f t="shared" si="652"/>
        <v>0</v>
      </c>
      <c r="AL882" s="5">
        <f t="shared" si="653"/>
        <v>1</v>
      </c>
      <c r="AM882" s="5">
        <f t="shared" si="672"/>
        <v>0</v>
      </c>
      <c r="AN882" s="5">
        <f t="shared" si="654"/>
        <v>0</v>
      </c>
      <c r="AO882" s="5">
        <f t="shared" si="673"/>
        <v>0</v>
      </c>
      <c r="AP882" s="11" t="s">
        <v>42</v>
      </c>
      <c r="AQ882" s="11">
        <v>1.5</v>
      </c>
      <c r="AR882" s="5">
        <v>0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1</v>
      </c>
      <c r="AY882" s="1">
        <f t="shared" si="685"/>
        <v>0</v>
      </c>
      <c r="AZ882" s="1">
        <f t="shared" si="686"/>
        <v>0</v>
      </c>
      <c r="BA882" s="1">
        <f t="shared" si="687"/>
        <v>0</v>
      </c>
      <c r="BB882" s="5">
        <v>0</v>
      </c>
      <c r="BC882" s="5">
        <v>0</v>
      </c>
      <c r="BD882" s="5">
        <v>0</v>
      </c>
      <c r="BE882" s="5">
        <f t="shared" si="688"/>
        <v>1</v>
      </c>
      <c r="BF882" s="5">
        <v>0</v>
      </c>
      <c r="BG882" s="5">
        <f t="shared" si="675"/>
        <v>0</v>
      </c>
      <c r="BH882" s="5">
        <f t="shared" si="675"/>
        <v>0</v>
      </c>
      <c r="BI882" s="5">
        <f t="shared" si="675"/>
        <v>0</v>
      </c>
      <c r="BJ882" s="5">
        <f t="shared" si="675"/>
        <v>0</v>
      </c>
      <c r="BK882" s="5">
        <f t="shared" si="675"/>
        <v>0</v>
      </c>
      <c r="BL882" s="5">
        <f t="shared" si="675"/>
        <v>0</v>
      </c>
      <c r="BM882" s="5">
        <f t="shared" si="675"/>
        <v>0</v>
      </c>
      <c r="BN882" s="5">
        <f t="shared" si="674"/>
        <v>0</v>
      </c>
      <c r="BO882" s="5">
        <f t="shared" si="674"/>
        <v>0</v>
      </c>
      <c r="BP882" s="5">
        <f t="shared" si="674"/>
        <v>0</v>
      </c>
      <c r="BQ882" s="5">
        <f t="shared" si="674"/>
        <v>0</v>
      </c>
      <c r="BR882" s="5">
        <f t="shared" si="674"/>
        <v>0</v>
      </c>
      <c r="BS882" s="5">
        <f t="shared" si="674"/>
        <v>0</v>
      </c>
      <c r="BT882" s="5">
        <f t="shared" si="674"/>
        <v>0</v>
      </c>
      <c r="BU882" s="5">
        <f t="shared" si="674"/>
        <v>0</v>
      </c>
      <c r="BV882" s="5">
        <f t="shared" si="674"/>
        <v>0</v>
      </c>
      <c r="BW882" s="5">
        <f t="shared" si="674"/>
        <v>0</v>
      </c>
      <c r="BX882" s="5">
        <f t="shared" si="674"/>
        <v>0</v>
      </c>
      <c r="BY882" s="5">
        <f t="shared" si="674"/>
        <v>0</v>
      </c>
      <c r="BZ882" s="5">
        <f t="shared" si="674"/>
        <v>0</v>
      </c>
      <c r="CA882" s="5">
        <f t="shared" si="674"/>
        <v>0</v>
      </c>
      <c r="CB882" s="5">
        <f t="shared" si="674"/>
        <v>0</v>
      </c>
      <c r="CC882" s="5">
        <f t="shared" si="676"/>
        <v>0</v>
      </c>
      <c r="CD882" s="5">
        <f t="shared" si="676"/>
        <v>1</v>
      </c>
      <c r="CE882" s="5">
        <f t="shared" si="676"/>
        <v>0</v>
      </c>
    </row>
    <row r="883" spans="1:83" x14ac:dyDescent="0.2">
      <c r="A883" s="11"/>
      <c r="B883" s="11"/>
      <c r="C883" s="1">
        <f>Growth!D888</f>
        <v>6.3492063492063489E-2</v>
      </c>
      <c r="D883" s="5" t="b">
        <f t="shared" si="659"/>
        <v>0</v>
      </c>
      <c r="E883" s="5">
        <v>2014</v>
      </c>
      <c r="F883" s="5">
        <f ca="1">LOOKUP($E883,frequence!$A$2:$A$35,frequence!L$2:L$35)</f>
        <v>50.75383375536623</v>
      </c>
      <c r="G883" s="5">
        <f ca="1">LOOKUP($E883,frequence!$A$2:$A$35,frequence!K$2:K$35)</f>
        <v>9.9751715831189358</v>
      </c>
      <c r="H883" s="5">
        <f ca="1">LOOKUP($E883,frequence!$A$2:$A$35,frequence!M$2:M$35)</f>
        <v>236.05429056976001</v>
      </c>
      <c r="I883" s="16">
        <v>2015</v>
      </c>
      <c r="J883" s="7">
        <f>LOOKUP(I883,CPI!A$69:A$103,CPI!O$69:O$103)</f>
        <v>0.92109353879426881</v>
      </c>
      <c r="K883" s="16">
        <v>2015</v>
      </c>
      <c r="L883" s="7">
        <f t="shared" ca="1" si="649"/>
        <v>1</v>
      </c>
      <c r="M883" s="7">
        <f t="shared" si="671"/>
        <v>0.40634920634920635</v>
      </c>
      <c r="N883" s="14">
        <f>4/63</f>
        <v>6.3492063492063489E-2</v>
      </c>
      <c r="O883" s="1">
        <f ca="1">P883*J883*(1+Growth!G$6)^(2010-K883)</f>
        <v>43.579363902955571</v>
      </c>
      <c r="P883" s="11">
        <v>51</v>
      </c>
      <c r="Q883" s="2">
        <f t="shared" si="677"/>
        <v>51</v>
      </c>
      <c r="R883" s="21">
        <f t="shared" ca="1" si="683"/>
        <v>1899.1609581862269</v>
      </c>
      <c r="U883" s="11"/>
      <c r="V883" s="11"/>
      <c r="W883" s="11"/>
      <c r="X883" s="11"/>
      <c r="Y883" s="11"/>
      <c r="Z883" s="11"/>
      <c r="AA883" s="11"/>
      <c r="AB883" s="11"/>
      <c r="AC883" s="1">
        <f t="shared" si="684"/>
        <v>6.4</v>
      </c>
      <c r="AD883" s="5">
        <v>1</v>
      </c>
      <c r="AE883" s="5">
        <v>0</v>
      </c>
      <c r="AF883" s="5">
        <v>1</v>
      </c>
      <c r="AG883" s="5">
        <v>0</v>
      </c>
      <c r="AH883" s="5">
        <v>1</v>
      </c>
      <c r="AI883" s="3">
        <f t="shared" si="658"/>
        <v>3.4</v>
      </c>
      <c r="AJ883" s="5">
        <f t="shared" si="670"/>
        <v>0</v>
      </c>
      <c r="AK883" s="5">
        <f t="shared" si="652"/>
        <v>0</v>
      </c>
      <c r="AL883" s="5">
        <f t="shared" si="653"/>
        <v>1</v>
      </c>
      <c r="AM883" s="5">
        <f t="shared" si="672"/>
        <v>0</v>
      </c>
      <c r="AN883" s="5">
        <f t="shared" si="654"/>
        <v>0</v>
      </c>
      <c r="AO883" s="5">
        <f t="shared" si="673"/>
        <v>0</v>
      </c>
      <c r="AP883" s="11" t="s">
        <v>42</v>
      </c>
      <c r="AQ883" s="11">
        <v>1.5</v>
      </c>
      <c r="AR883" s="5">
        <v>0</v>
      </c>
      <c r="AS883" s="5">
        <v>0</v>
      </c>
      <c r="AT883" s="5">
        <v>0</v>
      </c>
      <c r="AU883" s="5">
        <v>0</v>
      </c>
      <c r="AV883" s="5">
        <v>0</v>
      </c>
      <c r="AW883" s="5">
        <v>0</v>
      </c>
      <c r="AX883" s="5">
        <v>1</v>
      </c>
      <c r="AY883" s="1">
        <f t="shared" si="685"/>
        <v>0</v>
      </c>
      <c r="AZ883" s="1">
        <f t="shared" si="686"/>
        <v>0</v>
      </c>
      <c r="BA883" s="1">
        <f t="shared" si="687"/>
        <v>0</v>
      </c>
      <c r="BB883" s="5">
        <v>0</v>
      </c>
      <c r="BC883" s="5">
        <v>0</v>
      </c>
      <c r="BD883" s="5">
        <v>0</v>
      </c>
      <c r="BE883" s="5">
        <f t="shared" si="688"/>
        <v>1</v>
      </c>
      <c r="BF883" s="5">
        <v>0</v>
      </c>
      <c r="BG883" s="5">
        <f t="shared" si="675"/>
        <v>0</v>
      </c>
      <c r="BH883" s="5">
        <f t="shared" si="675"/>
        <v>0</v>
      </c>
      <c r="BI883" s="5">
        <f t="shared" si="675"/>
        <v>0</v>
      </c>
      <c r="BJ883" s="5">
        <f t="shared" si="675"/>
        <v>0</v>
      </c>
      <c r="BK883" s="5">
        <f t="shared" si="675"/>
        <v>0</v>
      </c>
      <c r="BL883" s="5">
        <f t="shared" si="675"/>
        <v>0</v>
      </c>
      <c r="BM883" s="5">
        <f t="shared" si="675"/>
        <v>0</v>
      </c>
      <c r="BN883" s="5">
        <f t="shared" si="674"/>
        <v>0</v>
      </c>
      <c r="BO883" s="5">
        <f t="shared" si="674"/>
        <v>0</v>
      </c>
      <c r="BP883" s="5">
        <f t="shared" si="674"/>
        <v>0</v>
      </c>
      <c r="BQ883" s="5">
        <f t="shared" si="674"/>
        <v>0</v>
      </c>
      <c r="BR883" s="5">
        <f t="shared" si="674"/>
        <v>0</v>
      </c>
      <c r="BS883" s="5">
        <f t="shared" si="674"/>
        <v>0</v>
      </c>
      <c r="BT883" s="5">
        <f t="shared" si="674"/>
        <v>0</v>
      </c>
      <c r="BU883" s="5">
        <f t="shared" si="674"/>
        <v>0</v>
      </c>
      <c r="BV883" s="5">
        <f t="shared" si="674"/>
        <v>0</v>
      </c>
      <c r="BW883" s="5">
        <f t="shared" si="674"/>
        <v>0</v>
      </c>
      <c r="BX883" s="5">
        <f t="shared" si="674"/>
        <v>0</v>
      </c>
      <c r="BY883" s="5">
        <f t="shared" si="674"/>
        <v>0</v>
      </c>
      <c r="BZ883" s="5">
        <f t="shared" si="674"/>
        <v>0</v>
      </c>
      <c r="CA883" s="5">
        <f t="shared" si="674"/>
        <v>0</v>
      </c>
      <c r="CB883" s="5">
        <f t="shared" si="674"/>
        <v>0</v>
      </c>
      <c r="CC883" s="5">
        <f t="shared" si="676"/>
        <v>0</v>
      </c>
      <c r="CD883" s="5">
        <f t="shared" si="676"/>
        <v>1</v>
      </c>
      <c r="CE883" s="5">
        <f t="shared" si="676"/>
        <v>0</v>
      </c>
    </row>
    <row r="884" spans="1:83" x14ac:dyDescent="0.2">
      <c r="A884" s="11"/>
      <c r="B884" s="11"/>
      <c r="C884" s="1">
        <f>Growth!D889</f>
        <v>3.1746031746031744E-2</v>
      </c>
      <c r="D884" s="5" t="b">
        <f t="shared" si="659"/>
        <v>0</v>
      </c>
      <c r="E884" s="5">
        <v>2014</v>
      </c>
      <c r="F884" s="5">
        <f ca="1">LOOKUP($E884,frequence!$A$2:$A$35,frequence!L$2:L$35)</f>
        <v>50.75383375536623</v>
      </c>
      <c r="G884" s="5">
        <f ca="1">LOOKUP($E884,frequence!$A$2:$A$35,frequence!K$2:K$35)</f>
        <v>9.9751715831189358</v>
      </c>
      <c r="H884" s="5">
        <f ca="1">LOOKUP($E884,frequence!$A$2:$A$35,frequence!M$2:M$35)</f>
        <v>236.05429056976001</v>
      </c>
      <c r="I884" s="16">
        <v>2015</v>
      </c>
      <c r="J884" s="7">
        <f>LOOKUP(I884,CPI!A$69:A$103,CPI!O$69:O$103)</f>
        <v>0.92109353879426881</v>
      </c>
      <c r="K884" s="16">
        <v>2015</v>
      </c>
      <c r="L884" s="7">
        <f t="shared" ca="1" si="649"/>
        <v>1</v>
      </c>
      <c r="M884" s="7">
        <f t="shared" si="671"/>
        <v>0.20317460317460317</v>
      </c>
      <c r="N884" s="14">
        <f>2/63</f>
        <v>3.1746031746031744E-2</v>
      </c>
      <c r="O884" s="1">
        <f ca="1">P884*J884*(1+Growth!G$6)^(2010-K884)</f>
        <v>40.161374577233559</v>
      </c>
      <c r="P884" s="11">
        <v>47</v>
      </c>
      <c r="Q884" s="2">
        <f t="shared" si="677"/>
        <v>47</v>
      </c>
      <c r="R884" s="21">
        <f t="shared" ca="1" si="683"/>
        <v>1612.9360079328621</v>
      </c>
      <c r="U884" s="11"/>
      <c r="V884" s="11"/>
      <c r="W884" s="11"/>
      <c r="X884" s="11"/>
      <c r="Y884" s="11"/>
      <c r="Z884" s="11"/>
      <c r="AA884" s="11"/>
      <c r="AB884" s="11"/>
      <c r="AC884" s="1">
        <f t="shared" si="684"/>
        <v>6.4</v>
      </c>
      <c r="AD884" s="5">
        <v>1</v>
      </c>
      <c r="AE884" s="5">
        <v>0</v>
      </c>
      <c r="AF884" s="5">
        <v>1</v>
      </c>
      <c r="AG884" s="5">
        <v>0</v>
      </c>
      <c r="AH884" s="5">
        <v>1</v>
      </c>
      <c r="AI884" s="3">
        <f t="shared" si="658"/>
        <v>3.4</v>
      </c>
      <c r="AJ884" s="5">
        <f t="shared" si="670"/>
        <v>0</v>
      </c>
      <c r="AK884" s="5">
        <f t="shared" si="652"/>
        <v>0</v>
      </c>
      <c r="AL884" s="5">
        <f t="shared" si="653"/>
        <v>1</v>
      </c>
      <c r="AM884" s="5">
        <f t="shared" si="672"/>
        <v>0</v>
      </c>
      <c r="AN884" s="5">
        <f t="shared" si="654"/>
        <v>0</v>
      </c>
      <c r="AO884" s="5">
        <f t="shared" si="673"/>
        <v>0</v>
      </c>
      <c r="AP884" s="11" t="s">
        <v>42</v>
      </c>
      <c r="AQ884" s="11">
        <v>1.5</v>
      </c>
      <c r="AR884" s="5">
        <v>0</v>
      </c>
      <c r="AS884" s="5">
        <v>0</v>
      </c>
      <c r="AT884" s="5">
        <v>0</v>
      </c>
      <c r="AU884" s="5">
        <v>0</v>
      </c>
      <c r="AV884" s="5">
        <v>0</v>
      </c>
      <c r="AW884" s="5">
        <v>0</v>
      </c>
      <c r="AX884" s="5">
        <v>1</v>
      </c>
      <c r="AY884" s="1">
        <f t="shared" si="685"/>
        <v>0</v>
      </c>
      <c r="AZ884" s="1">
        <f t="shared" si="686"/>
        <v>0</v>
      </c>
      <c r="BA884" s="1">
        <f t="shared" si="687"/>
        <v>0</v>
      </c>
      <c r="BB884" s="5">
        <v>0</v>
      </c>
      <c r="BC884" s="5">
        <v>0</v>
      </c>
      <c r="BD884" s="5">
        <v>0</v>
      </c>
      <c r="BE884" s="5">
        <f t="shared" si="688"/>
        <v>1</v>
      </c>
      <c r="BF884" s="5">
        <v>0</v>
      </c>
      <c r="BG884" s="5">
        <f t="shared" si="675"/>
        <v>0</v>
      </c>
      <c r="BH884" s="5">
        <f t="shared" si="675"/>
        <v>0</v>
      </c>
      <c r="BI884" s="5">
        <f t="shared" si="675"/>
        <v>0</v>
      </c>
      <c r="BJ884" s="5">
        <f t="shared" si="675"/>
        <v>0</v>
      </c>
      <c r="BK884" s="5">
        <f t="shared" si="675"/>
        <v>0</v>
      </c>
      <c r="BL884" s="5">
        <f t="shared" si="675"/>
        <v>0</v>
      </c>
      <c r="BM884" s="5">
        <f t="shared" si="675"/>
        <v>0</v>
      </c>
      <c r="BN884" s="5">
        <f t="shared" si="675"/>
        <v>0</v>
      </c>
      <c r="BO884" s="5">
        <f t="shared" ref="BO884:CC899" si="689">IF($E884=BO$2,1,0)</f>
        <v>0</v>
      </c>
      <c r="BP884" s="5">
        <f t="shared" si="689"/>
        <v>0</v>
      </c>
      <c r="BQ884" s="5">
        <f t="shared" si="689"/>
        <v>0</v>
      </c>
      <c r="BR884" s="5">
        <f t="shared" si="689"/>
        <v>0</v>
      </c>
      <c r="BS884" s="5">
        <f t="shared" si="689"/>
        <v>0</v>
      </c>
      <c r="BT884" s="5">
        <f t="shared" si="689"/>
        <v>0</v>
      </c>
      <c r="BU884" s="5">
        <f t="shared" si="689"/>
        <v>0</v>
      </c>
      <c r="BV884" s="5">
        <f t="shared" si="689"/>
        <v>0</v>
      </c>
      <c r="BW884" s="5">
        <f t="shared" si="689"/>
        <v>0</v>
      </c>
      <c r="BX884" s="5">
        <f t="shared" si="689"/>
        <v>0</v>
      </c>
      <c r="BY884" s="5">
        <f t="shared" si="689"/>
        <v>0</v>
      </c>
      <c r="BZ884" s="5">
        <f t="shared" si="689"/>
        <v>0</v>
      </c>
      <c r="CA884" s="5">
        <f t="shared" si="689"/>
        <v>0</v>
      </c>
      <c r="CB884" s="5">
        <f t="shared" si="689"/>
        <v>0</v>
      </c>
      <c r="CC884" s="5">
        <f t="shared" si="676"/>
        <v>0</v>
      </c>
      <c r="CD884" s="5">
        <f t="shared" si="676"/>
        <v>1</v>
      </c>
      <c r="CE884" s="5">
        <f t="shared" si="676"/>
        <v>0</v>
      </c>
    </row>
    <row r="885" spans="1:83" x14ac:dyDescent="0.2">
      <c r="A885" s="11"/>
      <c r="B885" s="11"/>
      <c r="C885" s="1">
        <f>Growth!D890</f>
        <v>3.1746031746031744E-2</v>
      </c>
      <c r="D885" s="5" t="b">
        <f t="shared" si="659"/>
        <v>0</v>
      </c>
      <c r="E885" s="5">
        <v>2014</v>
      </c>
      <c r="F885" s="5">
        <f ca="1">LOOKUP($E885,frequence!$A$2:$A$35,frequence!L$2:L$35)</f>
        <v>50.75383375536623</v>
      </c>
      <c r="G885" s="5">
        <f ca="1">LOOKUP($E885,frequence!$A$2:$A$35,frequence!K$2:K$35)</f>
        <v>9.9751715831189358</v>
      </c>
      <c r="H885" s="5">
        <f ca="1">LOOKUP($E885,frequence!$A$2:$A$35,frequence!M$2:M$35)</f>
        <v>236.05429056976001</v>
      </c>
      <c r="I885" s="16">
        <v>2015</v>
      </c>
      <c r="J885" s="7">
        <f>LOOKUP(I885,CPI!A$69:A$103,CPI!O$69:O$103)</f>
        <v>0.92109353879426881</v>
      </c>
      <c r="K885" s="16">
        <v>2015</v>
      </c>
      <c r="L885" s="7">
        <f t="shared" ca="1" si="649"/>
        <v>1</v>
      </c>
      <c r="M885" s="7">
        <f t="shared" si="671"/>
        <v>0.20317460317460317</v>
      </c>
      <c r="N885" s="14">
        <f>2/63</f>
        <v>3.1746031746031744E-2</v>
      </c>
      <c r="O885" s="1">
        <f ca="1">P885*J885*(1+Growth!G$6)^(2010-K885)</f>
        <v>41.870369240094568</v>
      </c>
      <c r="P885" s="11">
        <v>49</v>
      </c>
      <c r="Q885" s="2">
        <f t="shared" si="677"/>
        <v>49</v>
      </c>
      <c r="R885" s="21">
        <f t="shared" ca="1" si="683"/>
        <v>1753.1278203018574</v>
      </c>
      <c r="U885" s="11"/>
      <c r="V885" s="11"/>
      <c r="W885" s="11"/>
      <c r="X885" s="11"/>
      <c r="Y885" s="11"/>
      <c r="Z885" s="11"/>
      <c r="AA885" s="11"/>
      <c r="AB885" s="11"/>
      <c r="AC885" s="1">
        <f t="shared" si="684"/>
        <v>6.4</v>
      </c>
      <c r="AD885" s="5">
        <v>1</v>
      </c>
      <c r="AE885" s="5">
        <v>0</v>
      </c>
      <c r="AF885" s="5">
        <v>1</v>
      </c>
      <c r="AG885" s="5">
        <v>0</v>
      </c>
      <c r="AH885" s="5">
        <v>1</v>
      </c>
      <c r="AI885" s="3">
        <f t="shared" si="658"/>
        <v>3.4</v>
      </c>
      <c r="AJ885" s="5">
        <f t="shared" si="670"/>
        <v>0</v>
      </c>
      <c r="AK885" s="5">
        <f t="shared" si="652"/>
        <v>0</v>
      </c>
      <c r="AL885" s="5">
        <f t="shared" si="653"/>
        <v>1</v>
      </c>
      <c r="AM885" s="5">
        <f t="shared" si="672"/>
        <v>0</v>
      </c>
      <c r="AN885" s="5">
        <f t="shared" si="654"/>
        <v>0</v>
      </c>
      <c r="AO885" s="5">
        <f t="shared" si="673"/>
        <v>0</v>
      </c>
      <c r="AP885" s="11" t="s">
        <v>42</v>
      </c>
      <c r="AQ885" s="11">
        <v>1.5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1</v>
      </c>
      <c r="AY885" s="1">
        <f t="shared" si="685"/>
        <v>0</v>
      </c>
      <c r="AZ885" s="1">
        <f t="shared" si="686"/>
        <v>0</v>
      </c>
      <c r="BA885" s="1">
        <f t="shared" si="687"/>
        <v>0</v>
      </c>
      <c r="BB885" s="5">
        <v>0</v>
      </c>
      <c r="BC885" s="5">
        <v>0</v>
      </c>
      <c r="BD885" s="5">
        <v>0</v>
      </c>
      <c r="BE885" s="5">
        <f t="shared" si="688"/>
        <v>1</v>
      </c>
      <c r="BF885" s="5">
        <v>0</v>
      </c>
      <c r="BG885" s="5">
        <f t="shared" ref="BG885:BN900" si="690">IF($E885=BG$2,1,0)</f>
        <v>0</v>
      </c>
      <c r="BH885" s="5">
        <f t="shared" si="690"/>
        <v>0</v>
      </c>
      <c r="BI885" s="5">
        <f t="shared" si="690"/>
        <v>0</v>
      </c>
      <c r="BJ885" s="5">
        <f t="shared" si="690"/>
        <v>0</v>
      </c>
      <c r="BK885" s="5">
        <f t="shared" si="690"/>
        <v>0</v>
      </c>
      <c r="BL885" s="5">
        <f t="shared" si="690"/>
        <v>0</v>
      </c>
      <c r="BM885" s="5">
        <f t="shared" si="690"/>
        <v>0</v>
      </c>
      <c r="BN885" s="5">
        <f t="shared" si="690"/>
        <v>0</v>
      </c>
      <c r="BO885" s="5">
        <f t="shared" si="689"/>
        <v>0</v>
      </c>
      <c r="BP885" s="5">
        <f t="shared" si="689"/>
        <v>0</v>
      </c>
      <c r="BQ885" s="5">
        <f t="shared" si="689"/>
        <v>0</v>
      </c>
      <c r="BR885" s="5">
        <f t="shared" si="689"/>
        <v>0</v>
      </c>
      <c r="BS885" s="5">
        <f t="shared" si="689"/>
        <v>0</v>
      </c>
      <c r="BT885" s="5">
        <f t="shared" si="689"/>
        <v>0</v>
      </c>
      <c r="BU885" s="5">
        <f t="shared" si="689"/>
        <v>0</v>
      </c>
      <c r="BV885" s="5">
        <f t="shared" si="689"/>
        <v>0</v>
      </c>
      <c r="BW885" s="5">
        <f t="shared" si="689"/>
        <v>0</v>
      </c>
      <c r="BX885" s="5">
        <f t="shared" si="689"/>
        <v>0</v>
      </c>
      <c r="BY885" s="5">
        <f t="shared" si="689"/>
        <v>0</v>
      </c>
      <c r="BZ885" s="5">
        <f t="shared" si="689"/>
        <v>0</v>
      </c>
      <c r="CA885" s="5">
        <f t="shared" si="689"/>
        <v>0</v>
      </c>
      <c r="CB885" s="5">
        <f t="shared" si="689"/>
        <v>0</v>
      </c>
      <c r="CC885" s="5">
        <f t="shared" si="676"/>
        <v>0</v>
      </c>
      <c r="CD885" s="5">
        <f t="shared" si="676"/>
        <v>1</v>
      </c>
      <c r="CE885" s="5">
        <f t="shared" si="676"/>
        <v>0</v>
      </c>
    </row>
    <row r="886" spans="1:83" x14ac:dyDescent="0.2">
      <c r="A886" s="11"/>
      <c r="B886" s="11"/>
      <c r="C886" s="1">
        <f>Growth!D891</f>
        <v>3.1746031746031744E-2</v>
      </c>
      <c r="D886" s="5" t="b">
        <f t="shared" si="659"/>
        <v>0</v>
      </c>
      <c r="E886" s="5">
        <v>2014</v>
      </c>
      <c r="F886" s="5">
        <f ca="1">LOOKUP($E886,frequence!$A$2:$A$35,frequence!L$2:L$35)</f>
        <v>50.75383375536623</v>
      </c>
      <c r="G886" s="5">
        <f ca="1">LOOKUP($E886,frequence!$A$2:$A$35,frequence!K$2:K$35)</f>
        <v>9.9751715831189358</v>
      </c>
      <c r="H886" s="5">
        <f ca="1">LOOKUP($E886,frequence!$A$2:$A$35,frequence!M$2:M$35)</f>
        <v>236.05429056976001</v>
      </c>
      <c r="I886" s="16">
        <v>2015</v>
      </c>
      <c r="J886" s="7">
        <f>LOOKUP(I886,CPI!A$69:A$103,CPI!O$69:O$103)</f>
        <v>0.92109353879426881</v>
      </c>
      <c r="K886" s="16">
        <v>2015</v>
      </c>
      <c r="L886" s="7">
        <f t="shared" ca="1" si="649"/>
        <v>1</v>
      </c>
      <c r="M886" s="7">
        <f t="shared" si="671"/>
        <v>0.20317460317460317</v>
      </c>
      <c r="N886" s="14">
        <f>2/63</f>
        <v>3.1746031746031744E-2</v>
      </c>
      <c r="O886" s="1">
        <f ca="1">P886*J886*(1+Growth!G$6)^(2010-K886)</f>
        <v>107.66666376024318</v>
      </c>
      <c r="P886" s="11">
        <v>126</v>
      </c>
      <c r="Q886" s="2">
        <f t="shared" si="677"/>
        <v>126</v>
      </c>
      <c r="R886" s="21">
        <f t="shared" ca="1" si="683"/>
        <v>11592.110485261263</v>
      </c>
      <c r="U886" s="11"/>
      <c r="V886" s="11"/>
      <c r="W886" s="11"/>
      <c r="X886" s="11"/>
      <c r="Y886" s="11"/>
      <c r="Z886" s="11"/>
      <c r="AA886" s="11"/>
      <c r="AB886" s="11"/>
      <c r="AC886" s="1">
        <f t="shared" si="684"/>
        <v>6.4</v>
      </c>
      <c r="AD886" s="5">
        <v>1</v>
      </c>
      <c r="AE886" s="5">
        <v>0</v>
      </c>
      <c r="AF886" s="5">
        <v>1</v>
      </c>
      <c r="AG886" s="5">
        <v>0</v>
      </c>
      <c r="AH886" s="5">
        <v>1</v>
      </c>
      <c r="AI886" s="3">
        <f t="shared" si="658"/>
        <v>3.4</v>
      </c>
      <c r="AJ886" s="5">
        <f t="shared" si="670"/>
        <v>0</v>
      </c>
      <c r="AK886" s="5">
        <f t="shared" si="652"/>
        <v>0</v>
      </c>
      <c r="AL886" s="5">
        <f t="shared" si="653"/>
        <v>1</v>
      </c>
      <c r="AM886" s="5">
        <f t="shared" si="672"/>
        <v>0</v>
      </c>
      <c r="AN886" s="5">
        <f t="shared" si="654"/>
        <v>0</v>
      </c>
      <c r="AO886" s="5">
        <f t="shared" si="673"/>
        <v>0</v>
      </c>
      <c r="AP886" s="11" t="s">
        <v>42</v>
      </c>
      <c r="AQ886" s="11">
        <v>1.5</v>
      </c>
      <c r="AR886" s="5">
        <v>0</v>
      </c>
      <c r="AS886" s="5">
        <v>0</v>
      </c>
      <c r="AT886" s="5">
        <v>0</v>
      </c>
      <c r="AU886" s="5">
        <v>0</v>
      </c>
      <c r="AV886" s="5">
        <v>0</v>
      </c>
      <c r="AW886" s="5">
        <v>0</v>
      </c>
      <c r="AX886" s="5">
        <v>1</v>
      </c>
      <c r="AY886" s="1">
        <f t="shared" si="685"/>
        <v>0</v>
      </c>
      <c r="AZ886" s="1">
        <f t="shared" si="686"/>
        <v>0</v>
      </c>
      <c r="BA886" s="1">
        <f t="shared" si="687"/>
        <v>0</v>
      </c>
      <c r="BB886" s="5">
        <v>0</v>
      </c>
      <c r="BC886" s="5">
        <v>0</v>
      </c>
      <c r="BD886" s="5">
        <v>0</v>
      </c>
      <c r="BE886" s="5">
        <f t="shared" si="688"/>
        <v>1</v>
      </c>
      <c r="BF886" s="5">
        <v>0</v>
      </c>
      <c r="BG886" s="5">
        <f t="shared" si="690"/>
        <v>0</v>
      </c>
      <c r="BH886" s="5">
        <f t="shared" si="690"/>
        <v>0</v>
      </c>
      <c r="BI886" s="5">
        <f t="shared" si="690"/>
        <v>0</v>
      </c>
      <c r="BJ886" s="5">
        <f t="shared" si="690"/>
        <v>0</v>
      </c>
      <c r="BK886" s="5">
        <f t="shared" si="690"/>
        <v>0</v>
      </c>
      <c r="BL886" s="5">
        <f t="shared" si="690"/>
        <v>0</v>
      </c>
      <c r="BM886" s="5">
        <f t="shared" si="690"/>
        <v>0</v>
      </c>
      <c r="BN886" s="5">
        <f t="shared" si="690"/>
        <v>0</v>
      </c>
      <c r="BO886" s="5">
        <f t="shared" si="689"/>
        <v>0</v>
      </c>
      <c r="BP886" s="5">
        <f t="shared" si="689"/>
        <v>0</v>
      </c>
      <c r="BQ886" s="5">
        <f t="shared" si="689"/>
        <v>0</v>
      </c>
      <c r="BR886" s="5">
        <f t="shared" si="689"/>
        <v>0</v>
      </c>
      <c r="BS886" s="5">
        <f t="shared" si="689"/>
        <v>0</v>
      </c>
      <c r="BT886" s="5">
        <f t="shared" si="689"/>
        <v>0</v>
      </c>
      <c r="BU886" s="5">
        <f t="shared" si="689"/>
        <v>0</v>
      </c>
      <c r="BV886" s="5">
        <f t="shared" si="689"/>
        <v>0</v>
      </c>
      <c r="BW886" s="5">
        <f t="shared" si="689"/>
        <v>0</v>
      </c>
      <c r="BX886" s="5">
        <f t="shared" si="689"/>
        <v>0</v>
      </c>
      <c r="BY886" s="5">
        <f t="shared" si="689"/>
        <v>0</v>
      </c>
      <c r="BZ886" s="5">
        <f t="shared" si="689"/>
        <v>0</v>
      </c>
      <c r="CA886" s="5">
        <f t="shared" si="689"/>
        <v>0</v>
      </c>
      <c r="CB886" s="5">
        <f t="shared" si="689"/>
        <v>0</v>
      </c>
      <c r="CC886" s="5">
        <f t="shared" si="676"/>
        <v>0</v>
      </c>
      <c r="CD886" s="5">
        <f t="shared" si="676"/>
        <v>1</v>
      </c>
      <c r="CE886" s="5">
        <f t="shared" si="676"/>
        <v>0</v>
      </c>
    </row>
    <row r="887" spans="1:83" x14ac:dyDescent="0.2">
      <c r="A887" s="11"/>
      <c r="B887" s="11"/>
      <c r="C887" s="1">
        <f>Growth!D892</f>
        <v>0.12698412698412698</v>
      </c>
      <c r="D887" s="5" t="b">
        <f t="shared" si="659"/>
        <v>0</v>
      </c>
      <c r="E887" s="5">
        <v>2014</v>
      </c>
      <c r="F887" s="5">
        <f ca="1">LOOKUP($E887,frequence!$A$2:$A$35,frequence!L$2:L$35)</f>
        <v>50.75383375536623</v>
      </c>
      <c r="G887" s="5">
        <f ca="1">LOOKUP($E887,frequence!$A$2:$A$35,frequence!K$2:K$35)</f>
        <v>9.9751715831189358</v>
      </c>
      <c r="H887" s="5">
        <f ca="1">LOOKUP($E887,frequence!$A$2:$A$35,frequence!M$2:M$35)</f>
        <v>236.05429056976001</v>
      </c>
      <c r="I887" s="16">
        <v>2015</v>
      </c>
      <c r="J887" s="7">
        <f>LOOKUP(I887,CPI!A$69:A$103,CPI!O$69:O$103)</f>
        <v>0.92109353879426881</v>
      </c>
      <c r="K887" s="16">
        <v>2015</v>
      </c>
      <c r="L887" s="7">
        <f t="shared" ca="1" si="649"/>
        <v>1</v>
      </c>
      <c r="M887" s="7">
        <f t="shared" si="671"/>
        <v>0.8126984126984127</v>
      </c>
      <c r="N887" s="14">
        <f>8/63</f>
        <v>0.12698412698412698</v>
      </c>
      <c r="O887" s="1">
        <f ca="1">P887*J887*(1+Growth!G$6)^(2010-K887)</f>
        <v>105.95766909738217</v>
      </c>
      <c r="P887" s="11">
        <v>124</v>
      </c>
      <c r="Q887" s="2">
        <f t="shared" si="677"/>
        <v>124</v>
      </c>
      <c r="R887" s="21">
        <f t="shared" ca="1" si="683"/>
        <v>11227.027640550335</v>
      </c>
      <c r="U887" s="11"/>
      <c r="V887" s="11"/>
      <c r="W887" s="11"/>
      <c r="X887" s="11"/>
      <c r="Y887" s="11"/>
      <c r="Z887" s="11"/>
      <c r="AA887" s="11"/>
      <c r="AB887" s="11"/>
      <c r="AC887" s="1">
        <f t="shared" si="684"/>
        <v>6.4</v>
      </c>
      <c r="AD887" s="5">
        <v>1</v>
      </c>
      <c r="AE887" s="5">
        <v>0</v>
      </c>
      <c r="AF887" s="5">
        <v>1</v>
      </c>
      <c r="AG887" s="5">
        <v>0</v>
      </c>
      <c r="AH887" s="5">
        <v>1</v>
      </c>
      <c r="AI887" s="3">
        <f t="shared" si="658"/>
        <v>3.4</v>
      </c>
      <c r="AJ887" s="5">
        <f t="shared" si="670"/>
        <v>0</v>
      </c>
      <c r="AK887" s="5">
        <f t="shared" si="652"/>
        <v>0</v>
      </c>
      <c r="AL887" s="5">
        <f t="shared" si="653"/>
        <v>1</v>
      </c>
      <c r="AM887" s="5">
        <f t="shared" si="672"/>
        <v>0</v>
      </c>
      <c r="AN887" s="5">
        <f t="shared" si="654"/>
        <v>0</v>
      </c>
      <c r="AO887" s="5">
        <f t="shared" si="673"/>
        <v>0</v>
      </c>
      <c r="AP887" s="11" t="s">
        <v>42</v>
      </c>
      <c r="AQ887" s="11">
        <v>1.5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1</v>
      </c>
      <c r="AY887" s="1">
        <f t="shared" si="685"/>
        <v>0</v>
      </c>
      <c r="AZ887" s="1">
        <f t="shared" si="686"/>
        <v>0</v>
      </c>
      <c r="BA887" s="1">
        <f t="shared" si="687"/>
        <v>0</v>
      </c>
      <c r="BB887" s="5">
        <v>0</v>
      </c>
      <c r="BC887" s="5">
        <v>0</v>
      </c>
      <c r="BD887" s="5">
        <v>0</v>
      </c>
      <c r="BE887" s="5">
        <f t="shared" si="688"/>
        <v>1</v>
      </c>
      <c r="BF887" s="5">
        <v>0</v>
      </c>
      <c r="BG887" s="5">
        <f t="shared" si="690"/>
        <v>0</v>
      </c>
      <c r="BH887" s="5">
        <f t="shared" si="690"/>
        <v>0</v>
      </c>
      <c r="BI887" s="5">
        <f t="shared" si="690"/>
        <v>0</v>
      </c>
      <c r="BJ887" s="5">
        <f t="shared" si="690"/>
        <v>0</v>
      </c>
      <c r="BK887" s="5">
        <f t="shared" si="690"/>
        <v>0</v>
      </c>
      <c r="BL887" s="5">
        <f t="shared" si="690"/>
        <v>0</v>
      </c>
      <c r="BM887" s="5">
        <f t="shared" si="690"/>
        <v>0</v>
      </c>
      <c r="BN887" s="5">
        <f t="shared" si="690"/>
        <v>0</v>
      </c>
      <c r="BO887" s="5">
        <f t="shared" si="689"/>
        <v>0</v>
      </c>
      <c r="BP887" s="5">
        <f t="shared" si="689"/>
        <v>0</v>
      </c>
      <c r="BQ887" s="5">
        <f t="shared" si="689"/>
        <v>0</v>
      </c>
      <c r="BR887" s="5">
        <f t="shared" si="689"/>
        <v>0</v>
      </c>
      <c r="BS887" s="5">
        <f t="shared" si="689"/>
        <v>0</v>
      </c>
      <c r="BT887" s="5">
        <f t="shared" si="689"/>
        <v>0</v>
      </c>
      <c r="BU887" s="5">
        <f t="shared" si="689"/>
        <v>0</v>
      </c>
      <c r="BV887" s="5">
        <f t="shared" si="689"/>
        <v>0</v>
      </c>
      <c r="BW887" s="5">
        <f t="shared" si="689"/>
        <v>0</v>
      </c>
      <c r="BX887" s="5">
        <f t="shared" si="689"/>
        <v>0</v>
      </c>
      <c r="BY887" s="5">
        <f t="shared" si="689"/>
        <v>0</v>
      </c>
      <c r="BZ887" s="5">
        <f t="shared" si="689"/>
        <v>0</v>
      </c>
      <c r="CA887" s="5">
        <f t="shared" si="689"/>
        <v>0</v>
      </c>
      <c r="CB887" s="5">
        <f t="shared" si="689"/>
        <v>0</v>
      </c>
      <c r="CC887" s="5">
        <f t="shared" si="676"/>
        <v>0</v>
      </c>
      <c r="CD887" s="5">
        <f t="shared" si="676"/>
        <v>1</v>
      </c>
      <c r="CE887" s="5">
        <f t="shared" si="676"/>
        <v>0</v>
      </c>
    </row>
    <row r="888" spans="1:83" x14ac:dyDescent="0.2">
      <c r="A888" s="11"/>
      <c r="B888" s="11"/>
      <c r="C888" s="1">
        <f>Growth!D893</f>
        <v>0.12698412698412698</v>
      </c>
      <c r="D888" s="5" t="b">
        <f t="shared" si="659"/>
        <v>0</v>
      </c>
      <c r="E888" s="5">
        <v>2014</v>
      </c>
      <c r="F888" s="5">
        <f ca="1">LOOKUP($E888,frequence!$A$2:$A$35,frequence!L$2:L$35)</f>
        <v>50.75383375536623</v>
      </c>
      <c r="G888" s="5">
        <f ca="1">LOOKUP($E888,frequence!$A$2:$A$35,frequence!K$2:K$35)</f>
        <v>9.9751715831189358</v>
      </c>
      <c r="H888" s="5">
        <f ca="1">LOOKUP($E888,frequence!$A$2:$A$35,frequence!M$2:M$35)</f>
        <v>236.05429056976001</v>
      </c>
      <c r="I888" s="16">
        <v>2015</v>
      </c>
      <c r="J888" s="7">
        <f>LOOKUP(I888,CPI!A$69:A$103,CPI!O$69:O$103)</f>
        <v>0.92109353879426881</v>
      </c>
      <c r="K888" s="16">
        <v>2015</v>
      </c>
      <c r="L888" s="7">
        <f t="shared" ca="1" si="649"/>
        <v>1</v>
      </c>
      <c r="M888" s="7">
        <f t="shared" si="671"/>
        <v>0.8126984126984127</v>
      </c>
      <c r="N888" s="14">
        <f>8/63</f>
        <v>0.12698412698412698</v>
      </c>
      <c r="O888" s="1">
        <f ca="1">P888*J888*(1+Growth!G$6)^(2010-K888)</f>
        <v>105.10317176595167</v>
      </c>
      <c r="P888" s="11">
        <v>123</v>
      </c>
      <c r="Q888" s="2">
        <f t="shared" si="677"/>
        <v>123</v>
      </c>
      <c r="R888" s="21">
        <f t="shared" ca="1" si="683"/>
        <v>11046.67671526314</v>
      </c>
      <c r="U888" s="11"/>
      <c r="V888" s="11"/>
      <c r="W888" s="11"/>
      <c r="X888" s="11"/>
      <c r="Y888" s="11"/>
      <c r="Z888" s="11"/>
      <c r="AA888" s="11"/>
      <c r="AB888" s="11"/>
      <c r="AC888" s="1">
        <f t="shared" si="684"/>
        <v>6.4</v>
      </c>
      <c r="AD888" s="5">
        <v>1</v>
      </c>
      <c r="AE888" s="5">
        <v>0</v>
      </c>
      <c r="AF888" s="5">
        <v>1</v>
      </c>
      <c r="AG888" s="5">
        <v>0</v>
      </c>
      <c r="AH888" s="5">
        <v>1</v>
      </c>
      <c r="AI888" s="3">
        <f t="shared" si="658"/>
        <v>3.4</v>
      </c>
      <c r="AJ888" s="5">
        <f t="shared" si="670"/>
        <v>0</v>
      </c>
      <c r="AK888" s="5">
        <f t="shared" si="652"/>
        <v>0</v>
      </c>
      <c r="AL888" s="5">
        <f t="shared" si="653"/>
        <v>1</v>
      </c>
      <c r="AM888" s="5">
        <f t="shared" si="672"/>
        <v>0</v>
      </c>
      <c r="AN888" s="5">
        <f t="shared" si="654"/>
        <v>0</v>
      </c>
      <c r="AO888" s="5">
        <f t="shared" si="673"/>
        <v>0</v>
      </c>
      <c r="AP888" s="11" t="s">
        <v>42</v>
      </c>
      <c r="AQ888" s="11">
        <v>1.5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1</v>
      </c>
      <c r="AY888" s="1">
        <f t="shared" si="685"/>
        <v>0</v>
      </c>
      <c r="AZ888" s="1">
        <f t="shared" si="686"/>
        <v>0</v>
      </c>
      <c r="BA888" s="1">
        <f t="shared" si="687"/>
        <v>0</v>
      </c>
      <c r="BB888" s="5">
        <v>0</v>
      </c>
      <c r="BC888" s="5">
        <v>0</v>
      </c>
      <c r="BD888" s="5">
        <v>0</v>
      </c>
      <c r="BE888" s="5">
        <f t="shared" si="688"/>
        <v>1</v>
      </c>
      <c r="BF888" s="5">
        <v>0</v>
      </c>
      <c r="BG888" s="5">
        <f t="shared" si="690"/>
        <v>0</v>
      </c>
      <c r="BH888" s="5">
        <f t="shared" si="690"/>
        <v>0</v>
      </c>
      <c r="BI888" s="5">
        <f t="shared" si="690"/>
        <v>0</v>
      </c>
      <c r="BJ888" s="5">
        <f t="shared" si="690"/>
        <v>0</v>
      </c>
      <c r="BK888" s="5">
        <f t="shared" si="690"/>
        <v>0</v>
      </c>
      <c r="BL888" s="5">
        <f t="shared" si="690"/>
        <v>0</v>
      </c>
      <c r="BM888" s="5">
        <f t="shared" si="690"/>
        <v>0</v>
      </c>
      <c r="BN888" s="5">
        <f t="shared" si="690"/>
        <v>0</v>
      </c>
      <c r="BO888" s="5">
        <f t="shared" si="689"/>
        <v>0</v>
      </c>
      <c r="BP888" s="5">
        <f t="shared" si="689"/>
        <v>0</v>
      </c>
      <c r="BQ888" s="5">
        <f t="shared" si="689"/>
        <v>0</v>
      </c>
      <c r="BR888" s="5">
        <f t="shared" si="689"/>
        <v>0</v>
      </c>
      <c r="BS888" s="5">
        <f t="shared" si="689"/>
        <v>0</v>
      </c>
      <c r="BT888" s="5">
        <f t="shared" si="689"/>
        <v>0</v>
      </c>
      <c r="BU888" s="5">
        <f t="shared" si="689"/>
        <v>0</v>
      </c>
      <c r="BV888" s="5">
        <f t="shared" si="689"/>
        <v>0</v>
      </c>
      <c r="BW888" s="5">
        <f t="shared" si="689"/>
        <v>0</v>
      </c>
      <c r="BX888" s="5">
        <f t="shared" si="689"/>
        <v>0</v>
      </c>
      <c r="BY888" s="5">
        <f t="shared" si="689"/>
        <v>0</v>
      </c>
      <c r="BZ888" s="5">
        <f t="shared" si="689"/>
        <v>0</v>
      </c>
      <c r="CA888" s="5">
        <f t="shared" si="689"/>
        <v>0</v>
      </c>
      <c r="CB888" s="5">
        <f t="shared" si="689"/>
        <v>0</v>
      </c>
      <c r="CC888" s="5">
        <f t="shared" si="676"/>
        <v>0</v>
      </c>
      <c r="CD888" s="5">
        <f t="shared" si="676"/>
        <v>1</v>
      </c>
      <c r="CE888" s="5">
        <f t="shared" si="676"/>
        <v>0</v>
      </c>
    </row>
    <row r="889" spans="1:83" x14ac:dyDescent="0.2">
      <c r="A889" s="11"/>
      <c r="B889" s="11"/>
      <c r="C889" s="1">
        <f>Growth!D894</f>
        <v>0.12698412698412698</v>
      </c>
      <c r="D889" s="5" t="b">
        <f t="shared" si="659"/>
        <v>0</v>
      </c>
      <c r="E889" s="5">
        <v>2014</v>
      </c>
      <c r="F889" s="5">
        <f ca="1">LOOKUP($E889,frequence!$A$2:$A$35,frequence!L$2:L$35)</f>
        <v>50.75383375536623</v>
      </c>
      <c r="G889" s="5">
        <f ca="1">LOOKUP($E889,frequence!$A$2:$A$35,frequence!K$2:K$35)</f>
        <v>9.9751715831189358</v>
      </c>
      <c r="H889" s="5">
        <f ca="1">LOOKUP($E889,frequence!$A$2:$A$35,frequence!M$2:M$35)</f>
        <v>236.05429056976001</v>
      </c>
      <c r="I889" s="16">
        <v>2015</v>
      </c>
      <c r="J889" s="7">
        <f>LOOKUP(I889,CPI!A$69:A$103,CPI!O$69:O$103)</f>
        <v>0.92109353879426881</v>
      </c>
      <c r="K889" s="16">
        <v>2015</v>
      </c>
      <c r="L889" s="7">
        <f t="shared" ca="1" si="649"/>
        <v>1</v>
      </c>
      <c r="M889" s="7">
        <f t="shared" si="671"/>
        <v>0.8126984126984127</v>
      </c>
      <c r="N889" s="14">
        <f>8/63</f>
        <v>0.12698412698412698</v>
      </c>
      <c r="O889" s="1">
        <f ca="1">P889*J889*(1+Growth!G$6)^(2010-K889)</f>
        <v>111.93915041739568</v>
      </c>
      <c r="P889" s="11">
        <v>131</v>
      </c>
      <c r="Q889" s="2">
        <f t="shared" si="677"/>
        <v>131</v>
      </c>
      <c r="R889" s="21">
        <f t="shared" ca="1" si="683"/>
        <v>12530.373396168336</v>
      </c>
      <c r="U889" s="11"/>
      <c r="V889" s="11"/>
      <c r="W889" s="11"/>
      <c r="X889" s="11"/>
      <c r="Y889" s="11"/>
      <c r="Z889" s="11"/>
      <c r="AA889" s="11"/>
      <c r="AB889" s="11"/>
      <c r="AC889" s="1">
        <f t="shared" si="684"/>
        <v>6.4</v>
      </c>
      <c r="AD889" s="5">
        <v>1</v>
      </c>
      <c r="AE889" s="5">
        <v>0</v>
      </c>
      <c r="AF889" s="5">
        <v>1</v>
      </c>
      <c r="AG889" s="5">
        <v>0</v>
      </c>
      <c r="AH889" s="5">
        <v>1</v>
      </c>
      <c r="AI889" s="3">
        <f t="shared" si="658"/>
        <v>3.4</v>
      </c>
      <c r="AJ889" s="5">
        <f t="shared" si="670"/>
        <v>0</v>
      </c>
      <c r="AK889" s="5">
        <f t="shared" si="652"/>
        <v>0</v>
      </c>
      <c r="AL889" s="5">
        <f t="shared" si="653"/>
        <v>1</v>
      </c>
      <c r="AM889" s="5">
        <f t="shared" si="672"/>
        <v>0</v>
      </c>
      <c r="AN889" s="5">
        <f t="shared" si="654"/>
        <v>0</v>
      </c>
      <c r="AO889" s="5">
        <f t="shared" si="673"/>
        <v>0</v>
      </c>
      <c r="AP889" s="11" t="s">
        <v>42</v>
      </c>
      <c r="AQ889" s="11">
        <v>1.5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1</v>
      </c>
      <c r="AY889" s="1">
        <f t="shared" si="685"/>
        <v>0</v>
      </c>
      <c r="AZ889" s="1">
        <f t="shared" si="686"/>
        <v>0</v>
      </c>
      <c r="BA889" s="1">
        <f t="shared" si="687"/>
        <v>0</v>
      </c>
      <c r="BB889" s="5">
        <v>0</v>
      </c>
      <c r="BC889" s="5">
        <v>0</v>
      </c>
      <c r="BD889" s="5">
        <v>0</v>
      </c>
      <c r="BE889" s="5">
        <f t="shared" si="688"/>
        <v>1</v>
      </c>
      <c r="BF889" s="5">
        <v>0</v>
      </c>
      <c r="BG889" s="5">
        <f t="shared" si="690"/>
        <v>0</v>
      </c>
      <c r="BH889" s="5">
        <f t="shared" si="690"/>
        <v>0</v>
      </c>
      <c r="BI889" s="5">
        <f t="shared" si="690"/>
        <v>0</v>
      </c>
      <c r="BJ889" s="5">
        <f t="shared" si="690"/>
        <v>0</v>
      </c>
      <c r="BK889" s="5">
        <f t="shared" si="690"/>
        <v>0</v>
      </c>
      <c r="BL889" s="5">
        <f t="shared" si="690"/>
        <v>0</v>
      </c>
      <c r="BM889" s="5">
        <f t="shared" si="690"/>
        <v>0</v>
      </c>
      <c r="BN889" s="5">
        <f t="shared" si="690"/>
        <v>0</v>
      </c>
      <c r="BO889" s="5">
        <f t="shared" si="689"/>
        <v>0</v>
      </c>
      <c r="BP889" s="5">
        <f t="shared" si="689"/>
        <v>0</v>
      </c>
      <c r="BQ889" s="5">
        <f t="shared" si="689"/>
        <v>0</v>
      </c>
      <c r="BR889" s="5">
        <f t="shared" si="689"/>
        <v>0</v>
      </c>
      <c r="BS889" s="5">
        <f t="shared" si="689"/>
        <v>0</v>
      </c>
      <c r="BT889" s="5">
        <f t="shared" si="689"/>
        <v>0</v>
      </c>
      <c r="BU889" s="5">
        <f t="shared" si="689"/>
        <v>0</v>
      </c>
      <c r="BV889" s="5">
        <f t="shared" si="689"/>
        <v>0</v>
      </c>
      <c r="BW889" s="5">
        <f t="shared" si="689"/>
        <v>0</v>
      </c>
      <c r="BX889" s="5">
        <f t="shared" si="689"/>
        <v>0</v>
      </c>
      <c r="BY889" s="5">
        <f t="shared" si="689"/>
        <v>0</v>
      </c>
      <c r="BZ889" s="5">
        <f t="shared" si="689"/>
        <v>0</v>
      </c>
      <c r="CA889" s="5">
        <f t="shared" si="689"/>
        <v>0</v>
      </c>
      <c r="CB889" s="5">
        <f t="shared" si="689"/>
        <v>0</v>
      </c>
      <c r="CC889" s="5">
        <f t="shared" si="676"/>
        <v>0</v>
      </c>
      <c r="CD889" s="5">
        <f t="shared" si="676"/>
        <v>1</v>
      </c>
      <c r="CE889" s="5">
        <f t="shared" si="676"/>
        <v>0</v>
      </c>
    </row>
    <row r="890" spans="1:83" x14ac:dyDescent="0.2">
      <c r="A890" s="11"/>
      <c r="B890" s="11"/>
      <c r="C890" s="1">
        <f>Growth!D895</f>
        <v>0.12698412698412698</v>
      </c>
      <c r="D890" s="5" t="b">
        <f t="shared" si="659"/>
        <v>0</v>
      </c>
      <c r="E890" s="5">
        <v>2014</v>
      </c>
      <c r="F890" s="5">
        <f ca="1">LOOKUP($E890,frequence!$A$2:$A$35,frequence!L$2:L$35)</f>
        <v>50.75383375536623</v>
      </c>
      <c r="G890" s="5">
        <f ca="1">LOOKUP($E890,frequence!$A$2:$A$35,frequence!K$2:K$35)</f>
        <v>9.9751715831189358</v>
      </c>
      <c r="H890" s="5">
        <f ca="1">LOOKUP($E890,frequence!$A$2:$A$35,frequence!M$2:M$35)</f>
        <v>236.05429056976001</v>
      </c>
      <c r="I890" s="16">
        <v>2015</v>
      </c>
      <c r="J890" s="7">
        <f>LOOKUP(I890,CPI!A$69:A$103,CPI!O$69:O$103)</f>
        <v>0.92109353879426881</v>
      </c>
      <c r="K890" s="16">
        <v>2015</v>
      </c>
      <c r="L890" s="7">
        <f t="shared" ca="1" si="649"/>
        <v>1</v>
      </c>
      <c r="M890" s="7">
        <f t="shared" si="671"/>
        <v>0.8126984126984127</v>
      </c>
      <c r="N890" s="14">
        <f>8/63</f>
        <v>0.12698412698412698</v>
      </c>
      <c r="O890" s="1">
        <f ca="1">P890*J890*(1+Growth!G$6)^(2010-K890)</f>
        <v>117.92063173740918</v>
      </c>
      <c r="P890" s="11">
        <v>138</v>
      </c>
      <c r="Q890" s="2">
        <f t="shared" si="677"/>
        <v>138</v>
      </c>
      <c r="R890" s="21">
        <f t="shared" ca="1" si="683"/>
        <v>13905.275389349674</v>
      </c>
      <c r="U890" s="11"/>
      <c r="V890" s="11"/>
      <c r="W890" s="11"/>
      <c r="X890" s="11"/>
      <c r="Y890" s="11"/>
      <c r="Z890" s="11"/>
      <c r="AA890" s="11"/>
      <c r="AB890" s="11"/>
      <c r="AC890" s="1">
        <f t="shared" si="684"/>
        <v>6.4</v>
      </c>
      <c r="AD890" s="5">
        <v>1</v>
      </c>
      <c r="AE890" s="5">
        <v>0</v>
      </c>
      <c r="AF890" s="5">
        <v>1</v>
      </c>
      <c r="AG890" s="5">
        <v>0</v>
      </c>
      <c r="AH890" s="5">
        <v>1</v>
      </c>
      <c r="AI890" s="3">
        <f t="shared" si="658"/>
        <v>3.4</v>
      </c>
      <c r="AJ890" s="5">
        <f t="shared" si="670"/>
        <v>0</v>
      </c>
      <c r="AK890" s="5">
        <f t="shared" si="652"/>
        <v>0</v>
      </c>
      <c r="AL890" s="5">
        <f t="shared" si="653"/>
        <v>1</v>
      </c>
      <c r="AM890" s="5">
        <f t="shared" si="672"/>
        <v>0</v>
      </c>
      <c r="AN890" s="5">
        <f t="shared" si="654"/>
        <v>0</v>
      </c>
      <c r="AO890" s="5">
        <f t="shared" si="673"/>
        <v>0</v>
      </c>
      <c r="AP890" s="11" t="s">
        <v>42</v>
      </c>
      <c r="AQ890" s="11">
        <v>1.5</v>
      </c>
      <c r="AR890" s="5">
        <v>0</v>
      </c>
      <c r="AS890" s="5">
        <v>0</v>
      </c>
      <c r="AT890" s="5">
        <v>0</v>
      </c>
      <c r="AU890" s="5">
        <v>0</v>
      </c>
      <c r="AV890" s="5">
        <v>0</v>
      </c>
      <c r="AW890" s="5">
        <v>0</v>
      </c>
      <c r="AX890" s="5">
        <v>1</v>
      </c>
      <c r="AY890" s="1">
        <f t="shared" si="685"/>
        <v>0</v>
      </c>
      <c r="AZ890" s="1">
        <f t="shared" si="686"/>
        <v>0</v>
      </c>
      <c r="BA890" s="1">
        <f t="shared" si="687"/>
        <v>0</v>
      </c>
      <c r="BB890" s="5">
        <v>0</v>
      </c>
      <c r="BC890" s="5">
        <v>0</v>
      </c>
      <c r="BD890" s="5">
        <v>0</v>
      </c>
      <c r="BE890" s="5">
        <f t="shared" si="688"/>
        <v>1</v>
      </c>
      <c r="BF890" s="5">
        <v>0</v>
      </c>
      <c r="BG890" s="5">
        <f t="shared" si="690"/>
        <v>0</v>
      </c>
      <c r="BH890" s="5">
        <f t="shared" si="690"/>
        <v>0</v>
      </c>
      <c r="BI890" s="5">
        <f t="shared" si="690"/>
        <v>0</v>
      </c>
      <c r="BJ890" s="5">
        <f t="shared" si="690"/>
        <v>0</v>
      </c>
      <c r="BK890" s="5">
        <f t="shared" si="690"/>
        <v>0</v>
      </c>
      <c r="BL890" s="5">
        <f t="shared" si="690"/>
        <v>0</v>
      </c>
      <c r="BM890" s="5">
        <f t="shared" si="690"/>
        <v>0</v>
      </c>
      <c r="BN890" s="5">
        <f t="shared" si="690"/>
        <v>0</v>
      </c>
      <c r="BO890" s="5">
        <f t="shared" si="689"/>
        <v>0</v>
      </c>
      <c r="BP890" s="5">
        <f t="shared" si="689"/>
        <v>0</v>
      </c>
      <c r="BQ890" s="5">
        <f t="shared" si="689"/>
        <v>0</v>
      </c>
      <c r="BR890" s="5">
        <f t="shared" si="689"/>
        <v>0</v>
      </c>
      <c r="BS890" s="5">
        <f t="shared" si="689"/>
        <v>0</v>
      </c>
      <c r="BT890" s="5">
        <f t="shared" si="689"/>
        <v>0</v>
      </c>
      <c r="BU890" s="5">
        <f t="shared" si="689"/>
        <v>0</v>
      </c>
      <c r="BV890" s="5">
        <f t="shared" si="689"/>
        <v>0</v>
      </c>
      <c r="BW890" s="5">
        <f t="shared" si="689"/>
        <v>0</v>
      </c>
      <c r="BX890" s="5">
        <f t="shared" si="689"/>
        <v>0</v>
      </c>
      <c r="BY890" s="5">
        <f t="shared" si="689"/>
        <v>0</v>
      </c>
      <c r="BZ890" s="5">
        <f t="shared" si="689"/>
        <v>0</v>
      </c>
      <c r="CA890" s="5">
        <f t="shared" si="689"/>
        <v>0</v>
      </c>
      <c r="CB890" s="5">
        <f t="shared" si="689"/>
        <v>0</v>
      </c>
      <c r="CC890" s="5">
        <f t="shared" si="676"/>
        <v>0</v>
      </c>
      <c r="CD890" s="5">
        <f t="shared" si="676"/>
        <v>1</v>
      </c>
      <c r="CE890" s="5">
        <f t="shared" si="676"/>
        <v>0</v>
      </c>
    </row>
    <row r="891" spans="1:83" x14ac:dyDescent="0.2">
      <c r="A891" s="11"/>
      <c r="B891" s="11"/>
      <c r="C891" s="1">
        <f>Growth!D896</f>
        <v>6.3492063492063489E-2</v>
      </c>
      <c r="D891" s="5" t="b">
        <f t="shared" si="659"/>
        <v>0</v>
      </c>
      <c r="E891" s="5">
        <v>2014</v>
      </c>
      <c r="F891" s="5">
        <f ca="1">LOOKUP($E891,frequence!$A$2:$A$35,frequence!L$2:L$35)</f>
        <v>50.75383375536623</v>
      </c>
      <c r="G891" s="5">
        <f ca="1">LOOKUP($E891,frequence!$A$2:$A$35,frequence!K$2:K$35)</f>
        <v>9.9751715831189358</v>
      </c>
      <c r="H891" s="5">
        <f ca="1">LOOKUP($E891,frequence!$A$2:$A$35,frequence!M$2:M$35)</f>
        <v>236.05429056976001</v>
      </c>
      <c r="I891" s="16">
        <v>2015</v>
      </c>
      <c r="J891" s="7">
        <f>LOOKUP(I891,CPI!A$69:A$103,CPI!O$69:O$103)</f>
        <v>0.92109353879426881</v>
      </c>
      <c r="K891" s="16">
        <v>2015</v>
      </c>
      <c r="L891" s="7">
        <f t="shared" ca="1" si="649"/>
        <v>1</v>
      </c>
      <c r="M891" s="7">
        <f t="shared" si="671"/>
        <v>0.40634920634920635</v>
      </c>
      <c r="N891" s="14">
        <f>4/63</f>
        <v>6.3492063492063489E-2</v>
      </c>
      <c r="O891" s="1">
        <f ca="1">P891*J891*(1+Growth!G$6)^(2010-K891)</f>
        <v>111.08465308596517</v>
      </c>
      <c r="P891" s="11">
        <v>130</v>
      </c>
      <c r="Q891" s="2">
        <f t="shared" si="677"/>
        <v>130</v>
      </c>
      <c r="R891" s="21">
        <f t="shared" ca="1" si="683"/>
        <v>12339.800151229232</v>
      </c>
      <c r="U891" s="11"/>
      <c r="V891" s="11"/>
      <c r="W891" s="11"/>
      <c r="X891" s="11"/>
      <c r="Y891" s="11"/>
      <c r="Z891" s="11"/>
      <c r="AA891" s="11"/>
      <c r="AB891" s="11"/>
      <c r="AC891" s="1">
        <f t="shared" si="684"/>
        <v>6.4</v>
      </c>
      <c r="AD891" s="5">
        <v>1</v>
      </c>
      <c r="AE891" s="5">
        <v>0</v>
      </c>
      <c r="AF891" s="5">
        <v>1</v>
      </c>
      <c r="AG891" s="5">
        <v>0</v>
      </c>
      <c r="AH891" s="5">
        <v>1</v>
      </c>
      <c r="AI891" s="3">
        <f t="shared" si="658"/>
        <v>3.4</v>
      </c>
      <c r="AJ891" s="5">
        <f t="shared" si="670"/>
        <v>0</v>
      </c>
      <c r="AK891" s="5">
        <f t="shared" si="652"/>
        <v>0</v>
      </c>
      <c r="AL891" s="5">
        <f t="shared" si="653"/>
        <v>1</v>
      </c>
      <c r="AM891" s="5">
        <f t="shared" si="672"/>
        <v>0</v>
      </c>
      <c r="AN891" s="5">
        <f t="shared" si="654"/>
        <v>0</v>
      </c>
      <c r="AO891" s="5">
        <f t="shared" si="673"/>
        <v>0</v>
      </c>
      <c r="AP891" s="11" t="s">
        <v>42</v>
      </c>
      <c r="AQ891" s="11">
        <v>1.5</v>
      </c>
      <c r="AR891" s="5">
        <v>0</v>
      </c>
      <c r="AS891" s="5">
        <v>0</v>
      </c>
      <c r="AT891" s="5">
        <v>0</v>
      </c>
      <c r="AU891" s="5">
        <v>0</v>
      </c>
      <c r="AV891" s="5">
        <v>0</v>
      </c>
      <c r="AW891" s="5">
        <v>0</v>
      </c>
      <c r="AX891" s="5">
        <v>1</v>
      </c>
      <c r="AY891" s="1">
        <f t="shared" si="685"/>
        <v>0</v>
      </c>
      <c r="AZ891" s="1">
        <f t="shared" si="686"/>
        <v>0</v>
      </c>
      <c r="BA891" s="1">
        <f t="shared" si="687"/>
        <v>0</v>
      </c>
      <c r="BB891" s="5">
        <v>0</v>
      </c>
      <c r="BC891" s="5">
        <v>0</v>
      </c>
      <c r="BD891" s="5">
        <v>0</v>
      </c>
      <c r="BE891" s="5">
        <f t="shared" si="688"/>
        <v>1</v>
      </c>
      <c r="BF891" s="5">
        <v>0</v>
      </c>
      <c r="BG891" s="5">
        <f t="shared" si="690"/>
        <v>0</v>
      </c>
      <c r="BH891" s="5">
        <f t="shared" si="690"/>
        <v>0</v>
      </c>
      <c r="BI891" s="5">
        <f t="shared" si="690"/>
        <v>0</v>
      </c>
      <c r="BJ891" s="5">
        <f t="shared" si="690"/>
        <v>0</v>
      </c>
      <c r="BK891" s="5">
        <f t="shared" si="690"/>
        <v>0</v>
      </c>
      <c r="BL891" s="5">
        <f t="shared" si="690"/>
        <v>0</v>
      </c>
      <c r="BM891" s="5">
        <f t="shared" si="690"/>
        <v>0</v>
      </c>
      <c r="BN891" s="5">
        <f t="shared" si="690"/>
        <v>0</v>
      </c>
      <c r="BO891" s="5">
        <f t="shared" si="689"/>
        <v>0</v>
      </c>
      <c r="BP891" s="5">
        <f t="shared" si="689"/>
        <v>0</v>
      </c>
      <c r="BQ891" s="5">
        <f t="shared" si="689"/>
        <v>0</v>
      </c>
      <c r="BR891" s="5">
        <f t="shared" si="689"/>
        <v>0</v>
      </c>
      <c r="BS891" s="5">
        <f t="shared" si="689"/>
        <v>0</v>
      </c>
      <c r="BT891" s="5">
        <f t="shared" si="689"/>
        <v>0</v>
      </c>
      <c r="BU891" s="5">
        <f t="shared" si="689"/>
        <v>0</v>
      </c>
      <c r="BV891" s="5">
        <f t="shared" si="689"/>
        <v>0</v>
      </c>
      <c r="BW891" s="5">
        <f t="shared" si="689"/>
        <v>0</v>
      </c>
      <c r="BX891" s="5">
        <f t="shared" si="689"/>
        <v>0</v>
      </c>
      <c r="BY891" s="5">
        <f t="shared" si="689"/>
        <v>0</v>
      </c>
      <c r="BZ891" s="5">
        <f t="shared" si="689"/>
        <v>0</v>
      </c>
      <c r="CA891" s="5">
        <f t="shared" si="689"/>
        <v>0</v>
      </c>
      <c r="CB891" s="5">
        <f t="shared" si="689"/>
        <v>0</v>
      </c>
      <c r="CC891" s="5">
        <f t="shared" si="689"/>
        <v>0</v>
      </c>
      <c r="CD891" s="5">
        <f t="shared" ref="CD891:CE910" si="691">IF($E891=CD$2,1,0)</f>
        <v>1</v>
      </c>
      <c r="CE891" s="5">
        <f t="shared" si="691"/>
        <v>0</v>
      </c>
    </row>
    <row r="892" spans="1:83" x14ac:dyDescent="0.2">
      <c r="A892" s="11"/>
      <c r="B892" s="11"/>
      <c r="C892" s="1">
        <f>Growth!D897</f>
        <v>6.3492063492063489E-2</v>
      </c>
      <c r="D892" s="5" t="b">
        <f t="shared" si="659"/>
        <v>0</v>
      </c>
      <c r="E892" s="5">
        <v>2014</v>
      </c>
      <c r="F892" s="5">
        <f ca="1">LOOKUP($E892,frequence!$A$2:$A$35,frequence!L$2:L$35)</f>
        <v>50.75383375536623</v>
      </c>
      <c r="G892" s="5">
        <f ca="1">LOOKUP($E892,frequence!$A$2:$A$35,frequence!K$2:K$35)</f>
        <v>9.9751715831189358</v>
      </c>
      <c r="H892" s="5">
        <f ca="1">LOOKUP($E892,frequence!$A$2:$A$35,frequence!M$2:M$35)</f>
        <v>236.05429056976001</v>
      </c>
      <c r="I892" s="16">
        <v>2015</v>
      </c>
      <c r="J892" s="7">
        <f>LOOKUP(I892,CPI!A$69:A$103,CPI!O$69:O$103)</f>
        <v>0.92109353879426881</v>
      </c>
      <c r="K892" s="16">
        <v>2015</v>
      </c>
      <c r="L892" s="7">
        <f t="shared" ca="1" si="649"/>
        <v>1</v>
      </c>
      <c r="M892" s="7">
        <f t="shared" si="671"/>
        <v>0.40634920634920635</v>
      </c>
      <c r="N892" s="14">
        <f>4/63</f>
        <v>6.3492063492063489E-2</v>
      </c>
      <c r="O892" s="1">
        <f ca="1">P892*J892*(1+Growth!G$6)^(2010-K892)</f>
        <v>115.35713974311768</v>
      </c>
      <c r="P892" s="11">
        <v>135</v>
      </c>
      <c r="Q892" s="2">
        <f t="shared" si="677"/>
        <v>135</v>
      </c>
      <c r="R892" s="21">
        <f t="shared" ca="1" si="683"/>
        <v>13307.269689713181</v>
      </c>
      <c r="U892" s="11"/>
      <c r="V892" s="11"/>
      <c r="W892" s="11"/>
      <c r="X892" s="11"/>
      <c r="Y892" s="11"/>
      <c r="Z892" s="11"/>
      <c r="AA892" s="11"/>
      <c r="AB892" s="11"/>
      <c r="AC892" s="1">
        <f t="shared" si="684"/>
        <v>6.4</v>
      </c>
      <c r="AD892" s="5">
        <v>1</v>
      </c>
      <c r="AE892" s="5">
        <v>0</v>
      </c>
      <c r="AF892" s="5">
        <v>1</v>
      </c>
      <c r="AG892" s="5">
        <v>0</v>
      </c>
      <c r="AH892" s="5">
        <v>1</v>
      </c>
      <c r="AI892" s="3">
        <f t="shared" si="658"/>
        <v>3.4</v>
      </c>
      <c r="AJ892" s="5">
        <f t="shared" si="670"/>
        <v>0</v>
      </c>
      <c r="AK892" s="5">
        <f t="shared" si="652"/>
        <v>0</v>
      </c>
      <c r="AL892" s="5">
        <f t="shared" si="653"/>
        <v>1</v>
      </c>
      <c r="AM892" s="5">
        <f t="shared" si="672"/>
        <v>0</v>
      </c>
      <c r="AN892" s="5">
        <f t="shared" si="654"/>
        <v>0</v>
      </c>
      <c r="AO892" s="5">
        <f t="shared" si="673"/>
        <v>0</v>
      </c>
      <c r="AP892" s="11" t="s">
        <v>42</v>
      </c>
      <c r="AQ892" s="11">
        <v>1.5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1</v>
      </c>
      <c r="AY892" s="1">
        <f t="shared" si="685"/>
        <v>0</v>
      </c>
      <c r="AZ892" s="1">
        <f t="shared" si="686"/>
        <v>0</v>
      </c>
      <c r="BA892" s="1">
        <f t="shared" si="687"/>
        <v>0</v>
      </c>
      <c r="BB892" s="5">
        <v>0</v>
      </c>
      <c r="BC892" s="5">
        <v>0</v>
      </c>
      <c r="BD892" s="5">
        <v>0</v>
      </c>
      <c r="BE892" s="5">
        <f t="shared" si="688"/>
        <v>1</v>
      </c>
      <c r="BF892" s="5">
        <v>0</v>
      </c>
      <c r="BG892" s="5">
        <f t="shared" si="690"/>
        <v>0</v>
      </c>
      <c r="BH892" s="5">
        <f t="shared" si="690"/>
        <v>0</v>
      </c>
      <c r="BI892" s="5">
        <f t="shared" si="690"/>
        <v>0</v>
      </c>
      <c r="BJ892" s="5">
        <f t="shared" si="690"/>
        <v>0</v>
      </c>
      <c r="BK892" s="5">
        <f t="shared" si="690"/>
        <v>0</v>
      </c>
      <c r="BL892" s="5">
        <f t="shared" si="690"/>
        <v>0</v>
      </c>
      <c r="BM892" s="5">
        <f t="shared" si="690"/>
        <v>0</v>
      </c>
      <c r="BN892" s="5">
        <f t="shared" si="690"/>
        <v>0</v>
      </c>
      <c r="BO892" s="5">
        <f t="shared" si="689"/>
        <v>0</v>
      </c>
      <c r="BP892" s="5">
        <f t="shared" si="689"/>
        <v>0</v>
      </c>
      <c r="BQ892" s="5">
        <f t="shared" si="689"/>
        <v>0</v>
      </c>
      <c r="BR892" s="5">
        <f t="shared" si="689"/>
        <v>0</v>
      </c>
      <c r="BS892" s="5">
        <f t="shared" si="689"/>
        <v>0</v>
      </c>
      <c r="BT892" s="5">
        <f t="shared" si="689"/>
        <v>0</v>
      </c>
      <c r="BU892" s="5">
        <f t="shared" si="689"/>
        <v>0</v>
      </c>
      <c r="BV892" s="5">
        <f t="shared" si="689"/>
        <v>0</v>
      </c>
      <c r="BW892" s="5">
        <f t="shared" si="689"/>
        <v>0</v>
      </c>
      <c r="BX892" s="5">
        <f t="shared" si="689"/>
        <v>0</v>
      </c>
      <c r="BY892" s="5">
        <f t="shared" si="689"/>
        <v>0</v>
      </c>
      <c r="BZ892" s="5">
        <f t="shared" si="689"/>
        <v>0</v>
      </c>
      <c r="CA892" s="5">
        <f t="shared" si="689"/>
        <v>0</v>
      </c>
      <c r="CB892" s="5">
        <f t="shared" si="689"/>
        <v>0</v>
      </c>
      <c r="CC892" s="5">
        <f t="shared" si="689"/>
        <v>0</v>
      </c>
      <c r="CD892" s="5">
        <f t="shared" si="691"/>
        <v>1</v>
      </c>
      <c r="CE892" s="5">
        <f t="shared" si="691"/>
        <v>0</v>
      </c>
    </row>
    <row r="893" spans="1:83" x14ac:dyDescent="0.2">
      <c r="A893" s="11" t="s">
        <v>203</v>
      </c>
      <c r="B893" s="11" t="s">
        <v>197</v>
      </c>
      <c r="C893" s="1">
        <f>Growth!D898</f>
        <v>6.25E-2</v>
      </c>
      <c r="D893" s="5">
        <f t="shared" si="659"/>
        <v>2013</v>
      </c>
      <c r="E893" s="5">
        <v>2013</v>
      </c>
      <c r="F893" s="5">
        <f ca="1">LOOKUP($E893,frequence!$A$2:$A$35,frequence!L$2:L$35)</f>
        <v>46.610663652887361</v>
      </c>
      <c r="G893" s="5">
        <f ca="1">LOOKUP($E893,frequence!$A$2:$A$35,frequence!K$2:K$35)</f>
        <v>7.3617115683267258</v>
      </c>
      <c r="H893" s="5">
        <f ca="1">LOOKUP($E893,frequence!$A$2:$A$35,frequence!M$2:M$35)</f>
        <v>214.81113443396845</v>
      </c>
      <c r="I893" s="16">
        <v>2007</v>
      </c>
      <c r="J893" s="7">
        <f>LOOKUP(I893,CPI!A$69:A$103,CPI!O$69:O$103)</f>
        <v>1.0516730811895323</v>
      </c>
      <c r="K893" s="16">
        <v>2015</v>
      </c>
      <c r="L893" s="7">
        <f t="shared" ca="1" si="649"/>
        <v>1</v>
      </c>
      <c r="M893" s="7">
        <f t="shared" si="671"/>
        <v>0.39374999999999999</v>
      </c>
      <c r="N893" s="14">
        <f>1/16</f>
        <v>6.25E-2</v>
      </c>
      <c r="O893" s="1">
        <f ca="1">P893*J893*(1+Growth!G$6)^(2010-K893)</f>
        <v>951.57012732881287</v>
      </c>
      <c r="P893" s="11">
        <f>266*44/12</f>
        <v>975.33333333333337</v>
      </c>
      <c r="Q893" s="2">
        <f t="shared" ref="Q893:Q899" si="692">P893</f>
        <v>975.33333333333337</v>
      </c>
      <c r="R893" s="21">
        <f t="shared" ref="R893:R899" ca="1" si="693">O893*O893</f>
        <v>905485.70722457313</v>
      </c>
      <c r="U893" s="11"/>
      <c r="V893" s="11"/>
      <c r="W893" s="11"/>
      <c r="X893" s="11"/>
      <c r="Y893" s="11"/>
      <c r="Z893" s="11"/>
      <c r="AA893" s="11"/>
      <c r="AB893" s="11"/>
      <c r="AC893" s="1">
        <f t="shared" ref="AC893:AC899" si="694">SUM(AD893:AI893)</f>
        <v>6.3</v>
      </c>
      <c r="AD893" s="5">
        <v>1</v>
      </c>
      <c r="AE893" s="5">
        <v>0</v>
      </c>
      <c r="AF893" s="5">
        <v>1</v>
      </c>
      <c r="AG893" s="5">
        <v>0</v>
      </c>
      <c r="AH893" s="5">
        <v>1</v>
      </c>
      <c r="AI893" s="3">
        <f t="shared" si="658"/>
        <v>3.3</v>
      </c>
      <c r="AJ893" s="5">
        <f t="shared" si="670"/>
        <v>0</v>
      </c>
      <c r="AK893" s="5">
        <f t="shared" si="652"/>
        <v>0</v>
      </c>
      <c r="AL893" s="5">
        <f t="shared" si="653"/>
        <v>1</v>
      </c>
      <c r="AM893" s="5">
        <f t="shared" si="672"/>
        <v>0</v>
      </c>
      <c r="AN893" s="5">
        <f t="shared" si="654"/>
        <v>0</v>
      </c>
      <c r="AO893" s="5">
        <f t="shared" si="673"/>
        <v>0</v>
      </c>
      <c r="AP893" s="11" t="s">
        <v>42</v>
      </c>
      <c r="AQ893" s="11">
        <v>1.5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1</v>
      </c>
      <c r="AY893" s="1">
        <f t="shared" ref="AY893:AY899" si="695">AJ893*$AD893*(1-$AV893)*(1-$AR893)</f>
        <v>0</v>
      </c>
      <c r="AZ893" s="1">
        <f t="shared" ref="AZ893:AZ899" si="696">AM893*$AD893*(1-$AV893)*(1-$AR893)</f>
        <v>0</v>
      </c>
      <c r="BA893" s="1">
        <f t="shared" ref="BA893:BA899" si="697">AO893*$AD893*(1-$AV893)*(1-$AR893)</f>
        <v>0</v>
      </c>
      <c r="BB893" s="5">
        <v>0</v>
      </c>
      <c r="BC893" s="5">
        <v>0</v>
      </c>
      <c r="BD893" s="5">
        <v>0</v>
      </c>
      <c r="BE893" s="5">
        <f t="shared" ref="BE893:BE899" si="698">1-SUM(BB893:BD893)</f>
        <v>1</v>
      </c>
      <c r="BF893" s="5">
        <v>0</v>
      </c>
      <c r="BG893" s="5">
        <f t="shared" si="690"/>
        <v>0</v>
      </c>
      <c r="BH893" s="5">
        <f t="shared" si="690"/>
        <v>0</v>
      </c>
      <c r="BI893" s="5">
        <f t="shared" si="690"/>
        <v>0</v>
      </c>
      <c r="BJ893" s="5">
        <f t="shared" si="690"/>
        <v>0</v>
      </c>
      <c r="BK893" s="5">
        <f t="shared" si="690"/>
        <v>0</v>
      </c>
      <c r="BL893" s="5">
        <f t="shared" si="690"/>
        <v>0</v>
      </c>
      <c r="BM893" s="5">
        <f t="shared" si="690"/>
        <v>0</v>
      </c>
      <c r="BN893" s="5">
        <f t="shared" si="690"/>
        <v>0</v>
      </c>
      <c r="BO893" s="5">
        <f t="shared" si="689"/>
        <v>0</v>
      </c>
      <c r="BP893" s="5">
        <f t="shared" si="689"/>
        <v>0</v>
      </c>
      <c r="BQ893" s="5">
        <f t="shared" si="689"/>
        <v>0</v>
      </c>
      <c r="BR893" s="5">
        <f t="shared" si="689"/>
        <v>0</v>
      </c>
      <c r="BS893" s="5">
        <f t="shared" si="689"/>
        <v>0</v>
      </c>
      <c r="BT893" s="5">
        <f t="shared" si="689"/>
        <v>0</v>
      </c>
      <c r="BU893" s="5">
        <f t="shared" si="689"/>
        <v>0</v>
      </c>
      <c r="BV893" s="5">
        <f t="shared" si="689"/>
        <v>0</v>
      </c>
      <c r="BW893" s="5">
        <f t="shared" si="689"/>
        <v>0</v>
      </c>
      <c r="BX893" s="5">
        <f t="shared" si="689"/>
        <v>0</v>
      </c>
      <c r="BY893" s="5">
        <f t="shared" si="689"/>
        <v>0</v>
      </c>
      <c r="BZ893" s="5">
        <f t="shared" si="689"/>
        <v>0</v>
      </c>
      <c r="CA893" s="5">
        <f t="shared" si="689"/>
        <v>0</v>
      </c>
      <c r="CB893" s="5">
        <f t="shared" si="689"/>
        <v>0</v>
      </c>
      <c r="CC893" s="5">
        <f t="shared" si="689"/>
        <v>1</v>
      </c>
      <c r="CD893" s="5">
        <f t="shared" si="691"/>
        <v>0</v>
      </c>
      <c r="CE893" s="5">
        <f t="shared" si="691"/>
        <v>0</v>
      </c>
    </row>
    <row r="894" spans="1:83" x14ac:dyDescent="0.2">
      <c r="A894" s="11"/>
      <c r="B894" s="11"/>
      <c r="C894" s="1">
        <f>Growth!D899</f>
        <v>0.125</v>
      </c>
      <c r="D894" s="5" t="b">
        <f t="shared" si="659"/>
        <v>0</v>
      </c>
      <c r="E894" s="5">
        <v>2013</v>
      </c>
      <c r="F894" s="5">
        <f ca="1">LOOKUP($E894,frequence!$A$2:$A$35,frequence!L$2:L$35)</f>
        <v>46.610663652887361</v>
      </c>
      <c r="G894" s="5">
        <f ca="1">LOOKUP($E894,frequence!$A$2:$A$35,frequence!K$2:K$35)</f>
        <v>7.3617115683267258</v>
      </c>
      <c r="H894" s="5">
        <f ca="1">LOOKUP($E894,frequence!$A$2:$A$35,frequence!M$2:M$35)</f>
        <v>214.81113443396845</v>
      </c>
      <c r="I894" s="16">
        <v>2007</v>
      </c>
      <c r="J894" s="7">
        <f>LOOKUP(I894,CPI!A$69:A$103,CPI!O$69:O$103)</f>
        <v>1.0516730811895323</v>
      </c>
      <c r="K894" s="16">
        <v>2015</v>
      </c>
      <c r="L894" s="7">
        <f t="shared" ca="1" si="649"/>
        <v>1</v>
      </c>
      <c r="M894" s="7">
        <f t="shared" si="671"/>
        <v>0.78749999999999998</v>
      </c>
      <c r="N894" s="14">
        <f>2/16</f>
        <v>0.125</v>
      </c>
      <c r="O894" s="1">
        <f ca="1">P894*J894*(1+Growth!G$6)^(2010-K894)</f>
        <v>815.63153771041107</v>
      </c>
      <c r="P894" s="11">
        <f>228*44/12</f>
        <v>836</v>
      </c>
      <c r="Q894" s="2">
        <f t="shared" si="692"/>
        <v>836</v>
      </c>
      <c r="R894" s="21">
        <f t="shared" ca="1" si="693"/>
        <v>665254.80530784966</v>
      </c>
      <c r="U894" s="11"/>
      <c r="V894" s="11"/>
      <c r="W894" s="11"/>
      <c r="X894" s="11"/>
      <c r="Y894" s="11"/>
      <c r="Z894" s="11"/>
      <c r="AA894" s="11"/>
      <c r="AB894" s="11"/>
      <c r="AC894" s="1">
        <f t="shared" si="694"/>
        <v>6.3</v>
      </c>
      <c r="AD894" s="5">
        <v>1</v>
      </c>
      <c r="AE894" s="5">
        <v>0</v>
      </c>
      <c r="AF894" s="5">
        <v>1</v>
      </c>
      <c r="AG894" s="5">
        <v>0</v>
      </c>
      <c r="AH894" s="5">
        <v>1</v>
      </c>
      <c r="AI894" s="3">
        <f t="shared" si="658"/>
        <v>3.3</v>
      </c>
      <c r="AJ894" s="5">
        <f t="shared" si="670"/>
        <v>0</v>
      </c>
      <c r="AK894" s="5">
        <f t="shared" si="652"/>
        <v>0</v>
      </c>
      <c r="AL894" s="5">
        <f t="shared" si="653"/>
        <v>1</v>
      </c>
      <c r="AM894" s="5">
        <f t="shared" si="672"/>
        <v>0</v>
      </c>
      <c r="AN894" s="5">
        <f t="shared" si="654"/>
        <v>0</v>
      </c>
      <c r="AO894" s="5">
        <f t="shared" si="673"/>
        <v>0</v>
      </c>
      <c r="AP894" s="11" t="s">
        <v>42</v>
      </c>
      <c r="AQ894" s="11">
        <v>1.5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1</v>
      </c>
      <c r="AY894" s="1">
        <f t="shared" si="695"/>
        <v>0</v>
      </c>
      <c r="AZ894" s="1">
        <f t="shared" si="696"/>
        <v>0</v>
      </c>
      <c r="BA894" s="1">
        <f t="shared" si="697"/>
        <v>0</v>
      </c>
      <c r="BB894" s="5">
        <v>0</v>
      </c>
      <c r="BC894" s="5">
        <v>0</v>
      </c>
      <c r="BD894" s="5">
        <v>0</v>
      </c>
      <c r="BE894" s="5">
        <f t="shared" si="698"/>
        <v>1</v>
      </c>
      <c r="BF894" s="5">
        <v>0</v>
      </c>
      <c r="BG894" s="5">
        <f t="shared" si="690"/>
        <v>0</v>
      </c>
      <c r="BH894" s="5">
        <f t="shared" si="690"/>
        <v>0</v>
      </c>
      <c r="BI894" s="5">
        <f t="shared" si="690"/>
        <v>0</v>
      </c>
      <c r="BJ894" s="5">
        <f t="shared" si="690"/>
        <v>0</v>
      </c>
      <c r="BK894" s="5">
        <f t="shared" si="690"/>
        <v>0</v>
      </c>
      <c r="BL894" s="5">
        <f t="shared" si="690"/>
        <v>0</v>
      </c>
      <c r="BM894" s="5">
        <f t="shared" si="690"/>
        <v>0</v>
      </c>
      <c r="BN894" s="5">
        <f t="shared" si="690"/>
        <v>0</v>
      </c>
      <c r="BO894" s="5">
        <f t="shared" si="689"/>
        <v>0</v>
      </c>
      <c r="BP894" s="5">
        <f t="shared" si="689"/>
        <v>0</v>
      </c>
      <c r="BQ894" s="5">
        <f t="shared" si="689"/>
        <v>0</v>
      </c>
      <c r="BR894" s="5">
        <f t="shared" si="689"/>
        <v>0</v>
      </c>
      <c r="BS894" s="5">
        <f t="shared" si="689"/>
        <v>0</v>
      </c>
      <c r="BT894" s="5">
        <f t="shared" si="689"/>
        <v>0</v>
      </c>
      <c r="BU894" s="5">
        <f t="shared" si="689"/>
        <v>0</v>
      </c>
      <c r="BV894" s="5">
        <f t="shared" si="689"/>
        <v>0</v>
      </c>
      <c r="BW894" s="5">
        <f t="shared" si="689"/>
        <v>0</v>
      </c>
      <c r="BX894" s="5">
        <f t="shared" si="689"/>
        <v>0</v>
      </c>
      <c r="BY894" s="5">
        <f t="shared" si="689"/>
        <v>0</v>
      </c>
      <c r="BZ894" s="5">
        <f t="shared" si="689"/>
        <v>0</v>
      </c>
      <c r="CA894" s="5">
        <f t="shared" si="689"/>
        <v>0</v>
      </c>
      <c r="CB894" s="5">
        <f t="shared" si="689"/>
        <v>0</v>
      </c>
      <c r="CC894" s="5">
        <f t="shared" si="689"/>
        <v>1</v>
      </c>
      <c r="CD894" s="5">
        <f t="shared" si="691"/>
        <v>0</v>
      </c>
      <c r="CE894" s="5">
        <f t="shared" si="691"/>
        <v>0</v>
      </c>
    </row>
    <row r="895" spans="1:83" x14ac:dyDescent="0.2">
      <c r="A895" s="11"/>
      <c r="B895" s="11"/>
      <c r="C895" s="1">
        <f>Growth!D900</f>
        <v>0.1875</v>
      </c>
      <c r="D895" s="5" t="b">
        <f t="shared" si="659"/>
        <v>0</v>
      </c>
      <c r="E895" s="5">
        <v>2013</v>
      </c>
      <c r="F895" s="5">
        <f ca="1">LOOKUP($E895,frequence!$A$2:$A$35,frequence!L$2:L$35)</f>
        <v>46.610663652887361</v>
      </c>
      <c r="G895" s="5">
        <f ca="1">LOOKUP($E895,frequence!$A$2:$A$35,frequence!K$2:K$35)</f>
        <v>7.3617115683267258</v>
      </c>
      <c r="H895" s="5">
        <f ca="1">LOOKUP($E895,frequence!$A$2:$A$35,frequence!M$2:M$35)</f>
        <v>214.81113443396845</v>
      </c>
      <c r="I895" s="16">
        <v>2007</v>
      </c>
      <c r="J895" s="7">
        <f>LOOKUP(I895,CPI!A$69:A$103,CPI!O$69:O$103)</f>
        <v>1.0516730811895323</v>
      </c>
      <c r="K895" s="16">
        <v>2015</v>
      </c>
      <c r="L895" s="7">
        <f t="shared" ca="1" si="649"/>
        <v>1</v>
      </c>
      <c r="M895" s="7">
        <f t="shared" si="671"/>
        <v>1.1812499999999999</v>
      </c>
      <c r="N895" s="14">
        <f>3/16</f>
        <v>0.1875</v>
      </c>
      <c r="O895" s="1">
        <f ca="1">P895*J895*(1+Growth!G$6)^(2010-K895)</f>
        <v>654.6516289517773</v>
      </c>
      <c r="P895" s="11">
        <f>183*44/12</f>
        <v>671</v>
      </c>
      <c r="Q895" s="2">
        <f t="shared" si="692"/>
        <v>671</v>
      </c>
      <c r="R895" s="21">
        <f t="shared" ca="1" si="693"/>
        <v>428568.75528921548</v>
      </c>
      <c r="U895" s="11"/>
      <c r="V895" s="11"/>
      <c r="W895" s="11"/>
      <c r="X895" s="11"/>
      <c r="Y895" s="11"/>
      <c r="Z895" s="11"/>
      <c r="AA895" s="11"/>
      <c r="AB895" s="11"/>
      <c r="AC895" s="1">
        <f t="shared" si="694"/>
        <v>6.3</v>
      </c>
      <c r="AD895" s="5">
        <v>1</v>
      </c>
      <c r="AE895" s="5">
        <v>0</v>
      </c>
      <c r="AF895" s="5">
        <v>1</v>
      </c>
      <c r="AG895" s="5">
        <v>0</v>
      </c>
      <c r="AH895" s="5">
        <v>1</v>
      </c>
      <c r="AI895" s="3">
        <f t="shared" si="658"/>
        <v>3.3</v>
      </c>
      <c r="AJ895" s="5">
        <f t="shared" si="670"/>
        <v>0</v>
      </c>
      <c r="AK895" s="5">
        <f t="shared" si="652"/>
        <v>0</v>
      </c>
      <c r="AL895" s="5">
        <f t="shared" si="653"/>
        <v>1</v>
      </c>
      <c r="AM895" s="5">
        <f t="shared" si="672"/>
        <v>0</v>
      </c>
      <c r="AN895" s="5">
        <f t="shared" si="654"/>
        <v>0</v>
      </c>
      <c r="AO895" s="5">
        <f t="shared" si="673"/>
        <v>0</v>
      </c>
      <c r="AP895" s="11" t="s">
        <v>42</v>
      </c>
      <c r="AQ895" s="11">
        <v>1.5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0</v>
      </c>
      <c r="AX895" s="5">
        <v>1</v>
      </c>
      <c r="AY895" s="1">
        <f t="shared" si="695"/>
        <v>0</v>
      </c>
      <c r="AZ895" s="1">
        <f t="shared" si="696"/>
        <v>0</v>
      </c>
      <c r="BA895" s="1">
        <f t="shared" si="697"/>
        <v>0</v>
      </c>
      <c r="BB895" s="5">
        <v>0</v>
      </c>
      <c r="BC895" s="5">
        <v>0</v>
      </c>
      <c r="BD895" s="5">
        <v>0</v>
      </c>
      <c r="BE895" s="5">
        <f t="shared" si="698"/>
        <v>1</v>
      </c>
      <c r="BF895" s="5">
        <v>0</v>
      </c>
      <c r="BG895" s="5">
        <f t="shared" si="690"/>
        <v>0</v>
      </c>
      <c r="BH895" s="5">
        <f t="shared" si="690"/>
        <v>0</v>
      </c>
      <c r="BI895" s="5">
        <f t="shared" si="690"/>
        <v>0</v>
      </c>
      <c r="BJ895" s="5">
        <f t="shared" si="690"/>
        <v>0</v>
      </c>
      <c r="BK895" s="5">
        <f t="shared" si="690"/>
        <v>0</v>
      </c>
      <c r="BL895" s="5">
        <f t="shared" si="690"/>
        <v>0</v>
      </c>
      <c r="BM895" s="5">
        <f t="shared" si="690"/>
        <v>0</v>
      </c>
      <c r="BN895" s="5">
        <f t="shared" si="690"/>
        <v>0</v>
      </c>
      <c r="BO895" s="5">
        <f t="shared" si="689"/>
        <v>0</v>
      </c>
      <c r="BP895" s="5">
        <f t="shared" si="689"/>
        <v>0</v>
      </c>
      <c r="BQ895" s="5">
        <f t="shared" si="689"/>
        <v>0</v>
      </c>
      <c r="BR895" s="5">
        <f t="shared" si="689"/>
        <v>0</v>
      </c>
      <c r="BS895" s="5">
        <f t="shared" si="689"/>
        <v>0</v>
      </c>
      <c r="BT895" s="5">
        <f t="shared" si="689"/>
        <v>0</v>
      </c>
      <c r="BU895" s="5">
        <f t="shared" si="689"/>
        <v>0</v>
      </c>
      <c r="BV895" s="5">
        <f t="shared" si="689"/>
        <v>0</v>
      </c>
      <c r="BW895" s="5">
        <f t="shared" si="689"/>
        <v>0</v>
      </c>
      <c r="BX895" s="5">
        <f t="shared" si="689"/>
        <v>0</v>
      </c>
      <c r="BY895" s="5">
        <f t="shared" si="689"/>
        <v>0</v>
      </c>
      <c r="BZ895" s="5">
        <f t="shared" si="689"/>
        <v>0</v>
      </c>
      <c r="CA895" s="5">
        <f t="shared" si="689"/>
        <v>0</v>
      </c>
      <c r="CB895" s="5">
        <f t="shared" si="689"/>
        <v>0</v>
      </c>
      <c r="CC895" s="5">
        <f t="shared" si="689"/>
        <v>1</v>
      </c>
      <c r="CD895" s="5">
        <f t="shared" si="691"/>
        <v>0</v>
      </c>
      <c r="CE895" s="5">
        <f t="shared" si="691"/>
        <v>0</v>
      </c>
    </row>
    <row r="896" spans="1:83" x14ac:dyDescent="0.2">
      <c r="A896" s="11"/>
      <c r="B896" s="11"/>
      <c r="C896" s="1">
        <f>Growth!D901</f>
        <v>0.25</v>
      </c>
      <c r="D896" s="5" t="b">
        <f t="shared" si="659"/>
        <v>0</v>
      </c>
      <c r="E896" s="5">
        <v>2013</v>
      </c>
      <c r="F896" s="5">
        <f ca="1">LOOKUP($E896,frequence!$A$2:$A$35,frequence!L$2:L$35)</f>
        <v>46.610663652887361</v>
      </c>
      <c r="G896" s="5">
        <f ca="1">LOOKUP($E896,frequence!$A$2:$A$35,frequence!K$2:K$35)</f>
        <v>7.3617115683267258</v>
      </c>
      <c r="H896" s="5">
        <f ca="1">LOOKUP($E896,frequence!$A$2:$A$35,frequence!M$2:M$35)</f>
        <v>214.81113443396845</v>
      </c>
      <c r="I896" s="16">
        <v>2007</v>
      </c>
      <c r="J896" s="7">
        <f>LOOKUP(I896,CPI!A$69:A$103,CPI!O$69:O$103)</f>
        <v>1.0516730811895323</v>
      </c>
      <c r="K896" s="16">
        <v>2015</v>
      </c>
      <c r="L896" s="7">
        <f t="shared" ca="1" si="649"/>
        <v>1</v>
      </c>
      <c r="M896" s="7">
        <f t="shared" si="671"/>
        <v>1.575</v>
      </c>
      <c r="N896" s="14">
        <f>4/16</f>
        <v>0.25</v>
      </c>
      <c r="O896" s="1">
        <f ca="1">P896*J896*(1+Growth!G$6)^(2010-K896)</f>
        <v>500.8263828046384</v>
      </c>
      <c r="P896" s="11">
        <f>140*44/12</f>
        <v>513.33333333333337</v>
      </c>
      <c r="Q896" s="2">
        <f t="shared" si="692"/>
        <v>513.33333333333337</v>
      </c>
      <c r="R896" s="21">
        <f t="shared" ca="1" si="693"/>
        <v>250827.06571317819</v>
      </c>
      <c r="U896" s="11"/>
      <c r="V896" s="11"/>
      <c r="W896" s="11"/>
      <c r="X896" s="11"/>
      <c r="Y896" s="11"/>
      <c r="Z896" s="11"/>
      <c r="AA896" s="11"/>
      <c r="AB896" s="11"/>
      <c r="AC896" s="1">
        <f t="shared" si="694"/>
        <v>6.3</v>
      </c>
      <c r="AD896" s="5">
        <v>1</v>
      </c>
      <c r="AE896" s="5">
        <v>0</v>
      </c>
      <c r="AF896" s="5">
        <v>1</v>
      </c>
      <c r="AG896" s="5">
        <v>0</v>
      </c>
      <c r="AH896" s="5">
        <v>1</v>
      </c>
      <c r="AI896" s="3">
        <f t="shared" si="658"/>
        <v>3.3</v>
      </c>
      <c r="AJ896" s="5">
        <f t="shared" si="670"/>
        <v>0</v>
      </c>
      <c r="AK896" s="5">
        <f t="shared" si="652"/>
        <v>0</v>
      </c>
      <c r="AL896" s="5">
        <f t="shared" si="653"/>
        <v>1</v>
      </c>
      <c r="AM896" s="5">
        <f t="shared" si="672"/>
        <v>0</v>
      </c>
      <c r="AN896" s="5">
        <f t="shared" si="654"/>
        <v>0</v>
      </c>
      <c r="AO896" s="5">
        <f t="shared" si="673"/>
        <v>0</v>
      </c>
      <c r="AP896" s="11" t="s">
        <v>42</v>
      </c>
      <c r="AQ896" s="11">
        <v>1.5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1</v>
      </c>
      <c r="AY896" s="1">
        <f t="shared" si="695"/>
        <v>0</v>
      </c>
      <c r="AZ896" s="1">
        <f t="shared" si="696"/>
        <v>0</v>
      </c>
      <c r="BA896" s="1">
        <f t="shared" si="697"/>
        <v>0</v>
      </c>
      <c r="BB896" s="5">
        <v>0</v>
      </c>
      <c r="BC896" s="5">
        <v>0</v>
      </c>
      <c r="BD896" s="5">
        <v>0</v>
      </c>
      <c r="BE896" s="5">
        <f t="shared" si="698"/>
        <v>1</v>
      </c>
      <c r="BF896" s="5">
        <v>0</v>
      </c>
      <c r="BG896" s="5">
        <f t="shared" si="690"/>
        <v>0</v>
      </c>
      <c r="BH896" s="5">
        <f t="shared" si="690"/>
        <v>0</v>
      </c>
      <c r="BI896" s="5">
        <f t="shared" si="690"/>
        <v>0</v>
      </c>
      <c r="BJ896" s="5">
        <f t="shared" si="690"/>
        <v>0</v>
      </c>
      <c r="BK896" s="5">
        <f t="shared" si="690"/>
        <v>0</v>
      </c>
      <c r="BL896" s="5">
        <f t="shared" si="690"/>
        <v>0</v>
      </c>
      <c r="BM896" s="5">
        <f t="shared" si="690"/>
        <v>0</v>
      </c>
      <c r="BN896" s="5">
        <f t="shared" si="690"/>
        <v>0</v>
      </c>
      <c r="BO896" s="5">
        <f t="shared" si="689"/>
        <v>0</v>
      </c>
      <c r="BP896" s="5">
        <f t="shared" si="689"/>
        <v>0</v>
      </c>
      <c r="BQ896" s="5">
        <f t="shared" si="689"/>
        <v>0</v>
      </c>
      <c r="BR896" s="5">
        <f t="shared" si="689"/>
        <v>0</v>
      </c>
      <c r="BS896" s="5">
        <f t="shared" si="689"/>
        <v>0</v>
      </c>
      <c r="BT896" s="5">
        <f t="shared" si="689"/>
        <v>0</v>
      </c>
      <c r="BU896" s="5">
        <f t="shared" si="689"/>
        <v>0</v>
      </c>
      <c r="BV896" s="5">
        <f t="shared" si="689"/>
        <v>0</v>
      </c>
      <c r="BW896" s="5">
        <f t="shared" si="689"/>
        <v>0</v>
      </c>
      <c r="BX896" s="5">
        <f t="shared" si="689"/>
        <v>0</v>
      </c>
      <c r="BY896" s="5">
        <f t="shared" si="689"/>
        <v>0</v>
      </c>
      <c r="BZ896" s="5">
        <f t="shared" si="689"/>
        <v>0</v>
      </c>
      <c r="CA896" s="5">
        <f t="shared" si="689"/>
        <v>0</v>
      </c>
      <c r="CB896" s="5">
        <f t="shared" si="689"/>
        <v>0</v>
      </c>
      <c r="CC896" s="5">
        <f t="shared" si="689"/>
        <v>1</v>
      </c>
      <c r="CD896" s="5">
        <f t="shared" si="691"/>
        <v>0</v>
      </c>
      <c r="CE896" s="5">
        <f t="shared" si="691"/>
        <v>0</v>
      </c>
    </row>
    <row r="897" spans="1:83" x14ac:dyDescent="0.2">
      <c r="A897" s="11"/>
      <c r="B897" s="11"/>
      <c r="C897" s="1">
        <f>Growth!D902</f>
        <v>0.1875</v>
      </c>
      <c r="D897" s="5" t="b">
        <f t="shared" si="659"/>
        <v>0</v>
      </c>
      <c r="E897" s="5">
        <v>2013</v>
      </c>
      <c r="F897" s="5">
        <f ca="1">LOOKUP($E897,frequence!$A$2:$A$35,frequence!L$2:L$35)</f>
        <v>46.610663652887361</v>
      </c>
      <c r="G897" s="5">
        <f ca="1">LOOKUP($E897,frequence!$A$2:$A$35,frequence!K$2:K$35)</f>
        <v>7.3617115683267258</v>
      </c>
      <c r="H897" s="5">
        <f ca="1">LOOKUP($E897,frequence!$A$2:$A$35,frequence!M$2:M$35)</f>
        <v>214.81113443396845</v>
      </c>
      <c r="I897" s="16">
        <v>2007</v>
      </c>
      <c r="J897" s="7">
        <f>LOOKUP(I897,CPI!A$69:A$103,CPI!O$69:O$103)</f>
        <v>1.0516730811895323</v>
      </c>
      <c r="K897" s="16">
        <v>2015</v>
      </c>
      <c r="L897" s="7">
        <f t="shared" ca="1" si="649"/>
        <v>1</v>
      </c>
      <c r="M897" s="7">
        <f t="shared" si="671"/>
        <v>1.1812499999999999</v>
      </c>
      <c r="N897" s="14">
        <f>3/16</f>
        <v>0.1875</v>
      </c>
      <c r="O897" s="1">
        <f ca="1">P897*J897*(1+Growth!G$6)^(2010-K897)</f>
        <v>329.11448012876235</v>
      </c>
      <c r="P897" s="11">
        <f>92*44/12</f>
        <v>337.33333333333331</v>
      </c>
      <c r="Q897" s="2">
        <f t="shared" si="692"/>
        <v>337.33333333333331</v>
      </c>
      <c r="R897" s="21">
        <f t="shared" ca="1" si="693"/>
        <v>108316.34103042551</v>
      </c>
      <c r="U897" s="11"/>
      <c r="V897" s="11"/>
      <c r="W897" s="11"/>
      <c r="X897" s="11"/>
      <c r="Y897" s="11"/>
      <c r="Z897" s="11"/>
      <c r="AA897" s="11"/>
      <c r="AB897" s="11"/>
      <c r="AC897" s="1">
        <f t="shared" si="694"/>
        <v>6.3</v>
      </c>
      <c r="AD897" s="5">
        <v>1</v>
      </c>
      <c r="AE897" s="5">
        <v>0</v>
      </c>
      <c r="AF897" s="5">
        <v>1</v>
      </c>
      <c r="AG897" s="5">
        <v>0</v>
      </c>
      <c r="AH897" s="5">
        <v>1</v>
      </c>
      <c r="AI897" s="3">
        <f t="shared" si="658"/>
        <v>3.3</v>
      </c>
      <c r="AJ897" s="5">
        <f t="shared" si="670"/>
        <v>0</v>
      </c>
      <c r="AK897" s="5">
        <f t="shared" si="652"/>
        <v>0</v>
      </c>
      <c r="AL897" s="5">
        <f t="shared" si="653"/>
        <v>1</v>
      </c>
      <c r="AM897" s="5">
        <f t="shared" si="672"/>
        <v>0</v>
      </c>
      <c r="AN897" s="5">
        <f t="shared" si="654"/>
        <v>0</v>
      </c>
      <c r="AO897" s="5">
        <f t="shared" si="673"/>
        <v>0</v>
      </c>
      <c r="AP897" s="11" t="s">
        <v>42</v>
      </c>
      <c r="AQ897" s="11">
        <v>1.5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0</v>
      </c>
      <c r="AX897" s="5">
        <v>1</v>
      </c>
      <c r="AY897" s="1">
        <f t="shared" si="695"/>
        <v>0</v>
      </c>
      <c r="AZ897" s="1">
        <f t="shared" si="696"/>
        <v>0</v>
      </c>
      <c r="BA897" s="1">
        <f t="shared" si="697"/>
        <v>0</v>
      </c>
      <c r="BB897" s="5">
        <v>0</v>
      </c>
      <c r="BC897" s="5">
        <v>0</v>
      </c>
      <c r="BD897" s="5">
        <v>0</v>
      </c>
      <c r="BE897" s="5">
        <f t="shared" si="698"/>
        <v>1</v>
      </c>
      <c r="BF897" s="5">
        <v>0</v>
      </c>
      <c r="BG897" s="5">
        <f t="shared" si="690"/>
        <v>0</v>
      </c>
      <c r="BH897" s="5">
        <f t="shared" si="690"/>
        <v>0</v>
      </c>
      <c r="BI897" s="5">
        <f t="shared" si="690"/>
        <v>0</v>
      </c>
      <c r="BJ897" s="5">
        <f t="shared" si="690"/>
        <v>0</v>
      </c>
      <c r="BK897" s="5">
        <f t="shared" si="690"/>
        <v>0</v>
      </c>
      <c r="BL897" s="5">
        <f t="shared" si="690"/>
        <v>0</v>
      </c>
      <c r="BM897" s="5">
        <f t="shared" si="690"/>
        <v>0</v>
      </c>
      <c r="BN897" s="5">
        <f t="shared" si="690"/>
        <v>0</v>
      </c>
      <c r="BO897" s="5">
        <f t="shared" si="689"/>
        <v>0</v>
      </c>
      <c r="BP897" s="5">
        <f t="shared" si="689"/>
        <v>0</v>
      </c>
      <c r="BQ897" s="5">
        <f t="shared" si="689"/>
        <v>0</v>
      </c>
      <c r="BR897" s="5">
        <f t="shared" si="689"/>
        <v>0</v>
      </c>
      <c r="BS897" s="5">
        <f t="shared" si="689"/>
        <v>0</v>
      </c>
      <c r="BT897" s="5">
        <f t="shared" si="689"/>
        <v>0</v>
      </c>
      <c r="BU897" s="5">
        <f t="shared" si="689"/>
        <v>0</v>
      </c>
      <c r="BV897" s="5">
        <f t="shared" si="689"/>
        <v>0</v>
      </c>
      <c r="BW897" s="5">
        <f t="shared" si="689"/>
        <v>0</v>
      </c>
      <c r="BX897" s="5">
        <f t="shared" si="689"/>
        <v>0</v>
      </c>
      <c r="BY897" s="5">
        <f t="shared" si="689"/>
        <v>0</v>
      </c>
      <c r="BZ897" s="5">
        <f t="shared" si="689"/>
        <v>0</v>
      </c>
      <c r="CA897" s="5">
        <f t="shared" si="689"/>
        <v>0</v>
      </c>
      <c r="CB897" s="5">
        <f t="shared" si="689"/>
        <v>0</v>
      </c>
      <c r="CC897" s="5">
        <f t="shared" si="689"/>
        <v>1</v>
      </c>
      <c r="CD897" s="5">
        <f t="shared" si="691"/>
        <v>0</v>
      </c>
      <c r="CE897" s="5">
        <f t="shared" si="691"/>
        <v>0</v>
      </c>
    </row>
    <row r="898" spans="1:83" x14ac:dyDescent="0.2">
      <c r="A898" s="11"/>
      <c r="B898" s="11"/>
      <c r="C898" s="1">
        <f>Growth!D903</f>
        <v>0.125</v>
      </c>
      <c r="D898" s="5" t="b">
        <f t="shared" si="659"/>
        <v>0</v>
      </c>
      <c r="E898" s="5">
        <v>2013</v>
      </c>
      <c r="F898" s="5">
        <f ca="1">LOOKUP($E898,frequence!$A$2:$A$35,frequence!L$2:L$35)</f>
        <v>46.610663652887361</v>
      </c>
      <c r="G898" s="5">
        <f ca="1">LOOKUP($E898,frequence!$A$2:$A$35,frequence!K$2:K$35)</f>
        <v>7.3617115683267258</v>
      </c>
      <c r="H898" s="5">
        <f ca="1">LOOKUP($E898,frequence!$A$2:$A$35,frequence!M$2:M$35)</f>
        <v>214.81113443396845</v>
      </c>
      <c r="I898" s="16">
        <v>2007</v>
      </c>
      <c r="J898" s="7">
        <f>LOOKUP(I898,CPI!A$69:A$103,CPI!O$69:O$103)</f>
        <v>1.0516730811895323</v>
      </c>
      <c r="K898" s="16">
        <v>2015</v>
      </c>
      <c r="L898" s="7">
        <f t="shared" ca="1" si="649"/>
        <v>1</v>
      </c>
      <c r="M898" s="7">
        <f t="shared" si="671"/>
        <v>0.78749999999999998</v>
      </c>
      <c r="N898" s="14">
        <f>2/16</f>
        <v>0.125</v>
      </c>
      <c r="O898" s="1">
        <f ca="1">P898*J898*(1+Growth!G$6)^(2010-K898)</f>
        <v>160.97990875863374</v>
      </c>
      <c r="P898" s="11">
        <f>45*44/12</f>
        <v>165</v>
      </c>
      <c r="Q898" s="2">
        <f t="shared" si="692"/>
        <v>165</v>
      </c>
      <c r="R898" s="21">
        <f t="shared" ca="1" si="693"/>
        <v>25914.531023938045</v>
      </c>
      <c r="U898" s="11"/>
      <c r="V898" s="11"/>
      <c r="W898" s="11"/>
      <c r="X898" s="11"/>
      <c r="Y898" s="11"/>
      <c r="Z898" s="11"/>
      <c r="AA898" s="11"/>
      <c r="AB898" s="11"/>
      <c r="AC898" s="1">
        <f t="shared" si="694"/>
        <v>6.3</v>
      </c>
      <c r="AD898" s="5">
        <v>1</v>
      </c>
      <c r="AE898" s="5">
        <v>0</v>
      </c>
      <c r="AF898" s="5">
        <v>1</v>
      </c>
      <c r="AG898" s="5">
        <v>0</v>
      </c>
      <c r="AH898" s="5">
        <v>1</v>
      </c>
      <c r="AI898" s="3">
        <f t="shared" si="658"/>
        <v>3.3</v>
      </c>
      <c r="AJ898" s="5">
        <f t="shared" si="670"/>
        <v>0</v>
      </c>
      <c r="AK898" s="5">
        <f t="shared" si="652"/>
        <v>0</v>
      </c>
      <c r="AL898" s="5">
        <f t="shared" si="653"/>
        <v>1</v>
      </c>
      <c r="AM898" s="5">
        <f t="shared" si="672"/>
        <v>0</v>
      </c>
      <c r="AN898" s="5">
        <f t="shared" si="654"/>
        <v>0</v>
      </c>
      <c r="AO898" s="5">
        <f t="shared" si="673"/>
        <v>0</v>
      </c>
      <c r="AP898" s="11" t="s">
        <v>42</v>
      </c>
      <c r="AQ898" s="11">
        <v>1.5</v>
      </c>
      <c r="AR898" s="5">
        <v>0</v>
      </c>
      <c r="AS898" s="5">
        <v>0</v>
      </c>
      <c r="AT898" s="5">
        <v>0</v>
      </c>
      <c r="AU898" s="5">
        <v>0</v>
      </c>
      <c r="AV898" s="5">
        <v>0</v>
      </c>
      <c r="AW898" s="5">
        <v>0</v>
      </c>
      <c r="AX898" s="5">
        <v>1</v>
      </c>
      <c r="AY898" s="1">
        <f t="shared" si="695"/>
        <v>0</v>
      </c>
      <c r="AZ898" s="1">
        <f t="shared" si="696"/>
        <v>0</v>
      </c>
      <c r="BA898" s="1">
        <f t="shared" si="697"/>
        <v>0</v>
      </c>
      <c r="BB898" s="5">
        <v>0</v>
      </c>
      <c r="BC898" s="5">
        <v>0</v>
      </c>
      <c r="BD898" s="5">
        <v>0</v>
      </c>
      <c r="BE898" s="5">
        <f t="shared" si="698"/>
        <v>1</v>
      </c>
      <c r="BF898" s="5">
        <v>0</v>
      </c>
      <c r="BG898" s="5">
        <f t="shared" si="690"/>
        <v>0</v>
      </c>
      <c r="BH898" s="5">
        <f t="shared" si="690"/>
        <v>0</v>
      </c>
      <c r="BI898" s="5">
        <f t="shared" si="690"/>
        <v>0</v>
      </c>
      <c r="BJ898" s="5">
        <f t="shared" si="690"/>
        <v>0</v>
      </c>
      <c r="BK898" s="5">
        <f t="shared" si="690"/>
        <v>0</v>
      </c>
      <c r="BL898" s="5">
        <f t="shared" si="690"/>
        <v>0</v>
      </c>
      <c r="BM898" s="5">
        <f t="shared" si="690"/>
        <v>0</v>
      </c>
      <c r="BN898" s="5">
        <f t="shared" si="690"/>
        <v>0</v>
      </c>
      <c r="BO898" s="5">
        <f t="shared" si="689"/>
        <v>0</v>
      </c>
      <c r="BP898" s="5">
        <f t="shared" si="689"/>
        <v>0</v>
      </c>
      <c r="BQ898" s="5">
        <f t="shared" si="689"/>
        <v>0</v>
      </c>
      <c r="BR898" s="5">
        <f t="shared" si="689"/>
        <v>0</v>
      </c>
      <c r="BS898" s="5">
        <f t="shared" si="689"/>
        <v>0</v>
      </c>
      <c r="BT898" s="5">
        <f t="shared" si="689"/>
        <v>0</v>
      </c>
      <c r="BU898" s="5">
        <f t="shared" si="689"/>
        <v>0</v>
      </c>
      <c r="BV898" s="5">
        <f t="shared" si="689"/>
        <v>0</v>
      </c>
      <c r="BW898" s="5">
        <f t="shared" si="689"/>
        <v>0</v>
      </c>
      <c r="BX898" s="5">
        <f t="shared" si="689"/>
        <v>0</v>
      </c>
      <c r="BY898" s="5">
        <f t="shared" si="689"/>
        <v>0</v>
      </c>
      <c r="BZ898" s="5">
        <f t="shared" si="689"/>
        <v>0</v>
      </c>
      <c r="CA898" s="5">
        <f t="shared" si="689"/>
        <v>0</v>
      </c>
      <c r="CB898" s="5">
        <f t="shared" si="689"/>
        <v>0</v>
      </c>
      <c r="CC898" s="5">
        <f t="shared" si="689"/>
        <v>1</v>
      </c>
      <c r="CD898" s="5">
        <f t="shared" si="691"/>
        <v>0</v>
      </c>
      <c r="CE898" s="5">
        <f t="shared" si="691"/>
        <v>0</v>
      </c>
    </row>
    <row r="899" spans="1:83" x14ac:dyDescent="0.2">
      <c r="A899" s="11"/>
      <c r="B899" s="11"/>
      <c r="C899" s="1">
        <f>Growth!D904</f>
        <v>6.25E-2</v>
      </c>
      <c r="D899" s="5" t="b">
        <f t="shared" si="659"/>
        <v>0</v>
      </c>
      <c r="E899" s="5">
        <v>2013</v>
      </c>
      <c r="F899" s="5">
        <f ca="1">LOOKUP($E899,frequence!$A$2:$A$35,frequence!L$2:L$35)</f>
        <v>46.610663652887361</v>
      </c>
      <c r="G899" s="5">
        <f ca="1">LOOKUP($E899,frequence!$A$2:$A$35,frequence!K$2:K$35)</f>
        <v>7.3617115683267258</v>
      </c>
      <c r="H899" s="5">
        <f ca="1">LOOKUP($E899,frequence!$A$2:$A$35,frequence!M$2:M$35)</f>
        <v>214.81113443396845</v>
      </c>
      <c r="I899" s="16">
        <v>2007</v>
      </c>
      <c r="J899" s="7">
        <f>LOOKUP(I899,CPI!A$69:A$103,CPI!O$69:O$103)</f>
        <v>1.0516730811895323</v>
      </c>
      <c r="K899" s="16">
        <v>2015</v>
      </c>
      <c r="L899" s="7">
        <f t="shared" ca="1" si="649"/>
        <v>1</v>
      </c>
      <c r="M899" s="7">
        <f t="shared" si="671"/>
        <v>0.39374999999999999</v>
      </c>
      <c r="N899" s="14">
        <f>1/16</f>
        <v>6.25E-2</v>
      </c>
      <c r="O899" s="1">
        <f ca="1">P899*J899*(1+Growth!G$6)^(2010-K899)</f>
        <v>3.5773313057474168</v>
      </c>
      <c r="P899" s="11">
        <f>1*44/12</f>
        <v>3.6666666666666665</v>
      </c>
      <c r="Q899" s="2">
        <f t="shared" si="692"/>
        <v>3.6666666666666665</v>
      </c>
      <c r="R899" s="21">
        <f t="shared" ca="1" si="693"/>
        <v>12.797299271080517</v>
      </c>
      <c r="U899" s="11"/>
      <c r="V899" s="11"/>
      <c r="W899" s="11"/>
      <c r="X899" s="11"/>
      <c r="Y899" s="11"/>
      <c r="Z899" s="11"/>
      <c r="AA899" s="11"/>
      <c r="AB899" s="11"/>
      <c r="AC899" s="1">
        <f t="shared" si="694"/>
        <v>6.3</v>
      </c>
      <c r="AD899" s="5">
        <v>1</v>
      </c>
      <c r="AE899" s="5">
        <v>0</v>
      </c>
      <c r="AF899" s="5">
        <v>1</v>
      </c>
      <c r="AG899" s="5">
        <v>0</v>
      </c>
      <c r="AH899" s="5">
        <v>1</v>
      </c>
      <c r="AI899" s="3">
        <f t="shared" si="658"/>
        <v>3.3</v>
      </c>
      <c r="AJ899" s="5">
        <f t="shared" si="670"/>
        <v>0</v>
      </c>
      <c r="AK899" s="5">
        <f t="shared" si="652"/>
        <v>0</v>
      </c>
      <c r="AL899" s="5">
        <f t="shared" si="653"/>
        <v>1</v>
      </c>
      <c r="AM899" s="5">
        <f t="shared" si="672"/>
        <v>0</v>
      </c>
      <c r="AN899" s="5">
        <f t="shared" si="654"/>
        <v>0</v>
      </c>
      <c r="AO899" s="5">
        <f t="shared" si="673"/>
        <v>0</v>
      </c>
      <c r="AP899" s="11" t="s">
        <v>42</v>
      </c>
      <c r="AQ899" s="11">
        <v>1.5</v>
      </c>
      <c r="AR899" s="5">
        <v>0</v>
      </c>
      <c r="AS899" s="5">
        <v>0</v>
      </c>
      <c r="AT899" s="5">
        <v>0</v>
      </c>
      <c r="AU899" s="5">
        <v>0</v>
      </c>
      <c r="AV899" s="5">
        <v>0</v>
      </c>
      <c r="AW899" s="5">
        <v>0</v>
      </c>
      <c r="AX899" s="5">
        <v>1</v>
      </c>
      <c r="AY899" s="1">
        <f t="shared" si="695"/>
        <v>0</v>
      </c>
      <c r="AZ899" s="1">
        <f t="shared" si="696"/>
        <v>0</v>
      </c>
      <c r="BA899" s="1">
        <f t="shared" si="697"/>
        <v>0</v>
      </c>
      <c r="BB899" s="5">
        <v>0</v>
      </c>
      <c r="BC899" s="5">
        <v>0</v>
      </c>
      <c r="BD899" s="5">
        <v>0</v>
      </c>
      <c r="BE899" s="5">
        <f t="shared" si="698"/>
        <v>1</v>
      </c>
      <c r="BF899" s="5">
        <v>0</v>
      </c>
      <c r="BG899" s="5">
        <f t="shared" si="690"/>
        <v>0</v>
      </c>
      <c r="BH899" s="5">
        <f t="shared" si="690"/>
        <v>0</v>
      </c>
      <c r="BI899" s="5">
        <f t="shared" si="690"/>
        <v>0</v>
      </c>
      <c r="BJ899" s="5">
        <f t="shared" si="690"/>
        <v>0</v>
      </c>
      <c r="BK899" s="5">
        <f t="shared" si="690"/>
        <v>0</v>
      </c>
      <c r="BL899" s="5">
        <f t="shared" si="690"/>
        <v>0</v>
      </c>
      <c r="BM899" s="5">
        <f t="shared" si="690"/>
        <v>0</v>
      </c>
      <c r="BN899" s="5">
        <f t="shared" si="690"/>
        <v>0</v>
      </c>
      <c r="BO899" s="5">
        <f t="shared" si="689"/>
        <v>0</v>
      </c>
      <c r="BP899" s="5">
        <f t="shared" si="689"/>
        <v>0</v>
      </c>
      <c r="BQ899" s="5">
        <f t="shared" si="689"/>
        <v>0</v>
      </c>
      <c r="BR899" s="5">
        <f t="shared" si="689"/>
        <v>0</v>
      </c>
      <c r="BS899" s="5">
        <f t="shared" si="689"/>
        <v>0</v>
      </c>
      <c r="BT899" s="5">
        <f t="shared" si="689"/>
        <v>0</v>
      </c>
      <c r="BU899" s="5">
        <f t="shared" si="689"/>
        <v>0</v>
      </c>
      <c r="BV899" s="5">
        <f t="shared" si="689"/>
        <v>0</v>
      </c>
      <c r="BW899" s="5">
        <f t="shared" si="689"/>
        <v>0</v>
      </c>
      <c r="BX899" s="5">
        <f t="shared" si="689"/>
        <v>0</v>
      </c>
      <c r="BY899" s="5">
        <f t="shared" si="689"/>
        <v>0</v>
      </c>
      <c r="BZ899" s="5">
        <f t="shared" si="689"/>
        <v>0</v>
      </c>
      <c r="CA899" s="5">
        <f t="shared" si="689"/>
        <v>0</v>
      </c>
      <c r="CB899" s="5">
        <f t="shared" si="689"/>
        <v>0</v>
      </c>
      <c r="CC899" s="5">
        <f t="shared" si="689"/>
        <v>1</v>
      </c>
      <c r="CD899" s="5">
        <f t="shared" si="691"/>
        <v>0</v>
      </c>
      <c r="CE899" s="5">
        <f t="shared" si="691"/>
        <v>0</v>
      </c>
    </row>
    <row r="900" spans="1:83" x14ac:dyDescent="0.2">
      <c r="A900" s="11" t="s">
        <v>204</v>
      </c>
      <c r="B900" s="11" t="s">
        <v>197</v>
      </c>
      <c r="C900" s="1">
        <f>Growth!D905</f>
        <v>1.6393442622950821E-2</v>
      </c>
      <c r="D900" s="5">
        <f t="shared" si="659"/>
        <v>2015</v>
      </c>
      <c r="E900" s="5">
        <v>2015</v>
      </c>
      <c r="F900" s="5">
        <f ca="1">LOOKUP($E900,frequence!$A$2:$A$35,frequence!L$2:L$35)</f>
        <v>59.915964498406019</v>
      </c>
      <c r="G900" s="5">
        <f ca="1">LOOKUP($E900,frequence!$A$2:$A$35,frequence!K$2:K$35)</f>
        <v>12.697082100333608</v>
      </c>
      <c r="H900" s="5">
        <f ca="1">LOOKUP($E900,frequence!$A$2:$A$35,frequence!M$2:M$35)</f>
        <v>262.07305844619424</v>
      </c>
      <c r="I900" s="16">
        <v>2005</v>
      </c>
      <c r="J900" s="7">
        <f>LOOKUP(I900,CPI!A$69:A$103,CPI!O$69:O$103)</f>
        <v>1.1165181771633383</v>
      </c>
      <c r="K900" s="16">
        <v>2015</v>
      </c>
      <c r="L900" s="7">
        <f t="shared" ca="1" si="649"/>
        <v>1</v>
      </c>
      <c r="M900" s="7">
        <f t="shared" si="671"/>
        <v>0.10655737704918034</v>
      </c>
      <c r="N900" s="14">
        <f>1/61</f>
        <v>1.6393442622950821E-2</v>
      </c>
      <c r="O900" s="1">
        <f ca="1">P900*J900*(1+Growth!G$6)^(2010-K900)</f>
        <v>45.989188137515526</v>
      </c>
      <c r="P900" s="11">
        <v>44.4</v>
      </c>
      <c r="Q900" s="2">
        <f t="shared" ref="Q900:Q914" si="699">P900</f>
        <v>44.4</v>
      </c>
      <c r="R900" s="21">
        <f t="shared" ref="R900:R914" ca="1" si="700">O900*O900</f>
        <v>2115.0054255477989</v>
      </c>
      <c r="U900" s="11"/>
      <c r="V900" s="11"/>
      <c r="W900" s="11"/>
      <c r="X900" s="11"/>
      <c r="Y900" s="11"/>
      <c r="Z900" s="11"/>
      <c r="AA900" s="11"/>
      <c r="AB900" s="11"/>
      <c r="AC900" s="1">
        <f t="shared" ref="AC900:AC914" si="701">SUM(AD900:AI900)</f>
        <v>6.5</v>
      </c>
      <c r="AD900" s="5">
        <v>1</v>
      </c>
      <c r="AE900" s="5">
        <v>0</v>
      </c>
      <c r="AF900" s="5">
        <v>1</v>
      </c>
      <c r="AG900" s="5">
        <v>0</v>
      </c>
      <c r="AH900" s="5">
        <v>1</v>
      </c>
      <c r="AI900" s="3">
        <f t="shared" si="658"/>
        <v>3.5</v>
      </c>
      <c r="AJ900" s="5">
        <f t="shared" si="670"/>
        <v>0</v>
      </c>
      <c r="AK900" s="5">
        <f t="shared" si="652"/>
        <v>0</v>
      </c>
      <c r="AL900" s="5">
        <f t="shared" si="653"/>
        <v>1</v>
      </c>
      <c r="AM900" s="5">
        <f t="shared" si="672"/>
        <v>0</v>
      </c>
      <c r="AN900" s="5">
        <f t="shared" si="654"/>
        <v>0</v>
      </c>
      <c r="AO900" s="5">
        <f t="shared" si="673"/>
        <v>0</v>
      </c>
      <c r="AP900" s="11" t="s">
        <v>42</v>
      </c>
      <c r="AQ900" s="11">
        <v>1.5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1</v>
      </c>
      <c r="AY900" s="1">
        <f t="shared" ref="AY900:AY914" si="702">AJ900*$AD900*(1-$AV900)*(1-$AR900)</f>
        <v>0</v>
      </c>
      <c r="AZ900" s="1">
        <f t="shared" ref="AZ900:AZ914" si="703">AM900*$AD900*(1-$AV900)*(1-$AR900)</f>
        <v>0</v>
      </c>
      <c r="BA900" s="1">
        <f t="shared" ref="BA900:BA914" si="704">AO900*$AD900*(1-$AV900)*(1-$AR900)</f>
        <v>0</v>
      </c>
      <c r="BB900" s="5">
        <v>0</v>
      </c>
      <c r="BC900" s="5">
        <v>0</v>
      </c>
      <c r="BD900" s="5">
        <v>0</v>
      </c>
      <c r="BE900" s="5">
        <f t="shared" ref="BE900:BE914" si="705">1-SUM(BB900:BD900)</f>
        <v>1</v>
      </c>
      <c r="BF900" s="5">
        <v>1</v>
      </c>
      <c r="BG900" s="5">
        <f t="shared" si="690"/>
        <v>0</v>
      </c>
      <c r="BH900" s="5">
        <f t="shared" si="690"/>
        <v>0</v>
      </c>
      <c r="BI900" s="5">
        <f t="shared" si="690"/>
        <v>0</v>
      </c>
      <c r="BJ900" s="5">
        <f t="shared" si="690"/>
        <v>0</v>
      </c>
      <c r="BK900" s="5">
        <f t="shared" si="690"/>
        <v>0</v>
      </c>
      <c r="BL900" s="5">
        <f t="shared" si="690"/>
        <v>0</v>
      </c>
      <c r="BM900" s="5">
        <f t="shared" si="690"/>
        <v>0</v>
      </c>
      <c r="BN900" s="5">
        <f t="shared" ref="BN900:CB915" si="706">IF($E900=BN$2,1,0)</f>
        <v>0</v>
      </c>
      <c r="BO900" s="5">
        <f t="shared" si="706"/>
        <v>0</v>
      </c>
      <c r="BP900" s="5">
        <f t="shared" si="706"/>
        <v>0</v>
      </c>
      <c r="BQ900" s="5">
        <f t="shared" si="706"/>
        <v>0</v>
      </c>
      <c r="BR900" s="5">
        <f t="shared" si="706"/>
        <v>0</v>
      </c>
      <c r="BS900" s="5">
        <f t="shared" si="706"/>
        <v>0</v>
      </c>
      <c r="BT900" s="5">
        <f t="shared" si="706"/>
        <v>0</v>
      </c>
      <c r="BU900" s="5">
        <f t="shared" si="706"/>
        <v>0</v>
      </c>
      <c r="BV900" s="5">
        <f t="shared" si="706"/>
        <v>0</v>
      </c>
      <c r="BW900" s="5">
        <f t="shared" si="706"/>
        <v>0</v>
      </c>
      <c r="BX900" s="5">
        <f t="shared" si="706"/>
        <v>0</v>
      </c>
      <c r="BY900" s="5">
        <f t="shared" si="706"/>
        <v>0</v>
      </c>
      <c r="BZ900" s="5">
        <f t="shared" si="706"/>
        <v>0</v>
      </c>
      <c r="CA900" s="5">
        <f t="shared" si="706"/>
        <v>0</v>
      </c>
      <c r="CB900" s="5">
        <f t="shared" si="706"/>
        <v>0</v>
      </c>
      <c r="CC900" s="5">
        <f t="shared" ref="CC900:CE919" si="707">IF($E900=CC$2,1,0)</f>
        <v>0</v>
      </c>
      <c r="CD900" s="5">
        <f t="shared" si="691"/>
        <v>0</v>
      </c>
      <c r="CE900" s="5">
        <f t="shared" si="691"/>
        <v>1</v>
      </c>
    </row>
    <row r="901" spans="1:83" x14ac:dyDescent="0.2">
      <c r="A901" s="11"/>
      <c r="B901" s="11"/>
      <c r="C901" s="1">
        <f>Growth!D906</f>
        <v>3.2786885245901641E-2</v>
      </c>
      <c r="D901" s="5" t="b">
        <f t="shared" si="659"/>
        <v>0</v>
      </c>
      <c r="E901" s="5">
        <v>2015</v>
      </c>
      <c r="F901" s="5">
        <f ca="1">LOOKUP($E901,frequence!$A$2:$A$35,frequence!L$2:L$35)</f>
        <v>59.915964498406019</v>
      </c>
      <c r="G901" s="5">
        <f ca="1">LOOKUP($E901,frequence!$A$2:$A$35,frequence!K$2:K$35)</f>
        <v>12.697082100333608</v>
      </c>
      <c r="H901" s="5">
        <f ca="1">LOOKUP($E901,frequence!$A$2:$A$35,frequence!M$2:M$35)</f>
        <v>262.07305844619424</v>
      </c>
      <c r="I901" s="16">
        <v>2005</v>
      </c>
      <c r="J901" s="7">
        <f>LOOKUP(I901,CPI!A$69:A$103,CPI!O$69:O$103)</f>
        <v>1.1165181771633383</v>
      </c>
      <c r="K901" s="16">
        <v>2015</v>
      </c>
      <c r="L901" s="7">
        <f t="shared" ref="L901:L964" ca="1" si="708">IF(O901&lt;L$1,1,IF(O901&gt;L$2,0,1-(O901-L$1)/(L$2-L$1)))</f>
        <v>1</v>
      </c>
      <c r="M901" s="7">
        <f t="shared" si="671"/>
        <v>0.21311475409836067</v>
      </c>
      <c r="N901" s="14">
        <f>2/61</f>
        <v>3.2786885245901641E-2</v>
      </c>
      <c r="O901" s="1">
        <f ca="1">P901*J901*(1+Growth!G$6)^(2010-K901)</f>
        <v>78.720231947098654</v>
      </c>
      <c r="P901" s="11">
        <v>76</v>
      </c>
      <c r="Q901" s="2">
        <f t="shared" si="699"/>
        <v>76</v>
      </c>
      <c r="R901" s="21">
        <f t="shared" ca="1" si="700"/>
        <v>6196.8749178050111</v>
      </c>
      <c r="U901" s="11"/>
      <c r="V901" s="11"/>
      <c r="W901" s="11"/>
      <c r="X901" s="11"/>
      <c r="Y901" s="11"/>
      <c r="Z901" s="11"/>
      <c r="AA901" s="11"/>
      <c r="AB901" s="11"/>
      <c r="AC901" s="1">
        <f t="shared" si="701"/>
        <v>6.5</v>
      </c>
      <c r="AD901" s="5">
        <v>1</v>
      </c>
      <c r="AE901" s="5">
        <v>0</v>
      </c>
      <c r="AF901" s="5">
        <v>1</v>
      </c>
      <c r="AG901" s="5">
        <v>0</v>
      </c>
      <c r="AH901" s="5">
        <v>1</v>
      </c>
      <c r="AI901" s="3">
        <f t="shared" si="658"/>
        <v>3.5</v>
      </c>
      <c r="AJ901" s="5">
        <f t="shared" si="670"/>
        <v>0</v>
      </c>
      <c r="AK901" s="5">
        <f t="shared" ref="AK901:AK964" si="709">IF($AQ901=2,1,0)</f>
        <v>0</v>
      </c>
      <c r="AL901" s="5">
        <f t="shared" ref="AL901:AL964" si="710">IF($AQ901=1.5,1,0)</f>
        <v>1</v>
      </c>
      <c r="AM901" s="5">
        <f t="shared" si="672"/>
        <v>0</v>
      </c>
      <c r="AN901" s="5">
        <f t="shared" ref="AN901:AN964" si="711">IF($AQ901=0.1,1,0)</f>
        <v>0</v>
      </c>
      <c r="AO901" s="5">
        <f t="shared" si="673"/>
        <v>0</v>
      </c>
      <c r="AP901" s="11" t="s">
        <v>42</v>
      </c>
      <c r="AQ901" s="11">
        <v>1.5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1</v>
      </c>
      <c r="AY901" s="1">
        <f t="shared" si="702"/>
        <v>0</v>
      </c>
      <c r="AZ901" s="1">
        <f t="shared" si="703"/>
        <v>0</v>
      </c>
      <c r="BA901" s="1">
        <f t="shared" si="704"/>
        <v>0</v>
      </c>
      <c r="BB901" s="5">
        <v>0</v>
      </c>
      <c r="BC901" s="5">
        <v>0</v>
      </c>
      <c r="BD901" s="5">
        <v>0</v>
      </c>
      <c r="BE901" s="5">
        <f t="shared" si="705"/>
        <v>1</v>
      </c>
      <c r="BF901" s="5">
        <v>1</v>
      </c>
      <c r="BG901" s="5">
        <f t="shared" ref="BG901:BN916" si="712">IF($E901=BG$2,1,0)</f>
        <v>0</v>
      </c>
      <c r="BH901" s="5">
        <f t="shared" si="712"/>
        <v>0</v>
      </c>
      <c r="BI901" s="5">
        <f t="shared" si="712"/>
        <v>0</v>
      </c>
      <c r="BJ901" s="5">
        <f t="shared" si="712"/>
        <v>0</v>
      </c>
      <c r="BK901" s="5">
        <f t="shared" si="712"/>
        <v>0</v>
      </c>
      <c r="BL901" s="5">
        <f t="shared" si="712"/>
        <v>0</v>
      </c>
      <c r="BM901" s="5">
        <f t="shared" si="712"/>
        <v>0</v>
      </c>
      <c r="BN901" s="5">
        <f t="shared" si="706"/>
        <v>0</v>
      </c>
      <c r="BO901" s="5">
        <f t="shared" si="706"/>
        <v>0</v>
      </c>
      <c r="BP901" s="5">
        <f t="shared" si="706"/>
        <v>0</v>
      </c>
      <c r="BQ901" s="5">
        <f t="shared" si="706"/>
        <v>0</v>
      </c>
      <c r="BR901" s="5">
        <f t="shared" si="706"/>
        <v>0</v>
      </c>
      <c r="BS901" s="5">
        <f t="shared" si="706"/>
        <v>0</v>
      </c>
      <c r="BT901" s="5">
        <f t="shared" si="706"/>
        <v>0</v>
      </c>
      <c r="BU901" s="5">
        <f t="shared" si="706"/>
        <v>0</v>
      </c>
      <c r="BV901" s="5">
        <f t="shared" si="706"/>
        <v>0</v>
      </c>
      <c r="BW901" s="5">
        <f t="shared" si="706"/>
        <v>0</v>
      </c>
      <c r="BX901" s="5">
        <f t="shared" si="706"/>
        <v>0</v>
      </c>
      <c r="BY901" s="5">
        <f t="shared" si="706"/>
        <v>0</v>
      </c>
      <c r="BZ901" s="5">
        <f t="shared" si="706"/>
        <v>0</v>
      </c>
      <c r="CA901" s="5">
        <f t="shared" si="706"/>
        <v>0</v>
      </c>
      <c r="CB901" s="5">
        <f t="shared" si="706"/>
        <v>0</v>
      </c>
      <c r="CC901" s="5">
        <f t="shared" si="707"/>
        <v>0</v>
      </c>
      <c r="CD901" s="5">
        <f t="shared" si="691"/>
        <v>0</v>
      </c>
      <c r="CE901" s="5">
        <f t="shared" si="691"/>
        <v>1</v>
      </c>
    </row>
    <row r="902" spans="1:83" x14ac:dyDescent="0.2">
      <c r="A902" s="11"/>
      <c r="B902" s="11"/>
      <c r="C902" s="1">
        <f>Growth!D907</f>
        <v>3.2786885245901641E-2</v>
      </c>
      <c r="D902" s="5" t="b">
        <f t="shared" si="659"/>
        <v>0</v>
      </c>
      <c r="E902" s="5">
        <v>2015</v>
      </c>
      <c r="F902" s="5">
        <f ca="1">LOOKUP($E902,frequence!$A$2:$A$35,frequence!L$2:L$35)</f>
        <v>59.915964498406019</v>
      </c>
      <c r="G902" s="5">
        <f ca="1">LOOKUP($E902,frequence!$A$2:$A$35,frequence!K$2:K$35)</f>
        <v>12.697082100333608</v>
      </c>
      <c r="H902" s="5">
        <f ca="1">LOOKUP($E902,frequence!$A$2:$A$35,frequence!M$2:M$35)</f>
        <v>262.07305844619424</v>
      </c>
      <c r="I902" s="16">
        <v>2005</v>
      </c>
      <c r="J902" s="7">
        <f>LOOKUP(I902,CPI!A$69:A$103,CPI!O$69:O$103)</f>
        <v>1.1165181771633383</v>
      </c>
      <c r="K902" s="16">
        <v>2015</v>
      </c>
      <c r="L902" s="7">
        <f t="shared" ca="1" si="708"/>
        <v>1</v>
      </c>
      <c r="M902" s="7">
        <f t="shared" si="671"/>
        <v>0.21311475409836067</v>
      </c>
      <c r="N902" s="14">
        <f>2/61</f>
        <v>3.2786885245901641E-2</v>
      </c>
      <c r="O902" s="1">
        <f ca="1">P902*J902*(1+Growth!G$6)^(2010-K902)</f>
        <v>94.257119831394448</v>
      </c>
      <c r="P902" s="11">
        <v>91</v>
      </c>
      <c r="Q902" s="2">
        <f t="shared" si="699"/>
        <v>91</v>
      </c>
      <c r="R902" s="21">
        <f t="shared" ca="1" si="700"/>
        <v>8884.404638909853</v>
      </c>
      <c r="U902" s="11"/>
      <c r="V902" s="11"/>
      <c r="W902" s="11"/>
      <c r="X902" s="11"/>
      <c r="Y902" s="11"/>
      <c r="Z902" s="11"/>
      <c r="AA902" s="11"/>
      <c r="AB902" s="11"/>
      <c r="AC902" s="1">
        <f t="shared" si="701"/>
        <v>6.5</v>
      </c>
      <c r="AD902" s="5">
        <v>1</v>
      </c>
      <c r="AE902" s="5">
        <v>0</v>
      </c>
      <c r="AF902" s="5">
        <v>1</v>
      </c>
      <c r="AG902" s="5">
        <v>0</v>
      </c>
      <c r="AH902" s="5">
        <v>1</v>
      </c>
      <c r="AI902" s="3">
        <f t="shared" si="658"/>
        <v>3.5</v>
      </c>
      <c r="AJ902" s="5">
        <f t="shared" si="670"/>
        <v>0</v>
      </c>
      <c r="AK902" s="5">
        <f t="shared" si="709"/>
        <v>0</v>
      </c>
      <c r="AL902" s="5">
        <f t="shared" si="710"/>
        <v>1</v>
      </c>
      <c r="AM902" s="5">
        <f t="shared" si="672"/>
        <v>0</v>
      </c>
      <c r="AN902" s="5">
        <f t="shared" si="711"/>
        <v>0</v>
      </c>
      <c r="AO902" s="5">
        <f t="shared" si="673"/>
        <v>0</v>
      </c>
      <c r="AP902" s="11" t="s">
        <v>42</v>
      </c>
      <c r="AQ902" s="11">
        <v>1.5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1</v>
      </c>
      <c r="AY902" s="1">
        <f t="shared" si="702"/>
        <v>0</v>
      </c>
      <c r="AZ902" s="1">
        <f t="shared" si="703"/>
        <v>0</v>
      </c>
      <c r="BA902" s="1">
        <f t="shared" si="704"/>
        <v>0</v>
      </c>
      <c r="BB902" s="5">
        <v>0</v>
      </c>
      <c r="BC902" s="5">
        <v>0</v>
      </c>
      <c r="BD902" s="5">
        <v>0</v>
      </c>
      <c r="BE902" s="5">
        <f t="shared" si="705"/>
        <v>1</v>
      </c>
      <c r="BF902" s="5">
        <v>1</v>
      </c>
      <c r="BG902" s="5">
        <f t="shared" si="712"/>
        <v>0</v>
      </c>
      <c r="BH902" s="5">
        <f t="shared" si="712"/>
        <v>0</v>
      </c>
      <c r="BI902" s="5">
        <f t="shared" si="712"/>
        <v>0</v>
      </c>
      <c r="BJ902" s="5">
        <f t="shared" si="712"/>
        <v>0</v>
      </c>
      <c r="BK902" s="5">
        <f t="shared" si="712"/>
        <v>0</v>
      </c>
      <c r="BL902" s="5">
        <f t="shared" si="712"/>
        <v>0</v>
      </c>
      <c r="BM902" s="5">
        <f t="shared" si="712"/>
        <v>0</v>
      </c>
      <c r="BN902" s="5">
        <f t="shared" si="706"/>
        <v>0</v>
      </c>
      <c r="BO902" s="5">
        <f t="shared" si="706"/>
        <v>0</v>
      </c>
      <c r="BP902" s="5">
        <f t="shared" si="706"/>
        <v>0</v>
      </c>
      <c r="BQ902" s="5">
        <f t="shared" si="706"/>
        <v>0</v>
      </c>
      <c r="BR902" s="5">
        <f t="shared" si="706"/>
        <v>0</v>
      </c>
      <c r="BS902" s="5">
        <f t="shared" si="706"/>
        <v>0</v>
      </c>
      <c r="BT902" s="5">
        <f t="shared" si="706"/>
        <v>0</v>
      </c>
      <c r="BU902" s="5">
        <f t="shared" si="706"/>
        <v>0</v>
      </c>
      <c r="BV902" s="5">
        <f t="shared" si="706"/>
        <v>0</v>
      </c>
      <c r="BW902" s="5">
        <f t="shared" si="706"/>
        <v>0</v>
      </c>
      <c r="BX902" s="5">
        <f t="shared" si="706"/>
        <v>0</v>
      </c>
      <c r="BY902" s="5">
        <f t="shared" si="706"/>
        <v>0</v>
      </c>
      <c r="BZ902" s="5">
        <f t="shared" si="706"/>
        <v>0</v>
      </c>
      <c r="CA902" s="5">
        <f t="shared" si="706"/>
        <v>0</v>
      </c>
      <c r="CB902" s="5">
        <f t="shared" si="706"/>
        <v>0</v>
      </c>
      <c r="CC902" s="5">
        <f t="shared" si="707"/>
        <v>0</v>
      </c>
      <c r="CD902" s="5">
        <f t="shared" si="691"/>
        <v>0</v>
      </c>
      <c r="CE902" s="5">
        <f t="shared" si="691"/>
        <v>1</v>
      </c>
    </row>
    <row r="903" spans="1:83" x14ac:dyDescent="0.2">
      <c r="A903" s="11"/>
      <c r="B903" s="11"/>
      <c r="C903" s="1">
        <f>Growth!D908</f>
        <v>3.2786885245901641E-2</v>
      </c>
      <c r="D903" s="5" t="b">
        <f t="shared" si="659"/>
        <v>0</v>
      </c>
      <c r="E903" s="5">
        <v>2015</v>
      </c>
      <c r="F903" s="5">
        <f ca="1">LOOKUP($E903,frequence!$A$2:$A$35,frequence!L$2:L$35)</f>
        <v>59.915964498406019</v>
      </c>
      <c r="G903" s="5">
        <f ca="1">LOOKUP($E903,frequence!$A$2:$A$35,frequence!K$2:K$35)</f>
        <v>12.697082100333608</v>
      </c>
      <c r="H903" s="5">
        <f ca="1">LOOKUP($E903,frequence!$A$2:$A$35,frequence!M$2:M$35)</f>
        <v>262.07305844619424</v>
      </c>
      <c r="I903" s="16">
        <v>2005</v>
      </c>
      <c r="J903" s="7">
        <f>LOOKUP(I903,CPI!A$69:A$103,CPI!O$69:O$103)</f>
        <v>1.1165181771633383</v>
      </c>
      <c r="K903" s="16">
        <v>2015</v>
      </c>
      <c r="L903" s="7">
        <f t="shared" ca="1" si="708"/>
        <v>1</v>
      </c>
      <c r="M903" s="7">
        <f t="shared" si="671"/>
        <v>0.21311475409836067</v>
      </c>
      <c r="N903" s="14">
        <f>2/61</f>
        <v>3.2786885245901641E-2</v>
      </c>
      <c r="O903" s="1">
        <f ca="1">P903*J903*(1+Growth!G$6)^(2010-K903)</f>
        <v>203.01533502146492</v>
      </c>
      <c r="P903" s="11">
        <v>196</v>
      </c>
      <c r="Q903" s="2">
        <f t="shared" si="699"/>
        <v>196</v>
      </c>
      <c r="R903" s="21">
        <f t="shared" ca="1" si="700"/>
        <v>41215.226253877641</v>
      </c>
      <c r="U903" s="11"/>
      <c r="V903" s="11"/>
      <c r="W903" s="11"/>
      <c r="X903" s="11"/>
      <c r="Y903" s="11"/>
      <c r="Z903" s="11"/>
      <c r="AA903" s="11"/>
      <c r="AB903" s="11"/>
      <c r="AC903" s="1">
        <f t="shared" si="701"/>
        <v>6.5</v>
      </c>
      <c r="AD903" s="5">
        <v>1</v>
      </c>
      <c r="AE903" s="5">
        <v>0</v>
      </c>
      <c r="AF903" s="5">
        <v>1</v>
      </c>
      <c r="AG903" s="5">
        <v>0</v>
      </c>
      <c r="AH903" s="5">
        <v>1</v>
      </c>
      <c r="AI903" s="3">
        <f t="shared" si="658"/>
        <v>3.5</v>
      </c>
      <c r="AJ903" s="5">
        <f t="shared" si="670"/>
        <v>0</v>
      </c>
      <c r="AK903" s="5">
        <f t="shared" si="709"/>
        <v>0</v>
      </c>
      <c r="AL903" s="5">
        <f t="shared" si="710"/>
        <v>1</v>
      </c>
      <c r="AM903" s="5">
        <f t="shared" si="672"/>
        <v>0</v>
      </c>
      <c r="AN903" s="5">
        <f t="shared" si="711"/>
        <v>0</v>
      </c>
      <c r="AO903" s="5">
        <f t="shared" si="673"/>
        <v>0</v>
      </c>
      <c r="AP903" s="11" t="s">
        <v>42</v>
      </c>
      <c r="AQ903" s="11">
        <v>1.5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1</v>
      </c>
      <c r="AY903" s="1">
        <f t="shared" si="702"/>
        <v>0</v>
      </c>
      <c r="AZ903" s="1">
        <f t="shared" si="703"/>
        <v>0</v>
      </c>
      <c r="BA903" s="1">
        <f t="shared" si="704"/>
        <v>0</v>
      </c>
      <c r="BB903" s="5">
        <v>0</v>
      </c>
      <c r="BC903" s="5">
        <v>0</v>
      </c>
      <c r="BD903" s="5">
        <v>0</v>
      </c>
      <c r="BE903" s="5">
        <f t="shared" si="705"/>
        <v>1</v>
      </c>
      <c r="BF903" s="5">
        <v>1</v>
      </c>
      <c r="BG903" s="5">
        <f t="shared" si="712"/>
        <v>0</v>
      </c>
      <c r="BH903" s="5">
        <f t="shared" si="712"/>
        <v>0</v>
      </c>
      <c r="BI903" s="5">
        <f t="shared" si="712"/>
        <v>0</v>
      </c>
      <c r="BJ903" s="5">
        <f t="shared" si="712"/>
        <v>0</v>
      </c>
      <c r="BK903" s="5">
        <f t="shared" si="712"/>
        <v>0</v>
      </c>
      <c r="BL903" s="5">
        <f t="shared" si="712"/>
        <v>0</v>
      </c>
      <c r="BM903" s="5">
        <f t="shared" si="712"/>
        <v>0</v>
      </c>
      <c r="BN903" s="5">
        <f t="shared" si="706"/>
        <v>0</v>
      </c>
      <c r="BO903" s="5">
        <f t="shared" si="706"/>
        <v>0</v>
      </c>
      <c r="BP903" s="5">
        <f t="shared" si="706"/>
        <v>0</v>
      </c>
      <c r="BQ903" s="5">
        <f t="shared" si="706"/>
        <v>0</v>
      </c>
      <c r="BR903" s="5">
        <f t="shared" si="706"/>
        <v>0</v>
      </c>
      <c r="BS903" s="5">
        <f t="shared" si="706"/>
        <v>0</v>
      </c>
      <c r="BT903" s="5">
        <f t="shared" si="706"/>
        <v>0</v>
      </c>
      <c r="BU903" s="5">
        <f t="shared" si="706"/>
        <v>0</v>
      </c>
      <c r="BV903" s="5">
        <f t="shared" si="706"/>
        <v>0</v>
      </c>
      <c r="BW903" s="5">
        <f t="shared" si="706"/>
        <v>0</v>
      </c>
      <c r="BX903" s="5">
        <f t="shared" si="706"/>
        <v>0</v>
      </c>
      <c r="BY903" s="5">
        <f t="shared" si="706"/>
        <v>0</v>
      </c>
      <c r="BZ903" s="5">
        <f t="shared" si="706"/>
        <v>0</v>
      </c>
      <c r="CA903" s="5">
        <f t="shared" si="706"/>
        <v>0</v>
      </c>
      <c r="CB903" s="5">
        <f t="shared" si="706"/>
        <v>0</v>
      </c>
      <c r="CC903" s="5">
        <f t="shared" si="707"/>
        <v>0</v>
      </c>
      <c r="CD903" s="5">
        <f t="shared" si="691"/>
        <v>0</v>
      </c>
      <c r="CE903" s="5">
        <f t="shared" si="691"/>
        <v>1</v>
      </c>
    </row>
    <row r="904" spans="1:83" x14ac:dyDescent="0.2">
      <c r="A904" s="11"/>
      <c r="B904" s="11"/>
      <c r="C904" s="1">
        <f>Growth!D909</f>
        <v>3.2786885245901641E-2</v>
      </c>
      <c r="D904" s="5" t="b">
        <f t="shared" si="659"/>
        <v>0</v>
      </c>
      <c r="E904" s="5">
        <v>2015</v>
      </c>
      <c r="F904" s="5">
        <f ca="1">LOOKUP($E904,frequence!$A$2:$A$35,frequence!L$2:L$35)</f>
        <v>59.915964498406019</v>
      </c>
      <c r="G904" s="5">
        <f ca="1">LOOKUP($E904,frequence!$A$2:$A$35,frequence!K$2:K$35)</f>
        <v>12.697082100333608</v>
      </c>
      <c r="H904" s="5">
        <f ca="1">LOOKUP($E904,frequence!$A$2:$A$35,frequence!M$2:M$35)</f>
        <v>262.07305844619424</v>
      </c>
      <c r="I904" s="16">
        <v>2005</v>
      </c>
      <c r="J904" s="7">
        <f>LOOKUP(I904,CPI!A$69:A$103,CPI!O$69:O$103)</f>
        <v>1.1165181771633383</v>
      </c>
      <c r="K904" s="16">
        <v>2015</v>
      </c>
      <c r="L904" s="7">
        <f t="shared" ca="1" si="708"/>
        <v>1</v>
      </c>
      <c r="M904" s="7">
        <f t="shared" si="671"/>
        <v>0.21311475409836067</v>
      </c>
      <c r="N904" s="14">
        <f>2/61</f>
        <v>3.2786885245901641E-2</v>
      </c>
      <c r="O904" s="1">
        <f ca="1">P904*J904*(1+Growth!G$6)^(2010-K904)</f>
        <v>184.37106956030999</v>
      </c>
      <c r="P904" s="11">
        <v>178</v>
      </c>
      <c r="Q904" s="2">
        <f t="shared" si="699"/>
        <v>178</v>
      </c>
      <c r="R904" s="21">
        <f t="shared" ca="1" si="700"/>
        <v>33992.691290812669</v>
      </c>
      <c r="U904" s="11"/>
      <c r="V904" s="11"/>
      <c r="W904" s="11"/>
      <c r="X904" s="11"/>
      <c r="Y904" s="11"/>
      <c r="Z904" s="11"/>
      <c r="AA904" s="11"/>
      <c r="AB904" s="11"/>
      <c r="AC904" s="1">
        <f t="shared" si="701"/>
        <v>6.5</v>
      </c>
      <c r="AD904" s="5">
        <v>1</v>
      </c>
      <c r="AE904" s="5">
        <v>0</v>
      </c>
      <c r="AF904" s="5">
        <v>1</v>
      </c>
      <c r="AG904" s="5">
        <v>0</v>
      </c>
      <c r="AH904" s="5">
        <v>1</v>
      </c>
      <c r="AI904" s="3">
        <f t="shared" si="658"/>
        <v>3.5</v>
      </c>
      <c r="AJ904" s="5">
        <f t="shared" si="670"/>
        <v>0</v>
      </c>
      <c r="AK904" s="5">
        <f t="shared" si="709"/>
        <v>0</v>
      </c>
      <c r="AL904" s="5">
        <f t="shared" si="710"/>
        <v>1</v>
      </c>
      <c r="AM904" s="5">
        <f t="shared" si="672"/>
        <v>0</v>
      </c>
      <c r="AN904" s="5">
        <f t="shared" si="711"/>
        <v>0</v>
      </c>
      <c r="AO904" s="5">
        <f t="shared" si="673"/>
        <v>0</v>
      </c>
      <c r="AP904" s="11" t="s">
        <v>42</v>
      </c>
      <c r="AQ904" s="11">
        <v>1.5</v>
      </c>
      <c r="AR904" s="5">
        <v>0</v>
      </c>
      <c r="AS904" s="5">
        <v>0</v>
      </c>
      <c r="AT904" s="5">
        <v>0</v>
      </c>
      <c r="AU904" s="5">
        <v>0</v>
      </c>
      <c r="AV904" s="5">
        <v>0</v>
      </c>
      <c r="AW904" s="5">
        <v>0</v>
      </c>
      <c r="AX904" s="5">
        <v>1</v>
      </c>
      <c r="AY904" s="1">
        <f t="shared" si="702"/>
        <v>0</v>
      </c>
      <c r="AZ904" s="1">
        <f t="shared" si="703"/>
        <v>0</v>
      </c>
      <c r="BA904" s="1">
        <f t="shared" si="704"/>
        <v>0</v>
      </c>
      <c r="BB904" s="5">
        <v>0</v>
      </c>
      <c r="BC904" s="5">
        <v>0</v>
      </c>
      <c r="BD904" s="5">
        <v>0</v>
      </c>
      <c r="BE904" s="5">
        <f t="shared" si="705"/>
        <v>1</v>
      </c>
      <c r="BF904" s="5">
        <v>1</v>
      </c>
      <c r="BG904" s="5">
        <f t="shared" si="712"/>
        <v>0</v>
      </c>
      <c r="BH904" s="5">
        <f t="shared" si="712"/>
        <v>0</v>
      </c>
      <c r="BI904" s="5">
        <f t="shared" si="712"/>
        <v>0</v>
      </c>
      <c r="BJ904" s="5">
        <f t="shared" si="712"/>
        <v>0</v>
      </c>
      <c r="BK904" s="5">
        <f t="shared" si="712"/>
        <v>0</v>
      </c>
      <c r="BL904" s="5">
        <f t="shared" si="712"/>
        <v>0</v>
      </c>
      <c r="BM904" s="5">
        <f t="shared" si="712"/>
        <v>0</v>
      </c>
      <c r="BN904" s="5">
        <f t="shared" si="706"/>
        <v>0</v>
      </c>
      <c r="BO904" s="5">
        <f t="shared" si="706"/>
        <v>0</v>
      </c>
      <c r="BP904" s="5">
        <f t="shared" si="706"/>
        <v>0</v>
      </c>
      <c r="BQ904" s="5">
        <f t="shared" si="706"/>
        <v>0</v>
      </c>
      <c r="BR904" s="5">
        <f t="shared" si="706"/>
        <v>0</v>
      </c>
      <c r="BS904" s="5">
        <f t="shared" si="706"/>
        <v>0</v>
      </c>
      <c r="BT904" s="5">
        <f t="shared" si="706"/>
        <v>0</v>
      </c>
      <c r="BU904" s="5">
        <f t="shared" si="706"/>
        <v>0</v>
      </c>
      <c r="BV904" s="5">
        <f t="shared" si="706"/>
        <v>0</v>
      </c>
      <c r="BW904" s="5">
        <f t="shared" si="706"/>
        <v>0</v>
      </c>
      <c r="BX904" s="5">
        <f t="shared" si="706"/>
        <v>0</v>
      </c>
      <c r="BY904" s="5">
        <f t="shared" si="706"/>
        <v>0</v>
      </c>
      <c r="BZ904" s="5">
        <f t="shared" si="706"/>
        <v>0</v>
      </c>
      <c r="CA904" s="5">
        <f t="shared" si="706"/>
        <v>0</v>
      </c>
      <c r="CB904" s="5">
        <f t="shared" si="706"/>
        <v>0</v>
      </c>
      <c r="CC904" s="5">
        <f t="shared" si="707"/>
        <v>0</v>
      </c>
      <c r="CD904" s="5">
        <f t="shared" si="691"/>
        <v>0</v>
      </c>
      <c r="CE904" s="5">
        <f t="shared" si="691"/>
        <v>1</v>
      </c>
    </row>
    <row r="905" spans="1:83" x14ac:dyDescent="0.2">
      <c r="A905" s="11"/>
      <c r="B905" s="11"/>
      <c r="C905" s="1">
        <f>Growth!D910</f>
        <v>6.5573770491803282E-2</v>
      </c>
      <c r="D905" s="5" t="b">
        <f t="shared" si="659"/>
        <v>0</v>
      </c>
      <c r="E905" s="5">
        <v>2015</v>
      </c>
      <c r="F905" s="5">
        <f ca="1">LOOKUP($E905,frequence!$A$2:$A$35,frequence!L$2:L$35)</f>
        <v>59.915964498406019</v>
      </c>
      <c r="G905" s="5">
        <f ca="1">LOOKUP($E905,frequence!$A$2:$A$35,frequence!K$2:K$35)</f>
        <v>12.697082100333608</v>
      </c>
      <c r="H905" s="5">
        <f ca="1">LOOKUP($E905,frequence!$A$2:$A$35,frequence!M$2:M$35)</f>
        <v>262.07305844619424</v>
      </c>
      <c r="I905" s="16">
        <v>2005</v>
      </c>
      <c r="J905" s="7">
        <f>LOOKUP(I905,CPI!A$69:A$103,CPI!O$69:O$103)</f>
        <v>1.1165181771633383</v>
      </c>
      <c r="K905" s="16">
        <v>2015</v>
      </c>
      <c r="L905" s="7">
        <f t="shared" ca="1" si="708"/>
        <v>1</v>
      </c>
      <c r="M905" s="7">
        <f t="shared" si="671"/>
        <v>0.42622950819672134</v>
      </c>
      <c r="N905" s="14">
        <f t="shared" ref="N905:N911" si="713">4/61</f>
        <v>6.5573770491803282E-2</v>
      </c>
      <c r="O905" s="1">
        <f ca="1">P905*J905*(1+Growth!G$6)^(2010-K905)</f>
        <v>122.22351802312686</v>
      </c>
      <c r="P905" s="11">
        <v>118</v>
      </c>
      <c r="Q905" s="2">
        <f t="shared" si="699"/>
        <v>118</v>
      </c>
      <c r="R905" s="21">
        <f t="shared" ca="1" si="700"/>
        <v>14938.588357949615</v>
      </c>
      <c r="U905" s="11"/>
      <c r="V905" s="11"/>
      <c r="W905" s="11"/>
      <c r="X905" s="11"/>
      <c r="Y905" s="11"/>
      <c r="Z905" s="11"/>
      <c r="AA905" s="11"/>
      <c r="AB905" s="11"/>
      <c r="AC905" s="1">
        <f t="shared" si="701"/>
        <v>6.5</v>
      </c>
      <c r="AD905" s="5">
        <v>1</v>
      </c>
      <c r="AE905" s="5">
        <v>0</v>
      </c>
      <c r="AF905" s="5">
        <v>1</v>
      </c>
      <c r="AG905" s="5">
        <v>0</v>
      </c>
      <c r="AH905" s="5">
        <v>1</v>
      </c>
      <c r="AI905" s="3">
        <f t="shared" ref="AI905:AI1216" si="714">(E905-1980)/10</f>
        <v>3.5</v>
      </c>
      <c r="AJ905" s="5">
        <f t="shared" si="670"/>
        <v>0</v>
      </c>
      <c r="AK905" s="5">
        <f t="shared" si="709"/>
        <v>0</v>
      </c>
      <c r="AL905" s="5">
        <f t="shared" si="710"/>
        <v>1</v>
      </c>
      <c r="AM905" s="5">
        <f t="shared" si="672"/>
        <v>0</v>
      </c>
      <c r="AN905" s="5">
        <f t="shared" si="711"/>
        <v>0</v>
      </c>
      <c r="AO905" s="5">
        <f t="shared" si="673"/>
        <v>0</v>
      </c>
      <c r="AP905" s="11" t="s">
        <v>42</v>
      </c>
      <c r="AQ905" s="11">
        <v>1.5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1</v>
      </c>
      <c r="AY905" s="1">
        <f t="shared" si="702"/>
        <v>0</v>
      </c>
      <c r="AZ905" s="1">
        <f t="shared" si="703"/>
        <v>0</v>
      </c>
      <c r="BA905" s="1">
        <f t="shared" si="704"/>
        <v>0</v>
      </c>
      <c r="BB905" s="5">
        <v>0</v>
      </c>
      <c r="BC905" s="5">
        <v>0</v>
      </c>
      <c r="BD905" s="5">
        <v>0</v>
      </c>
      <c r="BE905" s="5">
        <f t="shared" si="705"/>
        <v>1</v>
      </c>
      <c r="BF905" s="5">
        <v>1</v>
      </c>
      <c r="BG905" s="5">
        <f t="shared" si="712"/>
        <v>0</v>
      </c>
      <c r="BH905" s="5">
        <f t="shared" si="712"/>
        <v>0</v>
      </c>
      <c r="BI905" s="5">
        <f t="shared" si="712"/>
        <v>0</v>
      </c>
      <c r="BJ905" s="5">
        <f t="shared" si="712"/>
        <v>0</v>
      </c>
      <c r="BK905" s="5">
        <f t="shared" si="712"/>
        <v>0</v>
      </c>
      <c r="BL905" s="5">
        <f t="shared" si="712"/>
        <v>0</v>
      </c>
      <c r="BM905" s="5">
        <f t="shared" si="712"/>
        <v>0</v>
      </c>
      <c r="BN905" s="5">
        <f t="shared" si="706"/>
        <v>0</v>
      </c>
      <c r="BO905" s="5">
        <f t="shared" si="706"/>
        <v>0</v>
      </c>
      <c r="BP905" s="5">
        <f t="shared" si="706"/>
        <v>0</v>
      </c>
      <c r="BQ905" s="5">
        <f t="shared" si="706"/>
        <v>0</v>
      </c>
      <c r="BR905" s="5">
        <f t="shared" si="706"/>
        <v>0</v>
      </c>
      <c r="BS905" s="5">
        <f t="shared" si="706"/>
        <v>0</v>
      </c>
      <c r="BT905" s="5">
        <f t="shared" si="706"/>
        <v>0</v>
      </c>
      <c r="BU905" s="5">
        <f t="shared" si="706"/>
        <v>0</v>
      </c>
      <c r="BV905" s="5">
        <f t="shared" si="706"/>
        <v>0</v>
      </c>
      <c r="BW905" s="5">
        <f t="shared" si="706"/>
        <v>0</v>
      </c>
      <c r="BX905" s="5">
        <f t="shared" si="706"/>
        <v>0</v>
      </c>
      <c r="BY905" s="5">
        <f t="shared" si="706"/>
        <v>0</v>
      </c>
      <c r="BZ905" s="5">
        <f t="shared" si="706"/>
        <v>0</v>
      </c>
      <c r="CA905" s="5">
        <f t="shared" si="706"/>
        <v>0</v>
      </c>
      <c r="CB905" s="5">
        <f t="shared" si="706"/>
        <v>0</v>
      </c>
      <c r="CC905" s="5">
        <f t="shared" si="707"/>
        <v>0</v>
      </c>
      <c r="CD905" s="5">
        <f t="shared" si="691"/>
        <v>0</v>
      </c>
      <c r="CE905" s="5">
        <f t="shared" si="691"/>
        <v>1</v>
      </c>
    </row>
    <row r="906" spans="1:83" x14ac:dyDescent="0.2">
      <c r="A906" s="11"/>
      <c r="B906" s="11"/>
      <c r="C906" s="1">
        <f>Growth!D911</f>
        <v>6.5573770491803282E-2</v>
      </c>
      <c r="D906" s="5" t="b">
        <f t="shared" ref="D906:D980" si="715">IF(B906&gt;0,E906)</f>
        <v>0</v>
      </c>
      <c r="E906" s="5">
        <v>2015</v>
      </c>
      <c r="F906" s="5">
        <f ca="1">LOOKUP($E906,frequence!$A$2:$A$35,frequence!L$2:L$35)</f>
        <v>59.915964498406019</v>
      </c>
      <c r="G906" s="5">
        <f ca="1">LOOKUP($E906,frequence!$A$2:$A$35,frequence!K$2:K$35)</f>
        <v>12.697082100333608</v>
      </c>
      <c r="H906" s="5">
        <f ca="1">LOOKUP($E906,frequence!$A$2:$A$35,frequence!M$2:M$35)</f>
        <v>262.07305844619424</v>
      </c>
      <c r="I906" s="16">
        <v>2005</v>
      </c>
      <c r="J906" s="7">
        <f>LOOKUP(I906,CPI!A$69:A$103,CPI!O$69:O$103)</f>
        <v>1.1165181771633383</v>
      </c>
      <c r="K906" s="16">
        <v>2015</v>
      </c>
      <c r="L906" s="7">
        <f t="shared" ca="1" si="708"/>
        <v>1</v>
      </c>
      <c r="M906" s="7">
        <f t="shared" si="671"/>
        <v>0.42622950819672134</v>
      </c>
      <c r="N906" s="14">
        <f t="shared" si="713"/>
        <v>6.5573770491803282E-2</v>
      </c>
      <c r="O906" s="1">
        <f ca="1">P906*J906*(1+Growth!G$6)^(2010-K906)</f>
        <v>137.76040590742264</v>
      </c>
      <c r="P906" s="11">
        <v>133</v>
      </c>
      <c r="Q906" s="2">
        <f t="shared" si="699"/>
        <v>133</v>
      </c>
      <c r="R906" s="21">
        <f t="shared" ca="1" si="700"/>
        <v>18977.929435777845</v>
      </c>
      <c r="U906" s="11"/>
      <c r="V906" s="11"/>
      <c r="W906" s="11"/>
      <c r="X906" s="11"/>
      <c r="Y906" s="11"/>
      <c r="Z906" s="11"/>
      <c r="AA906" s="11"/>
      <c r="AB906" s="11"/>
      <c r="AC906" s="1">
        <f t="shared" si="701"/>
        <v>6.5</v>
      </c>
      <c r="AD906" s="5">
        <v>1</v>
      </c>
      <c r="AE906" s="5">
        <v>0</v>
      </c>
      <c r="AF906" s="5">
        <v>1</v>
      </c>
      <c r="AG906" s="5">
        <v>0</v>
      </c>
      <c r="AH906" s="5">
        <v>1</v>
      </c>
      <c r="AI906" s="3">
        <f t="shared" si="714"/>
        <v>3.5</v>
      </c>
      <c r="AJ906" s="5">
        <f t="shared" si="670"/>
        <v>0</v>
      </c>
      <c r="AK906" s="5">
        <f t="shared" si="709"/>
        <v>0</v>
      </c>
      <c r="AL906" s="5">
        <f t="shared" si="710"/>
        <v>1</v>
      </c>
      <c r="AM906" s="5">
        <f t="shared" si="672"/>
        <v>0</v>
      </c>
      <c r="AN906" s="5">
        <f t="shared" si="711"/>
        <v>0</v>
      </c>
      <c r="AO906" s="5">
        <f t="shared" si="673"/>
        <v>0</v>
      </c>
      <c r="AP906" s="11" t="s">
        <v>42</v>
      </c>
      <c r="AQ906" s="11">
        <v>1.5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1</v>
      </c>
      <c r="AY906" s="1">
        <f t="shared" si="702"/>
        <v>0</v>
      </c>
      <c r="AZ906" s="1">
        <f t="shared" si="703"/>
        <v>0</v>
      </c>
      <c r="BA906" s="1">
        <f t="shared" si="704"/>
        <v>0</v>
      </c>
      <c r="BB906" s="5">
        <v>0</v>
      </c>
      <c r="BC906" s="5">
        <v>0</v>
      </c>
      <c r="BD906" s="5">
        <v>0</v>
      </c>
      <c r="BE906" s="5">
        <f t="shared" si="705"/>
        <v>1</v>
      </c>
      <c r="BF906" s="5">
        <v>1</v>
      </c>
      <c r="BG906" s="5">
        <f t="shared" si="712"/>
        <v>0</v>
      </c>
      <c r="BH906" s="5">
        <f t="shared" si="712"/>
        <v>0</v>
      </c>
      <c r="BI906" s="5">
        <f t="shared" si="712"/>
        <v>0</v>
      </c>
      <c r="BJ906" s="5">
        <f t="shared" si="712"/>
        <v>0</v>
      </c>
      <c r="BK906" s="5">
        <f t="shared" si="712"/>
        <v>0</v>
      </c>
      <c r="BL906" s="5">
        <f t="shared" si="712"/>
        <v>0</v>
      </c>
      <c r="BM906" s="5">
        <f t="shared" si="712"/>
        <v>0</v>
      </c>
      <c r="BN906" s="5">
        <f t="shared" si="706"/>
        <v>0</v>
      </c>
      <c r="BO906" s="5">
        <f t="shared" si="706"/>
        <v>0</v>
      </c>
      <c r="BP906" s="5">
        <f t="shared" si="706"/>
        <v>0</v>
      </c>
      <c r="BQ906" s="5">
        <f t="shared" si="706"/>
        <v>0</v>
      </c>
      <c r="BR906" s="5">
        <f t="shared" si="706"/>
        <v>0</v>
      </c>
      <c r="BS906" s="5">
        <f t="shared" si="706"/>
        <v>0</v>
      </c>
      <c r="BT906" s="5">
        <f t="shared" si="706"/>
        <v>0</v>
      </c>
      <c r="BU906" s="5">
        <f t="shared" si="706"/>
        <v>0</v>
      </c>
      <c r="BV906" s="5">
        <f t="shared" si="706"/>
        <v>0</v>
      </c>
      <c r="BW906" s="5">
        <f t="shared" si="706"/>
        <v>0</v>
      </c>
      <c r="BX906" s="5">
        <f t="shared" si="706"/>
        <v>0</v>
      </c>
      <c r="BY906" s="5">
        <f t="shared" si="706"/>
        <v>0</v>
      </c>
      <c r="BZ906" s="5">
        <f t="shared" si="706"/>
        <v>0</v>
      </c>
      <c r="CA906" s="5">
        <f t="shared" si="706"/>
        <v>0</v>
      </c>
      <c r="CB906" s="5">
        <f t="shared" si="706"/>
        <v>0</v>
      </c>
      <c r="CC906" s="5">
        <f t="shared" si="707"/>
        <v>0</v>
      </c>
      <c r="CD906" s="5">
        <f t="shared" si="691"/>
        <v>0</v>
      </c>
      <c r="CE906" s="5">
        <f t="shared" si="691"/>
        <v>1</v>
      </c>
    </row>
    <row r="907" spans="1:83" x14ac:dyDescent="0.2">
      <c r="A907" s="11"/>
      <c r="B907" s="11"/>
      <c r="C907" s="1">
        <f>Growth!D912</f>
        <v>6.5573770491803282E-2</v>
      </c>
      <c r="D907" s="5" t="b">
        <f t="shared" si="715"/>
        <v>0</v>
      </c>
      <c r="E907" s="5">
        <v>2015</v>
      </c>
      <c r="F907" s="5">
        <f ca="1">LOOKUP($E907,frequence!$A$2:$A$35,frequence!L$2:L$35)</f>
        <v>59.915964498406019</v>
      </c>
      <c r="G907" s="5">
        <f ca="1">LOOKUP($E907,frequence!$A$2:$A$35,frequence!K$2:K$35)</f>
        <v>12.697082100333608</v>
      </c>
      <c r="H907" s="5">
        <f ca="1">LOOKUP($E907,frequence!$A$2:$A$35,frequence!M$2:M$35)</f>
        <v>262.07305844619424</v>
      </c>
      <c r="I907" s="16">
        <v>2005</v>
      </c>
      <c r="J907" s="7">
        <f>LOOKUP(I907,CPI!A$69:A$103,CPI!O$69:O$103)</f>
        <v>1.1165181771633383</v>
      </c>
      <c r="K907" s="16">
        <v>2015</v>
      </c>
      <c r="L907" s="7">
        <f t="shared" ca="1" si="708"/>
        <v>1</v>
      </c>
      <c r="M907" s="7">
        <f t="shared" si="671"/>
        <v>0.42622950819672134</v>
      </c>
      <c r="N907" s="14">
        <f t="shared" si="713"/>
        <v>6.5573770491803282E-2</v>
      </c>
      <c r="O907" s="1">
        <f ca="1">P907*J907*(1+Growth!G$6)^(2010-K907)</f>
        <v>280.69977444294386</v>
      </c>
      <c r="P907" s="11">
        <v>271</v>
      </c>
      <c r="Q907" s="2">
        <f t="shared" si="699"/>
        <v>271</v>
      </c>
      <c r="R907" s="21">
        <f t="shared" ca="1" si="700"/>
        <v>78792.363372319567</v>
      </c>
      <c r="U907" s="11"/>
      <c r="V907" s="11"/>
      <c r="W907" s="11"/>
      <c r="X907" s="11"/>
      <c r="Y907" s="11"/>
      <c r="Z907" s="11"/>
      <c r="AA907" s="11"/>
      <c r="AB907" s="11"/>
      <c r="AC907" s="1">
        <f t="shared" si="701"/>
        <v>6.5</v>
      </c>
      <c r="AD907" s="5">
        <v>1</v>
      </c>
      <c r="AE907" s="5">
        <v>0</v>
      </c>
      <c r="AF907" s="5">
        <v>1</v>
      </c>
      <c r="AG907" s="5">
        <v>0</v>
      </c>
      <c r="AH907" s="5">
        <v>1</v>
      </c>
      <c r="AI907" s="3">
        <f t="shared" si="714"/>
        <v>3.5</v>
      </c>
      <c r="AJ907" s="5">
        <f t="shared" si="670"/>
        <v>0</v>
      </c>
      <c r="AK907" s="5">
        <f t="shared" si="709"/>
        <v>0</v>
      </c>
      <c r="AL907" s="5">
        <f t="shared" si="710"/>
        <v>1</v>
      </c>
      <c r="AM907" s="5">
        <f t="shared" si="672"/>
        <v>0</v>
      </c>
      <c r="AN907" s="5">
        <f t="shared" si="711"/>
        <v>0</v>
      </c>
      <c r="AO907" s="5">
        <f t="shared" si="673"/>
        <v>0</v>
      </c>
      <c r="AP907" s="11" t="s">
        <v>42</v>
      </c>
      <c r="AQ907" s="11">
        <v>1.5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1</v>
      </c>
      <c r="AY907" s="1">
        <f t="shared" si="702"/>
        <v>0</v>
      </c>
      <c r="AZ907" s="1">
        <f t="shared" si="703"/>
        <v>0</v>
      </c>
      <c r="BA907" s="1">
        <f t="shared" si="704"/>
        <v>0</v>
      </c>
      <c r="BB907" s="5">
        <v>0</v>
      </c>
      <c r="BC907" s="5">
        <v>0</v>
      </c>
      <c r="BD907" s="5">
        <v>0</v>
      </c>
      <c r="BE907" s="5">
        <f t="shared" si="705"/>
        <v>1</v>
      </c>
      <c r="BF907" s="5">
        <v>1</v>
      </c>
      <c r="BG907" s="5">
        <f t="shared" si="712"/>
        <v>0</v>
      </c>
      <c r="BH907" s="5">
        <f t="shared" si="712"/>
        <v>0</v>
      </c>
      <c r="BI907" s="5">
        <f t="shared" si="712"/>
        <v>0</v>
      </c>
      <c r="BJ907" s="5">
        <f t="shared" si="712"/>
        <v>0</v>
      </c>
      <c r="BK907" s="5">
        <f t="shared" si="712"/>
        <v>0</v>
      </c>
      <c r="BL907" s="5">
        <f t="shared" si="712"/>
        <v>0</v>
      </c>
      <c r="BM907" s="5">
        <f t="shared" si="712"/>
        <v>0</v>
      </c>
      <c r="BN907" s="5">
        <f t="shared" si="706"/>
        <v>0</v>
      </c>
      <c r="BO907" s="5">
        <f t="shared" si="706"/>
        <v>0</v>
      </c>
      <c r="BP907" s="5">
        <f t="shared" si="706"/>
        <v>0</v>
      </c>
      <c r="BQ907" s="5">
        <f t="shared" si="706"/>
        <v>0</v>
      </c>
      <c r="BR907" s="5">
        <f t="shared" si="706"/>
        <v>0</v>
      </c>
      <c r="BS907" s="5">
        <f t="shared" si="706"/>
        <v>0</v>
      </c>
      <c r="BT907" s="5">
        <f t="shared" si="706"/>
        <v>0</v>
      </c>
      <c r="BU907" s="5">
        <f t="shared" si="706"/>
        <v>0</v>
      </c>
      <c r="BV907" s="5">
        <f t="shared" si="706"/>
        <v>0</v>
      </c>
      <c r="BW907" s="5">
        <f t="shared" si="706"/>
        <v>0</v>
      </c>
      <c r="BX907" s="5">
        <f t="shared" si="706"/>
        <v>0</v>
      </c>
      <c r="BY907" s="5">
        <f t="shared" si="706"/>
        <v>0</v>
      </c>
      <c r="BZ907" s="5">
        <f t="shared" si="706"/>
        <v>0</v>
      </c>
      <c r="CA907" s="5">
        <f t="shared" si="706"/>
        <v>0</v>
      </c>
      <c r="CB907" s="5">
        <f t="shared" si="706"/>
        <v>0</v>
      </c>
      <c r="CC907" s="5">
        <f t="shared" si="707"/>
        <v>0</v>
      </c>
      <c r="CD907" s="5">
        <f t="shared" si="691"/>
        <v>0</v>
      </c>
      <c r="CE907" s="5">
        <f t="shared" si="691"/>
        <v>1</v>
      </c>
    </row>
    <row r="908" spans="1:83" x14ac:dyDescent="0.2">
      <c r="A908" s="11"/>
      <c r="B908" s="11"/>
      <c r="C908" s="1">
        <f>Growth!D913</f>
        <v>6.5573770491803282E-2</v>
      </c>
      <c r="D908" s="5" t="b">
        <f t="shared" si="715"/>
        <v>0</v>
      </c>
      <c r="E908" s="5">
        <v>2015</v>
      </c>
      <c r="F908" s="5">
        <f ca="1">LOOKUP($E908,frequence!$A$2:$A$35,frequence!L$2:L$35)</f>
        <v>59.915964498406019</v>
      </c>
      <c r="G908" s="5">
        <f ca="1">LOOKUP($E908,frequence!$A$2:$A$35,frequence!K$2:K$35)</f>
        <v>12.697082100333608</v>
      </c>
      <c r="H908" s="5">
        <f ca="1">LOOKUP($E908,frequence!$A$2:$A$35,frequence!M$2:M$35)</f>
        <v>262.07305844619424</v>
      </c>
      <c r="I908" s="16">
        <v>2005</v>
      </c>
      <c r="J908" s="7">
        <f>LOOKUP(I908,CPI!A$69:A$103,CPI!O$69:O$103)</f>
        <v>1.1165181771633383</v>
      </c>
      <c r="K908" s="16">
        <v>2015</v>
      </c>
      <c r="L908" s="7">
        <f t="shared" ca="1" si="708"/>
        <v>1</v>
      </c>
      <c r="M908" s="7">
        <f t="shared" si="671"/>
        <v>0.42622950819672134</v>
      </c>
      <c r="N908" s="14">
        <f t="shared" si="713"/>
        <v>6.5573770491803282E-2</v>
      </c>
      <c r="O908" s="1">
        <f ca="1">P908*J908*(1+Growth!G$6)^(2010-K908)</f>
        <v>241.33965846939458</v>
      </c>
      <c r="P908" s="11">
        <v>233</v>
      </c>
      <c r="Q908" s="2">
        <f t="shared" si="699"/>
        <v>233</v>
      </c>
      <c r="R908" s="21">
        <f t="shared" ca="1" si="700"/>
        <v>58244.83075012402</v>
      </c>
      <c r="U908" s="11"/>
      <c r="V908" s="11"/>
      <c r="W908" s="11"/>
      <c r="X908" s="11"/>
      <c r="Y908" s="11"/>
      <c r="Z908" s="11"/>
      <c r="AA908" s="11"/>
      <c r="AB908" s="11"/>
      <c r="AC908" s="1">
        <f t="shared" si="701"/>
        <v>6.5</v>
      </c>
      <c r="AD908" s="5">
        <v>1</v>
      </c>
      <c r="AE908" s="5">
        <v>0</v>
      </c>
      <c r="AF908" s="5">
        <v>1</v>
      </c>
      <c r="AG908" s="5">
        <v>0</v>
      </c>
      <c r="AH908" s="5">
        <v>1</v>
      </c>
      <c r="AI908" s="3">
        <f t="shared" si="714"/>
        <v>3.5</v>
      </c>
      <c r="AJ908" s="5">
        <f t="shared" si="670"/>
        <v>0</v>
      </c>
      <c r="AK908" s="5">
        <f t="shared" si="709"/>
        <v>0</v>
      </c>
      <c r="AL908" s="5">
        <f t="shared" si="710"/>
        <v>1</v>
      </c>
      <c r="AM908" s="5">
        <f t="shared" si="672"/>
        <v>0</v>
      </c>
      <c r="AN908" s="5">
        <f t="shared" si="711"/>
        <v>0</v>
      </c>
      <c r="AO908" s="5">
        <f t="shared" si="673"/>
        <v>0</v>
      </c>
      <c r="AP908" s="11" t="s">
        <v>42</v>
      </c>
      <c r="AQ908" s="11">
        <v>1.5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1</v>
      </c>
      <c r="AY908" s="1">
        <f t="shared" si="702"/>
        <v>0</v>
      </c>
      <c r="AZ908" s="1">
        <f t="shared" si="703"/>
        <v>0</v>
      </c>
      <c r="BA908" s="1">
        <f t="shared" si="704"/>
        <v>0</v>
      </c>
      <c r="BB908" s="5">
        <v>0</v>
      </c>
      <c r="BC908" s="5">
        <v>0</v>
      </c>
      <c r="BD908" s="5">
        <v>0</v>
      </c>
      <c r="BE908" s="5">
        <f t="shared" si="705"/>
        <v>1</v>
      </c>
      <c r="BF908" s="5">
        <v>1</v>
      </c>
      <c r="BG908" s="5">
        <f t="shared" si="712"/>
        <v>0</v>
      </c>
      <c r="BH908" s="5">
        <f t="shared" si="712"/>
        <v>0</v>
      </c>
      <c r="BI908" s="5">
        <f t="shared" si="712"/>
        <v>0</v>
      </c>
      <c r="BJ908" s="5">
        <f t="shared" si="712"/>
        <v>0</v>
      </c>
      <c r="BK908" s="5">
        <f t="shared" si="712"/>
        <v>0</v>
      </c>
      <c r="BL908" s="5">
        <f t="shared" si="712"/>
        <v>0</v>
      </c>
      <c r="BM908" s="5">
        <f t="shared" si="712"/>
        <v>0</v>
      </c>
      <c r="BN908" s="5">
        <f t="shared" si="706"/>
        <v>0</v>
      </c>
      <c r="BO908" s="5">
        <f t="shared" si="706"/>
        <v>0</v>
      </c>
      <c r="BP908" s="5">
        <f t="shared" si="706"/>
        <v>0</v>
      </c>
      <c r="BQ908" s="5">
        <f t="shared" si="706"/>
        <v>0</v>
      </c>
      <c r="BR908" s="5">
        <f t="shared" si="706"/>
        <v>0</v>
      </c>
      <c r="BS908" s="5">
        <f t="shared" si="706"/>
        <v>0</v>
      </c>
      <c r="BT908" s="5">
        <f t="shared" si="706"/>
        <v>0</v>
      </c>
      <c r="BU908" s="5">
        <f t="shared" si="706"/>
        <v>0</v>
      </c>
      <c r="BV908" s="5">
        <f t="shared" si="706"/>
        <v>0</v>
      </c>
      <c r="BW908" s="5">
        <f t="shared" si="706"/>
        <v>0</v>
      </c>
      <c r="BX908" s="5">
        <f t="shared" si="706"/>
        <v>0</v>
      </c>
      <c r="BY908" s="5">
        <f t="shared" si="706"/>
        <v>0</v>
      </c>
      <c r="BZ908" s="5">
        <f t="shared" si="706"/>
        <v>0</v>
      </c>
      <c r="CA908" s="5">
        <f t="shared" si="706"/>
        <v>0</v>
      </c>
      <c r="CB908" s="5">
        <f t="shared" si="706"/>
        <v>0</v>
      </c>
      <c r="CC908" s="5">
        <f t="shared" si="707"/>
        <v>0</v>
      </c>
      <c r="CD908" s="5">
        <f t="shared" si="691"/>
        <v>0</v>
      </c>
      <c r="CE908" s="5">
        <f t="shared" si="691"/>
        <v>1</v>
      </c>
    </row>
    <row r="909" spans="1:83" x14ac:dyDescent="0.2">
      <c r="A909" s="11"/>
      <c r="B909" s="11"/>
      <c r="C909" s="1">
        <f>Growth!D914</f>
        <v>6.5573770491803282E-2</v>
      </c>
      <c r="D909" s="5" t="b">
        <f t="shared" si="715"/>
        <v>0</v>
      </c>
      <c r="E909" s="5">
        <v>2015</v>
      </c>
      <c r="F909" s="5">
        <f ca="1">LOOKUP($E909,frequence!$A$2:$A$35,frequence!L$2:L$35)</f>
        <v>59.915964498406019</v>
      </c>
      <c r="G909" s="5">
        <f ca="1">LOOKUP($E909,frequence!$A$2:$A$35,frequence!K$2:K$35)</f>
        <v>12.697082100333608</v>
      </c>
      <c r="H909" s="5">
        <f ca="1">LOOKUP($E909,frequence!$A$2:$A$35,frequence!M$2:M$35)</f>
        <v>262.07305844619424</v>
      </c>
      <c r="I909" s="16">
        <v>2005</v>
      </c>
      <c r="J909" s="7">
        <f>LOOKUP(I909,CPI!A$69:A$103,CPI!O$69:O$103)</f>
        <v>1.1165181771633383</v>
      </c>
      <c r="K909" s="16">
        <v>2015</v>
      </c>
      <c r="L909" s="7">
        <f t="shared" ca="1" si="708"/>
        <v>1</v>
      </c>
      <c r="M909" s="7">
        <f t="shared" si="671"/>
        <v>0.42622950819672134</v>
      </c>
      <c r="N909" s="14">
        <f t="shared" si="713"/>
        <v>6.5573770491803282E-2</v>
      </c>
      <c r="O909" s="1">
        <f ca="1">P909*J909*(1+Growth!G$6)^(2010-K909)</f>
        <v>72.505476793380339</v>
      </c>
      <c r="P909" s="11">
        <v>70</v>
      </c>
      <c r="Q909" s="2">
        <f t="shared" si="699"/>
        <v>70</v>
      </c>
      <c r="R909" s="21">
        <f t="shared" ca="1" si="700"/>
        <v>5257.0441650354151</v>
      </c>
      <c r="U909" s="11"/>
      <c r="V909" s="11"/>
      <c r="W909" s="11"/>
      <c r="X909" s="11"/>
      <c r="Y909" s="11"/>
      <c r="Z909" s="11"/>
      <c r="AA909" s="11"/>
      <c r="AB909" s="11"/>
      <c r="AC909" s="1">
        <f t="shared" si="701"/>
        <v>6.5</v>
      </c>
      <c r="AD909" s="5">
        <v>1</v>
      </c>
      <c r="AE909" s="5">
        <v>0</v>
      </c>
      <c r="AF909" s="5">
        <v>1</v>
      </c>
      <c r="AG909" s="5">
        <v>0</v>
      </c>
      <c r="AH909" s="5">
        <v>1</v>
      </c>
      <c r="AI909" s="3">
        <f t="shared" si="714"/>
        <v>3.5</v>
      </c>
      <c r="AJ909" s="5">
        <f t="shared" si="670"/>
        <v>0</v>
      </c>
      <c r="AK909" s="5">
        <f t="shared" si="709"/>
        <v>0</v>
      </c>
      <c r="AL909" s="5">
        <f t="shared" si="710"/>
        <v>1</v>
      </c>
      <c r="AM909" s="5">
        <f t="shared" si="672"/>
        <v>0</v>
      </c>
      <c r="AN909" s="5">
        <f t="shared" si="711"/>
        <v>0</v>
      </c>
      <c r="AO909" s="5">
        <f t="shared" si="673"/>
        <v>0</v>
      </c>
      <c r="AP909" s="11" t="s">
        <v>42</v>
      </c>
      <c r="AQ909" s="11">
        <v>1.5</v>
      </c>
      <c r="AR909" s="5">
        <v>0</v>
      </c>
      <c r="AS909" s="5">
        <v>0</v>
      </c>
      <c r="AT909" s="5">
        <v>0</v>
      </c>
      <c r="AU909" s="5">
        <v>0</v>
      </c>
      <c r="AV909" s="5">
        <v>0</v>
      </c>
      <c r="AW909" s="5">
        <v>0</v>
      </c>
      <c r="AX909" s="5">
        <v>1</v>
      </c>
      <c r="AY909" s="1">
        <f t="shared" si="702"/>
        <v>0</v>
      </c>
      <c r="AZ909" s="1">
        <f t="shared" si="703"/>
        <v>0</v>
      </c>
      <c r="BA909" s="1">
        <f t="shared" si="704"/>
        <v>0</v>
      </c>
      <c r="BB909" s="5">
        <v>0</v>
      </c>
      <c r="BC909" s="5">
        <v>0</v>
      </c>
      <c r="BD909" s="5">
        <v>0</v>
      </c>
      <c r="BE909" s="5">
        <f t="shared" si="705"/>
        <v>1</v>
      </c>
      <c r="BF909" s="5">
        <v>1</v>
      </c>
      <c r="BG909" s="5">
        <f t="shared" si="712"/>
        <v>0</v>
      </c>
      <c r="BH909" s="5">
        <f t="shared" si="712"/>
        <v>0</v>
      </c>
      <c r="BI909" s="5">
        <f t="shared" si="712"/>
        <v>0</v>
      </c>
      <c r="BJ909" s="5">
        <f t="shared" si="712"/>
        <v>0</v>
      </c>
      <c r="BK909" s="5">
        <f t="shared" si="712"/>
        <v>0</v>
      </c>
      <c r="BL909" s="5">
        <f t="shared" si="712"/>
        <v>0</v>
      </c>
      <c r="BM909" s="5">
        <f t="shared" si="712"/>
        <v>0</v>
      </c>
      <c r="BN909" s="5">
        <f t="shared" si="706"/>
        <v>0</v>
      </c>
      <c r="BO909" s="5">
        <f t="shared" si="706"/>
        <v>0</v>
      </c>
      <c r="BP909" s="5">
        <f t="shared" si="706"/>
        <v>0</v>
      </c>
      <c r="BQ909" s="5">
        <f t="shared" si="706"/>
        <v>0</v>
      </c>
      <c r="BR909" s="5">
        <f t="shared" si="706"/>
        <v>0</v>
      </c>
      <c r="BS909" s="5">
        <f t="shared" si="706"/>
        <v>0</v>
      </c>
      <c r="BT909" s="5">
        <f t="shared" si="706"/>
        <v>0</v>
      </c>
      <c r="BU909" s="5">
        <f t="shared" si="706"/>
        <v>0</v>
      </c>
      <c r="BV909" s="5">
        <f t="shared" si="706"/>
        <v>0</v>
      </c>
      <c r="BW909" s="5">
        <f t="shared" si="706"/>
        <v>0</v>
      </c>
      <c r="BX909" s="5">
        <f t="shared" si="706"/>
        <v>0</v>
      </c>
      <c r="BY909" s="5">
        <f t="shared" si="706"/>
        <v>0</v>
      </c>
      <c r="BZ909" s="5">
        <f t="shared" si="706"/>
        <v>0</v>
      </c>
      <c r="CA909" s="5">
        <f t="shared" si="706"/>
        <v>0</v>
      </c>
      <c r="CB909" s="5">
        <f t="shared" si="706"/>
        <v>0</v>
      </c>
      <c r="CC909" s="5">
        <f t="shared" si="707"/>
        <v>0</v>
      </c>
      <c r="CD909" s="5">
        <f t="shared" si="691"/>
        <v>0</v>
      </c>
      <c r="CE909" s="5">
        <f t="shared" si="691"/>
        <v>1</v>
      </c>
    </row>
    <row r="910" spans="1:83" x14ac:dyDescent="0.2">
      <c r="A910" s="11"/>
      <c r="B910" s="11"/>
      <c r="C910" s="1">
        <f>Growth!D915</f>
        <v>6.5573770491803282E-2</v>
      </c>
      <c r="D910" s="5" t="b">
        <f t="shared" si="715"/>
        <v>0</v>
      </c>
      <c r="E910" s="5">
        <v>2015</v>
      </c>
      <c r="F910" s="5">
        <f ca="1">LOOKUP($E910,frequence!$A$2:$A$35,frequence!L$2:L$35)</f>
        <v>59.915964498406019</v>
      </c>
      <c r="G910" s="5">
        <f ca="1">LOOKUP($E910,frequence!$A$2:$A$35,frequence!K$2:K$35)</f>
        <v>12.697082100333608</v>
      </c>
      <c r="H910" s="5">
        <f ca="1">LOOKUP($E910,frequence!$A$2:$A$35,frequence!M$2:M$35)</f>
        <v>262.07305844619424</v>
      </c>
      <c r="I910" s="16">
        <v>2005</v>
      </c>
      <c r="J910" s="7">
        <f>LOOKUP(I910,CPI!A$69:A$103,CPI!O$69:O$103)</f>
        <v>1.1165181771633383</v>
      </c>
      <c r="K910" s="16">
        <v>2015</v>
      </c>
      <c r="L910" s="7">
        <f t="shared" ca="1" si="708"/>
        <v>1</v>
      </c>
      <c r="M910" s="7">
        <f t="shared" si="671"/>
        <v>0.42622950819672134</v>
      </c>
      <c r="N910" s="14">
        <f t="shared" si="713"/>
        <v>6.5573770491803282E-2</v>
      </c>
      <c r="O910" s="1">
        <f ca="1">P910*J910*(1+Growth!G$6)^(2010-K910)</f>
        <v>104.61504508759162</v>
      </c>
      <c r="P910" s="11">
        <v>101</v>
      </c>
      <c r="Q910" s="2">
        <f t="shared" si="699"/>
        <v>101</v>
      </c>
      <c r="R910" s="21">
        <f t="shared" ca="1" si="700"/>
        <v>10944.307658678828</v>
      </c>
      <c r="U910" s="11"/>
      <c r="V910" s="11"/>
      <c r="W910" s="11"/>
      <c r="X910" s="11"/>
      <c r="Y910" s="11"/>
      <c r="Z910" s="11"/>
      <c r="AA910" s="11"/>
      <c r="AB910" s="11"/>
      <c r="AC910" s="1">
        <f t="shared" si="701"/>
        <v>6.5</v>
      </c>
      <c r="AD910" s="5">
        <v>1</v>
      </c>
      <c r="AE910" s="5">
        <v>0</v>
      </c>
      <c r="AF910" s="5">
        <v>1</v>
      </c>
      <c r="AG910" s="5">
        <v>0</v>
      </c>
      <c r="AH910" s="5">
        <v>1</v>
      </c>
      <c r="AI910" s="3">
        <f t="shared" si="714"/>
        <v>3.5</v>
      </c>
      <c r="AJ910" s="5">
        <f t="shared" si="670"/>
        <v>0</v>
      </c>
      <c r="AK910" s="5">
        <f t="shared" si="709"/>
        <v>0</v>
      </c>
      <c r="AL910" s="5">
        <f t="shared" si="710"/>
        <v>1</v>
      </c>
      <c r="AM910" s="5">
        <f t="shared" si="672"/>
        <v>0</v>
      </c>
      <c r="AN910" s="5">
        <f t="shared" si="711"/>
        <v>0</v>
      </c>
      <c r="AO910" s="5">
        <f t="shared" si="673"/>
        <v>0</v>
      </c>
      <c r="AP910" s="11" t="s">
        <v>42</v>
      </c>
      <c r="AQ910" s="11">
        <v>1.5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1</v>
      </c>
      <c r="AY910" s="1">
        <f t="shared" si="702"/>
        <v>0</v>
      </c>
      <c r="AZ910" s="1">
        <f t="shared" si="703"/>
        <v>0</v>
      </c>
      <c r="BA910" s="1">
        <f t="shared" si="704"/>
        <v>0</v>
      </c>
      <c r="BB910" s="5">
        <v>0</v>
      </c>
      <c r="BC910" s="5">
        <v>0</v>
      </c>
      <c r="BD910" s="5">
        <v>0</v>
      </c>
      <c r="BE910" s="5">
        <f t="shared" si="705"/>
        <v>1</v>
      </c>
      <c r="BF910" s="5">
        <v>1</v>
      </c>
      <c r="BG910" s="5">
        <f t="shared" si="712"/>
        <v>0</v>
      </c>
      <c r="BH910" s="5">
        <f t="shared" si="712"/>
        <v>0</v>
      </c>
      <c r="BI910" s="5">
        <f t="shared" si="712"/>
        <v>0</v>
      </c>
      <c r="BJ910" s="5">
        <f t="shared" si="712"/>
        <v>0</v>
      </c>
      <c r="BK910" s="5">
        <f t="shared" si="712"/>
        <v>0</v>
      </c>
      <c r="BL910" s="5">
        <f t="shared" si="712"/>
        <v>0</v>
      </c>
      <c r="BM910" s="5">
        <f t="shared" si="712"/>
        <v>0</v>
      </c>
      <c r="BN910" s="5">
        <f t="shared" si="706"/>
        <v>0</v>
      </c>
      <c r="BO910" s="5">
        <f t="shared" si="706"/>
        <v>0</v>
      </c>
      <c r="BP910" s="5">
        <f t="shared" si="706"/>
        <v>0</v>
      </c>
      <c r="BQ910" s="5">
        <f t="shared" si="706"/>
        <v>0</v>
      </c>
      <c r="BR910" s="5">
        <f t="shared" si="706"/>
        <v>0</v>
      </c>
      <c r="BS910" s="5">
        <f t="shared" si="706"/>
        <v>0</v>
      </c>
      <c r="BT910" s="5">
        <f t="shared" si="706"/>
        <v>0</v>
      </c>
      <c r="BU910" s="5">
        <f t="shared" si="706"/>
        <v>0</v>
      </c>
      <c r="BV910" s="5">
        <f t="shared" si="706"/>
        <v>0</v>
      </c>
      <c r="BW910" s="5">
        <f t="shared" si="706"/>
        <v>0</v>
      </c>
      <c r="BX910" s="5">
        <f t="shared" si="706"/>
        <v>0</v>
      </c>
      <c r="BY910" s="5">
        <f t="shared" si="706"/>
        <v>0</v>
      </c>
      <c r="BZ910" s="5">
        <f t="shared" si="706"/>
        <v>0</v>
      </c>
      <c r="CA910" s="5">
        <f t="shared" si="706"/>
        <v>0</v>
      </c>
      <c r="CB910" s="5">
        <f t="shared" si="706"/>
        <v>0</v>
      </c>
      <c r="CC910" s="5">
        <f t="shared" si="707"/>
        <v>0</v>
      </c>
      <c r="CD910" s="5">
        <f t="shared" si="691"/>
        <v>0</v>
      </c>
      <c r="CE910" s="5">
        <f t="shared" si="691"/>
        <v>1</v>
      </c>
    </row>
    <row r="911" spans="1:83" x14ac:dyDescent="0.2">
      <c r="A911" s="11"/>
      <c r="B911" s="11"/>
      <c r="C911" s="1">
        <f>Growth!D916</f>
        <v>6.5573770491803282E-2</v>
      </c>
      <c r="D911" s="5" t="b">
        <f t="shared" si="715"/>
        <v>0</v>
      </c>
      <c r="E911" s="5">
        <v>2015</v>
      </c>
      <c r="F911" s="5">
        <f ca="1">LOOKUP($E911,frequence!$A$2:$A$35,frequence!L$2:L$35)</f>
        <v>59.915964498406019</v>
      </c>
      <c r="G911" s="5">
        <f ca="1">LOOKUP($E911,frequence!$A$2:$A$35,frequence!K$2:K$35)</f>
        <v>12.697082100333608</v>
      </c>
      <c r="H911" s="5">
        <f ca="1">LOOKUP($E911,frequence!$A$2:$A$35,frequence!M$2:M$35)</f>
        <v>262.07305844619424</v>
      </c>
      <c r="I911" s="16">
        <v>2005</v>
      </c>
      <c r="J911" s="7">
        <f>LOOKUP(I911,CPI!A$69:A$103,CPI!O$69:O$103)</f>
        <v>1.1165181771633383</v>
      </c>
      <c r="K911" s="16">
        <v>2015</v>
      </c>
      <c r="L911" s="7">
        <f t="shared" ca="1" si="708"/>
        <v>1</v>
      </c>
      <c r="M911" s="7">
        <f t="shared" si="671"/>
        <v>0.42622950819672134</v>
      </c>
      <c r="N911" s="14">
        <f t="shared" si="713"/>
        <v>6.5573770491803282E-2</v>
      </c>
      <c r="O911" s="1">
        <f ca="1">P911*J911*(1+Growth!G$6)^(2010-K911)</f>
        <v>237.19648836691567</v>
      </c>
      <c r="P911" s="11">
        <v>229</v>
      </c>
      <c r="Q911" s="2">
        <f t="shared" si="699"/>
        <v>229</v>
      </c>
      <c r="R911" s="21">
        <f t="shared" ca="1" si="700"/>
        <v>56262.174093596361</v>
      </c>
      <c r="U911" s="11"/>
      <c r="V911" s="11"/>
      <c r="W911" s="11"/>
      <c r="X911" s="11"/>
      <c r="Y911" s="11"/>
      <c r="Z911" s="11"/>
      <c r="AA911" s="11"/>
      <c r="AB911" s="11"/>
      <c r="AC911" s="1">
        <f t="shared" si="701"/>
        <v>6.5</v>
      </c>
      <c r="AD911" s="5">
        <v>1</v>
      </c>
      <c r="AE911" s="5">
        <v>0</v>
      </c>
      <c r="AF911" s="5">
        <v>1</v>
      </c>
      <c r="AG911" s="5">
        <v>0</v>
      </c>
      <c r="AH911" s="5">
        <v>1</v>
      </c>
      <c r="AI911" s="3">
        <f t="shared" si="714"/>
        <v>3.5</v>
      </c>
      <c r="AJ911" s="5">
        <f t="shared" si="670"/>
        <v>0</v>
      </c>
      <c r="AK911" s="5">
        <f t="shared" si="709"/>
        <v>0</v>
      </c>
      <c r="AL911" s="5">
        <f t="shared" si="710"/>
        <v>1</v>
      </c>
      <c r="AM911" s="5">
        <f t="shared" si="672"/>
        <v>0</v>
      </c>
      <c r="AN911" s="5">
        <f t="shared" si="711"/>
        <v>0</v>
      </c>
      <c r="AO911" s="5">
        <f t="shared" si="673"/>
        <v>0</v>
      </c>
      <c r="AP911" s="11" t="s">
        <v>42</v>
      </c>
      <c r="AQ911" s="11">
        <v>1.5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1</v>
      </c>
      <c r="AY911" s="1">
        <f t="shared" si="702"/>
        <v>0</v>
      </c>
      <c r="AZ911" s="1">
        <f t="shared" si="703"/>
        <v>0</v>
      </c>
      <c r="BA911" s="1">
        <f t="shared" si="704"/>
        <v>0</v>
      </c>
      <c r="BB911" s="5">
        <v>0</v>
      </c>
      <c r="BC911" s="5">
        <v>0</v>
      </c>
      <c r="BD911" s="5">
        <v>0</v>
      </c>
      <c r="BE911" s="5">
        <f t="shared" si="705"/>
        <v>1</v>
      </c>
      <c r="BF911" s="5">
        <v>1</v>
      </c>
      <c r="BG911" s="5">
        <f t="shared" si="712"/>
        <v>0</v>
      </c>
      <c r="BH911" s="5">
        <f t="shared" si="712"/>
        <v>0</v>
      </c>
      <c r="BI911" s="5">
        <f t="shared" si="712"/>
        <v>0</v>
      </c>
      <c r="BJ911" s="5">
        <f t="shared" si="712"/>
        <v>0</v>
      </c>
      <c r="BK911" s="5">
        <f t="shared" si="712"/>
        <v>0</v>
      </c>
      <c r="BL911" s="5">
        <f t="shared" si="712"/>
        <v>0</v>
      </c>
      <c r="BM911" s="5">
        <f t="shared" si="712"/>
        <v>0</v>
      </c>
      <c r="BN911" s="5">
        <f t="shared" si="706"/>
        <v>0</v>
      </c>
      <c r="BO911" s="5">
        <f t="shared" si="706"/>
        <v>0</v>
      </c>
      <c r="BP911" s="5">
        <f t="shared" si="706"/>
        <v>0</v>
      </c>
      <c r="BQ911" s="5">
        <f t="shared" si="706"/>
        <v>0</v>
      </c>
      <c r="BR911" s="5">
        <f t="shared" si="706"/>
        <v>0</v>
      </c>
      <c r="BS911" s="5">
        <f t="shared" si="706"/>
        <v>0</v>
      </c>
      <c r="BT911" s="5">
        <f t="shared" si="706"/>
        <v>0</v>
      </c>
      <c r="BU911" s="5">
        <f t="shared" si="706"/>
        <v>0</v>
      </c>
      <c r="BV911" s="5">
        <f t="shared" si="706"/>
        <v>0</v>
      </c>
      <c r="BW911" s="5">
        <f t="shared" si="706"/>
        <v>0</v>
      </c>
      <c r="BX911" s="5">
        <f t="shared" si="706"/>
        <v>0</v>
      </c>
      <c r="BY911" s="5">
        <f t="shared" si="706"/>
        <v>0</v>
      </c>
      <c r="BZ911" s="5">
        <f t="shared" si="706"/>
        <v>0</v>
      </c>
      <c r="CA911" s="5">
        <f t="shared" si="706"/>
        <v>0</v>
      </c>
      <c r="CB911" s="5">
        <f t="shared" si="706"/>
        <v>0</v>
      </c>
      <c r="CC911" s="5">
        <f t="shared" si="707"/>
        <v>0</v>
      </c>
      <c r="CD911" s="5">
        <f t="shared" si="707"/>
        <v>0</v>
      </c>
      <c r="CE911" s="5">
        <f t="shared" si="707"/>
        <v>1</v>
      </c>
    </row>
    <row r="912" spans="1:83" x14ac:dyDescent="0.2">
      <c r="A912" s="11"/>
      <c r="B912" s="11"/>
      <c r="C912" s="1">
        <f>Growth!D917</f>
        <v>0.13114754098360656</v>
      </c>
      <c r="D912" s="5" t="b">
        <f t="shared" si="715"/>
        <v>0</v>
      </c>
      <c r="E912" s="5">
        <v>2015</v>
      </c>
      <c r="F912" s="5">
        <f ca="1">LOOKUP($E912,frequence!$A$2:$A$35,frequence!L$2:L$35)</f>
        <v>59.915964498406019</v>
      </c>
      <c r="G912" s="5">
        <f ca="1">LOOKUP($E912,frequence!$A$2:$A$35,frequence!K$2:K$35)</f>
        <v>12.697082100333608</v>
      </c>
      <c r="H912" s="5">
        <f ca="1">LOOKUP($E912,frequence!$A$2:$A$35,frequence!M$2:M$35)</f>
        <v>262.07305844619424</v>
      </c>
      <c r="I912" s="16">
        <v>2005</v>
      </c>
      <c r="J912" s="7">
        <f>LOOKUP(I912,CPI!A$69:A$103,CPI!O$69:O$103)</f>
        <v>1.1165181771633383</v>
      </c>
      <c r="K912" s="16">
        <v>2015</v>
      </c>
      <c r="L912" s="7">
        <f t="shared" ca="1" si="708"/>
        <v>1</v>
      </c>
      <c r="M912" s="7">
        <f t="shared" si="671"/>
        <v>0.85245901639344268</v>
      </c>
      <c r="N912" s="14">
        <f>8/61</f>
        <v>0.13114754098360656</v>
      </c>
      <c r="O912" s="1">
        <f ca="1">P912*J912*(1+Growth!G$6)^(2010-K912)</f>
        <v>113.9371778181691</v>
      </c>
      <c r="P912" s="11">
        <v>110</v>
      </c>
      <c r="Q912" s="2">
        <f t="shared" si="699"/>
        <v>110</v>
      </c>
      <c r="R912" s="21">
        <f t="shared" ca="1" si="700"/>
        <v>12981.680489169086</v>
      </c>
      <c r="U912" s="11"/>
      <c r="V912" s="11"/>
      <c r="W912" s="11"/>
      <c r="X912" s="11"/>
      <c r="Y912" s="11"/>
      <c r="Z912" s="11"/>
      <c r="AA912" s="11"/>
      <c r="AB912" s="11"/>
      <c r="AC912" s="1">
        <f t="shared" si="701"/>
        <v>6.5</v>
      </c>
      <c r="AD912" s="5">
        <v>1</v>
      </c>
      <c r="AE912" s="5">
        <v>0</v>
      </c>
      <c r="AF912" s="5">
        <v>1</v>
      </c>
      <c r="AG912" s="5">
        <v>0</v>
      </c>
      <c r="AH912" s="5">
        <v>1</v>
      </c>
      <c r="AI912" s="3">
        <f t="shared" si="714"/>
        <v>3.5</v>
      </c>
      <c r="AJ912" s="5">
        <f t="shared" si="670"/>
        <v>0</v>
      </c>
      <c r="AK912" s="5">
        <f t="shared" si="709"/>
        <v>0</v>
      </c>
      <c r="AL912" s="5">
        <f t="shared" si="710"/>
        <v>1</v>
      </c>
      <c r="AM912" s="5">
        <f t="shared" si="672"/>
        <v>0</v>
      </c>
      <c r="AN912" s="5">
        <f t="shared" si="711"/>
        <v>0</v>
      </c>
      <c r="AO912" s="5">
        <f t="shared" si="673"/>
        <v>0</v>
      </c>
      <c r="AP912" s="11" t="s">
        <v>42</v>
      </c>
      <c r="AQ912" s="11">
        <v>1.5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1</v>
      </c>
      <c r="AY912" s="1">
        <f t="shared" si="702"/>
        <v>0</v>
      </c>
      <c r="AZ912" s="1">
        <f t="shared" si="703"/>
        <v>0</v>
      </c>
      <c r="BA912" s="1">
        <f t="shared" si="704"/>
        <v>0</v>
      </c>
      <c r="BB912" s="5">
        <v>0</v>
      </c>
      <c r="BC912" s="5">
        <v>0</v>
      </c>
      <c r="BD912" s="5">
        <v>0</v>
      </c>
      <c r="BE912" s="5">
        <f t="shared" si="705"/>
        <v>1</v>
      </c>
      <c r="BF912" s="5">
        <v>1</v>
      </c>
      <c r="BG912" s="5">
        <f t="shared" si="712"/>
        <v>0</v>
      </c>
      <c r="BH912" s="5">
        <f t="shared" si="712"/>
        <v>0</v>
      </c>
      <c r="BI912" s="5">
        <f t="shared" si="712"/>
        <v>0</v>
      </c>
      <c r="BJ912" s="5">
        <f t="shared" si="712"/>
        <v>0</v>
      </c>
      <c r="BK912" s="5">
        <f t="shared" si="712"/>
        <v>0</v>
      </c>
      <c r="BL912" s="5">
        <f t="shared" si="712"/>
        <v>0</v>
      </c>
      <c r="BM912" s="5">
        <f t="shared" si="712"/>
        <v>0</v>
      </c>
      <c r="BN912" s="5">
        <f t="shared" si="706"/>
        <v>0</v>
      </c>
      <c r="BO912" s="5">
        <f t="shared" si="706"/>
        <v>0</v>
      </c>
      <c r="BP912" s="5">
        <f t="shared" si="706"/>
        <v>0</v>
      </c>
      <c r="BQ912" s="5">
        <f t="shared" si="706"/>
        <v>0</v>
      </c>
      <c r="BR912" s="5">
        <f t="shared" si="706"/>
        <v>0</v>
      </c>
      <c r="BS912" s="5">
        <f t="shared" si="706"/>
        <v>0</v>
      </c>
      <c r="BT912" s="5">
        <f t="shared" si="706"/>
        <v>0</v>
      </c>
      <c r="BU912" s="5">
        <f t="shared" si="706"/>
        <v>0</v>
      </c>
      <c r="BV912" s="5">
        <f t="shared" si="706"/>
        <v>0</v>
      </c>
      <c r="BW912" s="5">
        <f t="shared" si="706"/>
        <v>0</v>
      </c>
      <c r="BX912" s="5">
        <f t="shared" si="706"/>
        <v>0</v>
      </c>
      <c r="BY912" s="5">
        <f t="shared" si="706"/>
        <v>0</v>
      </c>
      <c r="BZ912" s="5">
        <f t="shared" si="706"/>
        <v>0</v>
      </c>
      <c r="CA912" s="5">
        <f t="shared" si="706"/>
        <v>0</v>
      </c>
      <c r="CB912" s="5">
        <f t="shared" si="706"/>
        <v>0</v>
      </c>
      <c r="CC912" s="5">
        <f t="shared" si="707"/>
        <v>0</v>
      </c>
      <c r="CD912" s="5">
        <f t="shared" si="707"/>
        <v>0</v>
      </c>
      <c r="CE912" s="5">
        <f t="shared" si="707"/>
        <v>1</v>
      </c>
    </row>
    <row r="913" spans="1:83" x14ac:dyDescent="0.2">
      <c r="A913" s="11"/>
      <c r="B913" s="11"/>
      <c r="C913" s="1">
        <f>Growth!D918</f>
        <v>0.13114754098360656</v>
      </c>
      <c r="D913" s="5" t="b">
        <f t="shared" si="715"/>
        <v>0</v>
      </c>
      <c r="E913" s="5">
        <v>2015</v>
      </c>
      <c r="F913" s="5">
        <f ca="1">LOOKUP($E913,frequence!$A$2:$A$35,frequence!L$2:L$35)</f>
        <v>59.915964498406019</v>
      </c>
      <c r="G913" s="5">
        <f ca="1">LOOKUP($E913,frequence!$A$2:$A$35,frequence!K$2:K$35)</f>
        <v>12.697082100333608</v>
      </c>
      <c r="H913" s="5">
        <f ca="1">LOOKUP($E913,frequence!$A$2:$A$35,frequence!M$2:M$35)</f>
        <v>262.07305844619424</v>
      </c>
      <c r="I913" s="16">
        <v>2005</v>
      </c>
      <c r="J913" s="7">
        <f>LOOKUP(I913,CPI!A$69:A$103,CPI!O$69:O$103)</f>
        <v>1.1165181771633383</v>
      </c>
      <c r="K913" s="16">
        <v>2015</v>
      </c>
      <c r="L913" s="7">
        <f t="shared" ca="1" si="708"/>
        <v>1</v>
      </c>
      <c r="M913" s="7">
        <f t="shared" si="671"/>
        <v>0.85245901639344268</v>
      </c>
      <c r="N913" s="14">
        <f>8/61</f>
        <v>0.13114754098360656</v>
      </c>
      <c r="O913" s="1">
        <f ca="1">P913*J913*(1+Growth!G$6)^(2010-K913)</f>
        <v>152.26150126609872</v>
      </c>
      <c r="P913" s="11">
        <v>147</v>
      </c>
      <c r="Q913" s="2">
        <f t="shared" si="699"/>
        <v>147</v>
      </c>
      <c r="R913" s="21">
        <f t="shared" ca="1" si="700"/>
        <v>23183.564767806183</v>
      </c>
      <c r="U913" s="11"/>
      <c r="V913" s="11"/>
      <c r="W913" s="11"/>
      <c r="X913" s="11"/>
      <c r="Y913" s="11"/>
      <c r="Z913" s="11"/>
      <c r="AA913" s="11"/>
      <c r="AB913" s="11"/>
      <c r="AC913" s="1">
        <f t="shared" si="701"/>
        <v>6.5</v>
      </c>
      <c r="AD913" s="5">
        <v>1</v>
      </c>
      <c r="AE913" s="5">
        <v>0</v>
      </c>
      <c r="AF913" s="5">
        <v>1</v>
      </c>
      <c r="AG913" s="5">
        <v>0</v>
      </c>
      <c r="AH913" s="5">
        <v>1</v>
      </c>
      <c r="AI913" s="3">
        <f t="shared" si="714"/>
        <v>3.5</v>
      </c>
      <c r="AJ913" s="5">
        <f t="shared" si="670"/>
        <v>0</v>
      </c>
      <c r="AK913" s="5">
        <f t="shared" si="709"/>
        <v>0</v>
      </c>
      <c r="AL913" s="5">
        <f t="shared" si="710"/>
        <v>1</v>
      </c>
      <c r="AM913" s="5">
        <f t="shared" si="672"/>
        <v>0</v>
      </c>
      <c r="AN913" s="5">
        <f t="shared" si="711"/>
        <v>0</v>
      </c>
      <c r="AO913" s="5">
        <f t="shared" si="673"/>
        <v>0</v>
      </c>
      <c r="AP913" s="11" t="s">
        <v>42</v>
      </c>
      <c r="AQ913" s="11">
        <v>1.5</v>
      </c>
      <c r="AR913" s="5">
        <v>0</v>
      </c>
      <c r="AS913" s="5">
        <v>0</v>
      </c>
      <c r="AT913" s="5">
        <v>0</v>
      </c>
      <c r="AU913" s="5">
        <v>0</v>
      </c>
      <c r="AV913" s="5">
        <v>0</v>
      </c>
      <c r="AW913" s="5">
        <v>0</v>
      </c>
      <c r="AX913" s="5">
        <v>1</v>
      </c>
      <c r="AY913" s="1">
        <f t="shared" si="702"/>
        <v>0</v>
      </c>
      <c r="AZ913" s="1">
        <f t="shared" si="703"/>
        <v>0</v>
      </c>
      <c r="BA913" s="1">
        <f t="shared" si="704"/>
        <v>0</v>
      </c>
      <c r="BB913" s="5">
        <v>0</v>
      </c>
      <c r="BC913" s="5">
        <v>0</v>
      </c>
      <c r="BD913" s="5">
        <v>0</v>
      </c>
      <c r="BE913" s="5">
        <f t="shared" si="705"/>
        <v>1</v>
      </c>
      <c r="BF913" s="5">
        <v>1</v>
      </c>
      <c r="BG913" s="5">
        <f t="shared" si="712"/>
        <v>0</v>
      </c>
      <c r="BH913" s="5">
        <f t="shared" si="712"/>
        <v>0</v>
      </c>
      <c r="BI913" s="5">
        <f t="shared" si="712"/>
        <v>0</v>
      </c>
      <c r="BJ913" s="5">
        <f t="shared" si="712"/>
        <v>0</v>
      </c>
      <c r="BK913" s="5">
        <f t="shared" si="712"/>
        <v>0</v>
      </c>
      <c r="BL913" s="5">
        <f t="shared" si="712"/>
        <v>0</v>
      </c>
      <c r="BM913" s="5">
        <f t="shared" si="712"/>
        <v>0</v>
      </c>
      <c r="BN913" s="5">
        <f t="shared" si="706"/>
        <v>0</v>
      </c>
      <c r="BO913" s="5">
        <f t="shared" si="706"/>
        <v>0</v>
      </c>
      <c r="BP913" s="5">
        <f t="shared" si="706"/>
        <v>0</v>
      </c>
      <c r="BQ913" s="5">
        <f t="shared" si="706"/>
        <v>0</v>
      </c>
      <c r="BR913" s="5">
        <f t="shared" si="706"/>
        <v>0</v>
      </c>
      <c r="BS913" s="5">
        <f t="shared" si="706"/>
        <v>0</v>
      </c>
      <c r="BT913" s="5">
        <f t="shared" si="706"/>
        <v>0</v>
      </c>
      <c r="BU913" s="5">
        <f t="shared" si="706"/>
        <v>0</v>
      </c>
      <c r="BV913" s="5">
        <f t="shared" si="706"/>
        <v>0</v>
      </c>
      <c r="BW913" s="5">
        <f t="shared" si="706"/>
        <v>0</v>
      </c>
      <c r="BX913" s="5">
        <f t="shared" si="706"/>
        <v>0</v>
      </c>
      <c r="BY913" s="5">
        <f t="shared" si="706"/>
        <v>0</v>
      </c>
      <c r="BZ913" s="5">
        <f t="shared" si="706"/>
        <v>0</v>
      </c>
      <c r="CA913" s="5">
        <f t="shared" si="706"/>
        <v>0</v>
      </c>
      <c r="CB913" s="5">
        <f t="shared" si="706"/>
        <v>0</v>
      </c>
      <c r="CC913" s="5">
        <f t="shared" si="707"/>
        <v>0</v>
      </c>
      <c r="CD913" s="5">
        <f t="shared" si="707"/>
        <v>0</v>
      </c>
      <c r="CE913" s="5">
        <f t="shared" si="707"/>
        <v>1</v>
      </c>
    </row>
    <row r="914" spans="1:83" x14ac:dyDescent="0.2">
      <c r="A914" s="11"/>
      <c r="B914" s="11"/>
      <c r="C914" s="1">
        <f>Growth!D919</f>
        <v>0.13114754098360656</v>
      </c>
      <c r="D914" s="5" t="b">
        <f t="shared" si="715"/>
        <v>0</v>
      </c>
      <c r="E914" s="5">
        <v>2015</v>
      </c>
      <c r="F914" s="5">
        <f ca="1">LOOKUP($E914,frequence!$A$2:$A$35,frequence!L$2:L$35)</f>
        <v>59.915964498406019</v>
      </c>
      <c r="G914" s="5">
        <f ca="1">LOOKUP($E914,frequence!$A$2:$A$35,frequence!K$2:K$35)</f>
        <v>12.697082100333608</v>
      </c>
      <c r="H914" s="5">
        <f ca="1">LOOKUP($E914,frequence!$A$2:$A$35,frequence!M$2:M$35)</f>
        <v>262.07305844619424</v>
      </c>
      <c r="I914" s="16">
        <v>2005</v>
      </c>
      <c r="J914" s="7">
        <f>LOOKUP(I914,CPI!A$69:A$103,CPI!O$69:O$103)</f>
        <v>1.1165181771633383</v>
      </c>
      <c r="K914" s="16">
        <v>2015</v>
      </c>
      <c r="L914" s="7">
        <f t="shared" ca="1" si="708"/>
        <v>1</v>
      </c>
      <c r="M914" s="7">
        <f t="shared" si="671"/>
        <v>0.85245901639344268</v>
      </c>
      <c r="N914" s="14">
        <f>8/61</f>
        <v>0.13114754098360656</v>
      </c>
      <c r="O914" s="1">
        <f ca="1">P914*J914*(1+Growth!G$6)^(2010-K914)</f>
        <v>340.77574092888756</v>
      </c>
      <c r="P914" s="11">
        <v>329</v>
      </c>
      <c r="Q914" s="2">
        <f t="shared" si="699"/>
        <v>329</v>
      </c>
      <c r="R914" s="21">
        <f t="shared" ca="1" si="700"/>
        <v>116128.10560563229</v>
      </c>
      <c r="U914" s="11"/>
      <c r="V914" s="11"/>
      <c r="W914" s="11"/>
      <c r="X914" s="11"/>
      <c r="Y914" s="11"/>
      <c r="Z914" s="11"/>
      <c r="AA914" s="11"/>
      <c r="AB914" s="11"/>
      <c r="AC914" s="1">
        <f t="shared" si="701"/>
        <v>6.5</v>
      </c>
      <c r="AD914" s="5">
        <v>1</v>
      </c>
      <c r="AE914" s="5">
        <v>0</v>
      </c>
      <c r="AF914" s="5">
        <v>1</v>
      </c>
      <c r="AG914" s="5">
        <v>0</v>
      </c>
      <c r="AH914" s="5">
        <v>1</v>
      </c>
      <c r="AI914" s="3">
        <f t="shared" si="714"/>
        <v>3.5</v>
      </c>
      <c r="AJ914" s="5">
        <f t="shared" si="670"/>
        <v>0</v>
      </c>
      <c r="AK914" s="5">
        <f t="shared" si="709"/>
        <v>0</v>
      </c>
      <c r="AL914" s="5">
        <f t="shared" si="710"/>
        <v>1</v>
      </c>
      <c r="AM914" s="5">
        <f t="shared" si="672"/>
        <v>0</v>
      </c>
      <c r="AN914" s="5">
        <f t="shared" si="711"/>
        <v>0</v>
      </c>
      <c r="AO914" s="5">
        <f t="shared" si="673"/>
        <v>0</v>
      </c>
      <c r="AP914" s="11" t="s">
        <v>42</v>
      </c>
      <c r="AQ914" s="11">
        <v>1.5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1</v>
      </c>
      <c r="AY914" s="1">
        <f t="shared" si="702"/>
        <v>0</v>
      </c>
      <c r="AZ914" s="1">
        <f t="shared" si="703"/>
        <v>0</v>
      </c>
      <c r="BA914" s="1">
        <f t="shared" si="704"/>
        <v>0</v>
      </c>
      <c r="BB914" s="5">
        <v>0</v>
      </c>
      <c r="BC914" s="5">
        <v>0</v>
      </c>
      <c r="BD914" s="5">
        <v>0</v>
      </c>
      <c r="BE914" s="5">
        <f t="shared" si="705"/>
        <v>1</v>
      </c>
      <c r="BF914" s="5">
        <v>1</v>
      </c>
      <c r="BG914" s="5">
        <f t="shared" si="712"/>
        <v>0</v>
      </c>
      <c r="BH914" s="5">
        <f t="shared" si="712"/>
        <v>0</v>
      </c>
      <c r="BI914" s="5">
        <f t="shared" si="712"/>
        <v>0</v>
      </c>
      <c r="BJ914" s="5">
        <f t="shared" si="712"/>
        <v>0</v>
      </c>
      <c r="BK914" s="5">
        <f t="shared" si="712"/>
        <v>0</v>
      </c>
      <c r="BL914" s="5">
        <f t="shared" si="712"/>
        <v>0</v>
      </c>
      <c r="BM914" s="5">
        <f t="shared" si="712"/>
        <v>0</v>
      </c>
      <c r="BN914" s="5">
        <f t="shared" si="706"/>
        <v>0</v>
      </c>
      <c r="BO914" s="5">
        <f t="shared" si="706"/>
        <v>0</v>
      </c>
      <c r="BP914" s="5">
        <f t="shared" si="706"/>
        <v>0</v>
      </c>
      <c r="BQ914" s="5">
        <f t="shared" si="706"/>
        <v>0</v>
      </c>
      <c r="BR914" s="5">
        <f t="shared" si="706"/>
        <v>0</v>
      </c>
      <c r="BS914" s="5">
        <f t="shared" si="706"/>
        <v>0</v>
      </c>
      <c r="BT914" s="5">
        <f t="shared" si="706"/>
        <v>0</v>
      </c>
      <c r="BU914" s="5">
        <f t="shared" si="706"/>
        <v>0</v>
      </c>
      <c r="BV914" s="5">
        <f t="shared" si="706"/>
        <v>0</v>
      </c>
      <c r="BW914" s="5">
        <f t="shared" si="706"/>
        <v>0</v>
      </c>
      <c r="BX914" s="5">
        <f t="shared" si="706"/>
        <v>0</v>
      </c>
      <c r="BY914" s="5">
        <f t="shared" si="706"/>
        <v>0</v>
      </c>
      <c r="BZ914" s="5">
        <f t="shared" si="706"/>
        <v>0</v>
      </c>
      <c r="CA914" s="5">
        <f t="shared" si="706"/>
        <v>0</v>
      </c>
      <c r="CB914" s="5">
        <f t="shared" si="706"/>
        <v>0</v>
      </c>
      <c r="CC914" s="5">
        <f t="shared" si="707"/>
        <v>0</v>
      </c>
      <c r="CD914" s="5">
        <f t="shared" si="707"/>
        <v>0</v>
      </c>
      <c r="CE914" s="5">
        <f t="shared" si="707"/>
        <v>1</v>
      </c>
    </row>
    <row r="915" spans="1:83" x14ac:dyDescent="0.2">
      <c r="A915" s="11" t="s">
        <v>207</v>
      </c>
      <c r="B915" s="11" t="s">
        <v>197</v>
      </c>
      <c r="C915" s="1">
        <f>Growth!D920</f>
        <v>0.21052631578947367</v>
      </c>
      <c r="D915" s="5">
        <f t="shared" si="715"/>
        <v>2015</v>
      </c>
      <c r="E915" s="5">
        <v>2015</v>
      </c>
      <c r="F915" s="5">
        <f ca="1">LOOKUP($E915,frequence!$A$2:$A$35,frequence!L$2:L$35)</f>
        <v>59.915964498406019</v>
      </c>
      <c r="G915" s="5">
        <f ca="1">LOOKUP($E915,frequence!$A$2:$A$35,frequence!K$2:K$35)</f>
        <v>12.697082100333608</v>
      </c>
      <c r="H915" s="5">
        <f ca="1">LOOKUP($E915,frequence!$A$2:$A$35,frequence!M$2:M$35)</f>
        <v>262.07305844619424</v>
      </c>
      <c r="I915" s="16">
        <v>2005</v>
      </c>
      <c r="J915" s="7">
        <f>LOOKUP(I915,CPI!A$69:A$103,CPI!O$69:O$103)</f>
        <v>1.1165181771633383</v>
      </c>
      <c r="K915" s="16">
        <v>2015</v>
      </c>
      <c r="L915" s="7">
        <f t="shared" ca="1" si="708"/>
        <v>1</v>
      </c>
      <c r="M915" s="7">
        <f t="shared" si="671"/>
        <v>1.3684210526315788</v>
      </c>
      <c r="N915" s="14">
        <f>4/19</f>
        <v>0.21052631578947367</v>
      </c>
      <c r="O915" s="1">
        <f ca="1">P915*J915*(1+Growth!G$6)^(2010-K915)</f>
        <v>228.68178698383454</v>
      </c>
      <c r="P915" s="22">
        <v>220.77952999999999</v>
      </c>
      <c r="Q915" s="2">
        <f t="shared" ref="Q915:Q928" si="716">P915</f>
        <v>220.77952999999999</v>
      </c>
      <c r="R915" s="21">
        <f t="shared" ref="R915:R928" ca="1" si="717">O915*O915</f>
        <v>52295.359698119879</v>
      </c>
      <c r="U915" s="11"/>
      <c r="V915" s="11"/>
      <c r="W915" s="11"/>
      <c r="X915" s="11"/>
      <c r="Y915" s="11"/>
      <c r="Z915" s="11"/>
      <c r="AA915" s="11"/>
      <c r="AB915" s="11"/>
      <c r="AC915" s="1">
        <f t="shared" ref="AC915:AC928" si="718">SUM(AD915:AI915)</f>
        <v>6.5</v>
      </c>
      <c r="AD915" s="5">
        <v>1</v>
      </c>
      <c r="AE915" s="5">
        <v>0</v>
      </c>
      <c r="AF915" s="5">
        <v>1</v>
      </c>
      <c r="AG915" s="5">
        <v>0</v>
      </c>
      <c r="AH915" s="5">
        <v>1</v>
      </c>
      <c r="AI915" s="3">
        <f t="shared" ref="AI915:AI929" si="719">(E915-1980)/10</f>
        <v>3.5</v>
      </c>
      <c r="AJ915" s="5">
        <f t="shared" si="670"/>
        <v>0</v>
      </c>
      <c r="AK915" s="5">
        <f t="shared" si="709"/>
        <v>0</v>
      </c>
      <c r="AL915" s="5">
        <f t="shared" si="710"/>
        <v>1</v>
      </c>
      <c r="AM915" s="5">
        <f t="shared" si="672"/>
        <v>0</v>
      </c>
      <c r="AN915" s="5">
        <f t="shared" si="711"/>
        <v>0</v>
      </c>
      <c r="AO915" s="5">
        <f t="shared" si="673"/>
        <v>0</v>
      </c>
      <c r="AP915" s="11" t="s">
        <v>42</v>
      </c>
      <c r="AQ915" s="11">
        <v>1.5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1</v>
      </c>
      <c r="AY915" s="1">
        <f t="shared" ref="AY915:AY928" si="720">AJ915*$AD915*(1-$AV915)*(1-$AR915)</f>
        <v>0</v>
      </c>
      <c r="AZ915" s="1">
        <f t="shared" ref="AZ915:AZ928" si="721">AM915*$AD915*(1-$AV915)*(1-$AR915)</f>
        <v>0</v>
      </c>
      <c r="BA915" s="1">
        <f t="shared" ref="BA915:BA928" si="722">AO915*$AD915*(1-$AV915)*(1-$AR915)</f>
        <v>0</v>
      </c>
      <c r="BB915" s="5">
        <v>0</v>
      </c>
      <c r="BC915" s="5">
        <v>0</v>
      </c>
      <c r="BD915" s="5">
        <v>0</v>
      </c>
      <c r="BE915" s="5">
        <f t="shared" ref="BE915:BE929" si="723">1-SUM(BB915:BD915)</f>
        <v>1</v>
      </c>
      <c r="BF915" s="5">
        <v>1</v>
      </c>
      <c r="BG915" s="5">
        <f t="shared" si="712"/>
        <v>0</v>
      </c>
      <c r="BH915" s="5">
        <f t="shared" si="712"/>
        <v>0</v>
      </c>
      <c r="BI915" s="5">
        <f t="shared" si="712"/>
        <v>0</v>
      </c>
      <c r="BJ915" s="5">
        <f t="shared" si="712"/>
        <v>0</v>
      </c>
      <c r="BK915" s="5">
        <f t="shared" si="712"/>
        <v>0</v>
      </c>
      <c r="BL915" s="5">
        <f t="shared" si="712"/>
        <v>0</v>
      </c>
      <c r="BM915" s="5">
        <f t="shared" si="712"/>
        <v>0</v>
      </c>
      <c r="BN915" s="5">
        <f t="shared" si="706"/>
        <v>0</v>
      </c>
      <c r="BO915" s="5">
        <f t="shared" si="706"/>
        <v>0</v>
      </c>
      <c r="BP915" s="5">
        <f t="shared" si="706"/>
        <v>0</v>
      </c>
      <c r="BQ915" s="5">
        <f t="shared" si="706"/>
        <v>0</v>
      </c>
      <c r="BR915" s="5">
        <f t="shared" si="706"/>
        <v>0</v>
      </c>
      <c r="BS915" s="5">
        <f t="shared" si="706"/>
        <v>0</v>
      </c>
      <c r="BT915" s="5">
        <f t="shared" si="706"/>
        <v>0</v>
      </c>
      <c r="BU915" s="5">
        <f t="shared" si="706"/>
        <v>0</v>
      </c>
      <c r="BV915" s="5">
        <f t="shared" si="706"/>
        <v>0</v>
      </c>
      <c r="BW915" s="5">
        <f t="shared" si="706"/>
        <v>0</v>
      </c>
      <c r="BX915" s="5">
        <f t="shared" si="706"/>
        <v>0</v>
      </c>
      <c r="BY915" s="5">
        <f t="shared" si="706"/>
        <v>0</v>
      </c>
      <c r="BZ915" s="5">
        <f t="shared" si="706"/>
        <v>0</v>
      </c>
      <c r="CA915" s="5">
        <f t="shared" si="706"/>
        <v>0</v>
      </c>
      <c r="CB915" s="5">
        <f t="shared" ref="CB915:CE934" si="724">IF($E915=CB$2,1,0)</f>
        <v>0</v>
      </c>
      <c r="CC915" s="5">
        <f t="shared" si="707"/>
        <v>0</v>
      </c>
      <c r="CD915" s="5">
        <f t="shared" si="707"/>
        <v>0</v>
      </c>
      <c r="CE915" s="5">
        <f t="shared" si="707"/>
        <v>1</v>
      </c>
    </row>
    <row r="916" spans="1:83" x14ac:dyDescent="0.2">
      <c r="A916" s="11"/>
      <c r="B916" s="11"/>
      <c r="C916" s="1">
        <f>Growth!D921</f>
        <v>5.2631578947368418E-2</v>
      </c>
      <c r="D916" s="5" t="b">
        <f t="shared" si="715"/>
        <v>0</v>
      </c>
      <c r="E916" s="5">
        <v>2015</v>
      </c>
      <c r="F916" s="5">
        <f ca="1">LOOKUP($E916,frequence!$A$2:$A$35,frequence!L$2:L$35)</f>
        <v>59.915964498406019</v>
      </c>
      <c r="G916" s="5">
        <f ca="1">LOOKUP($E916,frequence!$A$2:$A$35,frequence!K$2:K$35)</f>
        <v>12.697082100333608</v>
      </c>
      <c r="H916" s="5">
        <f ca="1">LOOKUP($E916,frequence!$A$2:$A$35,frequence!M$2:M$35)</f>
        <v>262.07305844619424</v>
      </c>
      <c r="I916" s="16">
        <v>2005</v>
      </c>
      <c r="J916" s="7">
        <f>LOOKUP(I916,CPI!A$69:A$103,CPI!O$69:O$103)</f>
        <v>1.1165181771633383</v>
      </c>
      <c r="K916" s="16">
        <v>2015</v>
      </c>
      <c r="L916" s="7">
        <f t="shared" ca="1" si="708"/>
        <v>1</v>
      </c>
      <c r="M916" s="7">
        <f t="shared" si="671"/>
        <v>0.34210526315789469</v>
      </c>
      <c r="N916" s="14">
        <f>1/19</f>
        <v>5.2631578947368418E-2</v>
      </c>
      <c r="O916" s="1">
        <f ca="1">P916*J916*(1+Growth!G$6)^(2010-K916)</f>
        <v>34.233730174051182</v>
      </c>
      <c r="P916" s="22">
        <v>33.050759999999997</v>
      </c>
      <c r="Q916" s="2">
        <f t="shared" si="716"/>
        <v>33.050759999999997</v>
      </c>
      <c r="R916" s="21">
        <f t="shared" ca="1" si="717"/>
        <v>1171.9482816297423</v>
      </c>
      <c r="U916" s="11"/>
      <c r="V916" s="11"/>
      <c r="W916" s="11"/>
      <c r="X916" s="11"/>
      <c r="Y916" s="11"/>
      <c r="Z916" s="11"/>
      <c r="AA916" s="11"/>
      <c r="AB916" s="11"/>
      <c r="AC916" s="1">
        <f t="shared" si="718"/>
        <v>6.5</v>
      </c>
      <c r="AD916" s="5">
        <v>1</v>
      </c>
      <c r="AE916" s="5">
        <v>0</v>
      </c>
      <c r="AF916" s="5">
        <v>1</v>
      </c>
      <c r="AG916" s="5">
        <v>0</v>
      </c>
      <c r="AH916" s="5">
        <v>1</v>
      </c>
      <c r="AI916" s="3">
        <f t="shared" si="719"/>
        <v>3.5</v>
      </c>
      <c r="AJ916" s="5">
        <f t="shared" si="670"/>
        <v>0</v>
      </c>
      <c r="AK916" s="5">
        <f t="shared" si="709"/>
        <v>0</v>
      </c>
      <c r="AL916" s="5">
        <f t="shared" si="710"/>
        <v>1</v>
      </c>
      <c r="AM916" s="5">
        <f t="shared" si="672"/>
        <v>0</v>
      </c>
      <c r="AN916" s="5">
        <f t="shared" si="711"/>
        <v>0</v>
      </c>
      <c r="AO916" s="5">
        <f t="shared" si="673"/>
        <v>0</v>
      </c>
      <c r="AP916" s="11" t="s">
        <v>42</v>
      </c>
      <c r="AQ916" s="11">
        <v>1.5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1</v>
      </c>
      <c r="AY916" s="1">
        <f t="shared" si="720"/>
        <v>0</v>
      </c>
      <c r="AZ916" s="1">
        <f t="shared" si="721"/>
        <v>0</v>
      </c>
      <c r="BA916" s="1">
        <f t="shared" si="722"/>
        <v>0</v>
      </c>
      <c r="BB916" s="5">
        <v>0</v>
      </c>
      <c r="BC916" s="5">
        <v>0</v>
      </c>
      <c r="BD916" s="5">
        <v>0</v>
      </c>
      <c r="BE916" s="5">
        <f t="shared" si="723"/>
        <v>1</v>
      </c>
      <c r="BF916" s="5">
        <v>1</v>
      </c>
      <c r="BG916" s="5">
        <f t="shared" si="712"/>
        <v>0</v>
      </c>
      <c r="BH916" s="5">
        <f t="shared" si="712"/>
        <v>0</v>
      </c>
      <c r="BI916" s="5">
        <f t="shared" si="712"/>
        <v>0</v>
      </c>
      <c r="BJ916" s="5">
        <f t="shared" si="712"/>
        <v>0</v>
      </c>
      <c r="BK916" s="5">
        <f t="shared" si="712"/>
        <v>0</v>
      </c>
      <c r="BL916" s="5">
        <f t="shared" si="712"/>
        <v>0</v>
      </c>
      <c r="BM916" s="5">
        <f t="shared" si="712"/>
        <v>0</v>
      </c>
      <c r="BN916" s="5">
        <f t="shared" si="712"/>
        <v>0</v>
      </c>
      <c r="BO916" s="5">
        <f t="shared" ref="BO916:CA931" si="725">IF($E916=BO$2,1,0)</f>
        <v>0</v>
      </c>
      <c r="BP916" s="5">
        <f t="shared" si="725"/>
        <v>0</v>
      </c>
      <c r="BQ916" s="5">
        <f t="shared" si="725"/>
        <v>0</v>
      </c>
      <c r="BR916" s="5">
        <f t="shared" si="725"/>
        <v>0</v>
      </c>
      <c r="BS916" s="5">
        <f t="shared" si="725"/>
        <v>0</v>
      </c>
      <c r="BT916" s="5">
        <f t="shared" si="725"/>
        <v>0</v>
      </c>
      <c r="BU916" s="5">
        <f t="shared" si="725"/>
        <v>0</v>
      </c>
      <c r="BV916" s="5">
        <f t="shared" si="725"/>
        <v>0</v>
      </c>
      <c r="BW916" s="5">
        <f t="shared" si="725"/>
        <v>0</v>
      </c>
      <c r="BX916" s="5">
        <f t="shared" si="725"/>
        <v>0</v>
      </c>
      <c r="BY916" s="5">
        <f t="shared" si="725"/>
        <v>0</v>
      </c>
      <c r="BZ916" s="5">
        <f t="shared" si="725"/>
        <v>0</v>
      </c>
      <c r="CA916" s="5">
        <f t="shared" si="725"/>
        <v>0</v>
      </c>
      <c r="CB916" s="5">
        <f t="shared" si="724"/>
        <v>0</v>
      </c>
      <c r="CC916" s="5">
        <f t="shared" si="707"/>
        <v>0</v>
      </c>
      <c r="CD916" s="5">
        <f t="shared" si="707"/>
        <v>0</v>
      </c>
      <c r="CE916" s="5">
        <f t="shared" si="707"/>
        <v>1</v>
      </c>
    </row>
    <row r="917" spans="1:83" x14ac:dyDescent="0.2">
      <c r="A917" s="11"/>
      <c r="B917" s="11"/>
      <c r="C917" s="1">
        <f>Growth!D922</f>
        <v>0.10526315789473684</v>
      </c>
      <c r="D917" s="5" t="b">
        <f t="shared" si="715"/>
        <v>0</v>
      </c>
      <c r="E917" s="5">
        <v>2015</v>
      </c>
      <c r="F917" s="5">
        <f ca="1">LOOKUP($E917,frequence!$A$2:$A$35,frequence!L$2:L$35)</f>
        <v>59.915964498406019</v>
      </c>
      <c r="G917" s="5">
        <f ca="1">LOOKUP($E917,frequence!$A$2:$A$35,frequence!K$2:K$35)</f>
        <v>12.697082100333608</v>
      </c>
      <c r="H917" s="5">
        <f ca="1">LOOKUP($E917,frequence!$A$2:$A$35,frequence!M$2:M$35)</f>
        <v>262.07305844619424</v>
      </c>
      <c r="I917" s="16">
        <v>2005</v>
      </c>
      <c r="J917" s="7">
        <f>LOOKUP(I917,CPI!A$69:A$103,CPI!O$69:O$103)</f>
        <v>1.1165181771633383</v>
      </c>
      <c r="K917" s="16">
        <v>2015</v>
      </c>
      <c r="L917" s="7">
        <f t="shared" ca="1" si="708"/>
        <v>1</v>
      </c>
      <c r="M917" s="7">
        <f t="shared" si="671"/>
        <v>0.68421052631578938</v>
      </c>
      <c r="N917" s="14">
        <f>2/19</f>
        <v>0.10526315789473684</v>
      </c>
      <c r="O917" s="1">
        <f ca="1">P917*J917*(1+Growth!G$6)^(2010-K917)</f>
        <v>150.6084799744622</v>
      </c>
      <c r="P917" s="22">
        <v>145.4041</v>
      </c>
      <c r="Q917" s="2">
        <f t="shared" si="716"/>
        <v>145.4041</v>
      </c>
      <c r="R917" s="21">
        <f t="shared" ca="1" si="717"/>
        <v>22682.914240217982</v>
      </c>
      <c r="U917" s="11"/>
      <c r="V917" s="11"/>
      <c r="W917" s="11"/>
      <c r="X917" s="11"/>
      <c r="Y917" s="11"/>
      <c r="Z917" s="11"/>
      <c r="AA917" s="11"/>
      <c r="AB917" s="11"/>
      <c r="AC917" s="1">
        <f t="shared" si="718"/>
        <v>6.5</v>
      </c>
      <c r="AD917" s="5">
        <v>1</v>
      </c>
      <c r="AE917" s="5">
        <v>0</v>
      </c>
      <c r="AF917" s="5">
        <v>1</v>
      </c>
      <c r="AG917" s="5">
        <v>0</v>
      </c>
      <c r="AH917" s="5">
        <v>1</v>
      </c>
      <c r="AI917" s="3">
        <f t="shared" si="719"/>
        <v>3.5</v>
      </c>
      <c r="AJ917" s="5">
        <f t="shared" si="670"/>
        <v>0</v>
      </c>
      <c r="AK917" s="5">
        <f t="shared" si="709"/>
        <v>0</v>
      </c>
      <c r="AL917" s="5">
        <f t="shared" si="710"/>
        <v>1</v>
      </c>
      <c r="AM917" s="5">
        <f t="shared" si="672"/>
        <v>0</v>
      </c>
      <c r="AN917" s="5">
        <f t="shared" si="711"/>
        <v>0</v>
      </c>
      <c r="AO917" s="5">
        <f t="shared" si="673"/>
        <v>0</v>
      </c>
      <c r="AP917" s="11" t="s">
        <v>42</v>
      </c>
      <c r="AQ917" s="11">
        <v>1.5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1</v>
      </c>
      <c r="AY917" s="1">
        <f t="shared" si="720"/>
        <v>0</v>
      </c>
      <c r="AZ917" s="1">
        <f t="shared" si="721"/>
        <v>0</v>
      </c>
      <c r="BA917" s="1">
        <f t="shared" si="722"/>
        <v>0</v>
      </c>
      <c r="BB917" s="5">
        <v>0</v>
      </c>
      <c r="BC917" s="5">
        <v>0</v>
      </c>
      <c r="BD917" s="5">
        <v>0</v>
      </c>
      <c r="BE917" s="5">
        <f t="shared" si="723"/>
        <v>1</v>
      </c>
      <c r="BF917" s="5">
        <v>1</v>
      </c>
      <c r="BG917" s="5">
        <f t="shared" ref="BG917:BN932" si="726">IF($E917=BG$2,1,0)</f>
        <v>0</v>
      </c>
      <c r="BH917" s="5">
        <f t="shared" si="726"/>
        <v>0</v>
      </c>
      <c r="BI917" s="5">
        <f t="shared" si="726"/>
        <v>0</v>
      </c>
      <c r="BJ917" s="5">
        <f t="shared" si="726"/>
        <v>0</v>
      </c>
      <c r="BK917" s="5">
        <f t="shared" si="726"/>
        <v>0</v>
      </c>
      <c r="BL917" s="5">
        <f t="shared" si="726"/>
        <v>0</v>
      </c>
      <c r="BM917" s="5">
        <f t="shared" si="726"/>
        <v>0</v>
      </c>
      <c r="BN917" s="5">
        <f t="shared" si="726"/>
        <v>0</v>
      </c>
      <c r="BO917" s="5">
        <f t="shared" si="725"/>
        <v>0</v>
      </c>
      <c r="BP917" s="5">
        <f t="shared" si="725"/>
        <v>0</v>
      </c>
      <c r="BQ917" s="5">
        <f t="shared" si="725"/>
        <v>0</v>
      </c>
      <c r="BR917" s="5">
        <f t="shared" si="725"/>
        <v>0</v>
      </c>
      <c r="BS917" s="5">
        <f t="shared" si="725"/>
        <v>0</v>
      </c>
      <c r="BT917" s="5">
        <f t="shared" si="725"/>
        <v>0</v>
      </c>
      <c r="BU917" s="5">
        <f t="shared" si="725"/>
        <v>0</v>
      </c>
      <c r="BV917" s="5">
        <f t="shared" si="725"/>
        <v>0</v>
      </c>
      <c r="BW917" s="5">
        <f t="shared" si="725"/>
        <v>0</v>
      </c>
      <c r="BX917" s="5">
        <f t="shared" si="725"/>
        <v>0</v>
      </c>
      <c r="BY917" s="5">
        <f t="shared" si="725"/>
        <v>0</v>
      </c>
      <c r="BZ917" s="5">
        <f t="shared" si="725"/>
        <v>0</v>
      </c>
      <c r="CA917" s="5">
        <f t="shared" si="725"/>
        <v>0</v>
      </c>
      <c r="CB917" s="5">
        <f t="shared" si="724"/>
        <v>0</v>
      </c>
      <c r="CC917" s="5">
        <f t="shared" si="707"/>
        <v>0</v>
      </c>
      <c r="CD917" s="5">
        <f t="shared" si="707"/>
        <v>0</v>
      </c>
      <c r="CE917" s="5">
        <f t="shared" si="707"/>
        <v>1</v>
      </c>
    </row>
    <row r="918" spans="1:83" x14ac:dyDescent="0.2">
      <c r="A918" s="11"/>
      <c r="B918" s="11"/>
      <c r="C918" s="1">
        <f>Growth!D923</f>
        <v>0.10526315789473684</v>
      </c>
      <c r="D918" s="5" t="b">
        <f t="shared" si="715"/>
        <v>0</v>
      </c>
      <c r="E918" s="5">
        <v>2015</v>
      </c>
      <c r="F918" s="5">
        <f ca="1">LOOKUP($E918,frequence!$A$2:$A$35,frequence!L$2:L$35)</f>
        <v>59.915964498406019</v>
      </c>
      <c r="G918" s="5">
        <f ca="1">LOOKUP($E918,frequence!$A$2:$A$35,frequence!K$2:K$35)</f>
        <v>12.697082100333608</v>
      </c>
      <c r="H918" s="5">
        <f ca="1">LOOKUP($E918,frequence!$A$2:$A$35,frequence!M$2:M$35)</f>
        <v>262.07305844619424</v>
      </c>
      <c r="I918" s="16">
        <v>2005</v>
      </c>
      <c r="J918" s="7">
        <f>LOOKUP(I918,CPI!A$69:A$103,CPI!O$69:O$103)</f>
        <v>1.1165181771633383</v>
      </c>
      <c r="K918" s="16">
        <v>2015</v>
      </c>
      <c r="L918" s="7">
        <f t="shared" ca="1" si="708"/>
        <v>1</v>
      </c>
      <c r="M918" s="7">
        <f t="shared" si="671"/>
        <v>0.68421052631578938</v>
      </c>
      <c r="N918" s="14">
        <f>2/19</f>
        <v>0.10526315789473684</v>
      </c>
      <c r="O918" s="1">
        <f ca="1">P918*J918*(1+Growth!G$6)^(2010-K918)</f>
        <v>244.53502662130509</v>
      </c>
      <c r="P918" s="22">
        <v>236.08494999999999</v>
      </c>
      <c r="Q918" s="2">
        <f t="shared" si="716"/>
        <v>236.08494999999999</v>
      </c>
      <c r="R918" s="21">
        <f t="shared" ca="1" si="717"/>
        <v>59797.379244682394</v>
      </c>
      <c r="U918" s="11"/>
      <c r="V918" s="11"/>
      <c r="W918" s="11"/>
      <c r="X918" s="11"/>
      <c r="Y918" s="11"/>
      <c r="Z918" s="11"/>
      <c r="AA918" s="11"/>
      <c r="AB918" s="11"/>
      <c r="AC918" s="1">
        <f t="shared" si="718"/>
        <v>6.5</v>
      </c>
      <c r="AD918" s="5">
        <v>1</v>
      </c>
      <c r="AE918" s="5">
        <v>0</v>
      </c>
      <c r="AF918" s="5">
        <v>1</v>
      </c>
      <c r="AG918" s="5">
        <v>0</v>
      </c>
      <c r="AH918" s="5">
        <v>1</v>
      </c>
      <c r="AI918" s="3">
        <f t="shared" si="719"/>
        <v>3.5</v>
      </c>
      <c r="AJ918" s="5">
        <f t="shared" si="670"/>
        <v>0</v>
      </c>
      <c r="AK918" s="5">
        <f t="shared" si="709"/>
        <v>0</v>
      </c>
      <c r="AL918" s="5">
        <f t="shared" si="710"/>
        <v>1</v>
      </c>
      <c r="AM918" s="5">
        <f t="shared" si="672"/>
        <v>0</v>
      </c>
      <c r="AN918" s="5">
        <f t="shared" si="711"/>
        <v>0</v>
      </c>
      <c r="AO918" s="5">
        <f t="shared" si="673"/>
        <v>0</v>
      </c>
      <c r="AP918" s="11" t="s">
        <v>42</v>
      </c>
      <c r="AQ918" s="11">
        <v>1.5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1</v>
      </c>
      <c r="AY918" s="1">
        <f t="shared" si="720"/>
        <v>0</v>
      </c>
      <c r="AZ918" s="1">
        <f t="shared" si="721"/>
        <v>0</v>
      </c>
      <c r="BA918" s="1">
        <f t="shared" si="722"/>
        <v>0</v>
      </c>
      <c r="BB918" s="5">
        <v>0</v>
      </c>
      <c r="BC918" s="5">
        <v>0</v>
      </c>
      <c r="BD918" s="5">
        <v>0</v>
      </c>
      <c r="BE918" s="5">
        <f t="shared" si="723"/>
        <v>1</v>
      </c>
      <c r="BF918" s="5">
        <v>1</v>
      </c>
      <c r="BG918" s="5">
        <f t="shared" si="726"/>
        <v>0</v>
      </c>
      <c r="BH918" s="5">
        <f t="shared" si="726"/>
        <v>0</v>
      </c>
      <c r="BI918" s="5">
        <f t="shared" si="726"/>
        <v>0</v>
      </c>
      <c r="BJ918" s="5">
        <f t="shared" si="726"/>
        <v>0</v>
      </c>
      <c r="BK918" s="5">
        <f t="shared" si="726"/>
        <v>0</v>
      </c>
      <c r="BL918" s="5">
        <f t="shared" si="726"/>
        <v>0</v>
      </c>
      <c r="BM918" s="5">
        <f t="shared" si="726"/>
        <v>0</v>
      </c>
      <c r="BN918" s="5">
        <f t="shared" si="726"/>
        <v>0</v>
      </c>
      <c r="BO918" s="5">
        <f t="shared" si="725"/>
        <v>0</v>
      </c>
      <c r="BP918" s="5">
        <f t="shared" si="725"/>
        <v>0</v>
      </c>
      <c r="BQ918" s="5">
        <f t="shared" si="725"/>
        <v>0</v>
      </c>
      <c r="BR918" s="5">
        <f t="shared" si="725"/>
        <v>0</v>
      </c>
      <c r="BS918" s="5">
        <f t="shared" si="725"/>
        <v>0</v>
      </c>
      <c r="BT918" s="5">
        <f t="shared" si="725"/>
        <v>0</v>
      </c>
      <c r="BU918" s="5">
        <f t="shared" si="725"/>
        <v>0</v>
      </c>
      <c r="BV918" s="5">
        <f t="shared" si="725"/>
        <v>0</v>
      </c>
      <c r="BW918" s="5">
        <f t="shared" si="725"/>
        <v>0</v>
      </c>
      <c r="BX918" s="5">
        <f t="shared" si="725"/>
        <v>0</v>
      </c>
      <c r="BY918" s="5">
        <f t="shared" si="725"/>
        <v>0</v>
      </c>
      <c r="BZ918" s="5">
        <f t="shared" si="725"/>
        <v>0</v>
      </c>
      <c r="CA918" s="5">
        <f t="shared" si="725"/>
        <v>0</v>
      </c>
      <c r="CB918" s="5">
        <f t="shared" si="724"/>
        <v>0</v>
      </c>
      <c r="CC918" s="5">
        <f t="shared" si="707"/>
        <v>0</v>
      </c>
      <c r="CD918" s="5">
        <f t="shared" si="707"/>
        <v>0</v>
      </c>
      <c r="CE918" s="5">
        <f t="shared" si="707"/>
        <v>1</v>
      </c>
    </row>
    <row r="919" spans="1:83" x14ac:dyDescent="0.2">
      <c r="A919" s="11"/>
      <c r="B919" s="11"/>
      <c r="C919" s="1">
        <f>Growth!D924</f>
        <v>5.2631578947368418E-2</v>
      </c>
      <c r="D919" s="5" t="b">
        <f t="shared" si="715"/>
        <v>0</v>
      </c>
      <c r="E919" s="5">
        <v>2015</v>
      </c>
      <c r="F919" s="5">
        <f ca="1">LOOKUP($E919,frequence!$A$2:$A$35,frequence!L$2:L$35)</f>
        <v>59.915964498406019</v>
      </c>
      <c r="G919" s="5">
        <f ca="1">LOOKUP($E919,frequence!$A$2:$A$35,frequence!K$2:K$35)</f>
        <v>12.697082100333608</v>
      </c>
      <c r="H919" s="5">
        <f ca="1">LOOKUP($E919,frequence!$A$2:$A$35,frequence!M$2:M$35)</f>
        <v>262.07305844619424</v>
      </c>
      <c r="I919" s="16">
        <v>2005</v>
      </c>
      <c r="J919" s="7">
        <f>LOOKUP(I919,CPI!A$69:A$103,CPI!O$69:O$103)</f>
        <v>1.1165181771633383</v>
      </c>
      <c r="K919" s="16">
        <v>2015</v>
      </c>
      <c r="L919" s="7">
        <f t="shared" ca="1" si="708"/>
        <v>1</v>
      </c>
      <c r="M919" s="7">
        <f t="shared" si="671"/>
        <v>0.34210526315789469</v>
      </c>
      <c r="N919" s="14">
        <f t="shared" ref="N919:N928" si="727">1/19</f>
        <v>5.2631578947368418E-2</v>
      </c>
      <c r="O919" s="1">
        <f ca="1">P919*J919*(1+Growth!G$6)^(2010-K919)</f>
        <v>75.041521571032916</v>
      </c>
      <c r="P919" s="22">
        <v>72.448409999999996</v>
      </c>
      <c r="Q919" s="2">
        <f t="shared" si="716"/>
        <v>72.448409999999996</v>
      </c>
      <c r="R919" s="21">
        <f t="shared" ca="1" si="717"/>
        <v>5631.2299596957982</v>
      </c>
      <c r="U919" s="11"/>
      <c r="V919" s="11"/>
      <c r="W919" s="11"/>
      <c r="X919" s="11"/>
      <c r="Y919" s="11"/>
      <c r="Z919" s="11"/>
      <c r="AA919" s="11"/>
      <c r="AB919" s="11"/>
      <c r="AC919" s="1">
        <f t="shared" si="718"/>
        <v>6.5</v>
      </c>
      <c r="AD919" s="5">
        <v>1</v>
      </c>
      <c r="AE919" s="5">
        <v>0</v>
      </c>
      <c r="AF919" s="5">
        <v>1</v>
      </c>
      <c r="AG919" s="5">
        <v>0</v>
      </c>
      <c r="AH919" s="5">
        <v>1</v>
      </c>
      <c r="AI919" s="3">
        <f t="shared" si="719"/>
        <v>3.5</v>
      </c>
      <c r="AJ919" s="5">
        <f t="shared" ref="AJ919:AJ982" si="728">IF($AQ919=3,1,0)</f>
        <v>0</v>
      </c>
      <c r="AK919" s="5">
        <f t="shared" si="709"/>
        <v>0</v>
      </c>
      <c r="AL919" s="5">
        <f t="shared" si="710"/>
        <v>1</v>
      </c>
      <c r="AM919" s="5">
        <f t="shared" si="672"/>
        <v>0</v>
      </c>
      <c r="AN919" s="5">
        <f t="shared" si="711"/>
        <v>0</v>
      </c>
      <c r="AO919" s="5">
        <f t="shared" si="673"/>
        <v>0</v>
      </c>
      <c r="AP919" s="11" t="s">
        <v>42</v>
      </c>
      <c r="AQ919" s="11">
        <v>1.5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1</v>
      </c>
      <c r="AY919" s="1">
        <f t="shared" si="720"/>
        <v>0</v>
      </c>
      <c r="AZ919" s="1">
        <f t="shared" si="721"/>
        <v>0</v>
      </c>
      <c r="BA919" s="1">
        <f t="shared" si="722"/>
        <v>0</v>
      </c>
      <c r="BB919" s="5">
        <v>0</v>
      </c>
      <c r="BC919" s="5">
        <v>0</v>
      </c>
      <c r="BD919" s="5">
        <v>0</v>
      </c>
      <c r="BE919" s="5">
        <f t="shared" si="723"/>
        <v>1</v>
      </c>
      <c r="BF919" s="5">
        <v>1</v>
      </c>
      <c r="BG919" s="5">
        <f t="shared" si="726"/>
        <v>0</v>
      </c>
      <c r="BH919" s="5">
        <f t="shared" si="726"/>
        <v>0</v>
      </c>
      <c r="BI919" s="5">
        <f t="shared" si="726"/>
        <v>0</v>
      </c>
      <c r="BJ919" s="5">
        <f t="shared" si="726"/>
        <v>0</v>
      </c>
      <c r="BK919" s="5">
        <f t="shared" si="726"/>
        <v>0</v>
      </c>
      <c r="BL919" s="5">
        <f t="shared" si="726"/>
        <v>0</v>
      </c>
      <c r="BM919" s="5">
        <f t="shared" si="726"/>
        <v>0</v>
      </c>
      <c r="BN919" s="5">
        <f t="shared" si="726"/>
        <v>0</v>
      </c>
      <c r="BO919" s="5">
        <f t="shared" si="725"/>
        <v>0</v>
      </c>
      <c r="BP919" s="5">
        <f t="shared" si="725"/>
        <v>0</v>
      </c>
      <c r="BQ919" s="5">
        <f t="shared" si="725"/>
        <v>0</v>
      </c>
      <c r="BR919" s="5">
        <f t="shared" si="725"/>
        <v>0</v>
      </c>
      <c r="BS919" s="5">
        <f t="shared" si="725"/>
        <v>0</v>
      </c>
      <c r="BT919" s="5">
        <f t="shared" si="725"/>
        <v>0</v>
      </c>
      <c r="BU919" s="5">
        <f t="shared" si="725"/>
        <v>0</v>
      </c>
      <c r="BV919" s="5">
        <f t="shared" si="725"/>
        <v>0</v>
      </c>
      <c r="BW919" s="5">
        <f t="shared" si="725"/>
        <v>0</v>
      </c>
      <c r="BX919" s="5">
        <f t="shared" si="725"/>
        <v>0</v>
      </c>
      <c r="BY919" s="5">
        <f t="shared" si="725"/>
        <v>0</v>
      </c>
      <c r="BZ919" s="5">
        <f t="shared" si="725"/>
        <v>0</v>
      </c>
      <c r="CA919" s="5">
        <f t="shared" si="725"/>
        <v>0</v>
      </c>
      <c r="CB919" s="5">
        <f t="shared" si="724"/>
        <v>0</v>
      </c>
      <c r="CC919" s="5">
        <f t="shared" si="707"/>
        <v>0</v>
      </c>
      <c r="CD919" s="5">
        <f t="shared" si="707"/>
        <v>0</v>
      </c>
      <c r="CE919" s="5">
        <f t="shared" si="707"/>
        <v>1</v>
      </c>
    </row>
    <row r="920" spans="1:83" x14ac:dyDescent="0.2">
      <c r="A920" s="11"/>
      <c r="B920" s="11"/>
      <c r="C920" s="1">
        <f>Growth!D925</f>
        <v>5.2631578947368418E-2</v>
      </c>
      <c r="D920" s="5" t="b">
        <f t="shared" si="715"/>
        <v>0</v>
      </c>
      <c r="E920" s="5">
        <v>2015</v>
      </c>
      <c r="F920" s="5">
        <f ca="1">LOOKUP($E920,frequence!$A$2:$A$35,frequence!L$2:L$35)</f>
        <v>59.915964498406019</v>
      </c>
      <c r="G920" s="5">
        <f ca="1">LOOKUP($E920,frequence!$A$2:$A$35,frequence!K$2:K$35)</f>
        <v>12.697082100333608</v>
      </c>
      <c r="H920" s="5">
        <f ca="1">LOOKUP($E920,frequence!$A$2:$A$35,frequence!M$2:M$35)</f>
        <v>262.07305844619424</v>
      </c>
      <c r="I920" s="16">
        <v>2005</v>
      </c>
      <c r="J920" s="7">
        <f>LOOKUP(I920,CPI!A$69:A$103,CPI!O$69:O$103)</f>
        <v>1.1165181771633383</v>
      </c>
      <c r="K920" s="16">
        <v>2015</v>
      </c>
      <c r="L920" s="7">
        <f t="shared" ca="1" si="708"/>
        <v>1</v>
      </c>
      <c r="M920" s="7">
        <f t="shared" si="671"/>
        <v>0.34210526315789469</v>
      </c>
      <c r="N920" s="14">
        <f t="shared" si="727"/>
        <v>5.2631578947368418E-2</v>
      </c>
      <c r="O920" s="1">
        <f ca="1">P920*J920*(1+Growth!G$6)^(2010-K920)</f>
        <v>129.75592556453651</v>
      </c>
      <c r="P920" s="22">
        <v>125.27212</v>
      </c>
      <c r="Q920" s="2">
        <f t="shared" si="716"/>
        <v>125.27212</v>
      </c>
      <c r="R920" s="21">
        <f t="shared" ca="1" si="717"/>
        <v>16836.600219109539</v>
      </c>
      <c r="U920" s="11"/>
      <c r="V920" s="11"/>
      <c r="W920" s="11"/>
      <c r="X920" s="11"/>
      <c r="Y920" s="11"/>
      <c r="Z920" s="11"/>
      <c r="AA920" s="11"/>
      <c r="AB920" s="11"/>
      <c r="AC920" s="1">
        <f t="shared" si="718"/>
        <v>6.5</v>
      </c>
      <c r="AD920" s="5">
        <v>1</v>
      </c>
      <c r="AE920" s="5">
        <v>0</v>
      </c>
      <c r="AF920" s="5">
        <v>1</v>
      </c>
      <c r="AG920" s="5">
        <v>0</v>
      </c>
      <c r="AH920" s="5">
        <v>1</v>
      </c>
      <c r="AI920" s="3">
        <f t="shared" si="719"/>
        <v>3.5</v>
      </c>
      <c r="AJ920" s="5">
        <f t="shared" si="728"/>
        <v>0</v>
      </c>
      <c r="AK920" s="5">
        <f t="shared" si="709"/>
        <v>0</v>
      </c>
      <c r="AL920" s="5">
        <f t="shared" si="710"/>
        <v>1</v>
      </c>
      <c r="AM920" s="5">
        <f t="shared" si="672"/>
        <v>0</v>
      </c>
      <c r="AN920" s="5">
        <f t="shared" si="711"/>
        <v>0</v>
      </c>
      <c r="AO920" s="5">
        <f t="shared" si="673"/>
        <v>0</v>
      </c>
      <c r="AP920" s="11" t="s">
        <v>42</v>
      </c>
      <c r="AQ920" s="11">
        <v>1.5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1</v>
      </c>
      <c r="AY920" s="1">
        <f t="shared" si="720"/>
        <v>0</v>
      </c>
      <c r="AZ920" s="1">
        <f t="shared" si="721"/>
        <v>0</v>
      </c>
      <c r="BA920" s="1">
        <f t="shared" si="722"/>
        <v>0</v>
      </c>
      <c r="BB920" s="5">
        <v>0</v>
      </c>
      <c r="BC920" s="5">
        <v>0</v>
      </c>
      <c r="BD920" s="5">
        <v>0</v>
      </c>
      <c r="BE920" s="5">
        <f t="shared" si="723"/>
        <v>1</v>
      </c>
      <c r="BF920" s="5">
        <v>1</v>
      </c>
      <c r="BG920" s="5">
        <f t="shared" si="726"/>
        <v>0</v>
      </c>
      <c r="BH920" s="5">
        <f t="shared" si="726"/>
        <v>0</v>
      </c>
      <c r="BI920" s="5">
        <f t="shared" si="726"/>
        <v>0</v>
      </c>
      <c r="BJ920" s="5">
        <f t="shared" si="726"/>
        <v>0</v>
      </c>
      <c r="BK920" s="5">
        <f t="shared" si="726"/>
        <v>0</v>
      </c>
      <c r="BL920" s="5">
        <f t="shared" si="726"/>
        <v>0</v>
      </c>
      <c r="BM920" s="5">
        <f t="shared" si="726"/>
        <v>0</v>
      </c>
      <c r="BN920" s="5">
        <f t="shared" si="726"/>
        <v>0</v>
      </c>
      <c r="BO920" s="5">
        <f t="shared" si="725"/>
        <v>0</v>
      </c>
      <c r="BP920" s="5">
        <f t="shared" si="725"/>
        <v>0</v>
      </c>
      <c r="BQ920" s="5">
        <f t="shared" si="725"/>
        <v>0</v>
      </c>
      <c r="BR920" s="5">
        <f t="shared" si="725"/>
        <v>0</v>
      </c>
      <c r="BS920" s="5">
        <f t="shared" si="725"/>
        <v>0</v>
      </c>
      <c r="BT920" s="5">
        <f t="shared" si="725"/>
        <v>0</v>
      </c>
      <c r="BU920" s="5">
        <f t="shared" si="725"/>
        <v>0</v>
      </c>
      <c r="BV920" s="5">
        <f t="shared" si="725"/>
        <v>0</v>
      </c>
      <c r="BW920" s="5">
        <f t="shared" si="725"/>
        <v>0</v>
      </c>
      <c r="BX920" s="5">
        <f t="shared" si="725"/>
        <v>0</v>
      </c>
      <c r="BY920" s="5">
        <f t="shared" si="725"/>
        <v>0</v>
      </c>
      <c r="BZ920" s="5">
        <f t="shared" si="725"/>
        <v>0</v>
      </c>
      <c r="CA920" s="5">
        <f t="shared" si="725"/>
        <v>0</v>
      </c>
      <c r="CB920" s="5">
        <f t="shared" si="724"/>
        <v>0</v>
      </c>
      <c r="CC920" s="5">
        <f t="shared" si="724"/>
        <v>0</v>
      </c>
      <c r="CD920" s="5">
        <f t="shared" si="724"/>
        <v>0</v>
      </c>
      <c r="CE920" s="5">
        <f t="shared" si="724"/>
        <v>1</v>
      </c>
    </row>
    <row r="921" spans="1:83" x14ac:dyDescent="0.2">
      <c r="A921" s="11"/>
      <c r="B921" s="11"/>
      <c r="C921" s="1">
        <f>Growth!D926</f>
        <v>5.2631578947368418E-2</v>
      </c>
      <c r="D921" s="5" t="b">
        <f t="shared" si="715"/>
        <v>0</v>
      </c>
      <c r="E921" s="5">
        <v>2015</v>
      </c>
      <c r="F921" s="5">
        <f ca="1">LOOKUP($E921,frequence!$A$2:$A$35,frequence!L$2:L$35)</f>
        <v>59.915964498406019</v>
      </c>
      <c r="G921" s="5">
        <f ca="1">LOOKUP($E921,frequence!$A$2:$A$35,frequence!K$2:K$35)</f>
        <v>12.697082100333608</v>
      </c>
      <c r="H921" s="5">
        <f ca="1">LOOKUP($E921,frequence!$A$2:$A$35,frequence!M$2:M$35)</f>
        <v>262.07305844619424</v>
      </c>
      <c r="I921" s="16">
        <v>2005</v>
      </c>
      <c r="J921" s="7">
        <f>LOOKUP(I921,CPI!A$69:A$103,CPI!O$69:O$103)</f>
        <v>1.1165181771633383</v>
      </c>
      <c r="K921" s="16">
        <v>2015</v>
      </c>
      <c r="L921" s="7">
        <f t="shared" ca="1" si="708"/>
        <v>1</v>
      </c>
      <c r="M921" s="7">
        <f t="shared" si="671"/>
        <v>0.34210526315789469</v>
      </c>
      <c r="N921" s="14">
        <f t="shared" si="727"/>
        <v>5.2631578947368418E-2</v>
      </c>
      <c r="O921" s="1">
        <f ca="1">P921*J921*(1+Growth!G$6)^(2010-K921)</f>
        <v>61.959524120007401</v>
      </c>
      <c r="P921" s="22">
        <v>59.818469999999998</v>
      </c>
      <c r="Q921" s="2">
        <f t="shared" si="716"/>
        <v>59.818469999999998</v>
      </c>
      <c r="R921" s="21">
        <f t="shared" ca="1" si="717"/>
        <v>3838.982629177779</v>
      </c>
      <c r="U921" s="11"/>
      <c r="V921" s="11"/>
      <c r="W921" s="11"/>
      <c r="X921" s="11"/>
      <c r="Y921" s="11"/>
      <c r="Z921" s="11"/>
      <c r="AA921" s="11"/>
      <c r="AB921" s="11"/>
      <c r="AC921" s="1">
        <f t="shared" si="718"/>
        <v>6.5</v>
      </c>
      <c r="AD921" s="5">
        <v>1</v>
      </c>
      <c r="AE921" s="5">
        <v>0</v>
      </c>
      <c r="AF921" s="5">
        <v>1</v>
      </c>
      <c r="AG921" s="5">
        <v>0</v>
      </c>
      <c r="AH921" s="5">
        <v>1</v>
      </c>
      <c r="AI921" s="3">
        <f t="shared" si="719"/>
        <v>3.5</v>
      </c>
      <c r="AJ921" s="5">
        <f t="shared" si="728"/>
        <v>0</v>
      </c>
      <c r="AK921" s="5">
        <f t="shared" si="709"/>
        <v>0</v>
      </c>
      <c r="AL921" s="5">
        <f t="shared" si="710"/>
        <v>1</v>
      </c>
      <c r="AM921" s="5">
        <f t="shared" si="672"/>
        <v>0</v>
      </c>
      <c r="AN921" s="5">
        <f t="shared" si="711"/>
        <v>0</v>
      </c>
      <c r="AO921" s="5">
        <f t="shared" si="673"/>
        <v>0</v>
      </c>
      <c r="AP921" s="11" t="s">
        <v>42</v>
      </c>
      <c r="AQ921" s="11">
        <v>1.5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1</v>
      </c>
      <c r="AY921" s="1">
        <f t="shared" si="720"/>
        <v>0</v>
      </c>
      <c r="AZ921" s="1">
        <f t="shared" si="721"/>
        <v>0</v>
      </c>
      <c r="BA921" s="1">
        <f t="shared" si="722"/>
        <v>0</v>
      </c>
      <c r="BB921" s="5">
        <v>0</v>
      </c>
      <c r="BC921" s="5">
        <v>0</v>
      </c>
      <c r="BD921" s="5">
        <v>0</v>
      </c>
      <c r="BE921" s="5">
        <f t="shared" si="723"/>
        <v>1</v>
      </c>
      <c r="BF921" s="5">
        <v>1</v>
      </c>
      <c r="BG921" s="5">
        <f t="shared" si="726"/>
        <v>0</v>
      </c>
      <c r="BH921" s="5">
        <f t="shared" si="726"/>
        <v>0</v>
      </c>
      <c r="BI921" s="5">
        <f t="shared" si="726"/>
        <v>0</v>
      </c>
      <c r="BJ921" s="5">
        <f t="shared" si="726"/>
        <v>0</v>
      </c>
      <c r="BK921" s="5">
        <f t="shared" si="726"/>
        <v>0</v>
      </c>
      <c r="BL921" s="5">
        <f t="shared" si="726"/>
        <v>0</v>
      </c>
      <c r="BM921" s="5">
        <f t="shared" si="726"/>
        <v>0</v>
      </c>
      <c r="BN921" s="5">
        <f t="shared" si="726"/>
        <v>0</v>
      </c>
      <c r="BO921" s="5">
        <f t="shared" si="725"/>
        <v>0</v>
      </c>
      <c r="BP921" s="5">
        <f t="shared" si="725"/>
        <v>0</v>
      </c>
      <c r="BQ921" s="5">
        <f t="shared" si="725"/>
        <v>0</v>
      </c>
      <c r="BR921" s="5">
        <f t="shared" si="725"/>
        <v>0</v>
      </c>
      <c r="BS921" s="5">
        <f t="shared" si="725"/>
        <v>0</v>
      </c>
      <c r="BT921" s="5">
        <f t="shared" si="725"/>
        <v>0</v>
      </c>
      <c r="BU921" s="5">
        <f t="shared" si="725"/>
        <v>0</v>
      </c>
      <c r="BV921" s="5">
        <f t="shared" si="725"/>
        <v>0</v>
      </c>
      <c r="BW921" s="5">
        <f t="shared" si="725"/>
        <v>0</v>
      </c>
      <c r="BX921" s="5">
        <f t="shared" si="725"/>
        <v>0</v>
      </c>
      <c r="BY921" s="5">
        <f t="shared" si="725"/>
        <v>0</v>
      </c>
      <c r="BZ921" s="5">
        <f t="shared" si="725"/>
        <v>0</v>
      </c>
      <c r="CA921" s="5">
        <f t="shared" si="725"/>
        <v>0</v>
      </c>
      <c r="CB921" s="5">
        <f t="shared" si="724"/>
        <v>0</v>
      </c>
      <c r="CC921" s="5">
        <f t="shared" si="724"/>
        <v>0</v>
      </c>
      <c r="CD921" s="5">
        <f t="shared" si="724"/>
        <v>0</v>
      </c>
      <c r="CE921" s="5">
        <f t="shared" si="724"/>
        <v>1</v>
      </c>
    </row>
    <row r="922" spans="1:83" x14ac:dyDescent="0.2">
      <c r="A922" s="11"/>
      <c r="B922" s="11"/>
      <c r="C922" s="1">
        <f>Growth!D927</f>
        <v>5.2631578947368418E-2</v>
      </c>
      <c r="D922" s="5" t="b">
        <f t="shared" si="715"/>
        <v>0</v>
      </c>
      <c r="E922" s="5">
        <v>2015</v>
      </c>
      <c r="F922" s="5">
        <f ca="1">LOOKUP($E922,frequence!$A$2:$A$35,frequence!L$2:L$35)</f>
        <v>59.915964498406019</v>
      </c>
      <c r="G922" s="5">
        <f ca="1">LOOKUP($E922,frequence!$A$2:$A$35,frequence!K$2:K$35)</f>
        <v>12.697082100333608</v>
      </c>
      <c r="H922" s="5">
        <f ca="1">LOOKUP($E922,frequence!$A$2:$A$35,frequence!M$2:M$35)</f>
        <v>262.07305844619424</v>
      </c>
      <c r="I922" s="16">
        <v>2005</v>
      </c>
      <c r="J922" s="7">
        <f>LOOKUP(I922,CPI!A$69:A$103,CPI!O$69:O$103)</f>
        <v>1.1165181771633383</v>
      </c>
      <c r="K922" s="16">
        <v>2015</v>
      </c>
      <c r="L922" s="7">
        <f t="shared" ca="1" si="708"/>
        <v>1</v>
      </c>
      <c r="M922" s="7">
        <f t="shared" si="671"/>
        <v>0.34210526315789469</v>
      </c>
      <c r="N922" s="14">
        <f t="shared" si="727"/>
        <v>5.2631578947368418E-2</v>
      </c>
      <c r="O922" s="1">
        <f ca="1">P922*J922*(1+Growth!G$6)^(2010-K922)</f>
        <v>150.6084799744622</v>
      </c>
      <c r="P922" s="22">
        <v>145.4041</v>
      </c>
      <c r="Q922" s="2">
        <f t="shared" si="716"/>
        <v>145.4041</v>
      </c>
      <c r="R922" s="21">
        <f t="shared" ca="1" si="717"/>
        <v>22682.914240217982</v>
      </c>
      <c r="U922" s="11"/>
      <c r="V922" s="11"/>
      <c r="W922" s="11"/>
      <c r="X922" s="11"/>
      <c r="Y922" s="11"/>
      <c r="Z922" s="11"/>
      <c r="AA922" s="11"/>
      <c r="AB922" s="11"/>
      <c r="AC922" s="1">
        <f t="shared" si="718"/>
        <v>6.5</v>
      </c>
      <c r="AD922" s="5">
        <v>1</v>
      </c>
      <c r="AE922" s="5">
        <v>0</v>
      </c>
      <c r="AF922" s="5">
        <v>1</v>
      </c>
      <c r="AG922" s="5">
        <v>0</v>
      </c>
      <c r="AH922" s="5">
        <v>1</v>
      </c>
      <c r="AI922" s="3">
        <f t="shared" si="719"/>
        <v>3.5</v>
      </c>
      <c r="AJ922" s="5">
        <f t="shared" si="728"/>
        <v>0</v>
      </c>
      <c r="AK922" s="5">
        <f t="shared" si="709"/>
        <v>0</v>
      </c>
      <c r="AL922" s="5">
        <f t="shared" si="710"/>
        <v>1</v>
      </c>
      <c r="AM922" s="5">
        <f t="shared" ref="AM922:AM985" si="729">IF($AQ922=1,1,0)</f>
        <v>0</v>
      </c>
      <c r="AN922" s="5">
        <f t="shared" si="711"/>
        <v>0</v>
      </c>
      <c r="AO922" s="5">
        <f t="shared" ref="AO922:AO985" si="730">IF($AQ922=0,1,0)</f>
        <v>0</v>
      </c>
      <c r="AP922" s="11" t="s">
        <v>42</v>
      </c>
      <c r="AQ922" s="11">
        <v>1.5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1</v>
      </c>
      <c r="AY922" s="1">
        <f t="shared" si="720"/>
        <v>0</v>
      </c>
      <c r="AZ922" s="1">
        <f t="shared" si="721"/>
        <v>0</v>
      </c>
      <c r="BA922" s="1">
        <f t="shared" si="722"/>
        <v>0</v>
      </c>
      <c r="BB922" s="5">
        <v>0</v>
      </c>
      <c r="BC922" s="5">
        <v>0</v>
      </c>
      <c r="BD922" s="5">
        <v>0</v>
      </c>
      <c r="BE922" s="5">
        <f t="shared" si="723"/>
        <v>1</v>
      </c>
      <c r="BF922" s="5">
        <v>1</v>
      </c>
      <c r="BG922" s="5">
        <f t="shared" si="726"/>
        <v>0</v>
      </c>
      <c r="BH922" s="5">
        <f t="shared" si="726"/>
        <v>0</v>
      </c>
      <c r="BI922" s="5">
        <f t="shared" si="726"/>
        <v>0</v>
      </c>
      <c r="BJ922" s="5">
        <f t="shared" si="726"/>
        <v>0</v>
      </c>
      <c r="BK922" s="5">
        <f t="shared" si="726"/>
        <v>0</v>
      </c>
      <c r="BL922" s="5">
        <f t="shared" si="726"/>
        <v>0</v>
      </c>
      <c r="BM922" s="5">
        <f t="shared" si="726"/>
        <v>0</v>
      </c>
      <c r="BN922" s="5">
        <f t="shared" si="726"/>
        <v>0</v>
      </c>
      <c r="BO922" s="5">
        <f t="shared" si="725"/>
        <v>0</v>
      </c>
      <c r="BP922" s="5">
        <f t="shared" si="725"/>
        <v>0</v>
      </c>
      <c r="BQ922" s="5">
        <f t="shared" si="725"/>
        <v>0</v>
      </c>
      <c r="BR922" s="5">
        <f t="shared" si="725"/>
        <v>0</v>
      </c>
      <c r="BS922" s="5">
        <f t="shared" si="725"/>
        <v>0</v>
      </c>
      <c r="BT922" s="5">
        <f t="shared" si="725"/>
        <v>0</v>
      </c>
      <c r="BU922" s="5">
        <f t="shared" si="725"/>
        <v>0</v>
      </c>
      <c r="BV922" s="5">
        <f t="shared" si="725"/>
        <v>0</v>
      </c>
      <c r="BW922" s="5">
        <f t="shared" si="725"/>
        <v>0</v>
      </c>
      <c r="BX922" s="5">
        <f t="shared" si="725"/>
        <v>0</v>
      </c>
      <c r="BY922" s="5">
        <f t="shared" si="725"/>
        <v>0</v>
      </c>
      <c r="BZ922" s="5">
        <f t="shared" si="725"/>
        <v>0</v>
      </c>
      <c r="CA922" s="5">
        <f t="shared" si="725"/>
        <v>0</v>
      </c>
      <c r="CB922" s="5">
        <f t="shared" si="724"/>
        <v>0</v>
      </c>
      <c r="CC922" s="5">
        <f t="shared" si="724"/>
        <v>0</v>
      </c>
      <c r="CD922" s="5">
        <f t="shared" si="724"/>
        <v>0</v>
      </c>
      <c r="CE922" s="5">
        <f t="shared" si="724"/>
        <v>1</v>
      </c>
    </row>
    <row r="923" spans="1:83" x14ac:dyDescent="0.2">
      <c r="A923" s="11"/>
      <c r="B923" s="11"/>
      <c r="C923" s="1">
        <f>Growth!D928</f>
        <v>5.2631578947368418E-2</v>
      </c>
      <c r="D923" s="5" t="b">
        <f t="shared" si="715"/>
        <v>0</v>
      </c>
      <c r="E923" s="5">
        <v>2015</v>
      </c>
      <c r="F923" s="5">
        <f ca="1">LOOKUP($E923,frequence!$A$2:$A$35,frequence!L$2:L$35)</f>
        <v>59.915964498406019</v>
      </c>
      <c r="G923" s="5">
        <f ca="1">LOOKUP($E923,frequence!$A$2:$A$35,frequence!K$2:K$35)</f>
        <v>12.697082100333608</v>
      </c>
      <c r="H923" s="5">
        <f ca="1">LOOKUP($E923,frequence!$A$2:$A$35,frequence!M$2:M$35)</f>
        <v>262.07305844619424</v>
      </c>
      <c r="I923" s="16">
        <v>2005</v>
      </c>
      <c r="J923" s="7">
        <f>LOOKUP(I923,CPI!A$69:A$103,CPI!O$69:O$103)</f>
        <v>1.1165181771633383</v>
      </c>
      <c r="K923" s="16">
        <v>2015</v>
      </c>
      <c r="L923" s="7">
        <f t="shared" ca="1" si="708"/>
        <v>1</v>
      </c>
      <c r="M923" s="7">
        <f t="shared" si="671"/>
        <v>0.34210526315789469</v>
      </c>
      <c r="N923" s="14">
        <f t="shared" si="727"/>
        <v>5.2631578947368418E-2</v>
      </c>
      <c r="O923" s="1">
        <f ca="1">P923*J923*(1+Growth!G$6)^(2010-K923)</f>
        <v>141.45870312014787</v>
      </c>
      <c r="P923" s="22">
        <v>136.57050000000001</v>
      </c>
      <c r="Q923" s="2">
        <f t="shared" si="716"/>
        <v>136.57050000000001</v>
      </c>
      <c r="R923" s="21">
        <f t="shared" ca="1" si="717"/>
        <v>20010.564688434133</v>
      </c>
      <c r="U923" s="11"/>
      <c r="V923" s="11"/>
      <c r="W923" s="11"/>
      <c r="X923" s="11"/>
      <c r="Y923" s="11"/>
      <c r="Z923" s="11"/>
      <c r="AA923" s="11"/>
      <c r="AB923" s="11"/>
      <c r="AC923" s="1">
        <f t="shared" si="718"/>
        <v>6.5</v>
      </c>
      <c r="AD923" s="5">
        <v>1</v>
      </c>
      <c r="AE923" s="5">
        <v>0</v>
      </c>
      <c r="AF923" s="5">
        <v>1</v>
      </c>
      <c r="AG923" s="5">
        <v>0</v>
      </c>
      <c r="AH923" s="5">
        <v>1</v>
      </c>
      <c r="AI923" s="3">
        <f t="shared" si="719"/>
        <v>3.5</v>
      </c>
      <c r="AJ923" s="5">
        <f t="shared" si="728"/>
        <v>0</v>
      </c>
      <c r="AK923" s="5">
        <f t="shared" si="709"/>
        <v>0</v>
      </c>
      <c r="AL923" s="5">
        <f t="shared" si="710"/>
        <v>1</v>
      </c>
      <c r="AM923" s="5">
        <f t="shared" si="729"/>
        <v>0</v>
      </c>
      <c r="AN923" s="5">
        <f t="shared" si="711"/>
        <v>0</v>
      </c>
      <c r="AO923" s="5">
        <f t="shared" si="730"/>
        <v>0</v>
      </c>
      <c r="AP923" s="11" t="s">
        <v>42</v>
      </c>
      <c r="AQ923" s="11">
        <v>1.5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1</v>
      </c>
      <c r="AY923" s="1">
        <f t="shared" si="720"/>
        <v>0</v>
      </c>
      <c r="AZ923" s="1">
        <f t="shared" si="721"/>
        <v>0</v>
      </c>
      <c r="BA923" s="1">
        <f t="shared" si="722"/>
        <v>0</v>
      </c>
      <c r="BB923" s="5">
        <v>0</v>
      </c>
      <c r="BC923" s="5">
        <v>0</v>
      </c>
      <c r="BD923" s="5">
        <v>0</v>
      </c>
      <c r="BE923" s="5">
        <f t="shared" si="723"/>
        <v>1</v>
      </c>
      <c r="BF923" s="5">
        <v>1</v>
      </c>
      <c r="BG923" s="5">
        <f t="shared" si="726"/>
        <v>0</v>
      </c>
      <c r="BH923" s="5">
        <f t="shared" si="726"/>
        <v>0</v>
      </c>
      <c r="BI923" s="5">
        <f t="shared" si="726"/>
        <v>0</v>
      </c>
      <c r="BJ923" s="5">
        <f t="shared" si="726"/>
        <v>0</v>
      </c>
      <c r="BK923" s="5">
        <f t="shared" si="726"/>
        <v>0</v>
      </c>
      <c r="BL923" s="5">
        <f t="shared" si="726"/>
        <v>0</v>
      </c>
      <c r="BM923" s="5">
        <f t="shared" si="726"/>
        <v>0</v>
      </c>
      <c r="BN923" s="5">
        <f t="shared" si="726"/>
        <v>0</v>
      </c>
      <c r="BO923" s="5">
        <f t="shared" si="725"/>
        <v>0</v>
      </c>
      <c r="BP923" s="5">
        <f t="shared" si="725"/>
        <v>0</v>
      </c>
      <c r="BQ923" s="5">
        <f t="shared" si="725"/>
        <v>0</v>
      </c>
      <c r="BR923" s="5">
        <f t="shared" si="725"/>
        <v>0</v>
      </c>
      <c r="BS923" s="5">
        <f t="shared" si="725"/>
        <v>0</v>
      </c>
      <c r="BT923" s="5">
        <f t="shared" si="725"/>
        <v>0</v>
      </c>
      <c r="BU923" s="5">
        <f t="shared" si="725"/>
        <v>0</v>
      </c>
      <c r="BV923" s="5">
        <f t="shared" si="725"/>
        <v>0</v>
      </c>
      <c r="BW923" s="5">
        <f t="shared" si="725"/>
        <v>0</v>
      </c>
      <c r="BX923" s="5">
        <f t="shared" si="725"/>
        <v>0</v>
      </c>
      <c r="BY923" s="5">
        <f t="shared" si="725"/>
        <v>0</v>
      </c>
      <c r="BZ923" s="5">
        <f t="shared" si="725"/>
        <v>0</v>
      </c>
      <c r="CA923" s="5">
        <f t="shared" si="725"/>
        <v>0</v>
      </c>
      <c r="CB923" s="5">
        <f t="shared" si="724"/>
        <v>0</v>
      </c>
      <c r="CC923" s="5">
        <f t="shared" si="724"/>
        <v>0</v>
      </c>
      <c r="CD923" s="5">
        <f t="shared" si="724"/>
        <v>0</v>
      </c>
      <c r="CE923" s="5">
        <f t="shared" si="724"/>
        <v>1</v>
      </c>
    </row>
    <row r="924" spans="1:83" x14ac:dyDescent="0.2">
      <c r="A924" s="11"/>
      <c r="B924" s="11"/>
      <c r="C924" s="1">
        <f>Growth!D929</f>
        <v>5.2631578947368418E-2</v>
      </c>
      <c r="D924" s="5" t="b">
        <f t="shared" si="715"/>
        <v>0</v>
      </c>
      <c r="E924" s="5">
        <v>2015</v>
      </c>
      <c r="F924" s="5">
        <f ca="1">LOOKUP($E924,frequence!$A$2:$A$35,frequence!L$2:L$35)</f>
        <v>59.915964498406019</v>
      </c>
      <c r="G924" s="5">
        <f ca="1">LOOKUP($E924,frequence!$A$2:$A$35,frequence!K$2:K$35)</f>
        <v>12.697082100333608</v>
      </c>
      <c r="H924" s="5">
        <f ca="1">LOOKUP($E924,frequence!$A$2:$A$35,frequence!M$2:M$35)</f>
        <v>262.07305844619424</v>
      </c>
      <c r="I924" s="16">
        <v>2005</v>
      </c>
      <c r="J924" s="7">
        <f>LOOKUP(I924,CPI!A$69:A$103,CPI!O$69:O$103)</f>
        <v>1.1165181771633383</v>
      </c>
      <c r="K924" s="16">
        <v>2015</v>
      </c>
      <c r="L924" s="7">
        <f t="shared" ca="1" si="708"/>
        <v>1</v>
      </c>
      <c r="M924" s="7">
        <f t="shared" si="671"/>
        <v>0.34210526315789469</v>
      </c>
      <c r="N924" s="14">
        <f t="shared" si="727"/>
        <v>5.2631578947368418E-2</v>
      </c>
      <c r="O924" s="1">
        <f ca="1">P924*J924*(1+Growth!G$6)^(2010-K924)</f>
        <v>870.11502524478351</v>
      </c>
      <c r="P924" s="22">
        <v>840.04759999999999</v>
      </c>
      <c r="Q924" s="2">
        <f t="shared" si="716"/>
        <v>840.04759999999999</v>
      </c>
      <c r="R924" s="21">
        <f t="shared" ca="1" si="717"/>
        <v>757100.15715673019</v>
      </c>
      <c r="U924" s="11"/>
      <c r="V924" s="11"/>
      <c r="W924" s="11"/>
      <c r="X924" s="11"/>
      <c r="Y924" s="11"/>
      <c r="Z924" s="11"/>
      <c r="AA924" s="11"/>
      <c r="AB924" s="11"/>
      <c r="AC924" s="1">
        <f t="shared" si="718"/>
        <v>6.5</v>
      </c>
      <c r="AD924" s="5">
        <v>1</v>
      </c>
      <c r="AE924" s="5">
        <v>0</v>
      </c>
      <c r="AF924" s="5">
        <v>1</v>
      </c>
      <c r="AG924" s="5">
        <v>0</v>
      </c>
      <c r="AH924" s="5">
        <v>1</v>
      </c>
      <c r="AI924" s="3">
        <f t="shared" si="719"/>
        <v>3.5</v>
      </c>
      <c r="AJ924" s="5">
        <f t="shared" si="728"/>
        <v>0</v>
      </c>
      <c r="AK924" s="5">
        <f t="shared" si="709"/>
        <v>0</v>
      </c>
      <c r="AL924" s="5">
        <f t="shared" si="710"/>
        <v>1</v>
      </c>
      <c r="AM924" s="5">
        <f t="shared" si="729"/>
        <v>0</v>
      </c>
      <c r="AN924" s="5">
        <f t="shared" si="711"/>
        <v>0</v>
      </c>
      <c r="AO924" s="5">
        <f t="shared" si="730"/>
        <v>0</v>
      </c>
      <c r="AP924" s="11" t="s">
        <v>42</v>
      </c>
      <c r="AQ924" s="11">
        <v>1.5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1</v>
      </c>
      <c r="AY924" s="1">
        <f t="shared" si="720"/>
        <v>0</v>
      </c>
      <c r="AZ924" s="1">
        <f t="shared" si="721"/>
        <v>0</v>
      </c>
      <c r="BA924" s="1">
        <f t="shared" si="722"/>
        <v>0</v>
      </c>
      <c r="BB924" s="5">
        <v>0</v>
      </c>
      <c r="BC924" s="5">
        <v>0</v>
      </c>
      <c r="BD924" s="5">
        <v>0</v>
      </c>
      <c r="BE924" s="5">
        <f t="shared" si="723"/>
        <v>1</v>
      </c>
      <c r="BF924" s="5">
        <v>1</v>
      </c>
      <c r="BG924" s="5">
        <f t="shared" si="726"/>
        <v>0</v>
      </c>
      <c r="BH924" s="5">
        <f t="shared" si="726"/>
        <v>0</v>
      </c>
      <c r="BI924" s="5">
        <f t="shared" si="726"/>
        <v>0</v>
      </c>
      <c r="BJ924" s="5">
        <f t="shared" si="726"/>
        <v>0</v>
      </c>
      <c r="BK924" s="5">
        <f t="shared" si="726"/>
        <v>0</v>
      </c>
      <c r="BL924" s="5">
        <f t="shared" si="726"/>
        <v>0</v>
      </c>
      <c r="BM924" s="5">
        <f t="shared" si="726"/>
        <v>0</v>
      </c>
      <c r="BN924" s="5">
        <f t="shared" si="726"/>
        <v>0</v>
      </c>
      <c r="BO924" s="5">
        <f t="shared" si="725"/>
        <v>0</v>
      </c>
      <c r="BP924" s="5">
        <f t="shared" si="725"/>
        <v>0</v>
      </c>
      <c r="BQ924" s="5">
        <f t="shared" si="725"/>
        <v>0</v>
      </c>
      <c r="BR924" s="5">
        <f t="shared" si="725"/>
        <v>0</v>
      </c>
      <c r="BS924" s="5">
        <f t="shared" si="725"/>
        <v>0</v>
      </c>
      <c r="BT924" s="5">
        <f t="shared" si="725"/>
        <v>0</v>
      </c>
      <c r="BU924" s="5">
        <f t="shared" si="725"/>
        <v>0</v>
      </c>
      <c r="BV924" s="5">
        <f t="shared" si="725"/>
        <v>0</v>
      </c>
      <c r="BW924" s="5">
        <f t="shared" si="725"/>
        <v>0</v>
      </c>
      <c r="BX924" s="5">
        <f t="shared" si="725"/>
        <v>0</v>
      </c>
      <c r="BY924" s="5">
        <f t="shared" si="725"/>
        <v>0</v>
      </c>
      <c r="BZ924" s="5">
        <f t="shared" si="725"/>
        <v>0</v>
      </c>
      <c r="CA924" s="5">
        <f t="shared" si="725"/>
        <v>0</v>
      </c>
      <c r="CB924" s="5">
        <f t="shared" si="724"/>
        <v>0</v>
      </c>
      <c r="CC924" s="5">
        <f t="shared" si="724"/>
        <v>0</v>
      </c>
      <c r="CD924" s="5">
        <f t="shared" si="724"/>
        <v>0</v>
      </c>
      <c r="CE924" s="5">
        <f t="shared" si="724"/>
        <v>1</v>
      </c>
    </row>
    <row r="925" spans="1:83" x14ac:dyDescent="0.2">
      <c r="A925" s="11"/>
      <c r="B925" s="11"/>
      <c r="C925" s="1">
        <f>Growth!D930</f>
        <v>5.2631578947368418E-2</v>
      </c>
      <c r="D925" s="5" t="b">
        <f t="shared" si="715"/>
        <v>0</v>
      </c>
      <c r="E925" s="5">
        <v>2015</v>
      </c>
      <c r="F925" s="5">
        <f ca="1">LOOKUP($E925,frequence!$A$2:$A$35,frequence!L$2:L$35)</f>
        <v>59.915964498406019</v>
      </c>
      <c r="G925" s="5">
        <f ca="1">LOOKUP($E925,frequence!$A$2:$A$35,frequence!K$2:K$35)</f>
        <v>12.697082100333608</v>
      </c>
      <c r="H925" s="5">
        <f ca="1">LOOKUP($E925,frequence!$A$2:$A$35,frequence!M$2:M$35)</f>
        <v>262.07305844619424</v>
      </c>
      <c r="I925" s="16">
        <v>2005</v>
      </c>
      <c r="J925" s="7">
        <f>LOOKUP(I925,CPI!A$69:A$103,CPI!O$69:O$103)</f>
        <v>1.1165181771633383</v>
      </c>
      <c r="K925" s="16">
        <v>2015</v>
      </c>
      <c r="L925" s="7">
        <f t="shared" ca="1" si="708"/>
        <v>1</v>
      </c>
      <c r="M925" s="7">
        <f t="shared" si="671"/>
        <v>0.34210526315789469</v>
      </c>
      <c r="N925" s="14">
        <f t="shared" si="727"/>
        <v>5.2631578947368418E-2</v>
      </c>
      <c r="O925" s="1">
        <f ca="1">P925*J925*(1+Growth!G$6)^(2010-K925)</f>
        <v>318.12803377695985</v>
      </c>
      <c r="P925" s="22">
        <v>307.13490000000002</v>
      </c>
      <c r="Q925" s="2">
        <f t="shared" si="716"/>
        <v>307.13490000000002</v>
      </c>
      <c r="R925" s="21">
        <f t="shared" ca="1" si="717"/>
        <v>101205.4458747945</v>
      </c>
      <c r="U925" s="11"/>
      <c r="V925" s="11"/>
      <c r="W925" s="11"/>
      <c r="X925" s="11"/>
      <c r="Y925" s="11"/>
      <c r="Z925" s="11"/>
      <c r="AA925" s="11"/>
      <c r="AB925" s="11"/>
      <c r="AC925" s="1">
        <f t="shared" si="718"/>
        <v>6.5</v>
      </c>
      <c r="AD925" s="5">
        <v>1</v>
      </c>
      <c r="AE925" s="5">
        <v>0</v>
      </c>
      <c r="AF925" s="5">
        <v>1</v>
      </c>
      <c r="AG925" s="5">
        <v>0</v>
      </c>
      <c r="AH925" s="5">
        <v>1</v>
      </c>
      <c r="AI925" s="3">
        <f t="shared" si="719"/>
        <v>3.5</v>
      </c>
      <c r="AJ925" s="5">
        <f t="shared" si="728"/>
        <v>0</v>
      </c>
      <c r="AK925" s="5">
        <f t="shared" si="709"/>
        <v>0</v>
      </c>
      <c r="AL925" s="5">
        <f t="shared" si="710"/>
        <v>1</v>
      </c>
      <c r="AM925" s="5">
        <f t="shared" si="729"/>
        <v>0</v>
      </c>
      <c r="AN925" s="5">
        <f t="shared" si="711"/>
        <v>0</v>
      </c>
      <c r="AO925" s="5">
        <f t="shared" si="730"/>
        <v>0</v>
      </c>
      <c r="AP925" s="11" t="s">
        <v>42</v>
      </c>
      <c r="AQ925" s="11">
        <v>1.5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1</v>
      </c>
      <c r="AY925" s="1">
        <f t="shared" si="720"/>
        <v>0</v>
      </c>
      <c r="AZ925" s="1">
        <f t="shared" si="721"/>
        <v>0</v>
      </c>
      <c r="BA925" s="1">
        <f t="shared" si="722"/>
        <v>0</v>
      </c>
      <c r="BB925" s="5">
        <v>0</v>
      </c>
      <c r="BC925" s="5">
        <v>0</v>
      </c>
      <c r="BD925" s="5">
        <v>0</v>
      </c>
      <c r="BE925" s="5">
        <f t="shared" si="723"/>
        <v>1</v>
      </c>
      <c r="BF925" s="5">
        <v>1</v>
      </c>
      <c r="BG925" s="5">
        <f t="shared" si="726"/>
        <v>0</v>
      </c>
      <c r="BH925" s="5">
        <f t="shared" si="726"/>
        <v>0</v>
      </c>
      <c r="BI925" s="5">
        <f t="shared" si="726"/>
        <v>0</v>
      </c>
      <c r="BJ925" s="5">
        <f t="shared" si="726"/>
        <v>0</v>
      </c>
      <c r="BK925" s="5">
        <f t="shared" si="726"/>
        <v>0</v>
      </c>
      <c r="BL925" s="5">
        <f t="shared" si="726"/>
        <v>0</v>
      </c>
      <c r="BM925" s="5">
        <f t="shared" si="726"/>
        <v>0</v>
      </c>
      <c r="BN925" s="5">
        <f t="shared" si="726"/>
        <v>0</v>
      </c>
      <c r="BO925" s="5">
        <f t="shared" si="725"/>
        <v>0</v>
      </c>
      <c r="BP925" s="5">
        <f t="shared" si="725"/>
        <v>0</v>
      </c>
      <c r="BQ925" s="5">
        <f t="shared" si="725"/>
        <v>0</v>
      </c>
      <c r="BR925" s="5">
        <f t="shared" si="725"/>
        <v>0</v>
      </c>
      <c r="BS925" s="5">
        <f t="shared" si="725"/>
        <v>0</v>
      </c>
      <c r="BT925" s="5">
        <f t="shared" si="725"/>
        <v>0</v>
      </c>
      <c r="BU925" s="5">
        <f t="shared" si="725"/>
        <v>0</v>
      </c>
      <c r="BV925" s="5">
        <f t="shared" si="725"/>
        <v>0</v>
      </c>
      <c r="BW925" s="5">
        <f t="shared" si="725"/>
        <v>0</v>
      </c>
      <c r="BX925" s="5">
        <f t="shared" si="725"/>
        <v>0</v>
      </c>
      <c r="BY925" s="5">
        <f t="shared" si="725"/>
        <v>0</v>
      </c>
      <c r="BZ925" s="5">
        <f t="shared" si="725"/>
        <v>0</v>
      </c>
      <c r="CA925" s="5">
        <f t="shared" si="725"/>
        <v>0</v>
      </c>
      <c r="CB925" s="5">
        <f t="shared" si="724"/>
        <v>0</v>
      </c>
      <c r="CC925" s="5">
        <f t="shared" si="724"/>
        <v>0</v>
      </c>
      <c r="CD925" s="5">
        <f t="shared" si="724"/>
        <v>0</v>
      </c>
      <c r="CE925" s="5">
        <f t="shared" si="724"/>
        <v>1</v>
      </c>
    </row>
    <row r="926" spans="1:83" x14ac:dyDescent="0.2">
      <c r="A926" s="11"/>
      <c r="B926" s="11"/>
      <c r="C926" s="1">
        <f>Growth!D931</f>
        <v>5.2631578947368418E-2</v>
      </c>
      <c r="D926" s="5" t="b">
        <f t="shared" si="715"/>
        <v>0</v>
      </c>
      <c r="E926" s="5">
        <v>2015</v>
      </c>
      <c r="F926" s="5">
        <f ca="1">LOOKUP($E926,frequence!$A$2:$A$35,frequence!L$2:L$35)</f>
        <v>59.915964498406019</v>
      </c>
      <c r="G926" s="5">
        <f ca="1">LOOKUP($E926,frequence!$A$2:$A$35,frequence!K$2:K$35)</f>
        <v>12.697082100333608</v>
      </c>
      <c r="H926" s="5">
        <f ca="1">LOOKUP($E926,frequence!$A$2:$A$35,frequence!M$2:M$35)</f>
        <v>262.07305844619424</v>
      </c>
      <c r="I926" s="16">
        <v>2005</v>
      </c>
      <c r="J926" s="7">
        <f>LOOKUP(I926,CPI!A$69:A$103,CPI!O$69:O$103)</f>
        <v>1.1165181771633383</v>
      </c>
      <c r="K926" s="16">
        <v>2015</v>
      </c>
      <c r="L926" s="7">
        <f t="shared" ca="1" si="708"/>
        <v>1</v>
      </c>
      <c r="M926" s="7">
        <f t="shared" si="671"/>
        <v>0.34210526315789469</v>
      </c>
      <c r="N926" s="14">
        <f t="shared" si="727"/>
        <v>5.2631578947368418E-2</v>
      </c>
      <c r="O926" s="1">
        <f ca="1">P926*J926*(1+Growth!G$6)^(2010-K926)</f>
        <v>386.04422462707691</v>
      </c>
      <c r="P926" s="22">
        <v>372.70420000000001</v>
      </c>
      <c r="Q926" s="2">
        <f t="shared" si="716"/>
        <v>372.70420000000001</v>
      </c>
      <c r="R926" s="21">
        <f t="shared" ca="1" si="717"/>
        <v>149030.14336792103</v>
      </c>
      <c r="U926" s="11"/>
      <c r="V926" s="11"/>
      <c r="W926" s="11"/>
      <c r="X926" s="11"/>
      <c r="Y926" s="11"/>
      <c r="Z926" s="11"/>
      <c r="AA926" s="11"/>
      <c r="AB926" s="11"/>
      <c r="AC926" s="1">
        <f t="shared" si="718"/>
        <v>6.5</v>
      </c>
      <c r="AD926" s="5">
        <v>1</v>
      </c>
      <c r="AE926" s="5">
        <v>0</v>
      </c>
      <c r="AF926" s="5">
        <v>1</v>
      </c>
      <c r="AG926" s="5">
        <v>0</v>
      </c>
      <c r="AH926" s="5">
        <v>1</v>
      </c>
      <c r="AI926" s="3">
        <f t="shared" si="719"/>
        <v>3.5</v>
      </c>
      <c r="AJ926" s="5">
        <f t="shared" si="728"/>
        <v>0</v>
      </c>
      <c r="AK926" s="5">
        <f t="shared" si="709"/>
        <v>0</v>
      </c>
      <c r="AL926" s="5">
        <f t="shared" si="710"/>
        <v>1</v>
      </c>
      <c r="AM926" s="5">
        <f t="shared" si="729"/>
        <v>0</v>
      </c>
      <c r="AN926" s="5">
        <f t="shared" si="711"/>
        <v>0</v>
      </c>
      <c r="AO926" s="5">
        <f t="shared" si="730"/>
        <v>0</v>
      </c>
      <c r="AP926" s="11" t="s">
        <v>42</v>
      </c>
      <c r="AQ926" s="11">
        <v>1.5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1</v>
      </c>
      <c r="AY926" s="1">
        <f t="shared" si="720"/>
        <v>0</v>
      </c>
      <c r="AZ926" s="1">
        <f t="shared" si="721"/>
        <v>0</v>
      </c>
      <c r="BA926" s="1">
        <f t="shared" si="722"/>
        <v>0</v>
      </c>
      <c r="BB926" s="5">
        <v>0</v>
      </c>
      <c r="BC926" s="5">
        <v>0</v>
      </c>
      <c r="BD926" s="5">
        <v>0</v>
      </c>
      <c r="BE926" s="5">
        <f t="shared" si="723"/>
        <v>1</v>
      </c>
      <c r="BF926" s="5">
        <v>1</v>
      </c>
      <c r="BG926" s="5">
        <f t="shared" si="726"/>
        <v>0</v>
      </c>
      <c r="BH926" s="5">
        <f t="shared" si="726"/>
        <v>0</v>
      </c>
      <c r="BI926" s="5">
        <f t="shared" si="726"/>
        <v>0</v>
      </c>
      <c r="BJ926" s="5">
        <f t="shared" si="726"/>
        <v>0</v>
      </c>
      <c r="BK926" s="5">
        <f t="shared" si="726"/>
        <v>0</v>
      </c>
      <c r="BL926" s="5">
        <f t="shared" si="726"/>
        <v>0</v>
      </c>
      <c r="BM926" s="5">
        <f t="shared" si="726"/>
        <v>0</v>
      </c>
      <c r="BN926" s="5">
        <f t="shared" si="726"/>
        <v>0</v>
      </c>
      <c r="BO926" s="5">
        <f t="shared" si="725"/>
        <v>0</v>
      </c>
      <c r="BP926" s="5">
        <f t="shared" si="725"/>
        <v>0</v>
      </c>
      <c r="BQ926" s="5">
        <f t="shared" si="725"/>
        <v>0</v>
      </c>
      <c r="BR926" s="5">
        <f t="shared" si="725"/>
        <v>0</v>
      </c>
      <c r="BS926" s="5">
        <f t="shared" si="725"/>
        <v>0</v>
      </c>
      <c r="BT926" s="5">
        <f t="shared" si="725"/>
        <v>0</v>
      </c>
      <c r="BU926" s="5">
        <f t="shared" si="725"/>
        <v>0</v>
      </c>
      <c r="BV926" s="5">
        <f t="shared" si="725"/>
        <v>0</v>
      </c>
      <c r="BW926" s="5">
        <f t="shared" si="725"/>
        <v>0</v>
      </c>
      <c r="BX926" s="5">
        <f t="shared" si="725"/>
        <v>0</v>
      </c>
      <c r="BY926" s="5">
        <f t="shared" si="725"/>
        <v>0</v>
      </c>
      <c r="BZ926" s="5">
        <f t="shared" si="725"/>
        <v>0</v>
      </c>
      <c r="CA926" s="5">
        <f t="shared" si="725"/>
        <v>0</v>
      </c>
      <c r="CB926" s="5">
        <f t="shared" si="724"/>
        <v>0</v>
      </c>
      <c r="CC926" s="5">
        <f t="shared" si="724"/>
        <v>0</v>
      </c>
      <c r="CD926" s="5">
        <f t="shared" si="724"/>
        <v>0</v>
      </c>
      <c r="CE926" s="5">
        <f t="shared" si="724"/>
        <v>1</v>
      </c>
    </row>
    <row r="927" spans="1:83" x14ac:dyDescent="0.2">
      <c r="A927" s="11"/>
      <c r="B927" s="11"/>
      <c r="C927" s="1">
        <f>Growth!D932</f>
        <v>5.2631578947368418E-2</v>
      </c>
      <c r="D927" s="5" t="b">
        <f t="shared" si="715"/>
        <v>0</v>
      </c>
      <c r="E927" s="5">
        <v>2015</v>
      </c>
      <c r="F927" s="5">
        <f ca="1">LOOKUP($E927,frequence!$A$2:$A$35,frequence!L$2:L$35)</f>
        <v>59.915964498406019</v>
      </c>
      <c r="G927" s="5">
        <f ca="1">LOOKUP($E927,frequence!$A$2:$A$35,frequence!K$2:K$35)</f>
        <v>12.697082100333608</v>
      </c>
      <c r="H927" s="5">
        <f ca="1">LOOKUP($E927,frequence!$A$2:$A$35,frequence!M$2:M$35)</f>
        <v>262.07305844619424</v>
      </c>
      <c r="I927" s="16">
        <v>2005</v>
      </c>
      <c r="J927" s="7">
        <f>LOOKUP(I927,CPI!A$69:A$103,CPI!O$69:O$103)</f>
        <v>1.1165181771633383</v>
      </c>
      <c r="K927" s="16">
        <v>2015</v>
      </c>
      <c r="L927" s="7">
        <f t="shared" ca="1" si="708"/>
        <v>1</v>
      </c>
      <c r="M927" s="7">
        <f t="shared" si="671"/>
        <v>0.34210526315789469</v>
      </c>
      <c r="N927" s="14">
        <f t="shared" si="727"/>
        <v>5.2631578947368418E-2</v>
      </c>
      <c r="O927" s="1">
        <f ca="1">P927*J927*(1+Growth!G$6)^(2010-K927)</f>
        <v>244.53497483167882</v>
      </c>
      <c r="P927" s="22">
        <v>236.0849</v>
      </c>
      <c r="Q927" s="2">
        <f t="shared" si="716"/>
        <v>236.0849</v>
      </c>
      <c r="R927" s="21">
        <f t="shared" ca="1" si="717"/>
        <v>59797.353915929794</v>
      </c>
      <c r="U927" s="11"/>
      <c r="V927" s="11"/>
      <c r="W927" s="11"/>
      <c r="X927" s="11"/>
      <c r="Y927" s="11"/>
      <c r="Z927" s="11"/>
      <c r="AA927" s="11"/>
      <c r="AB927" s="11"/>
      <c r="AC927" s="1">
        <f t="shared" si="718"/>
        <v>6.5</v>
      </c>
      <c r="AD927" s="5">
        <v>1</v>
      </c>
      <c r="AE927" s="5">
        <v>0</v>
      </c>
      <c r="AF927" s="5">
        <v>1</v>
      </c>
      <c r="AG927" s="5">
        <v>0</v>
      </c>
      <c r="AH927" s="5">
        <v>1</v>
      </c>
      <c r="AI927" s="3">
        <f t="shared" si="719"/>
        <v>3.5</v>
      </c>
      <c r="AJ927" s="5">
        <f t="shared" si="728"/>
        <v>0</v>
      </c>
      <c r="AK927" s="5">
        <f t="shared" si="709"/>
        <v>0</v>
      </c>
      <c r="AL927" s="5">
        <f t="shared" si="710"/>
        <v>1</v>
      </c>
      <c r="AM927" s="5">
        <f t="shared" si="729"/>
        <v>0</v>
      </c>
      <c r="AN927" s="5">
        <f t="shared" si="711"/>
        <v>0</v>
      </c>
      <c r="AO927" s="5">
        <f t="shared" si="730"/>
        <v>0</v>
      </c>
      <c r="AP927" s="11" t="s">
        <v>42</v>
      </c>
      <c r="AQ927" s="11">
        <v>1.5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1</v>
      </c>
      <c r="AY927" s="1">
        <f t="shared" si="720"/>
        <v>0</v>
      </c>
      <c r="AZ927" s="1">
        <f t="shared" si="721"/>
        <v>0</v>
      </c>
      <c r="BA927" s="1">
        <f t="shared" si="722"/>
        <v>0</v>
      </c>
      <c r="BB927" s="5">
        <v>0</v>
      </c>
      <c r="BC927" s="5">
        <v>0</v>
      </c>
      <c r="BD927" s="5">
        <v>0</v>
      </c>
      <c r="BE927" s="5">
        <f t="shared" si="723"/>
        <v>1</v>
      </c>
      <c r="BF927" s="5">
        <v>1</v>
      </c>
      <c r="BG927" s="5">
        <f t="shared" si="726"/>
        <v>0</v>
      </c>
      <c r="BH927" s="5">
        <f t="shared" si="726"/>
        <v>0</v>
      </c>
      <c r="BI927" s="5">
        <f t="shared" si="726"/>
        <v>0</v>
      </c>
      <c r="BJ927" s="5">
        <f t="shared" si="726"/>
        <v>0</v>
      </c>
      <c r="BK927" s="5">
        <f t="shared" si="726"/>
        <v>0</v>
      </c>
      <c r="BL927" s="5">
        <f t="shared" si="726"/>
        <v>0</v>
      </c>
      <c r="BM927" s="5">
        <f t="shared" si="726"/>
        <v>0</v>
      </c>
      <c r="BN927" s="5">
        <f t="shared" si="726"/>
        <v>0</v>
      </c>
      <c r="BO927" s="5">
        <f t="shared" si="725"/>
        <v>0</v>
      </c>
      <c r="BP927" s="5">
        <f t="shared" si="725"/>
        <v>0</v>
      </c>
      <c r="BQ927" s="5">
        <f t="shared" si="725"/>
        <v>0</v>
      </c>
      <c r="BR927" s="5">
        <f t="shared" si="725"/>
        <v>0</v>
      </c>
      <c r="BS927" s="5">
        <f t="shared" si="725"/>
        <v>0</v>
      </c>
      <c r="BT927" s="5">
        <f t="shared" si="725"/>
        <v>0</v>
      </c>
      <c r="BU927" s="5">
        <f t="shared" si="725"/>
        <v>0</v>
      </c>
      <c r="BV927" s="5">
        <f t="shared" si="725"/>
        <v>0</v>
      </c>
      <c r="BW927" s="5">
        <f t="shared" si="725"/>
        <v>0</v>
      </c>
      <c r="BX927" s="5">
        <f t="shared" si="725"/>
        <v>0</v>
      </c>
      <c r="BY927" s="5">
        <f t="shared" si="725"/>
        <v>0</v>
      </c>
      <c r="BZ927" s="5">
        <f t="shared" si="725"/>
        <v>0</v>
      </c>
      <c r="CA927" s="5">
        <f t="shared" si="725"/>
        <v>0</v>
      </c>
      <c r="CB927" s="5">
        <f t="shared" si="724"/>
        <v>0</v>
      </c>
      <c r="CC927" s="5">
        <f t="shared" si="724"/>
        <v>0</v>
      </c>
      <c r="CD927" s="5">
        <f t="shared" si="724"/>
        <v>0</v>
      </c>
      <c r="CE927" s="5">
        <f t="shared" si="724"/>
        <v>1</v>
      </c>
    </row>
    <row r="928" spans="1:83" x14ac:dyDescent="0.2">
      <c r="A928" s="11"/>
      <c r="B928" s="11"/>
      <c r="C928" s="1">
        <f>Growth!D933</f>
        <v>5.2631578947368418E-2</v>
      </c>
      <c r="D928" s="5" t="b">
        <f t="shared" si="715"/>
        <v>0</v>
      </c>
      <c r="E928" s="5">
        <v>2015</v>
      </c>
      <c r="F928" s="5">
        <f ca="1">LOOKUP($E928,frequence!$A$2:$A$35,frequence!L$2:L$35)</f>
        <v>59.915964498406019</v>
      </c>
      <c r="G928" s="5">
        <f ca="1">LOOKUP($E928,frequence!$A$2:$A$35,frequence!K$2:K$35)</f>
        <v>12.697082100333608</v>
      </c>
      <c r="H928" s="5">
        <f ca="1">LOOKUP($E928,frequence!$A$2:$A$35,frequence!M$2:M$35)</f>
        <v>262.07305844619424</v>
      </c>
      <c r="I928" s="16">
        <v>2005</v>
      </c>
      <c r="J928" s="7">
        <f>LOOKUP(I928,CPI!A$69:A$103,CPI!O$69:O$103)</f>
        <v>1.1165181771633383</v>
      </c>
      <c r="K928" s="16">
        <v>2015</v>
      </c>
      <c r="L928" s="7">
        <f t="shared" ca="1" si="708"/>
        <v>0.79619196583890439</v>
      </c>
      <c r="M928" s="7">
        <f t="shared" si="671"/>
        <v>0.34210526315789469</v>
      </c>
      <c r="N928" s="14">
        <f t="shared" si="727"/>
        <v>5.2631578947368418E-2</v>
      </c>
      <c r="O928" s="1">
        <f ca="1">P928*J928*(1+Growth!G$6)^(2010-K928)</f>
        <v>2459.5090321420098</v>
      </c>
      <c r="P928" s="22">
        <v>2374.5189999999998</v>
      </c>
      <c r="Q928" s="2">
        <f t="shared" si="716"/>
        <v>2374.5189999999998</v>
      </c>
      <c r="R928" s="21">
        <f t="shared" ca="1" si="717"/>
        <v>6049184.6791881258</v>
      </c>
      <c r="U928" s="11"/>
      <c r="V928" s="11"/>
      <c r="W928" s="11"/>
      <c r="X928" s="11"/>
      <c r="Y928" s="11"/>
      <c r="Z928" s="11"/>
      <c r="AA928" s="11"/>
      <c r="AB928" s="11"/>
      <c r="AC928" s="1">
        <f t="shared" si="718"/>
        <v>6.5</v>
      </c>
      <c r="AD928" s="5">
        <v>1</v>
      </c>
      <c r="AE928" s="5">
        <v>0</v>
      </c>
      <c r="AF928" s="5">
        <v>1</v>
      </c>
      <c r="AG928" s="5">
        <v>0</v>
      </c>
      <c r="AH928" s="5">
        <v>1</v>
      </c>
      <c r="AI928" s="3">
        <f t="shared" si="719"/>
        <v>3.5</v>
      </c>
      <c r="AJ928" s="5">
        <f t="shared" si="728"/>
        <v>0</v>
      </c>
      <c r="AK928" s="5">
        <f t="shared" si="709"/>
        <v>0</v>
      </c>
      <c r="AL928" s="5">
        <f t="shared" si="710"/>
        <v>1</v>
      </c>
      <c r="AM928" s="5">
        <f t="shared" si="729"/>
        <v>0</v>
      </c>
      <c r="AN928" s="5">
        <f t="shared" si="711"/>
        <v>0</v>
      </c>
      <c r="AO928" s="5">
        <f t="shared" si="730"/>
        <v>0</v>
      </c>
      <c r="AP928" s="11" t="s">
        <v>42</v>
      </c>
      <c r="AQ928" s="11">
        <v>1.5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1</v>
      </c>
      <c r="AY928" s="1">
        <f t="shared" si="720"/>
        <v>0</v>
      </c>
      <c r="AZ928" s="1">
        <f t="shared" si="721"/>
        <v>0</v>
      </c>
      <c r="BA928" s="1">
        <f t="shared" si="722"/>
        <v>0</v>
      </c>
      <c r="BB928" s="5">
        <v>0</v>
      </c>
      <c r="BC928" s="5">
        <v>0</v>
      </c>
      <c r="BD928" s="5">
        <v>0</v>
      </c>
      <c r="BE928" s="5">
        <f t="shared" si="723"/>
        <v>1</v>
      </c>
      <c r="BF928" s="5">
        <v>1</v>
      </c>
      <c r="BG928" s="5">
        <f t="shared" si="726"/>
        <v>0</v>
      </c>
      <c r="BH928" s="5">
        <f t="shared" si="726"/>
        <v>0</v>
      </c>
      <c r="BI928" s="5">
        <f t="shared" si="726"/>
        <v>0</v>
      </c>
      <c r="BJ928" s="5">
        <f t="shared" si="726"/>
        <v>0</v>
      </c>
      <c r="BK928" s="5">
        <f t="shared" si="726"/>
        <v>0</v>
      </c>
      <c r="BL928" s="5">
        <f t="shared" si="726"/>
        <v>0</v>
      </c>
      <c r="BM928" s="5">
        <f t="shared" si="726"/>
        <v>0</v>
      </c>
      <c r="BN928" s="5">
        <f t="shared" si="726"/>
        <v>0</v>
      </c>
      <c r="BO928" s="5">
        <f t="shared" si="725"/>
        <v>0</v>
      </c>
      <c r="BP928" s="5">
        <f t="shared" si="725"/>
        <v>0</v>
      </c>
      <c r="BQ928" s="5">
        <f t="shared" si="725"/>
        <v>0</v>
      </c>
      <c r="BR928" s="5">
        <f t="shared" si="725"/>
        <v>0</v>
      </c>
      <c r="BS928" s="5">
        <f t="shared" si="725"/>
        <v>0</v>
      </c>
      <c r="BT928" s="5">
        <f t="shared" si="725"/>
        <v>0</v>
      </c>
      <c r="BU928" s="5">
        <f t="shared" si="725"/>
        <v>0</v>
      </c>
      <c r="BV928" s="5">
        <f t="shared" si="725"/>
        <v>0</v>
      </c>
      <c r="BW928" s="5">
        <f t="shared" si="725"/>
        <v>0</v>
      </c>
      <c r="BX928" s="5">
        <f t="shared" si="725"/>
        <v>0</v>
      </c>
      <c r="BY928" s="5">
        <f t="shared" si="725"/>
        <v>0</v>
      </c>
      <c r="BZ928" s="5">
        <f t="shared" si="725"/>
        <v>0</v>
      </c>
      <c r="CA928" s="5">
        <f t="shared" si="725"/>
        <v>0</v>
      </c>
      <c r="CB928" s="5">
        <f t="shared" si="724"/>
        <v>0</v>
      </c>
      <c r="CC928" s="5">
        <f t="shared" si="724"/>
        <v>0</v>
      </c>
      <c r="CD928" s="5">
        <f t="shared" si="724"/>
        <v>0</v>
      </c>
      <c r="CE928" s="5">
        <f t="shared" si="724"/>
        <v>1</v>
      </c>
    </row>
    <row r="929" spans="1:83" x14ac:dyDescent="0.2">
      <c r="A929" s="11" t="s">
        <v>208</v>
      </c>
      <c r="B929" s="11" t="s">
        <v>197</v>
      </c>
      <c r="C929" s="1">
        <f>Growth!D934</f>
        <v>0.1111111111111111</v>
      </c>
      <c r="D929" s="5">
        <f t="shared" si="715"/>
        <v>2014</v>
      </c>
      <c r="E929" s="5">
        <v>2014</v>
      </c>
      <c r="F929" s="5">
        <f ca="1">LOOKUP($E929,frequence!$A$2:$A$35,frequence!L$2:L$35)</f>
        <v>50.75383375536623</v>
      </c>
      <c r="G929" s="5">
        <f ca="1">LOOKUP($E929,frequence!$A$2:$A$35,frequence!K$2:K$35)</f>
        <v>9.9751715831189358</v>
      </c>
      <c r="H929" s="5">
        <f ca="1">LOOKUP($E929,frequence!$A$2:$A$35,frequence!M$2:M$35)</f>
        <v>236.05429056976001</v>
      </c>
      <c r="I929" s="16">
        <v>1995</v>
      </c>
      <c r="J929" s="7">
        <f>LOOKUP(I929,CPI!A$69:A$103,CPI!O$69:O$103)</f>
        <v>1.4308136482939633</v>
      </c>
      <c r="K929" s="16">
        <v>2010</v>
      </c>
      <c r="L929" s="7">
        <f t="shared" ca="1" si="708"/>
        <v>1</v>
      </c>
      <c r="M929" s="7">
        <f t="shared" si="671"/>
        <v>0.82222222222222219</v>
      </c>
      <c r="N929" s="14">
        <f>4/36</f>
        <v>0.1111111111111111</v>
      </c>
      <c r="O929" s="1">
        <f ca="1">P929*J929*(1+Growth!G$6)^(2010-K929)</f>
        <v>34.625690288713912</v>
      </c>
      <c r="P929" s="22">
        <f>6.6*44/12</f>
        <v>24.2</v>
      </c>
      <c r="Q929" s="2">
        <f t="shared" ref="Q929:Q940" si="731">P929</f>
        <v>24.2</v>
      </c>
      <c r="R929" s="21">
        <f t="shared" ref="R929:R940" ca="1" si="732">O929*O929</f>
        <v>1198.9384279699368</v>
      </c>
      <c r="U929" s="11"/>
      <c r="V929" s="11"/>
      <c r="W929" s="11"/>
      <c r="X929" s="11"/>
      <c r="Y929" s="11"/>
      <c r="Z929" s="11"/>
      <c r="AA929" s="11"/>
      <c r="AB929" s="11"/>
      <c r="AC929" s="1">
        <f t="shared" ref="AC929" si="733">SUM(AD929:AI929)</f>
        <v>7.4</v>
      </c>
      <c r="AD929" s="5">
        <v>1</v>
      </c>
      <c r="AE929" s="5">
        <v>0</v>
      </c>
      <c r="AF929" s="5">
        <v>1</v>
      </c>
      <c r="AG929" s="5">
        <v>1</v>
      </c>
      <c r="AH929" s="5">
        <v>1</v>
      </c>
      <c r="AI929" s="3">
        <f t="shared" si="719"/>
        <v>3.4</v>
      </c>
      <c r="AJ929" s="5">
        <f t="shared" si="728"/>
        <v>0</v>
      </c>
      <c r="AK929" s="5">
        <f t="shared" si="709"/>
        <v>0</v>
      </c>
      <c r="AL929" s="5">
        <f t="shared" si="710"/>
        <v>0</v>
      </c>
      <c r="AM929" s="5">
        <f t="shared" si="729"/>
        <v>1</v>
      </c>
      <c r="AN929" s="5">
        <f t="shared" si="711"/>
        <v>0</v>
      </c>
      <c r="AO929" s="5">
        <f t="shared" si="730"/>
        <v>0</v>
      </c>
      <c r="AP929" s="11" t="s">
        <v>42</v>
      </c>
      <c r="AQ929" s="11">
        <v>1</v>
      </c>
      <c r="AR929" s="5">
        <v>0</v>
      </c>
      <c r="AS929" s="5">
        <v>1</v>
      </c>
      <c r="AT929" s="5">
        <v>0</v>
      </c>
      <c r="AU929" s="5">
        <v>0</v>
      </c>
      <c r="AV929" s="5">
        <v>0</v>
      </c>
      <c r="AW929" s="5">
        <v>0</v>
      </c>
      <c r="AX929" s="5">
        <v>1</v>
      </c>
      <c r="AY929" s="1">
        <f t="shared" ref="AY929:AY940" si="734">AJ929*$AD929*(1-$AV929)*(1-$AR929)</f>
        <v>0</v>
      </c>
      <c r="AZ929" s="1">
        <f t="shared" ref="AZ929:AZ940" si="735">AM929*$AD929*(1-$AV929)*(1-$AR929)</f>
        <v>1</v>
      </c>
      <c r="BA929" s="1">
        <f t="shared" ref="BA929:BA940" si="736">AO929*$AD929*(1-$AV929)*(1-$AR929)</f>
        <v>0</v>
      </c>
      <c r="BB929" s="5">
        <v>0</v>
      </c>
      <c r="BC929" s="5">
        <v>0</v>
      </c>
      <c r="BD929" s="5">
        <v>1</v>
      </c>
      <c r="BE929" s="5">
        <f t="shared" si="723"/>
        <v>0</v>
      </c>
      <c r="BF929" s="5">
        <v>0</v>
      </c>
      <c r="BG929" s="5">
        <f t="shared" si="726"/>
        <v>0</v>
      </c>
      <c r="BH929" s="5">
        <f t="shared" si="726"/>
        <v>0</v>
      </c>
      <c r="BI929" s="5">
        <f t="shared" si="726"/>
        <v>0</v>
      </c>
      <c r="BJ929" s="5">
        <f t="shared" si="726"/>
        <v>0</v>
      </c>
      <c r="BK929" s="5">
        <f t="shared" si="726"/>
        <v>0</v>
      </c>
      <c r="BL929" s="5">
        <f t="shared" si="726"/>
        <v>0</v>
      </c>
      <c r="BM929" s="5">
        <f t="shared" si="726"/>
        <v>0</v>
      </c>
      <c r="BN929" s="5">
        <f t="shared" si="726"/>
        <v>0</v>
      </c>
      <c r="BO929" s="5">
        <f t="shared" si="725"/>
        <v>0</v>
      </c>
      <c r="BP929" s="5">
        <f t="shared" si="725"/>
        <v>0</v>
      </c>
      <c r="BQ929" s="5">
        <f t="shared" si="725"/>
        <v>0</v>
      </c>
      <c r="BR929" s="5">
        <f t="shared" si="725"/>
        <v>0</v>
      </c>
      <c r="BS929" s="5">
        <f t="shared" si="725"/>
        <v>0</v>
      </c>
      <c r="BT929" s="5">
        <f t="shared" si="725"/>
        <v>0</v>
      </c>
      <c r="BU929" s="5">
        <f t="shared" si="725"/>
        <v>0</v>
      </c>
      <c r="BV929" s="5">
        <f t="shared" si="725"/>
        <v>0</v>
      </c>
      <c r="BW929" s="5">
        <f t="shared" si="725"/>
        <v>0</v>
      </c>
      <c r="BX929" s="5">
        <f t="shared" si="725"/>
        <v>0</v>
      </c>
      <c r="BY929" s="5">
        <f t="shared" si="725"/>
        <v>0</v>
      </c>
      <c r="BZ929" s="5">
        <f t="shared" si="725"/>
        <v>0</v>
      </c>
      <c r="CA929" s="5">
        <f t="shared" si="725"/>
        <v>0</v>
      </c>
      <c r="CB929" s="5">
        <f t="shared" si="724"/>
        <v>0</v>
      </c>
      <c r="CC929" s="5">
        <f t="shared" si="724"/>
        <v>0</v>
      </c>
      <c r="CD929" s="5">
        <f t="shared" si="724"/>
        <v>1</v>
      </c>
      <c r="CE929" s="5">
        <f t="shared" si="724"/>
        <v>0</v>
      </c>
    </row>
    <row r="930" spans="1:83" x14ac:dyDescent="0.2">
      <c r="A930" s="11"/>
      <c r="B930" s="11"/>
      <c r="C930" s="1">
        <f>Growth!D935</f>
        <v>2.7777777777777776E-2</v>
      </c>
      <c r="D930" s="5" t="b">
        <f t="shared" si="715"/>
        <v>0</v>
      </c>
      <c r="E930" s="5">
        <v>2014</v>
      </c>
      <c r="F930" s="5">
        <f ca="1">LOOKUP($E930,frequence!$A$2:$A$35,frequence!L$2:L$35)</f>
        <v>50.75383375536623</v>
      </c>
      <c r="G930" s="5">
        <f ca="1">LOOKUP($E930,frequence!$A$2:$A$35,frequence!K$2:K$35)</f>
        <v>9.9751715831189358</v>
      </c>
      <c r="H930" s="5">
        <f ca="1">LOOKUP($E930,frequence!$A$2:$A$35,frequence!M$2:M$35)</f>
        <v>236.05429056976001</v>
      </c>
      <c r="I930" s="16">
        <v>1995</v>
      </c>
      <c r="J930" s="7">
        <f>LOOKUP(I930,CPI!A$69:A$103,CPI!O$69:O$103)</f>
        <v>1.4308136482939633</v>
      </c>
      <c r="K930" s="16">
        <v>2010</v>
      </c>
      <c r="L930" s="7">
        <f t="shared" ca="1" si="708"/>
        <v>1</v>
      </c>
      <c r="M930" s="7">
        <f t="shared" si="671"/>
        <v>0.20555555555555555</v>
      </c>
      <c r="N930" s="14">
        <f>1/36</f>
        <v>2.7777777777777776E-2</v>
      </c>
      <c r="O930" s="1">
        <f ca="1">P930*J930*(1+Growth!G$6)^(2010-K930)</f>
        <v>62.955800524934382</v>
      </c>
      <c r="P930" s="22">
        <f>12*44/12</f>
        <v>44</v>
      </c>
      <c r="Q930" s="2">
        <f t="shared" si="731"/>
        <v>44</v>
      </c>
      <c r="R930" s="21">
        <f t="shared" ca="1" si="732"/>
        <v>3963.4328197353284</v>
      </c>
      <c r="U930" s="11"/>
      <c r="V930" s="11"/>
      <c r="W930" s="11"/>
      <c r="X930" s="11"/>
      <c r="Y930" s="11"/>
      <c r="Z930" s="11"/>
      <c r="AA930" s="11"/>
      <c r="AB930" s="11"/>
      <c r="AC930" s="1">
        <f t="shared" ref="AC930:AC940" si="737">SUM(AD930:AI930)</f>
        <v>7.4</v>
      </c>
      <c r="AD930" s="5">
        <v>1</v>
      </c>
      <c r="AE930" s="5">
        <v>0</v>
      </c>
      <c r="AF930" s="5">
        <v>1</v>
      </c>
      <c r="AG930" s="5">
        <v>1</v>
      </c>
      <c r="AH930" s="5">
        <v>1</v>
      </c>
      <c r="AI930" s="3">
        <f t="shared" ref="AI930:AI941" si="738">(E930-1980)/10</f>
        <v>3.4</v>
      </c>
      <c r="AJ930" s="5">
        <f t="shared" si="728"/>
        <v>0</v>
      </c>
      <c r="AK930" s="5">
        <f t="shared" si="709"/>
        <v>0</v>
      </c>
      <c r="AL930" s="5">
        <f t="shared" si="710"/>
        <v>0</v>
      </c>
      <c r="AM930" s="5">
        <f t="shared" si="729"/>
        <v>1</v>
      </c>
      <c r="AN930" s="5">
        <f t="shared" si="711"/>
        <v>0</v>
      </c>
      <c r="AO930" s="5">
        <f t="shared" si="730"/>
        <v>0</v>
      </c>
      <c r="AP930" s="11" t="s">
        <v>42</v>
      </c>
      <c r="AQ930" s="11">
        <v>1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5">
        <v>1</v>
      </c>
      <c r="AY930" s="1">
        <f t="shared" si="734"/>
        <v>0</v>
      </c>
      <c r="AZ930" s="1">
        <f t="shared" si="735"/>
        <v>1</v>
      </c>
      <c r="BA930" s="1">
        <f t="shared" si="736"/>
        <v>0</v>
      </c>
      <c r="BB930" s="5">
        <v>0</v>
      </c>
      <c r="BC930" s="5">
        <v>0</v>
      </c>
      <c r="BD930" s="5">
        <v>1</v>
      </c>
      <c r="BE930" s="5">
        <f t="shared" ref="BE930:BE940" si="739">1-SUM(BB930:BD930)</f>
        <v>0</v>
      </c>
      <c r="BF930" s="5">
        <v>0</v>
      </c>
      <c r="BG930" s="5">
        <f t="shared" si="726"/>
        <v>0</v>
      </c>
      <c r="BH930" s="5">
        <f t="shared" si="726"/>
        <v>0</v>
      </c>
      <c r="BI930" s="5">
        <f t="shared" si="726"/>
        <v>0</v>
      </c>
      <c r="BJ930" s="5">
        <f t="shared" si="726"/>
        <v>0</v>
      </c>
      <c r="BK930" s="5">
        <f t="shared" si="726"/>
        <v>0</v>
      </c>
      <c r="BL930" s="5">
        <f t="shared" si="726"/>
        <v>0</v>
      </c>
      <c r="BM930" s="5">
        <f t="shared" si="726"/>
        <v>0</v>
      </c>
      <c r="BN930" s="5">
        <f t="shared" si="726"/>
        <v>0</v>
      </c>
      <c r="BO930" s="5">
        <f t="shared" si="725"/>
        <v>0</v>
      </c>
      <c r="BP930" s="5">
        <f t="shared" si="725"/>
        <v>0</v>
      </c>
      <c r="BQ930" s="5">
        <f t="shared" si="725"/>
        <v>0</v>
      </c>
      <c r="BR930" s="5">
        <f t="shared" si="725"/>
        <v>0</v>
      </c>
      <c r="BS930" s="5">
        <f t="shared" si="725"/>
        <v>0</v>
      </c>
      <c r="BT930" s="5">
        <f t="shared" si="725"/>
        <v>0</v>
      </c>
      <c r="BU930" s="5">
        <f t="shared" si="725"/>
        <v>0</v>
      </c>
      <c r="BV930" s="5">
        <f t="shared" si="725"/>
        <v>0</v>
      </c>
      <c r="BW930" s="5">
        <f t="shared" si="725"/>
        <v>0</v>
      </c>
      <c r="BX930" s="5">
        <f t="shared" si="725"/>
        <v>0</v>
      </c>
      <c r="BY930" s="5">
        <f t="shared" si="725"/>
        <v>0</v>
      </c>
      <c r="BZ930" s="5">
        <f t="shared" si="725"/>
        <v>0</v>
      </c>
      <c r="CA930" s="5">
        <f t="shared" si="725"/>
        <v>0</v>
      </c>
      <c r="CB930" s="5">
        <f t="shared" si="724"/>
        <v>0</v>
      </c>
      <c r="CC930" s="5">
        <f t="shared" si="724"/>
        <v>0</v>
      </c>
      <c r="CD930" s="5">
        <f t="shared" si="724"/>
        <v>1</v>
      </c>
      <c r="CE930" s="5">
        <f t="shared" si="724"/>
        <v>0</v>
      </c>
    </row>
    <row r="931" spans="1:83" x14ac:dyDescent="0.2">
      <c r="A931" s="11"/>
      <c r="B931" s="11"/>
      <c r="C931" s="1">
        <f>Growth!D936</f>
        <v>2.7777777777777776E-2</v>
      </c>
      <c r="D931" s="5" t="b">
        <f t="shared" si="715"/>
        <v>0</v>
      </c>
      <c r="E931" s="5">
        <v>2014</v>
      </c>
      <c r="F931" s="5">
        <f ca="1">LOOKUP($E931,frequence!$A$2:$A$35,frequence!L$2:L$35)</f>
        <v>50.75383375536623</v>
      </c>
      <c r="G931" s="5">
        <f ca="1">LOOKUP($E931,frequence!$A$2:$A$35,frequence!K$2:K$35)</f>
        <v>9.9751715831189358</v>
      </c>
      <c r="H931" s="5">
        <f ca="1">LOOKUP($E931,frequence!$A$2:$A$35,frequence!M$2:M$35)</f>
        <v>236.05429056976001</v>
      </c>
      <c r="I931" s="16">
        <v>1995</v>
      </c>
      <c r="J931" s="7">
        <f>LOOKUP(I931,CPI!A$69:A$103,CPI!O$69:O$103)</f>
        <v>1.4308136482939633</v>
      </c>
      <c r="K931" s="16">
        <v>2010</v>
      </c>
      <c r="L931" s="7">
        <f t="shared" ca="1" si="708"/>
        <v>1</v>
      </c>
      <c r="M931" s="7">
        <f t="shared" si="671"/>
        <v>0.20555555555555555</v>
      </c>
      <c r="N931" s="14">
        <f>1/36</f>
        <v>2.7777777777777776E-2</v>
      </c>
      <c r="O931" s="1">
        <f ca="1">P931*J931*(1+Growth!G$6)^(2010-K931)</f>
        <v>27.280846894138232</v>
      </c>
      <c r="P931" s="22">
        <f>5.2*44/12</f>
        <v>19.066666666666666</v>
      </c>
      <c r="Q931" s="2">
        <f t="shared" si="731"/>
        <v>19.066666666666666</v>
      </c>
      <c r="R931" s="21">
        <f t="shared" ca="1" si="732"/>
        <v>744.2446072614116</v>
      </c>
      <c r="U931" s="11"/>
      <c r="V931" s="11"/>
      <c r="W931" s="11"/>
      <c r="X931" s="11"/>
      <c r="Y931" s="11"/>
      <c r="Z931" s="11"/>
      <c r="AA931" s="11"/>
      <c r="AB931" s="11"/>
      <c r="AC931" s="1">
        <f t="shared" si="737"/>
        <v>7.4</v>
      </c>
      <c r="AD931" s="5">
        <v>1</v>
      </c>
      <c r="AE931" s="5">
        <v>0</v>
      </c>
      <c r="AF931" s="5">
        <v>1</v>
      </c>
      <c r="AG931" s="5">
        <v>1</v>
      </c>
      <c r="AH931" s="5">
        <v>1</v>
      </c>
      <c r="AI931" s="3">
        <f t="shared" si="738"/>
        <v>3.4</v>
      </c>
      <c r="AJ931" s="5">
        <f t="shared" si="728"/>
        <v>0</v>
      </c>
      <c r="AK931" s="5">
        <f t="shared" si="709"/>
        <v>0</v>
      </c>
      <c r="AL931" s="5">
        <f t="shared" si="710"/>
        <v>0</v>
      </c>
      <c r="AM931" s="5">
        <f t="shared" si="729"/>
        <v>1</v>
      </c>
      <c r="AN931" s="5">
        <f t="shared" si="711"/>
        <v>0</v>
      </c>
      <c r="AO931" s="5">
        <f t="shared" si="730"/>
        <v>0</v>
      </c>
      <c r="AP931" s="11" t="s">
        <v>42</v>
      </c>
      <c r="AQ931" s="11">
        <v>1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1</v>
      </c>
      <c r="AY931" s="1">
        <f t="shared" si="734"/>
        <v>0</v>
      </c>
      <c r="AZ931" s="1">
        <f t="shared" si="735"/>
        <v>1</v>
      </c>
      <c r="BA931" s="1">
        <f t="shared" si="736"/>
        <v>0</v>
      </c>
      <c r="BB931" s="5">
        <v>0</v>
      </c>
      <c r="BC931" s="5">
        <v>0</v>
      </c>
      <c r="BD931" s="5">
        <v>1</v>
      </c>
      <c r="BE931" s="5">
        <f t="shared" si="739"/>
        <v>0</v>
      </c>
      <c r="BF931" s="5">
        <v>0</v>
      </c>
      <c r="BG931" s="5">
        <f t="shared" si="726"/>
        <v>0</v>
      </c>
      <c r="BH931" s="5">
        <f t="shared" si="726"/>
        <v>0</v>
      </c>
      <c r="BI931" s="5">
        <f t="shared" si="726"/>
        <v>0</v>
      </c>
      <c r="BJ931" s="5">
        <f t="shared" si="726"/>
        <v>0</v>
      </c>
      <c r="BK931" s="5">
        <f t="shared" si="726"/>
        <v>0</v>
      </c>
      <c r="BL931" s="5">
        <f t="shared" si="726"/>
        <v>0</v>
      </c>
      <c r="BM931" s="5">
        <f t="shared" si="726"/>
        <v>0</v>
      </c>
      <c r="BN931" s="5">
        <f t="shared" si="726"/>
        <v>0</v>
      </c>
      <c r="BO931" s="5">
        <f t="shared" si="725"/>
        <v>0</v>
      </c>
      <c r="BP931" s="5">
        <f t="shared" si="725"/>
        <v>0</v>
      </c>
      <c r="BQ931" s="5">
        <f t="shared" si="725"/>
        <v>0</v>
      </c>
      <c r="BR931" s="5">
        <f t="shared" si="725"/>
        <v>0</v>
      </c>
      <c r="BS931" s="5">
        <f t="shared" si="725"/>
        <v>0</v>
      </c>
      <c r="BT931" s="5">
        <f t="shared" si="725"/>
        <v>0</v>
      </c>
      <c r="BU931" s="5">
        <f t="shared" si="725"/>
        <v>0</v>
      </c>
      <c r="BV931" s="5">
        <f t="shared" si="725"/>
        <v>0</v>
      </c>
      <c r="BW931" s="5">
        <f t="shared" si="725"/>
        <v>0</v>
      </c>
      <c r="BX931" s="5">
        <f t="shared" si="725"/>
        <v>0</v>
      </c>
      <c r="BY931" s="5">
        <f t="shared" si="725"/>
        <v>0</v>
      </c>
      <c r="BZ931" s="5">
        <f t="shared" si="725"/>
        <v>0</v>
      </c>
      <c r="CA931" s="5">
        <f t="shared" si="725"/>
        <v>0</v>
      </c>
      <c r="CB931" s="5">
        <f t="shared" si="724"/>
        <v>0</v>
      </c>
      <c r="CC931" s="5">
        <f t="shared" si="724"/>
        <v>0</v>
      </c>
      <c r="CD931" s="5">
        <f t="shared" si="724"/>
        <v>1</v>
      </c>
      <c r="CE931" s="5">
        <f t="shared" si="724"/>
        <v>0</v>
      </c>
    </row>
    <row r="932" spans="1:83" x14ac:dyDescent="0.2">
      <c r="A932" s="11"/>
      <c r="B932" s="11"/>
      <c r="C932" s="1">
        <f>Growth!D937</f>
        <v>2.7777777777777776E-2</v>
      </c>
      <c r="D932" s="5" t="b">
        <f t="shared" si="715"/>
        <v>0</v>
      </c>
      <c r="E932" s="5">
        <v>2014</v>
      </c>
      <c r="F932" s="5">
        <f ca="1">LOOKUP($E932,frequence!$A$2:$A$35,frequence!L$2:L$35)</f>
        <v>50.75383375536623</v>
      </c>
      <c r="G932" s="5">
        <f ca="1">LOOKUP($E932,frequence!$A$2:$A$35,frequence!K$2:K$35)</f>
        <v>9.9751715831189358</v>
      </c>
      <c r="H932" s="5">
        <f ca="1">LOOKUP($E932,frequence!$A$2:$A$35,frequence!M$2:M$35)</f>
        <v>236.05429056976001</v>
      </c>
      <c r="I932" s="16">
        <v>1995</v>
      </c>
      <c r="J932" s="7">
        <f>LOOKUP(I932,CPI!A$69:A$103,CPI!O$69:O$103)</f>
        <v>1.4308136482939633</v>
      </c>
      <c r="K932" s="16">
        <v>2010</v>
      </c>
      <c r="L932" s="7">
        <f t="shared" ca="1" si="708"/>
        <v>1</v>
      </c>
      <c r="M932" s="7">
        <f t="shared" si="671"/>
        <v>0.20555555555555555</v>
      </c>
      <c r="N932" s="14">
        <f>1/36</f>
        <v>2.7777777777777776E-2</v>
      </c>
      <c r="O932" s="1">
        <f ca="1">P932*J932*(1+Growth!G$6)^(2010-K932)</f>
        <v>13.115791776027995</v>
      </c>
      <c r="P932" s="22">
        <f>2.5*44/12</f>
        <v>9.1666666666666661</v>
      </c>
      <c r="Q932" s="2">
        <f t="shared" si="731"/>
        <v>9.1666666666666661</v>
      </c>
      <c r="R932" s="21">
        <f t="shared" ca="1" si="732"/>
        <v>172.02399391212359</v>
      </c>
      <c r="U932" s="11"/>
      <c r="V932" s="11"/>
      <c r="W932" s="11"/>
      <c r="X932" s="11"/>
      <c r="Y932" s="11"/>
      <c r="Z932" s="11"/>
      <c r="AA932" s="11"/>
      <c r="AB932" s="11"/>
      <c r="AC932" s="1">
        <f t="shared" si="737"/>
        <v>7.4</v>
      </c>
      <c r="AD932" s="5">
        <v>1</v>
      </c>
      <c r="AE932" s="5">
        <v>0</v>
      </c>
      <c r="AF932" s="5">
        <v>1</v>
      </c>
      <c r="AG932" s="5">
        <v>1</v>
      </c>
      <c r="AH932" s="5">
        <v>1</v>
      </c>
      <c r="AI932" s="3">
        <f t="shared" si="738"/>
        <v>3.4</v>
      </c>
      <c r="AJ932" s="5">
        <f t="shared" si="728"/>
        <v>0</v>
      </c>
      <c r="AK932" s="5">
        <f t="shared" si="709"/>
        <v>0</v>
      </c>
      <c r="AL932" s="5">
        <f t="shared" si="710"/>
        <v>0</v>
      </c>
      <c r="AM932" s="5">
        <f t="shared" si="729"/>
        <v>1</v>
      </c>
      <c r="AN932" s="5">
        <f t="shared" si="711"/>
        <v>0</v>
      </c>
      <c r="AO932" s="5">
        <f t="shared" si="730"/>
        <v>0</v>
      </c>
      <c r="AP932" s="11" t="s">
        <v>42</v>
      </c>
      <c r="AQ932" s="11">
        <v>1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1</v>
      </c>
      <c r="AY932" s="1">
        <f t="shared" si="734"/>
        <v>0</v>
      </c>
      <c r="AZ932" s="1">
        <f t="shared" si="735"/>
        <v>1</v>
      </c>
      <c r="BA932" s="1">
        <f t="shared" si="736"/>
        <v>0</v>
      </c>
      <c r="BB932" s="5">
        <v>0</v>
      </c>
      <c r="BC932" s="5">
        <v>0</v>
      </c>
      <c r="BD932" s="5">
        <v>1</v>
      </c>
      <c r="BE932" s="5">
        <f t="shared" si="739"/>
        <v>0</v>
      </c>
      <c r="BF932" s="5">
        <v>0</v>
      </c>
      <c r="BG932" s="5">
        <f t="shared" si="726"/>
        <v>0</v>
      </c>
      <c r="BH932" s="5">
        <f t="shared" si="726"/>
        <v>0</v>
      </c>
      <c r="BI932" s="5">
        <f t="shared" si="726"/>
        <v>0</v>
      </c>
      <c r="BJ932" s="5">
        <f t="shared" si="726"/>
        <v>0</v>
      </c>
      <c r="BK932" s="5">
        <f t="shared" si="726"/>
        <v>0</v>
      </c>
      <c r="BL932" s="5">
        <f t="shared" si="726"/>
        <v>0</v>
      </c>
      <c r="BM932" s="5">
        <f t="shared" si="726"/>
        <v>0</v>
      </c>
      <c r="BN932" s="5">
        <f t="shared" ref="BN932:CB947" si="740">IF($E932=BN$2,1,0)</f>
        <v>0</v>
      </c>
      <c r="BO932" s="5">
        <f t="shared" si="740"/>
        <v>0</v>
      </c>
      <c r="BP932" s="5">
        <f t="shared" si="740"/>
        <v>0</v>
      </c>
      <c r="BQ932" s="5">
        <f t="shared" si="740"/>
        <v>0</v>
      </c>
      <c r="BR932" s="5">
        <f t="shared" si="740"/>
        <v>0</v>
      </c>
      <c r="BS932" s="5">
        <f t="shared" si="740"/>
        <v>0</v>
      </c>
      <c r="BT932" s="5">
        <f t="shared" si="740"/>
        <v>0</v>
      </c>
      <c r="BU932" s="5">
        <f t="shared" si="740"/>
        <v>0</v>
      </c>
      <c r="BV932" s="5">
        <f t="shared" si="740"/>
        <v>0</v>
      </c>
      <c r="BW932" s="5">
        <f t="shared" si="740"/>
        <v>0</v>
      </c>
      <c r="BX932" s="5">
        <f t="shared" si="740"/>
        <v>0</v>
      </c>
      <c r="BY932" s="5">
        <f t="shared" si="740"/>
        <v>0</v>
      </c>
      <c r="BZ932" s="5">
        <f t="shared" si="740"/>
        <v>0</v>
      </c>
      <c r="CA932" s="5">
        <f t="shared" si="740"/>
        <v>0</v>
      </c>
      <c r="CB932" s="5">
        <f t="shared" si="724"/>
        <v>0</v>
      </c>
      <c r="CC932" s="5">
        <f t="shared" si="724"/>
        <v>0</v>
      </c>
      <c r="CD932" s="5">
        <f t="shared" si="724"/>
        <v>1</v>
      </c>
      <c r="CE932" s="5">
        <f t="shared" si="724"/>
        <v>0</v>
      </c>
    </row>
    <row r="933" spans="1:83" x14ac:dyDescent="0.2">
      <c r="A933" s="11"/>
      <c r="B933" s="11"/>
      <c r="C933" s="1">
        <f>Growth!D938</f>
        <v>2.7777777777777776E-2</v>
      </c>
      <c r="D933" s="5" t="b">
        <f t="shared" si="715"/>
        <v>0</v>
      </c>
      <c r="E933" s="5">
        <v>2014</v>
      </c>
      <c r="F933" s="5">
        <f ca="1">LOOKUP($E933,frequence!$A$2:$A$35,frequence!L$2:L$35)</f>
        <v>50.75383375536623</v>
      </c>
      <c r="G933" s="5">
        <f ca="1">LOOKUP($E933,frequence!$A$2:$A$35,frequence!K$2:K$35)</f>
        <v>9.9751715831189358</v>
      </c>
      <c r="H933" s="5">
        <f ca="1">LOOKUP($E933,frequence!$A$2:$A$35,frequence!M$2:M$35)</f>
        <v>236.05429056976001</v>
      </c>
      <c r="I933" s="16">
        <v>1995</v>
      </c>
      <c r="J933" s="7">
        <f>LOOKUP(I933,CPI!A$69:A$103,CPI!O$69:O$103)</f>
        <v>1.4308136482939633</v>
      </c>
      <c r="K933" s="16">
        <v>2010</v>
      </c>
      <c r="L933" s="7">
        <f t="shared" ca="1" si="708"/>
        <v>1</v>
      </c>
      <c r="M933" s="7">
        <f t="shared" si="671"/>
        <v>0.20555555555555555</v>
      </c>
      <c r="N933" s="14">
        <f>1/36</f>
        <v>2.7777777777777776E-2</v>
      </c>
      <c r="O933" s="1">
        <f ca="1">P933*J933*(1+Growth!G$6)^(2010-K933)</f>
        <v>57.709483814523189</v>
      </c>
      <c r="P933" s="22">
        <f>11*44/12</f>
        <v>40.333333333333336</v>
      </c>
      <c r="Q933" s="2">
        <f t="shared" si="731"/>
        <v>40.333333333333336</v>
      </c>
      <c r="R933" s="21">
        <f t="shared" ca="1" si="732"/>
        <v>3330.3845221387137</v>
      </c>
      <c r="U933" s="11"/>
      <c r="V933" s="11"/>
      <c r="W933" s="11"/>
      <c r="X933" s="11"/>
      <c r="Y933" s="11"/>
      <c r="Z933" s="11"/>
      <c r="AA933" s="11"/>
      <c r="AB933" s="11"/>
      <c r="AC933" s="1">
        <f t="shared" si="737"/>
        <v>7.4</v>
      </c>
      <c r="AD933" s="5">
        <v>1</v>
      </c>
      <c r="AE933" s="5">
        <v>0</v>
      </c>
      <c r="AF933" s="5">
        <v>1</v>
      </c>
      <c r="AG933" s="5">
        <v>1</v>
      </c>
      <c r="AH933" s="5">
        <v>1</v>
      </c>
      <c r="AI933" s="3">
        <f t="shared" si="738"/>
        <v>3.4</v>
      </c>
      <c r="AJ933" s="5">
        <f t="shared" si="728"/>
        <v>0</v>
      </c>
      <c r="AK933" s="5">
        <f t="shared" si="709"/>
        <v>0</v>
      </c>
      <c r="AL933" s="5">
        <f t="shared" si="710"/>
        <v>0</v>
      </c>
      <c r="AM933" s="5">
        <f t="shared" si="729"/>
        <v>1</v>
      </c>
      <c r="AN933" s="5">
        <f t="shared" si="711"/>
        <v>0</v>
      </c>
      <c r="AO933" s="5">
        <f t="shared" si="730"/>
        <v>0</v>
      </c>
      <c r="AP933" s="11" t="s">
        <v>42</v>
      </c>
      <c r="AQ933" s="11">
        <v>1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1</v>
      </c>
      <c r="AY933" s="1">
        <f t="shared" si="734"/>
        <v>0</v>
      </c>
      <c r="AZ933" s="1">
        <f t="shared" si="735"/>
        <v>1</v>
      </c>
      <c r="BA933" s="1">
        <f t="shared" si="736"/>
        <v>0</v>
      </c>
      <c r="BB933" s="5">
        <v>0</v>
      </c>
      <c r="BC933" s="5">
        <v>0</v>
      </c>
      <c r="BD933" s="5">
        <v>1</v>
      </c>
      <c r="BE933" s="5">
        <f t="shared" si="739"/>
        <v>0</v>
      </c>
      <c r="BF933" s="5">
        <v>0</v>
      </c>
      <c r="BG933" s="5">
        <f t="shared" ref="BG933:BN948" si="741">IF($E933=BG$2,1,0)</f>
        <v>0</v>
      </c>
      <c r="BH933" s="5">
        <f t="shared" si="741"/>
        <v>0</v>
      </c>
      <c r="BI933" s="5">
        <f t="shared" si="741"/>
        <v>0</v>
      </c>
      <c r="BJ933" s="5">
        <f t="shared" si="741"/>
        <v>0</v>
      </c>
      <c r="BK933" s="5">
        <f t="shared" si="741"/>
        <v>0</v>
      </c>
      <c r="BL933" s="5">
        <f t="shared" si="741"/>
        <v>0</v>
      </c>
      <c r="BM933" s="5">
        <f t="shared" si="741"/>
        <v>0</v>
      </c>
      <c r="BN933" s="5">
        <f t="shared" si="740"/>
        <v>0</v>
      </c>
      <c r="BO933" s="5">
        <f t="shared" si="740"/>
        <v>0</v>
      </c>
      <c r="BP933" s="5">
        <f t="shared" si="740"/>
        <v>0</v>
      </c>
      <c r="BQ933" s="5">
        <f t="shared" si="740"/>
        <v>0</v>
      </c>
      <c r="BR933" s="5">
        <f t="shared" si="740"/>
        <v>0</v>
      </c>
      <c r="BS933" s="5">
        <f t="shared" si="740"/>
        <v>0</v>
      </c>
      <c r="BT933" s="5">
        <f t="shared" si="740"/>
        <v>0</v>
      </c>
      <c r="BU933" s="5">
        <f t="shared" si="740"/>
        <v>0</v>
      </c>
      <c r="BV933" s="5">
        <f t="shared" si="740"/>
        <v>0</v>
      </c>
      <c r="BW933" s="5">
        <f t="shared" si="740"/>
        <v>0</v>
      </c>
      <c r="BX933" s="5">
        <f t="shared" si="740"/>
        <v>0</v>
      </c>
      <c r="BY933" s="5">
        <f t="shared" si="740"/>
        <v>0</v>
      </c>
      <c r="BZ933" s="5">
        <f t="shared" si="740"/>
        <v>0</v>
      </c>
      <c r="CA933" s="5">
        <f t="shared" si="740"/>
        <v>0</v>
      </c>
      <c r="CB933" s="5">
        <f t="shared" si="724"/>
        <v>0</v>
      </c>
      <c r="CC933" s="5">
        <f t="shared" si="724"/>
        <v>0</v>
      </c>
      <c r="CD933" s="5">
        <f t="shared" si="724"/>
        <v>1</v>
      </c>
      <c r="CE933" s="5">
        <f t="shared" si="724"/>
        <v>0</v>
      </c>
    </row>
    <row r="934" spans="1:83" x14ac:dyDescent="0.2">
      <c r="A934" s="11"/>
      <c r="B934" s="11"/>
      <c r="C934" s="1">
        <f>Growth!D939</f>
        <v>0.1111111111111111</v>
      </c>
      <c r="D934" s="5" t="b">
        <f t="shared" si="715"/>
        <v>0</v>
      </c>
      <c r="E934" s="5">
        <v>2014</v>
      </c>
      <c r="F934" s="5">
        <f ca="1">LOOKUP($E934,frequence!$A$2:$A$35,frequence!L$2:L$35)</f>
        <v>50.75383375536623</v>
      </c>
      <c r="G934" s="5">
        <f ca="1">LOOKUP($E934,frequence!$A$2:$A$35,frequence!K$2:K$35)</f>
        <v>9.9751715831189358</v>
      </c>
      <c r="H934" s="5">
        <f ca="1">LOOKUP($E934,frequence!$A$2:$A$35,frequence!M$2:M$35)</f>
        <v>236.05429056976001</v>
      </c>
      <c r="I934" s="16">
        <v>1995</v>
      </c>
      <c r="J934" s="7">
        <f>LOOKUP(I934,CPI!A$69:A$103,CPI!O$69:O$103)</f>
        <v>1.4308136482939633</v>
      </c>
      <c r="K934" s="16">
        <v>2010</v>
      </c>
      <c r="L934" s="7">
        <f t="shared" ca="1" si="708"/>
        <v>1</v>
      </c>
      <c r="M934" s="7">
        <f t="shared" si="671"/>
        <v>0.82222222222222219</v>
      </c>
      <c r="N934" s="14">
        <f t="shared" ref="N934:N940" si="742">4/36</f>
        <v>0.1111111111111111</v>
      </c>
      <c r="O934" s="1">
        <f ca="1">P934*J934*(1+Growth!G$6)^(2010-K934)</f>
        <v>146.89686789151358</v>
      </c>
      <c r="P934" s="22">
        <f>28*44/12</f>
        <v>102.66666666666667</v>
      </c>
      <c r="Q934" s="2">
        <f t="shared" si="731"/>
        <v>102.66666666666667</v>
      </c>
      <c r="R934" s="21">
        <f t="shared" ca="1" si="732"/>
        <v>21578.689796336792</v>
      </c>
      <c r="U934" s="11"/>
      <c r="V934" s="11"/>
      <c r="W934" s="11"/>
      <c r="X934" s="11"/>
      <c r="Y934" s="11"/>
      <c r="Z934" s="11"/>
      <c r="AA934" s="11"/>
      <c r="AB934" s="11"/>
      <c r="AC934" s="1">
        <f t="shared" si="737"/>
        <v>7.4</v>
      </c>
      <c r="AD934" s="5">
        <v>1</v>
      </c>
      <c r="AE934" s="5">
        <v>0</v>
      </c>
      <c r="AF934" s="5">
        <v>1</v>
      </c>
      <c r="AG934" s="5">
        <v>1</v>
      </c>
      <c r="AH934" s="5">
        <v>1</v>
      </c>
      <c r="AI934" s="3">
        <f t="shared" si="738"/>
        <v>3.4</v>
      </c>
      <c r="AJ934" s="5">
        <f t="shared" si="728"/>
        <v>0</v>
      </c>
      <c r="AK934" s="5">
        <f t="shared" si="709"/>
        <v>0</v>
      </c>
      <c r="AL934" s="5">
        <f t="shared" si="710"/>
        <v>0</v>
      </c>
      <c r="AM934" s="5">
        <f t="shared" si="729"/>
        <v>0</v>
      </c>
      <c r="AN934" s="5">
        <f t="shared" si="711"/>
        <v>1</v>
      </c>
      <c r="AO934" s="5">
        <f t="shared" si="730"/>
        <v>0</v>
      </c>
      <c r="AP934" s="11" t="s">
        <v>42</v>
      </c>
      <c r="AQ934" s="11">
        <v>0.1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1</v>
      </c>
      <c r="AY934" s="1">
        <f t="shared" si="734"/>
        <v>0</v>
      </c>
      <c r="AZ934" s="1">
        <f t="shared" si="735"/>
        <v>0</v>
      </c>
      <c r="BA934" s="1">
        <f t="shared" si="736"/>
        <v>0</v>
      </c>
      <c r="BB934" s="5">
        <v>0</v>
      </c>
      <c r="BC934" s="5">
        <v>0</v>
      </c>
      <c r="BD934" s="5">
        <v>1</v>
      </c>
      <c r="BE934" s="5">
        <f t="shared" si="739"/>
        <v>0</v>
      </c>
      <c r="BF934" s="5">
        <v>0</v>
      </c>
      <c r="BG934" s="5">
        <f t="shared" si="741"/>
        <v>0</v>
      </c>
      <c r="BH934" s="5">
        <f t="shared" si="741"/>
        <v>0</v>
      </c>
      <c r="BI934" s="5">
        <f t="shared" si="741"/>
        <v>0</v>
      </c>
      <c r="BJ934" s="5">
        <f t="shared" si="741"/>
        <v>0</v>
      </c>
      <c r="BK934" s="5">
        <f t="shared" si="741"/>
        <v>0</v>
      </c>
      <c r="BL934" s="5">
        <f t="shared" si="741"/>
        <v>0</v>
      </c>
      <c r="BM934" s="5">
        <f t="shared" si="741"/>
        <v>0</v>
      </c>
      <c r="BN934" s="5">
        <f t="shared" si="740"/>
        <v>0</v>
      </c>
      <c r="BO934" s="5">
        <f t="shared" si="740"/>
        <v>0</v>
      </c>
      <c r="BP934" s="5">
        <f t="shared" si="740"/>
        <v>0</v>
      </c>
      <c r="BQ934" s="5">
        <f t="shared" si="740"/>
        <v>0</v>
      </c>
      <c r="BR934" s="5">
        <f t="shared" si="740"/>
        <v>0</v>
      </c>
      <c r="BS934" s="5">
        <f t="shared" si="740"/>
        <v>0</v>
      </c>
      <c r="BT934" s="5">
        <f t="shared" si="740"/>
        <v>0</v>
      </c>
      <c r="BU934" s="5">
        <f t="shared" si="740"/>
        <v>0</v>
      </c>
      <c r="BV934" s="5">
        <f t="shared" si="740"/>
        <v>0</v>
      </c>
      <c r="BW934" s="5">
        <f t="shared" si="740"/>
        <v>0</v>
      </c>
      <c r="BX934" s="5">
        <f t="shared" si="740"/>
        <v>0</v>
      </c>
      <c r="BY934" s="5">
        <f t="shared" si="740"/>
        <v>0</v>
      </c>
      <c r="BZ934" s="5">
        <f t="shared" si="740"/>
        <v>0</v>
      </c>
      <c r="CA934" s="5">
        <f t="shared" si="740"/>
        <v>0</v>
      </c>
      <c r="CB934" s="5">
        <f t="shared" si="724"/>
        <v>0</v>
      </c>
      <c r="CC934" s="5">
        <f t="shared" si="724"/>
        <v>0</v>
      </c>
      <c r="CD934" s="5">
        <f t="shared" si="724"/>
        <v>1</v>
      </c>
      <c r="CE934" s="5">
        <f t="shared" si="724"/>
        <v>0</v>
      </c>
    </row>
    <row r="935" spans="1:83" x14ac:dyDescent="0.2">
      <c r="A935" s="11"/>
      <c r="B935" s="11"/>
      <c r="C935" s="1">
        <f>Growth!D940</f>
        <v>0.1111111111111111</v>
      </c>
      <c r="D935" s="5" t="b">
        <f t="shared" si="715"/>
        <v>0</v>
      </c>
      <c r="E935" s="5">
        <v>2014</v>
      </c>
      <c r="F935" s="5">
        <f ca="1">LOOKUP($E935,frequence!$A$2:$A$35,frequence!L$2:L$35)</f>
        <v>50.75383375536623</v>
      </c>
      <c r="G935" s="5">
        <f ca="1">LOOKUP($E935,frequence!$A$2:$A$35,frequence!K$2:K$35)</f>
        <v>9.9751715831189358</v>
      </c>
      <c r="H935" s="5">
        <f ca="1">LOOKUP($E935,frequence!$A$2:$A$35,frequence!M$2:M$35)</f>
        <v>236.05429056976001</v>
      </c>
      <c r="I935" s="16">
        <v>1995</v>
      </c>
      <c r="J935" s="7">
        <f>LOOKUP(I935,CPI!A$69:A$103,CPI!O$69:O$103)</f>
        <v>1.4308136482939633</v>
      </c>
      <c r="K935" s="16">
        <v>2010</v>
      </c>
      <c r="L935" s="7">
        <f t="shared" ca="1" si="708"/>
        <v>1</v>
      </c>
      <c r="M935" s="7">
        <f t="shared" si="671"/>
        <v>0.82222222222222219</v>
      </c>
      <c r="N935" s="14">
        <f t="shared" si="742"/>
        <v>0.1111111111111111</v>
      </c>
      <c r="O935" s="1">
        <f ca="1">P935*J935*(1+Growth!G$6)^(2010-K935)</f>
        <v>1.5738950131233593</v>
      </c>
      <c r="P935" s="22">
        <f>0.3*44/12</f>
        <v>1.0999999999999999</v>
      </c>
      <c r="Q935" s="2">
        <f t="shared" si="731"/>
        <v>1.0999999999999999</v>
      </c>
      <c r="R935" s="21">
        <f t="shared" ca="1" si="732"/>
        <v>2.4771455123345794</v>
      </c>
      <c r="U935" s="11"/>
      <c r="V935" s="11"/>
      <c r="W935" s="11"/>
      <c r="X935" s="11"/>
      <c r="Y935" s="11"/>
      <c r="Z935" s="11"/>
      <c r="AA935" s="11"/>
      <c r="AB935" s="11"/>
      <c r="AC935" s="1">
        <f t="shared" si="737"/>
        <v>7.4</v>
      </c>
      <c r="AD935" s="5">
        <v>1</v>
      </c>
      <c r="AE935" s="5">
        <v>0</v>
      </c>
      <c r="AF935" s="5">
        <v>1</v>
      </c>
      <c r="AG935" s="5">
        <v>1</v>
      </c>
      <c r="AH935" s="5">
        <v>1</v>
      </c>
      <c r="AI935" s="3">
        <f t="shared" si="738"/>
        <v>3.4</v>
      </c>
      <c r="AJ935" s="5">
        <f t="shared" si="728"/>
        <v>1</v>
      </c>
      <c r="AK935" s="5">
        <f t="shared" si="709"/>
        <v>0</v>
      </c>
      <c r="AL935" s="5">
        <f t="shared" si="710"/>
        <v>0</v>
      </c>
      <c r="AM935" s="5">
        <f t="shared" si="729"/>
        <v>0</v>
      </c>
      <c r="AN935" s="5">
        <f t="shared" si="711"/>
        <v>0</v>
      </c>
      <c r="AO935" s="5">
        <f t="shared" si="730"/>
        <v>0</v>
      </c>
      <c r="AP935" s="11" t="s">
        <v>42</v>
      </c>
      <c r="AQ935" s="11">
        <v>3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1</v>
      </c>
      <c r="AY935" s="1">
        <f t="shared" si="734"/>
        <v>1</v>
      </c>
      <c r="AZ935" s="1">
        <f t="shared" si="735"/>
        <v>0</v>
      </c>
      <c r="BA935" s="1">
        <f t="shared" si="736"/>
        <v>0</v>
      </c>
      <c r="BB935" s="5">
        <v>0</v>
      </c>
      <c r="BC935" s="5">
        <v>0</v>
      </c>
      <c r="BD935" s="5">
        <v>1</v>
      </c>
      <c r="BE935" s="5">
        <f t="shared" si="739"/>
        <v>0</v>
      </c>
      <c r="BF935" s="5">
        <v>0</v>
      </c>
      <c r="BG935" s="5">
        <f t="shared" si="741"/>
        <v>0</v>
      </c>
      <c r="BH935" s="5">
        <f t="shared" si="741"/>
        <v>0</v>
      </c>
      <c r="BI935" s="5">
        <f t="shared" si="741"/>
        <v>0</v>
      </c>
      <c r="BJ935" s="5">
        <f t="shared" si="741"/>
        <v>0</v>
      </c>
      <c r="BK935" s="5">
        <f t="shared" si="741"/>
        <v>0</v>
      </c>
      <c r="BL935" s="5">
        <f t="shared" si="741"/>
        <v>0</v>
      </c>
      <c r="BM935" s="5">
        <f t="shared" si="741"/>
        <v>0</v>
      </c>
      <c r="BN935" s="5">
        <f t="shared" si="740"/>
        <v>0</v>
      </c>
      <c r="BO935" s="5">
        <f t="shared" si="740"/>
        <v>0</v>
      </c>
      <c r="BP935" s="5">
        <f t="shared" si="740"/>
        <v>0</v>
      </c>
      <c r="BQ935" s="5">
        <f t="shared" si="740"/>
        <v>0</v>
      </c>
      <c r="BR935" s="5">
        <f t="shared" si="740"/>
        <v>0</v>
      </c>
      <c r="BS935" s="5">
        <f t="shared" si="740"/>
        <v>0</v>
      </c>
      <c r="BT935" s="5">
        <f t="shared" si="740"/>
        <v>0</v>
      </c>
      <c r="BU935" s="5">
        <f t="shared" si="740"/>
        <v>0</v>
      </c>
      <c r="BV935" s="5">
        <f t="shared" si="740"/>
        <v>0</v>
      </c>
      <c r="BW935" s="5">
        <f t="shared" si="740"/>
        <v>0</v>
      </c>
      <c r="BX935" s="5">
        <f t="shared" si="740"/>
        <v>0</v>
      </c>
      <c r="BY935" s="5">
        <f t="shared" si="740"/>
        <v>0</v>
      </c>
      <c r="BZ935" s="5">
        <f t="shared" si="740"/>
        <v>0</v>
      </c>
      <c r="CA935" s="5">
        <f t="shared" si="740"/>
        <v>0</v>
      </c>
      <c r="CB935" s="5">
        <f t="shared" si="740"/>
        <v>0</v>
      </c>
      <c r="CC935" s="5">
        <f t="shared" ref="CC935:CE954" si="743">IF($E935=CC$2,1,0)</f>
        <v>0</v>
      </c>
      <c r="CD935" s="5">
        <f t="shared" si="743"/>
        <v>1</v>
      </c>
      <c r="CE935" s="5">
        <f t="shared" si="743"/>
        <v>0</v>
      </c>
    </row>
    <row r="936" spans="1:83" x14ac:dyDescent="0.2">
      <c r="A936" s="11"/>
      <c r="B936" s="11"/>
      <c r="C936" s="1">
        <f>Growth!D941</f>
        <v>0.1111111111111111</v>
      </c>
      <c r="D936" s="5" t="b">
        <f t="shared" si="715"/>
        <v>0</v>
      </c>
      <c r="E936" s="5">
        <v>2014</v>
      </c>
      <c r="F936" s="5">
        <f ca="1">LOOKUP($E936,frequence!$A$2:$A$35,frequence!L$2:L$35)</f>
        <v>50.75383375536623</v>
      </c>
      <c r="G936" s="5">
        <f ca="1">LOOKUP($E936,frequence!$A$2:$A$35,frequence!K$2:K$35)</f>
        <v>9.9751715831189358</v>
      </c>
      <c r="H936" s="5">
        <f ca="1">LOOKUP($E936,frequence!$A$2:$A$35,frequence!M$2:M$35)</f>
        <v>236.05429056976001</v>
      </c>
      <c r="I936" s="16">
        <v>1995</v>
      </c>
      <c r="J936" s="7">
        <f>LOOKUP(I936,CPI!A$69:A$103,CPI!O$69:O$103)</f>
        <v>1.4308136482939633</v>
      </c>
      <c r="K936" s="16">
        <v>2010</v>
      </c>
      <c r="L936" s="7">
        <f t="shared" ca="1" si="708"/>
        <v>1</v>
      </c>
      <c r="M936" s="7">
        <f t="shared" si="671"/>
        <v>0.82222222222222219</v>
      </c>
      <c r="N936" s="14">
        <f t="shared" si="742"/>
        <v>0.1111111111111111</v>
      </c>
      <c r="O936" s="1">
        <f ca="1">P936*J936*(1+Growth!G$6)^(2010-K936)</f>
        <v>73.44843394575679</v>
      </c>
      <c r="P936" s="22">
        <f>14*44/12</f>
        <v>51.333333333333336</v>
      </c>
      <c r="Q936" s="2">
        <f t="shared" si="731"/>
        <v>51.333333333333336</v>
      </c>
      <c r="R936" s="21">
        <f t="shared" ca="1" si="732"/>
        <v>5394.672449084198</v>
      </c>
      <c r="U936" s="11"/>
      <c r="V936" s="11"/>
      <c r="W936" s="11"/>
      <c r="X936" s="11"/>
      <c r="Y936" s="11"/>
      <c r="Z936" s="11"/>
      <c r="AA936" s="11"/>
      <c r="AB936" s="11"/>
      <c r="AC936" s="1">
        <f t="shared" si="737"/>
        <v>7.4</v>
      </c>
      <c r="AD936" s="5">
        <v>1</v>
      </c>
      <c r="AE936" s="5">
        <v>0</v>
      </c>
      <c r="AF936" s="5">
        <v>1</v>
      </c>
      <c r="AG936" s="5">
        <v>1</v>
      </c>
      <c r="AH936" s="5">
        <v>1</v>
      </c>
      <c r="AI936" s="3">
        <f t="shared" si="738"/>
        <v>3.4</v>
      </c>
      <c r="AJ936" s="5">
        <f t="shared" si="728"/>
        <v>0</v>
      </c>
      <c r="AK936" s="5">
        <f t="shared" si="709"/>
        <v>0</v>
      </c>
      <c r="AL936" s="5">
        <f t="shared" si="710"/>
        <v>0</v>
      </c>
      <c r="AM936" s="5">
        <f t="shared" si="729"/>
        <v>1</v>
      </c>
      <c r="AN936" s="5">
        <f t="shared" si="711"/>
        <v>0</v>
      </c>
      <c r="AO936" s="5">
        <f t="shared" si="730"/>
        <v>0</v>
      </c>
      <c r="AP936" s="11" t="s">
        <v>42</v>
      </c>
      <c r="AQ936" s="11">
        <v>1</v>
      </c>
      <c r="AR936" s="5">
        <v>1</v>
      </c>
      <c r="AS936" s="5">
        <v>1</v>
      </c>
      <c r="AT936" s="5">
        <v>0</v>
      </c>
      <c r="AU936" s="5">
        <v>0</v>
      </c>
      <c r="AV936" s="5">
        <v>0</v>
      </c>
      <c r="AW936" s="5">
        <v>0</v>
      </c>
      <c r="AX936" s="5">
        <v>1</v>
      </c>
      <c r="AY936" s="1">
        <f t="shared" si="734"/>
        <v>0</v>
      </c>
      <c r="AZ936" s="1">
        <f t="shared" si="735"/>
        <v>0</v>
      </c>
      <c r="BA936" s="1">
        <f t="shared" si="736"/>
        <v>0</v>
      </c>
      <c r="BB936" s="5">
        <v>0</v>
      </c>
      <c r="BC936" s="5">
        <v>0</v>
      </c>
      <c r="BD936" s="5">
        <v>1</v>
      </c>
      <c r="BE936" s="5">
        <f t="shared" si="739"/>
        <v>0</v>
      </c>
      <c r="BF936" s="5">
        <v>0</v>
      </c>
      <c r="BG936" s="5">
        <f t="shared" si="741"/>
        <v>0</v>
      </c>
      <c r="BH936" s="5">
        <f t="shared" si="741"/>
        <v>0</v>
      </c>
      <c r="BI936" s="5">
        <f t="shared" si="741"/>
        <v>0</v>
      </c>
      <c r="BJ936" s="5">
        <f t="shared" si="741"/>
        <v>0</v>
      </c>
      <c r="BK936" s="5">
        <f t="shared" si="741"/>
        <v>0</v>
      </c>
      <c r="BL936" s="5">
        <f t="shared" si="741"/>
        <v>0</v>
      </c>
      <c r="BM936" s="5">
        <f t="shared" si="741"/>
        <v>0</v>
      </c>
      <c r="BN936" s="5">
        <f t="shared" si="740"/>
        <v>0</v>
      </c>
      <c r="BO936" s="5">
        <f t="shared" si="740"/>
        <v>0</v>
      </c>
      <c r="BP936" s="5">
        <f t="shared" si="740"/>
        <v>0</v>
      </c>
      <c r="BQ936" s="5">
        <f t="shared" si="740"/>
        <v>0</v>
      </c>
      <c r="BR936" s="5">
        <f t="shared" si="740"/>
        <v>0</v>
      </c>
      <c r="BS936" s="5">
        <f t="shared" si="740"/>
        <v>0</v>
      </c>
      <c r="BT936" s="5">
        <f t="shared" si="740"/>
        <v>0</v>
      </c>
      <c r="BU936" s="5">
        <f t="shared" si="740"/>
        <v>0</v>
      </c>
      <c r="BV936" s="5">
        <f t="shared" si="740"/>
        <v>0</v>
      </c>
      <c r="BW936" s="5">
        <f t="shared" si="740"/>
        <v>0</v>
      </c>
      <c r="BX936" s="5">
        <f t="shared" si="740"/>
        <v>0</v>
      </c>
      <c r="BY936" s="5">
        <f t="shared" si="740"/>
        <v>0</v>
      </c>
      <c r="BZ936" s="5">
        <f t="shared" si="740"/>
        <v>0</v>
      </c>
      <c r="CA936" s="5">
        <f t="shared" si="740"/>
        <v>0</v>
      </c>
      <c r="CB936" s="5">
        <f t="shared" si="740"/>
        <v>0</v>
      </c>
      <c r="CC936" s="5">
        <f t="shared" si="743"/>
        <v>0</v>
      </c>
      <c r="CD936" s="5">
        <f t="shared" si="743"/>
        <v>1</v>
      </c>
      <c r="CE936" s="5">
        <f t="shared" si="743"/>
        <v>0</v>
      </c>
    </row>
    <row r="937" spans="1:83" x14ac:dyDescent="0.2">
      <c r="A937" s="11"/>
      <c r="B937" s="11"/>
      <c r="C937" s="1">
        <f>Growth!D942</f>
        <v>0.1111111111111111</v>
      </c>
      <c r="D937" s="5" t="b">
        <f t="shared" si="715"/>
        <v>0</v>
      </c>
      <c r="E937" s="5">
        <v>2014</v>
      </c>
      <c r="F937" s="5">
        <f ca="1">LOOKUP($E937,frequence!$A$2:$A$35,frequence!L$2:L$35)</f>
        <v>50.75383375536623</v>
      </c>
      <c r="G937" s="5">
        <f ca="1">LOOKUP($E937,frequence!$A$2:$A$35,frequence!K$2:K$35)</f>
        <v>9.9751715831189358</v>
      </c>
      <c r="H937" s="5">
        <f ca="1">LOOKUP($E937,frequence!$A$2:$A$35,frequence!M$2:M$35)</f>
        <v>236.05429056976001</v>
      </c>
      <c r="I937" s="16">
        <v>1995</v>
      </c>
      <c r="J937" s="7">
        <f>LOOKUP(I937,CPI!A$69:A$103,CPI!O$69:O$103)</f>
        <v>1.4308136482939633</v>
      </c>
      <c r="K937" s="16">
        <v>2010</v>
      </c>
      <c r="L937" s="7">
        <f t="shared" ca="1" si="708"/>
        <v>1</v>
      </c>
      <c r="M937" s="7">
        <f t="shared" si="671"/>
        <v>0.82222222222222219</v>
      </c>
      <c r="N937" s="14">
        <f t="shared" si="742"/>
        <v>0.1111111111111111</v>
      </c>
      <c r="O937" s="1">
        <f ca="1">P937*J937*(1+Growth!G$6)^(2010-K937)</f>
        <v>10.492633420822397</v>
      </c>
      <c r="P937" s="22">
        <f>2*44/12</f>
        <v>7.333333333333333</v>
      </c>
      <c r="Q937" s="2">
        <f t="shared" si="731"/>
        <v>7.333333333333333</v>
      </c>
      <c r="R937" s="21">
        <f t="shared" ca="1" si="732"/>
        <v>110.09535610375912</v>
      </c>
      <c r="U937" s="11"/>
      <c r="V937" s="11"/>
      <c r="W937" s="11"/>
      <c r="X937" s="11"/>
      <c r="Y937" s="11"/>
      <c r="Z937" s="11"/>
      <c r="AA937" s="11"/>
      <c r="AB937" s="11"/>
      <c r="AC937" s="1">
        <f t="shared" si="737"/>
        <v>7.4</v>
      </c>
      <c r="AD937" s="5">
        <v>1</v>
      </c>
      <c r="AE937" s="5">
        <v>0</v>
      </c>
      <c r="AF937" s="5">
        <v>1</v>
      </c>
      <c r="AG937" s="5">
        <v>1</v>
      </c>
      <c r="AH937" s="5">
        <v>1</v>
      </c>
      <c r="AI937" s="3">
        <f t="shared" si="738"/>
        <v>3.4</v>
      </c>
      <c r="AJ937" s="5">
        <f t="shared" si="728"/>
        <v>0</v>
      </c>
      <c r="AK937" s="5">
        <f t="shared" si="709"/>
        <v>0</v>
      </c>
      <c r="AL937" s="5">
        <f t="shared" si="710"/>
        <v>0</v>
      </c>
      <c r="AM937" s="5">
        <f t="shared" si="729"/>
        <v>1</v>
      </c>
      <c r="AN937" s="5">
        <f t="shared" si="711"/>
        <v>0</v>
      </c>
      <c r="AO937" s="5">
        <f t="shared" si="730"/>
        <v>0</v>
      </c>
      <c r="AP937" s="11" t="s">
        <v>42</v>
      </c>
      <c r="AQ937" s="11">
        <v>1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1</v>
      </c>
      <c r="AY937" s="1">
        <f t="shared" si="734"/>
        <v>0</v>
      </c>
      <c r="AZ937" s="1">
        <f t="shared" si="735"/>
        <v>1</v>
      </c>
      <c r="BA937" s="1">
        <f t="shared" si="736"/>
        <v>0</v>
      </c>
      <c r="BB937" s="5">
        <v>0</v>
      </c>
      <c r="BC937" s="5">
        <v>0</v>
      </c>
      <c r="BD937" s="5">
        <v>1</v>
      </c>
      <c r="BE937" s="5">
        <f t="shared" si="739"/>
        <v>0</v>
      </c>
      <c r="BF937" s="5">
        <v>0</v>
      </c>
      <c r="BG937" s="5">
        <f t="shared" si="741"/>
        <v>0</v>
      </c>
      <c r="BH937" s="5">
        <f t="shared" si="741"/>
        <v>0</v>
      </c>
      <c r="BI937" s="5">
        <f t="shared" si="741"/>
        <v>0</v>
      </c>
      <c r="BJ937" s="5">
        <f t="shared" si="741"/>
        <v>0</v>
      </c>
      <c r="BK937" s="5">
        <f t="shared" si="741"/>
        <v>0</v>
      </c>
      <c r="BL937" s="5">
        <f t="shared" si="741"/>
        <v>0</v>
      </c>
      <c r="BM937" s="5">
        <f t="shared" si="741"/>
        <v>0</v>
      </c>
      <c r="BN937" s="5">
        <f t="shared" si="740"/>
        <v>0</v>
      </c>
      <c r="BO937" s="5">
        <f t="shared" si="740"/>
        <v>0</v>
      </c>
      <c r="BP937" s="5">
        <f t="shared" si="740"/>
        <v>0</v>
      </c>
      <c r="BQ937" s="5">
        <f t="shared" si="740"/>
        <v>0</v>
      </c>
      <c r="BR937" s="5">
        <f t="shared" si="740"/>
        <v>0</v>
      </c>
      <c r="BS937" s="5">
        <f t="shared" si="740"/>
        <v>0</v>
      </c>
      <c r="BT937" s="5">
        <f t="shared" si="740"/>
        <v>0</v>
      </c>
      <c r="BU937" s="5">
        <f t="shared" si="740"/>
        <v>0</v>
      </c>
      <c r="BV937" s="5">
        <f t="shared" si="740"/>
        <v>0</v>
      </c>
      <c r="BW937" s="5">
        <f t="shared" si="740"/>
        <v>0</v>
      </c>
      <c r="BX937" s="5">
        <f t="shared" si="740"/>
        <v>0</v>
      </c>
      <c r="BY937" s="5">
        <f t="shared" si="740"/>
        <v>0</v>
      </c>
      <c r="BZ937" s="5">
        <f t="shared" si="740"/>
        <v>0</v>
      </c>
      <c r="CA937" s="5">
        <f t="shared" si="740"/>
        <v>0</v>
      </c>
      <c r="CB937" s="5">
        <f t="shared" si="740"/>
        <v>0</v>
      </c>
      <c r="CC937" s="5">
        <f t="shared" si="743"/>
        <v>0</v>
      </c>
      <c r="CD937" s="5">
        <f t="shared" si="743"/>
        <v>1</v>
      </c>
      <c r="CE937" s="5">
        <f t="shared" si="743"/>
        <v>0</v>
      </c>
    </row>
    <row r="938" spans="1:83" x14ac:dyDescent="0.2">
      <c r="A938" s="11"/>
      <c r="B938" s="11"/>
      <c r="C938" s="1">
        <f>Growth!D943</f>
        <v>0.1111111111111111</v>
      </c>
      <c r="D938" s="5" t="b">
        <f t="shared" si="715"/>
        <v>0</v>
      </c>
      <c r="E938" s="5">
        <v>2014</v>
      </c>
      <c r="F938" s="5">
        <f ca="1">LOOKUP($E938,frequence!$A$2:$A$35,frequence!L$2:L$35)</f>
        <v>50.75383375536623</v>
      </c>
      <c r="G938" s="5">
        <f ca="1">LOOKUP($E938,frequence!$A$2:$A$35,frequence!K$2:K$35)</f>
        <v>9.9751715831189358</v>
      </c>
      <c r="H938" s="5">
        <f ca="1">LOOKUP($E938,frequence!$A$2:$A$35,frequence!M$2:M$35)</f>
        <v>236.05429056976001</v>
      </c>
      <c r="I938" s="16">
        <v>1995</v>
      </c>
      <c r="J938" s="7">
        <f>LOOKUP(I938,CPI!A$69:A$103,CPI!O$69:O$103)</f>
        <v>1.4308136482939633</v>
      </c>
      <c r="K938" s="16">
        <v>2010</v>
      </c>
      <c r="L938" s="7">
        <f t="shared" ca="1" si="708"/>
        <v>1</v>
      </c>
      <c r="M938" s="7">
        <f t="shared" si="671"/>
        <v>0.82222222222222219</v>
      </c>
      <c r="N938" s="14">
        <f t="shared" si="742"/>
        <v>0.1111111111111111</v>
      </c>
      <c r="O938" s="1">
        <f ca="1">P938*J938*(1+Growth!G$6)^(2010-K938)</f>
        <v>14.165055118110237</v>
      </c>
      <c r="P938" s="22">
        <f>2.7*44/12</f>
        <v>9.9</v>
      </c>
      <c r="Q938" s="2">
        <f t="shared" si="731"/>
        <v>9.9</v>
      </c>
      <c r="R938" s="21">
        <f t="shared" ca="1" si="732"/>
        <v>200.64878649910102</v>
      </c>
      <c r="U938" s="11"/>
      <c r="V938" s="11"/>
      <c r="W938" s="11"/>
      <c r="X938" s="11"/>
      <c r="Y938" s="11"/>
      <c r="Z938" s="11"/>
      <c r="AA938" s="11"/>
      <c r="AB938" s="11"/>
      <c r="AC938" s="1">
        <f t="shared" si="737"/>
        <v>7.4</v>
      </c>
      <c r="AD938" s="5">
        <v>1</v>
      </c>
      <c r="AE938" s="5">
        <v>0</v>
      </c>
      <c r="AF938" s="5">
        <v>1</v>
      </c>
      <c r="AG938" s="5">
        <v>1</v>
      </c>
      <c r="AH938" s="5">
        <v>1</v>
      </c>
      <c r="AI938" s="3">
        <f t="shared" si="738"/>
        <v>3.4</v>
      </c>
      <c r="AJ938" s="5">
        <f t="shared" si="728"/>
        <v>0</v>
      </c>
      <c r="AK938" s="5">
        <f t="shared" si="709"/>
        <v>0</v>
      </c>
      <c r="AL938" s="5">
        <f t="shared" si="710"/>
        <v>0</v>
      </c>
      <c r="AM938" s="5">
        <f t="shared" si="729"/>
        <v>1</v>
      </c>
      <c r="AN938" s="5">
        <f t="shared" si="711"/>
        <v>0</v>
      </c>
      <c r="AO938" s="5">
        <f t="shared" si="730"/>
        <v>0</v>
      </c>
      <c r="AP938" s="11" t="s">
        <v>42</v>
      </c>
      <c r="AQ938" s="11">
        <v>1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1</v>
      </c>
      <c r="AY938" s="1">
        <f t="shared" si="734"/>
        <v>0</v>
      </c>
      <c r="AZ938" s="1">
        <f t="shared" si="735"/>
        <v>1</v>
      </c>
      <c r="BA938" s="1">
        <f t="shared" si="736"/>
        <v>0</v>
      </c>
      <c r="BB938" s="5">
        <v>0</v>
      </c>
      <c r="BC938" s="5">
        <v>0</v>
      </c>
      <c r="BD938" s="5">
        <v>1</v>
      </c>
      <c r="BE938" s="5">
        <f t="shared" si="739"/>
        <v>0</v>
      </c>
      <c r="BF938" s="5">
        <v>0</v>
      </c>
      <c r="BG938" s="5">
        <f t="shared" si="741"/>
        <v>0</v>
      </c>
      <c r="BH938" s="5">
        <f t="shared" si="741"/>
        <v>0</v>
      </c>
      <c r="BI938" s="5">
        <f t="shared" si="741"/>
        <v>0</v>
      </c>
      <c r="BJ938" s="5">
        <f t="shared" si="741"/>
        <v>0</v>
      </c>
      <c r="BK938" s="5">
        <f t="shared" si="741"/>
        <v>0</v>
      </c>
      <c r="BL938" s="5">
        <f t="shared" si="741"/>
        <v>0</v>
      </c>
      <c r="BM938" s="5">
        <f t="shared" si="741"/>
        <v>0</v>
      </c>
      <c r="BN938" s="5">
        <f t="shared" si="740"/>
        <v>0</v>
      </c>
      <c r="BO938" s="5">
        <f t="shared" si="740"/>
        <v>0</v>
      </c>
      <c r="BP938" s="5">
        <f t="shared" si="740"/>
        <v>0</v>
      </c>
      <c r="BQ938" s="5">
        <f t="shared" si="740"/>
        <v>0</v>
      </c>
      <c r="BR938" s="5">
        <f t="shared" si="740"/>
        <v>0</v>
      </c>
      <c r="BS938" s="5">
        <f t="shared" si="740"/>
        <v>0</v>
      </c>
      <c r="BT938" s="5">
        <f t="shared" si="740"/>
        <v>0</v>
      </c>
      <c r="BU938" s="5">
        <f t="shared" si="740"/>
        <v>0</v>
      </c>
      <c r="BV938" s="5">
        <f t="shared" si="740"/>
        <v>0</v>
      </c>
      <c r="BW938" s="5">
        <f t="shared" si="740"/>
        <v>0</v>
      </c>
      <c r="BX938" s="5">
        <f t="shared" si="740"/>
        <v>0</v>
      </c>
      <c r="BY938" s="5">
        <f t="shared" si="740"/>
        <v>0</v>
      </c>
      <c r="BZ938" s="5">
        <f t="shared" si="740"/>
        <v>0</v>
      </c>
      <c r="CA938" s="5">
        <f t="shared" si="740"/>
        <v>0</v>
      </c>
      <c r="CB938" s="5">
        <f t="shared" si="740"/>
        <v>0</v>
      </c>
      <c r="CC938" s="5">
        <f t="shared" si="743"/>
        <v>0</v>
      </c>
      <c r="CD938" s="5">
        <f t="shared" si="743"/>
        <v>1</v>
      </c>
      <c r="CE938" s="5">
        <f t="shared" si="743"/>
        <v>0</v>
      </c>
    </row>
    <row r="939" spans="1:83" x14ac:dyDescent="0.2">
      <c r="A939" s="11"/>
      <c r="B939" s="11"/>
      <c r="C939" s="1">
        <f>Growth!D944</f>
        <v>0.1111111111111111</v>
      </c>
      <c r="D939" s="5" t="b">
        <f t="shared" si="715"/>
        <v>0</v>
      </c>
      <c r="E939" s="5">
        <v>2014</v>
      </c>
      <c r="F939" s="5">
        <f ca="1">LOOKUP($E939,frequence!$A$2:$A$35,frequence!L$2:L$35)</f>
        <v>50.75383375536623</v>
      </c>
      <c r="G939" s="5">
        <f ca="1">LOOKUP($E939,frequence!$A$2:$A$35,frequence!K$2:K$35)</f>
        <v>9.9751715831189358</v>
      </c>
      <c r="H939" s="5">
        <f ca="1">LOOKUP($E939,frequence!$A$2:$A$35,frequence!M$2:M$35)</f>
        <v>236.05429056976001</v>
      </c>
      <c r="I939" s="16">
        <v>1995</v>
      </c>
      <c r="J939" s="7">
        <f>LOOKUP(I939,CPI!A$69:A$103,CPI!O$69:O$103)</f>
        <v>1.4308136482939633</v>
      </c>
      <c r="K939" s="16">
        <v>2010</v>
      </c>
      <c r="L939" s="7">
        <f t="shared" ca="1" si="708"/>
        <v>1</v>
      </c>
      <c r="M939" s="7">
        <f t="shared" si="671"/>
        <v>0.82222222222222219</v>
      </c>
      <c r="N939" s="14">
        <f t="shared" si="742"/>
        <v>0.1111111111111111</v>
      </c>
      <c r="O939" s="1">
        <f ca="1">P939*J939*(1+Growth!G$6)^(2010-K939)</f>
        <v>29.379373578302712</v>
      </c>
      <c r="P939" s="22">
        <f>5.6*44/12</f>
        <v>20.533333333333331</v>
      </c>
      <c r="Q939" s="2">
        <f t="shared" si="731"/>
        <v>20.533333333333331</v>
      </c>
      <c r="R939" s="21">
        <f t="shared" ca="1" si="732"/>
        <v>863.14759185347145</v>
      </c>
      <c r="U939" s="11"/>
      <c r="V939" s="11"/>
      <c r="W939" s="11"/>
      <c r="X939" s="11"/>
      <c r="Y939" s="11"/>
      <c r="Z939" s="11"/>
      <c r="AA939" s="11"/>
      <c r="AB939" s="11"/>
      <c r="AC939" s="1">
        <f t="shared" si="737"/>
        <v>7.4</v>
      </c>
      <c r="AD939" s="5">
        <v>1</v>
      </c>
      <c r="AE939" s="5">
        <v>0</v>
      </c>
      <c r="AF939" s="5">
        <v>1</v>
      </c>
      <c r="AG939" s="5">
        <v>1</v>
      </c>
      <c r="AH939" s="5">
        <v>1</v>
      </c>
      <c r="AI939" s="3">
        <f t="shared" si="738"/>
        <v>3.4</v>
      </c>
      <c r="AJ939" s="5">
        <f t="shared" si="728"/>
        <v>0</v>
      </c>
      <c r="AK939" s="5">
        <f t="shared" si="709"/>
        <v>0</v>
      </c>
      <c r="AL939" s="5">
        <f t="shared" si="710"/>
        <v>0</v>
      </c>
      <c r="AM939" s="5">
        <f t="shared" si="729"/>
        <v>1</v>
      </c>
      <c r="AN939" s="5">
        <f t="shared" si="711"/>
        <v>0</v>
      </c>
      <c r="AO939" s="5">
        <f t="shared" si="730"/>
        <v>0</v>
      </c>
      <c r="AP939" s="11" t="s">
        <v>42</v>
      </c>
      <c r="AQ939" s="11">
        <v>1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1</v>
      </c>
      <c r="AY939" s="1">
        <f t="shared" si="734"/>
        <v>0</v>
      </c>
      <c r="AZ939" s="1">
        <f t="shared" si="735"/>
        <v>1</v>
      </c>
      <c r="BA939" s="1">
        <f t="shared" si="736"/>
        <v>0</v>
      </c>
      <c r="BB939" s="5">
        <v>0</v>
      </c>
      <c r="BC939" s="5">
        <v>0</v>
      </c>
      <c r="BD939" s="5">
        <v>1</v>
      </c>
      <c r="BE939" s="5">
        <f t="shared" si="739"/>
        <v>0</v>
      </c>
      <c r="BF939" s="5">
        <v>0</v>
      </c>
      <c r="BG939" s="5">
        <f t="shared" si="741"/>
        <v>0</v>
      </c>
      <c r="BH939" s="5">
        <f t="shared" si="741"/>
        <v>0</v>
      </c>
      <c r="BI939" s="5">
        <f t="shared" si="741"/>
        <v>0</v>
      </c>
      <c r="BJ939" s="5">
        <f t="shared" si="741"/>
        <v>0</v>
      </c>
      <c r="BK939" s="5">
        <f t="shared" si="741"/>
        <v>0</v>
      </c>
      <c r="BL939" s="5">
        <f t="shared" si="741"/>
        <v>0</v>
      </c>
      <c r="BM939" s="5">
        <f t="shared" si="741"/>
        <v>0</v>
      </c>
      <c r="BN939" s="5">
        <f t="shared" si="740"/>
        <v>0</v>
      </c>
      <c r="BO939" s="5">
        <f t="shared" si="740"/>
        <v>0</v>
      </c>
      <c r="BP939" s="5">
        <f t="shared" si="740"/>
        <v>0</v>
      </c>
      <c r="BQ939" s="5">
        <f t="shared" si="740"/>
        <v>0</v>
      </c>
      <c r="BR939" s="5">
        <f t="shared" si="740"/>
        <v>0</v>
      </c>
      <c r="BS939" s="5">
        <f t="shared" si="740"/>
        <v>0</v>
      </c>
      <c r="BT939" s="5">
        <f t="shared" si="740"/>
        <v>0</v>
      </c>
      <c r="BU939" s="5">
        <f t="shared" si="740"/>
        <v>0</v>
      </c>
      <c r="BV939" s="5">
        <f t="shared" si="740"/>
        <v>0</v>
      </c>
      <c r="BW939" s="5">
        <f t="shared" si="740"/>
        <v>0</v>
      </c>
      <c r="BX939" s="5">
        <f t="shared" si="740"/>
        <v>0</v>
      </c>
      <c r="BY939" s="5">
        <f t="shared" si="740"/>
        <v>0</v>
      </c>
      <c r="BZ939" s="5">
        <f t="shared" si="740"/>
        <v>0</v>
      </c>
      <c r="CA939" s="5">
        <f t="shared" si="740"/>
        <v>0</v>
      </c>
      <c r="CB939" s="5">
        <f t="shared" si="740"/>
        <v>0</v>
      </c>
      <c r="CC939" s="5">
        <f t="shared" si="743"/>
        <v>0</v>
      </c>
      <c r="CD939" s="5">
        <f t="shared" si="743"/>
        <v>1</v>
      </c>
      <c r="CE939" s="5">
        <f t="shared" si="743"/>
        <v>0</v>
      </c>
    </row>
    <row r="940" spans="1:83" x14ac:dyDescent="0.2">
      <c r="A940" s="11"/>
      <c r="B940" s="11"/>
      <c r="C940" s="1">
        <f>Growth!D945</f>
        <v>0.1111111111111111</v>
      </c>
      <c r="D940" s="5" t="b">
        <f t="shared" si="715"/>
        <v>0</v>
      </c>
      <c r="E940" s="5">
        <v>2014</v>
      </c>
      <c r="F940" s="5">
        <f ca="1">LOOKUP($E940,frequence!$A$2:$A$35,frequence!L$2:L$35)</f>
        <v>50.75383375536623</v>
      </c>
      <c r="G940" s="5">
        <f ca="1">LOOKUP($E940,frequence!$A$2:$A$35,frequence!K$2:K$35)</f>
        <v>9.9751715831189358</v>
      </c>
      <c r="H940" s="5">
        <f ca="1">LOOKUP($E940,frequence!$A$2:$A$35,frequence!M$2:M$35)</f>
        <v>236.05429056976001</v>
      </c>
      <c r="I940" s="16">
        <v>1995</v>
      </c>
      <c r="J940" s="7">
        <f>LOOKUP(I940,CPI!A$69:A$103,CPI!O$69:O$103)</f>
        <v>1.4308136482939633</v>
      </c>
      <c r="K940" s="16">
        <v>2010</v>
      </c>
      <c r="L940" s="7">
        <f t="shared" ca="1" si="708"/>
        <v>1</v>
      </c>
      <c r="M940" s="7">
        <f t="shared" si="671"/>
        <v>0.82222222222222219</v>
      </c>
      <c r="N940" s="14">
        <f t="shared" si="742"/>
        <v>0.1111111111111111</v>
      </c>
      <c r="O940" s="1">
        <f ca="1">P940*J940*(1+Growth!G$6)^(2010-K940)</f>
        <v>34.101058617672791</v>
      </c>
      <c r="P940" s="22">
        <f>6.5*44/12</f>
        <v>23.833333333333332</v>
      </c>
      <c r="Q940" s="2">
        <f t="shared" si="731"/>
        <v>23.833333333333332</v>
      </c>
      <c r="R940" s="21">
        <f t="shared" ca="1" si="732"/>
        <v>1162.8821988459558</v>
      </c>
      <c r="U940" s="11"/>
      <c r="V940" s="11"/>
      <c r="W940" s="11"/>
      <c r="X940" s="11"/>
      <c r="Y940" s="11"/>
      <c r="Z940" s="11"/>
      <c r="AA940" s="11"/>
      <c r="AB940" s="11"/>
      <c r="AC940" s="1">
        <f t="shared" si="737"/>
        <v>7.4</v>
      </c>
      <c r="AD940" s="5">
        <v>1</v>
      </c>
      <c r="AE940" s="5">
        <v>0</v>
      </c>
      <c r="AF940" s="5">
        <v>1</v>
      </c>
      <c r="AG940" s="5">
        <v>1</v>
      </c>
      <c r="AH940" s="5">
        <v>1</v>
      </c>
      <c r="AI940" s="3">
        <f t="shared" si="738"/>
        <v>3.4</v>
      </c>
      <c r="AJ940" s="5">
        <f t="shared" si="728"/>
        <v>0</v>
      </c>
      <c r="AK940" s="5">
        <f t="shared" si="709"/>
        <v>0</v>
      </c>
      <c r="AL940" s="5">
        <f t="shared" si="710"/>
        <v>0</v>
      </c>
      <c r="AM940" s="5">
        <f t="shared" si="729"/>
        <v>1</v>
      </c>
      <c r="AN940" s="5">
        <f t="shared" si="711"/>
        <v>0</v>
      </c>
      <c r="AO940" s="5">
        <f t="shared" si="730"/>
        <v>0</v>
      </c>
      <c r="AP940" s="11" t="s">
        <v>42</v>
      </c>
      <c r="AQ940" s="11">
        <v>1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1</v>
      </c>
      <c r="AY940" s="1">
        <f t="shared" si="734"/>
        <v>0</v>
      </c>
      <c r="AZ940" s="1">
        <f t="shared" si="735"/>
        <v>1</v>
      </c>
      <c r="BA940" s="1">
        <f t="shared" si="736"/>
        <v>0</v>
      </c>
      <c r="BB940" s="5">
        <v>0</v>
      </c>
      <c r="BC940" s="5">
        <v>0</v>
      </c>
      <c r="BD940" s="5">
        <v>1</v>
      </c>
      <c r="BE940" s="5">
        <f t="shared" si="739"/>
        <v>0</v>
      </c>
      <c r="BF940" s="5">
        <v>0</v>
      </c>
      <c r="BG940" s="5">
        <f t="shared" si="741"/>
        <v>0</v>
      </c>
      <c r="BH940" s="5">
        <f t="shared" si="741"/>
        <v>0</v>
      </c>
      <c r="BI940" s="5">
        <f t="shared" si="741"/>
        <v>0</v>
      </c>
      <c r="BJ940" s="5">
        <f t="shared" si="741"/>
        <v>0</v>
      </c>
      <c r="BK940" s="5">
        <f t="shared" si="741"/>
        <v>0</v>
      </c>
      <c r="BL940" s="5">
        <f t="shared" si="741"/>
        <v>0</v>
      </c>
      <c r="BM940" s="5">
        <f t="shared" si="741"/>
        <v>0</v>
      </c>
      <c r="BN940" s="5">
        <f t="shared" si="740"/>
        <v>0</v>
      </c>
      <c r="BO940" s="5">
        <f t="shared" si="740"/>
        <v>0</v>
      </c>
      <c r="BP940" s="5">
        <f t="shared" si="740"/>
        <v>0</v>
      </c>
      <c r="BQ940" s="5">
        <f t="shared" si="740"/>
        <v>0</v>
      </c>
      <c r="BR940" s="5">
        <f t="shared" si="740"/>
        <v>0</v>
      </c>
      <c r="BS940" s="5">
        <f t="shared" si="740"/>
        <v>0</v>
      </c>
      <c r="BT940" s="5">
        <f t="shared" si="740"/>
        <v>0</v>
      </c>
      <c r="BU940" s="5">
        <f t="shared" si="740"/>
        <v>0</v>
      </c>
      <c r="BV940" s="5">
        <f t="shared" si="740"/>
        <v>0</v>
      </c>
      <c r="BW940" s="5">
        <f t="shared" si="740"/>
        <v>0</v>
      </c>
      <c r="BX940" s="5">
        <f t="shared" si="740"/>
        <v>0</v>
      </c>
      <c r="BY940" s="5">
        <f t="shared" si="740"/>
        <v>0</v>
      </c>
      <c r="BZ940" s="5">
        <f t="shared" si="740"/>
        <v>0</v>
      </c>
      <c r="CA940" s="5">
        <f t="shared" si="740"/>
        <v>0</v>
      </c>
      <c r="CB940" s="5">
        <f t="shared" si="740"/>
        <v>0</v>
      </c>
      <c r="CC940" s="5">
        <f t="shared" si="743"/>
        <v>0</v>
      </c>
      <c r="CD940" s="5">
        <f t="shared" si="743"/>
        <v>1</v>
      </c>
      <c r="CE940" s="5">
        <f t="shared" si="743"/>
        <v>0</v>
      </c>
    </row>
    <row r="941" spans="1:83" x14ac:dyDescent="0.2">
      <c r="A941" s="11" t="s">
        <v>209</v>
      </c>
      <c r="B941" s="11" t="s">
        <v>197</v>
      </c>
      <c r="C941" s="1">
        <f>Growth!D946</f>
        <v>0.5</v>
      </c>
      <c r="D941" s="5">
        <f t="shared" si="715"/>
        <v>2012</v>
      </c>
      <c r="E941" s="5">
        <v>2012</v>
      </c>
      <c r="F941" s="5">
        <f ca="1">LOOKUP($E941,frequence!$A$2:$A$35,frequence!L$2:L$35)</f>
        <v>41.545638202606931</v>
      </c>
      <c r="G941" s="5">
        <f ca="1">LOOKUP($E941,frequence!$A$2:$A$35,frequence!K$2:K$35)</f>
        <v>3.8191206393393822</v>
      </c>
      <c r="H941" s="5">
        <f ca="1">LOOKUP($E941,frequence!$A$2:$A$35,frequence!M$2:M$35)</f>
        <v>265.64322815143237</v>
      </c>
      <c r="I941" s="18">
        <v>2010</v>
      </c>
      <c r="J941" s="7">
        <f>LOOKUP(I941,CPI!A$69:A$103,CPI!O$69:O$103)</f>
        <v>1</v>
      </c>
      <c r="K941" s="16">
        <v>2010</v>
      </c>
      <c r="L941" s="7">
        <f t="shared" ca="1" si="708"/>
        <v>1</v>
      </c>
      <c r="M941" s="7">
        <f t="shared" si="671"/>
        <v>2.6</v>
      </c>
      <c r="N941" s="14">
        <v>0.5</v>
      </c>
      <c r="O941" s="1">
        <f ca="1">P941*J941*(1+Growth!G$6)^(2010-K941)</f>
        <v>75</v>
      </c>
      <c r="P941" s="22">
        <v>75</v>
      </c>
      <c r="Q941" s="2">
        <f t="shared" ref="Q941:Q942" si="744">P941</f>
        <v>75</v>
      </c>
      <c r="R941" s="21">
        <f t="shared" ref="R941:R942" ca="1" si="745">O941*O941</f>
        <v>5625</v>
      </c>
      <c r="U941" s="11"/>
      <c r="V941" s="11"/>
      <c r="W941" s="11"/>
      <c r="X941" s="11"/>
      <c r="Y941" s="11"/>
      <c r="Z941" s="11"/>
      <c r="AA941" s="11"/>
      <c r="AB941" s="11"/>
      <c r="AC941" s="1">
        <f t="shared" ref="AC941" si="746">SUM(AD941:AI941)</f>
        <v>5.2</v>
      </c>
      <c r="AD941" s="5">
        <v>0</v>
      </c>
      <c r="AE941" s="5">
        <v>0</v>
      </c>
      <c r="AF941" s="5">
        <v>1</v>
      </c>
      <c r="AG941" s="5">
        <v>0</v>
      </c>
      <c r="AH941" s="5">
        <v>1</v>
      </c>
      <c r="AI941" s="3">
        <f t="shared" si="738"/>
        <v>3.2</v>
      </c>
      <c r="AJ941" s="5">
        <f t="shared" si="728"/>
        <v>0</v>
      </c>
      <c r="AK941" s="5">
        <f t="shared" si="709"/>
        <v>0</v>
      </c>
      <c r="AL941" s="5">
        <f t="shared" si="710"/>
        <v>0</v>
      </c>
      <c r="AM941" s="5">
        <f t="shared" si="729"/>
        <v>0</v>
      </c>
      <c r="AN941" s="5">
        <f t="shared" si="711"/>
        <v>0</v>
      </c>
      <c r="AO941" s="5">
        <f t="shared" si="730"/>
        <v>0</v>
      </c>
      <c r="AP941" s="11" t="s">
        <v>42</v>
      </c>
      <c r="AQ941" s="11">
        <v>0.96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1</v>
      </c>
      <c r="AY941" s="1">
        <f t="shared" ref="AY941:AY942" si="747">AJ941*$AD941*(1-$AV941)*(1-$AR941)</f>
        <v>0</v>
      </c>
      <c r="AZ941" s="1">
        <f t="shared" ref="AZ941:AZ942" si="748">AM941*$AD941*(1-$AV941)*(1-$AR941)</f>
        <v>0</v>
      </c>
      <c r="BA941" s="1">
        <f t="shared" ref="BA941:BA942" si="749">AO941*$AD941*(1-$AV941)*(1-$AR941)</f>
        <v>0</v>
      </c>
      <c r="BB941" s="5">
        <v>0</v>
      </c>
      <c r="BC941" s="5">
        <v>0</v>
      </c>
      <c r="BD941" s="5">
        <v>0</v>
      </c>
      <c r="BE941" s="5">
        <f t="shared" ref="BE941:BE944" si="750">1-SUM(BB941:BD941)</f>
        <v>1</v>
      </c>
      <c r="BF941" s="5">
        <v>1</v>
      </c>
      <c r="BG941" s="5">
        <f t="shared" si="741"/>
        <v>0</v>
      </c>
      <c r="BH941" s="5">
        <f t="shared" si="741"/>
        <v>0</v>
      </c>
      <c r="BI941" s="5">
        <f t="shared" si="741"/>
        <v>0</v>
      </c>
      <c r="BJ941" s="5">
        <f t="shared" si="741"/>
        <v>0</v>
      </c>
      <c r="BK941" s="5">
        <f t="shared" si="741"/>
        <v>0</v>
      </c>
      <c r="BL941" s="5">
        <f t="shared" si="741"/>
        <v>0</v>
      </c>
      <c r="BM941" s="5">
        <f t="shared" si="741"/>
        <v>0</v>
      </c>
      <c r="BN941" s="5">
        <f t="shared" si="740"/>
        <v>0</v>
      </c>
      <c r="BO941" s="5">
        <f t="shared" si="740"/>
        <v>0</v>
      </c>
      <c r="BP941" s="5">
        <f t="shared" si="740"/>
        <v>0</v>
      </c>
      <c r="BQ941" s="5">
        <f t="shared" si="740"/>
        <v>0</v>
      </c>
      <c r="BR941" s="5">
        <f t="shared" si="740"/>
        <v>0</v>
      </c>
      <c r="BS941" s="5">
        <f t="shared" si="740"/>
        <v>0</v>
      </c>
      <c r="BT941" s="5">
        <f t="shared" si="740"/>
        <v>0</v>
      </c>
      <c r="BU941" s="5">
        <f t="shared" si="740"/>
        <v>0</v>
      </c>
      <c r="BV941" s="5">
        <f t="shared" si="740"/>
        <v>0</v>
      </c>
      <c r="BW941" s="5">
        <f t="shared" si="740"/>
        <v>0</v>
      </c>
      <c r="BX941" s="5">
        <f t="shared" si="740"/>
        <v>0</v>
      </c>
      <c r="BY941" s="5">
        <f t="shared" si="740"/>
        <v>0</v>
      </c>
      <c r="BZ941" s="5">
        <f t="shared" si="740"/>
        <v>0</v>
      </c>
      <c r="CA941" s="5">
        <f t="shared" si="740"/>
        <v>0</v>
      </c>
      <c r="CB941" s="5">
        <f t="shared" si="740"/>
        <v>1</v>
      </c>
      <c r="CC941" s="5">
        <f t="shared" si="743"/>
        <v>0</v>
      </c>
      <c r="CD941" s="5">
        <f t="shared" si="743"/>
        <v>0</v>
      </c>
      <c r="CE941" s="5">
        <f t="shared" si="743"/>
        <v>0</v>
      </c>
    </row>
    <row r="942" spans="1:83" x14ac:dyDescent="0.2">
      <c r="A942" s="11"/>
      <c r="B942" s="11"/>
      <c r="C942" s="1">
        <f>Growth!D947</f>
        <v>0.5</v>
      </c>
      <c r="D942" s="5" t="b">
        <f t="shared" si="715"/>
        <v>0</v>
      </c>
      <c r="E942" s="5">
        <v>2012</v>
      </c>
      <c r="F942" s="5">
        <f ca="1">LOOKUP($E942,frequence!$A$2:$A$35,frequence!L$2:L$35)</f>
        <v>41.545638202606931</v>
      </c>
      <c r="G942" s="5">
        <f ca="1">LOOKUP($E942,frequence!$A$2:$A$35,frequence!K$2:K$35)</f>
        <v>3.8191206393393822</v>
      </c>
      <c r="H942" s="5">
        <f ca="1">LOOKUP($E942,frequence!$A$2:$A$35,frequence!M$2:M$35)</f>
        <v>265.64322815143237</v>
      </c>
      <c r="I942" s="18">
        <v>2010</v>
      </c>
      <c r="J942" s="7">
        <f>LOOKUP(I942,CPI!A$69:A$103,CPI!O$69:O$103)</f>
        <v>1</v>
      </c>
      <c r="K942" s="16">
        <v>2010</v>
      </c>
      <c r="L942" s="7">
        <f t="shared" ca="1" si="708"/>
        <v>1</v>
      </c>
      <c r="M942" s="7">
        <f t="shared" si="671"/>
        <v>2.6</v>
      </c>
      <c r="N942" s="14">
        <v>0.5</v>
      </c>
      <c r="O942" s="1">
        <f ca="1">P942*J942*(1+Growth!G$6)^(2010-K942)</f>
        <v>37.5</v>
      </c>
      <c r="P942" s="22">
        <v>37.5</v>
      </c>
      <c r="Q942" s="2">
        <f t="shared" si="744"/>
        <v>37.5</v>
      </c>
      <c r="R942" s="21">
        <f t="shared" ca="1" si="745"/>
        <v>1406.25</v>
      </c>
      <c r="U942" s="11"/>
      <c r="V942" s="11"/>
      <c r="W942" s="11"/>
      <c r="X942" s="11"/>
      <c r="Y942" s="11"/>
      <c r="Z942" s="11"/>
      <c r="AA942" s="11"/>
      <c r="AB942" s="11"/>
      <c r="AC942" s="1">
        <f t="shared" ref="AC942" si="751">SUM(AD942:AI942)</f>
        <v>5.2</v>
      </c>
      <c r="AD942" s="5">
        <v>0</v>
      </c>
      <c r="AE942" s="5">
        <v>0</v>
      </c>
      <c r="AF942" s="5">
        <v>1</v>
      </c>
      <c r="AG942" s="5">
        <v>0</v>
      </c>
      <c r="AH942" s="5">
        <v>1</v>
      </c>
      <c r="AI942" s="3">
        <f t="shared" ref="AI942" si="752">(E942-1980)/10</f>
        <v>3.2</v>
      </c>
      <c r="AJ942" s="5">
        <f t="shared" si="728"/>
        <v>0</v>
      </c>
      <c r="AK942" s="5">
        <f t="shared" si="709"/>
        <v>0</v>
      </c>
      <c r="AL942" s="5">
        <f t="shared" si="710"/>
        <v>0</v>
      </c>
      <c r="AM942" s="5">
        <f t="shared" si="729"/>
        <v>0</v>
      </c>
      <c r="AN942" s="5">
        <f t="shared" si="711"/>
        <v>0</v>
      </c>
      <c r="AO942" s="5">
        <f t="shared" si="730"/>
        <v>0</v>
      </c>
      <c r="AP942" s="11" t="s">
        <v>42</v>
      </c>
      <c r="AQ942" s="11">
        <v>0.96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5">
        <v>1</v>
      </c>
      <c r="AY942" s="1">
        <f t="shared" si="747"/>
        <v>0</v>
      </c>
      <c r="AZ942" s="1">
        <f t="shared" si="748"/>
        <v>0</v>
      </c>
      <c r="BA942" s="1">
        <f t="shared" si="749"/>
        <v>0</v>
      </c>
      <c r="BB942" s="5">
        <v>0</v>
      </c>
      <c r="BC942" s="5">
        <v>0</v>
      </c>
      <c r="BD942" s="5">
        <v>0</v>
      </c>
      <c r="BE942" s="5">
        <f t="shared" si="750"/>
        <v>1</v>
      </c>
      <c r="BF942" s="5">
        <v>1</v>
      </c>
      <c r="BG942" s="5">
        <f t="shared" si="741"/>
        <v>0</v>
      </c>
      <c r="BH942" s="5">
        <f t="shared" si="741"/>
        <v>0</v>
      </c>
      <c r="BI942" s="5">
        <f t="shared" si="741"/>
        <v>0</v>
      </c>
      <c r="BJ942" s="5">
        <f t="shared" si="741"/>
        <v>0</v>
      </c>
      <c r="BK942" s="5">
        <f t="shared" si="741"/>
        <v>0</v>
      </c>
      <c r="BL942" s="5">
        <f t="shared" si="741"/>
        <v>0</v>
      </c>
      <c r="BM942" s="5">
        <f t="shared" si="741"/>
        <v>0</v>
      </c>
      <c r="BN942" s="5">
        <f t="shared" si="740"/>
        <v>0</v>
      </c>
      <c r="BO942" s="5">
        <f t="shared" si="740"/>
        <v>0</v>
      </c>
      <c r="BP942" s="5">
        <f t="shared" si="740"/>
        <v>0</v>
      </c>
      <c r="BQ942" s="5">
        <f t="shared" si="740"/>
        <v>0</v>
      </c>
      <c r="BR942" s="5">
        <f t="shared" si="740"/>
        <v>0</v>
      </c>
      <c r="BS942" s="5">
        <f t="shared" si="740"/>
        <v>0</v>
      </c>
      <c r="BT942" s="5">
        <f t="shared" si="740"/>
        <v>0</v>
      </c>
      <c r="BU942" s="5">
        <f t="shared" si="740"/>
        <v>0</v>
      </c>
      <c r="BV942" s="5">
        <f t="shared" si="740"/>
        <v>0</v>
      </c>
      <c r="BW942" s="5">
        <f t="shared" si="740"/>
        <v>0</v>
      </c>
      <c r="BX942" s="5">
        <f t="shared" si="740"/>
        <v>0</v>
      </c>
      <c r="BY942" s="5">
        <f t="shared" si="740"/>
        <v>0</v>
      </c>
      <c r="BZ942" s="5">
        <f t="shared" si="740"/>
        <v>0</v>
      </c>
      <c r="CA942" s="5">
        <f t="shared" si="740"/>
        <v>0</v>
      </c>
      <c r="CB942" s="5">
        <f t="shared" si="740"/>
        <v>1</v>
      </c>
      <c r="CC942" s="5">
        <f t="shared" si="743"/>
        <v>0</v>
      </c>
      <c r="CD942" s="5">
        <f t="shared" si="743"/>
        <v>0</v>
      </c>
      <c r="CE942" s="5">
        <f t="shared" si="743"/>
        <v>0</v>
      </c>
    </row>
    <row r="943" spans="1:83" x14ac:dyDescent="0.2">
      <c r="A943" s="11" t="s">
        <v>210</v>
      </c>
      <c r="B943" s="11" t="s">
        <v>197</v>
      </c>
      <c r="C943" s="1">
        <f>Growth!D948</f>
        <v>0.5</v>
      </c>
      <c r="D943" s="5">
        <f t="shared" si="715"/>
        <v>2013</v>
      </c>
      <c r="E943" s="5">
        <v>2013</v>
      </c>
      <c r="F943" s="5">
        <f ca="1">LOOKUP($E943,frequence!$A$2:$A$35,frequence!L$2:L$35)</f>
        <v>46.610663652887361</v>
      </c>
      <c r="G943" s="5">
        <f ca="1">LOOKUP($E943,frequence!$A$2:$A$35,frequence!K$2:K$35)</f>
        <v>7.3617115683267258</v>
      </c>
      <c r="H943" s="5">
        <f ca="1">LOOKUP($E943,frequence!$A$2:$A$35,frequence!M$2:M$35)</f>
        <v>214.81113443396845</v>
      </c>
      <c r="I943" s="18">
        <v>2010</v>
      </c>
      <c r="J943" s="7">
        <f>LOOKUP(I943,CPI!A$69:A$103,CPI!O$69:O$103)</f>
        <v>1</v>
      </c>
      <c r="K943" s="16">
        <v>2010</v>
      </c>
      <c r="L943" s="7">
        <f t="shared" ca="1" si="708"/>
        <v>1</v>
      </c>
      <c r="M943" s="7">
        <f t="shared" ref="M943:M944" si="753">N943*AC943</f>
        <v>3.15</v>
      </c>
      <c r="N943" s="14">
        <v>0.5</v>
      </c>
      <c r="O943" s="1">
        <f ca="1">P943*J943*(1+Growth!G$6)^(2010-K943)</f>
        <v>200</v>
      </c>
      <c r="P943" s="22">
        <v>200</v>
      </c>
      <c r="Q943" s="2">
        <f t="shared" ref="Q943:Q950" si="754">P943</f>
        <v>200</v>
      </c>
      <c r="R943" s="21">
        <f t="shared" ref="R943:R959" ca="1" si="755">O943*O943</f>
        <v>40000</v>
      </c>
      <c r="U943" s="11"/>
      <c r="V943" s="11"/>
      <c r="W943" s="11"/>
      <c r="X943" s="11"/>
      <c r="Y943" s="11"/>
      <c r="Z943" s="11"/>
      <c r="AA943" s="11"/>
      <c r="AB943" s="11"/>
      <c r="AC943" s="1">
        <f t="shared" ref="AC943:AC948" si="756">SUM(AD943:AI943)</f>
        <v>6.3</v>
      </c>
      <c r="AD943" s="5">
        <v>1</v>
      </c>
      <c r="AE943" s="5">
        <v>0</v>
      </c>
      <c r="AF943" s="5">
        <v>1</v>
      </c>
      <c r="AG943" s="5">
        <v>0</v>
      </c>
      <c r="AH943" s="5">
        <v>1</v>
      </c>
      <c r="AI943" s="3">
        <f t="shared" ref="AI943:AI948" si="757">(E943-1980)/10</f>
        <v>3.3</v>
      </c>
      <c r="AJ943" s="5">
        <f t="shared" si="728"/>
        <v>0</v>
      </c>
      <c r="AK943" s="5">
        <f t="shared" si="709"/>
        <v>0</v>
      </c>
      <c r="AL943" s="5">
        <f t="shared" si="710"/>
        <v>0</v>
      </c>
      <c r="AM943" s="5">
        <f t="shared" si="729"/>
        <v>1</v>
      </c>
      <c r="AN943" s="5">
        <f t="shared" si="711"/>
        <v>0</v>
      </c>
      <c r="AO943" s="5">
        <f t="shared" si="730"/>
        <v>0</v>
      </c>
      <c r="AP943" s="11" t="s">
        <v>42</v>
      </c>
      <c r="AQ943" s="11">
        <v>1</v>
      </c>
      <c r="AR943" s="5">
        <v>0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1</v>
      </c>
      <c r="AY943" s="1">
        <f t="shared" ref="AY943:AY944" si="758">AJ943*$AD943*(1-$AV943)*(1-$AR943)</f>
        <v>0</v>
      </c>
      <c r="AZ943" s="1">
        <f t="shared" ref="AZ943:AZ944" si="759">AM943*$AD943*(1-$AV943)*(1-$AR943)</f>
        <v>1</v>
      </c>
      <c r="BA943" s="1">
        <f t="shared" ref="BA943:BA944" si="760">AO943*$AD943*(1-$AV943)*(1-$AR943)</f>
        <v>0</v>
      </c>
      <c r="BB943" s="5">
        <v>0</v>
      </c>
      <c r="BC943" s="5">
        <v>0</v>
      </c>
      <c r="BD943" s="5">
        <v>0</v>
      </c>
      <c r="BE943" s="5">
        <f t="shared" si="750"/>
        <v>1</v>
      </c>
      <c r="BF943" s="5">
        <v>1</v>
      </c>
      <c r="BG943" s="5">
        <f t="shared" si="741"/>
        <v>0</v>
      </c>
      <c r="BH943" s="5">
        <f t="shared" si="741"/>
        <v>0</v>
      </c>
      <c r="BI943" s="5">
        <f t="shared" si="741"/>
        <v>0</v>
      </c>
      <c r="BJ943" s="5">
        <f t="shared" si="741"/>
        <v>0</v>
      </c>
      <c r="BK943" s="5">
        <f t="shared" si="741"/>
        <v>0</v>
      </c>
      <c r="BL943" s="5">
        <f t="shared" si="741"/>
        <v>0</v>
      </c>
      <c r="BM943" s="5">
        <f t="shared" si="741"/>
        <v>0</v>
      </c>
      <c r="BN943" s="5">
        <f t="shared" si="740"/>
        <v>0</v>
      </c>
      <c r="BO943" s="5">
        <f t="shared" si="740"/>
        <v>0</v>
      </c>
      <c r="BP943" s="5">
        <f t="shared" si="740"/>
        <v>0</v>
      </c>
      <c r="BQ943" s="5">
        <f t="shared" si="740"/>
        <v>0</v>
      </c>
      <c r="BR943" s="5">
        <f t="shared" si="740"/>
        <v>0</v>
      </c>
      <c r="BS943" s="5">
        <f t="shared" si="740"/>
        <v>0</v>
      </c>
      <c r="BT943" s="5">
        <f t="shared" si="740"/>
        <v>0</v>
      </c>
      <c r="BU943" s="5">
        <f t="shared" si="740"/>
        <v>0</v>
      </c>
      <c r="BV943" s="5">
        <f t="shared" si="740"/>
        <v>0</v>
      </c>
      <c r="BW943" s="5">
        <f t="shared" si="740"/>
        <v>0</v>
      </c>
      <c r="BX943" s="5">
        <f t="shared" si="740"/>
        <v>0</v>
      </c>
      <c r="BY943" s="5">
        <f t="shared" si="740"/>
        <v>0</v>
      </c>
      <c r="BZ943" s="5">
        <f t="shared" si="740"/>
        <v>0</v>
      </c>
      <c r="CA943" s="5">
        <f t="shared" si="740"/>
        <v>0</v>
      </c>
      <c r="CB943" s="5">
        <f t="shared" si="740"/>
        <v>0</v>
      </c>
      <c r="CC943" s="5">
        <f t="shared" si="743"/>
        <v>1</v>
      </c>
      <c r="CD943" s="5">
        <f t="shared" si="743"/>
        <v>0</v>
      </c>
      <c r="CE943" s="5">
        <f t="shared" si="743"/>
        <v>0</v>
      </c>
    </row>
    <row r="944" spans="1:83" x14ac:dyDescent="0.2">
      <c r="A944" s="11"/>
      <c r="B944" s="11"/>
      <c r="C944" s="1">
        <f>Growth!D949</f>
        <v>0.5</v>
      </c>
      <c r="D944" s="5" t="b">
        <f t="shared" si="715"/>
        <v>0</v>
      </c>
      <c r="E944" s="5">
        <v>2013</v>
      </c>
      <c r="F944" s="5">
        <f ca="1">LOOKUP($E944,frequence!$A$2:$A$35,frequence!L$2:L$35)</f>
        <v>46.610663652887361</v>
      </c>
      <c r="G944" s="5">
        <f ca="1">LOOKUP($E944,frequence!$A$2:$A$35,frequence!K$2:K$35)</f>
        <v>7.3617115683267258</v>
      </c>
      <c r="H944" s="5">
        <f ca="1">LOOKUP($E944,frequence!$A$2:$A$35,frequence!M$2:M$35)</f>
        <v>214.81113443396845</v>
      </c>
      <c r="I944" s="18">
        <v>2010</v>
      </c>
      <c r="J944" s="7">
        <f>LOOKUP(I944,CPI!A$69:A$103,CPI!O$69:O$103)</f>
        <v>1</v>
      </c>
      <c r="K944" s="16">
        <v>2010</v>
      </c>
      <c r="L944" s="7">
        <f t="shared" ca="1" si="708"/>
        <v>0.94454709206589715</v>
      </c>
      <c r="M944" s="7">
        <f t="shared" si="753"/>
        <v>3.15</v>
      </c>
      <c r="N944" s="14">
        <v>0.5</v>
      </c>
      <c r="O944" s="1">
        <f ca="1">P944*J944*(1+Growth!G$6)^(2010-K944)</f>
        <v>1500</v>
      </c>
      <c r="P944" s="22">
        <v>1500</v>
      </c>
      <c r="Q944" s="2">
        <f t="shared" si="754"/>
        <v>1500</v>
      </c>
      <c r="R944" s="21">
        <f t="shared" ca="1" si="755"/>
        <v>2250000</v>
      </c>
      <c r="U944" s="11"/>
      <c r="V944" s="11"/>
      <c r="W944" s="11"/>
      <c r="X944" s="11"/>
      <c r="Y944" s="11"/>
      <c r="Z944" s="11"/>
      <c r="AA944" s="11"/>
      <c r="AB944" s="11"/>
      <c r="AC944" s="1">
        <f t="shared" si="756"/>
        <v>6.3</v>
      </c>
      <c r="AD944" s="5">
        <v>1</v>
      </c>
      <c r="AE944" s="5">
        <v>0</v>
      </c>
      <c r="AF944" s="5">
        <v>1</v>
      </c>
      <c r="AG944" s="5">
        <v>0</v>
      </c>
      <c r="AH944" s="5">
        <v>1</v>
      </c>
      <c r="AI944" s="3">
        <f t="shared" si="757"/>
        <v>3.3</v>
      </c>
      <c r="AJ944" s="5">
        <f t="shared" si="728"/>
        <v>0</v>
      </c>
      <c r="AK944" s="5">
        <f t="shared" si="709"/>
        <v>0</v>
      </c>
      <c r="AL944" s="5">
        <f t="shared" si="710"/>
        <v>0</v>
      </c>
      <c r="AM944" s="5">
        <f t="shared" si="729"/>
        <v>1</v>
      </c>
      <c r="AN944" s="5">
        <f t="shared" si="711"/>
        <v>0</v>
      </c>
      <c r="AO944" s="5">
        <f t="shared" si="730"/>
        <v>0</v>
      </c>
      <c r="AP944" s="11" t="s">
        <v>42</v>
      </c>
      <c r="AQ944" s="11">
        <v>1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1</v>
      </c>
      <c r="AY944" s="1">
        <f t="shared" si="758"/>
        <v>0</v>
      </c>
      <c r="AZ944" s="1">
        <f t="shared" si="759"/>
        <v>1</v>
      </c>
      <c r="BA944" s="1">
        <f t="shared" si="760"/>
        <v>0</v>
      </c>
      <c r="BB944" s="5">
        <v>0</v>
      </c>
      <c r="BC944" s="5">
        <v>0</v>
      </c>
      <c r="BD944" s="5">
        <v>0</v>
      </c>
      <c r="BE944" s="5">
        <f t="shared" si="750"/>
        <v>1</v>
      </c>
      <c r="BF944" s="5">
        <v>0</v>
      </c>
      <c r="BG944" s="5">
        <f t="shared" si="741"/>
        <v>0</v>
      </c>
      <c r="BH944" s="5">
        <f t="shared" si="741"/>
        <v>0</v>
      </c>
      <c r="BI944" s="5">
        <f t="shared" si="741"/>
        <v>0</v>
      </c>
      <c r="BJ944" s="5">
        <f t="shared" si="741"/>
        <v>0</v>
      </c>
      <c r="BK944" s="5">
        <f t="shared" si="741"/>
        <v>0</v>
      </c>
      <c r="BL944" s="5">
        <f t="shared" si="741"/>
        <v>0</v>
      </c>
      <c r="BM944" s="5">
        <f t="shared" si="741"/>
        <v>0</v>
      </c>
      <c r="BN944" s="5">
        <f t="shared" si="740"/>
        <v>0</v>
      </c>
      <c r="BO944" s="5">
        <f t="shared" si="740"/>
        <v>0</v>
      </c>
      <c r="BP944" s="5">
        <f t="shared" si="740"/>
        <v>0</v>
      </c>
      <c r="BQ944" s="5">
        <f t="shared" si="740"/>
        <v>0</v>
      </c>
      <c r="BR944" s="5">
        <f t="shared" si="740"/>
        <v>0</v>
      </c>
      <c r="BS944" s="5">
        <f t="shared" si="740"/>
        <v>0</v>
      </c>
      <c r="BT944" s="5">
        <f t="shared" si="740"/>
        <v>0</v>
      </c>
      <c r="BU944" s="5">
        <f t="shared" si="740"/>
        <v>0</v>
      </c>
      <c r="BV944" s="5">
        <f t="shared" si="740"/>
        <v>0</v>
      </c>
      <c r="BW944" s="5">
        <f t="shared" si="740"/>
        <v>0</v>
      </c>
      <c r="BX944" s="5">
        <f t="shared" si="740"/>
        <v>0</v>
      </c>
      <c r="BY944" s="5">
        <f t="shared" si="740"/>
        <v>0</v>
      </c>
      <c r="BZ944" s="5">
        <f t="shared" si="740"/>
        <v>0</v>
      </c>
      <c r="CA944" s="5">
        <f t="shared" si="740"/>
        <v>0</v>
      </c>
      <c r="CB944" s="5">
        <f t="shared" si="740"/>
        <v>0</v>
      </c>
      <c r="CC944" s="5">
        <f t="shared" si="743"/>
        <v>1</v>
      </c>
      <c r="CD944" s="5">
        <f t="shared" si="743"/>
        <v>0</v>
      </c>
      <c r="CE944" s="5">
        <f t="shared" si="743"/>
        <v>0</v>
      </c>
    </row>
    <row r="945" spans="1:83" x14ac:dyDescent="0.2">
      <c r="A945" s="11" t="s">
        <v>211</v>
      </c>
      <c r="B945" s="11" t="s">
        <v>197</v>
      </c>
      <c r="C945" s="1">
        <f>Growth!D950</f>
        <v>0.22222222222222221</v>
      </c>
      <c r="D945" s="5">
        <f t="shared" si="715"/>
        <v>2013</v>
      </c>
      <c r="E945" s="5">
        <v>2013</v>
      </c>
      <c r="F945" s="5">
        <f ca="1">LOOKUP($E945,frequence!$A$2:$A$35,frequence!L$2:L$35)</f>
        <v>46.610663652887361</v>
      </c>
      <c r="G945" s="5">
        <f ca="1">LOOKUP($E945,frequence!$A$2:$A$35,frequence!K$2:K$35)</f>
        <v>7.3617115683267258</v>
      </c>
      <c r="H945" s="5">
        <f ca="1">LOOKUP($E945,frequence!$A$2:$A$35,frequence!M$2:M$35)</f>
        <v>214.81113443396845</v>
      </c>
      <c r="I945" s="16">
        <v>2010</v>
      </c>
      <c r="J945" s="7">
        <f>LOOKUP(I945,CPI!A$69:A$103,CPI!O$69:O$103)</f>
        <v>1</v>
      </c>
      <c r="K945" s="16">
        <v>2010</v>
      </c>
      <c r="L945" s="7">
        <f t="shared" ca="1" si="708"/>
        <v>1</v>
      </c>
      <c r="M945" s="7">
        <f t="shared" ref="M945:M966" si="761">N945*AC945</f>
        <v>1.1777777777777776</v>
      </c>
      <c r="N945" s="14">
        <f>2/9</f>
        <v>0.22222222222222221</v>
      </c>
      <c r="O945" s="1">
        <f ca="1">P945*J945*(1+Growth!G$6)^(2010-K945)</f>
        <v>293</v>
      </c>
      <c r="P945" s="22">
        <v>293</v>
      </c>
      <c r="Q945" s="2">
        <f t="shared" si="754"/>
        <v>293</v>
      </c>
      <c r="R945" s="21">
        <f t="shared" ca="1" si="755"/>
        <v>85849</v>
      </c>
      <c r="U945" s="11"/>
      <c r="V945" s="11"/>
      <c r="W945" s="11"/>
      <c r="X945" s="11"/>
      <c r="Y945" s="11"/>
      <c r="Z945" s="11"/>
      <c r="AA945" s="11"/>
      <c r="AB945" s="11"/>
      <c r="AC945" s="1">
        <f t="shared" si="756"/>
        <v>5.3</v>
      </c>
      <c r="AD945" s="5">
        <v>0</v>
      </c>
      <c r="AE945" s="5">
        <v>0</v>
      </c>
      <c r="AF945" s="5">
        <v>1</v>
      </c>
      <c r="AG945" s="5">
        <v>0</v>
      </c>
      <c r="AH945" s="5">
        <v>1</v>
      </c>
      <c r="AI945" s="3">
        <f t="shared" si="757"/>
        <v>3.3</v>
      </c>
      <c r="AJ945" s="5">
        <f t="shared" si="728"/>
        <v>0</v>
      </c>
      <c r="AK945" s="5">
        <f t="shared" si="709"/>
        <v>0</v>
      </c>
      <c r="AL945" s="5">
        <f t="shared" si="710"/>
        <v>0</v>
      </c>
      <c r="AM945" s="5">
        <f t="shared" si="729"/>
        <v>0</v>
      </c>
      <c r="AN945" s="5">
        <f t="shared" si="711"/>
        <v>0</v>
      </c>
      <c r="AO945" s="5">
        <f t="shared" si="730"/>
        <v>0</v>
      </c>
      <c r="AP945" s="11" t="s">
        <v>42</v>
      </c>
      <c r="AQ945" s="11">
        <v>1.4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1</v>
      </c>
      <c r="AY945" s="1">
        <f t="shared" ref="AY945:AY948" si="762">AJ945*$AD945*(1-$AV945)*(1-$AR945)</f>
        <v>0</v>
      </c>
      <c r="AZ945" s="1">
        <f t="shared" ref="AZ945:AZ948" si="763">AM945*$AD945*(1-$AV945)*(1-$AR945)</f>
        <v>0</v>
      </c>
      <c r="BA945" s="1">
        <f t="shared" ref="BA945:BA948" si="764">AO945*$AD945*(1-$AV945)*(1-$AR945)</f>
        <v>0</v>
      </c>
      <c r="BB945" s="5">
        <v>0</v>
      </c>
      <c r="BC945" s="5">
        <v>0</v>
      </c>
      <c r="BD945" s="5">
        <v>0</v>
      </c>
      <c r="BE945" s="5">
        <f t="shared" ref="BE945:BE948" si="765">1-SUM(BB945:BD945)</f>
        <v>1</v>
      </c>
      <c r="BF945" s="5">
        <v>1</v>
      </c>
      <c r="BG945" s="5">
        <f t="shared" si="741"/>
        <v>0</v>
      </c>
      <c r="BH945" s="5">
        <f t="shared" si="741"/>
        <v>0</v>
      </c>
      <c r="BI945" s="5">
        <f t="shared" si="741"/>
        <v>0</v>
      </c>
      <c r="BJ945" s="5">
        <f t="shared" si="741"/>
        <v>0</v>
      </c>
      <c r="BK945" s="5">
        <f t="shared" si="741"/>
        <v>0</v>
      </c>
      <c r="BL945" s="5">
        <f t="shared" si="741"/>
        <v>0</v>
      </c>
      <c r="BM945" s="5">
        <f t="shared" si="741"/>
        <v>0</v>
      </c>
      <c r="BN945" s="5">
        <f t="shared" si="740"/>
        <v>0</v>
      </c>
      <c r="BO945" s="5">
        <f t="shared" si="740"/>
        <v>0</v>
      </c>
      <c r="BP945" s="5">
        <f t="shared" si="740"/>
        <v>0</v>
      </c>
      <c r="BQ945" s="5">
        <f t="shared" si="740"/>
        <v>0</v>
      </c>
      <c r="BR945" s="5">
        <f t="shared" si="740"/>
        <v>0</v>
      </c>
      <c r="BS945" s="5">
        <f t="shared" si="740"/>
        <v>0</v>
      </c>
      <c r="BT945" s="5">
        <f t="shared" si="740"/>
        <v>0</v>
      </c>
      <c r="BU945" s="5">
        <f t="shared" si="740"/>
        <v>0</v>
      </c>
      <c r="BV945" s="5">
        <f t="shared" si="740"/>
        <v>0</v>
      </c>
      <c r="BW945" s="5">
        <f t="shared" si="740"/>
        <v>0</v>
      </c>
      <c r="BX945" s="5">
        <f t="shared" si="740"/>
        <v>0</v>
      </c>
      <c r="BY945" s="5">
        <f t="shared" si="740"/>
        <v>0</v>
      </c>
      <c r="BZ945" s="5">
        <f t="shared" si="740"/>
        <v>0</v>
      </c>
      <c r="CA945" s="5">
        <f t="shared" si="740"/>
        <v>0</v>
      </c>
      <c r="CB945" s="5">
        <f t="shared" si="740"/>
        <v>0</v>
      </c>
      <c r="CC945" s="5">
        <f t="shared" si="743"/>
        <v>1</v>
      </c>
      <c r="CD945" s="5">
        <f t="shared" si="743"/>
        <v>0</v>
      </c>
      <c r="CE945" s="5">
        <f t="shared" si="743"/>
        <v>0</v>
      </c>
    </row>
    <row r="946" spans="1:83" x14ac:dyDescent="0.2">
      <c r="A946" s="11"/>
      <c r="B946" s="11"/>
      <c r="C946" s="1">
        <f>Growth!D951</f>
        <v>0.44444444444444442</v>
      </c>
      <c r="D946" s="5" t="b">
        <f t="shared" si="715"/>
        <v>0</v>
      </c>
      <c r="E946" s="5">
        <v>2013</v>
      </c>
      <c r="F946" s="5">
        <f ca="1">LOOKUP($E946,frequence!$A$2:$A$35,frequence!L$2:L$35)</f>
        <v>46.610663652887361</v>
      </c>
      <c r="G946" s="5">
        <f ca="1">LOOKUP($E946,frequence!$A$2:$A$35,frequence!K$2:K$35)</f>
        <v>7.3617115683267258</v>
      </c>
      <c r="H946" s="5">
        <f ca="1">LOOKUP($E946,frequence!$A$2:$A$35,frequence!M$2:M$35)</f>
        <v>214.81113443396845</v>
      </c>
      <c r="I946" s="16">
        <v>2010</v>
      </c>
      <c r="J946" s="7">
        <f>LOOKUP(I946,CPI!A$69:A$103,CPI!O$69:O$103)</f>
        <v>1</v>
      </c>
      <c r="K946" s="16">
        <v>2010</v>
      </c>
      <c r="L946" s="7">
        <f t="shared" ca="1" si="708"/>
        <v>1</v>
      </c>
      <c r="M946" s="7">
        <f t="shared" si="761"/>
        <v>2.3555555555555552</v>
      </c>
      <c r="N946" s="14">
        <f>4/9</f>
        <v>0.44444444444444442</v>
      </c>
      <c r="O946" s="1">
        <f ca="1">P946*J946*(1+Growth!G$6)^(2010-K946)</f>
        <v>52</v>
      </c>
      <c r="P946" s="22">
        <v>52</v>
      </c>
      <c r="Q946" s="2">
        <f t="shared" si="754"/>
        <v>52</v>
      </c>
      <c r="R946" s="21">
        <f t="shared" ca="1" si="755"/>
        <v>2704</v>
      </c>
      <c r="U946" s="11"/>
      <c r="V946" s="11"/>
      <c r="W946" s="11"/>
      <c r="X946" s="11"/>
      <c r="Y946" s="11"/>
      <c r="Z946" s="11"/>
      <c r="AA946" s="11"/>
      <c r="AB946" s="11"/>
      <c r="AC946" s="1">
        <f t="shared" si="756"/>
        <v>5.3</v>
      </c>
      <c r="AD946" s="5">
        <v>0</v>
      </c>
      <c r="AE946" s="5">
        <v>0</v>
      </c>
      <c r="AF946" s="5">
        <v>1</v>
      </c>
      <c r="AG946" s="5">
        <v>0</v>
      </c>
      <c r="AH946" s="5">
        <v>1</v>
      </c>
      <c r="AI946" s="3">
        <f t="shared" si="757"/>
        <v>3.3</v>
      </c>
      <c r="AJ946" s="5">
        <f t="shared" si="728"/>
        <v>0</v>
      </c>
      <c r="AK946" s="5">
        <f t="shared" si="709"/>
        <v>0</v>
      </c>
      <c r="AL946" s="5">
        <f t="shared" si="710"/>
        <v>0</v>
      </c>
      <c r="AM946" s="5">
        <f t="shared" si="729"/>
        <v>0</v>
      </c>
      <c r="AN946" s="5">
        <f t="shared" si="711"/>
        <v>0</v>
      </c>
      <c r="AO946" s="5">
        <f t="shared" si="730"/>
        <v>0</v>
      </c>
      <c r="AP946" s="11" t="s">
        <v>42</v>
      </c>
      <c r="AQ946" s="11">
        <v>1.4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1</v>
      </c>
      <c r="AY946" s="1">
        <f t="shared" si="762"/>
        <v>0</v>
      </c>
      <c r="AZ946" s="1">
        <f t="shared" si="763"/>
        <v>0</v>
      </c>
      <c r="BA946" s="1">
        <f t="shared" si="764"/>
        <v>0</v>
      </c>
      <c r="BB946" s="5">
        <v>0</v>
      </c>
      <c r="BC946" s="5">
        <v>0</v>
      </c>
      <c r="BD946" s="5">
        <v>0</v>
      </c>
      <c r="BE946" s="5">
        <f t="shared" si="765"/>
        <v>1</v>
      </c>
      <c r="BF946" s="5">
        <v>1</v>
      </c>
      <c r="BG946" s="5">
        <f t="shared" si="741"/>
        <v>0</v>
      </c>
      <c r="BH946" s="5">
        <f t="shared" si="741"/>
        <v>0</v>
      </c>
      <c r="BI946" s="5">
        <f t="shared" si="741"/>
        <v>0</v>
      </c>
      <c r="BJ946" s="5">
        <f t="shared" si="741"/>
        <v>0</v>
      </c>
      <c r="BK946" s="5">
        <f t="shared" si="741"/>
        <v>0</v>
      </c>
      <c r="BL946" s="5">
        <f t="shared" si="741"/>
        <v>0</v>
      </c>
      <c r="BM946" s="5">
        <f t="shared" si="741"/>
        <v>0</v>
      </c>
      <c r="BN946" s="5">
        <f t="shared" si="740"/>
        <v>0</v>
      </c>
      <c r="BO946" s="5">
        <f t="shared" si="740"/>
        <v>0</v>
      </c>
      <c r="BP946" s="5">
        <f t="shared" si="740"/>
        <v>0</v>
      </c>
      <c r="BQ946" s="5">
        <f t="shared" si="740"/>
        <v>0</v>
      </c>
      <c r="BR946" s="5">
        <f t="shared" si="740"/>
        <v>0</v>
      </c>
      <c r="BS946" s="5">
        <f t="shared" si="740"/>
        <v>0</v>
      </c>
      <c r="BT946" s="5">
        <f t="shared" si="740"/>
        <v>0</v>
      </c>
      <c r="BU946" s="5">
        <f t="shared" si="740"/>
        <v>0</v>
      </c>
      <c r="BV946" s="5">
        <f t="shared" si="740"/>
        <v>0</v>
      </c>
      <c r="BW946" s="5">
        <f t="shared" si="740"/>
        <v>0</v>
      </c>
      <c r="BX946" s="5">
        <f t="shared" si="740"/>
        <v>0</v>
      </c>
      <c r="BY946" s="5">
        <f t="shared" si="740"/>
        <v>0</v>
      </c>
      <c r="BZ946" s="5">
        <f t="shared" si="740"/>
        <v>0</v>
      </c>
      <c r="CA946" s="5">
        <f t="shared" si="740"/>
        <v>0</v>
      </c>
      <c r="CB946" s="5">
        <f t="shared" si="740"/>
        <v>0</v>
      </c>
      <c r="CC946" s="5">
        <f t="shared" si="743"/>
        <v>1</v>
      </c>
      <c r="CD946" s="5">
        <f t="shared" si="743"/>
        <v>0</v>
      </c>
      <c r="CE946" s="5">
        <f t="shared" si="743"/>
        <v>0</v>
      </c>
    </row>
    <row r="947" spans="1:83" x14ac:dyDescent="0.2">
      <c r="A947" s="11"/>
      <c r="B947" s="11"/>
      <c r="C947" s="1">
        <f>Growth!D952</f>
        <v>0.1111111111111111</v>
      </c>
      <c r="D947" s="5" t="b">
        <f t="shared" si="715"/>
        <v>0</v>
      </c>
      <c r="E947" s="5">
        <v>2013</v>
      </c>
      <c r="F947" s="5">
        <f ca="1">LOOKUP($E947,frequence!$A$2:$A$35,frequence!L$2:L$35)</f>
        <v>46.610663652887361</v>
      </c>
      <c r="G947" s="5">
        <f ca="1">LOOKUP($E947,frequence!$A$2:$A$35,frequence!K$2:K$35)</f>
        <v>7.3617115683267258</v>
      </c>
      <c r="H947" s="5">
        <f ca="1">LOOKUP($E947,frequence!$A$2:$A$35,frequence!M$2:M$35)</f>
        <v>214.81113443396845</v>
      </c>
      <c r="I947" s="16">
        <v>2010</v>
      </c>
      <c r="J947" s="7">
        <f>LOOKUP(I947,CPI!A$69:A$103,CPI!O$69:O$103)</f>
        <v>1</v>
      </c>
      <c r="K947" s="16">
        <v>2010</v>
      </c>
      <c r="L947" s="7">
        <f t="shared" ca="1" si="708"/>
        <v>1</v>
      </c>
      <c r="M947" s="7">
        <f t="shared" si="761"/>
        <v>0.5888888888888888</v>
      </c>
      <c r="N947" s="14">
        <f>1/9</f>
        <v>0.1111111111111111</v>
      </c>
      <c r="O947" s="1">
        <f ca="1">P947*J947*(1+Growth!G$6)^(2010-K947)</f>
        <v>47.029411764705884</v>
      </c>
      <c r="P947" s="22">
        <f>52*123/136</f>
        <v>47.029411764705884</v>
      </c>
      <c r="Q947" s="2">
        <f t="shared" si="754"/>
        <v>47.029411764705884</v>
      </c>
      <c r="R947" s="21">
        <f t="shared" ca="1" si="755"/>
        <v>2211.7655709342562</v>
      </c>
      <c r="U947" s="11"/>
      <c r="V947" s="11"/>
      <c r="W947" s="11"/>
      <c r="X947" s="11"/>
      <c r="Y947" s="11"/>
      <c r="Z947" s="11"/>
      <c r="AA947" s="11"/>
      <c r="AB947" s="11"/>
      <c r="AC947" s="1">
        <f t="shared" si="756"/>
        <v>5.3</v>
      </c>
      <c r="AD947" s="5">
        <v>0</v>
      </c>
      <c r="AE947" s="5">
        <v>0</v>
      </c>
      <c r="AF947" s="5">
        <v>1</v>
      </c>
      <c r="AG947" s="5">
        <v>0</v>
      </c>
      <c r="AH947" s="5">
        <v>1</v>
      </c>
      <c r="AI947" s="3">
        <f t="shared" si="757"/>
        <v>3.3</v>
      </c>
      <c r="AJ947" s="5">
        <f t="shared" si="728"/>
        <v>0</v>
      </c>
      <c r="AK947" s="5">
        <f t="shared" si="709"/>
        <v>0</v>
      </c>
      <c r="AL947" s="5">
        <f t="shared" si="710"/>
        <v>0</v>
      </c>
      <c r="AM947" s="5">
        <f t="shared" si="729"/>
        <v>0</v>
      </c>
      <c r="AN947" s="5">
        <f t="shared" si="711"/>
        <v>0</v>
      </c>
      <c r="AO947" s="5">
        <f t="shared" si="730"/>
        <v>0</v>
      </c>
      <c r="AP947" s="11" t="s">
        <v>42</v>
      </c>
      <c r="AQ947" s="11">
        <v>1.4</v>
      </c>
      <c r="AR947" s="5">
        <v>0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1</v>
      </c>
      <c r="AY947" s="1">
        <f t="shared" si="762"/>
        <v>0</v>
      </c>
      <c r="AZ947" s="1">
        <f t="shared" si="763"/>
        <v>0</v>
      </c>
      <c r="BA947" s="1">
        <f t="shared" si="764"/>
        <v>0</v>
      </c>
      <c r="BB947" s="5">
        <v>0</v>
      </c>
      <c r="BC947" s="5">
        <v>0</v>
      </c>
      <c r="BD947" s="5">
        <v>0</v>
      </c>
      <c r="BE947" s="5">
        <f t="shared" si="765"/>
        <v>1</v>
      </c>
      <c r="BF947" s="5">
        <v>1</v>
      </c>
      <c r="BG947" s="5">
        <f t="shared" si="741"/>
        <v>0</v>
      </c>
      <c r="BH947" s="5">
        <f t="shared" si="741"/>
        <v>0</v>
      </c>
      <c r="BI947" s="5">
        <f t="shared" si="741"/>
        <v>0</v>
      </c>
      <c r="BJ947" s="5">
        <f t="shared" si="741"/>
        <v>0</v>
      </c>
      <c r="BK947" s="5">
        <f t="shared" si="741"/>
        <v>0</v>
      </c>
      <c r="BL947" s="5">
        <f t="shared" si="741"/>
        <v>0</v>
      </c>
      <c r="BM947" s="5">
        <f t="shared" si="741"/>
        <v>0</v>
      </c>
      <c r="BN947" s="5">
        <f t="shared" si="740"/>
        <v>0</v>
      </c>
      <c r="BO947" s="5">
        <f t="shared" si="740"/>
        <v>0</v>
      </c>
      <c r="BP947" s="5">
        <f t="shared" si="740"/>
        <v>0</v>
      </c>
      <c r="BQ947" s="5">
        <f t="shared" si="740"/>
        <v>0</v>
      </c>
      <c r="BR947" s="5">
        <f t="shared" si="740"/>
        <v>0</v>
      </c>
      <c r="BS947" s="5">
        <f t="shared" si="740"/>
        <v>0</v>
      </c>
      <c r="BT947" s="5">
        <f t="shared" si="740"/>
        <v>0</v>
      </c>
      <c r="BU947" s="5">
        <f t="shared" si="740"/>
        <v>0</v>
      </c>
      <c r="BV947" s="5">
        <f t="shared" si="740"/>
        <v>0</v>
      </c>
      <c r="BW947" s="5">
        <f t="shared" si="740"/>
        <v>0</v>
      </c>
      <c r="BX947" s="5">
        <f t="shared" si="740"/>
        <v>0</v>
      </c>
      <c r="BY947" s="5">
        <f t="shared" si="740"/>
        <v>0</v>
      </c>
      <c r="BZ947" s="5">
        <f t="shared" si="740"/>
        <v>0</v>
      </c>
      <c r="CA947" s="5">
        <f t="shared" si="740"/>
        <v>0</v>
      </c>
      <c r="CB947" s="5">
        <f t="shared" si="740"/>
        <v>0</v>
      </c>
      <c r="CC947" s="5">
        <f t="shared" si="743"/>
        <v>1</v>
      </c>
      <c r="CD947" s="5">
        <f t="shared" si="743"/>
        <v>0</v>
      </c>
      <c r="CE947" s="5">
        <f t="shared" si="743"/>
        <v>0</v>
      </c>
    </row>
    <row r="948" spans="1:83" x14ac:dyDescent="0.2">
      <c r="A948" s="11"/>
      <c r="B948" s="11"/>
      <c r="C948" s="1">
        <f>Growth!D953</f>
        <v>0.22222222222222221</v>
      </c>
      <c r="D948" s="5" t="b">
        <f t="shared" si="715"/>
        <v>0</v>
      </c>
      <c r="E948" s="5">
        <v>2013</v>
      </c>
      <c r="F948" s="5">
        <f ca="1">LOOKUP($E948,frequence!$A$2:$A$35,frequence!L$2:L$35)</f>
        <v>46.610663652887361</v>
      </c>
      <c r="G948" s="5">
        <f ca="1">LOOKUP($E948,frequence!$A$2:$A$35,frequence!K$2:K$35)</f>
        <v>7.3617115683267258</v>
      </c>
      <c r="H948" s="5">
        <f ca="1">LOOKUP($E948,frequence!$A$2:$A$35,frequence!M$2:M$35)</f>
        <v>214.81113443396845</v>
      </c>
      <c r="I948" s="16">
        <v>2010</v>
      </c>
      <c r="J948" s="7">
        <f>LOOKUP(I948,CPI!A$69:A$103,CPI!O$69:O$103)</f>
        <v>1</v>
      </c>
      <c r="K948" s="16">
        <v>2010</v>
      </c>
      <c r="L948" s="7">
        <f t="shared" ca="1" si="708"/>
        <v>1</v>
      </c>
      <c r="M948" s="7">
        <f t="shared" si="761"/>
        <v>1.1777777777777776</v>
      </c>
      <c r="N948" s="14">
        <f>2/9</f>
        <v>0.22222222222222221</v>
      </c>
      <c r="O948" s="1">
        <f ca="1">P948*J948*(1+Growth!G$6)^(2010-K948)</f>
        <v>263.00787401574803</v>
      </c>
      <c r="P948" s="22">
        <f>293*342/381</f>
        <v>263.00787401574803</v>
      </c>
      <c r="Q948" s="2">
        <f t="shared" si="754"/>
        <v>263.00787401574803</v>
      </c>
      <c r="R948" s="21">
        <f t="shared" ca="1" si="755"/>
        <v>69173.141794283583</v>
      </c>
      <c r="U948" s="11"/>
      <c r="V948" s="11"/>
      <c r="W948" s="11"/>
      <c r="X948" s="11"/>
      <c r="Y948" s="11"/>
      <c r="Z948" s="11"/>
      <c r="AA948" s="11"/>
      <c r="AB948" s="11"/>
      <c r="AC948" s="1">
        <f t="shared" si="756"/>
        <v>5.3</v>
      </c>
      <c r="AD948" s="5">
        <v>0</v>
      </c>
      <c r="AE948" s="5">
        <v>0</v>
      </c>
      <c r="AF948" s="5">
        <v>1</v>
      </c>
      <c r="AG948" s="5">
        <v>0</v>
      </c>
      <c r="AH948" s="5">
        <v>1</v>
      </c>
      <c r="AI948" s="3">
        <f t="shared" si="757"/>
        <v>3.3</v>
      </c>
      <c r="AJ948" s="5">
        <f t="shared" si="728"/>
        <v>0</v>
      </c>
      <c r="AK948" s="5">
        <f t="shared" si="709"/>
        <v>0</v>
      </c>
      <c r="AL948" s="5">
        <f t="shared" si="710"/>
        <v>0</v>
      </c>
      <c r="AM948" s="5">
        <f t="shared" si="729"/>
        <v>0</v>
      </c>
      <c r="AN948" s="5">
        <f t="shared" si="711"/>
        <v>0</v>
      </c>
      <c r="AO948" s="5">
        <f t="shared" si="730"/>
        <v>0</v>
      </c>
      <c r="AP948" s="11" t="s">
        <v>42</v>
      </c>
      <c r="AQ948" s="11">
        <v>1.4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5">
        <v>1</v>
      </c>
      <c r="AY948" s="1">
        <f t="shared" si="762"/>
        <v>0</v>
      </c>
      <c r="AZ948" s="1">
        <f t="shared" si="763"/>
        <v>0</v>
      </c>
      <c r="BA948" s="1">
        <f t="shared" si="764"/>
        <v>0</v>
      </c>
      <c r="BB948" s="5">
        <v>0</v>
      </c>
      <c r="BC948" s="5">
        <v>0</v>
      </c>
      <c r="BD948" s="5">
        <v>0</v>
      </c>
      <c r="BE948" s="5">
        <f t="shared" si="765"/>
        <v>1</v>
      </c>
      <c r="BF948" s="5">
        <v>1</v>
      </c>
      <c r="BG948" s="5">
        <f t="shared" si="741"/>
        <v>0</v>
      </c>
      <c r="BH948" s="5">
        <f t="shared" si="741"/>
        <v>0</v>
      </c>
      <c r="BI948" s="5">
        <f t="shared" si="741"/>
        <v>0</v>
      </c>
      <c r="BJ948" s="5">
        <f t="shared" si="741"/>
        <v>0</v>
      </c>
      <c r="BK948" s="5">
        <f t="shared" si="741"/>
        <v>0</v>
      </c>
      <c r="BL948" s="5">
        <f t="shared" si="741"/>
        <v>0</v>
      </c>
      <c r="BM948" s="5">
        <f t="shared" si="741"/>
        <v>0</v>
      </c>
      <c r="BN948" s="5">
        <f t="shared" si="741"/>
        <v>0</v>
      </c>
      <c r="BO948" s="5">
        <f t="shared" ref="BO948:CC963" si="766">IF($E948=BO$2,1,0)</f>
        <v>0</v>
      </c>
      <c r="BP948" s="5">
        <f t="shared" si="766"/>
        <v>0</v>
      </c>
      <c r="BQ948" s="5">
        <f t="shared" si="766"/>
        <v>0</v>
      </c>
      <c r="BR948" s="5">
        <f t="shared" si="766"/>
        <v>0</v>
      </c>
      <c r="BS948" s="5">
        <f t="shared" si="766"/>
        <v>0</v>
      </c>
      <c r="BT948" s="5">
        <f t="shared" si="766"/>
        <v>0</v>
      </c>
      <c r="BU948" s="5">
        <f t="shared" si="766"/>
        <v>0</v>
      </c>
      <c r="BV948" s="5">
        <f t="shared" si="766"/>
        <v>0</v>
      </c>
      <c r="BW948" s="5">
        <f t="shared" si="766"/>
        <v>0</v>
      </c>
      <c r="BX948" s="5">
        <f t="shared" si="766"/>
        <v>0</v>
      </c>
      <c r="BY948" s="5">
        <f t="shared" si="766"/>
        <v>0</v>
      </c>
      <c r="BZ948" s="5">
        <f t="shared" si="766"/>
        <v>0</v>
      </c>
      <c r="CA948" s="5">
        <f t="shared" si="766"/>
        <v>0</v>
      </c>
      <c r="CB948" s="5">
        <f t="shared" si="766"/>
        <v>0</v>
      </c>
      <c r="CC948" s="5">
        <f t="shared" si="743"/>
        <v>1</v>
      </c>
      <c r="CD948" s="5">
        <f t="shared" si="743"/>
        <v>0</v>
      </c>
      <c r="CE948" s="5">
        <f t="shared" si="743"/>
        <v>0</v>
      </c>
    </row>
    <row r="949" spans="1:83" x14ac:dyDescent="0.2">
      <c r="A949" s="11" t="s">
        <v>211</v>
      </c>
      <c r="B949" s="11" t="s">
        <v>197</v>
      </c>
      <c r="C949" s="1">
        <f>Growth!D954</f>
        <v>0.23529411764705882</v>
      </c>
      <c r="D949" s="5">
        <f t="shared" ref="D949:D959" si="767">IF(B949&gt;0,E949)</f>
        <v>2015</v>
      </c>
      <c r="E949" s="5">
        <v>2015</v>
      </c>
      <c r="F949" s="5">
        <f ca="1">LOOKUP($E949,frequence!$A$2:$A$35,frequence!L$2:L$35)</f>
        <v>59.915964498406019</v>
      </c>
      <c r="G949" s="5">
        <f ca="1">LOOKUP($E949,frequence!$A$2:$A$35,frequence!K$2:K$35)</f>
        <v>12.697082100333608</v>
      </c>
      <c r="H949" s="5">
        <f ca="1">LOOKUP($E949,frequence!$A$2:$A$35,frequence!M$2:M$35)</f>
        <v>262.07305844619424</v>
      </c>
      <c r="I949" s="16">
        <v>2010</v>
      </c>
      <c r="J949" s="7">
        <f>LOOKUP(I949,CPI!A$69:A$103,CPI!O$69:O$103)</f>
        <v>1</v>
      </c>
      <c r="K949" s="16">
        <v>2010</v>
      </c>
      <c r="L949" s="7">
        <f t="shared" ca="1" si="708"/>
        <v>1</v>
      </c>
      <c r="M949" s="7">
        <f t="shared" si="761"/>
        <v>1.2941176470588236</v>
      </c>
      <c r="N949" s="14">
        <f>4/17</f>
        <v>0.23529411764705882</v>
      </c>
      <c r="O949" s="1">
        <f ca="1">P949*J949*(1+Growth!G$6)^(2010-K949)</f>
        <v>82.133333333333326</v>
      </c>
      <c r="P949" s="22">
        <f>22.4*44/12</f>
        <v>82.133333333333326</v>
      </c>
      <c r="Q949" s="2">
        <f t="shared" si="754"/>
        <v>82.133333333333326</v>
      </c>
      <c r="R949" s="21">
        <f t="shared" ca="1" si="755"/>
        <v>6745.884444444443</v>
      </c>
      <c r="U949" s="11"/>
      <c r="V949" s="11"/>
      <c r="W949" s="11"/>
      <c r="X949" s="11"/>
      <c r="Y949" s="11"/>
      <c r="Z949" s="11"/>
      <c r="AA949" s="11"/>
      <c r="AB949" s="11"/>
      <c r="AC949" s="1">
        <f t="shared" ref="AC949:AC959" si="768">SUM(AD949:AI949)</f>
        <v>5.5</v>
      </c>
      <c r="AD949" s="5">
        <v>0</v>
      </c>
      <c r="AE949" s="5">
        <v>0</v>
      </c>
      <c r="AF949" s="5">
        <v>1</v>
      </c>
      <c r="AG949" s="5">
        <v>0</v>
      </c>
      <c r="AH949" s="5">
        <v>1</v>
      </c>
      <c r="AI949" s="3">
        <f t="shared" ref="AI949:AI959" si="769">(E949-1980)/10</f>
        <v>3.5</v>
      </c>
      <c r="AJ949" s="5">
        <f t="shared" si="728"/>
        <v>0</v>
      </c>
      <c r="AK949" s="5">
        <f t="shared" si="709"/>
        <v>0</v>
      </c>
      <c r="AL949" s="5">
        <f t="shared" si="710"/>
        <v>0</v>
      </c>
      <c r="AM949" s="5">
        <f t="shared" si="729"/>
        <v>0</v>
      </c>
      <c r="AN949" s="5">
        <f t="shared" si="711"/>
        <v>0</v>
      </c>
      <c r="AO949" s="5">
        <f t="shared" si="730"/>
        <v>0</v>
      </c>
      <c r="AP949" s="11" t="s">
        <v>42</v>
      </c>
      <c r="AQ949" s="11">
        <v>1.4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1</v>
      </c>
      <c r="AY949" s="1">
        <f t="shared" ref="AY949:AY959" si="770">AJ949*$AD949*(1-$AV949)*(1-$AR949)</f>
        <v>0</v>
      </c>
      <c r="AZ949" s="1">
        <f t="shared" ref="AZ949:AZ959" si="771">AM949*$AD949*(1-$AV949)*(1-$AR949)</f>
        <v>0</v>
      </c>
      <c r="BA949" s="1">
        <f t="shared" ref="BA949:BA959" si="772">AO949*$AD949*(1-$AV949)*(1-$AR949)</f>
        <v>0</v>
      </c>
      <c r="BB949" s="5">
        <v>0</v>
      </c>
      <c r="BC949" s="5">
        <v>0</v>
      </c>
      <c r="BD949" s="5">
        <v>0</v>
      </c>
      <c r="BE949" s="5">
        <f t="shared" ref="BE949:BE959" si="773">1-SUM(BB949:BD949)</f>
        <v>1</v>
      </c>
      <c r="BF949" s="5">
        <v>1</v>
      </c>
      <c r="BG949" s="5">
        <f t="shared" ref="BG949:BN964" si="774">IF($E949=BG$2,1,0)</f>
        <v>0</v>
      </c>
      <c r="BH949" s="5">
        <f t="shared" si="774"/>
        <v>0</v>
      </c>
      <c r="BI949" s="5">
        <f t="shared" si="774"/>
        <v>0</v>
      </c>
      <c r="BJ949" s="5">
        <f t="shared" si="774"/>
        <v>0</v>
      </c>
      <c r="BK949" s="5">
        <f t="shared" si="774"/>
        <v>0</v>
      </c>
      <c r="BL949" s="5">
        <f t="shared" si="774"/>
        <v>0</v>
      </c>
      <c r="BM949" s="5">
        <f t="shared" si="774"/>
        <v>0</v>
      </c>
      <c r="BN949" s="5">
        <f t="shared" si="774"/>
        <v>0</v>
      </c>
      <c r="BO949" s="5">
        <f t="shared" si="766"/>
        <v>0</v>
      </c>
      <c r="BP949" s="5">
        <f t="shared" si="766"/>
        <v>0</v>
      </c>
      <c r="BQ949" s="5">
        <f t="shared" si="766"/>
        <v>0</v>
      </c>
      <c r="BR949" s="5">
        <f t="shared" si="766"/>
        <v>0</v>
      </c>
      <c r="BS949" s="5">
        <f t="shared" si="766"/>
        <v>0</v>
      </c>
      <c r="BT949" s="5">
        <f t="shared" si="766"/>
        <v>0</v>
      </c>
      <c r="BU949" s="5">
        <f t="shared" si="766"/>
        <v>0</v>
      </c>
      <c r="BV949" s="5">
        <f t="shared" si="766"/>
        <v>0</v>
      </c>
      <c r="BW949" s="5">
        <f t="shared" si="766"/>
        <v>0</v>
      </c>
      <c r="BX949" s="5">
        <f t="shared" si="766"/>
        <v>0</v>
      </c>
      <c r="BY949" s="5">
        <f t="shared" si="766"/>
        <v>0</v>
      </c>
      <c r="BZ949" s="5">
        <f t="shared" si="766"/>
        <v>0</v>
      </c>
      <c r="CA949" s="5">
        <f t="shared" si="766"/>
        <v>0</v>
      </c>
      <c r="CB949" s="5">
        <f t="shared" si="766"/>
        <v>0</v>
      </c>
      <c r="CC949" s="5">
        <f t="shared" si="743"/>
        <v>0</v>
      </c>
      <c r="CD949" s="5">
        <f t="shared" si="743"/>
        <v>0</v>
      </c>
      <c r="CE949" s="5">
        <f t="shared" si="743"/>
        <v>1</v>
      </c>
    </row>
    <row r="950" spans="1:83" x14ac:dyDescent="0.2">
      <c r="A950" s="11"/>
      <c r="B950" s="11"/>
      <c r="C950" s="1">
        <f>Growth!D955</f>
        <v>0.23529411764705882</v>
      </c>
      <c r="D950" s="5" t="b">
        <f t="shared" si="767"/>
        <v>0</v>
      </c>
      <c r="E950" s="5">
        <v>2015</v>
      </c>
      <c r="F950" s="5">
        <f ca="1">LOOKUP($E950,frequence!$A$2:$A$35,frequence!L$2:L$35)</f>
        <v>59.915964498406019</v>
      </c>
      <c r="G950" s="5">
        <f ca="1">LOOKUP($E950,frequence!$A$2:$A$35,frequence!K$2:K$35)</f>
        <v>12.697082100333608</v>
      </c>
      <c r="H950" s="5">
        <f ca="1">LOOKUP($E950,frequence!$A$2:$A$35,frequence!M$2:M$35)</f>
        <v>262.07305844619424</v>
      </c>
      <c r="I950" s="16">
        <v>2010</v>
      </c>
      <c r="J950" s="7">
        <f>LOOKUP(I950,CPI!A$69:A$103,CPI!O$69:O$103)</f>
        <v>1</v>
      </c>
      <c r="K950" s="16">
        <v>2010</v>
      </c>
      <c r="L950" s="7">
        <f t="shared" ca="1" si="708"/>
        <v>1</v>
      </c>
      <c r="M950" s="7">
        <f t="shared" si="761"/>
        <v>1.2941176470588236</v>
      </c>
      <c r="N950" s="14">
        <f>4/17</f>
        <v>0.23529411764705882</v>
      </c>
      <c r="O950" s="1">
        <f ca="1">P950*J950*(1+Growth!G$6)^(2010-K950)</f>
        <v>208.63333333333333</v>
      </c>
      <c r="P950" s="22">
        <f>56.9*44/12</f>
        <v>208.63333333333333</v>
      </c>
      <c r="Q950" s="2">
        <f t="shared" si="754"/>
        <v>208.63333333333333</v>
      </c>
      <c r="R950" s="21">
        <f t="shared" ca="1" si="755"/>
        <v>43527.867777777778</v>
      </c>
      <c r="U950" s="11"/>
      <c r="V950" s="11"/>
      <c r="W950" s="11"/>
      <c r="X950" s="11"/>
      <c r="Y950" s="11"/>
      <c r="Z950" s="11"/>
      <c r="AA950" s="11"/>
      <c r="AB950" s="11"/>
      <c r="AC950" s="1">
        <f t="shared" si="768"/>
        <v>5.5</v>
      </c>
      <c r="AD950" s="5">
        <v>0</v>
      </c>
      <c r="AE950" s="5">
        <v>0</v>
      </c>
      <c r="AF950" s="5">
        <v>1</v>
      </c>
      <c r="AG950" s="5">
        <v>0</v>
      </c>
      <c r="AH950" s="5">
        <v>1</v>
      </c>
      <c r="AI950" s="3">
        <f t="shared" si="769"/>
        <v>3.5</v>
      </c>
      <c r="AJ950" s="5">
        <f t="shared" si="728"/>
        <v>0</v>
      </c>
      <c r="AK950" s="5">
        <f t="shared" si="709"/>
        <v>0</v>
      </c>
      <c r="AL950" s="5">
        <f t="shared" si="710"/>
        <v>0</v>
      </c>
      <c r="AM950" s="5">
        <f t="shared" si="729"/>
        <v>0</v>
      </c>
      <c r="AN950" s="5">
        <f t="shared" si="711"/>
        <v>0</v>
      </c>
      <c r="AO950" s="5">
        <f t="shared" si="730"/>
        <v>0</v>
      </c>
      <c r="AP950" s="11" t="s">
        <v>42</v>
      </c>
      <c r="AQ950" s="11">
        <v>1.4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1</v>
      </c>
      <c r="AY950" s="1">
        <f t="shared" si="770"/>
        <v>0</v>
      </c>
      <c r="AZ950" s="1">
        <f t="shared" si="771"/>
        <v>0</v>
      </c>
      <c r="BA950" s="1">
        <f t="shared" si="772"/>
        <v>0</v>
      </c>
      <c r="BB950" s="5">
        <v>0</v>
      </c>
      <c r="BC950" s="5">
        <v>0</v>
      </c>
      <c r="BD950" s="5">
        <v>0</v>
      </c>
      <c r="BE950" s="5">
        <f t="shared" si="773"/>
        <v>1</v>
      </c>
      <c r="BF950" s="5">
        <v>1</v>
      </c>
      <c r="BG950" s="5">
        <f t="shared" si="774"/>
        <v>0</v>
      </c>
      <c r="BH950" s="5">
        <f t="shared" si="774"/>
        <v>0</v>
      </c>
      <c r="BI950" s="5">
        <f t="shared" si="774"/>
        <v>0</v>
      </c>
      <c r="BJ950" s="5">
        <f t="shared" si="774"/>
        <v>0</v>
      </c>
      <c r="BK950" s="5">
        <f t="shared" si="774"/>
        <v>0</v>
      </c>
      <c r="BL950" s="5">
        <f t="shared" si="774"/>
        <v>0</v>
      </c>
      <c r="BM950" s="5">
        <f t="shared" si="774"/>
        <v>0</v>
      </c>
      <c r="BN950" s="5">
        <f t="shared" si="774"/>
        <v>0</v>
      </c>
      <c r="BO950" s="5">
        <f t="shared" si="766"/>
        <v>0</v>
      </c>
      <c r="BP950" s="5">
        <f t="shared" si="766"/>
        <v>0</v>
      </c>
      <c r="BQ950" s="5">
        <f t="shared" si="766"/>
        <v>0</v>
      </c>
      <c r="BR950" s="5">
        <f t="shared" si="766"/>
        <v>0</v>
      </c>
      <c r="BS950" s="5">
        <f t="shared" si="766"/>
        <v>0</v>
      </c>
      <c r="BT950" s="5">
        <f t="shared" si="766"/>
        <v>0</v>
      </c>
      <c r="BU950" s="5">
        <f t="shared" si="766"/>
        <v>0</v>
      </c>
      <c r="BV950" s="5">
        <f t="shared" si="766"/>
        <v>0</v>
      </c>
      <c r="BW950" s="5">
        <f t="shared" si="766"/>
        <v>0</v>
      </c>
      <c r="BX950" s="5">
        <f t="shared" si="766"/>
        <v>0</v>
      </c>
      <c r="BY950" s="5">
        <f t="shared" si="766"/>
        <v>0</v>
      </c>
      <c r="BZ950" s="5">
        <f t="shared" si="766"/>
        <v>0</v>
      </c>
      <c r="CA950" s="5">
        <f t="shared" si="766"/>
        <v>0</v>
      </c>
      <c r="CB950" s="5">
        <f t="shared" si="766"/>
        <v>0</v>
      </c>
      <c r="CC950" s="5">
        <f t="shared" si="743"/>
        <v>0</v>
      </c>
      <c r="CD950" s="5">
        <f t="shared" si="743"/>
        <v>0</v>
      </c>
      <c r="CE950" s="5">
        <f t="shared" si="743"/>
        <v>1</v>
      </c>
    </row>
    <row r="951" spans="1:83" x14ac:dyDescent="0.2">
      <c r="A951" s="11"/>
      <c r="B951" s="11"/>
      <c r="C951" s="1">
        <f>Growth!D956</f>
        <v>5.8823529411764705E-2</v>
      </c>
      <c r="D951" s="5" t="b">
        <f t="shared" si="767"/>
        <v>0</v>
      </c>
      <c r="E951" s="5">
        <v>2015</v>
      </c>
      <c r="F951" s="5">
        <f ca="1">LOOKUP($E951,frequence!$A$2:$A$35,frequence!L$2:L$35)</f>
        <v>59.915964498406019</v>
      </c>
      <c r="G951" s="5">
        <f ca="1">LOOKUP($E951,frequence!$A$2:$A$35,frequence!K$2:K$35)</f>
        <v>12.697082100333608</v>
      </c>
      <c r="H951" s="5">
        <f ca="1">LOOKUP($E951,frequence!$A$2:$A$35,frequence!M$2:M$35)</f>
        <v>262.07305844619424</v>
      </c>
      <c r="I951" s="16">
        <v>2010</v>
      </c>
      <c r="J951" s="7">
        <f>LOOKUP(I951,CPI!A$69:A$103,CPI!O$69:O$103)</f>
        <v>1</v>
      </c>
      <c r="K951" s="16">
        <v>2010</v>
      </c>
      <c r="L951" s="7">
        <f t="shared" ca="1" si="708"/>
        <v>1</v>
      </c>
      <c r="M951" s="7">
        <f t="shared" ref="M951:M959" si="775">N951*AC951</f>
        <v>0.3235294117647059</v>
      </c>
      <c r="N951" s="14">
        <f>1/17</f>
        <v>5.8823529411764705E-2</v>
      </c>
      <c r="O951" s="1">
        <f ca="1">P951*J951*(1+Growth!G$6)^(2010-K951)</f>
        <v>80.666666666666671</v>
      </c>
      <c r="P951" s="22">
        <f>22*44/12</f>
        <v>80.666666666666671</v>
      </c>
      <c r="Q951" s="2">
        <f t="shared" ref="Q951:Q956" si="776">P951</f>
        <v>80.666666666666671</v>
      </c>
      <c r="R951" s="21">
        <f t="shared" ca="1" si="755"/>
        <v>6507.1111111111122</v>
      </c>
      <c r="U951" s="11"/>
      <c r="V951" s="11"/>
      <c r="W951" s="11"/>
      <c r="X951" s="11"/>
      <c r="Y951" s="11"/>
      <c r="Z951" s="11"/>
      <c r="AA951" s="11"/>
      <c r="AB951" s="11"/>
      <c r="AC951" s="1">
        <f t="shared" si="768"/>
        <v>5.5</v>
      </c>
      <c r="AD951" s="5">
        <v>0</v>
      </c>
      <c r="AE951" s="5">
        <v>0</v>
      </c>
      <c r="AF951" s="5">
        <v>1</v>
      </c>
      <c r="AG951" s="5">
        <v>0</v>
      </c>
      <c r="AH951" s="5">
        <v>1</v>
      </c>
      <c r="AI951" s="3">
        <f t="shared" si="769"/>
        <v>3.5</v>
      </c>
      <c r="AJ951" s="5">
        <f t="shared" si="728"/>
        <v>0</v>
      </c>
      <c r="AK951" s="5">
        <f t="shared" si="709"/>
        <v>0</v>
      </c>
      <c r="AL951" s="5">
        <f t="shared" si="710"/>
        <v>0</v>
      </c>
      <c r="AM951" s="5">
        <f t="shared" si="729"/>
        <v>0</v>
      </c>
      <c r="AN951" s="5">
        <f t="shared" si="711"/>
        <v>0</v>
      </c>
      <c r="AO951" s="5">
        <f t="shared" si="730"/>
        <v>0</v>
      </c>
      <c r="AP951" s="11" t="s">
        <v>42</v>
      </c>
      <c r="AQ951" s="11">
        <v>1.4</v>
      </c>
      <c r="AR951" s="5">
        <v>0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1</v>
      </c>
      <c r="AY951" s="1">
        <f t="shared" si="770"/>
        <v>0</v>
      </c>
      <c r="AZ951" s="1">
        <f t="shared" si="771"/>
        <v>0</v>
      </c>
      <c r="BA951" s="1">
        <f t="shared" si="772"/>
        <v>0</v>
      </c>
      <c r="BB951" s="5">
        <v>0</v>
      </c>
      <c r="BC951" s="5">
        <v>0</v>
      </c>
      <c r="BD951" s="5">
        <v>0</v>
      </c>
      <c r="BE951" s="5">
        <f t="shared" si="773"/>
        <v>1</v>
      </c>
      <c r="BF951" s="5">
        <v>1</v>
      </c>
      <c r="BG951" s="5">
        <f t="shared" si="774"/>
        <v>0</v>
      </c>
      <c r="BH951" s="5">
        <f t="shared" si="774"/>
        <v>0</v>
      </c>
      <c r="BI951" s="5">
        <f t="shared" si="774"/>
        <v>0</v>
      </c>
      <c r="BJ951" s="5">
        <f t="shared" si="774"/>
        <v>0</v>
      </c>
      <c r="BK951" s="5">
        <f t="shared" si="774"/>
        <v>0</v>
      </c>
      <c r="BL951" s="5">
        <f t="shared" si="774"/>
        <v>0</v>
      </c>
      <c r="BM951" s="5">
        <f t="shared" si="774"/>
        <v>0</v>
      </c>
      <c r="BN951" s="5">
        <f t="shared" si="774"/>
        <v>0</v>
      </c>
      <c r="BO951" s="5">
        <f t="shared" si="766"/>
        <v>0</v>
      </c>
      <c r="BP951" s="5">
        <f t="shared" si="766"/>
        <v>0</v>
      </c>
      <c r="BQ951" s="5">
        <f t="shared" si="766"/>
        <v>0</v>
      </c>
      <c r="BR951" s="5">
        <f t="shared" si="766"/>
        <v>0</v>
      </c>
      <c r="BS951" s="5">
        <f t="shared" si="766"/>
        <v>0</v>
      </c>
      <c r="BT951" s="5">
        <f t="shared" si="766"/>
        <v>0</v>
      </c>
      <c r="BU951" s="5">
        <f t="shared" si="766"/>
        <v>0</v>
      </c>
      <c r="BV951" s="5">
        <f t="shared" si="766"/>
        <v>0</v>
      </c>
      <c r="BW951" s="5">
        <f t="shared" si="766"/>
        <v>0</v>
      </c>
      <c r="BX951" s="5">
        <f t="shared" si="766"/>
        <v>0</v>
      </c>
      <c r="BY951" s="5">
        <f t="shared" si="766"/>
        <v>0</v>
      </c>
      <c r="BZ951" s="5">
        <f t="shared" si="766"/>
        <v>0</v>
      </c>
      <c r="CA951" s="5">
        <f t="shared" si="766"/>
        <v>0</v>
      </c>
      <c r="CB951" s="5">
        <f t="shared" si="766"/>
        <v>0</v>
      </c>
      <c r="CC951" s="5">
        <f t="shared" si="743"/>
        <v>0</v>
      </c>
      <c r="CD951" s="5">
        <f t="shared" si="743"/>
        <v>0</v>
      </c>
      <c r="CE951" s="5">
        <f t="shared" si="743"/>
        <v>1</v>
      </c>
    </row>
    <row r="952" spans="1:83" x14ac:dyDescent="0.2">
      <c r="A952" s="11"/>
      <c r="B952" s="11"/>
      <c r="C952" s="1">
        <f>Growth!D957</f>
        <v>5.8823529411764705E-2</v>
      </c>
      <c r="D952" s="5" t="b">
        <f t="shared" si="767"/>
        <v>0</v>
      </c>
      <c r="E952" s="5">
        <v>2015</v>
      </c>
      <c r="F952" s="5">
        <f ca="1">LOOKUP($E952,frequence!$A$2:$A$35,frequence!L$2:L$35)</f>
        <v>59.915964498406019</v>
      </c>
      <c r="G952" s="5">
        <f ca="1">LOOKUP($E952,frequence!$A$2:$A$35,frequence!K$2:K$35)</f>
        <v>12.697082100333608</v>
      </c>
      <c r="H952" s="5">
        <f ca="1">LOOKUP($E952,frequence!$A$2:$A$35,frequence!M$2:M$35)</f>
        <v>262.07305844619424</v>
      </c>
      <c r="I952" s="16">
        <v>2010</v>
      </c>
      <c r="J952" s="7">
        <f>LOOKUP(I952,CPI!A$69:A$103,CPI!O$69:O$103)</f>
        <v>1</v>
      </c>
      <c r="K952" s="16">
        <v>2010</v>
      </c>
      <c r="L952" s="7">
        <f t="shared" ca="1" si="708"/>
        <v>1</v>
      </c>
      <c r="M952" s="7">
        <f t="shared" si="775"/>
        <v>0.3235294117647059</v>
      </c>
      <c r="N952" s="14">
        <f t="shared" ref="N952:N959" si="777">1/17</f>
        <v>5.8823529411764705E-2</v>
      </c>
      <c r="O952" s="1">
        <f ca="1">P952*J952*(1+Growth!G$6)^(2010-K952)</f>
        <v>187</v>
      </c>
      <c r="P952" s="22">
        <f>51*44/12</f>
        <v>187</v>
      </c>
      <c r="Q952" s="2">
        <f t="shared" si="776"/>
        <v>187</v>
      </c>
      <c r="R952" s="21">
        <f t="shared" ca="1" si="755"/>
        <v>34969</v>
      </c>
      <c r="U952" s="11"/>
      <c r="V952" s="11"/>
      <c r="W952" s="11"/>
      <c r="X952" s="11"/>
      <c r="Y952" s="11"/>
      <c r="Z952" s="11"/>
      <c r="AA952" s="11"/>
      <c r="AB952" s="11"/>
      <c r="AC952" s="1">
        <f t="shared" si="768"/>
        <v>5.5</v>
      </c>
      <c r="AD952" s="5">
        <v>0</v>
      </c>
      <c r="AE952" s="5">
        <v>0</v>
      </c>
      <c r="AF952" s="5">
        <v>1</v>
      </c>
      <c r="AG952" s="5">
        <v>0</v>
      </c>
      <c r="AH952" s="5">
        <v>1</v>
      </c>
      <c r="AI952" s="3">
        <f t="shared" si="769"/>
        <v>3.5</v>
      </c>
      <c r="AJ952" s="5">
        <f t="shared" si="728"/>
        <v>0</v>
      </c>
      <c r="AK952" s="5">
        <f t="shared" si="709"/>
        <v>0</v>
      </c>
      <c r="AL952" s="5">
        <f t="shared" si="710"/>
        <v>0</v>
      </c>
      <c r="AM952" s="5">
        <f t="shared" si="729"/>
        <v>0</v>
      </c>
      <c r="AN952" s="5">
        <f t="shared" si="711"/>
        <v>0</v>
      </c>
      <c r="AO952" s="5">
        <f t="shared" si="730"/>
        <v>0</v>
      </c>
      <c r="AP952" s="11" t="s">
        <v>42</v>
      </c>
      <c r="AQ952" s="11">
        <v>1.4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0</v>
      </c>
      <c r="AX952" s="5">
        <v>1</v>
      </c>
      <c r="AY952" s="1">
        <f t="shared" si="770"/>
        <v>0</v>
      </c>
      <c r="AZ952" s="1">
        <f t="shared" si="771"/>
        <v>0</v>
      </c>
      <c r="BA952" s="1">
        <f t="shared" si="772"/>
        <v>0</v>
      </c>
      <c r="BB952" s="5">
        <v>0</v>
      </c>
      <c r="BC952" s="5">
        <v>0</v>
      </c>
      <c r="BD952" s="5">
        <v>0</v>
      </c>
      <c r="BE952" s="5">
        <f t="shared" si="773"/>
        <v>1</v>
      </c>
      <c r="BF952" s="5">
        <v>1</v>
      </c>
      <c r="BG952" s="5">
        <f t="shared" si="774"/>
        <v>0</v>
      </c>
      <c r="BH952" s="5">
        <f t="shared" si="774"/>
        <v>0</v>
      </c>
      <c r="BI952" s="5">
        <f t="shared" si="774"/>
        <v>0</v>
      </c>
      <c r="BJ952" s="5">
        <f t="shared" si="774"/>
        <v>0</v>
      </c>
      <c r="BK952" s="5">
        <f t="shared" si="774"/>
        <v>0</v>
      </c>
      <c r="BL952" s="5">
        <f t="shared" si="774"/>
        <v>0</v>
      </c>
      <c r="BM952" s="5">
        <f t="shared" si="774"/>
        <v>0</v>
      </c>
      <c r="BN952" s="5">
        <f t="shared" si="774"/>
        <v>0</v>
      </c>
      <c r="BO952" s="5">
        <f t="shared" si="766"/>
        <v>0</v>
      </c>
      <c r="BP952" s="5">
        <f t="shared" si="766"/>
        <v>0</v>
      </c>
      <c r="BQ952" s="5">
        <f t="shared" si="766"/>
        <v>0</v>
      </c>
      <c r="BR952" s="5">
        <f t="shared" si="766"/>
        <v>0</v>
      </c>
      <c r="BS952" s="5">
        <f t="shared" si="766"/>
        <v>0</v>
      </c>
      <c r="BT952" s="5">
        <f t="shared" si="766"/>
        <v>0</v>
      </c>
      <c r="BU952" s="5">
        <f t="shared" si="766"/>
        <v>0</v>
      </c>
      <c r="BV952" s="5">
        <f t="shared" si="766"/>
        <v>0</v>
      </c>
      <c r="BW952" s="5">
        <f t="shared" si="766"/>
        <v>0</v>
      </c>
      <c r="BX952" s="5">
        <f t="shared" si="766"/>
        <v>0</v>
      </c>
      <c r="BY952" s="5">
        <f t="shared" si="766"/>
        <v>0</v>
      </c>
      <c r="BZ952" s="5">
        <f t="shared" si="766"/>
        <v>0</v>
      </c>
      <c r="CA952" s="5">
        <f t="shared" si="766"/>
        <v>0</v>
      </c>
      <c r="CB952" s="5">
        <f t="shared" si="766"/>
        <v>0</v>
      </c>
      <c r="CC952" s="5">
        <f t="shared" si="743"/>
        <v>0</v>
      </c>
      <c r="CD952" s="5">
        <f t="shared" si="743"/>
        <v>0</v>
      </c>
      <c r="CE952" s="5">
        <f t="shared" si="743"/>
        <v>1</v>
      </c>
    </row>
    <row r="953" spans="1:83" x14ac:dyDescent="0.2">
      <c r="A953" s="11"/>
      <c r="B953" s="11"/>
      <c r="C953" s="1">
        <f>Growth!D958</f>
        <v>5.8823529411764705E-2</v>
      </c>
      <c r="D953" s="5" t="b">
        <f t="shared" si="767"/>
        <v>0</v>
      </c>
      <c r="E953" s="5">
        <v>2015</v>
      </c>
      <c r="F953" s="5">
        <f ca="1">LOOKUP($E953,frequence!$A$2:$A$35,frequence!L$2:L$35)</f>
        <v>59.915964498406019</v>
      </c>
      <c r="G953" s="5">
        <f ca="1">LOOKUP($E953,frequence!$A$2:$A$35,frequence!K$2:K$35)</f>
        <v>12.697082100333608</v>
      </c>
      <c r="H953" s="5">
        <f ca="1">LOOKUP($E953,frequence!$A$2:$A$35,frequence!M$2:M$35)</f>
        <v>262.07305844619424</v>
      </c>
      <c r="I953" s="16">
        <v>2010</v>
      </c>
      <c r="J953" s="7">
        <f>LOOKUP(I953,CPI!A$69:A$103,CPI!O$69:O$103)</f>
        <v>1</v>
      </c>
      <c r="K953" s="16">
        <v>2010</v>
      </c>
      <c r="L953" s="7">
        <f t="shared" ca="1" si="708"/>
        <v>1</v>
      </c>
      <c r="M953" s="7">
        <f t="shared" si="775"/>
        <v>0.3235294117647059</v>
      </c>
      <c r="N953" s="14">
        <f t="shared" si="777"/>
        <v>5.8823529411764705E-2</v>
      </c>
      <c r="O953" s="1">
        <f ca="1">P953*J953*(1+Growth!G$6)^(2010-K953)</f>
        <v>201.66666666666666</v>
      </c>
      <c r="P953" s="22">
        <f>55*44/12</f>
        <v>201.66666666666666</v>
      </c>
      <c r="Q953" s="2">
        <f t="shared" si="776"/>
        <v>201.66666666666666</v>
      </c>
      <c r="R953" s="21">
        <f t="shared" ca="1" si="755"/>
        <v>40669.444444444438</v>
      </c>
      <c r="U953" s="11"/>
      <c r="V953" s="11"/>
      <c r="W953" s="11"/>
      <c r="X953" s="11"/>
      <c r="Y953" s="11"/>
      <c r="Z953" s="11"/>
      <c r="AA953" s="11"/>
      <c r="AB953" s="11"/>
      <c r="AC953" s="1">
        <f t="shared" si="768"/>
        <v>5.5</v>
      </c>
      <c r="AD953" s="5">
        <v>0</v>
      </c>
      <c r="AE953" s="5">
        <v>0</v>
      </c>
      <c r="AF953" s="5">
        <v>1</v>
      </c>
      <c r="AG953" s="5">
        <v>0</v>
      </c>
      <c r="AH953" s="5">
        <v>1</v>
      </c>
      <c r="AI953" s="3">
        <f t="shared" si="769"/>
        <v>3.5</v>
      </c>
      <c r="AJ953" s="5">
        <f t="shared" si="728"/>
        <v>0</v>
      </c>
      <c r="AK953" s="5">
        <f t="shared" si="709"/>
        <v>0</v>
      </c>
      <c r="AL953" s="5">
        <f t="shared" si="710"/>
        <v>0</v>
      </c>
      <c r="AM953" s="5">
        <f t="shared" si="729"/>
        <v>0</v>
      </c>
      <c r="AN953" s="5">
        <f t="shared" si="711"/>
        <v>0</v>
      </c>
      <c r="AO953" s="5">
        <f t="shared" si="730"/>
        <v>0</v>
      </c>
      <c r="AP953" s="11" t="s">
        <v>42</v>
      </c>
      <c r="AQ953" s="11">
        <v>1.4</v>
      </c>
      <c r="AR953" s="5">
        <v>0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1</v>
      </c>
      <c r="AY953" s="1">
        <f t="shared" si="770"/>
        <v>0</v>
      </c>
      <c r="AZ953" s="1">
        <f t="shared" si="771"/>
        <v>0</v>
      </c>
      <c r="BA953" s="1">
        <f t="shared" si="772"/>
        <v>0</v>
      </c>
      <c r="BB953" s="5">
        <v>0</v>
      </c>
      <c r="BC953" s="5">
        <v>0</v>
      </c>
      <c r="BD953" s="5">
        <v>0</v>
      </c>
      <c r="BE953" s="5">
        <f t="shared" si="773"/>
        <v>1</v>
      </c>
      <c r="BF953" s="5">
        <v>1</v>
      </c>
      <c r="BG953" s="5">
        <f t="shared" si="774"/>
        <v>0</v>
      </c>
      <c r="BH953" s="5">
        <f t="shared" si="774"/>
        <v>0</v>
      </c>
      <c r="BI953" s="5">
        <f t="shared" si="774"/>
        <v>0</v>
      </c>
      <c r="BJ953" s="5">
        <f t="shared" si="774"/>
        <v>0</v>
      </c>
      <c r="BK953" s="5">
        <f t="shared" si="774"/>
        <v>0</v>
      </c>
      <c r="BL953" s="5">
        <f t="shared" si="774"/>
        <v>0</v>
      </c>
      <c r="BM953" s="5">
        <f t="shared" si="774"/>
        <v>0</v>
      </c>
      <c r="BN953" s="5">
        <f t="shared" si="774"/>
        <v>0</v>
      </c>
      <c r="BO953" s="5">
        <f t="shared" si="766"/>
        <v>0</v>
      </c>
      <c r="BP953" s="5">
        <f t="shared" si="766"/>
        <v>0</v>
      </c>
      <c r="BQ953" s="5">
        <f t="shared" si="766"/>
        <v>0</v>
      </c>
      <c r="BR953" s="5">
        <f t="shared" si="766"/>
        <v>0</v>
      </c>
      <c r="BS953" s="5">
        <f t="shared" si="766"/>
        <v>0</v>
      </c>
      <c r="BT953" s="5">
        <f t="shared" si="766"/>
        <v>0</v>
      </c>
      <c r="BU953" s="5">
        <f t="shared" si="766"/>
        <v>0</v>
      </c>
      <c r="BV953" s="5">
        <f t="shared" si="766"/>
        <v>0</v>
      </c>
      <c r="BW953" s="5">
        <f t="shared" si="766"/>
        <v>0</v>
      </c>
      <c r="BX953" s="5">
        <f t="shared" si="766"/>
        <v>0</v>
      </c>
      <c r="BY953" s="5">
        <f t="shared" si="766"/>
        <v>0</v>
      </c>
      <c r="BZ953" s="5">
        <f t="shared" si="766"/>
        <v>0</v>
      </c>
      <c r="CA953" s="5">
        <f t="shared" si="766"/>
        <v>0</v>
      </c>
      <c r="CB953" s="5">
        <f t="shared" si="766"/>
        <v>0</v>
      </c>
      <c r="CC953" s="5">
        <f t="shared" si="743"/>
        <v>0</v>
      </c>
      <c r="CD953" s="5">
        <f t="shared" si="743"/>
        <v>0</v>
      </c>
      <c r="CE953" s="5">
        <f t="shared" si="743"/>
        <v>1</v>
      </c>
    </row>
    <row r="954" spans="1:83" x14ac:dyDescent="0.2">
      <c r="A954" s="11"/>
      <c r="B954" s="11"/>
      <c r="C954" s="1">
        <f>Growth!D959</f>
        <v>5.8823529411764705E-2</v>
      </c>
      <c r="D954" s="5" t="b">
        <f t="shared" si="767"/>
        <v>0</v>
      </c>
      <c r="E954" s="5">
        <v>2015</v>
      </c>
      <c r="F954" s="5">
        <f ca="1">LOOKUP($E954,frequence!$A$2:$A$35,frequence!L$2:L$35)</f>
        <v>59.915964498406019</v>
      </c>
      <c r="G954" s="5">
        <f ca="1">LOOKUP($E954,frequence!$A$2:$A$35,frequence!K$2:K$35)</f>
        <v>12.697082100333608</v>
      </c>
      <c r="H954" s="5">
        <f ca="1">LOOKUP($E954,frequence!$A$2:$A$35,frequence!M$2:M$35)</f>
        <v>262.07305844619424</v>
      </c>
      <c r="I954" s="16">
        <v>2010</v>
      </c>
      <c r="J954" s="7">
        <f>LOOKUP(I954,CPI!A$69:A$103,CPI!O$69:O$103)</f>
        <v>1</v>
      </c>
      <c r="K954" s="16">
        <v>2010</v>
      </c>
      <c r="L954" s="7">
        <f t="shared" ca="1" si="708"/>
        <v>1</v>
      </c>
      <c r="M954" s="7">
        <f t="shared" si="775"/>
        <v>0.3235294117647059</v>
      </c>
      <c r="N954" s="14">
        <f t="shared" si="777"/>
        <v>5.8823529411764705E-2</v>
      </c>
      <c r="O954" s="1">
        <f ca="1">P954*J954*(1+Growth!G$6)^(2010-K954)</f>
        <v>260.33333333333331</v>
      </c>
      <c r="P954" s="22">
        <f>71*44/12</f>
        <v>260.33333333333331</v>
      </c>
      <c r="Q954" s="2">
        <f t="shared" si="776"/>
        <v>260.33333333333331</v>
      </c>
      <c r="R954" s="21">
        <f t="shared" ca="1" si="755"/>
        <v>67773.444444444438</v>
      </c>
      <c r="U954" s="11"/>
      <c r="V954" s="11"/>
      <c r="W954" s="11"/>
      <c r="X954" s="11"/>
      <c r="Y954" s="11"/>
      <c r="Z954" s="11"/>
      <c r="AA954" s="11"/>
      <c r="AB954" s="11"/>
      <c r="AC954" s="1">
        <f t="shared" si="768"/>
        <v>5.5</v>
      </c>
      <c r="AD954" s="5">
        <v>0</v>
      </c>
      <c r="AE954" s="5">
        <v>0</v>
      </c>
      <c r="AF954" s="5">
        <v>1</v>
      </c>
      <c r="AG954" s="5">
        <v>0</v>
      </c>
      <c r="AH954" s="5">
        <v>1</v>
      </c>
      <c r="AI954" s="3">
        <f t="shared" si="769"/>
        <v>3.5</v>
      </c>
      <c r="AJ954" s="5">
        <f t="shared" si="728"/>
        <v>0</v>
      </c>
      <c r="AK954" s="5">
        <f t="shared" si="709"/>
        <v>0</v>
      </c>
      <c r="AL954" s="5">
        <f t="shared" si="710"/>
        <v>0</v>
      </c>
      <c r="AM954" s="5">
        <f t="shared" si="729"/>
        <v>0</v>
      </c>
      <c r="AN954" s="5">
        <f t="shared" si="711"/>
        <v>0</v>
      </c>
      <c r="AO954" s="5">
        <f t="shared" si="730"/>
        <v>0</v>
      </c>
      <c r="AP954" s="11" t="s">
        <v>42</v>
      </c>
      <c r="AQ954" s="11">
        <v>1.4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1</v>
      </c>
      <c r="AY954" s="1">
        <f t="shared" si="770"/>
        <v>0</v>
      </c>
      <c r="AZ954" s="1">
        <f t="shared" si="771"/>
        <v>0</v>
      </c>
      <c r="BA954" s="1">
        <f t="shared" si="772"/>
        <v>0</v>
      </c>
      <c r="BB954" s="5">
        <v>0</v>
      </c>
      <c r="BC954" s="5">
        <v>0</v>
      </c>
      <c r="BD954" s="5">
        <v>0</v>
      </c>
      <c r="BE954" s="5">
        <f t="shared" si="773"/>
        <v>1</v>
      </c>
      <c r="BF954" s="5">
        <v>1</v>
      </c>
      <c r="BG954" s="5">
        <f t="shared" si="774"/>
        <v>0</v>
      </c>
      <c r="BH954" s="5">
        <f t="shared" si="774"/>
        <v>0</v>
      </c>
      <c r="BI954" s="5">
        <f t="shared" si="774"/>
        <v>0</v>
      </c>
      <c r="BJ954" s="5">
        <f t="shared" si="774"/>
        <v>0</v>
      </c>
      <c r="BK954" s="5">
        <f t="shared" si="774"/>
        <v>0</v>
      </c>
      <c r="BL954" s="5">
        <f t="shared" si="774"/>
        <v>0</v>
      </c>
      <c r="BM954" s="5">
        <f t="shared" si="774"/>
        <v>0</v>
      </c>
      <c r="BN954" s="5">
        <f t="shared" si="774"/>
        <v>0</v>
      </c>
      <c r="BO954" s="5">
        <f t="shared" si="766"/>
        <v>0</v>
      </c>
      <c r="BP954" s="5">
        <f t="shared" si="766"/>
        <v>0</v>
      </c>
      <c r="BQ954" s="5">
        <f t="shared" si="766"/>
        <v>0</v>
      </c>
      <c r="BR954" s="5">
        <f t="shared" si="766"/>
        <v>0</v>
      </c>
      <c r="BS954" s="5">
        <f t="shared" si="766"/>
        <v>0</v>
      </c>
      <c r="BT954" s="5">
        <f t="shared" si="766"/>
        <v>0</v>
      </c>
      <c r="BU954" s="5">
        <f t="shared" si="766"/>
        <v>0</v>
      </c>
      <c r="BV954" s="5">
        <f t="shared" si="766"/>
        <v>0</v>
      </c>
      <c r="BW954" s="5">
        <f t="shared" si="766"/>
        <v>0</v>
      </c>
      <c r="BX954" s="5">
        <f t="shared" si="766"/>
        <v>0</v>
      </c>
      <c r="BY954" s="5">
        <f t="shared" si="766"/>
        <v>0</v>
      </c>
      <c r="BZ954" s="5">
        <f t="shared" si="766"/>
        <v>0</v>
      </c>
      <c r="CA954" s="5">
        <f t="shared" si="766"/>
        <v>0</v>
      </c>
      <c r="CB954" s="5">
        <f t="shared" si="766"/>
        <v>0</v>
      </c>
      <c r="CC954" s="5">
        <f t="shared" si="743"/>
        <v>0</v>
      </c>
      <c r="CD954" s="5">
        <f t="shared" si="743"/>
        <v>0</v>
      </c>
      <c r="CE954" s="5">
        <f t="shared" si="743"/>
        <v>1</v>
      </c>
    </row>
    <row r="955" spans="1:83" x14ac:dyDescent="0.2">
      <c r="A955" s="11"/>
      <c r="B955" s="11"/>
      <c r="C955" s="1">
        <f>Growth!D960</f>
        <v>5.8823529411764705E-2</v>
      </c>
      <c r="D955" s="5" t="b">
        <f t="shared" si="767"/>
        <v>0</v>
      </c>
      <c r="E955" s="5">
        <v>2015</v>
      </c>
      <c r="F955" s="5">
        <f ca="1">LOOKUP($E955,frequence!$A$2:$A$35,frequence!L$2:L$35)</f>
        <v>59.915964498406019</v>
      </c>
      <c r="G955" s="5">
        <f ca="1">LOOKUP($E955,frequence!$A$2:$A$35,frequence!K$2:K$35)</f>
        <v>12.697082100333608</v>
      </c>
      <c r="H955" s="5">
        <f ca="1">LOOKUP($E955,frequence!$A$2:$A$35,frequence!M$2:M$35)</f>
        <v>262.07305844619424</v>
      </c>
      <c r="I955" s="16">
        <v>2010</v>
      </c>
      <c r="J955" s="7">
        <f>LOOKUP(I955,CPI!A$69:A$103,CPI!O$69:O$103)</f>
        <v>1</v>
      </c>
      <c r="K955" s="16">
        <v>2010</v>
      </c>
      <c r="L955" s="7">
        <f t="shared" ca="1" si="708"/>
        <v>1</v>
      </c>
      <c r="M955" s="7">
        <f t="shared" si="775"/>
        <v>0.3235294117647059</v>
      </c>
      <c r="N955" s="14">
        <f t="shared" si="777"/>
        <v>5.8823529411764705E-2</v>
      </c>
      <c r="O955" s="1">
        <f ca="1">P955*J955*(1+Growth!G$6)^(2010-K955)</f>
        <v>99</v>
      </c>
      <c r="P955" s="22">
        <f>27*44/12</f>
        <v>99</v>
      </c>
      <c r="Q955" s="2">
        <f t="shared" si="776"/>
        <v>99</v>
      </c>
      <c r="R955" s="21">
        <f t="shared" ca="1" si="755"/>
        <v>9801</v>
      </c>
      <c r="U955" s="11"/>
      <c r="V955" s="11"/>
      <c r="W955" s="11"/>
      <c r="X955" s="11"/>
      <c r="Y955" s="11"/>
      <c r="Z955" s="11"/>
      <c r="AA955" s="11"/>
      <c r="AB955" s="11"/>
      <c r="AC955" s="1">
        <f t="shared" si="768"/>
        <v>5.5</v>
      </c>
      <c r="AD955" s="5">
        <v>0</v>
      </c>
      <c r="AE955" s="5">
        <v>0</v>
      </c>
      <c r="AF955" s="5">
        <v>1</v>
      </c>
      <c r="AG955" s="5">
        <v>0</v>
      </c>
      <c r="AH955" s="5">
        <v>1</v>
      </c>
      <c r="AI955" s="3">
        <f t="shared" si="769"/>
        <v>3.5</v>
      </c>
      <c r="AJ955" s="5">
        <f t="shared" si="728"/>
        <v>0</v>
      </c>
      <c r="AK955" s="5">
        <f t="shared" si="709"/>
        <v>0</v>
      </c>
      <c r="AL955" s="5">
        <f t="shared" si="710"/>
        <v>0</v>
      </c>
      <c r="AM955" s="5">
        <f t="shared" si="729"/>
        <v>0</v>
      </c>
      <c r="AN955" s="5">
        <f t="shared" si="711"/>
        <v>0</v>
      </c>
      <c r="AO955" s="5">
        <f t="shared" si="730"/>
        <v>0</v>
      </c>
      <c r="AP955" s="11" t="s">
        <v>42</v>
      </c>
      <c r="AQ955" s="11">
        <v>1.4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1</v>
      </c>
      <c r="AY955" s="1">
        <f t="shared" si="770"/>
        <v>0</v>
      </c>
      <c r="AZ955" s="1">
        <f t="shared" si="771"/>
        <v>0</v>
      </c>
      <c r="BA955" s="1">
        <f t="shared" si="772"/>
        <v>0</v>
      </c>
      <c r="BB955" s="5">
        <v>0</v>
      </c>
      <c r="BC955" s="5">
        <v>0</v>
      </c>
      <c r="BD955" s="5">
        <v>0</v>
      </c>
      <c r="BE955" s="5">
        <f t="shared" si="773"/>
        <v>1</v>
      </c>
      <c r="BF955" s="5">
        <v>1</v>
      </c>
      <c r="BG955" s="5">
        <f t="shared" si="774"/>
        <v>0</v>
      </c>
      <c r="BH955" s="5">
        <f t="shared" si="774"/>
        <v>0</v>
      </c>
      <c r="BI955" s="5">
        <f t="shared" si="774"/>
        <v>0</v>
      </c>
      <c r="BJ955" s="5">
        <f t="shared" si="774"/>
        <v>0</v>
      </c>
      <c r="BK955" s="5">
        <f t="shared" si="774"/>
        <v>0</v>
      </c>
      <c r="BL955" s="5">
        <f t="shared" si="774"/>
        <v>0</v>
      </c>
      <c r="BM955" s="5">
        <f t="shared" si="774"/>
        <v>0</v>
      </c>
      <c r="BN955" s="5">
        <f t="shared" si="774"/>
        <v>0</v>
      </c>
      <c r="BO955" s="5">
        <f t="shared" si="766"/>
        <v>0</v>
      </c>
      <c r="BP955" s="5">
        <f t="shared" si="766"/>
        <v>0</v>
      </c>
      <c r="BQ955" s="5">
        <f t="shared" si="766"/>
        <v>0</v>
      </c>
      <c r="BR955" s="5">
        <f t="shared" si="766"/>
        <v>0</v>
      </c>
      <c r="BS955" s="5">
        <f t="shared" si="766"/>
        <v>0</v>
      </c>
      <c r="BT955" s="5">
        <f t="shared" si="766"/>
        <v>0</v>
      </c>
      <c r="BU955" s="5">
        <f t="shared" si="766"/>
        <v>0</v>
      </c>
      <c r="BV955" s="5">
        <f t="shared" si="766"/>
        <v>0</v>
      </c>
      <c r="BW955" s="5">
        <f t="shared" si="766"/>
        <v>0</v>
      </c>
      <c r="BX955" s="5">
        <f t="shared" si="766"/>
        <v>0</v>
      </c>
      <c r="BY955" s="5">
        <f t="shared" si="766"/>
        <v>0</v>
      </c>
      <c r="BZ955" s="5">
        <f t="shared" si="766"/>
        <v>0</v>
      </c>
      <c r="CA955" s="5">
        <f t="shared" si="766"/>
        <v>0</v>
      </c>
      <c r="CB955" s="5">
        <f t="shared" si="766"/>
        <v>0</v>
      </c>
      <c r="CC955" s="5">
        <f t="shared" si="766"/>
        <v>0</v>
      </c>
      <c r="CD955" s="5">
        <f t="shared" ref="CD955:CE974" si="778">IF($E955=CD$2,1,0)</f>
        <v>0</v>
      </c>
      <c r="CE955" s="5">
        <f t="shared" si="778"/>
        <v>1</v>
      </c>
    </row>
    <row r="956" spans="1:83" x14ac:dyDescent="0.2">
      <c r="A956" s="11"/>
      <c r="B956" s="11"/>
      <c r="C956" s="1">
        <f>Growth!D961</f>
        <v>5.8823529411764705E-2</v>
      </c>
      <c r="D956" s="5" t="b">
        <f t="shared" si="767"/>
        <v>0</v>
      </c>
      <c r="E956" s="5">
        <v>2015</v>
      </c>
      <c r="F956" s="5">
        <f ca="1">LOOKUP($E956,frequence!$A$2:$A$35,frequence!L$2:L$35)</f>
        <v>59.915964498406019</v>
      </c>
      <c r="G956" s="5">
        <f ca="1">LOOKUP($E956,frequence!$A$2:$A$35,frequence!K$2:K$35)</f>
        <v>12.697082100333608</v>
      </c>
      <c r="H956" s="5">
        <f ca="1">LOOKUP($E956,frequence!$A$2:$A$35,frequence!M$2:M$35)</f>
        <v>262.07305844619424</v>
      </c>
      <c r="I956" s="16">
        <v>2010</v>
      </c>
      <c r="J956" s="7">
        <f>LOOKUP(I956,CPI!A$69:A$103,CPI!O$69:O$103)</f>
        <v>1</v>
      </c>
      <c r="K956" s="16">
        <v>2010</v>
      </c>
      <c r="L956" s="7">
        <f t="shared" ca="1" si="708"/>
        <v>1</v>
      </c>
      <c r="M956" s="7">
        <f t="shared" si="775"/>
        <v>0.3235294117647059</v>
      </c>
      <c r="N956" s="14">
        <f t="shared" si="777"/>
        <v>5.8823529411764705E-2</v>
      </c>
      <c r="O956" s="1">
        <f ca="1">P956*J956*(1+Growth!G$6)^(2010-K956)</f>
        <v>62.333333333333336</v>
      </c>
      <c r="P956" s="22">
        <f>17*44/12</f>
        <v>62.333333333333336</v>
      </c>
      <c r="Q956" s="2">
        <f t="shared" si="776"/>
        <v>62.333333333333336</v>
      </c>
      <c r="R956" s="21">
        <f t="shared" ca="1" si="755"/>
        <v>3885.4444444444448</v>
      </c>
      <c r="U956" s="11"/>
      <c r="V956" s="11"/>
      <c r="W956" s="11"/>
      <c r="X956" s="11"/>
      <c r="Y956" s="11"/>
      <c r="Z956" s="11"/>
      <c r="AA956" s="11"/>
      <c r="AB956" s="11"/>
      <c r="AC956" s="1">
        <f t="shared" si="768"/>
        <v>5.5</v>
      </c>
      <c r="AD956" s="5">
        <v>0</v>
      </c>
      <c r="AE956" s="5">
        <v>0</v>
      </c>
      <c r="AF956" s="5">
        <v>1</v>
      </c>
      <c r="AG956" s="5">
        <v>0</v>
      </c>
      <c r="AH956" s="5">
        <v>1</v>
      </c>
      <c r="AI956" s="3">
        <f t="shared" si="769"/>
        <v>3.5</v>
      </c>
      <c r="AJ956" s="5">
        <f t="shared" si="728"/>
        <v>0</v>
      </c>
      <c r="AK956" s="5">
        <f t="shared" si="709"/>
        <v>0</v>
      </c>
      <c r="AL956" s="5">
        <f t="shared" si="710"/>
        <v>0</v>
      </c>
      <c r="AM956" s="5">
        <f t="shared" si="729"/>
        <v>0</v>
      </c>
      <c r="AN956" s="5">
        <f t="shared" si="711"/>
        <v>0</v>
      </c>
      <c r="AO956" s="5">
        <f t="shared" si="730"/>
        <v>0</v>
      </c>
      <c r="AP956" s="11" t="s">
        <v>42</v>
      </c>
      <c r="AQ956" s="11">
        <v>1.4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1</v>
      </c>
      <c r="AY956" s="1">
        <f t="shared" si="770"/>
        <v>0</v>
      </c>
      <c r="AZ956" s="1">
        <f t="shared" si="771"/>
        <v>0</v>
      </c>
      <c r="BA956" s="1">
        <f t="shared" si="772"/>
        <v>0</v>
      </c>
      <c r="BB956" s="5">
        <v>0</v>
      </c>
      <c r="BC956" s="5">
        <v>0</v>
      </c>
      <c r="BD956" s="5">
        <v>0</v>
      </c>
      <c r="BE956" s="5">
        <f t="shared" si="773"/>
        <v>1</v>
      </c>
      <c r="BF956" s="5">
        <v>1</v>
      </c>
      <c r="BG956" s="5">
        <f t="shared" si="774"/>
        <v>0</v>
      </c>
      <c r="BH956" s="5">
        <f t="shared" si="774"/>
        <v>0</v>
      </c>
      <c r="BI956" s="5">
        <f t="shared" si="774"/>
        <v>0</v>
      </c>
      <c r="BJ956" s="5">
        <f t="shared" si="774"/>
        <v>0</v>
      </c>
      <c r="BK956" s="5">
        <f t="shared" si="774"/>
        <v>0</v>
      </c>
      <c r="BL956" s="5">
        <f t="shared" si="774"/>
        <v>0</v>
      </c>
      <c r="BM956" s="5">
        <f t="shared" si="774"/>
        <v>0</v>
      </c>
      <c r="BN956" s="5">
        <f t="shared" si="774"/>
        <v>0</v>
      </c>
      <c r="BO956" s="5">
        <f t="shared" si="766"/>
        <v>0</v>
      </c>
      <c r="BP956" s="5">
        <f t="shared" si="766"/>
        <v>0</v>
      </c>
      <c r="BQ956" s="5">
        <f t="shared" si="766"/>
        <v>0</v>
      </c>
      <c r="BR956" s="5">
        <f t="shared" si="766"/>
        <v>0</v>
      </c>
      <c r="BS956" s="5">
        <f t="shared" si="766"/>
        <v>0</v>
      </c>
      <c r="BT956" s="5">
        <f t="shared" si="766"/>
        <v>0</v>
      </c>
      <c r="BU956" s="5">
        <f t="shared" si="766"/>
        <v>0</v>
      </c>
      <c r="BV956" s="5">
        <f t="shared" si="766"/>
        <v>0</v>
      </c>
      <c r="BW956" s="5">
        <f t="shared" si="766"/>
        <v>0</v>
      </c>
      <c r="BX956" s="5">
        <f t="shared" si="766"/>
        <v>0</v>
      </c>
      <c r="BY956" s="5">
        <f t="shared" si="766"/>
        <v>0</v>
      </c>
      <c r="BZ956" s="5">
        <f t="shared" si="766"/>
        <v>0</v>
      </c>
      <c r="CA956" s="5">
        <f t="shared" si="766"/>
        <v>0</v>
      </c>
      <c r="CB956" s="5">
        <f t="shared" si="766"/>
        <v>0</v>
      </c>
      <c r="CC956" s="5">
        <f t="shared" si="766"/>
        <v>0</v>
      </c>
      <c r="CD956" s="5">
        <f t="shared" si="778"/>
        <v>0</v>
      </c>
      <c r="CE956" s="5">
        <f t="shared" si="778"/>
        <v>1</v>
      </c>
    </row>
    <row r="957" spans="1:83" x14ac:dyDescent="0.2">
      <c r="A957" s="11"/>
      <c r="B957" s="11"/>
      <c r="C957" s="1">
        <f>Growth!D962</f>
        <v>5.8823529411764705E-2</v>
      </c>
      <c r="D957" s="5" t="b">
        <f t="shared" si="767"/>
        <v>0</v>
      </c>
      <c r="E957" s="5">
        <v>2015</v>
      </c>
      <c r="F957" s="5">
        <f ca="1">LOOKUP($E957,frequence!$A$2:$A$35,frequence!L$2:L$35)</f>
        <v>59.915964498406019</v>
      </c>
      <c r="G957" s="5">
        <f ca="1">LOOKUP($E957,frequence!$A$2:$A$35,frequence!K$2:K$35)</f>
        <v>12.697082100333608</v>
      </c>
      <c r="H957" s="5">
        <f ca="1">LOOKUP($E957,frequence!$A$2:$A$35,frequence!M$2:M$35)</f>
        <v>262.07305844619424</v>
      </c>
      <c r="I957" s="16">
        <v>2010</v>
      </c>
      <c r="J957" s="7">
        <f>LOOKUP(I957,CPI!A$69:A$103,CPI!O$69:O$103)</f>
        <v>1</v>
      </c>
      <c r="K957" s="16">
        <v>2010</v>
      </c>
      <c r="L957" s="7">
        <f t="shared" ca="1" si="708"/>
        <v>1</v>
      </c>
      <c r="M957" s="7">
        <f t="shared" si="775"/>
        <v>0.3235294117647059</v>
      </c>
      <c r="N957" s="14">
        <f t="shared" si="777"/>
        <v>5.8823529411764705E-2</v>
      </c>
      <c r="O957" s="1">
        <f ca="1">P957*J957*(1+Growth!G$6)^(2010-K957)</f>
        <v>97.166666666666671</v>
      </c>
      <c r="P957" s="22">
        <f>26.5*44/12</f>
        <v>97.166666666666671</v>
      </c>
      <c r="Q957" s="2">
        <f t="shared" ref="Q957:Q958" si="779">P957</f>
        <v>97.166666666666671</v>
      </c>
      <c r="R957" s="21">
        <f t="shared" ca="1" si="755"/>
        <v>9441.3611111111113</v>
      </c>
      <c r="U957" s="11"/>
      <c r="V957" s="11"/>
      <c r="W957" s="11"/>
      <c r="X957" s="11"/>
      <c r="Y957" s="11"/>
      <c r="Z957" s="11"/>
      <c r="AA957" s="11"/>
      <c r="AB957" s="11"/>
      <c r="AC957" s="1">
        <f t="shared" si="768"/>
        <v>5.5</v>
      </c>
      <c r="AD957" s="5">
        <v>0</v>
      </c>
      <c r="AE957" s="5">
        <v>0</v>
      </c>
      <c r="AF957" s="5">
        <v>1</v>
      </c>
      <c r="AG957" s="5">
        <v>0</v>
      </c>
      <c r="AH957" s="5">
        <v>1</v>
      </c>
      <c r="AI957" s="3">
        <f t="shared" si="769"/>
        <v>3.5</v>
      </c>
      <c r="AJ957" s="5">
        <f t="shared" si="728"/>
        <v>0</v>
      </c>
      <c r="AK957" s="5">
        <f t="shared" si="709"/>
        <v>0</v>
      </c>
      <c r="AL957" s="5">
        <f t="shared" si="710"/>
        <v>0</v>
      </c>
      <c r="AM957" s="5">
        <f t="shared" si="729"/>
        <v>0</v>
      </c>
      <c r="AN957" s="5">
        <f t="shared" si="711"/>
        <v>0</v>
      </c>
      <c r="AO957" s="5">
        <f t="shared" si="730"/>
        <v>0</v>
      </c>
      <c r="AP957" s="11" t="s">
        <v>42</v>
      </c>
      <c r="AQ957" s="11">
        <v>1.4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1</v>
      </c>
      <c r="AY957" s="1">
        <f t="shared" si="770"/>
        <v>0</v>
      </c>
      <c r="AZ957" s="1">
        <f t="shared" si="771"/>
        <v>0</v>
      </c>
      <c r="BA957" s="1">
        <f t="shared" si="772"/>
        <v>0</v>
      </c>
      <c r="BB957" s="5">
        <v>0</v>
      </c>
      <c r="BC957" s="5">
        <v>0</v>
      </c>
      <c r="BD957" s="5">
        <v>0</v>
      </c>
      <c r="BE957" s="5">
        <f t="shared" si="773"/>
        <v>1</v>
      </c>
      <c r="BF957" s="5">
        <v>1</v>
      </c>
      <c r="BG957" s="5">
        <f t="shared" si="774"/>
        <v>0</v>
      </c>
      <c r="BH957" s="5">
        <f t="shared" si="774"/>
        <v>0</v>
      </c>
      <c r="BI957" s="5">
        <f t="shared" si="774"/>
        <v>0</v>
      </c>
      <c r="BJ957" s="5">
        <f t="shared" si="774"/>
        <v>0</v>
      </c>
      <c r="BK957" s="5">
        <f t="shared" si="774"/>
        <v>0</v>
      </c>
      <c r="BL957" s="5">
        <f t="shared" si="774"/>
        <v>0</v>
      </c>
      <c r="BM957" s="5">
        <f t="shared" si="774"/>
        <v>0</v>
      </c>
      <c r="BN957" s="5">
        <f t="shared" si="774"/>
        <v>0</v>
      </c>
      <c r="BO957" s="5">
        <f t="shared" si="766"/>
        <v>0</v>
      </c>
      <c r="BP957" s="5">
        <f t="shared" si="766"/>
        <v>0</v>
      </c>
      <c r="BQ957" s="5">
        <f t="shared" si="766"/>
        <v>0</v>
      </c>
      <c r="BR957" s="5">
        <f t="shared" si="766"/>
        <v>0</v>
      </c>
      <c r="BS957" s="5">
        <f t="shared" si="766"/>
        <v>0</v>
      </c>
      <c r="BT957" s="5">
        <f t="shared" si="766"/>
        <v>0</v>
      </c>
      <c r="BU957" s="5">
        <f t="shared" si="766"/>
        <v>0</v>
      </c>
      <c r="BV957" s="5">
        <f t="shared" si="766"/>
        <v>0</v>
      </c>
      <c r="BW957" s="5">
        <f t="shared" si="766"/>
        <v>0</v>
      </c>
      <c r="BX957" s="5">
        <f t="shared" si="766"/>
        <v>0</v>
      </c>
      <c r="BY957" s="5">
        <f t="shared" si="766"/>
        <v>0</v>
      </c>
      <c r="BZ957" s="5">
        <f t="shared" si="766"/>
        <v>0</v>
      </c>
      <c r="CA957" s="5">
        <f t="shared" si="766"/>
        <v>0</v>
      </c>
      <c r="CB957" s="5">
        <f t="shared" si="766"/>
        <v>0</v>
      </c>
      <c r="CC957" s="5">
        <f t="shared" si="766"/>
        <v>0</v>
      </c>
      <c r="CD957" s="5">
        <f t="shared" si="778"/>
        <v>0</v>
      </c>
      <c r="CE957" s="5">
        <f t="shared" si="778"/>
        <v>1</v>
      </c>
    </row>
    <row r="958" spans="1:83" x14ac:dyDescent="0.2">
      <c r="A958" s="11"/>
      <c r="B958" s="11"/>
      <c r="C958" s="1">
        <f>Growth!D963</f>
        <v>5.8823529411764705E-2</v>
      </c>
      <c r="D958" s="5" t="b">
        <f t="shared" si="767"/>
        <v>0</v>
      </c>
      <c r="E958" s="5">
        <v>2015</v>
      </c>
      <c r="F958" s="5">
        <f ca="1">LOOKUP($E958,frequence!$A$2:$A$35,frequence!L$2:L$35)</f>
        <v>59.915964498406019</v>
      </c>
      <c r="G958" s="5">
        <f ca="1">LOOKUP($E958,frequence!$A$2:$A$35,frequence!K$2:K$35)</f>
        <v>12.697082100333608</v>
      </c>
      <c r="H958" s="5">
        <f ca="1">LOOKUP($E958,frequence!$A$2:$A$35,frequence!M$2:M$35)</f>
        <v>262.07305844619424</v>
      </c>
      <c r="I958" s="16">
        <v>2010</v>
      </c>
      <c r="J958" s="7">
        <f>LOOKUP(I958,CPI!A$69:A$103,CPI!O$69:O$103)</f>
        <v>1</v>
      </c>
      <c r="K958" s="16">
        <v>2010</v>
      </c>
      <c r="L958" s="7">
        <f t="shared" ca="1" si="708"/>
        <v>1</v>
      </c>
      <c r="M958" s="7">
        <f t="shared" si="775"/>
        <v>0.3235294117647059</v>
      </c>
      <c r="N958" s="14">
        <f t="shared" si="777"/>
        <v>5.8823529411764705E-2</v>
      </c>
      <c r="O958" s="1">
        <f ca="1">P958*J958*(1+Growth!G$6)^(2010-K958)</f>
        <v>110</v>
      </c>
      <c r="P958" s="22">
        <f>30*44/12</f>
        <v>110</v>
      </c>
      <c r="Q958" s="2">
        <f t="shared" si="779"/>
        <v>110</v>
      </c>
      <c r="R958" s="21">
        <f t="shared" ca="1" si="755"/>
        <v>12100</v>
      </c>
      <c r="U958" s="11"/>
      <c r="V958" s="11"/>
      <c r="W958" s="11"/>
      <c r="X958" s="11"/>
      <c r="Y958" s="11"/>
      <c r="Z958" s="11"/>
      <c r="AA958" s="11"/>
      <c r="AB958" s="11"/>
      <c r="AC958" s="1">
        <f t="shared" si="768"/>
        <v>5.5</v>
      </c>
      <c r="AD958" s="5">
        <v>0</v>
      </c>
      <c r="AE958" s="5">
        <v>0</v>
      </c>
      <c r="AF958" s="5">
        <v>1</v>
      </c>
      <c r="AG958" s="5">
        <v>0</v>
      </c>
      <c r="AH958" s="5">
        <v>1</v>
      </c>
      <c r="AI958" s="3">
        <f t="shared" si="769"/>
        <v>3.5</v>
      </c>
      <c r="AJ958" s="5">
        <f t="shared" si="728"/>
        <v>0</v>
      </c>
      <c r="AK958" s="5">
        <f t="shared" si="709"/>
        <v>0</v>
      </c>
      <c r="AL958" s="5">
        <f t="shared" si="710"/>
        <v>0</v>
      </c>
      <c r="AM958" s="5">
        <f t="shared" si="729"/>
        <v>0</v>
      </c>
      <c r="AN958" s="5">
        <f t="shared" si="711"/>
        <v>0</v>
      </c>
      <c r="AO958" s="5">
        <f t="shared" si="730"/>
        <v>0</v>
      </c>
      <c r="AP958" s="11" t="s">
        <v>42</v>
      </c>
      <c r="AQ958" s="11">
        <v>1.4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1</v>
      </c>
      <c r="AY958" s="1">
        <f t="shared" si="770"/>
        <v>0</v>
      </c>
      <c r="AZ958" s="1">
        <f t="shared" si="771"/>
        <v>0</v>
      </c>
      <c r="BA958" s="1">
        <f t="shared" si="772"/>
        <v>0</v>
      </c>
      <c r="BB958" s="5">
        <v>0</v>
      </c>
      <c r="BC958" s="5">
        <v>0</v>
      </c>
      <c r="BD958" s="5">
        <v>0</v>
      </c>
      <c r="BE958" s="5">
        <f t="shared" si="773"/>
        <v>1</v>
      </c>
      <c r="BF958" s="5">
        <v>1</v>
      </c>
      <c r="BG958" s="5">
        <f t="shared" si="774"/>
        <v>0</v>
      </c>
      <c r="BH958" s="5">
        <f t="shared" si="774"/>
        <v>0</v>
      </c>
      <c r="BI958" s="5">
        <f t="shared" si="774"/>
        <v>0</v>
      </c>
      <c r="BJ958" s="5">
        <f t="shared" si="774"/>
        <v>0</v>
      </c>
      <c r="BK958" s="5">
        <f t="shared" si="774"/>
        <v>0</v>
      </c>
      <c r="BL958" s="5">
        <f t="shared" si="774"/>
        <v>0</v>
      </c>
      <c r="BM958" s="5">
        <f t="shared" si="774"/>
        <v>0</v>
      </c>
      <c r="BN958" s="5">
        <f t="shared" si="774"/>
        <v>0</v>
      </c>
      <c r="BO958" s="5">
        <f t="shared" si="766"/>
        <v>0</v>
      </c>
      <c r="BP958" s="5">
        <f t="shared" si="766"/>
        <v>0</v>
      </c>
      <c r="BQ958" s="5">
        <f t="shared" si="766"/>
        <v>0</v>
      </c>
      <c r="BR958" s="5">
        <f t="shared" si="766"/>
        <v>0</v>
      </c>
      <c r="BS958" s="5">
        <f t="shared" si="766"/>
        <v>0</v>
      </c>
      <c r="BT958" s="5">
        <f t="shared" si="766"/>
        <v>0</v>
      </c>
      <c r="BU958" s="5">
        <f t="shared" si="766"/>
        <v>0</v>
      </c>
      <c r="BV958" s="5">
        <f t="shared" si="766"/>
        <v>0</v>
      </c>
      <c r="BW958" s="5">
        <f t="shared" si="766"/>
        <v>0</v>
      </c>
      <c r="BX958" s="5">
        <f t="shared" si="766"/>
        <v>0</v>
      </c>
      <c r="BY958" s="5">
        <f t="shared" si="766"/>
        <v>0</v>
      </c>
      <c r="BZ958" s="5">
        <f t="shared" si="766"/>
        <v>0</v>
      </c>
      <c r="CA958" s="5">
        <f t="shared" si="766"/>
        <v>0</v>
      </c>
      <c r="CB958" s="5">
        <f t="shared" si="766"/>
        <v>0</v>
      </c>
      <c r="CC958" s="5">
        <f t="shared" si="766"/>
        <v>0</v>
      </c>
      <c r="CD958" s="5">
        <f t="shared" si="778"/>
        <v>0</v>
      </c>
      <c r="CE958" s="5">
        <f t="shared" si="778"/>
        <v>1</v>
      </c>
    </row>
    <row r="959" spans="1:83" x14ac:dyDescent="0.2">
      <c r="A959" s="11"/>
      <c r="B959" s="11"/>
      <c r="C959" s="1">
        <f>Growth!D964</f>
        <v>5.8823529411764705E-2</v>
      </c>
      <c r="D959" s="5" t="b">
        <f t="shared" si="767"/>
        <v>0</v>
      </c>
      <c r="E959" s="5">
        <v>2015</v>
      </c>
      <c r="F959" s="5">
        <f ca="1">LOOKUP($E959,frequence!$A$2:$A$35,frequence!L$2:L$35)</f>
        <v>59.915964498406019</v>
      </c>
      <c r="G959" s="5">
        <f ca="1">LOOKUP($E959,frequence!$A$2:$A$35,frequence!K$2:K$35)</f>
        <v>12.697082100333608</v>
      </c>
      <c r="H959" s="5">
        <f ca="1">LOOKUP($E959,frequence!$A$2:$A$35,frequence!M$2:M$35)</f>
        <v>262.07305844619424</v>
      </c>
      <c r="I959" s="16">
        <v>2010</v>
      </c>
      <c r="J959" s="7">
        <f>LOOKUP(I959,CPI!A$69:A$103,CPI!O$69:O$103)</f>
        <v>1</v>
      </c>
      <c r="K959" s="16">
        <v>2010</v>
      </c>
      <c r="L959" s="7">
        <f t="shared" ca="1" si="708"/>
        <v>1</v>
      </c>
      <c r="M959" s="7">
        <f t="shared" si="775"/>
        <v>0.3235294117647059</v>
      </c>
      <c r="N959" s="14">
        <f t="shared" si="777"/>
        <v>5.8823529411764705E-2</v>
      </c>
      <c r="O959" s="1">
        <f ca="1">P959*J959*(1+Growth!G$6)^(2010-K959)</f>
        <v>146.66666666666666</v>
      </c>
      <c r="P959" s="22">
        <f>40*44/12</f>
        <v>146.66666666666666</v>
      </c>
      <c r="Q959" s="2">
        <f t="shared" ref="Q959" si="780">P959</f>
        <v>146.66666666666666</v>
      </c>
      <c r="R959" s="21">
        <f t="shared" ca="1" si="755"/>
        <v>21511.111111111109</v>
      </c>
      <c r="U959" s="11"/>
      <c r="V959" s="11"/>
      <c r="W959" s="11"/>
      <c r="X959" s="11"/>
      <c r="Y959" s="11"/>
      <c r="Z959" s="11"/>
      <c r="AA959" s="11"/>
      <c r="AB959" s="11"/>
      <c r="AC959" s="1">
        <f t="shared" si="768"/>
        <v>5.5</v>
      </c>
      <c r="AD959" s="5">
        <v>0</v>
      </c>
      <c r="AE959" s="5">
        <v>0</v>
      </c>
      <c r="AF959" s="5">
        <v>1</v>
      </c>
      <c r="AG959" s="5">
        <v>0</v>
      </c>
      <c r="AH959" s="5">
        <v>1</v>
      </c>
      <c r="AI959" s="3">
        <f t="shared" si="769"/>
        <v>3.5</v>
      </c>
      <c r="AJ959" s="5">
        <f t="shared" si="728"/>
        <v>0</v>
      </c>
      <c r="AK959" s="5">
        <f t="shared" si="709"/>
        <v>0</v>
      </c>
      <c r="AL959" s="5">
        <f t="shared" si="710"/>
        <v>0</v>
      </c>
      <c r="AM959" s="5">
        <f t="shared" si="729"/>
        <v>0</v>
      </c>
      <c r="AN959" s="5">
        <f t="shared" si="711"/>
        <v>0</v>
      </c>
      <c r="AO959" s="5">
        <f t="shared" si="730"/>
        <v>0</v>
      </c>
      <c r="AP959" s="11" t="s">
        <v>42</v>
      </c>
      <c r="AQ959" s="11">
        <v>1.4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1</v>
      </c>
      <c r="AY959" s="1">
        <f t="shared" si="770"/>
        <v>0</v>
      </c>
      <c r="AZ959" s="1">
        <f t="shared" si="771"/>
        <v>0</v>
      </c>
      <c r="BA959" s="1">
        <f t="shared" si="772"/>
        <v>0</v>
      </c>
      <c r="BB959" s="5">
        <v>0</v>
      </c>
      <c r="BC959" s="5">
        <v>0</v>
      </c>
      <c r="BD959" s="5">
        <v>0</v>
      </c>
      <c r="BE959" s="5">
        <f t="shared" si="773"/>
        <v>1</v>
      </c>
      <c r="BF959" s="5">
        <v>1</v>
      </c>
      <c r="BG959" s="5">
        <f t="shared" si="774"/>
        <v>0</v>
      </c>
      <c r="BH959" s="5">
        <f t="shared" si="774"/>
        <v>0</v>
      </c>
      <c r="BI959" s="5">
        <f t="shared" si="774"/>
        <v>0</v>
      </c>
      <c r="BJ959" s="5">
        <f t="shared" si="774"/>
        <v>0</v>
      </c>
      <c r="BK959" s="5">
        <f t="shared" si="774"/>
        <v>0</v>
      </c>
      <c r="BL959" s="5">
        <f t="shared" si="774"/>
        <v>0</v>
      </c>
      <c r="BM959" s="5">
        <f t="shared" si="774"/>
        <v>0</v>
      </c>
      <c r="BN959" s="5">
        <f t="shared" si="774"/>
        <v>0</v>
      </c>
      <c r="BO959" s="5">
        <f t="shared" si="766"/>
        <v>0</v>
      </c>
      <c r="BP959" s="5">
        <f t="shared" si="766"/>
        <v>0</v>
      </c>
      <c r="BQ959" s="5">
        <f t="shared" si="766"/>
        <v>0</v>
      </c>
      <c r="BR959" s="5">
        <f t="shared" si="766"/>
        <v>0</v>
      </c>
      <c r="BS959" s="5">
        <f t="shared" si="766"/>
        <v>0</v>
      </c>
      <c r="BT959" s="5">
        <f t="shared" si="766"/>
        <v>0</v>
      </c>
      <c r="BU959" s="5">
        <f t="shared" si="766"/>
        <v>0</v>
      </c>
      <c r="BV959" s="5">
        <f t="shared" si="766"/>
        <v>0</v>
      </c>
      <c r="BW959" s="5">
        <f t="shared" si="766"/>
        <v>0</v>
      </c>
      <c r="BX959" s="5">
        <f t="shared" si="766"/>
        <v>0</v>
      </c>
      <c r="BY959" s="5">
        <f t="shared" si="766"/>
        <v>0</v>
      </c>
      <c r="BZ959" s="5">
        <f t="shared" si="766"/>
        <v>0</v>
      </c>
      <c r="CA959" s="5">
        <f t="shared" si="766"/>
        <v>0</v>
      </c>
      <c r="CB959" s="5">
        <f t="shared" si="766"/>
        <v>0</v>
      </c>
      <c r="CC959" s="5">
        <f t="shared" si="766"/>
        <v>0</v>
      </c>
      <c r="CD959" s="5">
        <f t="shared" si="778"/>
        <v>0</v>
      </c>
      <c r="CE959" s="5">
        <f t="shared" si="778"/>
        <v>1</v>
      </c>
    </row>
    <row r="960" spans="1:83" x14ac:dyDescent="0.2">
      <c r="A960" s="11" t="s">
        <v>20</v>
      </c>
      <c r="B960" s="11" t="s">
        <v>197</v>
      </c>
      <c r="C960" s="1">
        <f>Growth!D965</f>
        <v>7.1428571428571425E-2</v>
      </c>
      <c r="D960" s="5">
        <f t="shared" si="715"/>
        <v>2014</v>
      </c>
      <c r="E960" s="5">
        <v>2014</v>
      </c>
      <c r="F960" s="5">
        <f ca="1">LOOKUP($E960,frequence!$A$2:$A$35,frequence!L$2:L$35)</f>
        <v>50.75383375536623</v>
      </c>
      <c r="G960" s="5">
        <f ca="1">LOOKUP($E960,frequence!$A$2:$A$35,frequence!K$2:K$35)</f>
        <v>9.9751715831189358</v>
      </c>
      <c r="H960" s="5">
        <f ca="1">LOOKUP($E960,frequence!$A$2:$A$35,frequence!M$2:M$35)</f>
        <v>236.05429056976001</v>
      </c>
      <c r="I960" s="16">
        <v>2005</v>
      </c>
      <c r="J960" s="7">
        <f>LOOKUP(I960,CPI!A$69:A$103,CPI!O$69:O$103)</f>
        <v>1.1165181771633383</v>
      </c>
      <c r="K960" s="16">
        <v>2015</v>
      </c>
      <c r="L960" s="7">
        <f t="shared" ca="1" si="708"/>
        <v>1</v>
      </c>
      <c r="M960" s="7">
        <f t="shared" si="761"/>
        <v>0.45714285714285713</v>
      </c>
      <c r="N960" s="14">
        <f>4/56</f>
        <v>7.1428571428571425E-2</v>
      </c>
      <c r="O960" s="1">
        <f ca="1">P960*J960*(1+Growth!G$6)^(2010-K960)</f>
        <v>70.641050247264843</v>
      </c>
      <c r="P960" s="22">
        <f>18.6*44/12</f>
        <v>68.2</v>
      </c>
      <c r="Q960" s="2">
        <f t="shared" ref="Q960:Q966" si="781">P960</f>
        <v>68.2</v>
      </c>
      <c r="R960" s="21">
        <f t="shared" ref="R960:R966" ca="1" si="782">O960*O960</f>
        <v>4990.1579800365962</v>
      </c>
      <c r="U960" s="11"/>
      <c r="V960" s="11"/>
      <c r="W960" s="11"/>
      <c r="X960" s="11"/>
      <c r="Y960" s="11"/>
      <c r="Z960" s="11"/>
      <c r="AA960" s="11"/>
      <c r="AB960" s="11"/>
      <c r="AC960" s="1">
        <f t="shared" ref="AC960:AC966" si="783">SUM(AD960:AI960)</f>
        <v>6.4</v>
      </c>
      <c r="AD960" s="5">
        <v>1</v>
      </c>
      <c r="AE960" s="5">
        <v>0</v>
      </c>
      <c r="AF960" s="5">
        <v>1</v>
      </c>
      <c r="AG960" s="5">
        <v>0</v>
      </c>
      <c r="AH960" s="5">
        <v>1</v>
      </c>
      <c r="AI960" s="3">
        <f t="shared" ref="AI960:AI966" si="784">(E960-1980)/10</f>
        <v>3.4</v>
      </c>
      <c r="AJ960" s="5">
        <f t="shared" si="728"/>
        <v>0</v>
      </c>
      <c r="AK960" s="5">
        <f t="shared" si="709"/>
        <v>0</v>
      </c>
      <c r="AL960" s="5">
        <f t="shared" si="710"/>
        <v>1</v>
      </c>
      <c r="AM960" s="5">
        <f t="shared" si="729"/>
        <v>0</v>
      </c>
      <c r="AN960" s="5">
        <f t="shared" si="711"/>
        <v>0</v>
      </c>
      <c r="AO960" s="5">
        <f t="shared" si="730"/>
        <v>0</v>
      </c>
      <c r="AP960" s="11" t="s">
        <v>42</v>
      </c>
      <c r="AQ960" s="11">
        <v>1.5</v>
      </c>
      <c r="AR960" s="5">
        <v>0</v>
      </c>
      <c r="AS960" s="5">
        <v>0</v>
      </c>
      <c r="AT960" s="5">
        <v>0</v>
      </c>
      <c r="AU960" s="5">
        <v>0</v>
      </c>
      <c r="AV960" s="5">
        <v>0</v>
      </c>
      <c r="AW960" s="5">
        <v>0</v>
      </c>
      <c r="AX960" s="5">
        <v>1</v>
      </c>
      <c r="AY960" s="1">
        <f t="shared" ref="AY960" si="785">AJ960*$AD960*(1-$AV960)*(1-$AR960)</f>
        <v>0</v>
      </c>
      <c r="AZ960" s="1">
        <f t="shared" ref="AZ960" si="786">AM960*$AD960*(1-$AV960)*(1-$AR960)</f>
        <v>0</v>
      </c>
      <c r="BA960" s="1">
        <f t="shared" ref="BA960" si="787">AO960*$AD960*(1-$AV960)*(1-$AR960)</f>
        <v>0</v>
      </c>
      <c r="BB960" s="5">
        <v>0</v>
      </c>
      <c r="BC960" s="5">
        <v>1</v>
      </c>
      <c r="BD960" s="5">
        <v>0</v>
      </c>
      <c r="BE960" s="5">
        <f t="shared" ref="BE960" si="788">1-SUM(BB960:BD960)</f>
        <v>0</v>
      </c>
      <c r="BF960" s="5">
        <v>0</v>
      </c>
      <c r="BG960" s="5">
        <f t="shared" si="774"/>
        <v>0</v>
      </c>
      <c r="BH960" s="5">
        <f t="shared" si="774"/>
        <v>0</v>
      </c>
      <c r="BI960" s="5">
        <f t="shared" si="774"/>
        <v>0</v>
      </c>
      <c r="BJ960" s="5">
        <f t="shared" si="774"/>
        <v>0</v>
      </c>
      <c r="BK960" s="5">
        <f t="shared" si="774"/>
        <v>0</v>
      </c>
      <c r="BL960" s="5">
        <f t="shared" si="774"/>
        <v>0</v>
      </c>
      <c r="BM960" s="5">
        <f t="shared" si="774"/>
        <v>0</v>
      </c>
      <c r="BN960" s="5">
        <f t="shared" si="774"/>
        <v>0</v>
      </c>
      <c r="BO960" s="5">
        <f t="shared" si="766"/>
        <v>0</v>
      </c>
      <c r="BP960" s="5">
        <f t="shared" si="766"/>
        <v>0</v>
      </c>
      <c r="BQ960" s="5">
        <f t="shared" si="766"/>
        <v>0</v>
      </c>
      <c r="BR960" s="5">
        <f t="shared" si="766"/>
        <v>0</v>
      </c>
      <c r="BS960" s="5">
        <f t="shared" si="766"/>
        <v>0</v>
      </c>
      <c r="BT960" s="5">
        <f t="shared" si="766"/>
        <v>0</v>
      </c>
      <c r="BU960" s="5">
        <f t="shared" si="766"/>
        <v>0</v>
      </c>
      <c r="BV960" s="5">
        <f t="shared" si="766"/>
        <v>0</v>
      </c>
      <c r="BW960" s="5">
        <f t="shared" si="766"/>
        <v>0</v>
      </c>
      <c r="BX960" s="5">
        <f t="shared" si="766"/>
        <v>0</v>
      </c>
      <c r="BY960" s="5">
        <f t="shared" si="766"/>
        <v>0</v>
      </c>
      <c r="BZ960" s="5">
        <f t="shared" si="766"/>
        <v>0</v>
      </c>
      <c r="CA960" s="5">
        <f t="shared" si="766"/>
        <v>0</v>
      </c>
      <c r="CB960" s="5">
        <f t="shared" si="766"/>
        <v>0</v>
      </c>
      <c r="CC960" s="5">
        <f t="shared" si="766"/>
        <v>0</v>
      </c>
      <c r="CD960" s="5">
        <f t="shared" si="778"/>
        <v>1</v>
      </c>
      <c r="CE960" s="5">
        <f t="shared" si="778"/>
        <v>0</v>
      </c>
    </row>
    <row r="961" spans="1:83" x14ac:dyDescent="0.2">
      <c r="A961" s="11"/>
      <c r="B961" s="11"/>
      <c r="C961" s="1">
        <f>Growth!D966</f>
        <v>0.14285714285714285</v>
      </c>
      <c r="D961" s="5" t="b">
        <f t="shared" si="715"/>
        <v>0</v>
      </c>
      <c r="E961" s="5">
        <v>2014</v>
      </c>
      <c r="F961" s="5">
        <f ca="1">LOOKUP($E961,frequence!$A$2:$A$35,frequence!L$2:L$35)</f>
        <v>50.75383375536623</v>
      </c>
      <c r="G961" s="5">
        <f ca="1">LOOKUP($E961,frequence!$A$2:$A$35,frequence!K$2:K$35)</f>
        <v>9.9751715831189358</v>
      </c>
      <c r="H961" s="5">
        <f ca="1">LOOKUP($E961,frequence!$A$2:$A$35,frequence!M$2:M$35)</f>
        <v>236.05429056976001</v>
      </c>
      <c r="I961" s="16">
        <v>2005</v>
      </c>
      <c r="J961" s="7">
        <f>LOOKUP(I961,CPI!A$69:A$103,CPI!O$69:O$103)</f>
        <v>1.1165181771633383</v>
      </c>
      <c r="K961" s="16">
        <v>2015</v>
      </c>
      <c r="L961" s="7">
        <f t="shared" ca="1" si="708"/>
        <v>1</v>
      </c>
      <c r="M961" s="7">
        <f t="shared" si="761"/>
        <v>0.91428571428571426</v>
      </c>
      <c r="N961" s="14">
        <f>8/56</f>
        <v>0.14285714285714285</v>
      </c>
      <c r="O961" s="1">
        <f ca="1">P961*J961*(1+Growth!G$6)^(2010-K961)</f>
        <v>67.222934912719751</v>
      </c>
      <c r="P961" s="22">
        <f>17.7*44/12</f>
        <v>64.899999999999991</v>
      </c>
      <c r="Q961" s="2">
        <f t="shared" si="781"/>
        <v>64.899999999999991</v>
      </c>
      <c r="R961" s="21">
        <f t="shared" ca="1" si="782"/>
        <v>4518.9229782797556</v>
      </c>
      <c r="U961" s="11"/>
      <c r="V961" s="11"/>
      <c r="W961" s="11"/>
      <c r="X961" s="11"/>
      <c r="Y961" s="11"/>
      <c r="Z961" s="11"/>
      <c r="AA961" s="11"/>
      <c r="AB961" s="11"/>
      <c r="AC961" s="1">
        <f t="shared" si="783"/>
        <v>6.4</v>
      </c>
      <c r="AD961" s="5">
        <v>1</v>
      </c>
      <c r="AE961" s="5">
        <v>0</v>
      </c>
      <c r="AF961" s="5">
        <v>1</v>
      </c>
      <c r="AG961" s="5">
        <v>0</v>
      </c>
      <c r="AH961" s="5">
        <v>1</v>
      </c>
      <c r="AI961" s="3">
        <f t="shared" si="784"/>
        <v>3.4</v>
      </c>
      <c r="AJ961" s="5">
        <f t="shared" si="728"/>
        <v>0</v>
      </c>
      <c r="AK961" s="5">
        <f t="shared" si="709"/>
        <v>0</v>
      </c>
      <c r="AL961" s="5">
        <f t="shared" si="710"/>
        <v>1</v>
      </c>
      <c r="AM961" s="5">
        <f t="shared" si="729"/>
        <v>0</v>
      </c>
      <c r="AN961" s="5">
        <f t="shared" si="711"/>
        <v>0</v>
      </c>
      <c r="AO961" s="5">
        <f t="shared" si="730"/>
        <v>0</v>
      </c>
      <c r="AP961" s="11" t="s">
        <v>42</v>
      </c>
      <c r="AQ961" s="11">
        <v>1.5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1</v>
      </c>
      <c r="AY961" s="1">
        <f t="shared" ref="AY961" si="789">AJ961*$AD961*(1-$AV961)*(1-$AR961)</f>
        <v>0</v>
      </c>
      <c r="AZ961" s="1">
        <f t="shared" ref="AZ961" si="790">AM961*$AD961*(1-$AV961)*(1-$AR961)</f>
        <v>0</v>
      </c>
      <c r="BA961" s="1">
        <f t="shared" ref="BA961" si="791">AO961*$AD961*(1-$AV961)*(1-$AR961)</f>
        <v>0</v>
      </c>
      <c r="BB961" s="5">
        <v>0</v>
      </c>
      <c r="BC961" s="5">
        <v>1</v>
      </c>
      <c r="BD961" s="5">
        <v>0</v>
      </c>
      <c r="BE961" s="5">
        <f t="shared" ref="BE961" si="792">1-SUM(BB961:BD961)</f>
        <v>0</v>
      </c>
      <c r="BF961" s="5">
        <v>1</v>
      </c>
      <c r="BG961" s="5">
        <f t="shared" si="774"/>
        <v>0</v>
      </c>
      <c r="BH961" s="5">
        <f t="shared" si="774"/>
        <v>0</v>
      </c>
      <c r="BI961" s="5">
        <f t="shared" si="774"/>
        <v>0</v>
      </c>
      <c r="BJ961" s="5">
        <f t="shared" si="774"/>
        <v>0</v>
      </c>
      <c r="BK961" s="5">
        <f t="shared" si="774"/>
        <v>0</v>
      </c>
      <c r="BL961" s="5">
        <f t="shared" si="774"/>
        <v>0</v>
      </c>
      <c r="BM961" s="5">
        <f t="shared" si="774"/>
        <v>0</v>
      </c>
      <c r="BN961" s="5">
        <f t="shared" si="774"/>
        <v>0</v>
      </c>
      <c r="BO961" s="5">
        <f t="shared" si="766"/>
        <v>0</v>
      </c>
      <c r="BP961" s="5">
        <f t="shared" si="766"/>
        <v>0</v>
      </c>
      <c r="BQ961" s="5">
        <f t="shared" si="766"/>
        <v>0</v>
      </c>
      <c r="BR961" s="5">
        <f t="shared" si="766"/>
        <v>0</v>
      </c>
      <c r="BS961" s="5">
        <f t="shared" si="766"/>
        <v>0</v>
      </c>
      <c r="BT961" s="5">
        <f t="shared" si="766"/>
        <v>0</v>
      </c>
      <c r="BU961" s="5">
        <f t="shared" si="766"/>
        <v>0</v>
      </c>
      <c r="BV961" s="5">
        <f t="shared" si="766"/>
        <v>0</v>
      </c>
      <c r="BW961" s="5">
        <f t="shared" si="766"/>
        <v>0</v>
      </c>
      <c r="BX961" s="5">
        <f t="shared" si="766"/>
        <v>0</v>
      </c>
      <c r="BY961" s="5">
        <f t="shared" si="766"/>
        <v>0</v>
      </c>
      <c r="BZ961" s="5">
        <f t="shared" si="766"/>
        <v>0</v>
      </c>
      <c r="CA961" s="5">
        <f t="shared" si="766"/>
        <v>0</v>
      </c>
      <c r="CB961" s="5">
        <f t="shared" si="766"/>
        <v>0</v>
      </c>
      <c r="CC961" s="5">
        <f t="shared" si="766"/>
        <v>0</v>
      </c>
      <c r="CD961" s="5">
        <f t="shared" si="778"/>
        <v>1</v>
      </c>
      <c r="CE961" s="5">
        <f t="shared" si="778"/>
        <v>0</v>
      </c>
    </row>
    <row r="962" spans="1:83" x14ac:dyDescent="0.2">
      <c r="A962" s="11"/>
      <c r="B962" s="11"/>
      <c r="C962" s="1">
        <f>Growth!D967</f>
        <v>7.1428571428571425E-2</v>
      </c>
      <c r="D962" s="5" t="b">
        <f t="shared" si="715"/>
        <v>0</v>
      </c>
      <c r="E962" s="5">
        <v>2014</v>
      </c>
      <c r="F962" s="5">
        <f ca="1">LOOKUP($E962,frequence!$A$2:$A$35,frequence!L$2:L$35)</f>
        <v>50.75383375536623</v>
      </c>
      <c r="G962" s="5">
        <f ca="1">LOOKUP($E962,frequence!$A$2:$A$35,frequence!K$2:K$35)</f>
        <v>9.9751715831189358</v>
      </c>
      <c r="H962" s="5">
        <f ca="1">LOOKUP($E962,frequence!$A$2:$A$35,frequence!M$2:M$35)</f>
        <v>236.05429056976001</v>
      </c>
      <c r="I962" s="16">
        <v>2005</v>
      </c>
      <c r="J962" s="7">
        <f>LOOKUP(I962,CPI!A$69:A$103,CPI!O$69:O$103)</f>
        <v>1.1165181771633383</v>
      </c>
      <c r="K962" s="16">
        <v>2015</v>
      </c>
      <c r="L962" s="7">
        <f t="shared" ca="1" si="708"/>
        <v>1</v>
      </c>
      <c r="M962" s="7">
        <f t="shared" si="761"/>
        <v>0.45714285714285713</v>
      </c>
      <c r="N962" s="14">
        <f>4/56</f>
        <v>7.1428571428571425E-2</v>
      </c>
      <c r="O962" s="1">
        <f ca="1">P962*J962*(1+Growth!G$6)^(2010-K962)</f>
        <v>180.78032213816164</v>
      </c>
      <c r="P962" s="22">
        <f>47.6*44/12</f>
        <v>174.53333333333333</v>
      </c>
      <c r="Q962" s="2">
        <f t="shared" si="781"/>
        <v>174.53333333333333</v>
      </c>
      <c r="R962" s="21">
        <f t="shared" ca="1" si="782"/>
        <v>32681.524872377493</v>
      </c>
      <c r="U962" s="11"/>
      <c r="V962" s="11"/>
      <c r="W962" s="11"/>
      <c r="X962" s="11"/>
      <c r="Y962" s="11"/>
      <c r="Z962" s="11"/>
      <c r="AA962" s="11"/>
      <c r="AB962" s="11"/>
      <c r="AC962" s="1">
        <f t="shared" si="783"/>
        <v>6.4</v>
      </c>
      <c r="AD962" s="5">
        <v>1</v>
      </c>
      <c r="AE962" s="5">
        <v>0</v>
      </c>
      <c r="AF962" s="5">
        <v>1</v>
      </c>
      <c r="AG962" s="5">
        <v>0</v>
      </c>
      <c r="AH962" s="5">
        <v>1</v>
      </c>
      <c r="AI962" s="3">
        <f t="shared" si="784"/>
        <v>3.4</v>
      </c>
      <c r="AJ962" s="5">
        <f t="shared" si="728"/>
        <v>0</v>
      </c>
      <c r="AK962" s="5">
        <f t="shared" si="709"/>
        <v>0</v>
      </c>
      <c r="AL962" s="5">
        <f t="shared" si="710"/>
        <v>1</v>
      </c>
      <c r="AM962" s="5">
        <f t="shared" si="729"/>
        <v>0</v>
      </c>
      <c r="AN962" s="5">
        <f t="shared" si="711"/>
        <v>0</v>
      </c>
      <c r="AO962" s="5">
        <f t="shared" si="730"/>
        <v>0</v>
      </c>
      <c r="AP962" s="11" t="s">
        <v>42</v>
      </c>
      <c r="AQ962" s="11">
        <v>1.5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1</v>
      </c>
      <c r="AY962" s="1">
        <f t="shared" ref="AY962" si="793">AJ962*$AD962*(1-$AV962)*(1-$AR962)</f>
        <v>0</v>
      </c>
      <c r="AZ962" s="1">
        <f t="shared" ref="AZ962" si="794">AM962*$AD962*(1-$AV962)*(1-$AR962)</f>
        <v>0</v>
      </c>
      <c r="BA962" s="1">
        <f t="shared" ref="BA962" si="795">AO962*$AD962*(1-$AV962)*(1-$AR962)</f>
        <v>0</v>
      </c>
      <c r="BB962" s="5">
        <v>0</v>
      </c>
      <c r="BC962" s="5">
        <v>1</v>
      </c>
      <c r="BD962" s="5">
        <v>0</v>
      </c>
      <c r="BE962" s="5">
        <f t="shared" ref="BE962" si="796">1-SUM(BB962:BD962)</f>
        <v>0</v>
      </c>
      <c r="BF962" s="5">
        <v>1</v>
      </c>
      <c r="BG962" s="5">
        <f t="shared" si="774"/>
        <v>0</v>
      </c>
      <c r="BH962" s="5">
        <f t="shared" si="774"/>
        <v>0</v>
      </c>
      <c r="BI962" s="5">
        <f t="shared" si="774"/>
        <v>0</v>
      </c>
      <c r="BJ962" s="5">
        <f t="shared" si="774"/>
        <v>0</v>
      </c>
      <c r="BK962" s="5">
        <f t="shared" si="774"/>
        <v>0</v>
      </c>
      <c r="BL962" s="5">
        <f t="shared" si="774"/>
        <v>0</v>
      </c>
      <c r="BM962" s="5">
        <f t="shared" si="774"/>
        <v>0</v>
      </c>
      <c r="BN962" s="5">
        <f t="shared" si="774"/>
        <v>0</v>
      </c>
      <c r="BO962" s="5">
        <f t="shared" si="766"/>
        <v>0</v>
      </c>
      <c r="BP962" s="5">
        <f t="shared" si="766"/>
        <v>0</v>
      </c>
      <c r="BQ962" s="5">
        <f t="shared" si="766"/>
        <v>0</v>
      </c>
      <c r="BR962" s="5">
        <f t="shared" si="766"/>
        <v>0</v>
      </c>
      <c r="BS962" s="5">
        <f t="shared" si="766"/>
        <v>0</v>
      </c>
      <c r="BT962" s="5">
        <f t="shared" si="766"/>
        <v>0</v>
      </c>
      <c r="BU962" s="5">
        <f t="shared" si="766"/>
        <v>0</v>
      </c>
      <c r="BV962" s="5">
        <f t="shared" si="766"/>
        <v>0</v>
      </c>
      <c r="BW962" s="5">
        <f t="shared" si="766"/>
        <v>0</v>
      </c>
      <c r="BX962" s="5">
        <f t="shared" si="766"/>
        <v>0</v>
      </c>
      <c r="BY962" s="5">
        <f t="shared" si="766"/>
        <v>0</v>
      </c>
      <c r="BZ962" s="5">
        <f t="shared" si="766"/>
        <v>0</v>
      </c>
      <c r="CA962" s="5">
        <f t="shared" si="766"/>
        <v>0</v>
      </c>
      <c r="CB962" s="5">
        <f t="shared" si="766"/>
        <v>0</v>
      </c>
      <c r="CC962" s="5">
        <f t="shared" si="766"/>
        <v>0</v>
      </c>
      <c r="CD962" s="5">
        <f t="shared" si="778"/>
        <v>1</v>
      </c>
      <c r="CE962" s="5">
        <f t="shared" si="778"/>
        <v>0</v>
      </c>
    </row>
    <row r="963" spans="1:83" x14ac:dyDescent="0.2">
      <c r="A963" s="11"/>
      <c r="B963" s="11"/>
      <c r="C963" s="1">
        <f>Growth!D968</f>
        <v>7.1428571428571425E-2</v>
      </c>
      <c r="D963" s="5" t="b">
        <f t="shared" si="715"/>
        <v>0</v>
      </c>
      <c r="E963" s="5">
        <v>2014</v>
      </c>
      <c r="F963" s="5">
        <f ca="1">LOOKUP($E963,frequence!$A$2:$A$35,frequence!L$2:L$35)</f>
        <v>50.75383375536623</v>
      </c>
      <c r="G963" s="5">
        <f ca="1">LOOKUP($E963,frequence!$A$2:$A$35,frequence!K$2:K$35)</f>
        <v>9.9751715831189358</v>
      </c>
      <c r="H963" s="5">
        <f ca="1">LOOKUP($E963,frequence!$A$2:$A$35,frequence!M$2:M$35)</f>
        <v>236.05429056976001</v>
      </c>
      <c r="I963" s="16">
        <v>2005</v>
      </c>
      <c r="J963" s="7">
        <f>LOOKUP(I963,CPI!A$69:A$103,CPI!O$69:O$103)</f>
        <v>1.1165181771633383</v>
      </c>
      <c r="K963" s="16">
        <v>2015</v>
      </c>
      <c r="L963" s="7">
        <f t="shared" ca="1" si="708"/>
        <v>1</v>
      </c>
      <c r="M963" s="7">
        <f t="shared" si="761"/>
        <v>0.45714285714285713</v>
      </c>
      <c r="N963" s="14">
        <f>4/56</f>
        <v>7.1428571428571425E-2</v>
      </c>
      <c r="O963" s="1">
        <f ca="1">P963*J963*(1+Growth!G$6)^(2010-K963)</f>
        <v>94.947648181807594</v>
      </c>
      <c r="P963" s="22">
        <f>25*44/12</f>
        <v>91.666666666666671</v>
      </c>
      <c r="Q963" s="2">
        <f t="shared" si="781"/>
        <v>91.666666666666671</v>
      </c>
      <c r="R963" s="21">
        <f t="shared" ca="1" si="782"/>
        <v>9015.0558952563115</v>
      </c>
      <c r="U963" s="11"/>
      <c r="V963" s="11"/>
      <c r="W963" s="11"/>
      <c r="X963" s="11"/>
      <c r="Y963" s="11"/>
      <c r="Z963" s="11"/>
      <c r="AA963" s="11"/>
      <c r="AB963" s="11"/>
      <c r="AC963" s="1">
        <f t="shared" si="783"/>
        <v>6.4</v>
      </c>
      <c r="AD963" s="5">
        <v>1</v>
      </c>
      <c r="AE963" s="5">
        <v>0</v>
      </c>
      <c r="AF963" s="5">
        <v>1</v>
      </c>
      <c r="AG963" s="5">
        <v>0</v>
      </c>
      <c r="AH963" s="5">
        <v>1</v>
      </c>
      <c r="AI963" s="3">
        <f t="shared" si="784"/>
        <v>3.4</v>
      </c>
      <c r="AJ963" s="5">
        <f t="shared" si="728"/>
        <v>0</v>
      </c>
      <c r="AK963" s="5">
        <f t="shared" si="709"/>
        <v>0</v>
      </c>
      <c r="AL963" s="5">
        <f t="shared" si="710"/>
        <v>1</v>
      </c>
      <c r="AM963" s="5">
        <f t="shared" si="729"/>
        <v>0</v>
      </c>
      <c r="AN963" s="5">
        <f t="shared" si="711"/>
        <v>0</v>
      </c>
      <c r="AO963" s="5">
        <f t="shared" si="730"/>
        <v>0</v>
      </c>
      <c r="AP963" s="11" t="s">
        <v>42</v>
      </c>
      <c r="AQ963" s="11">
        <v>1.5</v>
      </c>
      <c r="AR963" s="5">
        <v>0</v>
      </c>
      <c r="AS963" s="5">
        <v>0</v>
      </c>
      <c r="AT963" s="5">
        <v>0</v>
      </c>
      <c r="AU963" s="5">
        <v>0</v>
      </c>
      <c r="AV963" s="5">
        <v>0</v>
      </c>
      <c r="AW963" s="5">
        <v>0</v>
      </c>
      <c r="AX963" s="5">
        <v>1</v>
      </c>
      <c r="AY963" s="1">
        <f t="shared" ref="AY963" si="797">AJ963*$AD963*(1-$AV963)*(1-$AR963)</f>
        <v>0</v>
      </c>
      <c r="AZ963" s="1">
        <f t="shared" ref="AZ963" si="798">AM963*$AD963*(1-$AV963)*(1-$AR963)</f>
        <v>0</v>
      </c>
      <c r="BA963" s="1">
        <f t="shared" ref="BA963" si="799">AO963*$AD963*(1-$AV963)*(1-$AR963)</f>
        <v>0</v>
      </c>
      <c r="BB963" s="5">
        <v>0</v>
      </c>
      <c r="BC963" s="5">
        <v>1</v>
      </c>
      <c r="BD963" s="5">
        <v>0</v>
      </c>
      <c r="BE963" s="5">
        <f t="shared" ref="BE963" si="800">1-SUM(BB963:BD963)</f>
        <v>0</v>
      </c>
      <c r="BF963" s="5">
        <v>1</v>
      </c>
      <c r="BG963" s="5">
        <f t="shared" si="774"/>
        <v>0</v>
      </c>
      <c r="BH963" s="5">
        <f t="shared" si="774"/>
        <v>0</v>
      </c>
      <c r="BI963" s="5">
        <f t="shared" si="774"/>
        <v>0</v>
      </c>
      <c r="BJ963" s="5">
        <f t="shared" si="774"/>
        <v>0</v>
      </c>
      <c r="BK963" s="5">
        <f t="shared" si="774"/>
        <v>0</v>
      </c>
      <c r="BL963" s="5">
        <f t="shared" si="774"/>
        <v>0</v>
      </c>
      <c r="BM963" s="5">
        <f t="shared" si="774"/>
        <v>0</v>
      </c>
      <c r="BN963" s="5">
        <f t="shared" si="774"/>
        <v>0</v>
      </c>
      <c r="BO963" s="5">
        <f t="shared" si="766"/>
        <v>0</v>
      </c>
      <c r="BP963" s="5">
        <f t="shared" si="766"/>
        <v>0</v>
      </c>
      <c r="BQ963" s="5">
        <f t="shared" si="766"/>
        <v>0</v>
      </c>
      <c r="BR963" s="5">
        <f t="shared" si="766"/>
        <v>0</v>
      </c>
      <c r="BS963" s="5">
        <f t="shared" si="766"/>
        <v>0</v>
      </c>
      <c r="BT963" s="5">
        <f t="shared" si="766"/>
        <v>0</v>
      </c>
      <c r="BU963" s="5">
        <f t="shared" si="766"/>
        <v>0</v>
      </c>
      <c r="BV963" s="5">
        <f t="shared" si="766"/>
        <v>0</v>
      </c>
      <c r="BW963" s="5">
        <f t="shared" si="766"/>
        <v>0</v>
      </c>
      <c r="BX963" s="5">
        <f t="shared" si="766"/>
        <v>0</v>
      </c>
      <c r="BY963" s="5">
        <f t="shared" si="766"/>
        <v>0</v>
      </c>
      <c r="BZ963" s="5">
        <f t="shared" si="766"/>
        <v>0</v>
      </c>
      <c r="CA963" s="5">
        <f t="shared" si="766"/>
        <v>0</v>
      </c>
      <c r="CB963" s="5">
        <f t="shared" si="766"/>
        <v>0</v>
      </c>
      <c r="CC963" s="5">
        <f t="shared" si="766"/>
        <v>0</v>
      </c>
      <c r="CD963" s="5">
        <f t="shared" si="778"/>
        <v>1</v>
      </c>
      <c r="CE963" s="5">
        <f t="shared" si="778"/>
        <v>0</v>
      </c>
    </row>
    <row r="964" spans="1:83" x14ac:dyDescent="0.2">
      <c r="A964" s="11"/>
      <c r="B964" s="11"/>
      <c r="C964" s="1">
        <f>Growth!D969</f>
        <v>3.5714285714285712E-2</v>
      </c>
      <c r="D964" s="5" t="b">
        <f t="shared" si="715"/>
        <v>0</v>
      </c>
      <c r="E964" s="5">
        <v>2014</v>
      </c>
      <c r="F964" s="5">
        <f ca="1">LOOKUP($E964,frequence!$A$2:$A$35,frequence!L$2:L$35)</f>
        <v>50.75383375536623</v>
      </c>
      <c r="G964" s="5">
        <f ca="1">LOOKUP($E964,frequence!$A$2:$A$35,frequence!K$2:K$35)</f>
        <v>9.9751715831189358</v>
      </c>
      <c r="H964" s="5">
        <f ca="1">LOOKUP($E964,frequence!$A$2:$A$35,frequence!M$2:M$35)</f>
        <v>236.05429056976001</v>
      </c>
      <c r="I964" s="16">
        <v>2005</v>
      </c>
      <c r="J964" s="7">
        <f>LOOKUP(I964,CPI!A$69:A$103,CPI!O$69:O$103)</f>
        <v>1.1165181771633383</v>
      </c>
      <c r="K964" s="16">
        <v>2015</v>
      </c>
      <c r="L964" s="7">
        <f t="shared" ca="1" si="708"/>
        <v>1</v>
      </c>
      <c r="M964" s="7">
        <f t="shared" si="761"/>
        <v>0.22857142857142856</v>
      </c>
      <c r="N964" s="14">
        <f>2/56</f>
        <v>3.5714285714285712E-2</v>
      </c>
      <c r="O964" s="1">
        <f ca="1">P964*J964*(1+Growth!G$6)^(2010-K964)</f>
        <v>341.05195226905278</v>
      </c>
      <c r="P964" s="22">
        <f>89.8*44/12</f>
        <v>329.26666666666665</v>
      </c>
      <c r="Q964" s="2">
        <f t="shared" si="781"/>
        <v>329.26666666666665</v>
      </c>
      <c r="R964" s="21">
        <f t="shared" ca="1" si="782"/>
        <v>116316.43414653225</v>
      </c>
      <c r="U964" s="11"/>
      <c r="V964" s="11"/>
      <c r="W964" s="11"/>
      <c r="X964" s="11"/>
      <c r="Y964" s="11"/>
      <c r="Z964" s="11"/>
      <c r="AA964" s="11"/>
      <c r="AB964" s="11"/>
      <c r="AC964" s="1">
        <f t="shared" si="783"/>
        <v>6.4</v>
      </c>
      <c r="AD964" s="5">
        <v>1</v>
      </c>
      <c r="AE964" s="5">
        <v>0</v>
      </c>
      <c r="AF964" s="5">
        <v>1</v>
      </c>
      <c r="AG964" s="5">
        <v>0</v>
      </c>
      <c r="AH964" s="5">
        <v>1</v>
      </c>
      <c r="AI964" s="3">
        <f t="shared" si="784"/>
        <v>3.4</v>
      </c>
      <c r="AJ964" s="5">
        <f t="shared" si="728"/>
        <v>0</v>
      </c>
      <c r="AK964" s="5">
        <f t="shared" si="709"/>
        <v>0</v>
      </c>
      <c r="AL964" s="5">
        <f t="shared" si="710"/>
        <v>0</v>
      </c>
      <c r="AM964" s="5">
        <f t="shared" si="729"/>
        <v>0</v>
      </c>
      <c r="AN964" s="5">
        <f t="shared" si="711"/>
        <v>1</v>
      </c>
      <c r="AO964" s="5">
        <f t="shared" si="730"/>
        <v>0</v>
      </c>
      <c r="AP964" s="11" t="s">
        <v>42</v>
      </c>
      <c r="AQ964" s="11">
        <v>0.1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5">
        <v>1</v>
      </c>
      <c r="AY964" s="1">
        <f t="shared" ref="AY964:AY966" si="801">AJ964*$AD964*(1-$AV964)*(1-$AR964)</f>
        <v>0</v>
      </c>
      <c r="AZ964" s="1">
        <f t="shared" ref="AZ964:AZ966" si="802">AM964*$AD964*(1-$AV964)*(1-$AR964)</f>
        <v>0</v>
      </c>
      <c r="BA964" s="1">
        <f t="shared" ref="BA964:BA966" si="803">AO964*$AD964*(1-$AV964)*(1-$AR964)</f>
        <v>0</v>
      </c>
      <c r="BB964" s="5">
        <v>0</v>
      </c>
      <c r="BC964" s="5">
        <v>1</v>
      </c>
      <c r="BD964" s="5">
        <v>0</v>
      </c>
      <c r="BE964" s="5">
        <f t="shared" ref="BE964:BE966" si="804">1-SUM(BB964:BD964)</f>
        <v>0</v>
      </c>
      <c r="BF964" s="5">
        <v>0</v>
      </c>
      <c r="BG964" s="5">
        <f t="shared" si="774"/>
        <v>0</v>
      </c>
      <c r="BH964" s="5">
        <f t="shared" si="774"/>
        <v>0</v>
      </c>
      <c r="BI964" s="5">
        <f t="shared" si="774"/>
        <v>0</v>
      </c>
      <c r="BJ964" s="5">
        <f t="shared" si="774"/>
        <v>0</v>
      </c>
      <c r="BK964" s="5">
        <f t="shared" si="774"/>
        <v>0</v>
      </c>
      <c r="BL964" s="5">
        <f t="shared" si="774"/>
        <v>0</v>
      </c>
      <c r="BM964" s="5">
        <f t="shared" si="774"/>
        <v>0</v>
      </c>
      <c r="BN964" s="5">
        <f t="shared" ref="BN964:CB979" si="805">IF($E964=BN$2,1,0)</f>
        <v>0</v>
      </c>
      <c r="BO964" s="5">
        <f t="shared" si="805"/>
        <v>0</v>
      </c>
      <c r="BP964" s="5">
        <f t="shared" si="805"/>
        <v>0</v>
      </c>
      <c r="BQ964" s="5">
        <f t="shared" si="805"/>
        <v>0</v>
      </c>
      <c r="BR964" s="5">
        <f t="shared" si="805"/>
        <v>0</v>
      </c>
      <c r="BS964" s="5">
        <f t="shared" si="805"/>
        <v>0</v>
      </c>
      <c r="BT964" s="5">
        <f t="shared" si="805"/>
        <v>0</v>
      </c>
      <c r="BU964" s="5">
        <f t="shared" si="805"/>
        <v>0</v>
      </c>
      <c r="BV964" s="5">
        <f t="shared" si="805"/>
        <v>0</v>
      </c>
      <c r="BW964" s="5">
        <f t="shared" si="805"/>
        <v>0</v>
      </c>
      <c r="BX964" s="5">
        <f t="shared" si="805"/>
        <v>0</v>
      </c>
      <c r="BY964" s="5">
        <f t="shared" si="805"/>
        <v>0</v>
      </c>
      <c r="BZ964" s="5">
        <f t="shared" si="805"/>
        <v>0</v>
      </c>
      <c r="CA964" s="5">
        <f t="shared" si="805"/>
        <v>0</v>
      </c>
      <c r="CB964" s="5">
        <f t="shared" si="805"/>
        <v>0</v>
      </c>
      <c r="CC964" s="5">
        <f t="shared" ref="CC964:CE983" si="806">IF($E964=CC$2,1,0)</f>
        <v>0</v>
      </c>
      <c r="CD964" s="5">
        <f t="shared" si="778"/>
        <v>1</v>
      </c>
      <c r="CE964" s="5">
        <f t="shared" si="778"/>
        <v>0</v>
      </c>
    </row>
    <row r="965" spans="1:83" x14ac:dyDescent="0.2">
      <c r="A965" s="11"/>
      <c r="B965" s="11"/>
      <c r="C965" s="1">
        <f>Growth!D970</f>
        <v>7.1428571428571425E-2</v>
      </c>
      <c r="D965" s="5" t="b">
        <f t="shared" si="715"/>
        <v>0</v>
      </c>
      <c r="E965" s="5">
        <v>2014</v>
      </c>
      <c r="F965" s="5">
        <f ca="1">LOOKUP($E965,frequence!$A$2:$A$35,frequence!L$2:L$35)</f>
        <v>50.75383375536623</v>
      </c>
      <c r="G965" s="5">
        <f ca="1">LOOKUP($E965,frequence!$A$2:$A$35,frequence!K$2:K$35)</f>
        <v>9.9751715831189358</v>
      </c>
      <c r="H965" s="5">
        <f ca="1">LOOKUP($E965,frequence!$A$2:$A$35,frequence!M$2:M$35)</f>
        <v>236.05429056976001</v>
      </c>
      <c r="I965" s="16">
        <v>2005</v>
      </c>
      <c r="J965" s="7">
        <f>LOOKUP(I965,CPI!A$69:A$103,CPI!O$69:O$103)</f>
        <v>1.1165181771633383</v>
      </c>
      <c r="K965" s="16">
        <v>2015</v>
      </c>
      <c r="L965" s="7">
        <f t="shared" ref="L965:L1028" ca="1" si="807">IF(O965&lt;L$1,1,IF(O965&gt;L$2,0,1-(O965-L$1)/(L$2-L$1)))</f>
        <v>1</v>
      </c>
      <c r="M965" s="7">
        <f t="shared" si="761"/>
        <v>0.45714285714285713</v>
      </c>
      <c r="N965" s="14">
        <f>4/56</f>
        <v>7.1428571428571425E-2</v>
      </c>
      <c r="O965" s="1">
        <f ca="1">P965*J965*(1+Growth!G$6)^(2010-K965)</f>
        <v>78.616652694536668</v>
      </c>
      <c r="P965" s="22">
        <f>20.7*44/12</f>
        <v>75.899999999999991</v>
      </c>
      <c r="Q965" s="2">
        <f t="shared" si="781"/>
        <v>75.899999999999991</v>
      </c>
      <c r="R965" s="21">
        <f t="shared" ca="1" si="782"/>
        <v>6180.5780808933996</v>
      </c>
      <c r="U965" s="11"/>
      <c r="V965" s="11"/>
      <c r="W965" s="11"/>
      <c r="X965" s="11"/>
      <c r="Y965" s="11"/>
      <c r="Z965" s="11"/>
      <c r="AA965" s="11"/>
      <c r="AB965" s="11"/>
      <c r="AC965" s="1">
        <f t="shared" si="783"/>
        <v>6.4</v>
      </c>
      <c r="AD965" s="5">
        <v>1</v>
      </c>
      <c r="AE965" s="5">
        <v>0</v>
      </c>
      <c r="AF965" s="5">
        <v>1</v>
      </c>
      <c r="AG965" s="5">
        <v>0</v>
      </c>
      <c r="AH965" s="5">
        <v>1</v>
      </c>
      <c r="AI965" s="3">
        <f t="shared" si="784"/>
        <v>3.4</v>
      </c>
      <c r="AJ965" s="5">
        <f t="shared" si="728"/>
        <v>0</v>
      </c>
      <c r="AK965" s="5">
        <f t="shared" ref="AK965:AK1028" si="808">IF($AQ965=2,1,0)</f>
        <v>0</v>
      </c>
      <c r="AL965" s="5">
        <f t="shared" ref="AL965:AL1028" si="809">IF($AQ965=1.5,1,0)</f>
        <v>0</v>
      </c>
      <c r="AM965" s="5">
        <f t="shared" si="729"/>
        <v>0</v>
      </c>
      <c r="AN965" s="5">
        <f t="shared" ref="AN965:AN1028" si="810">IF($AQ965=0.1,1,0)</f>
        <v>1</v>
      </c>
      <c r="AO965" s="5">
        <f t="shared" si="730"/>
        <v>0</v>
      </c>
      <c r="AP965" s="11" t="s">
        <v>42</v>
      </c>
      <c r="AQ965" s="11">
        <v>0.1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1</v>
      </c>
      <c r="AY965" s="1">
        <f t="shared" si="801"/>
        <v>0</v>
      </c>
      <c r="AZ965" s="1">
        <f t="shared" si="802"/>
        <v>0</v>
      </c>
      <c r="BA965" s="1">
        <f t="shared" si="803"/>
        <v>0</v>
      </c>
      <c r="BB965" s="5">
        <v>0</v>
      </c>
      <c r="BC965" s="5">
        <v>1</v>
      </c>
      <c r="BD965" s="5">
        <v>0</v>
      </c>
      <c r="BE965" s="5">
        <f t="shared" si="804"/>
        <v>0</v>
      </c>
      <c r="BF965" s="5">
        <v>0</v>
      </c>
      <c r="BG965" s="5">
        <f t="shared" ref="BG965:BN980" si="811">IF($E965=BG$2,1,0)</f>
        <v>0</v>
      </c>
      <c r="BH965" s="5">
        <f t="shared" si="811"/>
        <v>0</v>
      </c>
      <c r="BI965" s="5">
        <f t="shared" si="811"/>
        <v>0</v>
      </c>
      <c r="BJ965" s="5">
        <f t="shared" si="811"/>
        <v>0</v>
      </c>
      <c r="BK965" s="5">
        <f t="shared" si="811"/>
        <v>0</v>
      </c>
      <c r="BL965" s="5">
        <f t="shared" si="811"/>
        <v>0</v>
      </c>
      <c r="BM965" s="5">
        <f t="shared" si="811"/>
        <v>0</v>
      </c>
      <c r="BN965" s="5">
        <f t="shared" si="805"/>
        <v>0</v>
      </c>
      <c r="BO965" s="5">
        <f t="shared" si="805"/>
        <v>0</v>
      </c>
      <c r="BP965" s="5">
        <f t="shared" si="805"/>
        <v>0</v>
      </c>
      <c r="BQ965" s="5">
        <f t="shared" si="805"/>
        <v>0</v>
      </c>
      <c r="BR965" s="5">
        <f t="shared" si="805"/>
        <v>0</v>
      </c>
      <c r="BS965" s="5">
        <f t="shared" si="805"/>
        <v>0</v>
      </c>
      <c r="BT965" s="5">
        <f t="shared" si="805"/>
        <v>0</v>
      </c>
      <c r="BU965" s="5">
        <f t="shared" si="805"/>
        <v>0</v>
      </c>
      <c r="BV965" s="5">
        <f t="shared" si="805"/>
        <v>0</v>
      </c>
      <c r="BW965" s="5">
        <f t="shared" si="805"/>
        <v>0</v>
      </c>
      <c r="BX965" s="5">
        <f t="shared" si="805"/>
        <v>0</v>
      </c>
      <c r="BY965" s="5">
        <f t="shared" si="805"/>
        <v>0</v>
      </c>
      <c r="BZ965" s="5">
        <f t="shared" si="805"/>
        <v>0</v>
      </c>
      <c r="CA965" s="5">
        <f t="shared" si="805"/>
        <v>0</v>
      </c>
      <c r="CB965" s="5">
        <f t="shared" si="805"/>
        <v>0</v>
      </c>
      <c r="CC965" s="5">
        <f t="shared" si="806"/>
        <v>0</v>
      </c>
      <c r="CD965" s="5">
        <f t="shared" si="778"/>
        <v>1</v>
      </c>
      <c r="CE965" s="5">
        <f t="shared" si="778"/>
        <v>0</v>
      </c>
    </row>
    <row r="966" spans="1:83" x14ac:dyDescent="0.2">
      <c r="A966" s="11"/>
      <c r="B966" s="11"/>
      <c r="C966" s="1">
        <f>Growth!D971</f>
        <v>7.1428571428571425E-2</v>
      </c>
      <c r="D966" s="5" t="b">
        <f t="shared" si="715"/>
        <v>0</v>
      </c>
      <c r="E966" s="5">
        <v>2014</v>
      </c>
      <c r="F966" s="5">
        <f ca="1">LOOKUP($E966,frequence!$A$2:$A$35,frequence!L$2:L$35)</f>
        <v>50.75383375536623</v>
      </c>
      <c r="G966" s="5">
        <f ca="1">LOOKUP($E966,frequence!$A$2:$A$35,frequence!K$2:K$35)</f>
        <v>9.9751715831189358</v>
      </c>
      <c r="H966" s="5">
        <f ca="1">LOOKUP($E966,frequence!$A$2:$A$35,frequence!M$2:M$35)</f>
        <v>236.05429056976001</v>
      </c>
      <c r="I966" s="16">
        <v>2005</v>
      </c>
      <c r="J966" s="7">
        <f>LOOKUP(I966,CPI!A$69:A$103,CPI!O$69:O$103)</f>
        <v>1.1165181771633383</v>
      </c>
      <c r="K966" s="16">
        <v>2015</v>
      </c>
      <c r="L966" s="7">
        <f t="shared" ca="1" si="807"/>
        <v>1</v>
      </c>
      <c r="M966" s="7">
        <f t="shared" si="761"/>
        <v>0.45714285714285713</v>
      </c>
      <c r="N966" s="14">
        <f>4/56</f>
        <v>7.1428571428571425E-2</v>
      </c>
      <c r="O966" s="1">
        <f ca="1">P966*J966*(1+Growth!G$6)^(2010-K966)</f>
        <v>24.306597934542744</v>
      </c>
      <c r="P966" s="22">
        <f>6.4*44/12</f>
        <v>23.466666666666669</v>
      </c>
      <c r="Q966" s="2">
        <f t="shared" si="781"/>
        <v>23.466666666666669</v>
      </c>
      <c r="R966" s="21">
        <f t="shared" ca="1" si="782"/>
        <v>590.8107031515176</v>
      </c>
      <c r="U966" s="11"/>
      <c r="V966" s="11"/>
      <c r="W966" s="11"/>
      <c r="X966" s="11"/>
      <c r="Y966" s="11"/>
      <c r="Z966" s="11"/>
      <c r="AA966" s="11"/>
      <c r="AB966" s="11"/>
      <c r="AC966" s="1">
        <f t="shared" si="783"/>
        <v>6.4</v>
      </c>
      <c r="AD966" s="5">
        <v>1</v>
      </c>
      <c r="AE966" s="5">
        <v>0</v>
      </c>
      <c r="AF966" s="5">
        <v>1</v>
      </c>
      <c r="AG966" s="5">
        <v>0</v>
      </c>
      <c r="AH966" s="5">
        <v>1</v>
      </c>
      <c r="AI966" s="3">
        <f t="shared" si="784"/>
        <v>3.4</v>
      </c>
      <c r="AJ966" s="5">
        <f t="shared" si="728"/>
        <v>0</v>
      </c>
      <c r="AK966" s="5">
        <f t="shared" si="808"/>
        <v>0</v>
      </c>
      <c r="AL966" s="5">
        <f t="shared" si="809"/>
        <v>0</v>
      </c>
      <c r="AM966" s="5">
        <f t="shared" si="729"/>
        <v>0</v>
      </c>
      <c r="AN966" s="5">
        <f t="shared" si="810"/>
        <v>0</v>
      </c>
      <c r="AO966" s="5">
        <f t="shared" si="730"/>
        <v>0</v>
      </c>
      <c r="AP966" s="11" t="s">
        <v>42</v>
      </c>
      <c r="AQ966" s="11">
        <v>3.5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0</v>
      </c>
      <c r="AX966" s="5">
        <v>1</v>
      </c>
      <c r="AY966" s="1">
        <f t="shared" si="801"/>
        <v>0</v>
      </c>
      <c r="AZ966" s="1">
        <f t="shared" si="802"/>
        <v>0</v>
      </c>
      <c r="BA966" s="1">
        <f t="shared" si="803"/>
        <v>0</v>
      </c>
      <c r="BB966" s="5">
        <v>0</v>
      </c>
      <c r="BC966" s="5">
        <v>1</v>
      </c>
      <c r="BD966" s="5">
        <v>0</v>
      </c>
      <c r="BE966" s="5">
        <f t="shared" si="804"/>
        <v>0</v>
      </c>
      <c r="BF966" s="5">
        <v>0</v>
      </c>
      <c r="BG966" s="5">
        <f t="shared" si="811"/>
        <v>0</v>
      </c>
      <c r="BH966" s="5">
        <f t="shared" si="811"/>
        <v>0</v>
      </c>
      <c r="BI966" s="5">
        <f t="shared" si="811"/>
        <v>0</v>
      </c>
      <c r="BJ966" s="5">
        <f t="shared" si="811"/>
        <v>0</v>
      </c>
      <c r="BK966" s="5">
        <f t="shared" si="811"/>
        <v>0</v>
      </c>
      <c r="BL966" s="5">
        <f t="shared" si="811"/>
        <v>0</v>
      </c>
      <c r="BM966" s="5">
        <f t="shared" si="811"/>
        <v>0</v>
      </c>
      <c r="BN966" s="5">
        <f t="shared" si="805"/>
        <v>0</v>
      </c>
      <c r="BO966" s="5">
        <f t="shared" si="805"/>
        <v>0</v>
      </c>
      <c r="BP966" s="5">
        <f t="shared" si="805"/>
        <v>0</v>
      </c>
      <c r="BQ966" s="5">
        <f t="shared" si="805"/>
        <v>0</v>
      </c>
      <c r="BR966" s="5">
        <f t="shared" si="805"/>
        <v>0</v>
      </c>
      <c r="BS966" s="5">
        <f t="shared" si="805"/>
        <v>0</v>
      </c>
      <c r="BT966" s="5">
        <f t="shared" si="805"/>
        <v>0</v>
      </c>
      <c r="BU966" s="5">
        <f t="shared" si="805"/>
        <v>0</v>
      </c>
      <c r="BV966" s="5">
        <f t="shared" si="805"/>
        <v>0</v>
      </c>
      <c r="BW966" s="5">
        <f t="shared" si="805"/>
        <v>0</v>
      </c>
      <c r="BX966" s="5">
        <f t="shared" si="805"/>
        <v>0</v>
      </c>
      <c r="BY966" s="5">
        <f t="shared" si="805"/>
        <v>0</v>
      </c>
      <c r="BZ966" s="5">
        <f t="shared" si="805"/>
        <v>0</v>
      </c>
      <c r="CA966" s="5">
        <f t="shared" si="805"/>
        <v>0</v>
      </c>
      <c r="CB966" s="5">
        <f t="shared" si="805"/>
        <v>0</v>
      </c>
      <c r="CC966" s="5">
        <f t="shared" si="806"/>
        <v>0</v>
      </c>
      <c r="CD966" s="5">
        <f t="shared" si="778"/>
        <v>1</v>
      </c>
      <c r="CE966" s="5">
        <f t="shared" si="778"/>
        <v>0</v>
      </c>
    </row>
    <row r="967" spans="1:83" x14ac:dyDescent="0.2">
      <c r="A967" s="11"/>
      <c r="B967" s="11"/>
      <c r="C967" s="1">
        <f>Growth!D972</f>
        <v>1.7857142857142856E-2</v>
      </c>
      <c r="D967" s="5" t="b">
        <f t="shared" si="715"/>
        <v>0</v>
      </c>
      <c r="E967" s="5">
        <v>2014</v>
      </c>
      <c r="F967" s="5">
        <f ca="1">LOOKUP($E967,frequence!$A$2:$A$35,frequence!L$2:L$35)</f>
        <v>50.75383375536623</v>
      </c>
      <c r="G967" s="5">
        <f ca="1">LOOKUP($E967,frequence!$A$2:$A$35,frequence!K$2:K$35)</f>
        <v>9.9751715831189358</v>
      </c>
      <c r="H967" s="5">
        <f ca="1">LOOKUP($E967,frequence!$A$2:$A$35,frequence!M$2:M$35)</f>
        <v>236.05429056976001</v>
      </c>
      <c r="I967" s="16">
        <v>2005</v>
      </c>
      <c r="J967" s="7">
        <f>LOOKUP(I967,CPI!A$69:A$103,CPI!O$69:O$103)</f>
        <v>1.1165181771633383</v>
      </c>
      <c r="K967" s="16">
        <v>2015</v>
      </c>
      <c r="L967" s="7">
        <f t="shared" ca="1" si="807"/>
        <v>1</v>
      </c>
      <c r="M967" s="7">
        <f t="shared" ref="M967:M980" si="812">N967*AC967</f>
        <v>0.11428571428571428</v>
      </c>
      <c r="N967" s="14">
        <f t="shared" ref="N967:N980" si="813">1/56</f>
        <v>1.7857142857142856E-2</v>
      </c>
      <c r="O967" s="1">
        <f ca="1">P967*J967*(1+Growth!G$6)^(2010-K967)</f>
        <v>39.49822164363195</v>
      </c>
      <c r="P967" s="22">
        <f>10.4*44/12</f>
        <v>38.133333333333333</v>
      </c>
      <c r="Q967" s="2">
        <f t="shared" ref="Q967:Q980" si="814">P967</f>
        <v>38.133333333333333</v>
      </c>
      <c r="R967" s="21">
        <f t="shared" ref="R967:R980" ca="1" si="815">O967*O967</f>
        <v>1560.1095130094754</v>
      </c>
      <c r="U967" s="11"/>
      <c r="V967" s="11"/>
      <c r="W967" s="11"/>
      <c r="X967" s="11"/>
      <c r="Y967" s="11"/>
      <c r="Z967" s="11"/>
      <c r="AA967" s="11"/>
      <c r="AB967" s="11"/>
      <c r="AC967" s="1">
        <f t="shared" ref="AC967:AC980" si="816">SUM(AD967:AI967)</f>
        <v>6.4</v>
      </c>
      <c r="AD967" s="5">
        <v>1</v>
      </c>
      <c r="AE967" s="5">
        <v>0</v>
      </c>
      <c r="AF967" s="5">
        <v>1</v>
      </c>
      <c r="AG967" s="5">
        <v>0</v>
      </c>
      <c r="AH967" s="5">
        <v>1</v>
      </c>
      <c r="AI967" s="3">
        <f t="shared" ref="AI967:AI980" si="817">(E967-1980)/10</f>
        <v>3.4</v>
      </c>
      <c r="AJ967" s="5">
        <f t="shared" si="728"/>
        <v>0</v>
      </c>
      <c r="AK967" s="5">
        <f t="shared" si="808"/>
        <v>0</v>
      </c>
      <c r="AL967" s="5">
        <f t="shared" si="809"/>
        <v>0</v>
      </c>
      <c r="AM967" s="5">
        <f t="shared" si="729"/>
        <v>0</v>
      </c>
      <c r="AN967" s="5">
        <f t="shared" si="810"/>
        <v>0</v>
      </c>
      <c r="AO967" s="5">
        <f t="shared" si="730"/>
        <v>0</v>
      </c>
      <c r="AP967" s="11">
        <v>5</v>
      </c>
      <c r="AQ967" s="11" t="s">
        <v>42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1</v>
      </c>
      <c r="AY967" s="1">
        <f t="shared" ref="AY967:AY980" si="818">AJ967*$AD967*(1-$AV967)*(1-$AR967)</f>
        <v>0</v>
      </c>
      <c r="AZ967" s="1">
        <f t="shared" ref="AZ967:AZ980" si="819">AM967*$AD967*(1-$AV967)*(1-$AR967)</f>
        <v>0</v>
      </c>
      <c r="BA967" s="1">
        <f t="shared" ref="BA967:BA980" si="820">AO967*$AD967*(1-$AV967)*(1-$AR967)</f>
        <v>0</v>
      </c>
      <c r="BB967" s="5">
        <v>0</v>
      </c>
      <c r="BC967" s="5">
        <v>1</v>
      </c>
      <c r="BD967" s="5">
        <v>0</v>
      </c>
      <c r="BE967" s="5">
        <f t="shared" ref="BE967:BE980" si="821">1-SUM(BB967:BD967)</f>
        <v>0</v>
      </c>
      <c r="BF967" s="5">
        <v>0</v>
      </c>
      <c r="BG967" s="5">
        <f t="shared" si="811"/>
        <v>0</v>
      </c>
      <c r="BH967" s="5">
        <f t="shared" si="811"/>
        <v>0</v>
      </c>
      <c r="BI967" s="5">
        <f t="shared" si="811"/>
        <v>0</v>
      </c>
      <c r="BJ967" s="5">
        <f t="shared" si="811"/>
        <v>0</v>
      </c>
      <c r="BK967" s="5">
        <f t="shared" si="811"/>
        <v>0</v>
      </c>
      <c r="BL967" s="5">
        <f t="shared" si="811"/>
        <v>0</v>
      </c>
      <c r="BM967" s="5">
        <f t="shared" si="811"/>
        <v>0</v>
      </c>
      <c r="BN967" s="5">
        <f t="shared" si="805"/>
        <v>0</v>
      </c>
      <c r="BO967" s="5">
        <f t="shared" si="805"/>
        <v>0</v>
      </c>
      <c r="BP967" s="5">
        <f t="shared" si="805"/>
        <v>0</v>
      </c>
      <c r="BQ967" s="5">
        <f t="shared" si="805"/>
        <v>0</v>
      </c>
      <c r="BR967" s="5">
        <f t="shared" si="805"/>
        <v>0</v>
      </c>
      <c r="BS967" s="5">
        <f t="shared" si="805"/>
        <v>0</v>
      </c>
      <c r="BT967" s="5">
        <f t="shared" si="805"/>
        <v>0</v>
      </c>
      <c r="BU967" s="5">
        <f t="shared" si="805"/>
        <v>0</v>
      </c>
      <c r="BV967" s="5">
        <f t="shared" si="805"/>
        <v>0</v>
      </c>
      <c r="BW967" s="5">
        <f t="shared" si="805"/>
        <v>0</v>
      </c>
      <c r="BX967" s="5">
        <f t="shared" si="805"/>
        <v>0</v>
      </c>
      <c r="BY967" s="5">
        <f t="shared" si="805"/>
        <v>0</v>
      </c>
      <c r="BZ967" s="5">
        <f t="shared" si="805"/>
        <v>0</v>
      </c>
      <c r="CA967" s="5">
        <f t="shared" si="805"/>
        <v>0</v>
      </c>
      <c r="CB967" s="5">
        <f t="shared" si="805"/>
        <v>0</v>
      </c>
      <c r="CC967" s="5">
        <f t="shared" si="806"/>
        <v>0</v>
      </c>
      <c r="CD967" s="5">
        <f t="shared" si="778"/>
        <v>1</v>
      </c>
      <c r="CE967" s="5">
        <f t="shared" si="778"/>
        <v>0</v>
      </c>
    </row>
    <row r="968" spans="1:83" x14ac:dyDescent="0.2">
      <c r="A968" s="11"/>
      <c r="B968" s="11"/>
      <c r="C968" s="1">
        <f>Growth!D973</f>
        <v>1.7857142857142856E-2</v>
      </c>
      <c r="D968" s="5" t="b">
        <f t="shared" si="715"/>
        <v>0</v>
      </c>
      <c r="E968" s="5">
        <v>2014</v>
      </c>
      <c r="F968" s="5">
        <f ca="1">LOOKUP($E968,frequence!$A$2:$A$35,frequence!L$2:L$35)</f>
        <v>50.75383375536623</v>
      </c>
      <c r="G968" s="5">
        <f ca="1">LOOKUP($E968,frequence!$A$2:$A$35,frequence!K$2:K$35)</f>
        <v>9.9751715831189358</v>
      </c>
      <c r="H968" s="5">
        <f ca="1">LOOKUP($E968,frequence!$A$2:$A$35,frequence!M$2:M$35)</f>
        <v>236.05429056976001</v>
      </c>
      <c r="I968" s="16">
        <v>2005</v>
      </c>
      <c r="J968" s="7">
        <f>LOOKUP(I968,CPI!A$69:A$103,CPI!O$69:O$103)</f>
        <v>1.1165181771633383</v>
      </c>
      <c r="K968" s="16">
        <v>2015</v>
      </c>
      <c r="L968" s="7">
        <f t="shared" ca="1" si="807"/>
        <v>1</v>
      </c>
      <c r="M968" s="7">
        <f t="shared" si="812"/>
        <v>0.11428571428571428</v>
      </c>
      <c r="N968" s="14">
        <f t="shared" si="813"/>
        <v>1.7857142857142856E-2</v>
      </c>
      <c r="O968" s="1">
        <f ca="1">P968*J968*(1+Growth!G$6)^(2010-K968)</f>
        <v>56.209007723630094</v>
      </c>
      <c r="P968" s="22">
        <f>14.8*44/12</f>
        <v>54.266666666666673</v>
      </c>
      <c r="Q968" s="2">
        <f t="shared" si="814"/>
        <v>54.266666666666673</v>
      </c>
      <c r="R968" s="21">
        <f t="shared" ca="1" si="815"/>
        <v>3159.4525492751077</v>
      </c>
      <c r="U968" s="11"/>
      <c r="V968" s="11"/>
      <c r="W968" s="11"/>
      <c r="X968" s="11"/>
      <c r="Y968" s="11"/>
      <c r="Z968" s="11"/>
      <c r="AA968" s="11"/>
      <c r="AB968" s="11"/>
      <c r="AC968" s="1">
        <f t="shared" si="816"/>
        <v>6.4</v>
      </c>
      <c r="AD968" s="5">
        <v>1</v>
      </c>
      <c r="AE968" s="5">
        <v>0</v>
      </c>
      <c r="AF968" s="5">
        <v>1</v>
      </c>
      <c r="AG968" s="5">
        <v>0</v>
      </c>
      <c r="AH968" s="5">
        <v>1</v>
      </c>
      <c r="AI968" s="3">
        <f t="shared" si="817"/>
        <v>3.4</v>
      </c>
      <c r="AJ968" s="5">
        <f t="shared" si="728"/>
        <v>0</v>
      </c>
      <c r="AK968" s="5">
        <f t="shared" si="808"/>
        <v>0</v>
      </c>
      <c r="AL968" s="5">
        <f t="shared" si="809"/>
        <v>0</v>
      </c>
      <c r="AM968" s="5">
        <f t="shared" si="729"/>
        <v>0</v>
      </c>
      <c r="AN968" s="5">
        <f t="shared" si="810"/>
        <v>0</v>
      </c>
      <c r="AO968" s="5">
        <f t="shared" si="730"/>
        <v>0</v>
      </c>
      <c r="AP968" s="11">
        <v>5</v>
      </c>
      <c r="AQ968" s="11" t="s">
        <v>42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1</v>
      </c>
      <c r="AY968" s="1">
        <f t="shared" si="818"/>
        <v>0</v>
      </c>
      <c r="AZ968" s="1">
        <f t="shared" si="819"/>
        <v>0</v>
      </c>
      <c r="BA968" s="1">
        <f t="shared" si="820"/>
        <v>0</v>
      </c>
      <c r="BB968" s="5">
        <v>0</v>
      </c>
      <c r="BC968" s="5">
        <v>1</v>
      </c>
      <c r="BD968" s="5">
        <v>0</v>
      </c>
      <c r="BE968" s="5">
        <f t="shared" si="821"/>
        <v>0</v>
      </c>
      <c r="BF968" s="5">
        <v>0</v>
      </c>
      <c r="BG968" s="5">
        <f t="shared" si="811"/>
        <v>0</v>
      </c>
      <c r="BH968" s="5">
        <f t="shared" si="811"/>
        <v>0</v>
      </c>
      <c r="BI968" s="5">
        <f t="shared" si="811"/>
        <v>0</v>
      </c>
      <c r="BJ968" s="5">
        <f t="shared" si="811"/>
        <v>0</v>
      </c>
      <c r="BK968" s="5">
        <f t="shared" si="811"/>
        <v>0</v>
      </c>
      <c r="BL968" s="5">
        <f t="shared" si="811"/>
        <v>0</v>
      </c>
      <c r="BM968" s="5">
        <f t="shared" si="811"/>
        <v>0</v>
      </c>
      <c r="BN968" s="5">
        <f t="shared" si="805"/>
        <v>0</v>
      </c>
      <c r="BO968" s="5">
        <f t="shared" si="805"/>
        <v>0</v>
      </c>
      <c r="BP968" s="5">
        <f t="shared" si="805"/>
        <v>0</v>
      </c>
      <c r="BQ968" s="5">
        <f t="shared" si="805"/>
        <v>0</v>
      </c>
      <c r="BR968" s="5">
        <f t="shared" si="805"/>
        <v>0</v>
      </c>
      <c r="BS968" s="5">
        <f t="shared" si="805"/>
        <v>0</v>
      </c>
      <c r="BT968" s="5">
        <f t="shared" si="805"/>
        <v>0</v>
      </c>
      <c r="BU968" s="5">
        <f t="shared" si="805"/>
        <v>0</v>
      </c>
      <c r="BV968" s="5">
        <f t="shared" si="805"/>
        <v>0</v>
      </c>
      <c r="BW968" s="5">
        <f t="shared" si="805"/>
        <v>0</v>
      </c>
      <c r="BX968" s="5">
        <f t="shared" si="805"/>
        <v>0</v>
      </c>
      <c r="BY968" s="5">
        <f t="shared" si="805"/>
        <v>0</v>
      </c>
      <c r="BZ968" s="5">
        <f t="shared" si="805"/>
        <v>0</v>
      </c>
      <c r="CA968" s="5">
        <f t="shared" si="805"/>
        <v>0</v>
      </c>
      <c r="CB968" s="5">
        <f t="shared" si="805"/>
        <v>0</v>
      </c>
      <c r="CC968" s="5">
        <f t="shared" si="806"/>
        <v>0</v>
      </c>
      <c r="CD968" s="5">
        <f t="shared" si="778"/>
        <v>1</v>
      </c>
      <c r="CE968" s="5">
        <f t="shared" si="778"/>
        <v>0</v>
      </c>
    </row>
    <row r="969" spans="1:83" x14ac:dyDescent="0.2">
      <c r="A969" s="11"/>
      <c r="B969" s="11"/>
      <c r="C969" s="1">
        <f>Growth!D974</f>
        <v>1.7857142857142856E-2</v>
      </c>
      <c r="D969" s="5" t="b">
        <f t="shared" si="715"/>
        <v>0</v>
      </c>
      <c r="E969" s="5">
        <v>2014</v>
      </c>
      <c r="F969" s="5">
        <f ca="1">LOOKUP($E969,frequence!$A$2:$A$35,frequence!L$2:L$35)</f>
        <v>50.75383375536623</v>
      </c>
      <c r="G969" s="5">
        <f ca="1">LOOKUP($E969,frequence!$A$2:$A$35,frequence!K$2:K$35)</f>
        <v>9.9751715831189358</v>
      </c>
      <c r="H969" s="5">
        <f ca="1">LOOKUP($E969,frequence!$A$2:$A$35,frequence!M$2:M$35)</f>
        <v>236.05429056976001</v>
      </c>
      <c r="I969" s="16">
        <v>2005</v>
      </c>
      <c r="J969" s="7">
        <f>LOOKUP(I969,CPI!A$69:A$103,CPI!O$69:O$103)</f>
        <v>1.1165181771633383</v>
      </c>
      <c r="K969" s="16">
        <v>2015</v>
      </c>
      <c r="L969" s="7">
        <f t="shared" ca="1" si="807"/>
        <v>1</v>
      </c>
      <c r="M969" s="7">
        <f t="shared" si="812"/>
        <v>0.11428571428571428</v>
      </c>
      <c r="N969" s="14">
        <f t="shared" si="813"/>
        <v>1.7857142857142856E-2</v>
      </c>
      <c r="O969" s="1">
        <f ca="1">P969*J969*(1+Growth!G$6)^(2010-K969)</f>
        <v>46.714242905449332</v>
      </c>
      <c r="P969" s="22">
        <f>12.3*44/12</f>
        <v>45.1</v>
      </c>
      <c r="Q969" s="2">
        <f t="shared" si="814"/>
        <v>45.1</v>
      </c>
      <c r="R969" s="21">
        <f t="shared" ca="1" si="815"/>
        <v>2182.2204902293233</v>
      </c>
      <c r="U969" s="11"/>
      <c r="V969" s="11"/>
      <c r="W969" s="11"/>
      <c r="X969" s="11"/>
      <c r="Y969" s="11"/>
      <c r="Z969" s="11"/>
      <c r="AA969" s="11"/>
      <c r="AB969" s="11"/>
      <c r="AC969" s="1">
        <f t="shared" si="816"/>
        <v>6.4</v>
      </c>
      <c r="AD969" s="5">
        <v>1</v>
      </c>
      <c r="AE969" s="5">
        <v>0</v>
      </c>
      <c r="AF969" s="5">
        <v>1</v>
      </c>
      <c r="AG969" s="5">
        <v>0</v>
      </c>
      <c r="AH969" s="5">
        <v>1</v>
      </c>
      <c r="AI969" s="3">
        <f t="shared" si="817"/>
        <v>3.4</v>
      </c>
      <c r="AJ969" s="5">
        <f t="shared" si="728"/>
        <v>0</v>
      </c>
      <c r="AK969" s="5">
        <f t="shared" si="808"/>
        <v>0</v>
      </c>
      <c r="AL969" s="5">
        <f t="shared" si="809"/>
        <v>0</v>
      </c>
      <c r="AM969" s="5">
        <f t="shared" si="729"/>
        <v>0</v>
      </c>
      <c r="AN969" s="5">
        <f t="shared" si="810"/>
        <v>0</v>
      </c>
      <c r="AO969" s="5">
        <f t="shared" si="730"/>
        <v>0</v>
      </c>
      <c r="AP969" s="11">
        <v>5</v>
      </c>
      <c r="AQ969" s="11" t="s">
        <v>42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1</v>
      </c>
      <c r="AY969" s="1">
        <f t="shared" si="818"/>
        <v>0</v>
      </c>
      <c r="AZ969" s="1">
        <f t="shared" si="819"/>
        <v>0</v>
      </c>
      <c r="BA969" s="1">
        <f t="shared" si="820"/>
        <v>0</v>
      </c>
      <c r="BB969" s="5">
        <v>0</v>
      </c>
      <c r="BC969" s="5">
        <v>1</v>
      </c>
      <c r="BD969" s="5">
        <v>0</v>
      </c>
      <c r="BE969" s="5">
        <f t="shared" si="821"/>
        <v>0</v>
      </c>
      <c r="BF969" s="5">
        <v>0</v>
      </c>
      <c r="BG969" s="5">
        <f t="shared" si="811"/>
        <v>0</v>
      </c>
      <c r="BH969" s="5">
        <f t="shared" si="811"/>
        <v>0</v>
      </c>
      <c r="BI969" s="5">
        <f t="shared" si="811"/>
        <v>0</v>
      </c>
      <c r="BJ969" s="5">
        <f t="shared" si="811"/>
        <v>0</v>
      </c>
      <c r="BK969" s="5">
        <f t="shared" si="811"/>
        <v>0</v>
      </c>
      <c r="BL969" s="5">
        <f t="shared" si="811"/>
        <v>0</v>
      </c>
      <c r="BM969" s="5">
        <f t="shared" si="811"/>
        <v>0</v>
      </c>
      <c r="BN969" s="5">
        <f t="shared" si="805"/>
        <v>0</v>
      </c>
      <c r="BO969" s="5">
        <f t="shared" si="805"/>
        <v>0</v>
      </c>
      <c r="BP969" s="5">
        <f t="shared" si="805"/>
        <v>0</v>
      </c>
      <c r="BQ969" s="5">
        <f t="shared" si="805"/>
        <v>0</v>
      </c>
      <c r="BR969" s="5">
        <f t="shared" si="805"/>
        <v>0</v>
      </c>
      <c r="BS969" s="5">
        <f t="shared" si="805"/>
        <v>0</v>
      </c>
      <c r="BT969" s="5">
        <f t="shared" si="805"/>
        <v>0</v>
      </c>
      <c r="BU969" s="5">
        <f t="shared" si="805"/>
        <v>0</v>
      </c>
      <c r="BV969" s="5">
        <f t="shared" si="805"/>
        <v>0</v>
      </c>
      <c r="BW969" s="5">
        <f t="shared" si="805"/>
        <v>0</v>
      </c>
      <c r="BX969" s="5">
        <f t="shared" si="805"/>
        <v>0</v>
      </c>
      <c r="BY969" s="5">
        <f t="shared" si="805"/>
        <v>0</v>
      </c>
      <c r="BZ969" s="5">
        <f t="shared" si="805"/>
        <v>0</v>
      </c>
      <c r="CA969" s="5">
        <f t="shared" si="805"/>
        <v>0</v>
      </c>
      <c r="CB969" s="5">
        <f t="shared" si="805"/>
        <v>0</v>
      </c>
      <c r="CC969" s="5">
        <f t="shared" si="806"/>
        <v>0</v>
      </c>
      <c r="CD969" s="5">
        <f t="shared" si="778"/>
        <v>1</v>
      </c>
      <c r="CE969" s="5">
        <f t="shared" si="778"/>
        <v>0</v>
      </c>
    </row>
    <row r="970" spans="1:83" x14ac:dyDescent="0.2">
      <c r="A970" s="11"/>
      <c r="B970" s="11"/>
      <c r="C970" s="1">
        <f>Growth!D975</f>
        <v>1.7857142857142856E-2</v>
      </c>
      <c r="D970" s="5" t="b">
        <f t="shared" si="715"/>
        <v>0</v>
      </c>
      <c r="E970" s="5">
        <v>2014</v>
      </c>
      <c r="F970" s="5">
        <f ca="1">LOOKUP($E970,frequence!$A$2:$A$35,frequence!L$2:L$35)</f>
        <v>50.75383375536623</v>
      </c>
      <c r="G970" s="5">
        <f ca="1">LOOKUP($E970,frequence!$A$2:$A$35,frequence!K$2:K$35)</f>
        <v>9.9751715831189358</v>
      </c>
      <c r="H970" s="5">
        <f ca="1">LOOKUP($E970,frequence!$A$2:$A$35,frequence!M$2:M$35)</f>
        <v>236.05429056976001</v>
      </c>
      <c r="I970" s="16">
        <v>2005</v>
      </c>
      <c r="J970" s="7">
        <f>LOOKUP(I970,CPI!A$69:A$103,CPI!O$69:O$103)</f>
        <v>1.1165181771633383</v>
      </c>
      <c r="K970" s="16">
        <v>2015</v>
      </c>
      <c r="L970" s="7">
        <f t="shared" ca="1" si="807"/>
        <v>1</v>
      </c>
      <c r="M970" s="7">
        <f t="shared" si="812"/>
        <v>0.11428571428571428</v>
      </c>
      <c r="N970" s="14">
        <f t="shared" si="813"/>
        <v>1.7857142857142856E-2</v>
      </c>
      <c r="O970" s="1">
        <f ca="1">P970*J970*(1+Growth!G$6)^(2010-K970)</f>
        <v>70.261259654537611</v>
      </c>
      <c r="P970" s="22">
        <f>18.5*44/12</f>
        <v>67.833333333333329</v>
      </c>
      <c r="Q970" s="2">
        <f t="shared" si="814"/>
        <v>67.833333333333329</v>
      </c>
      <c r="R970" s="21">
        <f t="shared" ca="1" si="815"/>
        <v>4936.6446082423545</v>
      </c>
      <c r="U970" s="11"/>
      <c r="V970" s="11"/>
      <c r="W970" s="11"/>
      <c r="X970" s="11"/>
      <c r="Y970" s="11"/>
      <c r="Z970" s="11"/>
      <c r="AA970" s="11"/>
      <c r="AB970" s="11"/>
      <c r="AC970" s="1">
        <f t="shared" si="816"/>
        <v>6.4</v>
      </c>
      <c r="AD970" s="5">
        <v>1</v>
      </c>
      <c r="AE970" s="5">
        <v>0</v>
      </c>
      <c r="AF970" s="5">
        <v>1</v>
      </c>
      <c r="AG970" s="5">
        <v>0</v>
      </c>
      <c r="AH970" s="5">
        <v>1</v>
      </c>
      <c r="AI970" s="3">
        <f t="shared" si="817"/>
        <v>3.4</v>
      </c>
      <c r="AJ970" s="5">
        <f t="shared" si="728"/>
        <v>0</v>
      </c>
      <c r="AK970" s="5">
        <f t="shared" si="808"/>
        <v>0</v>
      </c>
      <c r="AL970" s="5">
        <f t="shared" si="809"/>
        <v>0</v>
      </c>
      <c r="AM970" s="5">
        <f t="shared" si="729"/>
        <v>0</v>
      </c>
      <c r="AN970" s="5">
        <f t="shared" si="810"/>
        <v>0</v>
      </c>
      <c r="AO970" s="5">
        <f t="shared" si="730"/>
        <v>0</v>
      </c>
      <c r="AP970" s="11">
        <v>4.2</v>
      </c>
      <c r="AQ970" s="11" t="s">
        <v>42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1</v>
      </c>
      <c r="AY970" s="1">
        <f t="shared" si="818"/>
        <v>0</v>
      </c>
      <c r="AZ970" s="1">
        <f t="shared" si="819"/>
        <v>0</v>
      </c>
      <c r="BA970" s="1">
        <f t="shared" si="820"/>
        <v>0</v>
      </c>
      <c r="BB970" s="5">
        <v>0</v>
      </c>
      <c r="BC970" s="5">
        <v>1</v>
      </c>
      <c r="BD970" s="5">
        <v>0</v>
      </c>
      <c r="BE970" s="5">
        <f t="shared" si="821"/>
        <v>0</v>
      </c>
      <c r="BF970" s="5">
        <v>0</v>
      </c>
      <c r="BG970" s="5">
        <f t="shared" si="811"/>
        <v>0</v>
      </c>
      <c r="BH970" s="5">
        <f t="shared" si="811"/>
        <v>0</v>
      </c>
      <c r="BI970" s="5">
        <f t="shared" si="811"/>
        <v>0</v>
      </c>
      <c r="BJ970" s="5">
        <f t="shared" si="811"/>
        <v>0</v>
      </c>
      <c r="BK970" s="5">
        <f t="shared" si="811"/>
        <v>0</v>
      </c>
      <c r="BL970" s="5">
        <f t="shared" si="811"/>
        <v>0</v>
      </c>
      <c r="BM970" s="5">
        <f t="shared" si="811"/>
        <v>0</v>
      </c>
      <c r="BN970" s="5">
        <f t="shared" si="805"/>
        <v>0</v>
      </c>
      <c r="BO970" s="5">
        <f t="shared" si="805"/>
        <v>0</v>
      </c>
      <c r="BP970" s="5">
        <f t="shared" si="805"/>
        <v>0</v>
      </c>
      <c r="BQ970" s="5">
        <f t="shared" si="805"/>
        <v>0</v>
      </c>
      <c r="BR970" s="5">
        <f t="shared" si="805"/>
        <v>0</v>
      </c>
      <c r="BS970" s="5">
        <f t="shared" si="805"/>
        <v>0</v>
      </c>
      <c r="BT970" s="5">
        <f t="shared" si="805"/>
        <v>0</v>
      </c>
      <c r="BU970" s="5">
        <f t="shared" si="805"/>
        <v>0</v>
      </c>
      <c r="BV970" s="5">
        <f t="shared" si="805"/>
        <v>0</v>
      </c>
      <c r="BW970" s="5">
        <f t="shared" si="805"/>
        <v>0</v>
      </c>
      <c r="BX970" s="5">
        <f t="shared" si="805"/>
        <v>0</v>
      </c>
      <c r="BY970" s="5">
        <f t="shared" si="805"/>
        <v>0</v>
      </c>
      <c r="BZ970" s="5">
        <f t="shared" si="805"/>
        <v>0</v>
      </c>
      <c r="CA970" s="5">
        <f t="shared" si="805"/>
        <v>0</v>
      </c>
      <c r="CB970" s="5">
        <f t="shared" si="805"/>
        <v>0</v>
      </c>
      <c r="CC970" s="5">
        <f t="shared" si="806"/>
        <v>0</v>
      </c>
      <c r="CD970" s="5">
        <f t="shared" si="778"/>
        <v>1</v>
      </c>
      <c r="CE970" s="5">
        <f t="shared" si="778"/>
        <v>0</v>
      </c>
    </row>
    <row r="971" spans="1:83" x14ac:dyDescent="0.2">
      <c r="A971" s="11"/>
      <c r="B971" s="11"/>
      <c r="C971" s="1">
        <f>Growth!D976</f>
        <v>1.7857142857142856E-2</v>
      </c>
      <c r="D971" s="5" t="b">
        <f t="shared" si="715"/>
        <v>0</v>
      </c>
      <c r="E971" s="5">
        <v>2014</v>
      </c>
      <c r="F971" s="5">
        <f ca="1">LOOKUP($E971,frequence!$A$2:$A$35,frequence!L$2:L$35)</f>
        <v>50.75383375536623</v>
      </c>
      <c r="G971" s="5">
        <f ca="1">LOOKUP($E971,frequence!$A$2:$A$35,frequence!K$2:K$35)</f>
        <v>9.9751715831189358</v>
      </c>
      <c r="H971" s="5">
        <f ca="1">LOOKUP($E971,frequence!$A$2:$A$35,frequence!M$2:M$35)</f>
        <v>236.05429056976001</v>
      </c>
      <c r="I971" s="16">
        <v>2005</v>
      </c>
      <c r="J971" s="7">
        <f>LOOKUP(I971,CPI!A$69:A$103,CPI!O$69:O$103)</f>
        <v>1.1165181771633383</v>
      </c>
      <c r="K971" s="16">
        <v>2015</v>
      </c>
      <c r="L971" s="7">
        <f t="shared" ca="1" si="807"/>
        <v>1</v>
      </c>
      <c r="M971" s="7">
        <f t="shared" si="812"/>
        <v>0.11428571428571428</v>
      </c>
      <c r="N971" s="14">
        <f t="shared" si="813"/>
        <v>1.7857142857142856E-2</v>
      </c>
      <c r="O971" s="1">
        <f ca="1">P971*J971*(1+Growth!G$6)^(2010-K971)</f>
        <v>70.641050247264843</v>
      </c>
      <c r="P971" s="22">
        <f>18.6*44/12</f>
        <v>68.2</v>
      </c>
      <c r="Q971" s="2">
        <f t="shared" si="814"/>
        <v>68.2</v>
      </c>
      <c r="R971" s="21">
        <f t="shared" ca="1" si="815"/>
        <v>4990.1579800365962</v>
      </c>
      <c r="U971" s="11"/>
      <c r="V971" s="11"/>
      <c r="W971" s="11"/>
      <c r="X971" s="11"/>
      <c r="Y971" s="11"/>
      <c r="Z971" s="11"/>
      <c r="AA971" s="11"/>
      <c r="AB971" s="11"/>
      <c r="AC971" s="1">
        <f t="shared" si="816"/>
        <v>6.4</v>
      </c>
      <c r="AD971" s="5">
        <v>1</v>
      </c>
      <c r="AE971" s="5">
        <v>0</v>
      </c>
      <c r="AF971" s="5">
        <v>1</v>
      </c>
      <c r="AG971" s="5">
        <v>0</v>
      </c>
      <c r="AH971" s="5">
        <v>1</v>
      </c>
      <c r="AI971" s="3">
        <f t="shared" si="817"/>
        <v>3.4</v>
      </c>
      <c r="AJ971" s="5">
        <f t="shared" si="728"/>
        <v>0</v>
      </c>
      <c r="AK971" s="5">
        <f t="shared" si="808"/>
        <v>0</v>
      </c>
      <c r="AL971" s="5">
        <f t="shared" si="809"/>
        <v>0</v>
      </c>
      <c r="AM971" s="5">
        <f t="shared" si="729"/>
        <v>0</v>
      </c>
      <c r="AN971" s="5">
        <f t="shared" si="810"/>
        <v>0</v>
      </c>
      <c r="AO971" s="5">
        <f t="shared" si="730"/>
        <v>0</v>
      </c>
      <c r="AP971" s="11">
        <v>4.2</v>
      </c>
      <c r="AQ971" s="11" t="s">
        <v>42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1</v>
      </c>
      <c r="AY971" s="1">
        <f t="shared" si="818"/>
        <v>0</v>
      </c>
      <c r="AZ971" s="1">
        <f t="shared" si="819"/>
        <v>0</v>
      </c>
      <c r="BA971" s="1">
        <f t="shared" si="820"/>
        <v>0</v>
      </c>
      <c r="BB971" s="5">
        <v>0</v>
      </c>
      <c r="BC971" s="5">
        <v>1</v>
      </c>
      <c r="BD971" s="5">
        <v>0</v>
      </c>
      <c r="BE971" s="5">
        <f t="shared" si="821"/>
        <v>0</v>
      </c>
      <c r="BF971" s="5">
        <v>0</v>
      </c>
      <c r="BG971" s="5">
        <f t="shared" si="811"/>
        <v>0</v>
      </c>
      <c r="BH971" s="5">
        <f t="shared" si="811"/>
        <v>0</v>
      </c>
      <c r="BI971" s="5">
        <f t="shared" si="811"/>
        <v>0</v>
      </c>
      <c r="BJ971" s="5">
        <f t="shared" si="811"/>
        <v>0</v>
      </c>
      <c r="BK971" s="5">
        <f t="shared" si="811"/>
        <v>0</v>
      </c>
      <c r="BL971" s="5">
        <f t="shared" si="811"/>
        <v>0</v>
      </c>
      <c r="BM971" s="5">
        <f t="shared" si="811"/>
        <v>0</v>
      </c>
      <c r="BN971" s="5">
        <f t="shared" si="805"/>
        <v>0</v>
      </c>
      <c r="BO971" s="5">
        <f t="shared" si="805"/>
        <v>0</v>
      </c>
      <c r="BP971" s="5">
        <f t="shared" si="805"/>
        <v>0</v>
      </c>
      <c r="BQ971" s="5">
        <f t="shared" si="805"/>
        <v>0</v>
      </c>
      <c r="BR971" s="5">
        <f t="shared" si="805"/>
        <v>0</v>
      </c>
      <c r="BS971" s="5">
        <f t="shared" si="805"/>
        <v>0</v>
      </c>
      <c r="BT971" s="5">
        <f t="shared" si="805"/>
        <v>0</v>
      </c>
      <c r="BU971" s="5">
        <f t="shared" si="805"/>
        <v>0</v>
      </c>
      <c r="BV971" s="5">
        <f t="shared" si="805"/>
        <v>0</v>
      </c>
      <c r="BW971" s="5">
        <f t="shared" si="805"/>
        <v>0</v>
      </c>
      <c r="BX971" s="5">
        <f t="shared" si="805"/>
        <v>0</v>
      </c>
      <c r="BY971" s="5">
        <f t="shared" si="805"/>
        <v>0</v>
      </c>
      <c r="BZ971" s="5">
        <f t="shared" si="805"/>
        <v>0</v>
      </c>
      <c r="CA971" s="5">
        <f t="shared" si="805"/>
        <v>0</v>
      </c>
      <c r="CB971" s="5">
        <f t="shared" si="805"/>
        <v>0</v>
      </c>
      <c r="CC971" s="5">
        <f t="shared" si="806"/>
        <v>0</v>
      </c>
      <c r="CD971" s="5">
        <f t="shared" si="778"/>
        <v>1</v>
      </c>
      <c r="CE971" s="5">
        <f t="shared" si="778"/>
        <v>0</v>
      </c>
    </row>
    <row r="972" spans="1:83" x14ac:dyDescent="0.2">
      <c r="A972" s="11"/>
      <c r="B972" s="11"/>
      <c r="C972" s="1">
        <f>Growth!D977</f>
        <v>1.7857142857142856E-2</v>
      </c>
      <c r="D972" s="5" t="b">
        <f t="shared" si="715"/>
        <v>0</v>
      </c>
      <c r="E972" s="5">
        <v>2014</v>
      </c>
      <c r="F972" s="5">
        <f ca="1">LOOKUP($E972,frequence!$A$2:$A$35,frequence!L$2:L$35)</f>
        <v>50.75383375536623</v>
      </c>
      <c r="G972" s="5">
        <f ca="1">LOOKUP($E972,frequence!$A$2:$A$35,frequence!K$2:K$35)</f>
        <v>9.9751715831189358</v>
      </c>
      <c r="H972" s="5">
        <f ca="1">LOOKUP($E972,frequence!$A$2:$A$35,frequence!M$2:M$35)</f>
        <v>236.05429056976001</v>
      </c>
      <c r="I972" s="16">
        <v>2005</v>
      </c>
      <c r="J972" s="7">
        <f>LOOKUP(I972,CPI!A$69:A$103,CPI!O$69:O$103)</f>
        <v>1.1165181771633383</v>
      </c>
      <c r="K972" s="16">
        <v>2015</v>
      </c>
      <c r="L972" s="7">
        <f t="shared" ca="1" si="807"/>
        <v>1</v>
      </c>
      <c r="M972" s="7">
        <f t="shared" si="812"/>
        <v>0.11428571428571428</v>
      </c>
      <c r="N972" s="14">
        <f t="shared" si="813"/>
        <v>1.7857142857142856E-2</v>
      </c>
      <c r="O972" s="1">
        <f ca="1">P972*J972*(1+Growth!G$6)^(2010-K972)</f>
        <v>63.804819578174694</v>
      </c>
      <c r="P972" s="22">
        <f>16.8*44/12</f>
        <v>61.6</v>
      </c>
      <c r="Q972" s="2">
        <f t="shared" si="814"/>
        <v>61.6</v>
      </c>
      <c r="R972" s="21">
        <f t="shared" ca="1" si="815"/>
        <v>4071.0550014034247</v>
      </c>
      <c r="U972" s="11"/>
      <c r="V972" s="11"/>
      <c r="W972" s="11"/>
      <c r="X972" s="11"/>
      <c r="Y972" s="11"/>
      <c r="Z972" s="11"/>
      <c r="AA972" s="11"/>
      <c r="AB972" s="11"/>
      <c r="AC972" s="1">
        <f t="shared" si="816"/>
        <v>6.4</v>
      </c>
      <c r="AD972" s="5">
        <v>1</v>
      </c>
      <c r="AE972" s="5">
        <v>0</v>
      </c>
      <c r="AF972" s="5">
        <v>1</v>
      </c>
      <c r="AG972" s="5">
        <v>0</v>
      </c>
      <c r="AH972" s="5">
        <v>1</v>
      </c>
      <c r="AI972" s="3">
        <f t="shared" si="817"/>
        <v>3.4</v>
      </c>
      <c r="AJ972" s="5">
        <f t="shared" si="728"/>
        <v>0</v>
      </c>
      <c r="AK972" s="5">
        <f t="shared" si="808"/>
        <v>0</v>
      </c>
      <c r="AL972" s="5">
        <f t="shared" si="809"/>
        <v>0</v>
      </c>
      <c r="AM972" s="5">
        <f t="shared" si="729"/>
        <v>0</v>
      </c>
      <c r="AN972" s="5">
        <f t="shared" si="810"/>
        <v>0</v>
      </c>
      <c r="AO972" s="5">
        <f t="shared" si="730"/>
        <v>0</v>
      </c>
      <c r="AP972" s="11">
        <v>4</v>
      </c>
      <c r="AQ972" s="11" t="s">
        <v>42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1</v>
      </c>
      <c r="AY972" s="1">
        <f t="shared" si="818"/>
        <v>0</v>
      </c>
      <c r="AZ972" s="1">
        <f t="shared" si="819"/>
        <v>0</v>
      </c>
      <c r="BA972" s="1">
        <f t="shared" si="820"/>
        <v>0</v>
      </c>
      <c r="BB972" s="5">
        <v>0</v>
      </c>
      <c r="BC972" s="5">
        <v>1</v>
      </c>
      <c r="BD972" s="5">
        <v>0</v>
      </c>
      <c r="BE972" s="5">
        <f t="shared" si="821"/>
        <v>0</v>
      </c>
      <c r="BF972" s="5">
        <v>0</v>
      </c>
      <c r="BG972" s="5">
        <f t="shared" si="811"/>
        <v>0</v>
      </c>
      <c r="BH972" s="5">
        <f t="shared" si="811"/>
        <v>0</v>
      </c>
      <c r="BI972" s="5">
        <f t="shared" si="811"/>
        <v>0</v>
      </c>
      <c r="BJ972" s="5">
        <f t="shared" si="811"/>
        <v>0</v>
      </c>
      <c r="BK972" s="5">
        <f t="shared" si="811"/>
        <v>0</v>
      </c>
      <c r="BL972" s="5">
        <f t="shared" si="811"/>
        <v>0</v>
      </c>
      <c r="BM972" s="5">
        <f t="shared" si="811"/>
        <v>0</v>
      </c>
      <c r="BN972" s="5">
        <f t="shared" si="805"/>
        <v>0</v>
      </c>
      <c r="BO972" s="5">
        <f t="shared" si="805"/>
        <v>0</v>
      </c>
      <c r="BP972" s="5">
        <f t="shared" si="805"/>
        <v>0</v>
      </c>
      <c r="BQ972" s="5">
        <f t="shared" si="805"/>
        <v>0</v>
      </c>
      <c r="BR972" s="5">
        <f t="shared" si="805"/>
        <v>0</v>
      </c>
      <c r="BS972" s="5">
        <f t="shared" si="805"/>
        <v>0</v>
      </c>
      <c r="BT972" s="5">
        <f t="shared" si="805"/>
        <v>0</v>
      </c>
      <c r="BU972" s="5">
        <f t="shared" si="805"/>
        <v>0</v>
      </c>
      <c r="BV972" s="5">
        <f t="shared" si="805"/>
        <v>0</v>
      </c>
      <c r="BW972" s="5">
        <f t="shared" si="805"/>
        <v>0</v>
      </c>
      <c r="BX972" s="5">
        <f t="shared" si="805"/>
        <v>0</v>
      </c>
      <c r="BY972" s="5">
        <f t="shared" si="805"/>
        <v>0</v>
      </c>
      <c r="BZ972" s="5">
        <f t="shared" si="805"/>
        <v>0</v>
      </c>
      <c r="CA972" s="5">
        <f t="shared" si="805"/>
        <v>0</v>
      </c>
      <c r="CB972" s="5">
        <f t="shared" si="805"/>
        <v>0</v>
      </c>
      <c r="CC972" s="5">
        <f t="shared" si="806"/>
        <v>0</v>
      </c>
      <c r="CD972" s="5">
        <f t="shared" si="778"/>
        <v>1</v>
      </c>
      <c r="CE972" s="5">
        <f t="shared" si="778"/>
        <v>0</v>
      </c>
    </row>
    <row r="973" spans="1:83" x14ac:dyDescent="0.2">
      <c r="A973" s="11"/>
      <c r="B973" s="11"/>
      <c r="C973" s="1">
        <f>Growth!D978</f>
        <v>1.7857142857142856E-2</v>
      </c>
      <c r="D973" s="5" t="b">
        <f t="shared" si="715"/>
        <v>0</v>
      </c>
      <c r="E973" s="5">
        <v>2014</v>
      </c>
      <c r="F973" s="5">
        <f ca="1">LOOKUP($E973,frequence!$A$2:$A$35,frequence!L$2:L$35)</f>
        <v>50.75383375536623</v>
      </c>
      <c r="G973" s="5">
        <f ca="1">LOOKUP($E973,frequence!$A$2:$A$35,frequence!K$2:K$35)</f>
        <v>9.9751715831189358</v>
      </c>
      <c r="H973" s="5">
        <f ca="1">LOOKUP($E973,frequence!$A$2:$A$35,frequence!M$2:M$35)</f>
        <v>236.05429056976001</v>
      </c>
      <c r="I973" s="16">
        <v>2005</v>
      </c>
      <c r="J973" s="7">
        <f>LOOKUP(I973,CPI!A$69:A$103,CPI!O$69:O$103)</f>
        <v>1.1165181771633383</v>
      </c>
      <c r="K973" s="16">
        <v>2015</v>
      </c>
      <c r="L973" s="7">
        <f t="shared" ca="1" si="807"/>
        <v>1</v>
      </c>
      <c r="M973" s="7">
        <f t="shared" si="812"/>
        <v>0.11428571428571428</v>
      </c>
      <c r="N973" s="14">
        <f t="shared" si="813"/>
        <v>1.7857142857142856E-2</v>
      </c>
      <c r="O973" s="1">
        <f ca="1">P973*J973*(1+Growth!G$6)^(2010-K973)</f>
        <v>97.98597292362544</v>
      </c>
      <c r="P973" s="22">
        <f>25.8*44/12</f>
        <v>94.600000000000009</v>
      </c>
      <c r="Q973" s="2">
        <f t="shared" si="814"/>
        <v>94.600000000000009</v>
      </c>
      <c r="R973" s="21">
        <f t="shared" ca="1" si="815"/>
        <v>9601.2508897894586</v>
      </c>
      <c r="U973" s="11"/>
      <c r="V973" s="11"/>
      <c r="W973" s="11"/>
      <c r="X973" s="11"/>
      <c r="Y973" s="11"/>
      <c r="Z973" s="11"/>
      <c r="AA973" s="11"/>
      <c r="AB973" s="11"/>
      <c r="AC973" s="1">
        <f t="shared" si="816"/>
        <v>6.4</v>
      </c>
      <c r="AD973" s="5">
        <v>1</v>
      </c>
      <c r="AE973" s="5">
        <v>0</v>
      </c>
      <c r="AF973" s="5">
        <v>1</v>
      </c>
      <c r="AG973" s="5">
        <v>0</v>
      </c>
      <c r="AH973" s="5">
        <v>1</v>
      </c>
      <c r="AI973" s="3">
        <f t="shared" si="817"/>
        <v>3.4</v>
      </c>
      <c r="AJ973" s="5">
        <f t="shared" si="728"/>
        <v>0</v>
      </c>
      <c r="AK973" s="5">
        <f t="shared" si="808"/>
        <v>0</v>
      </c>
      <c r="AL973" s="5">
        <f t="shared" si="809"/>
        <v>0</v>
      </c>
      <c r="AM973" s="5">
        <f t="shared" si="729"/>
        <v>0</v>
      </c>
      <c r="AN973" s="5">
        <f t="shared" si="810"/>
        <v>0</v>
      </c>
      <c r="AO973" s="5">
        <f t="shared" si="730"/>
        <v>0</v>
      </c>
      <c r="AP973" s="11">
        <v>4</v>
      </c>
      <c r="AQ973" s="11" t="s">
        <v>42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1</v>
      </c>
      <c r="AY973" s="1">
        <f t="shared" si="818"/>
        <v>0</v>
      </c>
      <c r="AZ973" s="1">
        <f t="shared" si="819"/>
        <v>0</v>
      </c>
      <c r="BA973" s="1">
        <f t="shared" si="820"/>
        <v>0</v>
      </c>
      <c r="BB973" s="5">
        <v>0</v>
      </c>
      <c r="BC973" s="5">
        <v>1</v>
      </c>
      <c r="BD973" s="5">
        <v>0</v>
      </c>
      <c r="BE973" s="5">
        <f t="shared" si="821"/>
        <v>0</v>
      </c>
      <c r="BF973" s="5">
        <v>0</v>
      </c>
      <c r="BG973" s="5">
        <f t="shared" si="811"/>
        <v>0</v>
      </c>
      <c r="BH973" s="5">
        <f t="shared" si="811"/>
        <v>0</v>
      </c>
      <c r="BI973" s="5">
        <f t="shared" si="811"/>
        <v>0</v>
      </c>
      <c r="BJ973" s="5">
        <f t="shared" si="811"/>
        <v>0</v>
      </c>
      <c r="BK973" s="5">
        <f t="shared" si="811"/>
        <v>0</v>
      </c>
      <c r="BL973" s="5">
        <f t="shared" si="811"/>
        <v>0</v>
      </c>
      <c r="BM973" s="5">
        <f t="shared" si="811"/>
        <v>0</v>
      </c>
      <c r="BN973" s="5">
        <f t="shared" si="805"/>
        <v>0</v>
      </c>
      <c r="BO973" s="5">
        <f t="shared" si="805"/>
        <v>0</v>
      </c>
      <c r="BP973" s="5">
        <f t="shared" si="805"/>
        <v>0</v>
      </c>
      <c r="BQ973" s="5">
        <f t="shared" si="805"/>
        <v>0</v>
      </c>
      <c r="BR973" s="5">
        <f t="shared" si="805"/>
        <v>0</v>
      </c>
      <c r="BS973" s="5">
        <f t="shared" si="805"/>
        <v>0</v>
      </c>
      <c r="BT973" s="5">
        <f t="shared" si="805"/>
        <v>0</v>
      </c>
      <c r="BU973" s="5">
        <f t="shared" si="805"/>
        <v>0</v>
      </c>
      <c r="BV973" s="5">
        <f t="shared" si="805"/>
        <v>0</v>
      </c>
      <c r="BW973" s="5">
        <f t="shared" si="805"/>
        <v>0</v>
      </c>
      <c r="BX973" s="5">
        <f t="shared" si="805"/>
        <v>0</v>
      </c>
      <c r="BY973" s="5">
        <f t="shared" si="805"/>
        <v>0</v>
      </c>
      <c r="BZ973" s="5">
        <f t="shared" si="805"/>
        <v>0</v>
      </c>
      <c r="CA973" s="5">
        <f t="shared" si="805"/>
        <v>0</v>
      </c>
      <c r="CB973" s="5">
        <f t="shared" si="805"/>
        <v>0</v>
      </c>
      <c r="CC973" s="5">
        <f t="shared" si="806"/>
        <v>0</v>
      </c>
      <c r="CD973" s="5">
        <f t="shared" si="778"/>
        <v>1</v>
      </c>
      <c r="CE973" s="5">
        <f t="shared" si="778"/>
        <v>0</v>
      </c>
    </row>
    <row r="974" spans="1:83" x14ac:dyDescent="0.2">
      <c r="A974" s="11"/>
      <c r="B974" s="11"/>
      <c r="C974" s="1">
        <f>Growth!D979</f>
        <v>1.7857142857142856E-2</v>
      </c>
      <c r="D974" s="5" t="b">
        <f t="shared" si="715"/>
        <v>0</v>
      </c>
      <c r="E974" s="5">
        <v>2014</v>
      </c>
      <c r="F974" s="5">
        <f ca="1">LOOKUP($E974,frequence!$A$2:$A$35,frequence!L$2:L$35)</f>
        <v>50.75383375536623</v>
      </c>
      <c r="G974" s="5">
        <f ca="1">LOOKUP($E974,frequence!$A$2:$A$35,frequence!K$2:K$35)</f>
        <v>9.9751715831189358</v>
      </c>
      <c r="H974" s="5">
        <f ca="1">LOOKUP($E974,frequence!$A$2:$A$35,frequence!M$2:M$35)</f>
        <v>236.05429056976001</v>
      </c>
      <c r="I974" s="16">
        <v>2005</v>
      </c>
      <c r="J974" s="7">
        <f>LOOKUP(I974,CPI!A$69:A$103,CPI!O$69:O$103)</f>
        <v>1.1165181771633383</v>
      </c>
      <c r="K974" s="16">
        <v>2015</v>
      </c>
      <c r="L974" s="7">
        <f t="shared" ca="1" si="807"/>
        <v>1</v>
      </c>
      <c r="M974" s="7">
        <f t="shared" si="812"/>
        <v>0.11428571428571428</v>
      </c>
      <c r="N974" s="14">
        <f t="shared" si="813"/>
        <v>1.7857142857142856E-2</v>
      </c>
      <c r="O974" s="1">
        <f ca="1">P974*J974*(1+Growth!G$6)^(2010-K974)</f>
        <v>79.756024472718366</v>
      </c>
      <c r="P974" s="22">
        <f>21*44/12</f>
        <v>77</v>
      </c>
      <c r="Q974" s="2">
        <f t="shared" si="814"/>
        <v>77</v>
      </c>
      <c r="R974" s="21">
        <f t="shared" ca="1" si="815"/>
        <v>6361.0234396928508</v>
      </c>
      <c r="U974" s="11"/>
      <c r="V974" s="11"/>
      <c r="W974" s="11"/>
      <c r="X974" s="11"/>
      <c r="Y974" s="11"/>
      <c r="Z974" s="11"/>
      <c r="AA974" s="11"/>
      <c r="AB974" s="11"/>
      <c r="AC974" s="1">
        <f t="shared" si="816"/>
        <v>6.4</v>
      </c>
      <c r="AD974" s="5">
        <v>1</v>
      </c>
      <c r="AE974" s="5">
        <v>0</v>
      </c>
      <c r="AF974" s="5">
        <v>1</v>
      </c>
      <c r="AG974" s="5">
        <v>0</v>
      </c>
      <c r="AH974" s="5">
        <v>1</v>
      </c>
      <c r="AI974" s="3">
        <f t="shared" si="817"/>
        <v>3.4</v>
      </c>
      <c r="AJ974" s="5">
        <f t="shared" si="728"/>
        <v>0</v>
      </c>
      <c r="AK974" s="5">
        <f t="shared" si="808"/>
        <v>0</v>
      </c>
      <c r="AL974" s="5">
        <f t="shared" si="809"/>
        <v>0</v>
      </c>
      <c r="AM974" s="5">
        <f t="shared" si="729"/>
        <v>0</v>
      </c>
      <c r="AN974" s="5">
        <f t="shared" si="810"/>
        <v>0</v>
      </c>
      <c r="AO974" s="5">
        <f t="shared" si="730"/>
        <v>0</v>
      </c>
      <c r="AP974" s="11">
        <v>4</v>
      </c>
      <c r="AQ974" s="11" t="s">
        <v>42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1</v>
      </c>
      <c r="AY974" s="1">
        <f t="shared" si="818"/>
        <v>0</v>
      </c>
      <c r="AZ974" s="1">
        <f t="shared" si="819"/>
        <v>0</v>
      </c>
      <c r="BA974" s="1">
        <f t="shared" si="820"/>
        <v>0</v>
      </c>
      <c r="BB974" s="5">
        <v>0</v>
      </c>
      <c r="BC974" s="5">
        <v>1</v>
      </c>
      <c r="BD974" s="5">
        <v>0</v>
      </c>
      <c r="BE974" s="5">
        <f t="shared" si="821"/>
        <v>0</v>
      </c>
      <c r="BF974" s="5">
        <v>0</v>
      </c>
      <c r="BG974" s="5">
        <f t="shared" si="811"/>
        <v>0</v>
      </c>
      <c r="BH974" s="5">
        <f t="shared" si="811"/>
        <v>0</v>
      </c>
      <c r="BI974" s="5">
        <f t="shared" si="811"/>
        <v>0</v>
      </c>
      <c r="BJ974" s="5">
        <f t="shared" si="811"/>
        <v>0</v>
      </c>
      <c r="BK974" s="5">
        <f t="shared" si="811"/>
        <v>0</v>
      </c>
      <c r="BL974" s="5">
        <f t="shared" si="811"/>
        <v>0</v>
      </c>
      <c r="BM974" s="5">
        <f t="shared" si="811"/>
        <v>0</v>
      </c>
      <c r="BN974" s="5">
        <f t="shared" si="805"/>
        <v>0</v>
      </c>
      <c r="BO974" s="5">
        <f t="shared" si="805"/>
        <v>0</v>
      </c>
      <c r="BP974" s="5">
        <f t="shared" si="805"/>
        <v>0</v>
      </c>
      <c r="BQ974" s="5">
        <f t="shared" si="805"/>
        <v>0</v>
      </c>
      <c r="BR974" s="5">
        <f t="shared" si="805"/>
        <v>0</v>
      </c>
      <c r="BS974" s="5">
        <f t="shared" si="805"/>
        <v>0</v>
      </c>
      <c r="BT974" s="5">
        <f t="shared" si="805"/>
        <v>0</v>
      </c>
      <c r="BU974" s="5">
        <f t="shared" si="805"/>
        <v>0</v>
      </c>
      <c r="BV974" s="5">
        <f t="shared" si="805"/>
        <v>0</v>
      </c>
      <c r="BW974" s="5">
        <f t="shared" si="805"/>
        <v>0</v>
      </c>
      <c r="BX974" s="5">
        <f t="shared" si="805"/>
        <v>0</v>
      </c>
      <c r="BY974" s="5">
        <f t="shared" si="805"/>
        <v>0</v>
      </c>
      <c r="BZ974" s="5">
        <f t="shared" si="805"/>
        <v>0</v>
      </c>
      <c r="CA974" s="5">
        <f t="shared" si="805"/>
        <v>0</v>
      </c>
      <c r="CB974" s="5">
        <f t="shared" si="805"/>
        <v>0</v>
      </c>
      <c r="CC974" s="5">
        <f t="shared" si="806"/>
        <v>0</v>
      </c>
      <c r="CD974" s="5">
        <f t="shared" si="778"/>
        <v>1</v>
      </c>
      <c r="CE974" s="5">
        <f t="shared" si="778"/>
        <v>0</v>
      </c>
    </row>
    <row r="975" spans="1:83" x14ac:dyDescent="0.2">
      <c r="A975" s="11"/>
      <c r="B975" s="11"/>
      <c r="C975" s="1">
        <f>Growth!D980</f>
        <v>1.7857142857142856E-2</v>
      </c>
      <c r="D975" s="5" t="b">
        <f t="shared" si="715"/>
        <v>0</v>
      </c>
      <c r="E975" s="5">
        <v>2014</v>
      </c>
      <c r="F975" s="5">
        <f ca="1">LOOKUP($E975,frequence!$A$2:$A$35,frequence!L$2:L$35)</f>
        <v>50.75383375536623</v>
      </c>
      <c r="G975" s="5">
        <f ca="1">LOOKUP($E975,frequence!$A$2:$A$35,frequence!K$2:K$35)</f>
        <v>9.9751715831189358</v>
      </c>
      <c r="H975" s="5">
        <f ca="1">LOOKUP($E975,frequence!$A$2:$A$35,frequence!M$2:M$35)</f>
        <v>236.05429056976001</v>
      </c>
      <c r="I975" s="16">
        <v>2005</v>
      </c>
      <c r="J975" s="7">
        <f>LOOKUP(I975,CPI!A$69:A$103,CPI!O$69:O$103)</f>
        <v>1.1165181771633383</v>
      </c>
      <c r="K975" s="16">
        <v>2015</v>
      </c>
      <c r="L975" s="7">
        <f t="shared" ca="1" si="807"/>
        <v>1</v>
      </c>
      <c r="M975" s="7">
        <f t="shared" si="812"/>
        <v>0.11428571428571428</v>
      </c>
      <c r="N975" s="14">
        <f t="shared" si="813"/>
        <v>1.7857142857142856E-2</v>
      </c>
      <c r="O975" s="1">
        <f ca="1">P975*J975*(1+Growth!G$6)^(2010-K975)</f>
        <v>118.11487433816865</v>
      </c>
      <c r="P975" s="22">
        <f>31.1*44/12</f>
        <v>114.03333333333335</v>
      </c>
      <c r="Q975" s="2">
        <f t="shared" si="814"/>
        <v>114.03333333333335</v>
      </c>
      <c r="R975" s="21">
        <f t="shared" ca="1" si="815"/>
        <v>13951.123539921371</v>
      </c>
      <c r="U975" s="11"/>
      <c r="V975" s="11"/>
      <c r="W975" s="11"/>
      <c r="X975" s="11"/>
      <c r="Y975" s="11"/>
      <c r="Z975" s="11"/>
      <c r="AA975" s="11"/>
      <c r="AB975" s="11"/>
      <c r="AC975" s="1">
        <f t="shared" si="816"/>
        <v>6.4</v>
      </c>
      <c r="AD975" s="5">
        <v>1</v>
      </c>
      <c r="AE975" s="5">
        <v>0</v>
      </c>
      <c r="AF975" s="5">
        <v>1</v>
      </c>
      <c r="AG975" s="5">
        <v>0</v>
      </c>
      <c r="AH975" s="5">
        <v>1</v>
      </c>
      <c r="AI975" s="3">
        <f t="shared" si="817"/>
        <v>3.4</v>
      </c>
      <c r="AJ975" s="5">
        <f t="shared" si="728"/>
        <v>0</v>
      </c>
      <c r="AK975" s="5">
        <f t="shared" si="808"/>
        <v>0</v>
      </c>
      <c r="AL975" s="5">
        <f t="shared" si="809"/>
        <v>0</v>
      </c>
      <c r="AM975" s="5">
        <f t="shared" si="729"/>
        <v>0</v>
      </c>
      <c r="AN975" s="5">
        <f t="shared" si="810"/>
        <v>0</v>
      </c>
      <c r="AO975" s="5">
        <f t="shared" si="730"/>
        <v>0</v>
      </c>
      <c r="AP975" s="11">
        <v>3</v>
      </c>
      <c r="AQ975" s="11" t="s">
        <v>42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1</v>
      </c>
      <c r="AY975" s="1">
        <f t="shared" si="818"/>
        <v>0</v>
      </c>
      <c r="AZ975" s="1">
        <f t="shared" si="819"/>
        <v>0</v>
      </c>
      <c r="BA975" s="1">
        <f t="shared" si="820"/>
        <v>0</v>
      </c>
      <c r="BB975" s="5">
        <v>0</v>
      </c>
      <c r="BC975" s="5">
        <v>1</v>
      </c>
      <c r="BD975" s="5">
        <v>0</v>
      </c>
      <c r="BE975" s="5">
        <f t="shared" si="821"/>
        <v>0</v>
      </c>
      <c r="BF975" s="5">
        <v>0</v>
      </c>
      <c r="BG975" s="5">
        <f t="shared" si="811"/>
        <v>0</v>
      </c>
      <c r="BH975" s="5">
        <f t="shared" si="811"/>
        <v>0</v>
      </c>
      <c r="BI975" s="5">
        <f t="shared" si="811"/>
        <v>0</v>
      </c>
      <c r="BJ975" s="5">
        <f t="shared" si="811"/>
        <v>0</v>
      </c>
      <c r="BK975" s="5">
        <f t="shared" si="811"/>
        <v>0</v>
      </c>
      <c r="BL975" s="5">
        <f t="shared" si="811"/>
        <v>0</v>
      </c>
      <c r="BM975" s="5">
        <f t="shared" si="811"/>
        <v>0</v>
      </c>
      <c r="BN975" s="5">
        <f t="shared" si="805"/>
        <v>0</v>
      </c>
      <c r="BO975" s="5">
        <f t="shared" si="805"/>
        <v>0</v>
      </c>
      <c r="BP975" s="5">
        <f t="shared" si="805"/>
        <v>0</v>
      </c>
      <c r="BQ975" s="5">
        <f t="shared" si="805"/>
        <v>0</v>
      </c>
      <c r="BR975" s="5">
        <f t="shared" si="805"/>
        <v>0</v>
      </c>
      <c r="BS975" s="5">
        <f t="shared" si="805"/>
        <v>0</v>
      </c>
      <c r="BT975" s="5">
        <f t="shared" si="805"/>
        <v>0</v>
      </c>
      <c r="BU975" s="5">
        <f t="shared" si="805"/>
        <v>0</v>
      </c>
      <c r="BV975" s="5">
        <f t="shared" si="805"/>
        <v>0</v>
      </c>
      <c r="BW975" s="5">
        <f t="shared" si="805"/>
        <v>0</v>
      </c>
      <c r="BX975" s="5">
        <f t="shared" si="805"/>
        <v>0</v>
      </c>
      <c r="BY975" s="5">
        <f t="shared" si="805"/>
        <v>0</v>
      </c>
      <c r="BZ975" s="5">
        <f t="shared" si="805"/>
        <v>0</v>
      </c>
      <c r="CA975" s="5">
        <f t="shared" si="805"/>
        <v>0</v>
      </c>
      <c r="CB975" s="5">
        <f t="shared" si="805"/>
        <v>0</v>
      </c>
      <c r="CC975" s="5">
        <f t="shared" si="806"/>
        <v>0</v>
      </c>
      <c r="CD975" s="5">
        <f t="shared" si="806"/>
        <v>1</v>
      </c>
      <c r="CE975" s="5">
        <f t="shared" si="806"/>
        <v>0</v>
      </c>
    </row>
    <row r="976" spans="1:83" x14ac:dyDescent="0.2">
      <c r="A976" s="11"/>
      <c r="B976" s="11"/>
      <c r="C976" s="1">
        <f>Growth!D981</f>
        <v>1.7857142857142856E-2</v>
      </c>
      <c r="D976" s="5" t="b">
        <f t="shared" si="715"/>
        <v>0</v>
      </c>
      <c r="E976" s="5">
        <v>2014</v>
      </c>
      <c r="F976" s="5">
        <f ca="1">LOOKUP($E976,frequence!$A$2:$A$35,frequence!L$2:L$35)</f>
        <v>50.75383375536623</v>
      </c>
      <c r="G976" s="5">
        <f ca="1">LOOKUP($E976,frequence!$A$2:$A$35,frequence!K$2:K$35)</f>
        <v>9.9751715831189358</v>
      </c>
      <c r="H976" s="5">
        <f ca="1">LOOKUP($E976,frequence!$A$2:$A$35,frequence!M$2:M$35)</f>
        <v>236.05429056976001</v>
      </c>
      <c r="I976" s="16">
        <v>2005</v>
      </c>
      <c r="J976" s="7">
        <f>LOOKUP(I976,CPI!A$69:A$103,CPI!O$69:O$103)</f>
        <v>1.1165181771633383</v>
      </c>
      <c r="K976" s="16">
        <v>2015</v>
      </c>
      <c r="L976" s="7">
        <f t="shared" ca="1" si="807"/>
        <v>1</v>
      </c>
      <c r="M976" s="7">
        <f t="shared" si="812"/>
        <v>0.11428571428571428</v>
      </c>
      <c r="N976" s="14">
        <f t="shared" si="813"/>
        <v>1.7857142857142856E-2</v>
      </c>
      <c r="O976" s="1">
        <f ca="1">P976*J976*(1+Growth!G$6)^(2010-K976)</f>
        <v>189.89529636361519</v>
      </c>
      <c r="P976" s="22">
        <f>50*44/12</f>
        <v>183.33333333333334</v>
      </c>
      <c r="Q976" s="2">
        <f t="shared" si="814"/>
        <v>183.33333333333334</v>
      </c>
      <c r="R976" s="21">
        <f t="shared" ca="1" si="815"/>
        <v>36060.223581025246</v>
      </c>
      <c r="U976" s="11"/>
      <c r="V976" s="11"/>
      <c r="W976" s="11"/>
      <c r="X976" s="11"/>
      <c r="Y976" s="11"/>
      <c r="Z976" s="11"/>
      <c r="AA976" s="11"/>
      <c r="AB976" s="11"/>
      <c r="AC976" s="1">
        <f t="shared" si="816"/>
        <v>6.4</v>
      </c>
      <c r="AD976" s="5">
        <v>1</v>
      </c>
      <c r="AE976" s="5">
        <v>0</v>
      </c>
      <c r="AF976" s="5">
        <v>1</v>
      </c>
      <c r="AG976" s="5">
        <v>0</v>
      </c>
      <c r="AH976" s="5">
        <v>1</v>
      </c>
      <c r="AI976" s="3">
        <f t="shared" si="817"/>
        <v>3.4</v>
      </c>
      <c r="AJ976" s="5">
        <f t="shared" si="728"/>
        <v>0</v>
      </c>
      <c r="AK976" s="5">
        <f t="shared" si="808"/>
        <v>0</v>
      </c>
      <c r="AL976" s="5">
        <f t="shared" si="809"/>
        <v>0</v>
      </c>
      <c r="AM976" s="5">
        <f t="shared" si="729"/>
        <v>0</v>
      </c>
      <c r="AN976" s="5">
        <f t="shared" si="810"/>
        <v>0</v>
      </c>
      <c r="AO976" s="5">
        <f t="shared" si="730"/>
        <v>0</v>
      </c>
      <c r="AP976" s="11">
        <v>3</v>
      </c>
      <c r="AQ976" s="11" t="s">
        <v>42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1</v>
      </c>
      <c r="AY976" s="1">
        <f t="shared" si="818"/>
        <v>0</v>
      </c>
      <c r="AZ976" s="1">
        <f t="shared" si="819"/>
        <v>0</v>
      </c>
      <c r="BA976" s="1">
        <f t="shared" si="820"/>
        <v>0</v>
      </c>
      <c r="BB976" s="5">
        <v>0</v>
      </c>
      <c r="BC976" s="5">
        <v>1</v>
      </c>
      <c r="BD976" s="5">
        <v>0</v>
      </c>
      <c r="BE976" s="5">
        <f t="shared" si="821"/>
        <v>0</v>
      </c>
      <c r="BF976" s="5">
        <v>0</v>
      </c>
      <c r="BG976" s="5">
        <f t="shared" si="811"/>
        <v>0</v>
      </c>
      <c r="BH976" s="5">
        <f t="shared" si="811"/>
        <v>0</v>
      </c>
      <c r="BI976" s="5">
        <f t="shared" si="811"/>
        <v>0</v>
      </c>
      <c r="BJ976" s="5">
        <f t="shared" si="811"/>
        <v>0</v>
      </c>
      <c r="BK976" s="5">
        <f t="shared" si="811"/>
        <v>0</v>
      </c>
      <c r="BL976" s="5">
        <f t="shared" si="811"/>
        <v>0</v>
      </c>
      <c r="BM976" s="5">
        <f t="shared" si="811"/>
        <v>0</v>
      </c>
      <c r="BN976" s="5">
        <f t="shared" si="805"/>
        <v>0</v>
      </c>
      <c r="BO976" s="5">
        <f t="shared" si="805"/>
        <v>0</v>
      </c>
      <c r="BP976" s="5">
        <f t="shared" si="805"/>
        <v>0</v>
      </c>
      <c r="BQ976" s="5">
        <f t="shared" si="805"/>
        <v>0</v>
      </c>
      <c r="BR976" s="5">
        <f t="shared" si="805"/>
        <v>0</v>
      </c>
      <c r="BS976" s="5">
        <f t="shared" si="805"/>
        <v>0</v>
      </c>
      <c r="BT976" s="5">
        <f t="shared" si="805"/>
        <v>0</v>
      </c>
      <c r="BU976" s="5">
        <f t="shared" si="805"/>
        <v>0</v>
      </c>
      <c r="BV976" s="5">
        <f t="shared" si="805"/>
        <v>0</v>
      </c>
      <c r="BW976" s="5">
        <f t="shared" si="805"/>
        <v>0</v>
      </c>
      <c r="BX976" s="5">
        <f t="shared" si="805"/>
        <v>0</v>
      </c>
      <c r="BY976" s="5">
        <f t="shared" si="805"/>
        <v>0</v>
      </c>
      <c r="BZ976" s="5">
        <f t="shared" si="805"/>
        <v>0</v>
      </c>
      <c r="CA976" s="5">
        <f t="shared" si="805"/>
        <v>0</v>
      </c>
      <c r="CB976" s="5">
        <f t="shared" si="805"/>
        <v>0</v>
      </c>
      <c r="CC976" s="5">
        <f t="shared" si="806"/>
        <v>0</v>
      </c>
      <c r="CD976" s="5">
        <f t="shared" si="806"/>
        <v>1</v>
      </c>
      <c r="CE976" s="5">
        <f t="shared" si="806"/>
        <v>0</v>
      </c>
    </row>
    <row r="977" spans="1:83" x14ac:dyDescent="0.2">
      <c r="A977" s="11"/>
      <c r="B977" s="11"/>
      <c r="C977" s="1">
        <f>Growth!D982</f>
        <v>1.7857142857142856E-2</v>
      </c>
      <c r="D977" s="5" t="b">
        <f t="shared" si="715"/>
        <v>0</v>
      </c>
      <c r="E977" s="5">
        <v>2014</v>
      </c>
      <c r="F977" s="5">
        <f ca="1">LOOKUP($E977,frequence!$A$2:$A$35,frequence!L$2:L$35)</f>
        <v>50.75383375536623</v>
      </c>
      <c r="G977" s="5">
        <f ca="1">LOOKUP($E977,frequence!$A$2:$A$35,frequence!K$2:K$35)</f>
        <v>9.9751715831189358</v>
      </c>
      <c r="H977" s="5">
        <f ca="1">LOOKUP($E977,frequence!$A$2:$A$35,frequence!M$2:M$35)</f>
        <v>236.05429056976001</v>
      </c>
      <c r="I977" s="16">
        <v>2005</v>
      </c>
      <c r="J977" s="7">
        <f>LOOKUP(I977,CPI!A$69:A$103,CPI!O$69:O$103)</f>
        <v>1.1165181771633383</v>
      </c>
      <c r="K977" s="16">
        <v>2015</v>
      </c>
      <c r="L977" s="7">
        <f t="shared" ca="1" si="807"/>
        <v>1</v>
      </c>
      <c r="M977" s="7">
        <f t="shared" si="812"/>
        <v>0.11428571428571428</v>
      </c>
      <c r="N977" s="14">
        <f t="shared" si="813"/>
        <v>1.7857142857142856E-2</v>
      </c>
      <c r="O977" s="1">
        <f ca="1">P977*J977*(1+Growth!G$6)^(2010-K977)</f>
        <v>152.67581827634658</v>
      </c>
      <c r="P977" s="22">
        <f>40.2*44/12</f>
        <v>147.4</v>
      </c>
      <c r="Q977" s="2">
        <f t="shared" si="814"/>
        <v>147.4</v>
      </c>
      <c r="R977" s="21">
        <f t="shared" ca="1" si="815"/>
        <v>23309.905486352003</v>
      </c>
      <c r="U977" s="11"/>
      <c r="V977" s="11"/>
      <c r="W977" s="11"/>
      <c r="X977" s="11"/>
      <c r="Y977" s="11"/>
      <c r="Z977" s="11"/>
      <c r="AA977" s="11"/>
      <c r="AB977" s="11"/>
      <c r="AC977" s="1">
        <f t="shared" si="816"/>
        <v>6.4</v>
      </c>
      <c r="AD977" s="5">
        <v>1</v>
      </c>
      <c r="AE977" s="5">
        <v>0</v>
      </c>
      <c r="AF977" s="5">
        <v>1</v>
      </c>
      <c r="AG977" s="5">
        <v>0</v>
      </c>
      <c r="AH977" s="5">
        <v>1</v>
      </c>
      <c r="AI977" s="3">
        <f t="shared" si="817"/>
        <v>3.4</v>
      </c>
      <c r="AJ977" s="5">
        <f t="shared" si="728"/>
        <v>0</v>
      </c>
      <c r="AK977" s="5">
        <f t="shared" si="808"/>
        <v>0</v>
      </c>
      <c r="AL977" s="5">
        <f t="shared" si="809"/>
        <v>0</v>
      </c>
      <c r="AM977" s="5">
        <f t="shared" si="729"/>
        <v>0</v>
      </c>
      <c r="AN977" s="5">
        <f t="shared" si="810"/>
        <v>0</v>
      </c>
      <c r="AO977" s="5">
        <f t="shared" si="730"/>
        <v>0</v>
      </c>
      <c r="AP977" s="11">
        <v>3</v>
      </c>
      <c r="AQ977" s="11" t="s">
        <v>42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1</v>
      </c>
      <c r="AY977" s="1">
        <f t="shared" si="818"/>
        <v>0</v>
      </c>
      <c r="AZ977" s="1">
        <f t="shared" si="819"/>
        <v>0</v>
      </c>
      <c r="BA977" s="1">
        <f t="shared" si="820"/>
        <v>0</v>
      </c>
      <c r="BB977" s="5">
        <v>0</v>
      </c>
      <c r="BC977" s="5">
        <v>1</v>
      </c>
      <c r="BD977" s="5">
        <v>0</v>
      </c>
      <c r="BE977" s="5">
        <f t="shared" si="821"/>
        <v>0</v>
      </c>
      <c r="BF977" s="5">
        <v>0</v>
      </c>
      <c r="BG977" s="5">
        <f t="shared" si="811"/>
        <v>0</v>
      </c>
      <c r="BH977" s="5">
        <f t="shared" si="811"/>
        <v>0</v>
      </c>
      <c r="BI977" s="5">
        <f t="shared" si="811"/>
        <v>0</v>
      </c>
      <c r="BJ977" s="5">
        <f t="shared" si="811"/>
        <v>0</v>
      </c>
      <c r="BK977" s="5">
        <f t="shared" si="811"/>
        <v>0</v>
      </c>
      <c r="BL977" s="5">
        <f t="shared" si="811"/>
        <v>0</v>
      </c>
      <c r="BM977" s="5">
        <f t="shared" si="811"/>
        <v>0</v>
      </c>
      <c r="BN977" s="5">
        <f t="shared" si="805"/>
        <v>0</v>
      </c>
      <c r="BO977" s="5">
        <f t="shared" si="805"/>
        <v>0</v>
      </c>
      <c r="BP977" s="5">
        <f t="shared" si="805"/>
        <v>0</v>
      </c>
      <c r="BQ977" s="5">
        <f t="shared" si="805"/>
        <v>0</v>
      </c>
      <c r="BR977" s="5">
        <f t="shared" si="805"/>
        <v>0</v>
      </c>
      <c r="BS977" s="5">
        <f t="shared" si="805"/>
        <v>0</v>
      </c>
      <c r="BT977" s="5">
        <f t="shared" si="805"/>
        <v>0</v>
      </c>
      <c r="BU977" s="5">
        <f t="shared" si="805"/>
        <v>0</v>
      </c>
      <c r="BV977" s="5">
        <f t="shared" si="805"/>
        <v>0</v>
      </c>
      <c r="BW977" s="5">
        <f t="shared" si="805"/>
        <v>0</v>
      </c>
      <c r="BX977" s="5">
        <f t="shared" si="805"/>
        <v>0</v>
      </c>
      <c r="BY977" s="5">
        <f t="shared" si="805"/>
        <v>0</v>
      </c>
      <c r="BZ977" s="5">
        <f t="shared" si="805"/>
        <v>0</v>
      </c>
      <c r="CA977" s="5">
        <f t="shared" si="805"/>
        <v>0</v>
      </c>
      <c r="CB977" s="5">
        <f t="shared" si="805"/>
        <v>0</v>
      </c>
      <c r="CC977" s="5">
        <f t="shared" si="806"/>
        <v>0</v>
      </c>
      <c r="CD977" s="5">
        <f t="shared" si="806"/>
        <v>1</v>
      </c>
      <c r="CE977" s="5">
        <f t="shared" si="806"/>
        <v>0</v>
      </c>
    </row>
    <row r="978" spans="1:83" x14ac:dyDescent="0.2">
      <c r="A978" s="11"/>
      <c r="B978" s="11"/>
      <c r="C978" s="1">
        <f>Growth!D983</f>
        <v>1.7857142857142856E-2</v>
      </c>
      <c r="D978" s="5" t="b">
        <f t="shared" si="715"/>
        <v>0</v>
      </c>
      <c r="E978" s="5">
        <v>2014</v>
      </c>
      <c r="F978" s="5">
        <f ca="1">LOOKUP($E978,frequence!$A$2:$A$35,frequence!L$2:L$35)</f>
        <v>50.75383375536623</v>
      </c>
      <c r="G978" s="5">
        <f ca="1">LOOKUP($E978,frequence!$A$2:$A$35,frequence!K$2:K$35)</f>
        <v>9.9751715831189358</v>
      </c>
      <c r="H978" s="5">
        <f ca="1">LOOKUP($E978,frequence!$A$2:$A$35,frequence!M$2:M$35)</f>
        <v>236.05429056976001</v>
      </c>
      <c r="I978" s="16">
        <v>2005</v>
      </c>
      <c r="J978" s="7">
        <f>LOOKUP(I978,CPI!A$69:A$103,CPI!O$69:O$103)</f>
        <v>1.1165181771633383</v>
      </c>
      <c r="K978" s="16">
        <v>2015</v>
      </c>
      <c r="L978" s="7">
        <f t="shared" ca="1" si="807"/>
        <v>1</v>
      </c>
      <c r="M978" s="7">
        <f t="shared" si="812"/>
        <v>0.11428571428571428</v>
      </c>
      <c r="N978" s="14">
        <f t="shared" si="813"/>
        <v>1.7857142857142856E-2</v>
      </c>
      <c r="O978" s="1">
        <f ca="1">P978*J978*(1+Growth!G$6)^(2010-K978)</f>
        <v>175.46325383998041</v>
      </c>
      <c r="P978" s="22">
        <f>46.2*44/12</f>
        <v>169.4</v>
      </c>
      <c r="Q978" s="2">
        <f t="shared" si="814"/>
        <v>169.4</v>
      </c>
      <c r="R978" s="21">
        <f t="shared" ca="1" si="815"/>
        <v>30787.353448113401</v>
      </c>
      <c r="U978" s="11"/>
      <c r="V978" s="11"/>
      <c r="W978" s="11"/>
      <c r="X978" s="11"/>
      <c r="Y978" s="11"/>
      <c r="Z978" s="11"/>
      <c r="AA978" s="11"/>
      <c r="AB978" s="11"/>
      <c r="AC978" s="1">
        <f t="shared" si="816"/>
        <v>6.4</v>
      </c>
      <c r="AD978" s="5">
        <v>1</v>
      </c>
      <c r="AE978" s="5">
        <v>0</v>
      </c>
      <c r="AF978" s="5">
        <v>1</v>
      </c>
      <c r="AG978" s="5">
        <v>0</v>
      </c>
      <c r="AH978" s="5">
        <v>1</v>
      </c>
      <c r="AI978" s="3">
        <f t="shared" si="817"/>
        <v>3.4</v>
      </c>
      <c r="AJ978" s="5">
        <f t="shared" si="728"/>
        <v>0</v>
      </c>
      <c r="AK978" s="5">
        <f t="shared" si="808"/>
        <v>0</v>
      </c>
      <c r="AL978" s="5">
        <f t="shared" si="809"/>
        <v>0</v>
      </c>
      <c r="AM978" s="5">
        <f t="shared" si="729"/>
        <v>0</v>
      </c>
      <c r="AN978" s="5">
        <f t="shared" si="810"/>
        <v>0</v>
      </c>
      <c r="AO978" s="5">
        <f t="shared" si="730"/>
        <v>0</v>
      </c>
      <c r="AP978" s="11">
        <v>2</v>
      </c>
      <c r="AQ978" s="11" t="s">
        <v>42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1</v>
      </c>
      <c r="AY978" s="1">
        <f t="shared" si="818"/>
        <v>0</v>
      </c>
      <c r="AZ978" s="1">
        <f t="shared" si="819"/>
        <v>0</v>
      </c>
      <c r="BA978" s="1">
        <f t="shared" si="820"/>
        <v>0</v>
      </c>
      <c r="BB978" s="5">
        <v>0</v>
      </c>
      <c r="BC978" s="5">
        <v>1</v>
      </c>
      <c r="BD978" s="5">
        <v>0</v>
      </c>
      <c r="BE978" s="5">
        <f t="shared" si="821"/>
        <v>0</v>
      </c>
      <c r="BF978" s="5">
        <v>0</v>
      </c>
      <c r="BG978" s="5">
        <f t="shared" si="811"/>
        <v>0</v>
      </c>
      <c r="BH978" s="5">
        <f t="shared" si="811"/>
        <v>0</v>
      </c>
      <c r="BI978" s="5">
        <f t="shared" si="811"/>
        <v>0</v>
      </c>
      <c r="BJ978" s="5">
        <f t="shared" si="811"/>
        <v>0</v>
      </c>
      <c r="BK978" s="5">
        <f t="shared" si="811"/>
        <v>0</v>
      </c>
      <c r="BL978" s="5">
        <f t="shared" si="811"/>
        <v>0</v>
      </c>
      <c r="BM978" s="5">
        <f t="shared" si="811"/>
        <v>0</v>
      </c>
      <c r="BN978" s="5">
        <f t="shared" si="805"/>
        <v>0</v>
      </c>
      <c r="BO978" s="5">
        <f t="shared" si="805"/>
        <v>0</v>
      </c>
      <c r="BP978" s="5">
        <f t="shared" si="805"/>
        <v>0</v>
      </c>
      <c r="BQ978" s="5">
        <f t="shared" si="805"/>
        <v>0</v>
      </c>
      <c r="BR978" s="5">
        <f t="shared" si="805"/>
        <v>0</v>
      </c>
      <c r="BS978" s="5">
        <f t="shared" si="805"/>
        <v>0</v>
      </c>
      <c r="BT978" s="5">
        <f t="shared" si="805"/>
        <v>0</v>
      </c>
      <c r="BU978" s="5">
        <f t="shared" si="805"/>
        <v>0</v>
      </c>
      <c r="BV978" s="5">
        <f t="shared" si="805"/>
        <v>0</v>
      </c>
      <c r="BW978" s="5">
        <f t="shared" si="805"/>
        <v>0</v>
      </c>
      <c r="BX978" s="5">
        <f t="shared" si="805"/>
        <v>0</v>
      </c>
      <c r="BY978" s="5">
        <f t="shared" si="805"/>
        <v>0</v>
      </c>
      <c r="BZ978" s="5">
        <f t="shared" si="805"/>
        <v>0</v>
      </c>
      <c r="CA978" s="5">
        <f t="shared" si="805"/>
        <v>0</v>
      </c>
      <c r="CB978" s="5">
        <f t="shared" si="805"/>
        <v>0</v>
      </c>
      <c r="CC978" s="5">
        <f t="shared" si="806"/>
        <v>0</v>
      </c>
      <c r="CD978" s="5">
        <f t="shared" si="806"/>
        <v>1</v>
      </c>
      <c r="CE978" s="5">
        <f t="shared" si="806"/>
        <v>0</v>
      </c>
    </row>
    <row r="979" spans="1:83" x14ac:dyDescent="0.2">
      <c r="A979" s="11"/>
      <c r="B979" s="11"/>
      <c r="C979" s="1">
        <f>Growth!D984</f>
        <v>1.7857142857142856E-2</v>
      </c>
      <c r="D979" s="5" t="b">
        <f t="shared" si="715"/>
        <v>0</v>
      </c>
      <c r="E979" s="5">
        <v>2014</v>
      </c>
      <c r="F979" s="5">
        <f ca="1">LOOKUP($E979,frequence!$A$2:$A$35,frequence!L$2:L$35)</f>
        <v>50.75383375536623</v>
      </c>
      <c r="G979" s="5">
        <f ca="1">LOOKUP($E979,frequence!$A$2:$A$35,frequence!K$2:K$35)</f>
        <v>9.9751715831189358</v>
      </c>
      <c r="H979" s="5">
        <f ca="1">LOOKUP($E979,frequence!$A$2:$A$35,frequence!M$2:M$35)</f>
        <v>236.05429056976001</v>
      </c>
      <c r="I979" s="16">
        <v>2005</v>
      </c>
      <c r="J979" s="7">
        <f>LOOKUP(I979,CPI!A$69:A$103,CPI!O$69:O$103)</f>
        <v>1.1165181771633383</v>
      </c>
      <c r="K979" s="16">
        <v>2015</v>
      </c>
      <c r="L979" s="7">
        <f t="shared" ca="1" si="807"/>
        <v>1</v>
      </c>
      <c r="M979" s="7">
        <f t="shared" si="812"/>
        <v>0.11428571428571428</v>
      </c>
      <c r="N979" s="14">
        <f t="shared" si="813"/>
        <v>1.7857142857142856E-2</v>
      </c>
      <c r="O979" s="1">
        <f ca="1">P979*J979*(1+Growth!G$6)^(2010-K979)</f>
        <v>275.34817972724198</v>
      </c>
      <c r="P979" s="22">
        <f>72.5*44/12</f>
        <v>265.83333333333331</v>
      </c>
      <c r="Q979" s="2">
        <f t="shared" si="814"/>
        <v>265.83333333333331</v>
      </c>
      <c r="R979" s="21">
        <f t="shared" ca="1" si="815"/>
        <v>75816.62007910556</v>
      </c>
      <c r="U979" s="11"/>
      <c r="V979" s="11"/>
      <c r="W979" s="11"/>
      <c r="X979" s="11"/>
      <c r="Y979" s="11"/>
      <c r="Z979" s="11"/>
      <c r="AA979" s="11"/>
      <c r="AB979" s="11"/>
      <c r="AC979" s="1">
        <f t="shared" si="816"/>
        <v>6.4</v>
      </c>
      <c r="AD979" s="5">
        <v>1</v>
      </c>
      <c r="AE979" s="5">
        <v>0</v>
      </c>
      <c r="AF979" s="5">
        <v>1</v>
      </c>
      <c r="AG979" s="5">
        <v>0</v>
      </c>
      <c r="AH979" s="5">
        <v>1</v>
      </c>
      <c r="AI979" s="3">
        <f t="shared" si="817"/>
        <v>3.4</v>
      </c>
      <c r="AJ979" s="5">
        <f t="shared" si="728"/>
        <v>0</v>
      </c>
      <c r="AK979" s="5">
        <f t="shared" si="808"/>
        <v>0</v>
      </c>
      <c r="AL979" s="5">
        <f t="shared" si="809"/>
        <v>0</v>
      </c>
      <c r="AM979" s="5">
        <f t="shared" si="729"/>
        <v>0</v>
      </c>
      <c r="AN979" s="5">
        <f t="shared" si="810"/>
        <v>0</v>
      </c>
      <c r="AO979" s="5">
        <f t="shared" si="730"/>
        <v>0</v>
      </c>
      <c r="AP979" s="11">
        <v>2</v>
      </c>
      <c r="AQ979" s="11" t="s">
        <v>42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1</v>
      </c>
      <c r="AY979" s="1">
        <f t="shared" si="818"/>
        <v>0</v>
      </c>
      <c r="AZ979" s="1">
        <f t="shared" si="819"/>
        <v>0</v>
      </c>
      <c r="BA979" s="1">
        <f t="shared" si="820"/>
        <v>0</v>
      </c>
      <c r="BB979" s="5">
        <v>0</v>
      </c>
      <c r="BC979" s="5">
        <v>1</v>
      </c>
      <c r="BD979" s="5">
        <v>0</v>
      </c>
      <c r="BE979" s="5">
        <f t="shared" si="821"/>
        <v>0</v>
      </c>
      <c r="BF979" s="5">
        <v>0</v>
      </c>
      <c r="BG979" s="5">
        <f t="shared" si="811"/>
        <v>0</v>
      </c>
      <c r="BH979" s="5">
        <f t="shared" si="811"/>
        <v>0</v>
      </c>
      <c r="BI979" s="5">
        <f t="shared" si="811"/>
        <v>0</v>
      </c>
      <c r="BJ979" s="5">
        <f t="shared" si="811"/>
        <v>0</v>
      </c>
      <c r="BK979" s="5">
        <f t="shared" si="811"/>
        <v>0</v>
      </c>
      <c r="BL979" s="5">
        <f t="shared" si="811"/>
        <v>0</v>
      </c>
      <c r="BM979" s="5">
        <f t="shared" si="811"/>
        <v>0</v>
      </c>
      <c r="BN979" s="5">
        <f t="shared" si="805"/>
        <v>0</v>
      </c>
      <c r="BO979" s="5">
        <f t="shared" si="805"/>
        <v>0</v>
      </c>
      <c r="BP979" s="5">
        <f t="shared" si="805"/>
        <v>0</v>
      </c>
      <c r="BQ979" s="5">
        <f t="shared" si="805"/>
        <v>0</v>
      </c>
      <c r="BR979" s="5">
        <f t="shared" si="805"/>
        <v>0</v>
      </c>
      <c r="BS979" s="5">
        <f t="shared" si="805"/>
        <v>0</v>
      </c>
      <c r="BT979" s="5">
        <f t="shared" si="805"/>
        <v>0</v>
      </c>
      <c r="BU979" s="5">
        <f t="shared" si="805"/>
        <v>0</v>
      </c>
      <c r="BV979" s="5">
        <f t="shared" si="805"/>
        <v>0</v>
      </c>
      <c r="BW979" s="5">
        <f t="shared" si="805"/>
        <v>0</v>
      </c>
      <c r="BX979" s="5">
        <f t="shared" si="805"/>
        <v>0</v>
      </c>
      <c r="BY979" s="5">
        <f t="shared" si="805"/>
        <v>0</v>
      </c>
      <c r="BZ979" s="5">
        <f t="shared" si="805"/>
        <v>0</v>
      </c>
      <c r="CA979" s="5">
        <f t="shared" si="805"/>
        <v>0</v>
      </c>
      <c r="CB979" s="5">
        <f t="shared" ref="CB979:CE998" si="822">IF($E979=CB$2,1,0)</f>
        <v>0</v>
      </c>
      <c r="CC979" s="5">
        <f t="shared" si="806"/>
        <v>0</v>
      </c>
      <c r="CD979" s="5">
        <f t="shared" si="806"/>
        <v>1</v>
      </c>
      <c r="CE979" s="5">
        <f t="shared" si="806"/>
        <v>0</v>
      </c>
    </row>
    <row r="980" spans="1:83" x14ac:dyDescent="0.2">
      <c r="A980" s="11"/>
      <c r="B980" s="11"/>
      <c r="C980" s="1">
        <f>Growth!D985</f>
        <v>1.7857142857142856E-2</v>
      </c>
      <c r="D980" s="5" t="b">
        <f t="shared" si="715"/>
        <v>0</v>
      </c>
      <c r="E980" s="5">
        <v>2014</v>
      </c>
      <c r="F980" s="5">
        <f ca="1">LOOKUP($E980,frequence!$A$2:$A$35,frequence!L$2:L$35)</f>
        <v>50.75383375536623</v>
      </c>
      <c r="G980" s="5">
        <f ca="1">LOOKUP($E980,frequence!$A$2:$A$35,frequence!K$2:K$35)</f>
        <v>9.9751715831189358</v>
      </c>
      <c r="H980" s="5">
        <f ca="1">LOOKUP($E980,frequence!$A$2:$A$35,frequence!M$2:M$35)</f>
        <v>236.05429056976001</v>
      </c>
      <c r="I980" s="16">
        <v>2005</v>
      </c>
      <c r="J980" s="7">
        <f>LOOKUP(I980,CPI!A$69:A$103,CPI!O$69:O$103)</f>
        <v>1.1165181771633383</v>
      </c>
      <c r="K980" s="16">
        <v>2015</v>
      </c>
      <c r="L980" s="7">
        <f t="shared" ca="1" si="807"/>
        <v>1</v>
      </c>
      <c r="M980" s="7">
        <f t="shared" si="812"/>
        <v>0.11428571428571428</v>
      </c>
      <c r="N980" s="14">
        <f t="shared" si="813"/>
        <v>1.7857142857142856E-2</v>
      </c>
      <c r="O980" s="1">
        <f ca="1">P980*J980*(1+Growth!G$6)^(2010-K980)</f>
        <v>220.27854378179356</v>
      </c>
      <c r="P980" s="22">
        <f>58*44/12</f>
        <v>212.66666666666666</v>
      </c>
      <c r="Q980" s="2">
        <f t="shared" si="814"/>
        <v>212.66666666666666</v>
      </c>
      <c r="R980" s="21">
        <f t="shared" ca="1" si="815"/>
        <v>48522.636850627539</v>
      </c>
      <c r="U980" s="11"/>
      <c r="V980" s="11"/>
      <c r="W980" s="11"/>
      <c r="X980" s="11"/>
      <c r="Y980" s="11"/>
      <c r="Z980" s="11"/>
      <c r="AA980" s="11"/>
      <c r="AB980" s="11"/>
      <c r="AC980" s="1">
        <f t="shared" si="816"/>
        <v>6.4</v>
      </c>
      <c r="AD980" s="5">
        <v>1</v>
      </c>
      <c r="AE980" s="5">
        <v>0</v>
      </c>
      <c r="AF980" s="5">
        <v>1</v>
      </c>
      <c r="AG980" s="5">
        <v>0</v>
      </c>
      <c r="AH980" s="5">
        <v>1</v>
      </c>
      <c r="AI980" s="3">
        <f t="shared" si="817"/>
        <v>3.4</v>
      </c>
      <c r="AJ980" s="5">
        <f t="shared" si="728"/>
        <v>0</v>
      </c>
      <c r="AK980" s="5">
        <f t="shared" si="808"/>
        <v>0</v>
      </c>
      <c r="AL980" s="5">
        <f t="shared" si="809"/>
        <v>0</v>
      </c>
      <c r="AM980" s="5">
        <f t="shared" si="729"/>
        <v>0</v>
      </c>
      <c r="AN980" s="5">
        <f t="shared" si="810"/>
        <v>0</v>
      </c>
      <c r="AO980" s="5">
        <f t="shared" si="730"/>
        <v>0</v>
      </c>
      <c r="AP980" s="11">
        <v>2</v>
      </c>
      <c r="AQ980" s="11" t="s">
        <v>42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1</v>
      </c>
      <c r="AY980" s="1">
        <f t="shared" si="818"/>
        <v>0</v>
      </c>
      <c r="AZ980" s="1">
        <f t="shared" si="819"/>
        <v>0</v>
      </c>
      <c r="BA980" s="1">
        <f t="shared" si="820"/>
        <v>0</v>
      </c>
      <c r="BB980" s="5">
        <v>0</v>
      </c>
      <c r="BC980" s="5">
        <v>1</v>
      </c>
      <c r="BD980" s="5">
        <v>0</v>
      </c>
      <c r="BE980" s="5">
        <f t="shared" si="821"/>
        <v>0</v>
      </c>
      <c r="BF980" s="5">
        <v>0</v>
      </c>
      <c r="BG980" s="5">
        <f t="shared" si="811"/>
        <v>0</v>
      </c>
      <c r="BH980" s="5">
        <f t="shared" si="811"/>
        <v>0</v>
      </c>
      <c r="BI980" s="5">
        <f t="shared" si="811"/>
        <v>0</v>
      </c>
      <c r="BJ980" s="5">
        <f t="shared" si="811"/>
        <v>0</v>
      </c>
      <c r="BK980" s="5">
        <f t="shared" si="811"/>
        <v>0</v>
      </c>
      <c r="BL980" s="5">
        <f t="shared" si="811"/>
        <v>0</v>
      </c>
      <c r="BM980" s="5">
        <f t="shared" si="811"/>
        <v>0</v>
      </c>
      <c r="BN980" s="5">
        <f t="shared" si="811"/>
        <v>0</v>
      </c>
      <c r="BO980" s="5">
        <f t="shared" ref="BO980:CA995" si="823">IF($E980=BO$2,1,0)</f>
        <v>0</v>
      </c>
      <c r="BP980" s="5">
        <f t="shared" si="823"/>
        <v>0</v>
      </c>
      <c r="BQ980" s="5">
        <f t="shared" si="823"/>
        <v>0</v>
      </c>
      <c r="BR980" s="5">
        <f t="shared" si="823"/>
        <v>0</v>
      </c>
      <c r="BS980" s="5">
        <f t="shared" si="823"/>
        <v>0</v>
      </c>
      <c r="BT980" s="5">
        <f t="shared" si="823"/>
        <v>0</v>
      </c>
      <c r="BU980" s="5">
        <f t="shared" si="823"/>
        <v>0</v>
      </c>
      <c r="BV980" s="5">
        <f t="shared" si="823"/>
        <v>0</v>
      </c>
      <c r="BW980" s="5">
        <f t="shared" si="823"/>
        <v>0</v>
      </c>
      <c r="BX980" s="5">
        <f t="shared" si="823"/>
        <v>0</v>
      </c>
      <c r="BY980" s="5">
        <f t="shared" si="823"/>
        <v>0</v>
      </c>
      <c r="BZ980" s="5">
        <f t="shared" si="823"/>
        <v>0</v>
      </c>
      <c r="CA980" s="5">
        <f t="shared" si="823"/>
        <v>0</v>
      </c>
      <c r="CB980" s="5">
        <f t="shared" si="822"/>
        <v>0</v>
      </c>
      <c r="CC980" s="5">
        <f t="shared" si="806"/>
        <v>0</v>
      </c>
      <c r="CD980" s="5">
        <f t="shared" si="806"/>
        <v>1</v>
      </c>
      <c r="CE980" s="5">
        <f t="shared" si="806"/>
        <v>0</v>
      </c>
    </row>
    <row r="981" spans="1:83" x14ac:dyDescent="0.2">
      <c r="A981" s="11"/>
      <c r="B981" s="11"/>
      <c r="C981" s="1">
        <f>Growth!D986</f>
        <v>3.5714285714285712E-2</v>
      </c>
      <c r="D981" s="5" t="b">
        <f t="shared" ref="D981:D1044" si="824">IF(B981&gt;0,E981)</f>
        <v>0</v>
      </c>
      <c r="E981" s="5">
        <v>2014</v>
      </c>
      <c r="F981" s="5">
        <f ca="1">LOOKUP($E981,frequence!$A$2:$A$35,frequence!L$2:L$35)</f>
        <v>50.75383375536623</v>
      </c>
      <c r="G981" s="5">
        <f ca="1">LOOKUP($E981,frequence!$A$2:$A$35,frequence!K$2:K$35)</f>
        <v>9.9751715831189358</v>
      </c>
      <c r="H981" s="5">
        <f ca="1">LOOKUP($E981,frequence!$A$2:$A$35,frequence!M$2:M$35)</f>
        <v>236.05429056976001</v>
      </c>
      <c r="I981" s="16">
        <v>2005</v>
      </c>
      <c r="J981" s="7">
        <f>LOOKUP(I981,CPI!A$69:A$103,CPI!O$69:O$103)</f>
        <v>1.1165181771633383</v>
      </c>
      <c r="K981" s="16">
        <v>2015</v>
      </c>
      <c r="L981" s="7">
        <f t="shared" ca="1" si="807"/>
        <v>1</v>
      </c>
      <c r="M981" s="7">
        <f t="shared" ref="M981:M989" si="825">N981*AC981</f>
        <v>0.22857142857142856</v>
      </c>
      <c r="N981" s="14">
        <f>2/56</f>
        <v>3.5714285714285712E-2</v>
      </c>
      <c r="O981" s="1">
        <f ca="1">P981*J981*(1+Growth!G$6)^(2010-K981)</f>
        <v>474.73824090903793</v>
      </c>
      <c r="P981" s="22">
        <f>125*44/12</f>
        <v>458.33333333333331</v>
      </c>
      <c r="Q981" s="2">
        <f t="shared" ref="Q981:Q988" si="826">P981</f>
        <v>458.33333333333331</v>
      </c>
      <c r="R981" s="21">
        <f t="shared" ref="R981:R988" ca="1" si="827">O981*O981</f>
        <v>225376.39738140773</v>
      </c>
      <c r="U981" s="11"/>
      <c r="V981" s="11"/>
      <c r="W981" s="11"/>
      <c r="X981" s="11"/>
      <c r="Y981" s="11"/>
      <c r="Z981" s="11"/>
      <c r="AA981" s="11"/>
      <c r="AB981" s="11"/>
      <c r="AC981" s="1">
        <f t="shared" ref="AC981:AC988" si="828">SUM(AD981:AI981)</f>
        <v>6.4</v>
      </c>
      <c r="AD981" s="5">
        <v>1</v>
      </c>
      <c r="AE981" s="5">
        <v>0</v>
      </c>
      <c r="AF981" s="5">
        <v>1</v>
      </c>
      <c r="AG981" s="5">
        <v>0</v>
      </c>
      <c r="AH981" s="5">
        <v>1</v>
      </c>
      <c r="AI981" s="3">
        <f t="shared" ref="AI981:AI989" si="829">(E981-1980)/10</f>
        <v>3.4</v>
      </c>
      <c r="AJ981" s="5">
        <f t="shared" si="728"/>
        <v>0</v>
      </c>
      <c r="AK981" s="5">
        <f t="shared" si="808"/>
        <v>0</v>
      </c>
      <c r="AL981" s="5">
        <f t="shared" si="809"/>
        <v>0</v>
      </c>
      <c r="AM981" s="5">
        <f t="shared" si="729"/>
        <v>0</v>
      </c>
      <c r="AN981" s="5">
        <f t="shared" si="810"/>
        <v>0</v>
      </c>
      <c r="AO981" s="5">
        <f t="shared" si="730"/>
        <v>0</v>
      </c>
      <c r="AP981" s="11">
        <v>5</v>
      </c>
      <c r="AQ981" s="11" t="s">
        <v>42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1</v>
      </c>
      <c r="AY981" s="1">
        <f t="shared" ref="AY981:AY989" si="830">AJ981*$AD981*(1-$AV981)*(1-$AR981)</f>
        <v>0</v>
      </c>
      <c r="AZ981" s="1">
        <f t="shared" ref="AZ981:AZ989" si="831">AM981*$AD981*(1-$AV981)*(1-$AR981)</f>
        <v>0</v>
      </c>
      <c r="BA981" s="1">
        <f t="shared" ref="BA981:BA989" si="832">AO981*$AD981*(1-$AV981)*(1-$AR981)</f>
        <v>0</v>
      </c>
      <c r="BB981" s="5">
        <v>0</v>
      </c>
      <c r="BC981" s="5">
        <v>1</v>
      </c>
      <c r="BD981" s="5">
        <v>0</v>
      </c>
      <c r="BE981" s="5">
        <f t="shared" ref="BE981:BE989" si="833">1-SUM(BB981:BD981)</f>
        <v>0</v>
      </c>
      <c r="BF981" s="5">
        <v>1</v>
      </c>
      <c r="BG981" s="5">
        <f t="shared" ref="BG981:BN996" si="834">IF($E981=BG$2,1,0)</f>
        <v>0</v>
      </c>
      <c r="BH981" s="5">
        <f t="shared" si="834"/>
        <v>0</v>
      </c>
      <c r="BI981" s="5">
        <f t="shared" si="834"/>
        <v>0</v>
      </c>
      <c r="BJ981" s="5">
        <f t="shared" si="834"/>
        <v>0</v>
      </c>
      <c r="BK981" s="5">
        <f t="shared" si="834"/>
        <v>0</v>
      </c>
      <c r="BL981" s="5">
        <f t="shared" si="834"/>
        <v>0</v>
      </c>
      <c r="BM981" s="5">
        <f t="shared" si="834"/>
        <v>0</v>
      </c>
      <c r="BN981" s="5">
        <f t="shared" si="834"/>
        <v>0</v>
      </c>
      <c r="BO981" s="5">
        <f t="shared" si="823"/>
        <v>0</v>
      </c>
      <c r="BP981" s="5">
        <f t="shared" si="823"/>
        <v>0</v>
      </c>
      <c r="BQ981" s="5">
        <f t="shared" si="823"/>
        <v>0</v>
      </c>
      <c r="BR981" s="5">
        <f t="shared" si="823"/>
        <v>0</v>
      </c>
      <c r="BS981" s="5">
        <f t="shared" si="823"/>
        <v>0</v>
      </c>
      <c r="BT981" s="5">
        <f t="shared" si="823"/>
        <v>0</v>
      </c>
      <c r="BU981" s="5">
        <f t="shared" si="823"/>
        <v>0</v>
      </c>
      <c r="BV981" s="5">
        <f t="shared" si="823"/>
        <v>0</v>
      </c>
      <c r="BW981" s="5">
        <f t="shared" si="823"/>
        <v>0</v>
      </c>
      <c r="BX981" s="5">
        <f t="shared" si="823"/>
        <v>0</v>
      </c>
      <c r="BY981" s="5">
        <f t="shared" si="823"/>
        <v>0</v>
      </c>
      <c r="BZ981" s="5">
        <f t="shared" si="823"/>
        <v>0</v>
      </c>
      <c r="CA981" s="5">
        <f t="shared" si="823"/>
        <v>0</v>
      </c>
      <c r="CB981" s="5">
        <f t="shared" si="822"/>
        <v>0</v>
      </c>
      <c r="CC981" s="5">
        <f t="shared" si="806"/>
        <v>0</v>
      </c>
      <c r="CD981" s="5">
        <f t="shared" si="806"/>
        <v>1</v>
      </c>
      <c r="CE981" s="5">
        <f t="shared" si="806"/>
        <v>0</v>
      </c>
    </row>
    <row r="982" spans="1:83" x14ac:dyDescent="0.2">
      <c r="A982" s="11"/>
      <c r="B982" s="11"/>
      <c r="C982" s="1">
        <f>Growth!D987</f>
        <v>3.5714285714285712E-2</v>
      </c>
      <c r="D982" s="5" t="b">
        <f t="shared" si="824"/>
        <v>0</v>
      </c>
      <c r="E982" s="5">
        <v>2014</v>
      </c>
      <c r="F982" s="5">
        <f ca="1">LOOKUP($E982,frequence!$A$2:$A$35,frequence!L$2:L$35)</f>
        <v>50.75383375536623</v>
      </c>
      <c r="G982" s="5">
        <f ca="1">LOOKUP($E982,frequence!$A$2:$A$35,frequence!K$2:K$35)</f>
        <v>9.9751715831189358</v>
      </c>
      <c r="H982" s="5">
        <f ca="1">LOOKUP($E982,frequence!$A$2:$A$35,frequence!M$2:M$35)</f>
        <v>236.05429056976001</v>
      </c>
      <c r="I982" s="16">
        <v>2005</v>
      </c>
      <c r="J982" s="7">
        <f>LOOKUP(I982,CPI!A$69:A$103,CPI!O$69:O$103)</f>
        <v>1.1165181771633383</v>
      </c>
      <c r="K982" s="16">
        <v>2015</v>
      </c>
      <c r="L982" s="7">
        <f t="shared" ca="1" si="807"/>
        <v>1</v>
      </c>
      <c r="M982" s="7">
        <f t="shared" si="825"/>
        <v>0.22857142857142856</v>
      </c>
      <c r="N982" s="14">
        <f>2/56</f>
        <v>3.5714285714285712E-2</v>
      </c>
      <c r="O982" s="1">
        <f ca="1">P982*J982*(1+Growth!G$6)^(2010-K982)</f>
        <v>205.08692007270437</v>
      </c>
      <c r="P982" s="22">
        <f>54*44/12</f>
        <v>198</v>
      </c>
      <c r="Q982" s="2">
        <f t="shared" si="826"/>
        <v>198</v>
      </c>
      <c r="R982" s="21">
        <f t="shared" ca="1" si="827"/>
        <v>42060.644784907832</v>
      </c>
      <c r="U982" s="11"/>
      <c r="V982" s="11"/>
      <c r="W982" s="11"/>
      <c r="X982" s="11"/>
      <c r="Y982" s="11"/>
      <c r="Z982" s="11"/>
      <c r="AA982" s="11"/>
      <c r="AB982" s="11"/>
      <c r="AC982" s="1">
        <f t="shared" si="828"/>
        <v>6.4</v>
      </c>
      <c r="AD982" s="5">
        <v>1</v>
      </c>
      <c r="AE982" s="5">
        <v>0</v>
      </c>
      <c r="AF982" s="5">
        <v>1</v>
      </c>
      <c r="AG982" s="5">
        <v>0</v>
      </c>
      <c r="AH982" s="5">
        <v>1</v>
      </c>
      <c r="AI982" s="3">
        <f t="shared" si="829"/>
        <v>3.4</v>
      </c>
      <c r="AJ982" s="5">
        <f t="shared" si="728"/>
        <v>0</v>
      </c>
      <c r="AK982" s="5">
        <f t="shared" si="808"/>
        <v>0</v>
      </c>
      <c r="AL982" s="5">
        <f t="shared" si="809"/>
        <v>0</v>
      </c>
      <c r="AM982" s="5">
        <f t="shared" si="729"/>
        <v>0</v>
      </c>
      <c r="AN982" s="5">
        <f t="shared" si="810"/>
        <v>0</v>
      </c>
      <c r="AO982" s="5">
        <f t="shared" si="730"/>
        <v>0</v>
      </c>
      <c r="AP982" s="11">
        <v>5</v>
      </c>
      <c r="AQ982" s="11" t="s">
        <v>42</v>
      </c>
      <c r="AR982" s="5">
        <v>0</v>
      </c>
      <c r="AS982" s="5">
        <v>0</v>
      </c>
      <c r="AT982" s="5">
        <v>0</v>
      </c>
      <c r="AU982" s="5">
        <v>0</v>
      </c>
      <c r="AV982" s="5">
        <v>0</v>
      </c>
      <c r="AW982" s="5">
        <v>0</v>
      </c>
      <c r="AX982" s="5">
        <v>1</v>
      </c>
      <c r="AY982" s="1">
        <f t="shared" si="830"/>
        <v>0</v>
      </c>
      <c r="AZ982" s="1">
        <f t="shared" si="831"/>
        <v>0</v>
      </c>
      <c r="BA982" s="1">
        <f t="shared" si="832"/>
        <v>0</v>
      </c>
      <c r="BB982" s="5">
        <v>0</v>
      </c>
      <c r="BC982" s="5">
        <v>1</v>
      </c>
      <c r="BD982" s="5">
        <v>0</v>
      </c>
      <c r="BE982" s="5">
        <f t="shared" si="833"/>
        <v>0</v>
      </c>
      <c r="BF982" s="5">
        <v>1</v>
      </c>
      <c r="BG982" s="5">
        <f t="shared" si="834"/>
        <v>0</v>
      </c>
      <c r="BH982" s="5">
        <f t="shared" si="834"/>
        <v>0</v>
      </c>
      <c r="BI982" s="5">
        <f t="shared" si="834"/>
        <v>0</v>
      </c>
      <c r="BJ982" s="5">
        <f t="shared" si="834"/>
        <v>0</v>
      </c>
      <c r="BK982" s="5">
        <f t="shared" si="834"/>
        <v>0</v>
      </c>
      <c r="BL982" s="5">
        <f t="shared" si="834"/>
        <v>0</v>
      </c>
      <c r="BM982" s="5">
        <f t="shared" si="834"/>
        <v>0</v>
      </c>
      <c r="BN982" s="5">
        <f t="shared" si="834"/>
        <v>0</v>
      </c>
      <c r="BO982" s="5">
        <f t="shared" si="823"/>
        <v>0</v>
      </c>
      <c r="BP982" s="5">
        <f t="shared" si="823"/>
        <v>0</v>
      </c>
      <c r="BQ982" s="5">
        <f t="shared" si="823"/>
        <v>0</v>
      </c>
      <c r="BR982" s="5">
        <f t="shared" si="823"/>
        <v>0</v>
      </c>
      <c r="BS982" s="5">
        <f t="shared" si="823"/>
        <v>0</v>
      </c>
      <c r="BT982" s="5">
        <f t="shared" si="823"/>
        <v>0</v>
      </c>
      <c r="BU982" s="5">
        <f t="shared" si="823"/>
        <v>0</v>
      </c>
      <c r="BV982" s="5">
        <f t="shared" si="823"/>
        <v>0</v>
      </c>
      <c r="BW982" s="5">
        <f t="shared" si="823"/>
        <v>0</v>
      </c>
      <c r="BX982" s="5">
        <f t="shared" si="823"/>
        <v>0</v>
      </c>
      <c r="BY982" s="5">
        <f t="shared" si="823"/>
        <v>0</v>
      </c>
      <c r="BZ982" s="5">
        <f t="shared" si="823"/>
        <v>0</v>
      </c>
      <c r="CA982" s="5">
        <f t="shared" si="823"/>
        <v>0</v>
      </c>
      <c r="CB982" s="5">
        <f t="shared" si="822"/>
        <v>0</v>
      </c>
      <c r="CC982" s="5">
        <f t="shared" si="806"/>
        <v>0</v>
      </c>
      <c r="CD982" s="5">
        <f t="shared" si="806"/>
        <v>1</v>
      </c>
      <c r="CE982" s="5">
        <f t="shared" si="806"/>
        <v>0</v>
      </c>
    </row>
    <row r="983" spans="1:83" x14ac:dyDescent="0.2">
      <c r="A983" s="11"/>
      <c r="B983" s="11"/>
      <c r="C983" s="1">
        <f>Growth!D988</f>
        <v>3.5714285714285712E-2</v>
      </c>
      <c r="D983" s="5" t="b">
        <f t="shared" si="824"/>
        <v>0</v>
      </c>
      <c r="E983" s="5">
        <v>2014</v>
      </c>
      <c r="F983" s="5">
        <f ca="1">LOOKUP($E983,frequence!$A$2:$A$35,frequence!L$2:L$35)</f>
        <v>50.75383375536623</v>
      </c>
      <c r="G983" s="5">
        <f ca="1">LOOKUP($E983,frequence!$A$2:$A$35,frequence!K$2:K$35)</f>
        <v>9.9751715831189358</v>
      </c>
      <c r="H983" s="5">
        <f ca="1">LOOKUP($E983,frequence!$A$2:$A$35,frequence!M$2:M$35)</f>
        <v>236.05429056976001</v>
      </c>
      <c r="I983" s="16">
        <v>2005</v>
      </c>
      <c r="J983" s="7">
        <f>LOOKUP(I983,CPI!A$69:A$103,CPI!O$69:O$103)</f>
        <v>1.1165181771633383</v>
      </c>
      <c r="K983" s="16">
        <v>2015</v>
      </c>
      <c r="L983" s="7">
        <f t="shared" ca="1" si="807"/>
        <v>1</v>
      </c>
      <c r="M983" s="7">
        <f t="shared" si="825"/>
        <v>0.22857142857142856</v>
      </c>
      <c r="N983" s="14">
        <f>2/56</f>
        <v>3.5714285714285712E-2</v>
      </c>
      <c r="O983" s="1">
        <f ca="1">P983*J983*(1+Growth!G$6)^(2010-K983)</f>
        <v>91.149742254535269</v>
      </c>
      <c r="P983" s="22">
        <f>24*44/12</f>
        <v>88</v>
      </c>
      <c r="Q983" s="2">
        <f t="shared" si="826"/>
        <v>88</v>
      </c>
      <c r="R983" s="21">
        <f t="shared" ca="1" si="827"/>
        <v>8308.2755130682126</v>
      </c>
      <c r="U983" s="11"/>
      <c r="V983" s="11"/>
      <c r="W983" s="11"/>
      <c r="X983" s="11"/>
      <c r="Y983" s="11"/>
      <c r="Z983" s="11"/>
      <c r="AA983" s="11"/>
      <c r="AB983" s="11"/>
      <c r="AC983" s="1">
        <f t="shared" si="828"/>
        <v>6.4</v>
      </c>
      <c r="AD983" s="5">
        <v>1</v>
      </c>
      <c r="AE983" s="5">
        <v>0</v>
      </c>
      <c r="AF983" s="5">
        <v>1</v>
      </c>
      <c r="AG983" s="5">
        <v>0</v>
      </c>
      <c r="AH983" s="5">
        <v>1</v>
      </c>
      <c r="AI983" s="3">
        <f t="shared" si="829"/>
        <v>3.4</v>
      </c>
      <c r="AJ983" s="5">
        <f t="shared" ref="AJ983:AJ1046" si="835">IF($AQ983=3,1,0)</f>
        <v>0</v>
      </c>
      <c r="AK983" s="5">
        <f t="shared" si="808"/>
        <v>0</v>
      </c>
      <c r="AL983" s="5">
        <f t="shared" si="809"/>
        <v>0</v>
      </c>
      <c r="AM983" s="5">
        <f t="shared" si="729"/>
        <v>0</v>
      </c>
      <c r="AN983" s="5">
        <f t="shared" si="810"/>
        <v>0</v>
      </c>
      <c r="AO983" s="5">
        <f t="shared" si="730"/>
        <v>0</v>
      </c>
      <c r="AP983" s="11">
        <v>5</v>
      </c>
      <c r="AQ983" s="11" t="s">
        <v>42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1</v>
      </c>
      <c r="AY983" s="1">
        <f t="shared" si="830"/>
        <v>0</v>
      </c>
      <c r="AZ983" s="1">
        <f t="shared" si="831"/>
        <v>0</v>
      </c>
      <c r="BA983" s="1">
        <f t="shared" si="832"/>
        <v>0</v>
      </c>
      <c r="BB983" s="5">
        <v>0</v>
      </c>
      <c r="BC983" s="5">
        <v>1</v>
      </c>
      <c r="BD983" s="5">
        <v>0</v>
      </c>
      <c r="BE983" s="5">
        <f t="shared" si="833"/>
        <v>0</v>
      </c>
      <c r="BF983" s="5">
        <v>1</v>
      </c>
      <c r="BG983" s="5">
        <f t="shared" si="834"/>
        <v>0</v>
      </c>
      <c r="BH983" s="5">
        <f t="shared" si="834"/>
        <v>0</v>
      </c>
      <c r="BI983" s="5">
        <f t="shared" si="834"/>
        <v>0</v>
      </c>
      <c r="BJ983" s="5">
        <f t="shared" si="834"/>
        <v>0</v>
      </c>
      <c r="BK983" s="5">
        <f t="shared" si="834"/>
        <v>0</v>
      </c>
      <c r="BL983" s="5">
        <f t="shared" si="834"/>
        <v>0</v>
      </c>
      <c r="BM983" s="5">
        <f t="shared" si="834"/>
        <v>0</v>
      </c>
      <c r="BN983" s="5">
        <f t="shared" si="834"/>
        <v>0</v>
      </c>
      <c r="BO983" s="5">
        <f t="shared" si="823"/>
        <v>0</v>
      </c>
      <c r="BP983" s="5">
        <f t="shared" si="823"/>
        <v>0</v>
      </c>
      <c r="BQ983" s="5">
        <f t="shared" si="823"/>
        <v>0</v>
      </c>
      <c r="BR983" s="5">
        <f t="shared" si="823"/>
        <v>0</v>
      </c>
      <c r="BS983" s="5">
        <f t="shared" si="823"/>
        <v>0</v>
      </c>
      <c r="BT983" s="5">
        <f t="shared" si="823"/>
        <v>0</v>
      </c>
      <c r="BU983" s="5">
        <f t="shared" si="823"/>
        <v>0</v>
      </c>
      <c r="BV983" s="5">
        <f t="shared" si="823"/>
        <v>0</v>
      </c>
      <c r="BW983" s="5">
        <f t="shared" si="823"/>
        <v>0</v>
      </c>
      <c r="BX983" s="5">
        <f t="shared" si="823"/>
        <v>0</v>
      </c>
      <c r="BY983" s="5">
        <f t="shared" si="823"/>
        <v>0</v>
      </c>
      <c r="BZ983" s="5">
        <f t="shared" si="823"/>
        <v>0</v>
      </c>
      <c r="CA983" s="5">
        <f t="shared" si="823"/>
        <v>0</v>
      </c>
      <c r="CB983" s="5">
        <f t="shared" si="822"/>
        <v>0</v>
      </c>
      <c r="CC983" s="5">
        <f t="shared" si="806"/>
        <v>0</v>
      </c>
      <c r="CD983" s="5">
        <f t="shared" si="806"/>
        <v>1</v>
      </c>
      <c r="CE983" s="5">
        <f t="shared" si="806"/>
        <v>0</v>
      </c>
    </row>
    <row r="984" spans="1:83" x14ac:dyDescent="0.2">
      <c r="A984" s="11"/>
      <c r="B984" s="11"/>
      <c r="C984" s="1">
        <f>Growth!D989</f>
        <v>3.5714285714285712E-2</v>
      </c>
      <c r="D984" s="5" t="b">
        <f t="shared" si="824"/>
        <v>0</v>
      </c>
      <c r="E984" s="5">
        <v>2014</v>
      </c>
      <c r="F984" s="5">
        <f ca="1">LOOKUP($E984,frequence!$A$2:$A$35,frequence!L$2:L$35)</f>
        <v>50.75383375536623</v>
      </c>
      <c r="G984" s="5">
        <f ca="1">LOOKUP($E984,frequence!$A$2:$A$35,frequence!K$2:K$35)</f>
        <v>9.9751715831189358</v>
      </c>
      <c r="H984" s="5">
        <f ca="1">LOOKUP($E984,frequence!$A$2:$A$35,frequence!M$2:M$35)</f>
        <v>236.05429056976001</v>
      </c>
      <c r="I984" s="16">
        <v>2005</v>
      </c>
      <c r="J984" s="7">
        <f>LOOKUP(I984,CPI!A$69:A$103,CPI!O$69:O$103)</f>
        <v>1.1165181771633383</v>
      </c>
      <c r="K984" s="16">
        <v>2015</v>
      </c>
      <c r="L984" s="7">
        <f t="shared" ca="1" si="807"/>
        <v>1</v>
      </c>
      <c r="M984" s="7">
        <f t="shared" si="825"/>
        <v>0.22857142857142856</v>
      </c>
      <c r="N984" s="14">
        <f>2/56</f>
        <v>3.5714285714285712E-2</v>
      </c>
      <c r="O984" s="1">
        <f ca="1">P984*J984*(1+Growth!G$6)^(2010-K984)</f>
        <v>72.160212618173773</v>
      </c>
      <c r="P984" s="22">
        <f>19*44/12</f>
        <v>69.666666666666671</v>
      </c>
      <c r="Q984" s="2">
        <f t="shared" si="826"/>
        <v>69.666666666666671</v>
      </c>
      <c r="R984" s="21">
        <f t="shared" ca="1" si="827"/>
        <v>5207.0962851000459</v>
      </c>
      <c r="U984" s="11"/>
      <c r="V984" s="11"/>
      <c r="W984" s="11"/>
      <c r="X984" s="11"/>
      <c r="Y984" s="11"/>
      <c r="Z984" s="11"/>
      <c r="AA984" s="11"/>
      <c r="AB984" s="11"/>
      <c r="AC984" s="1">
        <f t="shared" si="828"/>
        <v>6.4</v>
      </c>
      <c r="AD984" s="5">
        <v>1</v>
      </c>
      <c r="AE984" s="5">
        <v>0</v>
      </c>
      <c r="AF984" s="5">
        <v>1</v>
      </c>
      <c r="AG984" s="5">
        <v>0</v>
      </c>
      <c r="AH984" s="5">
        <v>1</v>
      </c>
      <c r="AI984" s="3">
        <f t="shared" si="829"/>
        <v>3.4</v>
      </c>
      <c r="AJ984" s="5">
        <f t="shared" si="835"/>
        <v>0</v>
      </c>
      <c r="AK984" s="5">
        <f t="shared" si="808"/>
        <v>0</v>
      </c>
      <c r="AL984" s="5">
        <f t="shared" si="809"/>
        <v>0</v>
      </c>
      <c r="AM984" s="5">
        <f t="shared" si="729"/>
        <v>0</v>
      </c>
      <c r="AN984" s="5">
        <f t="shared" si="810"/>
        <v>0</v>
      </c>
      <c r="AO984" s="5">
        <f t="shared" si="730"/>
        <v>0</v>
      </c>
      <c r="AP984" s="11">
        <v>5</v>
      </c>
      <c r="AQ984" s="11" t="s">
        <v>42</v>
      </c>
      <c r="AR984" s="5">
        <v>0</v>
      </c>
      <c r="AS984" s="5">
        <v>0</v>
      </c>
      <c r="AT984" s="5">
        <v>0</v>
      </c>
      <c r="AU984" s="5">
        <v>0</v>
      </c>
      <c r="AV984" s="5">
        <v>0</v>
      </c>
      <c r="AW984" s="5">
        <v>0</v>
      </c>
      <c r="AX984" s="5">
        <v>1</v>
      </c>
      <c r="AY984" s="1">
        <f t="shared" si="830"/>
        <v>0</v>
      </c>
      <c r="AZ984" s="1">
        <f t="shared" si="831"/>
        <v>0</v>
      </c>
      <c r="BA984" s="1">
        <f t="shared" si="832"/>
        <v>0</v>
      </c>
      <c r="BB984" s="5">
        <v>0</v>
      </c>
      <c r="BC984" s="5">
        <v>1</v>
      </c>
      <c r="BD984" s="5">
        <v>0</v>
      </c>
      <c r="BE984" s="5">
        <f t="shared" si="833"/>
        <v>0</v>
      </c>
      <c r="BF984" s="5">
        <v>1</v>
      </c>
      <c r="BG984" s="5">
        <f t="shared" si="834"/>
        <v>0</v>
      </c>
      <c r="BH984" s="5">
        <f t="shared" si="834"/>
        <v>0</v>
      </c>
      <c r="BI984" s="5">
        <f t="shared" si="834"/>
        <v>0</v>
      </c>
      <c r="BJ984" s="5">
        <f t="shared" si="834"/>
        <v>0</v>
      </c>
      <c r="BK984" s="5">
        <f t="shared" si="834"/>
        <v>0</v>
      </c>
      <c r="BL984" s="5">
        <f t="shared" si="834"/>
        <v>0</v>
      </c>
      <c r="BM984" s="5">
        <f t="shared" si="834"/>
        <v>0</v>
      </c>
      <c r="BN984" s="5">
        <f t="shared" si="834"/>
        <v>0</v>
      </c>
      <c r="BO984" s="5">
        <f t="shared" si="823"/>
        <v>0</v>
      </c>
      <c r="BP984" s="5">
        <f t="shared" si="823"/>
        <v>0</v>
      </c>
      <c r="BQ984" s="5">
        <f t="shared" si="823"/>
        <v>0</v>
      </c>
      <c r="BR984" s="5">
        <f t="shared" si="823"/>
        <v>0</v>
      </c>
      <c r="BS984" s="5">
        <f t="shared" si="823"/>
        <v>0</v>
      </c>
      <c r="BT984" s="5">
        <f t="shared" si="823"/>
        <v>0</v>
      </c>
      <c r="BU984" s="5">
        <f t="shared" si="823"/>
        <v>0</v>
      </c>
      <c r="BV984" s="5">
        <f t="shared" si="823"/>
        <v>0</v>
      </c>
      <c r="BW984" s="5">
        <f t="shared" si="823"/>
        <v>0</v>
      </c>
      <c r="BX984" s="5">
        <f t="shared" si="823"/>
        <v>0</v>
      </c>
      <c r="BY984" s="5">
        <f t="shared" si="823"/>
        <v>0</v>
      </c>
      <c r="BZ984" s="5">
        <f t="shared" si="823"/>
        <v>0</v>
      </c>
      <c r="CA984" s="5">
        <f t="shared" si="823"/>
        <v>0</v>
      </c>
      <c r="CB984" s="5">
        <f t="shared" si="822"/>
        <v>0</v>
      </c>
      <c r="CC984" s="5">
        <f t="shared" si="822"/>
        <v>0</v>
      </c>
      <c r="CD984" s="5">
        <f t="shared" si="822"/>
        <v>1</v>
      </c>
      <c r="CE984" s="5">
        <f t="shared" si="822"/>
        <v>0</v>
      </c>
    </row>
    <row r="985" spans="1:83" x14ac:dyDescent="0.2">
      <c r="A985" s="11"/>
      <c r="B985" s="11"/>
      <c r="C985" s="1">
        <f>Growth!D990</f>
        <v>1.7857142857142856E-2</v>
      </c>
      <c r="D985" s="5" t="b">
        <f t="shared" si="824"/>
        <v>0</v>
      </c>
      <c r="E985" s="5">
        <v>2014</v>
      </c>
      <c r="F985" s="5">
        <f ca="1">LOOKUP($E985,frequence!$A$2:$A$35,frequence!L$2:L$35)</f>
        <v>50.75383375536623</v>
      </c>
      <c r="G985" s="5">
        <f ca="1">LOOKUP($E985,frequence!$A$2:$A$35,frequence!K$2:K$35)</f>
        <v>9.9751715831189358</v>
      </c>
      <c r="H985" s="5">
        <f ca="1">LOOKUP($E985,frequence!$A$2:$A$35,frequence!M$2:M$35)</f>
        <v>236.05429056976001</v>
      </c>
      <c r="I985" s="16">
        <v>2005</v>
      </c>
      <c r="J985" s="7">
        <f>LOOKUP(I985,CPI!A$69:A$103,CPI!O$69:O$103)</f>
        <v>1.1165181771633383</v>
      </c>
      <c r="K985" s="16">
        <v>2015</v>
      </c>
      <c r="L985" s="7">
        <f t="shared" ca="1" si="807"/>
        <v>0.29858304619574427</v>
      </c>
      <c r="M985" s="7">
        <f t="shared" si="825"/>
        <v>0.11428571428571428</v>
      </c>
      <c r="N985" s="14">
        <f>1/56</f>
        <v>1.7857142857142856E-2</v>
      </c>
      <c r="O985" s="1">
        <f ca="1">P985*J985*(1+Growth!G$6)^(2010-K985)</f>
        <v>5677.8693612720936</v>
      </c>
      <c r="P985" s="22">
        <f>1495*44/12</f>
        <v>5481.666666666667</v>
      </c>
      <c r="Q985" s="2">
        <f t="shared" si="826"/>
        <v>5481.666666666667</v>
      </c>
      <c r="R985" s="21">
        <f t="shared" ca="1" si="827"/>
        <v>32238200.483672373</v>
      </c>
      <c r="U985" s="11"/>
      <c r="V985" s="11"/>
      <c r="W985" s="11"/>
      <c r="X985" s="11"/>
      <c r="Y985" s="11"/>
      <c r="Z985" s="11"/>
      <c r="AA985" s="11"/>
      <c r="AB985" s="11"/>
      <c r="AC985" s="1">
        <f t="shared" si="828"/>
        <v>6.4</v>
      </c>
      <c r="AD985" s="5">
        <v>1</v>
      </c>
      <c r="AE985" s="5">
        <v>0</v>
      </c>
      <c r="AF985" s="5">
        <v>1</v>
      </c>
      <c r="AG985" s="5">
        <v>0</v>
      </c>
      <c r="AH985" s="5">
        <v>1</v>
      </c>
      <c r="AI985" s="3">
        <f t="shared" si="829"/>
        <v>3.4</v>
      </c>
      <c r="AJ985" s="5">
        <f t="shared" si="835"/>
        <v>0</v>
      </c>
      <c r="AK985" s="5">
        <f t="shared" si="808"/>
        <v>0</v>
      </c>
      <c r="AL985" s="5">
        <f t="shared" si="809"/>
        <v>0</v>
      </c>
      <c r="AM985" s="5">
        <f t="shared" si="729"/>
        <v>0</v>
      </c>
      <c r="AN985" s="5">
        <f t="shared" si="810"/>
        <v>0</v>
      </c>
      <c r="AO985" s="5">
        <f t="shared" si="730"/>
        <v>0</v>
      </c>
      <c r="AP985" s="11">
        <v>5</v>
      </c>
      <c r="AQ985" s="11" t="s">
        <v>42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0</v>
      </c>
      <c r="AX985" s="5">
        <v>1</v>
      </c>
      <c r="AY985" s="1">
        <f t="shared" si="830"/>
        <v>0</v>
      </c>
      <c r="AZ985" s="1">
        <f t="shared" si="831"/>
        <v>0</v>
      </c>
      <c r="BA985" s="1">
        <f t="shared" si="832"/>
        <v>0</v>
      </c>
      <c r="BB985" s="5">
        <v>0</v>
      </c>
      <c r="BC985" s="5">
        <v>1</v>
      </c>
      <c r="BD985" s="5">
        <v>0</v>
      </c>
      <c r="BE985" s="5">
        <f t="shared" si="833"/>
        <v>0</v>
      </c>
      <c r="BF985" s="5">
        <v>0</v>
      </c>
      <c r="BG985" s="5">
        <f t="shared" si="834"/>
        <v>0</v>
      </c>
      <c r="BH985" s="5">
        <f t="shared" si="834"/>
        <v>0</v>
      </c>
      <c r="BI985" s="5">
        <f t="shared" si="834"/>
        <v>0</v>
      </c>
      <c r="BJ985" s="5">
        <f t="shared" si="834"/>
        <v>0</v>
      </c>
      <c r="BK985" s="5">
        <f t="shared" si="834"/>
        <v>0</v>
      </c>
      <c r="BL985" s="5">
        <f t="shared" si="834"/>
        <v>0</v>
      </c>
      <c r="BM985" s="5">
        <f t="shared" si="834"/>
        <v>0</v>
      </c>
      <c r="BN985" s="5">
        <f t="shared" si="834"/>
        <v>0</v>
      </c>
      <c r="BO985" s="5">
        <f t="shared" si="823"/>
        <v>0</v>
      </c>
      <c r="BP985" s="5">
        <f t="shared" si="823"/>
        <v>0</v>
      </c>
      <c r="BQ985" s="5">
        <f t="shared" si="823"/>
        <v>0</v>
      </c>
      <c r="BR985" s="5">
        <f t="shared" si="823"/>
        <v>0</v>
      </c>
      <c r="BS985" s="5">
        <f t="shared" si="823"/>
        <v>0</v>
      </c>
      <c r="BT985" s="5">
        <f t="shared" si="823"/>
        <v>0</v>
      </c>
      <c r="BU985" s="5">
        <f t="shared" si="823"/>
        <v>0</v>
      </c>
      <c r="BV985" s="5">
        <f t="shared" si="823"/>
        <v>0</v>
      </c>
      <c r="BW985" s="5">
        <f t="shared" si="823"/>
        <v>0</v>
      </c>
      <c r="BX985" s="5">
        <f t="shared" si="823"/>
        <v>0</v>
      </c>
      <c r="BY985" s="5">
        <f t="shared" si="823"/>
        <v>0</v>
      </c>
      <c r="BZ985" s="5">
        <f t="shared" si="823"/>
        <v>0</v>
      </c>
      <c r="CA985" s="5">
        <f t="shared" si="823"/>
        <v>0</v>
      </c>
      <c r="CB985" s="5">
        <f t="shared" si="822"/>
        <v>0</v>
      </c>
      <c r="CC985" s="5">
        <f t="shared" si="822"/>
        <v>0</v>
      </c>
      <c r="CD985" s="5">
        <f t="shared" si="822"/>
        <v>1</v>
      </c>
      <c r="CE985" s="5">
        <f t="shared" si="822"/>
        <v>0</v>
      </c>
    </row>
    <row r="986" spans="1:83" x14ac:dyDescent="0.2">
      <c r="A986" s="11"/>
      <c r="B986" s="11"/>
      <c r="C986" s="1">
        <f>Growth!D991</f>
        <v>1.7857142857142856E-2</v>
      </c>
      <c r="D986" s="5" t="b">
        <f t="shared" si="824"/>
        <v>0</v>
      </c>
      <c r="E986" s="5">
        <v>2014</v>
      </c>
      <c r="F986" s="5">
        <f ca="1">LOOKUP($E986,frequence!$A$2:$A$35,frequence!L$2:L$35)</f>
        <v>50.75383375536623</v>
      </c>
      <c r="G986" s="5">
        <f ca="1">LOOKUP($E986,frequence!$A$2:$A$35,frequence!K$2:K$35)</f>
        <v>9.9751715831189358</v>
      </c>
      <c r="H986" s="5">
        <f ca="1">LOOKUP($E986,frequence!$A$2:$A$35,frequence!M$2:M$35)</f>
        <v>236.05429056976001</v>
      </c>
      <c r="I986" s="16">
        <v>2005</v>
      </c>
      <c r="J986" s="7">
        <f>LOOKUP(I986,CPI!A$69:A$103,CPI!O$69:O$103)</f>
        <v>1.1165181771633383</v>
      </c>
      <c r="K986" s="16">
        <v>2015</v>
      </c>
      <c r="L986" s="7">
        <f t="shared" ca="1" si="807"/>
        <v>0.56224291668120108</v>
      </c>
      <c r="M986" s="7">
        <f t="shared" si="825"/>
        <v>0.11428571428571428</v>
      </c>
      <c r="N986" s="14">
        <f>1/56</f>
        <v>1.7857142857142856E-2</v>
      </c>
      <c r="O986" s="1">
        <f ca="1">P986*J986*(1+Growth!G$6)^(2010-K986)</f>
        <v>3972.6095999268291</v>
      </c>
      <c r="P986" s="22">
        <f>1046*44/12</f>
        <v>3835.3333333333335</v>
      </c>
      <c r="Q986" s="2">
        <f t="shared" si="826"/>
        <v>3835.3333333333335</v>
      </c>
      <c r="R986" s="21">
        <f t="shared" ca="1" si="827"/>
        <v>15781627.033430802</v>
      </c>
      <c r="U986" s="11"/>
      <c r="V986" s="11"/>
      <c r="W986" s="11"/>
      <c r="X986" s="11"/>
      <c r="Y986" s="11"/>
      <c r="Z986" s="11"/>
      <c r="AA986" s="11"/>
      <c r="AB986" s="11"/>
      <c r="AC986" s="1">
        <f t="shared" si="828"/>
        <v>6.4</v>
      </c>
      <c r="AD986" s="5">
        <v>1</v>
      </c>
      <c r="AE986" s="5">
        <v>0</v>
      </c>
      <c r="AF986" s="5">
        <v>1</v>
      </c>
      <c r="AG986" s="5">
        <v>0</v>
      </c>
      <c r="AH986" s="5">
        <v>1</v>
      </c>
      <c r="AI986" s="3">
        <f t="shared" si="829"/>
        <v>3.4</v>
      </c>
      <c r="AJ986" s="5">
        <f t="shared" si="835"/>
        <v>0</v>
      </c>
      <c r="AK986" s="5">
        <f t="shared" si="808"/>
        <v>0</v>
      </c>
      <c r="AL986" s="5">
        <f t="shared" si="809"/>
        <v>0</v>
      </c>
      <c r="AM986" s="5">
        <f t="shared" ref="AM986:AM1049" si="836">IF($AQ986=1,1,0)</f>
        <v>0</v>
      </c>
      <c r="AN986" s="5">
        <f t="shared" si="810"/>
        <v>0</v>
      </c>
      <c r="AO986" s="5">
        <f t="shared" ref="AO986:AO1049" si="837">IF($AQ986=0,1,0)</f>
        <v>0</v>
      </c>
      <c r="AP986" s="11">
        <v>5</v>
      </c>
      <c r="AQ986" s="11" t="s">
        <v>42</v>
      </c>
      <c r="AR986" s="5">
        <v>0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1</v>
      </c>
      <c r="AY986" s="1">
        <f t="shared" si="830"/>
        <v>0</v>
      </c>
      <c r="AZ986" s="1">
        <f t="shared" si="831"/>
        <v>0</v>
      </c>
      <c r="BA986" s="1">
        <f t="shared" si="832"/>
        <v>0</v>
      </c>
      <c r="BB986" s="5">
        <v>0</v>
      </c>
      <c r="BC986" s="5">
        <v>1</v>
      </c>
      <c r="BD986" s="5">
        <v>0</v>
      </c>
      <c r="BE986" s="5">
        <f t="shared" si="833"/>
        <v>0</v>
      </c>
      <c r="BF986" s="5">
        <v>0</v>
      </c>
      <c r="BG986" s="5">
        <f t="shared" si="834"/>
        <v>0</v>
      </c>
      <c r="BH986" s="5">
        <f t="shared" si="834"/>
        <v>0</v>
      </c>
      <c r="BI986" s="5">
        <f t="shared" si="834"/>
        <v>0</v>
      </c>
      <c r="BJ986" s="5">
        <f t="shared" si="834"/>
        <v>0</v>
      </c>
      <c r="BK986" s="5">
        <f t="shared" si="834"/>
        <v>0</v>
      </c>
      <c r="BL986" s="5">
        <f t="shared" si="834"/>
        <v>0</v>
      </c>
      <c r="BM986" s="5">
        <f t="shared" si="834"/>
        <v>0</v>
      </c>
      <c r="BN986" s="5">
        <f t="shared" si="834"/>
        <v>0</v>
      </c>
      <c r="BO986" s="5">
        <f t="shared" si="823"/>
        <v>0</v>
      </c>
      <c r="BP986" s="5">
        <f t="shared" si="823"/>
        <v>0</v>
      </c>
      <c r="BQ986" s="5">
        <f t="shared" si="823"/>
        <v>0</v>
      </c>
      <c r="BR986" s="5">
        <f t="shared" si="823"/>
        <v>0</v>
      </c>
      <c r="BS986" s="5">
        <f t="shared" si="823"/>
        <v>0</v>
      </c>
      <c r="BT986" s="5">
        <f t="shared" si="823"/>
        <v>0</v>
      </c>
      <c r="BU986" s="5">
        <f t="shared" si="823"/>
        <v>0</v>
      </c>
      <c r="BV986" s="5">
        <f t="shared" si="823"/>
        <v>0</v>
      </c>
      <c r="BW986" s="5">
        <f t="shared" si="823"/>
        <v>0</v>
      </c>
      <c r="BX986" s="5">
        <f t="shared" si="823"/>
        <v>0</v>
      </c>
      <c r="BY986" s="5">
        <f t="shared" si="823"/>
        <v>0</v>
      </c>
      <c r="BZ986" s="5">
        <f t="shared" si="823"/>
        <v>0</v>
      </c>
      <c r="CA986" s="5">
        <f t="shared" si="823"/>
        <v>0</v>
      </c>
      <c r="CB986" s="5">
        <f t="shared" si="822"/>
        <v>0</v>
      </c>
      <c r="CC986" s="5">
        <f t="shared" si="822"/>
        <v>0</v>
      </c>
      <c r="CD986" s="5">
        <f t="shared" si="822"/>
        <v>1</v>
      </c>
      <c r="CE986" s="5">
        <f t="shared" si="822"/>
        <v>0</v>
      </c>
    </row>
    <row r="987" spans="1:83" x14ac:dyDescent="0.2">
      <c r="A987" s="11"/>
      <c r="B987" s="11"/>
      <c r="C987" s="1">
        <f>Growth!D992</f>
        <v>1.7857142857142856E-2</v>
      </c>
      <c r="D987" s="5" t="b">
        <f t="shared" si="824"/>
        <v>0</v>
      </c>
      <c r="E987" s="5">
        <v>2014</v>
      </c>
      <c r="F987" s="5">
        <f ca="1">LOOKUP($E987,frequence!$A$2:$A$35,frequence!L$2:L$35)</f>
        <v>50.75383375536623</v>
      </c>
      <c r="G987" s="5">
        <f ca="1">LOOKUP($E987,frequence!$A$2:$A$35,frequence!K$2:K$35)</f>
        <v>9.9751715831189358</v>
      </c>
      <c r="H987" s="5">
        <f ca="1">LOOKUP($E987,frequence!$A$2:$A$35,frequence!M$2:M$35)</f>
        <v>236.05429056976001</v>
      </c>
      <c r="I987" s="16">
        <v>2005</v>
      </c>
      <c r="J987" s="7">
        <f>LOOKUP(I987,CPI!A$69:A$103,CPI!O$69:O$103)</f>
        <v>1.1165181771633383</v>
      </c>
      <c r="K987" s="16">
        <v>2015</v>
      </c>
      <c r="L987" s="7">
        <f t="shared" ca="1" si="807"/>
        <v>1</v>
      </c>
      <c r="M987" s="7">
        <f t="shared" si="825"/>
        <v>0.11428571428571428</v>
      </c>
      <c r="N987" s="14">
        <f>1/56</f>
        <v>1.7857142857142856E-2</v>
      </c>
      <c r="O987" s="1">
        <f ca="1">P987*J987*(1+Growth!G$6)^(2010-K987)</f>
        <v>748.18746767264383</v>
      </c>
      <c r="P987" s="22">
        <f>197*44/12</f>
        <v>722.33333333333337</v>
      </c>
      <c r="Q987" s="2">
        <f t="shared" si="826"/>
        <v>722.33333333333337</v>
      </c>
      <c r="R987" s="21">
        <f t="shared" ca="1" si="827"/>
        <v>559784.48678240343</v>
      </c>
      <c r="U987" s="11"/>
      <c r="V987" s="11"/>
      <c r="W987" s="11"/>
      <c r="X987" s="11"/>
      <c r="Y987" s="11"/>
      <c r="Z987" s="11"/>
      <c r="AA987" s="11"/>
      <c r="AB987" s="11"/>
      <c r="AC987" s="1">
        <f t="shared" si="828"/>
        <v>6.4</v>
      </c>
      <c r="AD987" s="5">
        <v>1</v>
      </c>
      <c r="AE987" s="5">
        <v>0</v>
      </c>
      <c r="AF987" s="5">
        <v>1</v>
      </c>
      <c r="AG987" s="5">
        <v>0</v>
      </c>
      <c r="AH987" s="5">
        <v>1</v>
      </c>
      <c r="AI987" s="3">
        <f t="shared" si="829"/>
        <v>3.4</v>
      </c>
      <c r="AJ987" s="5">
        <f t="shared" si="835"/>
        <v>0</v>
      </c>
      <c r="AK987" s="5">
        <f t="shared" si="808"/>
        <v>0</v>
      </c>
      <c r="AL987" s="5">
        <f t="shared" si="809"/>
        <v>0</v>
      </c>
      <c r="AM987" s="5">
        <f t="shared" si="836"/>
        <v>0</v>
      </c>
      <c r="AN987" s="5">
        <f t="shared" si="810"/>
        <v>0</v>
      </c>
      <c r="AO987" s="5">
        <f t="shared" si="837"/>
        <v>0</v>
      </c>
      <c r="AP987" s="11">
        <v>5</v>
      </c>
      <c r="AQ987" s="11" t="s">
        <v>42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1</v>
      </c>
      <c r="AY987" s="1">
        <f t="shared" si="830"/>
        <v>0</v>
      </c>
      <c r="AZ987" s="1">
        <f t="shared" si="831"/>
        <v>0</v>
      </c>
      <c r="BA987" s="1">
        <f t="shared" si="832"/>
        <v>0</v>
      </c>
      <c r="BB987" s="5">
        <v>0</v>
      </c>
      <c r="BC987" s="5">
        <v>1</v>
      </c>
      <c r="BD987" s="5">
        <v>0</v>
      </c>
      <c r="BE987" s="5">
        <f t="shared" si="833"/>
        <v>0</v>
      </c>
      <c r="BF987" s="5">
        <v>0</v>
      </c>
      <c r="BG987" s="5">
        <f t="shared" si="834"/>
        <v>0</v>
      </c>
      <c r="BH987" s="5">
        <f t="shared" si="834"/>
        <v>0</v>
      </c>
      <c r="BI987" s="5">
        <f t="shared" si="834"/>
        <v>0</v>
      </c>
      <c r="BJ987" s="5">
        <f t="shared" si="834"/>
        <v>0</v>
      </c>
      <c r="BK987" s="5">
        <f t="shared" si="834"/>
        <v>0</v>
      </c>
      <c r="BL987" s="5">
        <f t="shared" si="834"/>
        <v>0</v>
      </c>
      <c r="BM987" s="5">
        <f t="shared" si="834"/>
        <v>0</v>
      </c>
      <c r="BN987" s="5">
        <f t="shared" si="834"/>
        <v>0</v>
      </c>
      <c r="BO987" s="5">
        <f t="shared" si="823"/>
        <v>0</v>
      </c>
      <c r="BP987" s="5">
        <f t="shared" si="823"/>
        <v>0</v>
      </c>
      <c r="BQ987" s="5">
        <f t="shared" si="823"/>
        <v>0</v>
      </c>
      <c r="BR987" s="5">
        <f t="shared" si="823"/>
        <v>0</v>
      </c>
      <c r="BS987" s="5">
        <f t="shared" si="823"/>
        <v>0</v>
      </c>
      <c r="BT987" s="5">
        <f t="shared" si="823"/>
        <v>0</v>
      </c>
      <c r="BU987" s="5">
        <f t="shared" si="823"/>
        <v>0</v>
      </c>
      <c r="BV987" s="5">
        <f t="shared" si="823"/>
        <v>0</v>
      </c>
      <c r="BW987" s="5">
        <f t="shared" si="823"/>
        <v>0</v>
      </c>
      <c r="BX987" s="5">
        <f t="shared" si="823"/>
        <v>0</v>
      </c>
      <c r="BY987" s="5">
        <f t="shared" si="823"/>
        <v>0</v>
      </c>
      <c r="BZ987" s="5">
        <f t="shared" si="823"/>
        <v>0</v>
      </c>
      <c r="CA987" s="5">
        <f t="shared" si="823"/>
        <v>0</v>
      </c>
      <c r="CB987" s="5">
        <f t="shared" si="822"/>
        <v>0</v>
      </c>
      <c r="CC987" s="5">
        <f t="shared" si="822"/>
        <v>0</v>
      </c>
      <c r="CD987" s="5">
        <f t="shared" si="822"/>
        <v>1</v>
      </c>
      <c r="CE987" s="5">
        <f t="shared" si="822"/>
        <v>0</v>
      </c>
    </row>
    <row r="988" spans="1:83" x14ac:dyDescent="0.2">
      <c r="A988" s="11"/>
      <c r="B988" s="11"/>
      <c r="C988" s="1">
        <f>Growth!D993</f>
        <v>1.7857142857142856E-2</v>
      </c>
      <c r="D988" s="5" t="b">
        <f t="shared" si="824"/>
        <v>0</v>
      </c>
      <c r="E988" s="5">
        <v>2014</v>
      </c>
      <c r="F988" s="5">
        <f ca="1">LOOKUP($E988,frequence!$A$2:$A$35,frequence!L$2:L$35)</f>
        <v>50.75383375536623</v>
      </c>
      <c r="G988" s="5">
        <f ca="1">LOOKUP($E988,frequence!$A$2:$A$35,frequence!K$2:K$35)</f>
        <v>9.9751715831189358</v>
      </c>
      <c r="H988" s="5">
        <f ca="1">LOOKUP($E988,frequence!$A$2:$A$35,frequence!M$2:M$35)</f>
        <v>236.05429056976001</v>
      </c>
      <c r="I988" s="16">
        <v>2005</v>
      </c>
      <c r="J988" s="7">
        <f>LOOKUP(I988,CPI!A$69:A$103,CPI!O$69:O$103)</f>
        <v>1.1165181771633383</v>
      </c>
      <c r="K988" s="16">
        <v>2015</v>
      </c>
      <c r="L988" s="7">
        <f t="shared" ca="1" si="807"/>
        <v>1</v>
      </c>
      <c r="M988" s="7">
        <f t="shared" si="825"/>
        <v>0.11428571428571428</v>
      </c>
      <c r="N988" s="14">
        <f>1/56</f>
        <v>1.7857142857142856E-2</v>
      </c>
      <c r="O988" s="1">
        <f ca="1">P988*J988*(1+Growth!G$6)^(2010-K988)</f>
        <v>125.33089559998602</v>
      </c>
      <c r="P988" s="22">
        <f>33*44/12</f>
        <v>121</v>
      </c>
      <c r="Q988" s="2">
        <f t="shared" si="826"/>
        <v>121</v>
      </c>
      <c r="R988" s="21">
        <f t="shared" ca="1" si="827"/>
        <v>15707.833391894595</v>
      </c>
      <c r="U988" s="11"/>
      <c r="V988" s="11"/>
      <c r="W988" s="11"/>
      <c r="X988" s="11"/>
      <c r="Y988" s="11"/>
      <c r="Z988" s="11"/>
      <c r="AA988" s="11"/>
      <c r="AB988" s="11"/>
      <c r="AC988" s="1">
        <f t="shared" si="828"/>
        <v>6.4</v>
      </c>
      <c r="AD988" s="5">
        <v>1</v>
      </c>
      <c r="AE988" s="5">
        <v>0</v>
      </c>
      <c r="AF988" s="5">
        <v>1</v>
      </c>
      <c r="AG988" s="5">
        <v>0</v>
      </c>
      <c r="AH988" s="5">
        <v>1</v>
      </c>
      <c r="AI988" s="3">
        <f t="shared" si="829"/>
        <v>3.4</v>
      </c>
      <c r="AJ988" s="5">
        <f t="shared" si="835"/>
        <v>0</v>
      </c>
      <c r="AK988" s="5">
        <f t="shared" si="808"/>
        <v>0</v>
      </c>
      <c r="AL988" s="5">
        <f t="shared" si="809"/>
        <v>0</v>
      </c>
      <c r="AM988" s="5">
        <f t="shared" si="836"/>
        <v>0</v>
      </c>
      <c r="AN988" s="5">
        <f t="shared" si="810"/>
        <v>0</v>
      </c>
      <c r="AO988" s="5">
        <f t="shared" si="837"/>
        <v>0</v>
      </c>
      <c r="AP988" s="11">
        <v>5</v>
      </c>
      <c r="AQ988" s="11" t="s">
        <v>42</v>
      </c>
      <c r="AR988" s="5">
        <v>0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1</v>
      </c>
      <c r="AY988" s="1">
        <f t="shared" si="830"/>
        <v>0</v>
      </c>
      <c r="AZ988" s="1">
        <f t="shared" si="831"/>
        <v>0</v>
      </c>
      <c r="BA988" s="1">
        <f t="shared" si="832"/>
        <v>0</v>
      </c>
      <c r="BB988" s="5">
        <v>0</v>
      </c>
      <c r="BC988" s="5">
        <v>1</v>
      </c>
      <c r="BD988" s="5">
        <v>0</v>
      </c>
      <c r="BE988" s="5">
        <f t="shared" si="833"/>
        <v>0</v>
      </c>
      <c r="BF988" s="5">
        <v>0</v>
      </c>
      <c r="BG988" s="5">
        <f t="shared" si="834"/>
        <v>0</v>
      </c>
      <c r="BH988" s="5">
        <f t="shared" si="834"/>
        <v>0</v>
      </c>
      <c r="BI988" s="5">
        <f t="shared" si="834"/>
        <v>0</v>
      </c>
      <c r="BJ988" s="5">
        <f t="shared" si="834"/>
        <v>0</v>
      </c>
      <c r="BK988" s="5">
        <f t="shared" si="834"/>
        <v>0</v>
      </c>
      <c r="BL988" s="5">
        <f t="shared" si="834"/>
        <v>0</v>
      </c>
      <c r="BM988" s="5">
        <f t="shared" si="834"/>
        <v>0</v>
      </c>
      <c r="BN988" s="5">
        <f t="shared" si="834"/>
        <v>0</v>
      </c>
      <c r="BO988" s="5">
        <f t="shared" si="823"/>
        <v>0</v>
      </c>
      <c r="BP988" s="5">
        <f t="shared" si="823"/>
        <v>0</v>
      </c>
      <c r="BQ988" s="5">
        <f t="shared" si="823"/>
        <v>0</v>
      </c>
      <c r="BR988" s="5">
        <f t="shared" si="823"/>
        <v>0</v>
      </c>
      <c r="BS988" s="5">
        <f t="shared" si="823"/>
        <v>0</v>
      </c>
      <c r="BT988" s="5">
        <f t="shared" si="823"/>
        <v>0</v>
      </c>
      <c r="BU988" s="5">
        <f t="shared" si="823"/>
        <v>0</v>
      </c>
      <c r="BV988" s="5">
        <f t="shared" si="823"/>
        <v>0</v>
      </c>
      <c r="BW988" s="5">
        <f t="shared" si="823"/>
        <v>0</v>
      </c>
      <c r="BX988" s="5">
        <f t="shared" si="823"/>
        <v>0</v>
      </c>
      <c r="BY988" s="5">
        <f t="shared" si="823"/>
        <v>0</v>
      </c>
      <c r="BZ988" s="5">
        <f t="shared" si="823"/>
        <v>0</v>
      </c>
      <c r="CA988" s="5">
        <f t="shared" si="823"/>
        <v>0</v>
      </c>
      <c r="CB988" s="5">
        <f t="shared" si="822"/>
        <v>0</v>
      </c>
      <c r="CC988" s="5">
        <f t="shared" si="822"/>
        <v>0</v>
      </c>
      <c r="CD988" s="5">
        <f t="shared" si="822"/>
        <v>1</v>
      </c>
      <c r="CE988" s="5">
        <f t="shared" si="822"/>
        <v>0</v>
      </c>
    </row>
    <row r="989" spans="1:83" x14ac:dyDescent="0.2">
      <c r="A989" s="11" t="s">
        <v>20</v>
      </c>
      <c r="B989" s="11" t="s">
        <v>197</v>
      </c>
      <c r="C989" s="1">
        <f>Growth!D994</f>
        <v>0.10666666666666667</v>
      </c>
      <c r="D989" s="5">
        <f t="shared" si="824"/>
        <v>2013</v>
      </c>
      <c r="E989" s="5">
        <v>2013</v>
      </c>
      <c r="F989" s="5">
        <f ca="1">LOOKUP($E989,frequence!$A$2:$A$35,frequence!L$2:L$35)</f>
        <v>46.610663652887361</v>
      </c>
      <c r="G989" s="5">
        <f ca="1">LOOKUP($E989,frequence!$A$2:$A$35,frequence!K$2:K$35)</f>
        <v>7.3617115683267258</v>
      </c>
      <c r="H989" s="5">
        <f ca="1">LOOKUP($E989,frequence!$A$2:$A$35,frequence!M$2:M$35)</f>
        <v>214.81113443396845</v>
      </c>
      <c r="I989" s="16">
        <v>2005</v>
      </c>
      <c r="J989" s="7">
        <f>LOOKUP(I989,CPI!A$69:A$103,CPI!O$69:O$103)</f>
        <v>1.1165181771633383</v>
      </c>
      <c r="K989" s="16">
        <v>2015</v>
      </c>
      <c r="L989" s="7">
        <f t="shared" ca="1" si="807"/>
        <v>1</v>
      </c>
      <c r="M989" s="7">
        <f t="shared" si="825"/>
        <v>0.67200000000000004</v>
      </c>
      <c r="N989" s="14">
        <f>8/75</f>
        <v>0.10666666666666667</v>
      </c>
      <c r="O989" s="1">
        <f ca="1">P989*J989*(1+Growth!G$6)^(2010-K989)</f>
        <v>39.049378215863406</v>
      </c>
      <c r="P989" s="22">
        <v>37.700000000000003</v>
      </c>
      <c r="Q989" s="2">
        <f t="shared" ref="Q989" si="838">P989</f>
        <v>37.700000000000003</v>
      </c>
      <c r="R989" s="21">
        <f t="shared" ref="R989" ca="1" si="839">O989*O989</f>
        <v>1524.8539390455476</v>
      </c>
      <c r="U989" s="11"/>
      <c r="V989" s="11"/>
      <c r="W989" s="11"/>
      <c r="X989" s="11"/>
      <c r="Y989" s="11"/>
      <c r="Z989" s="11"/>
      <c r="AA989" s="11"/>
      <c r="AB989" s="11"/>
      <c r="AC989" s="1">
        <f t="shared" ref="AC989" si="840">SUM(AD989:AI989)</f>
        <v>6.3</v>
      </c>
      <c r="AD989" s="5">
        <v>1</v>
      </c>
      <c r="AE989" s="5">
        <v>0</v>
      </c>
      <c r="AF989" s="5">
        <v>1</v>
      </c>
      <c r="AG989" s="5">
        <v>0</v>
      </c>
      <c r="AH989" s="5">
        <v>1</v>
      </c>
      <c r="AI989" s="3">
        <f t="shared" si="829"/>
        <v>3.3</v>
      </c>
      <c r="AJ989" s="5">
        <f t="shared" si="835"/>
        <v>0</v>
      </c>
      <c r="AK989" s="5">
        <f t="shared" si="808"/>
        <v>0</v>
      </c>
      <c r="AL989" s="5">
        <f t="shared" si="809"/>
        <v>1</v>
      </c>
      <c r="AM989" s="5">
        <f t="shared" si="836"/>
        <v>0</v>
      </c>
      <c r="AN989" s="5">
        <f t="shared" si="810"/>
        <v>0</v>
      </c>
      <c r="AO989" s="5">
        <f t="shared" si="837"/>
        <v>0</v>
      </c>
      <c r="AP989" s="11" t="s">
        <v>42</v>
      </c>
      <c r="AQ989" s="11">
        <v>1.5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1</v>
      </c>
      <c r="AY989" s="1">
        <f t="shared" si="830"/>
        <v>0</v>
      </c>
      <c r="AZ989" s="1">
        <f t="shared" si="831"/>
        <v>0</v>
      </c>
      <c r="BA989" s="1">
        <f t="shared" si="832"/>
        <v>0</v>
      </c>
      <c r="BB989" s="5">
        <v>0</v>
      </c>
      <c r="BC989" s="5">
        <v>1</v>
      </c>
      <c r="BD989" s="5">
        <v>0</v>
      </c>
      <c r="BE989" s="5">
        <f t="shared" si="833"/>
        <v>0</v>
      </c>
      <c r="BF989" s="5">
        <v>1</v>
      </c>
      <c r="BG989" s="5">
        <f t="shared" si="834"/>
        <v>0</v>
      </c>
      <c r="BH989" s="5">
        <f t="shared" si="834"/>
        <v>0</v>
      </c>
      <c r="BI989" s="5">
        <f t="shared" si="834"/>
        <v>0</v>
      </c>
      <c r="BJ989" s="5">
        <f t="shared" si="834"/>
        <v>0</v>
      </c>
      <c r="BK989" s="5">
        <f t="shared" si="834"/>
        <v>0</v>
      </c>
      <c r="BL989" s="5">
        <f t="shared" si="834"/>
        <v>0</v>
      </c>
      <c r="BM989" s="5">
        <f t="shared" si="834"/>
        <v>0</v>
      </c>
      <c r="BN989" s="5">
        <f t="shared" si="834"/>
        <v>0</v>
      </c>
      <c r="BO989" s="5">
        <f t="shared" si="823"/>
        <v>0</v>
      </c>
      <c r="BP989" s="5">
        <f t="shared" si="823"/>
        <v>0</v>
      </c>
      <c r="BQ989" s="5">
        <f t="shared" si="823"/>
        <v>0</v>
      </c>
      <c r="BR989" s="5">
        <f t="shared" si="823"/>
        <v>0</v>
      </c>
      <c r="BS989" s="5">
        <f t="shared" si="823"/>
        <v>0</v>
      </c>
      <c r="BT989" s="5">
        <f t="shared" si="823"/>
        <v>0</v>
      </c>
      <c r="BU989" s="5">
        <f t="shared" si="823"/>
        <v>0</v>
      </c>
      <c r="BV989" s="5">
        <f t="shared" si="823"/>
        <v>0</v>
      </c>
      <c r="BW989" s="5">
        <f t="shared" si="823"/>
        <v>0</v>
      </c>
      <c r="BX989" s="5">
        <f t="shared" si="823"/>
        <v>0</v>
      </c>
      <c r="BY989" s="5">
        <f t="shared" si="823"/>
        <v>0</v>
      </c>
      <c r="BZ989" s="5">
        <f t="shared" si="823"/>
        <v>0</v>
      </c>
      <c r="CA989" s="5">
        <f t="shared" si="823"/>
        <v>0</v>
      </c>
      <c r="CB989" s="5">
        <f t="shared" si="822"/>
        <v>0</v>
      </c>
      <c r="CC989" s="5">
        <f t="shared" si="822"/>
        <v>1</v>
      </c>
      <c r="CD989" s="5">
        <f t="shared" si="822"/>
        <v>0</v>
      </c>
      <c r="CE989" s="5">
        <f t="shared" si="822"/>
        <v>0</v>
      </c>
    </row>
    <row r="990" spans="1:83" x14ac:dyDescent="0.2">
      <c r="A990" s="11"/>
      <c r="B990" s="11"/>
      <c r="C990" s="1">
        <f>Growth!D995</f>
        <v>1.3333333333333334E-2</v>
      </c>
      <c r="D990" s="5" t="b">
        <f t="shared" si="824"/>
        <v>0</v>
      </c>
      <c r="E990" s="5">
        <v>2013</v>
      </c>
      <c r="F990" s="5">
        <f ca="1">LOOKUP($E990,frequence!$A$2:$A$35,frequence!L$2:L$35)</f>
        <v>46.610663652887361</v>
      </c>
      <c r="G990" s="5">
        <f ca="1">LOOKUP($E990,frequence!$A$2:$A$35,frequence!K$2:K$35)</f>
        <v>7.3617115683267258</v>
      </c>
      <c r="H990" s="5">
        <f ca="1">LOOKUP($E990,frequence!$A$2:$A$35,frequence!M$2:M$35)</f>
        <v>214.81113443396845</v>
      </c>
      <c r="I990" s="16">
        <v>2005</v>
      </c>
      <c r="J990" s="7">
        <f>LOOKUP(I990,CPI!A$69:A$103,CPI!O$69:O$103)</f>
        <v>1.1165181771633383</v>
      </c>
      <c r="K990" s="16">
        <v>2015</v>
      </c>
      <c r="L990" s="7">
        <f t="shared" ca="1" si="807"/>
        <v>1</v>
      </c>
      <c r="M990" s="7">
        <f t="shared" ref="M990:M995" si="841">N990*AC990</f>
        <v>8.4000000000000005E-2</v>
      </c>
      <c r="N990" s="14">
        <f>1/75</f>
        <v>1.3333333333333334E-2</v>
      </c>
      <c r="O990" s="1">
        <f ca="1">P990*J990*(1+Growth!G$6)^(2010-K990)</f>
        <v>8.9492474213543733</v>
      </c>
      <c r="P990" s="22">
        <v>8.64</v>
      </c>
      <c r="Q990" s="2">
        <f t="shared" ref="Q990:Q995" si="842">P990</f>
        <v>8.64</v>
      </c>
      <c r="R990" s="21">
        <f t="shared" ref="R990:R995" ca="1" si="843">O990*O990</f>
        <v>80.089029408617904</v>
      </c>
      <c r="U990" s="11"/>
      <c r="V990" s="11"/>
      <c r="W990" s="11"/>
      <c r="X990" s="11"/>
      <c r="Y990" s="11"/>
      <c r="Z990" s="11"/>
      <c r="AA990" s="11"/>
      <c r="AB990" s="11"/>
      <c r="AC990" s="1">
        <f t="shared" ref="AC990:AC995" si="844">SUM(AD990:AI990)</f>
        <v>6.3</v>
      </c>
      <c r="AD990" s="5">
        <v>1</v>
      </c>
      <c r="AE990" s="5">
        <v>0</v>
      </c>
      <c r="AF990" s="5">
        <v>1</v>
      </c>
      <c r="AG990" s="5">
        <v>0</v>
      </c>
      <c r="AH990" s="5">
        <v>1</v>
      </c>
      <c r="AI990" s="3">
        <f t="shared" ref="AI990:AI995" si="845">(E990-1980)/10</f>
        <v>3.3</v>
      </c>
      <c r="AJ990" s="5">
        <f t="shared" si="835"/>
        <v>0</v>
      </c>
      <c r="AK990" s="5">
        <f t="shared" si="808"/>
        <v>0</v>
      </c>
      <c r="AL990" s="5">
        <f t="shared" si="809"/>
        <v>1</v>
      </c>
      <c r="AM990" s="5">
        <f t="shared" si="836"/>
        <v>0</v>
      </c>
      <c r="AN990" s="5">
        <f t="shared" si="810"/>
        <v>0</v>
      </c>
      <c r="AO990" s="5">
        <f t="shared" si="837"/>
        <v>0</v>
      </c>
      <c r="AP990" s="11" t="s">
        <v>42</v>
      </c>
      <c r="AQ990" s="11">
        <v>1.5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1</v>
      </c>
      <c r="AY990" s="1">
        <f t="shared" ref="AY990:AY995" si="846">AJ990*$AD990*(1-$AV990)*(1-$AR990)</f>
        <v>0</v>
      </c>
      <c r="AZ990" s="1">
        <f t="shared" ref="AZ990:AZ995" si="847">AM990*$AD990*(1-$AV990)*(1-$AR990)</f>
        <v>0</v>
      </c>
      <c r="BA990" s="1">
        <f t="shared" ref="BA990:BA995" si="848">AO990*$AD990*(1-$AV990)*(1-$AR990)</f>
        <v>0</v>
      </c>
      <c r="BB990" s="5">
        <v>0</v>
      </c>
      <c r="BC990" s="5">
        <v>1</v>
      </c>
      <c r="BD990" s="5">
        <v>0</v>
      </c>
      <c r="BE990" s="5">
        <f t="shared" ref="BE990:BE995" si="849">1-SUM(BB990:BD990)</f>
        <v>0</v>
      </c>
      <c r="BF990" s="5">
        <v>1</v>
      </c>
      <c r="BG990" s="5">
        <f t="shared" si="834"/>
        <v>0</v>
      </c>
      <c r="BH990" s="5">
        <f t="shared" si="834"/>
        <v>0</v>
      </c>
      <c r="BI990" s="5">
        <f t="shared" si="834"/>
        <v>0</v>
      </c>
      <c r="BJ990" s="5">
        <f t="shared" si="834"/>
        <v>0</v>
      </c>
      <c r="BK990" s="5">
        <f t="shared" si="834"/>
        <v>0</v>
      </c>
      <c r="BL990" s="5">
        <f t="shared" si="834"/>
        <v>0</v>
      </c>
      <c r="BM990" s="5">
        <f t="shared" si="834"/>
        <v>0</v>
      </c>
      <c r="BN990" s="5">
        <f t="shared" si="834"/>
        <v>0</v>
      </c>
      <c r="BO990" s="5">
        <f t="shared" si="823"/>
        <v>0</v>
      </c>
      <c r="BP990" s="5">
        <f t="shared" si="823"/>
        <v>0</v>
      </c>
      <c r="BQ990" s="5">
        <f t="shared" si="823"/>
        <v>0</v>
      </c>
      <c r="BR990" s="5">
        <f t="shared" si="823"/>
        <v>0</v>
      </c>
      <c r="BS990" s="5">
        <f t="shared" si="823"/>
        <v>0</v>
      </c>
      <c r="BT990" s="5">
        <f t="shared" si="823"/>
        <v>0</v>
      </c>
      <c r="BU990" s="5">
        <f t="shared" si="823"/>
        <v>0</v>
      </c>
      <c r="BV990" s="5">
        <f t="shared" si="823"/>
        <v>0</v>
      </c>
      <c r="BW990" s="5">
        <f t="shared" si="823"/>
        <v>0</v>
      </c>
      <c r="BX990" s="5">
        <f t="shared" si="823"/>
        <v>0</v>
      </c>
      <c r="BY990" s="5">
        <f t="shared" si="823"/>
        <v>0</v>
      </c>
      <c r="BZ990" s="5">
        <f t="shared" si="823"/>
        <v>0</v>
      </c>
      <c r="CA990" s="5">
        <f t="shared" si="823"/>
        <v>0</v>
      </c>
      <c r="CB990" s="5">
        <f t="shared" si="822"/>
        <v>0</v>
      </c>
      <c r="CC990" s="5">
        <f t="shared" si="822"/>
        <v>1</v>
      </c>
      <c r="CD990" s="5">
        <f t="shared" si="822"/>
        <v>0</v>
      </c>
      <c r="CE990" s="5">
        <f t="shared" si="822"/>
        <v>0</v>
      </c>
    </row>
    <row r="991" spans="1:83" x14ac:dyDescent="0.2">
      <c r="A991" s="11"/>
      <c r="B991" s="11"/>
      <c r="C991" s="1">
        <f>Growth!D996</f>
        <v>2.6666666666666668E-2</v>
      </c>
      <c r="D991" s="5" t="b">
        <f t="shared" si="824"/>
        <v>0</v>
      </c>
      <c r="E991" s="5">
        <v>2013</v>
      </c>
      <c r="F991" s="5">
        <f ca="1">LOOKUP($E991,frequence!$A$2:$A$35,frequence!L$2:L$35)</f>
        <v>46.610663652887361</v>
      </c>
      <c r="G991" s="5">
        <f ca="1">LOOKUP($E991,frequence!$A$2:$A$35,frequence!K$2:K$35)</f>
        <v>7.3617115683267258</v>
      </c>
      <c r="H991" s="5">
        <f ca="1">LOOKUP($E991,frequence!$A$2:$A$35,frequence!M$2:M$35)</f>
        <v>214.81113443396845</v>
      </c>
      <c r="I991" s="16">
        <v>2005</v>
      </c>
      <c r="J991" s="7">
        <f>LOOKUP(I991,CPI!A$69:A$103,CPI!O$69:O$103)</f>
        <v>1.1165181771633383</v>
      </c>
      <c r="K991" s="16">
        <v>2015</v>
      </c>
      <c r="L991" s="7">
        <f t="shared" ca="1" si="807"/>
        <v>1</v>
      </c>
      <c r="M991" s="7">
        <f t="shared" si="841"/>
        <v>0.16800000000000001</v>
      </c>
      <c r="N991" s="14">
        <f>2/75</f>
        <v>2.6666666666666668E-2</v>
      </c>
      <c r="O991" s="1">
        <f ca="1">P991*J991*(1+Growth!G$6)^(2010-K991)</f>
        <v>23.253542200162691</v>
      </c>
      <c r="P991" s="22">
        <v>22.45</v>
      </c>
      <c r="Q991" s="2">
        <f t="shared" si="842"/>
        <v>22.45</v>
      </c>
      <c r="R991" s="21">
        <f t="shared" ca="1" si="843"/>
        <v>540.72722485474719</v>
      </c>
      <c r="U991" s="11"/>
      <c r="V991" s="11"/>
      <c r="W991" s="11"/>
      <c r="X991" s="11"/>
      <c r="Y991" s="11"/>
      <c r="Z991" s="11"/>
      <c r="AA991" s="11"/>
      <c r="AB991" s="11"/>
      <c r="AC991" s="1">
        <f t="shared" si="844"/>
        <v>6.3</v>
      </c>
      <c r="AD991" s="5">
        <v>1</v>
      </c>
      <c r="AE991" s="5">
        <v>0</v>
      </c>
      <c r="AF991" s="5">
        <v>1</v>
      </c>
      <c r="AG991" s="5">
        <v>0</v>
      </c>
      <c r="AH991" s="5">
        <v>1</v>
      </c>
      <c r="AI991" s="3">
        <f t="shared" si="845"/>
        <v>3.3</v>
      </c>
      <c r="AJ991" s="5">
        <f t="shared" si="835"/>
        <v>0</v>
      </c>
      <c r="AK991" s="5">
        <f t="shared" si="808"/>
        <v>0</v>
      </c>
      <c r="AL991" s="5">
        <f t="shared" si="809"/>
        <v>1</v>
      </c>
      <c r="AM991" s="5">
        <f t="shared" si="836"/>
        <v>0</v>
      </c>
      <c r="AN991" s="5">
        <f t="shared" si="810"/>
        <v>0</v>
      </c>
      <c r="AO991" s="5">
        <f t="shared" si="837"/>
        <v>0</v>
      </c>
      <c r="AP991" s="11" t="s">
        <v>42</v>
      </c>
      <c r="AQ991" s="11">
        <v>1.5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1</v>
      </c>
      <c r="AY991" s="1">
        <f t="shared" si="846"/>
        <v>0</v>
      </c>
      <c r="AZ991" s="1">
        <f t="shared" si="847"/>
        <v>0</v>
      </c>
      <c r="BA991" s="1">
        <f t="shared" si="848"/>
        <v>0</v>
      </c>
      <c r="BB991" s="5">
        <v>0</v>
      </c>
      <c r="BC991" s="5">
        <v>1</v>
      </c>
      <c r="BD991" s="5">
        <v>0</v>
      </c>
      <c r="BE991" s="5">
        <f t="shared" si="849"/>
        <v>0</v>
      </c>
      <c r="BF991" s="5">
        <v>1</v>
      </c>
      <c r="BG991" s="5">
        <f t="shared" si="834"/>
        <v>0</v>
      </c>
      <c r="BH991" s="5">
        <f t="shared" si="834"/>
        <v>0</v>
      </c>
      <c r="BI991" s="5">
        <f t="shared" si="834"/>
        <v>0</v>
      </c>
      <c r="BJ991" s="5">
        <f t="shared" si="834"/>
        <v>0</v>
      </c>
      <c r="BK991" s="5">
        <f t="shared" si="834"/>
        <v>0</v>
      </c>
      <c r="BL991" s="5">
        <f t="shared" si="834"/>
        <v>0</v>
      </c>
      <c r="BM991" s="5">
        <f t="shared" si="834"/>
        <v>0</v>
      </c>
      <c r="BN991" s="5">
        <f t="shared" si="834"/>
        <v>0</v>
      </c>
      <c r="BO991" s="5">
        <f t="shared" si="823"/>
        <v>0</v>
      </c>
      <c r="BP991" s="5">
        <f t="shared" si="823"/>
        <v>0</v>
      </c>
      <c r="BQ991" s="5">
        <f t="shared" si="823"/>
        <v>0</v>
      </c>
      <c r="BR991" s="5">
        <f t="shared" si="823"/>
        <v>0</v>
      </c>
      <c r="BS991" s="5">
        <f t="shared" si="823"/>
        <v>0</v>
      </c>
      <c r="BT991" s="5">
        <f t="shared" si="823"/>
        <v>0</v>
      </c>
      <c r="BU991" s="5">
        <f t="shared" si="823"/>
        <v>0</v>
      </c>
      <c r="BV991" s="5">
        <f t="shared" si="823"/>
        <v>0</v>
      </c>
      <c r="BW991" s="5">
        <f t="shared" si="823"/>
        <v>0</v>
      </c>
      <c r="BX991" s="5">
        <f t="shared" si="823"/>
        <v>0</v>
      </c>
      <c r="BY991" s="5">
        <f t="shared" si="823"/>
        <v>0</v>
      </c>
      <c r="BZ991" s="5">
        <f t="shared" si="823"/>
        <v>0</v>
      </c>
      <c r="CA991" s="5">
        <f t="shared" si="823"/>
        <v>0</v>
      </c>
      <c r="CB991" s="5">
        <f t="shared" si="822"/>
        <v>0</v>
      </c>
      <c r="CC991" s="5">
        <f t="shared" si="822"/>
        <v>1</v>
      </c>
      <c r="CD991" s="5">
        <f t="shared" si="822"/>
        <v>0</v>
      </c>
      <c r="CE991" s="5">
        <f t="shared" si="822"/>
        <v>0</v>
      </c>
    </row>
    <row r="992" spans="1:83" x14ac:dyDescent="0.2">
      <c r="A992" s="11"/>
      <c r="B992" s="11"/>
      <c r="C992" s="1">
        <f>Growth!D997</f>
        <v>5.3333333333333337E-2</v>
      </c>
      <c r="D992" s="5" t="b">
        <f t="shared" si="824"/>
        <v>0</v>
      </c>
      <c r="E992" s="5">
        <v>2013</v>
      </c>
      <c r="F992" s="5">
        <f ca="1">LOOKUP($E992,frequence!$A$2:$A$35,frequence!L$2:L$35)</f>
        <v>46.610663652887361</v>
      </c>
      <c r="G992" s="5">
        <f ca="1">LOOKUP($E992,frequence!$A$2:$A$35,frequence!K$2:K$35)</f>
        <v>7.3617115683267258</v>
      </c>
      <c r="H992" s="5">
        <f ca="1">LOOKUP($E992,frequence!$A$2:$A$35,frequence!M$2:M$35)</f>
        <v>214.81113443396845</v>
      </c>
      <c r="I992" s="16">
        <v>2005</v>
      </c>
      <c r="J992" s="7">
        <f>LOOKUP(I992,CPI!A$69:A$103,CPI!O$69:O$103)</f>
        <v>1.1165181771633383</v>
      </c>
      <c r="K992" s="16">
        <v>2015</v>
      </c>
      <c r="L992" s="7">
        <f t="shared" ca="1" si="807"/>
        <v>1</v>
      </c>
      <c r="M992" s="7">
        <f t="shared" si="841"/>
        <v>0.33600000000000002</v>
      </c>
      <c r="N992" s="14">
        <f>4/75</f>
        <v>5.3333333333333337E-2</v>
      </c>
      <c r="O992" s="1">
        <f ca="1">P992*J992*(1+Growth!G$6)^(2010-K992)</f>
        <v>36.604907855400874</v>
      </c>
      <c r="P992" s="22">
        <v>35.340000000000003</v>
      </c>
      <c r="Q992" s="2">
        <f t="shared" si="842"/>
        <v>35.340000000000003</v>
      </c>
      <c r="R992" s="21">
        <f t="shared" ca="1" si="843"/>
        <v>1339.9192791023886</v>
      </c>
      <c r="U992" s="11"/>
      <c r="V992" s="11"/>
      <c r="W992" s="11"/>
      <c r="X992" s="11"/>
      <c r="Y992" s="11"/>
      <c r="Z992" s="11"/>
      <c r="AA992" s="11"/>
      <c r="AB992" s="11"/>
      <c r="AC992" s="1">
        <f t="shared" si="844"/>
        <v>6.3</v>
      </c>
      <c r="AD992" s="5">
        <v>1</v>
      </c>
      <c r="AE992" s="5">
        <v>0</v>
      </c>
      <c r="AF992" s="5">
        <v>1</v>
      </c>
      <c r="AG992" s="5">
        <v>0</v>
      </c>
      <c r="AH992" s="5">
        <v>1</v>
      </c>
      <c r="AI992" s="3">
        <f t="shared" si="845"/>
        <v>3.3</v>
      </c>
      <c r="AJ992" s="5">
        <f t="shared" si="835"/>
        <v>0</v>
      </c>
      <c r="AK992" s="5">
        <f t="shared" si="808"/>
        <v>0</v>
      </c>
      <c r="AL992" s="5">
        <f t="shared" si="809"/>
        <v>1</v>
      </c>
      <c r="AM992" s="5">
        <f t="shared" si="836"/>
        <v>0</v>
      </c>
      <c r="AN992" s="5">
        <f t="shared" si="810"/>
        <v>0</v>
      </c>
      <c r="AO992" s="5">
        <f t="shared" si="837"/>
        <v>0</v>
      </c>
      <c r="AP992" s="11" t="s">
        <v>42</v>
      </c>
      <c r="AQ992" s="11">
        <v>1.5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1</v>
      </c>
      <c r="AY992" s="1">
        <f t="shared" si="846"/>
        <v>0</v>
      </c>
      <c r="AZ992" s="1">
        <f t="shared" si="847"/>
        <v>0</v>
      </c>
      <c r="BA992" s="1">
        <f t="shared" si="848"/>
        <v>0</v>
      </c>
      <c r="BB992" s="5">
        <v>0</v>
      </c>
      <c r="BC992" s="5">
        <v>1</v>
      </c>
      <c r="BD992" s="5">
        <v>0</v>
      </c>
      <c r="BE992" s="5">
        <f t="shared" si="849"/>
        <v>0</v>
      </c>
      <c r="BF992" s="5">
        <v>1</v>
      </c>
      <c r="BG992" s="5">
        <f t="shared" si="834"/>
        <v>0</v>
      </c>
      <c r="BH992" s="5">
        <f t="shared" si="834"/>
        <v>0</v>
      </c>
      <c r="BI992" s="5">
        <f t="shared" si="834"/>
        <v>0</v>
      </c>
      <c r="BJ992" s="5">
        <f t="shared" si="834"/>
        <v>0</v>
      </c>
      <c r="BK992" s="5">
        <f t="shared" si="834"/>
        <v>0</v>
      </c>
      <c r="BL992" s="5">
        <f t="shared" si="834"/>
        <v>0</v>
      </c>
      <c r="BM992" s="5">
        <f t="shared" si="834"/>
        <v>0</v>
      </c>
      <c r="BN992" s="5">
        <f t="shared" si="834"/>
        <v>0</v>
      </c>
      <c r="BO992" s="5">
        <f t="shared" si="823"/>
        <v>0</v>
      </c>
      <c r="BP992" s="5">
        <f t="shared" si="823"/>
        <v>0</v>
      </c>
      <c r="BQ992" s="5">
        <f t="shared" si="823"/>
        <v>0</v>
      </c>
      <c r="BR992" s="5">
        <f t="shared" si="823"/>
        <v>0</v>
      </c>
      <c r="BS992" s="5">
        <f t="shared" si="823"/>
        <v>0</v>
      </c>
      <c r="BT992" s="5">
        <f t="shared" si="823"/>
        <v>0</v>
      </c>
      <c r="BU992" s="5">
        <f t="shared" si="823"/>
        <v>0</v>
      </c>
      <c r="BV992" s="5">
        <f t="shared" si="823"/>
        <v>0</v>
      </c>
      <c r="BW992" s="5">
        <f t="shared" si="823"/>
        <v>0</v>
      </c>
      <c r="BX992" s="5">
        <f t="shared" si="823"/>
        <v>0</v>
      </c>
      <c r="BY992" s="5">
        <f t="shared" si="823"/>
        <v>0</v>
      </c>
      <c r="BZ992" s="5">
        <f t="shared" si="823"/>
        <v>0</v>
      </c>
      <c r="CA992" s="5">
        <f t="shared" si="823"/>
        <v>0</v>
      </c>
      <c r="CB992" s="5">
        <f t="shared" si="822"/>
        <v>0</v>
      </c>
      <c r="CC992" s="5">
        <f t="shared" si="822"/>
        <v>1</v>
      </c>
      <c r="CD992" s="5">
        <f t="shared" si="822"/>
        <v>0</v>
      </c>
      <c r="CE992" s="5">
        <f t="shared" si="822"/>
        <v>0</v>
      </c>
    </row>
    <row r="993" spans="1:83" x14ac:dyDescent="0.2">
      <c r="A993" s="11"/>
      <c r="B993" s="11"/>
      <c r="C993" s="1">
        <f>Growth!D998</f>
        <v>5.3333333333333337E-2</v>
      </c>
      <c r="D993" s="5" t="b">
        <f t="shared" si="824"/>
        <v>0</v>
      </c>
      <c r="E993" s="5">
        <v>2013</v>
      </c>
      <c r="F993" s="5">
        <f ca="1">LOOKUP($E993,frequence!$A$2:$A$35,frequence!L$2:L$35)</f>
        <v>46.610663652887361</v>
      </c>
      <c r="G993" s="5">
        <f ca="1">LOOKUP($E993,frequence!$A$2:$A$35,frequence!K$2:K$35)</f>
        <v>7.3617115683267258</v>
      </c>
      <c r="H993" s="5">
        <f ca="1">LOOKUP($E993,frequence!$A$2:$A$35,frequence!M$2:M$35)</f>
        <v>214.81113443396845</v>
      </c>
      <c r="I993" s="16">
        <v>2005</v>
      </c>
      <c r="J993" s="7">
        <f>LOOKUP(I993,CPI!A$69:A$103,CPI!O$69:O$103)</f>
        <v>1.1165181771633383</v>
      </c>
      <c r="K993" s="16">
        <v>2015</v>
      </c>
      <c r="L993" s="7">
        <f t="shared" ca="1" si="807"/>
        <v>1</v>
      </c>
      <c r="M993" s="7">
        <f t="shared" si="841"/>
        <v>0.33600000000000002</v>
      </c>
      <c r="N993" s="14">
        <f>4/75</f>
        <v>5.3333333333333337E-2</v>
      </c>
      <c r="O993" s="1">
        <f ca="1">P993*J993*(1+Growth!G$6)^(2010-K993)</f>
        <v>48.071131114011159</v>
      </c>
      <c r="P993" s="22">
        <v>46.41</v>
      </c>
      <c r="Q993" s="2">
        <f t="shared" si="842"/>
        <v>46.41</v>
      </c>
      <c r="R993" s="21">
        <f t="shared" ca="1" si="843"/>
        <v>2310.8336465804518</v>
      </c>
      <c r="U993" s="11"/>
      <c r="V993" s="11"/>
      <c r="W993" s="11"/>
      <c r="X993" s="11"/>
      <c r="Y993" s="11"/>
      <c r="Z993" s="11"/>
      <c r="AA993" s="11"/>
      <c r="AB993" s="11"/>
      <c r="AC993" s="1">
        <f t="shared" si="844"/>
        <v>6.3</v>
      </c>
      <c r="AD993" s="5">
        <v>1</v>
      </c>
      <c r="AE993" s="5">
        <v>0</v>
      </c>
      <c r="AF993" s="5">
        <v>1</v>
      </c>
      <c r="AG993" s="5">
        <v>0</v>
      </c>
      <c r="AH993" s="5">
        <v>1</v>
      </c>
      <c r="AI993" s="3">
        <f t="shared" si="845"/>
        <v>3.3</v>
      </c>
      <c r="AJ993" s="5">
        <f t="shared" si="835"/>
        <v>0</v>
      </c>
      <c r="AK993" s="5">
        <f t="shared" si="808"/>
        <v>0</v>
      </c>
      <c r="AL993" s="5">
        <f t="shared" si="809"/>
        <v>1</v>
      </c>
      <c r="AM993" s="5">
        <f t="shared" si="836"/>
        <v>0</v>
      </c>
      <c r="AN993" s="5">
        <f t="shared" si="810"/>
        <v>0</v>
      </c>
      <c r="AO993" s="5">
        <f t="shared" si="837"/>
        <v>0</v>
      </c>
      <c r="AP993" s="11" t="s">
        <v>42</v>
      </c>
      <c r="AQ993" s="11">
        <v>1.5</v>
      </c>
      <c r="AR993" s="5">
        <v>0</v>
      </c>
      <c r="AS993" s="5">
        <v>0</v>
      </c>
      <c r="AT993" s="5">
        <v>0</v>
      </c>
      <c r="AU993" s="5">
        <v>0</v>
      </c>
      <c r="AV993" s="5">
        <v>0</v>
      </c>
      <c r="AW993" s="5">
        <v>0</v>
      </c>
      <c r="AX993" s="5">
        <v>1</v>
      </c>
      <c r="AY993" s="1">
        <f t="shared" si="846"/>
        <v>0</v>
      </c>
      <c r="AZ993" s="1">
        <f t="shared" si="847"/>
        <v>0</v>
      </c>
      <c r="BA993" s="1">
        <f t="shared" si="848"/>
        <v>0</v>
      </c>
      <c r="BB993" s="5">
        <v>0</v>
      </c>
      <c r="BC993" s="5">
        <v>1</v>
      </c>
      <c r="BD993" s="5">
        <v>0</v>
      </c>
      <c r="BE993" s="5">
        <f t="shared" si="849"/>
        <v>0</v>
      </c>
      <c r="BF993" s="5">
        <v>1</v>
      </c>
      <c r="BG993" s="5">
        <f t="shared" si="834"/>
        <v>0</v>
      </c>
      <c r="BH993" s="5">
        <f t="shared" si="834"/>
        <v>0</v>
      </c>
      <c r="BI993" s="5">
        <f t="shared" si="834"/>
        <v>0</v>
      </c>
      <c r="BJ993" s="5">
        <f t="shared" si="834"/>
        <v>0</v>
      </c>
      <c r="BK993" s="5">
        <f t="shared" si="834"/>
        <v>0</v>
      </c>
      <c r="BL993" s="5">
        <f t="shared" si="834"/>
        <v>0</v>
      </c>
      <c r="BM993" s="5">
        <f t="shared" si="834"/>
        <v>0</v>
      </c>
      <c r="BN993" s="5">
        <f t="shared" si="834"/>
        <v>0</v>
      </c>
      <c r="BO993" s="5">
        <f t="shared" si="823"/>
        <v>0</v>
      </c>
      <c r="BP993" s="5">
        <f t="shared" si="823"/>
        <v>0</v>
      </c>
      <c r="BQ993" s="5">
        <f t="shared" si="823"/>
        <v>0</v>
      </c>
      <c r="BR993" s="5">
        <f t="shared" si="823"/>
        <v>0</v>
      </c>
      <c r="BS993" s="5">
        <f t="shared" si="823"/>
        <v>0</v>
      </c>
      <c r="BT993" s="5">
        <f t="shared" si="823"/>
        <v>0</v>
      </c>
      <c r="BU993" s="5">
        <f t="shared" si="823"/>
        <v>0</v>
      </c>
      <c r="BV993" s="5">
        <f t="shared" si="823"/>
        <v>0</v>
      </c>
      <c r="BW993" s="5">
        <f t="shared" si="823"/>
        <v>0</v>
      </c>
      <c r="BX993" s="5">
        <f t="shared" si="823"/>
        <v>0</v>
      </c>
      <c r="BY993" s="5">
        <f t="shared" si="823"/>
        <v>0</v>
      </c>
      <c r="BZ993" s="5">
        <f t="shared" si="823"/>
        <v>0</v>
      </c>
      <c r="CA993" s="5">
        <f t="shared" si="823"/>
        <v>0</v>
      </c>
      <c r="CB993" s="5">
        <f t="shared" si="822"/>
        <v>0</v>
      </c>
      <c r="CC993" s="5">
        <f t="shared" si="822"/>
        <v>1</v>
      </c>
      <c r="CD993" s="5">
        <f t="shared" si="822"/>
        <v>0</v>
      </c>
      <c r="CE993" s="5">
        <f t="shared" si="822"/>
        <v>0</v>
      </c>
    </row>
    <row r="994" spans="1:83" x14ac:dyDescent="0.2">
      <c r="A994" s="11"/>
      <c r="B994" s="11"/>
      <c r="C994" s="1">
        <f>Growth!D999</f>
        <v>2.6666666666666668E-2</v>
      </c>
      <c r="D994" s="5" t="b">
        <f t="shared" si="824"/>
        <v>0</v>
      </c>
      <c r="E994" s="5">
        <v>2013</v>
      </c>
      <c r="F994" s="5">
        <f ca="1">LOOKUP($E994,frequence!$A$2:$A$35,frequence!L$2:L$35)</f>
        <v>46.610663652887361</v>
      </c>
      <c r="G994" s="5">
        <f ca="1">LOOKUP($E994,frequence!$A$2:$A$35,frequence!K$2:K$35)</f>
        <v>7.3617115683267258</v>
      </c>
      <c r="H994" s="5">
        <f ca="1">LOOKUP($E994,frequence!$A$2:$A$35,frequence!M$2:M$35)</f>
        <v>214.81113443396845</v>
      </c>
      <c r="I994" s="16">
        <v>2005</v>
      </c>
      <c r="J994" s="7">
        <f>LOOKUP(I994,CPI!A$69:A$103,CPI!O$69:O$103)</f>
        <v>1.1165181771633383</v>
      </c>
      <c r="K994" s="16">
        <v>2015</v>
      </c>
      <c r="L994" s="7">
        <f t="shared" ca="1" si="807"/>
        <v>1</v>
      </c>
      <c r="M994" s="7">
        <f t="shared" si="841"/>
        <v>0.16800000000000001</v>
      </c>
      <c r="N994" s="14">
        <f>2/75</f>
        <v>2.6666666666666668E-2</v>
      </c>
      <c r="O994" s="1">
        <f ca="1">P994*J994*(1+Growth!G$6)^(2010-K994)</f>
        <v>57.766149153811739</v>
      </c>
      <c r="P994" s="22">
        <v>55.77</v>
      </c>
      <c r="Q994" s="2">
        <f t="shared" si="842"/>
        <v>55.77</v>
      </c>
      <c r="R994" s="21">
        <f t="shared" ca="1" si="843"/>
        <v>3336.9279880604245</v>
      </c>
      <c r="U994" s="11"/>
      <c r="V994" s="11"/>
      <c r="W994" s="11"/>
      <c r="X994" s="11"/>
      <c r="Y994" s="11"/>
      <c r="Z994" s="11"/>
      <c r="AA994" s="11"/>
      <c r="AB994" s="11"/>
      <c r="AC994" s="1">
        <f t="shared" si="844"/>
        <v>6.3</v>
      </c>
      <c r="AD994" s="5">
        <v>1</v>
      </c>
      <c r="AE994" s="5">
        <v>0</v>
      </c>
      <c r="AF994" s="5">
        <v>1</v>
      </c>
      <c r="AG994" s="5">
        <v>0</v>
      </c>
      <c r="AH994" s="5">
        <v>1</v>
      </c>
      <c r="AI994" s="3">
        <f t="shared" si="845"/>
        <v>3.3</v>
      </c>
      <c r="AJ994" s="5">
        <f t="shared" si="835"/>
        <v>0</v>
      </c>
      <c r="AK994" s="5">
        <f t="shared" si="808"/>
        <v>0</v>
      </c>
      <c r="AL994" s="5">
        <f t="shared" si="809"/>
        <v>1</v>
      </c>
      <c r="AM994" s="5">
        <f t="shared" si="836"/>
        <v>0</v>
      </c>
      <c r="AN994" s="5">
        <f t="shared" si="810"/>
        <v>0</v>
      </c>
      <c r="AO994" s="5">
        <f t="shared" si="837"/>
        <v>0</v>
      </c>
      <c r="AP994" s="11" t="s">
        <v>42</v>
      </c>
      <c r="AQ994" s="11">
        <v>1.5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1</v>
      </c>
      <c r="AY994" s="1">
        <f t="shared" si="846"/>
        <v>0</v>
      </c>
      <c r="AZ994" s="1">
        <f t="shared" si="847"/>
        <v>0</v>
      </c>
      <c r="BA994" s="1">
        <f t="shared" si="848"/>
        <v>0</v>
      </c>
      <c r="BB994" s="5">
        <v>0</v>
      </c>
      <c r="BC994" s="5">
        <v>1</v>
      </c>
      <c r="BD994" s="5">
        <v>0</v>
      </c>
      <c r="BE994" s="5">
        <f t="shared" si="849"/>
        <v>0</v>
      </c>
      <c r="BF994" s="5">
        <v>1</v>
      </c>
      <c r="BG994" s="5">
        <f t="shared" si="834"/>
        <v>0</v>
      </c>
      <c r="BH994" s="5">
        <f t="shared" si="834"/>
        <v>0</v>
      </c>
      <c r="BI994" s="5">
        <f t="shared" si="834"/>
        <v>0</v>
      </c>
      <c r="BJ994" s="5">
        <f t="shared" si="834"/>
        <v>0</v>
      </c>
      <c r="BK994" s="5">
        <f t="shared" si="834"/>
        <v>0</v>
      </c>
      <c r="BL994" s="5">
        <f t="shared" si="834"/>
        <v>0</v>
      </c>
      <c r="BM994" s="5">
        <f t="shared" si="834"/>
        <v>0</v>
      </c>
      <c r="BN994" s="5">
        <f t="shared" si="834"/>
        <v>0</v>
      </c>
      <c r="BO994" s="5">
        <f t="shared" si="823"/>
        <v>0</v>
      </c>
      <c r="BP994" s="5">
        <f t="shared" si="823"/>
        <v>0</v>
      </c>
      <c r="BQ994" s="5">
        <f t="shared" si="823"/>
        <v>0</v>
      </c>
      <c r="BR994" s="5">
        <f t="shared" si="823"/>
        <v>0</v>
      </c>
      <c r="BS994" s="5">
        <f t="shared" si="823"/>
        <v>0</v>
      </c>
      <c r="BT994" s="5">
        <f t="shared" si="823"/>
        <v>0</v>
      </c>
      <c r="BU994" s="5">
        <f t="shared" si="823"/>
        <v>0</v>
      </c>
      <c r="BV994" s="5">
        <f t="shared" si="823"/>
        <v>0</v>
      </c>
      <c r="BW994" s="5">
        <f t="shared" si="823"/>
        <v>0</v>
      </c>
      <c r="BX994" s="5">
        <f t="shared" si="823"/>
        <v>0</v>
      </c>
      <c r="BY994" s="5">
        <f t="shared" si="823"/>
        <v>0</v>
      </c>
      <c r="BZ994" s="5">
        <f t="shared" si="823"/>
        <v>0</v>
      </c>
      <c r="CA994" s="5">
        <f t="shared" si="823"/>
        <v>0</v>
      </c>
      <c r="CB994" s="5">
        <f t="shared" si="822"/>
        <v>0</v>
      </c>
      <c r="CC994" s="5">
        <f t="shared" si="822"/>
        <v>1</v>
      </c>
      <c r="CD994" s="5">
        <f t="shared" si="822"/>
        <v>0</v>
      </c>
      <c r="CE994" s="5">
        <f t="shared" si="822"/>
        <v>0</v>
      </c>
    </row>
    <row r="995" spans="1:83" x14ac:dyDescent="0.2">
      <c r="A995" s="11"/>
      <c r="B995" s="11"/>
      <c r="C995" s="1">
        <f>Growth!D1000</f>
        <v>2.6666666666666668E-2</v>
      </c>
      <c r="D995" s="5" t="b">
        <f t="shared" si="824"/>
        <v>0</v>
      </c>
      <c r="E995" s="5">
        <v>2013</v>
      </c>
      <c r="F995" s="5">
        <f ca="1">LOOKUP($E995,frequence!$A$2:$A$35,frequence!L$2:L$35)</f>
        <v>46.610663652887361</v>
      </c>
      <c r="G995" s="5">
        <f ca="1">LOOKUP($E995,frequence!$A$2:$A$35,frequence!K$2:K$35)</f>
        <v>7.3617115683267258</v>
      </c>
      <c r="H995" s="5">
        <f ca="1">LOOKUP($E995,frequence!$A$2:$A$35,frequence!M$2:M$35)</f>
        <v>214.81113443396845</v>
      </c>
      <c r="I995" s="16">
        <v>2005</v>
      </c>
      <c r="J995" s="7">
        <f>LOOKUP(I995,CPI!A$69:A$103,CPI!O$69:O$103)</f>
        <v>1.1165181771633383</v>
      </c>
      <c r="K995" s="16">
        <v>2015</v>
      </c>
      <c r="L995" s="7">
        <f t="shared" ca="1" si="807"/>
        <v>1</v>
      </c>
      <c r="M995" s="7">
        <f t="shared" si="841"/>
        <v>0.16800000000000001</v>
      </c>
      <c r="N995" s="14">
        <f>2/75</f>
        <v>2.6666666666666668E-2</v>
      </c>
      <c r="O995" s="1">
        <f ca="1">P995*J995*(1+Growth!G$6)^(2010-K995)</f>
        <v>65.979983881976111</v>
      </c>
      <c r="P995" s="22">
        <v>63.7</v>
      </c>
      <c r="Q995" s="2">
        <f t="shared" si="842"/>
        <v>63.7</v>
      </c>
      <c r="R995" s="21">
        <f t="shared" ca="1" si="843"/>
        <v>4353.3582730658272</v>
      </c>
      <c r="U995" s="11"/>
      <c r="V995" s="11"/>
      <c r="W995" s="11"/>
      <c r="X995" s="11"/>
      <c r="Y995" s="11"/>
      <c r="Z995" s="11"/>
      <c r="AA995" s="11"/>
      <c r="AB995" s="11"/>
      <c r="AC995" s="1">
        <f t="shared" si="844"/>
        <v>6.3</v>
      </c>
      <c r="AD995" s="5">
        <v>1</v>
      </c>
      <c r="AE995" s="5">
        <v>0</v>
      </c>
      <c r="AF995" s="5">
        <v>1</v>
      </c>
      <c r="AG995" s="5">
        <v>0</v>
      </c>
      <c r="AH995" s="5">
        <v>1</v>
      </c>
      <c r="AI995" s="3">
        <f t="shared" si="845"/>
        <v>3.3</v>
      </c>
      <c r="AJ995" s="5">
        <f t="shared" si="835"/>
        <v>0</v>
      </c>
      <c r="AK995" s="5">
        <f t="shared" si="808"/>
        <v>0</v>
      </c>
      <c r="AL995" s="5">
        <f t="shared" si="809"/>
        <v>1</v>
      </c>
      <c r="AM995" s="5">
        <f t="shared" si="836"/>
        <v>0</v>
      </c>
      <c r="AN995" s="5">
        <f t="shared" si="810"/>
        <v>0</v>
      </c>
      <c r="AO995" s="5">
        <f t="shared" si="837"/>
        <v>0</v>
      </c>
      <c r="AP995" s="11" t="s">
        <v>42</v>
      </c>
      <c r="AQ995" s="11">
        <v>1.5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1</v>
      </c>
      <c r="AY995" s="1">
        <f t="shared" si="846"/>
        <v>0</v>
      </c>
      <c r="AZ995" s="1">
        <f t="shared" si="847"/>
        <v>0</v>
      </c>
      <c r="BA995" s="1">
        <f t="shared" si="848"/>
        <v>0</v>
      </c>
      <c r="BB995" s="5">
        <v>0</v>
      </c>
      <c r="BC995" s="5">
        <v>1</v>
      </c>
      <c r="BD995" s="5">
        <v>0</v>
      </c>
      <c r="BE995" s="5">
        <f t="shared" si="849"/>
        <v>0</v>
      </c>
      <c r="BF995" s="5">
        <v>1</v>
      </c>
      <c r="BG995" s="5">
        <f t="shared" si="834"/>
        <v>0</v>
      </c>
      <c r="BH995" s="5">
        <f t="shared" si="834"/>
        <v>0</v>
      </c>
      <c r="BI995" s="5">
        <f t="shared" si="834"/>
        <v>0</v>
      </c>
      <c r="BJ995" s="5">
        <f t="shared" si="834"/>
        <v>0</v>
      </c>
      <c r="BK995" s="5">
        <f t="shared" si="834"/>
        <v>0</v>
      </c>
      <c r="BL995" s="5">
        <f t="shared" si="834"/>
        <v>0</v>
      </c>
      <c r="BM995" s="5">
        <f t="shared" si="834"/>
        <v>0</v>
      </c>
      <c r="BN995" s="5">
        <f t="shared" si="834"/>
        <v>0</v>
      </c>
      <c r="BO995" s="5">
        <f t="shared" si="823"/>
        <v>0</v>
      </c>
      <c r="BP995" s="5">
        <f t="shared" si="823"/>
        <v>0</v>
      </c>
      <c r="BQ995" s="5">
        <f t="shared" si="823"/>
        <v>0</v>
      </c>
      <c r="BR995" s="5">
        <f t="shared" si="823"/>
        <v>0</v>
      </c>
      <c r="BS995" s="5">
        <f t="shared" si="823"/>
        <v>0</v>
      </c>
      <c r="BT995" s="5">
        <f t="shared" si="823"/>
        <v>0</v>
      </c>
      <c r="BU995" s="5">
        <f t="shared" si="823"/>
        <v>0</v>
      </c>
      <c r="BV995" s="5">
        <f t="shared" si="823"/>
        <v>0</v>
      </c>
      <c r="BW995" s="5">
        <f t="shared" si="823"/>
        <v>0</v>
      </c>
      <c r="BX995" s="5">
        <f t="shared" si="823"/>
        <v>0</v>
      </c>
      <c r="BY995" s="5">
        <f t="shared" si="823"/>
        <v>0</v>
      </c>
      <c r="BZ995" s="5">
        <f t="shared" si="823"/>
        <v>0</v>
      </c>
      <c r="CA995" s="5">
        <f t="shared" si="823"/>
        <v>0</v>
      </c>
      <c r="CB995" s="5">
        <f t="shared" si="822"/>
        <v>0</v>
      </c>
      <c r="CC995" s="5">
        <f t="shared" si="822"/>
        <v>1</v>
      </c>
      <c r="CD995" s="5">
        <f t="shared" si="822"/>
        <v>0</v>
      </c>
      <c r="CE995" s="5">
        <f t="shared" si="822"/>
        <v>0</v>
      </c>
    </row>
    <row r="996" spans="1:83" x14ac:dyDescent="0.2">
      <c r="A996" s="11"/>
      <c r="B996" s="11"/>
      <c r="C996" s="1">
        <f>Growth!D1001</f>
        <v>1.3333333333333334E-2</v>
      </c>
      <c r="D996" s="5" t="b">
        <f t="shared" si="824"/>
        <v>0</v>
      </c>
      <c r="E996" s="5">
        <v>2013</v>
      </c>
      <c r="F996" s="5">
        <f ca="1">LOOKUP($E996,frequence!$A$2:$A$35,frequence!L$2:L$35)</f>
        <v>46.610663652887361</v>
      </c>
      <c r="G996" s="5">
        <f ca="1">LOOKUP($E996,frequence!$A$2:$A$35,frequence!K$2:K$35)</f>
        <v>7.3617115683267258</v>
      </c>
      <c r="H996" s="5">
        <f ca="1">LOOKUP($E996,frequence!$A$2:$A$35,frequence!M$2:M$35)</f>
        <v>214.81113443396845</v>
      </c>
      <c r="I996" s="16">
        <v>2005</v>
      </c>
      <c r="J996" s="7">
        <f>LOOKUP(I996,CPI!A$69:A$103,CPI!O$69:O$103)</f>
        <v>1.1165181771633383</v>
      </c>
      <c r="K996" s="16">
        <v>2010</v>
      </c>
      <c r="L996" s="7">
        <f t="shared" ca="1" si="807"/>
        <v>1</v>
      </c>
      <c r="M996" s="7">
        <f t="shared" ref="M996" si="850">N996*AC996</f>
        <v>8.4000000000000005E-2</v>
      </c>
      <c r="N996" s="14">
        <f>1/75</f>
        <v>1.3333333333333334E-2</v>
      </c>
      <c r="O996" s="1">
        <f ca="1">P996*J996*(1+Growth!G$6)^(2010-K996)</f>
        <v>39.078136200716841</v>
      </c>
      <c r="P996" s="22">
        <v>35</v>
      </c>
      <c r="Q996" s="2">
        <f t="shared" ref="Q996" si="851">P996</f>
        <v>35</v>
      </c>
      <c r="R996" s="21">
        <f t="shared" ref="R996" ca="1" si="852">O996*O996</f>
        <v>1527.1007289217762</v>
      </c>
      <c r="U996" s="11"/>
      <c r="V996" s="11"/>
      <c r="W996" s="11"/>
      <c r="X996" s="11"/>
      <c r="Y996" s="11"/>
      <c r="Z996" s="11"/>
      <c r="AA996" s="11"/>
      <c r="AB996" s="11"/>
      <c r="AC996" s="1">
        <f t="shared" ref="AC996" si="853">SUM(AD996:AI996)</f>
        <v>6.3</v>
      </c>
      <c r="AD996" s="5">
        <v>1</v>
      </c>
      <c r="AE996" s="5">
        <v>0</v>
      </c>
      <c r="AF996" s="5">
        <v>1</v>
      </c>
      <c r="AG996" s="5">
        <v>0</v>
      </c>
      <c r="AH996" s="5">
        <v>1</v>
      </c>
      <c r="AI996" s="3">
        <f t="shared" ref="AI996" si="854">(E996-1980)/10</f>
        <v>3.3</v>
      </c>
      <c r="AJ996" s="5">
        <f t="shared" si="835"/>
        <v>0</v>
      </c>
      <c r="AK996" s="5">
        <f t="shared" si="808"/>
        <v>0</v>
      </c>
      <c r="AL996" s="5">
        <f t="shared" si="809"/>
        <v>0</v>
      </c>
      <c r="AM996" s="5">
        <f t="shared" si="836"/>
        <v>0</v>
      </c>
      <c r="AN996" s="5">
        <f t="shared" si="810"/>
        <v>0</v>
      </c>
      <c r="AO996" s="5">
        <f t="shared" si="837"/>
        <v>0</v>
      </c>
      <c r="AP996" s="11">
        <v>5.5</v>
      </c>
      <c r="AQ996" s="11" t="s">
        <v>42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1</v>
      </c>
      <c r="AY996" s="1">
        <f t="shared" ref="AY996" si="855">AJ996*$AD996*(1-$AV996)*(1-$AR996)</f>
        <v>0</v>
      </c>
      <c r="AZ996" s="1">
        <f t="shared" ref="AZ996" si="856">AM996*$AD996*(1-$AV996)*(1-$AR996)</f>
        <v>0</v>
      </c>
      <c r="BA996" s="1">
        <f t="shared" ref="BA996" si="857">AO996*$AD996*(1-$AV996)*(1-$AR996)</f>
        <v>0</v>
      </c>
      <c r="BB996" s="5">
        <v>0</v>
      </c>
      <c r="BC996" s="5">
        <v>1</v>
      </c>
      <c r="BD996" s="5">
        <v>0</v>
      </c>
      <c r="BE996" s="5">
        <f t="shared" ref="BE996" si="858">1-SUM(BB996:BD996)</f>
        <v>0</v>
      </c>
      <c r="BF996" s="5">
        <v>0</v>
      </c>
      <c r="BG996" s="5">
        <f t="shared" si="834"/>
        <v>0</v>
      </c>
      <c r="BH996" s="5">
        <f t="shared" si="834"/>
        <v>0</v>
      </c>
      <c r="BI996" s="5">
        <f t="shared" si="834"/>
        <v>0</v>
      </c>
      <c r="BJ996" s="5">
        <f t="shared" si="834"/>
        <v>0</v>
      </c>
      <c r="BK996" s="5">
        <f t="shared" si="834"/>
        <v>0</v>
      </c>
      <c r="BL996" s="5">
        <f t="shared" si="834"/>
        <v>0</v>
      </c>
      <c r="BM996" s="5">
        <f t="shared" si="834"/>
        <v>0</v>
      </c>
      <c r="BN996" s="5">
        <f t="shared" ref="BN996:CB1011" si="859">IF($E996=BN$2,1,0)</f>
        <v>0</v>
      </c>
      <c r="BO996" s="5">
        <f t="shared" si="859"/>
        <v>0</v>
      </c>
      <c r="BP996" s="5">
        <f t="shared" si="859"/>
        <v>0</v>
      </c>
      <c r="BQ996" s="5">
        <f t="shared" si="859"/>
        <v>0</v>
      </c>
      <c r="BR996" s="5">
        <f t="shared" si="859"/>
        <v>0</v>
      </c>
      <c r="BS996" s="5">
        <f t="shared" si="859"/>
        <v>0</v>
      </c>
      <c r="BT996" s="5">
        <f t="shared" si="859"/>
        <v>0</v>
      </c>
      <c r="BU996" s="5">
        <f t="shared" si="859"/>
        <v>0</v>
      </c>
      <c r="BV996" s="5">
        <f t="shared" si="859"/>
        <v>0</v>
      </c>
      <c r="BW996" s="5">
        <f t="shared" si="859"/>
        <v>0</v>
      </c>
      <c r="BX996" s="5">
        <f t="shared" si="859"/>
        <v>0</v>
      </c>
      <c r="BY996" s="5">
        <f t="shared" si="859"/>
        <v>0</v>
      </c>
      <c r="BZ996" s="5">
        <f t="shared" si="859"/>
        <v>0</v>
      </c>
      <c r="CA996" s="5">
        <f t="shared" si="859"/>
        <v>0</v>
      </c>
      <c r="CB996" s="5">
        <f t="shared" si="822"/>
        <v>0</v>
      </c>
      <c r="CC996" s="5">
        <f t="shared" si="822"/>
        <v>1</v>
      </c>
      <c r="CD996" s="5">
        <f t="shared" si="822"/>
        <v>0</v>
      </c>
      <c r="CE996" s="5">
        <f t="shared" si="822"/>
        <v>0</v>
      </c>
    </row>
    <row r="997" spans="1:83" x14ac:dyDescent="0.2">
      <c r="A997" s="11"/>
      <c r="B997" s="11"/>
      <c r="C997" s="1">
        <f>Growth!D1002</f>
        <v>6.6666666666666666E-2</v>
      </c>
      <c r="D997" s="5" t="b">
        <f t="shared" si="824"/>
        <v>0</v>
      </c>
      <c r="E997" s="5">
        <v>2013</v>
      </c>
      <c r="F997" s="5">
        <f ca="1">LOOKUP($E997,frequence!$A$2:$A$35,frequence!L$2:L$35)</f>
        <v>46.610663652887361</v>
      </c>
      <c r="G997" s="5">
        <f ca="1">LOOKUP($E997,frequence!$A$2:$A$35,frequence!K$2:K$35)</f>
        <v>7.3617115683267258</v>
      </c>
      <c r="H997" s="5">
        <f ca="1">LOOKUP($E997,frequence!$A$2:$A$35,frequence!M$2:M$35)</f>
        <v>214.81113443396845</v>
      </c>
      <c r="I997" s="16">
        <v>2005</v>
      </c>
      <c r="J997" s="7">
        <f>LOOKUP(I997,CPI!A$69:A$103,CPI!O$69:O$103)</f>
        <v>1.1165181771633383</v>
      </c>
      <c r="K997" s="16">
        <v>2015</v>
      </c>
      <c r="L997" s="7">
        <f t="shared" ca="1" si="807"/>
        <v>1</v>
      </c>
      <c r="M997" s="7">
        <f t="shared" ref="M997:M1002" si="860">N997*AC997</f>
        <v>0.42</v>
      </c>
      <c r="N997" s="14">
        <f>5/75</f>
        <v>6.6666666666666666E-2</v>
      </c>
      <c r="O997" s="1">
        <f ca="1">P997*J997*(1+Growth!G$6)^(2010-K997)</f>
        <v>56.968588909084552</v>
      </c>
      <c r="P997" s="22">
        <v>55</v>
      </c>
      <c r="Q997" s="2">
        <f t="shared" ref="Q997:Q1002" si="861">P997</f>
        <v>55</v>
      </c>
      <c r="R997" s="21">
        <f t="shared" ref="R997:R1002" ca="1" si="862">O997*O997</f>
        <v>3245.4201222922716</v>
      </c>
      <c r="U997" s="11"/>
      <c r="V997" s="11"/>
      <c r="W997" s="11"/>
      <c r="X997" s="11"/>
      <c r="Y997" s="11"/>
      <c r="Z997" s="11"/>
      <c r="AA997" s="11"/>
      <c r="AB997" s="11"/>
      <c r="AC997" s="1">
        <f t="shared" ref="AC997:AC1002" si="863">SUM(AD997:AI997)</f>
        <v>6.3</v>
      </c>
      <c r="AD997" s="5">
        <v>1</v>
      </c>
      <c r="AE997" s="5">
        <v>0</v>
      </c>
      <c r="AF997" s="5">
        <v>1</v>
      </c>
      <c r="AG997" s="5">
        <v>0</v>
      </c>
      <c r="AH997" s="5">
        <v>1</v>
      </c>
      <c r="AI997" s="3">
        <f t="shared" ref="AI997:AI1002" si="864">(E997-1980)/10</f>
        <v>3.3</v>
      </c>
      <c r="AJ997" s="5">
        <f t="shared" si="835"/>
        <v>0</v>
      </c>
      <c r="AK997" s="5">
        <f t="shared" si="808"/>
        <v>0</v>
      </c>
      <c r="AL997" s="5">
        <f t="shared" si="809"/>
        <v>1</v>
      </c>
      <c r="AM997" s="5">
        <f t="shared" si="836"/>
        <v>0</v>
      </c>
      <c r="AN997" s="5">
        <f t="shared" si="810"/>
        <v>0</v>
      </c>
      <c r="AO997" s="5">
        <f t="shared" si="837"/>
        <v>0</v>
      </c>
      <c r="AP997" s="11" t="s">
        <v>42</v>
      </c>
      <c r="AQ997" s="11">
        <v>1.5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1</v>
      </c>
      <c r="AY997" s="1">
        <f t="shared" ref="AY997:AY1002" si="865">AJ997*$AD997*(1-$AV997)*(1-$AR997)</f>
        <v>0</v>
      </c>
      <c r="AZ997" s="1">
        <f t="shared" ref="AZ997:AZ1002" si="866">AM997*$AD997*(1-$AV997)*(1-$AR997)</f>
        <v>0</v>
      </c>
      <c r="BA997" s="1">
        <f t="shared" ref="BA997:BA1002" si="867">AO997*$AD997*(1-$AV997)*(1-$AR997)</f>
        <v>0</v>
      </c>
      <c r="BB997" s="5">
        <v>0</v>
      </c>
      <c r="BC997" s="5">
        <v>1</v>
      </c>
      <c r="BD997" s="5">
        <v>0</v>
      </c>
      <c r="BE997" s="5">
        <f t="shared" ref="BE997:BE1002" si="868">1-SUM(BB997:BD997)</f>
        <v>0</v>
      </c>
      <c r="BF997" s="5">
        <v>0</v>
      </c>
      <c r="BG997" s="5">
        <f t="shared" ref="BG997:BN1012" si="869">IF($E997=BG$2,1,0)</f>
        <v>0</v>
      </c>
      <c r="BH997" s="5">
        <f t="shared" si="869"/>
        <v>0</v>
      </c>
      <c r="BI997" s="5">
        <f t="shared" si="869"/>
        <v>0</v>
      </c>
      <c r="BJ997" s="5">
        <f t="shared" si="869"/>
        <v>0</v>
      </c>
      <c r="BK997" s="5">
        <f t="shared" si="869"/>
        <v>0</v>
      </c>
      <c r="BL997" s="5">
        <f t="shared" si="869"/>
        <v>0</v>
      </c>
      <c r="BM997" s="5">
        <f t="shared" si="869"/>
        <v>0</v>
      </c>
      <c r="BN997" s="5">
        <f t="shared" si="859"/>
        <v>0</v>
      </c>
      <c r="BO997" s="5">
        <f t="shared" si="859"/>
        <v>0</v>
      </c>
      <c r="BP997" s="5">
        <f t="shared" si="859"/>
        <v>0</v>
      </c>
      <c r="BQ997" s="5">
        <f t="shared" si="859"/>
        <v>0</v>
      </c>
      <c r="BR997" s="5">
        <f t="shared" si="859"/>
        <v>0</v>
      </c>
      <c r="BS997" s="5">
        <f t="shared" si="859"/>
        <v>0</v>
      </c>
      <c r="BT997" s="5">
        <f t="shared" si="859"/>
        <v>0</v>
      </c>
      <c r="BU997" s="5">
        <f t="shared" si="859"/>
        <v>0</v>
      </c>
      <c r="BV997" s="5">
        <f t="shared" si="859"/>
        <v>0</v>
      </c>
      <c r="BW997" s="5">
        <f t="shared" si="859"/>
        <v>0</v>
      </c>
      <c r="BX997" s="5">
        <f t="shared" si="859"/>
        <v>0</v>
      </c>
      <c r="BY997" s="5">
        <f t="shared" si="859"/>
        <v>0</v>
      </c>
      <c r="BZ997" s="5">
        <f t="shared" si="859"/>
        <v>0</v>
      </c>
      <c r="CA997" s="5">
        <f t="shared" si="859"/>
        <v>0</v>
      </c>
      <c r="CB997" s="5">
        <f t="shared" si="822"/>
        <v>0</v>
      </c>
      <c r="CC997" s="5">
        <f t="shared" si="822"/>
        <v>1</v>
      </c>
      <c r="CD997" s="5">
        <f t="shared" si="822"/>
        <v>0</v>
      </c>
      <c r="CE997" s="5">
        <f t="shared" si="822"/>
        <v>0</v>
      </c>
    </row>
    <row r="998" spans="1:83" x14ac:dyDescent="0.2">
      <c r="A998" s="11"/>
      <c r="B998" s="11"/>
      <c r="C998" s="1">
        <f>Growth!D1003</f>
        <v>1.3333333333333334E-2</v>
      </c>
      <c r="D998" s="5" t="b">
        <f t="shared" si="824"/>
        <v>0</v>
      </c>
      <c r="E998" s="5">
        <v>2013</v>
      </c>
      <c r="F998" s="5">
        <f ca="1">LOOKUP($E998,frequence!$A$2:$A$35,frequence!L$2:L$35)</f>
        <v>46.610663652887361</v>
      </c>
      <c r="G998" s="5">
        <f ca="1">LOOKUP($E998,frequence!$A$2:$A$35,frequence!K$2:K$35)</f>
        <v>7.3617115683267258</v>
      </c>
      <c r="H998" s="5">
        <f ca="1">LOOKUP($E998,frequence!$A$2:$A$35,frequence!M$2:M$35)</f>
        <v>214.81113443396845</v>
      </c>
      <c r="I998" s="16">
        <v>2005</v>
      </c>
      <c r="J998" s="7">
        <f>LOOKUP(I998,CPI!A$69:A$103,CPI!O$69:O$103)</f>
        <v>1.1165181771633383</v>
      </c>
      <c r="K998" s="16">
        <v>2015</v>
      </c>
      <c r="L998" s="7">
        <f t="shared" ca="1" si="807"/>
        <v>0.93336326890126498</v>
      </c>
      <c r="M998" s="7">
        <f t="shared" si="860"/>
        <v>8.4000000000000005E-2</v>
      </c>
      <c r="N998" s="14">
        <f>1/75</f>
        <v>1.3333333333333334E-2</v>
      </c>
      <c r="O998" s="1">
        <f ca="1">P998*J998*(1+Growth!G$6)^(2010-K998)</f>
        <v>1572.3330538907335</v>
      </c>
      <c r="P998" s="22">
        <v>1518</v>
      </c>
      <c r="Q998" s="2">
        <f t="shared" si="861"/>
        <v>1518</v>
      </c>
      <c r="R998" s="21">
        <f t="shared" ca="1" si="862"/>
        <v>2472231.2323573604</v>
      </c>
      <c r="U998" s="11"/>
      <c r="V998" s="11"/>
      <c r="W998" s="11"/>
      <c r="X998" s="11"/>
      <c r="Y998" s="11"/>
      <c r="Z998" s="11"/>
      <c r="AA998" s="11"/>
      <c r="AB998" s="11"/>
      <c r="AC998" s="1">
        <f t="shared" si="863"/>
        <v>6.3</v>
      </c>
      <c r="AD998" s="5">
        <v>1</v>
      </c>
      <c r="AE998" s="5">
        <v>0</v>
      </c>
      <c r="AF998" s="5">
        <v>1</v>
      </c>
      <c r="AG998" s="5">
        <v>0</v>
      </c>
      <c r="AH998" s="5">
        <v>1</v>
      </c>
      <c r="AI998" s="3">
        <f t="shared" si="864"/>
        <v>3.3</v>
      </c>
      <c r="AJ998" s="5">
        <f t="shared" si="835"/>
        <v>0</v>
      </c>
      <c r="AK998" s="5">
        <f t="shared" si="808"/>
        <v>0</v>
      </c>
      <c r="AL998" s="5">
        <f t="shared" si="809"/>
        <v>0</v>
      </c>
      <c r="AM998" s="5">
        <f t="shared" si="836"/>
        <v>0</v>
      </c>
      <c r="AN998" s="5">
        <f t="shared" si="810"/>
        <v>1</v>
      </c>
      <c r="AO998" s="5">
        <f t="shared" si="837"/>
        <v>0</v>
      </c>
      <c r="AP998" s="11" t="s">
        <v>42</v>
      </c>
      <c r="AQ998" s="11">
        <v>0.1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1</v>
      </c>
      <c r="AY998" s="1">
        <f t="shared" si="865"/>
        <v>0</v>
      </c>
      <c r="AZ998" s="1">
        <f t="shared" si="866"/>
        <v>0</v>
      </c>
      <c r="BA998" s="1">
        <f t="shared" si="867"/>
        <v>0</v>
      </c>
      <c r="BB998" s="5">
        <v>0</v>
      </c>
      <c r="BC998" s="5">
        <v>1</v>
      </c>
      <c r="BD998" s="5">
        <v>0</v>
      </c>
      <c r="BE998" s="5">
        <f t="shared" si="868"/>
        <v>0</v>
      </c>
      <c r="BF998" s="5">
        <v>0</v>
      </c>
      <c r="BG998" s="5">
        <f t="shared" si="869"/>
        <v>0</v>
      </c>
      <c r="BH998" s="5">
        <f t="shared" si="869"/>
        <v>0</v>
      </c>
      <c r="BI998" s="5">
        <f t="shared" si="869"/>
        <v>0</v>
      </c>
      <c r="BJ998" s="5">
        <f t="shared" si="869"/>
        <v>0</v>
      </c>
      <c r="BK998" s="5">
        <f t="shared" si="869"/>
        <v>0</v>
      </c>
      <c r="BL998" s="5">
        <f t="shared" si="869"/>
        <v>0</v>
      </c>
      <c r="BM998" s="5">
        <f t="shared" si="869"/>
        <v>0</v>
      </c>
      <c r="BN998" s="5">
        <f t="shared" si="859"/>
        <v>0</v>
      </c>
      <c r="BO998" s="5">
        <f t="shared" si="859"/>
        <v>0</v>
      </c>
      <c r="BP998" s="5">
        <f t="shared" si="859"/>
        <v>0</v>
      </c>
      <c r="BQ998" s="5">
        <f t="shared" si="859"/>
        <v>0</v>
      </c>
      <c r="BR998" s="5">
        <f t="shared" si="859"/>
        <v>0</v>
      </c>
      <c r="BS998" s="5">
        <f t="shared" si="859"/>
        <v>0</v>
      </c>
      <c r="BT998" s="5">
        <f t="shared" si="859"/>
        <v>0</v>
      </c>
      <c r="BU998" s="5">
        <f t="shared" si="859"/>
        <v>0</v>
      </c>
      <c r="BV998" s="5">
        <f t="shared" si="859"/>
        <v>0</v>
      </c>
      <c r="BW998" s="5">
        <f t="shared" si="859"/>
        <v>0</v>
      </c>
      <c r="BX998" s="5">
        <f t="shared" si="859"/>
        <v>0</v>
      </c>
      <c r="BY998" s="5">
        <f t="shared" si="859"/>
        <v>0</v>
      </c>
      <c r="BZ998" s="5">
        <f t="shared" si="859"/>
        <v>0</v>
      </c>
      <c r="CA998" s="5">
        <f t="shared" si="859"/>
        <v>0</v>
      </c>
      <c r="CB998" s="5">
        <f t="shared" si="822"/>
        <v>0</v>
      </c>
      <c r="CC998" s="5">
        <f t="shared" si="822"/>
        <v>1</v>
      </c>
      <c r="CD998" s="5">
        <f t="shared" si="822"/>
        <v>0</v>
      </c>
      <c r="CE998" s="5">
        <f t="shared" si="822"/>
        <v>0</v>
      </c>
    </row>
    <row r="999" spans="1:83" x14ac:dyDescent="0.2">
      <c r="A999" s="11"/>
      <c r="B999" s="11"/>
      <c r="C999" s="1">
        <f>Growth!D1004</f>
        <v>2.6666666666666668E-2</v>
      </c>
      <c r="D999" s="5" t="b">
        <f t="shared" si="824"/>
        <v>0</v>
      </c>
      <c r="E999" s="5">
        <v>2013</v>
      </c>
      <c r="F999" s="5">
        <f ca="1">LOOKUP($E999,frequence!$A$2:$A$35,frequence!L$2:L$35)</f>
        <v>46.610663652887361</v>
      </c>
      <c r="G999" s="5">
        <f ca="1">LOOKUP($E999,frequence!$A$2:$A$35,frequence!K$2:K$35)</f>
        <v>7.3617115683267258</v>
      </c>
      <c r="H999" s="5">
        <f ca="1">LOOKUP($E999,frequence!$A$2:$A$35,frequence!M$2:M$35)</f>
        <v>214.81113443396845</v>
      </c>
      <c r="I999" s="16">
        <v>2005</v>
      </c>
      <c r="J999" s="7">
        <f>LOOKUP(I999,CPI!A$69:A$103,CPI!O$69:O$103)</f>
        <v>1.1165181771633383</v>
      </c>
      <c r="K999" s="16">
        <v>2015</v>
      </c>
      <c r="L999" s="7">
        <f t="shared" ca="1" si="807"/>
        <v>1</v>
      </c>
      <c r="M999" s="7">
        <f t="shared" si="860"/>
        <v>0.16800000000000001</v>
      </c>
      <c r="N999" s="14">
        <f>2/75</f>
        <v>2.6666666666666668E-2</v>
      </c>
      <c r="O999" s="1">
        <f ca="1">P999*J999*(1+Growth!G$6)^(2010-K999)</f>
        <v>394.63695226111298</v>
      </c>
      <c r="P999" s="22">
        <v>381</v>
      </c>
      <c r="Q999" s="2">
        <f t="shared" si="861"/>
        <v>381</v>
      </c>
      <c r="R999" s="21">
        <f t="shared" ca="1" si="862"/>
        <v>155738.32408993997</v>
      </c>
      <c r="U999" s="11"/>
      <c r="V999" s="11"/>
      <c r="W999" s="11"/>
      <c r="X999" s="11"/>
      <c r="Y999" s="11"/>
      <c r="Z999" s="11"/>
      <c r="AA999" s="11"/>
      <c r="AB999" s="11"/>
      <c r="AC999" s="1">
        <f t="shared" si="863"/>
        <v>6.3</v>
      </c>
      <c r="AD999" s="5">
        <v>1</v>
      </c>
      <c r="AE999" s="5">
        <v>0</v>
      </c>
      <c r="AF999" s="5">
        <v>1</v>
      </c>
      <c r="AG999" s="5">
        <v>0</v>
      </c>
      <c r="AH999" s="5">
        <v>1</v>
      </c>
      <c r="AI999" s="3">
        <f t="shared" si="864"/>
        <v>3.3</v>
      </c>
      <c r="AJ999" s="5">
        <f t="shared" si="835"/>
        <v>0</v>
      </c>
      <c r="AK999" s="5">
        <f t="shared" si="808"/>
        <v>0</v>
      </c>
      <c r="AL999" s="5">
        <f t="shared" si="809"/>
        <v>0</v>
      </c>
      <c r="AM999" s="5">
        <f t="shared" si="836"/>
        <v>0</v>
      </c>
      <c r="AN999" s="5">
        <f t="shared" si="810"/>
        <v>1</v>
      </c>
      <c r="AO999" s="5">
        <f t="shared" si="837"/>
        <v>0</v>
      </c>
      <c r="AP999" s="11" t="s">
        <v>42</v>
      </c>
      <c r="AQ999" s="11">
        <v>0.1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1</v>
      </c>
      <c r="AY999" s="1">
        <f t="shared" si="865"/>
        <v>0</v>
      </c>
      <c r="AZ999" s="1">
        <f t="shared" si="866"/>
        <v>0</v>
      </c>
      <c r="BA999" s="1">
        <f t="shared" si="867"/>
        <v>0</v>
      </c>
      <c r="BB999" s="5">
        <v>0</v>
      </c>
      <c r="BC999" s="5">
        <v>1</v>
      </c>
      <c r="BD999" s="5">
        <v>0</v>
      </c>
      <c r="BE999" s="5">
        <f t="shared" si="868"/>
        <v>0</v>
      </c>
      <c r="BF999" s="5">
        <v>0</v>
      </c>
      <c r="BG999" s="5">
        <f t="shared" si="869"/>
        <v>0</v>
      </c>
      <c r="BH999" s="5">
        <f t="shared" si="869"/>
        <v>0</v>
      </c>
      <c r="BI999" s="5">
        <f t="shared" si="869"/>
        <v>0</v>
      </c>
      <c r="BJ999" s="5">
        <f t="shared" si="869"/>
        <v>0</v>
      </c>
      <c r="BK999" s="5">
        <f t="shared" si="869"/>
        <v>0</v>
      </c>
      <c r="BL999" s="5">
        <f t="shared" si="869"/>
        <v>0</v>
      </c>
      <c r="BM999" s="5">
        <f t="shared" si="869"/>
        <v>0</v>
      </c>
      <c r="BN999" s="5">
        <f t="shared" si="859"/>
        <v>0</v>
      </c>
      <c r="BO999" s="5">
        <f t="shared" si="859"/>
        <v>0</v>
      </c>
      <c r="BP999" s="5">
        <f t="shared" si="859"/>
        <v>0</v>
      </c>
      <c r="BQ999" s="5">
        <f t="shared" si="859"/>
        <v>0</v>
      </c>
      <c r="BR999" s="5">
        <f t="shared" si="859"/>
        <v>0</v>
      </c>
      <c r="BS999" s="5">
        <f t="shared" si="859"/>
        <v>0</v>
      </c>
      <c r="BT999" s="5">
        <f t="shared" si="859"/>
        <v>0</v>
      </c>
      <c r="BU999" s="5">
        <f t="shared" si="859"/>
        <v>0</v>
      </c>
      <c r="BV999" s="5">
        <f t="shared" si="859"/>
        <v>0</v>
      </c>
      <c r="BW999" s="5">
        <f t="shared" si="859"/>
        <v>0</v>
      </c>
      <c r="BX999" s="5">
        <f t="shared" si="859"/>
        <v>0</v>
      </c>
      <c r="BY999" s="5">
        <f t="shared" si="859"/>
        <v>0</v>
      </c>
      <c r="BZ999" s="5">
        <f t="shared" si="859"/>
        <v>0</v>
      </c>
      <c r="CA999" s="5">
        <f t="shared" si="859"/>
        <v>0</v>
      </c>
      <c r="CB999" s="5">
        <f t="shared" si="859"/>
        <v>0</v>
      </c>
      <c r="CC999" s="5">
        <f t="shared" ref="CC999:CE1018" si="870">IF($E999=CC$2,1,0)</f>
        <v>1</v>
      </c>
      <c r="CD999" s="5">
        <f t="shared" si="870"/>
        <v>0</v>
      </c>
      <c r="CE999" s="5">
        <f t="shared" si="870"/>
        <v>0</v>
      </c>
    </row>
    <row r="1000" spans="1:83" x14ac:dyDescent="0.2">
      <c r="A1000" s="11"/>
      <c r="B1000" s="11"/>
      <c r="C1000" s="1">
        <f>Growth!D1005</f>
        <v>0.04</v>
      </c>
      <c r="D1000" s="5" t="b">
        <f t="shared" si="824"/>
        <v>0</v>
      </c>
      <c r="E1000" s="5">
        <v>2013</v>
      </c>
      <c r="F1000" s="5">
        <f ca="1">LOOKUP($E1000,frequence!$A$2:$A$35,frequence!L$2:L$35)</f>
        <v>46.610663652887361</v>
      </c>
      <c r="G1000" s="5">
        <f ca="1">LOOKUP($E1000,frequence!$A$2:$A$35,frequence!K$2:K$35)</f>
        <v>7.3617115683267258</v>
      </c>
      <c r="H1000" s="5">
        <f ca="1">LOOKUP($E1000,frequence!$A$2:$A$35,frequence!M$2:M$35)</f>
        <v>214.81113443396845</v>
      </c>
      <c r="I1000" s="16">
        <v>2005</v>
      </c>
      <c r="J1000" s="7">
        <f>LOOKUP(I1000,CPI!A$69:A$103,CPI!O$69:O$103)</f>
        <v>1.1165181771633383</v>
      </c>
      <c r="K1000" s="16">
        <v>2015</v>
      </c>
      <c r="L1000" s="7">
        <f t="shared" ca="1" si="807"/>
        <v>1</v>
      </c>
      <c r="M1000" s="7">
        <f t="shared" si="860"/>
        <v>0.252</v>
      </c>
      <c r="N1000" s="14">
        <f>3/75</f>
        <v>0.04</v>
      </c>
      <c r="O1000" s="1">
        <f ca="1">P1000*J1000*(1+Growth!G$6)^(2010-K1000)</f>
        <v>129.47406570246488</v>
      </c>
      <c r="P1000" s="22">
        <v>125</v>
      </c>
      <c r="Q1000" s="2">
        <f t="shared" si="861"/>
        <v>125</v>
      </c>
      <c r="R1000" s="21">
        <f t="shared" ca="1" si="862"/>
        <v>16763.533689526193</v>
      </c>
      <c r="U1000" s="11"/>
      <c r="V1000" s="11"/>
      <c r="W1000" s="11"/>
      <c r="X1000" s="11"/>
      <c r="Y1000" s="11"/>
      <c r="Z1000" s="11"/>
      <c r="AA1000" s="11"/>
      <c r="AB1000" s="11"/>
      <c r="AC1000" s="1">
        <f t="shared" si="863"/>
        <v>6.3</v>
      </c>
      <c r="AD1000" s="5">
        <v>1</v>
      </c>
      <c r="AE1000" s="5">
        <v>0</v>
      </c>
      <c r="AF1000" s="5">
        <v>1</v>
      </c>
      <c r="AG1000" s="5">
        <v>0</v>
      </c>
      <c r="AH1000" s="5">
        <v>1</v>
      </c>
      <c r="AI1000" s="3">
        <f t="shared" si="864"/>
        <v>3.3</v>
      </c>
      <c r="AJ1000" s="5">
        <f t="shared" si="835"/>
        <v>0</v>
      </c>
      <c r="AK1000" s="5">
        <f t="shared" si="808"/>
        <v>0</v>
      </c>
      <c r="AL1000" s="5">
        <f t="shared" si="809"/>
        <v>0</v>
      </c>
      <c r="AM1000" s="5">
        <f t="shared" si="836"/>
        <v>0</v>
      </c>
      <c r="AN1000" s="5">
        <f t="shared" si="810"/>
        <v>1</v>
      </c>
      <c r="AO1000" s="5">
        <f t="shared" si="837"/>
        <v>0</v>
      </c>
      <c r="AP1000" s="11" t="s">
        <v>42</v>
      </c>
      <c r="AQ1000" s="11">
        <v>0.1</v>
      </c>
      <c r="AR1000" s="5">
        <v>0</v>
      </c>
      <c r="AS1000" s="5">
        <v>0</v>
      </c>
      <c r="AT1000" s="5">
        <v>0</v>
      </c>
      <c r="AU1000" s="5">
        <v>0</v>
      </c>
      <c r="AV1000" s="5">
        <v>0</v>
      </c>
      <c r="AW1000" s="5">
        <v>0</v>
      </c>
      <c r="AX1000" s="5">
        <v>1</v>
      </c>
      <c r="AY1000" s="1">
        <f t="shared" si="865"/>
        <v>0</v>
      </c>
      <c r="AZ1000" s="1">
        <f t="shared" si="866"/>
        <v>0</v>
      </c>
      <c r="BA1000" s="1">
        <f t="shared" si="867"/>
        <v>0</v>
      </c>
      <c r="BB1000" s="5">
        <v>0</v>
      </c>
      <c r="BC1000" s="5">
        <v>1</v>
      </c>
      <c r="BD1000" s="5">
        <v>0</v>
      </c>
      <c r="BE1000" s="5">
        <f t="shared" si="868"/>
        <v>0</v>
      </c>
      <c r="BF1000" s="5">
        <v>0</v>
      </c>
      <c r="BG1000" s="5">
        <f t="shared" si="869"/>
        <v>0</v>
      </c>
      <c r="BH1000" s="5">
        <f t="shared" si="869"/>
        <v>0</v>
      </c>
      <c r="BI1000" s="5">
        <f t="shared" si="869"/>
        <v>0</v>
      </c>
      <c r="BJ1000" s="5">
        <f t="shared" si="869"/>
        <v>0</v>
      </c>
      <c r="BK1000" s="5">
        <f t="shared" si="869"/>
        <v>0</v>
      </c>
      <c r="BL1000" s="5">
        <f t="shared" si="869"/>
        <v>0</v>
      </c>
      <c r="BM1000" s="5">
        <f t="shared" si="869"/>
        <v>0</v>
      </c>
      <c r="BN1000" s="5">
        <f t="shared" si="859"/>
        <v>0</v>
      </c>
      <c r="BO1000" s="5">
        <f t="shared" si="859"/>
        <v>0</v>
      </c>
      <c r="BP1000" s="5">
        <f t="shared" si="859"/>
        <v>0</v>
      </c>
      <c r="BQ1000" s="5">
        <f t="shared" si="859"/>
        <v>0</v>
      </c>
      <c r="BR1000" s="5">
        <f t="shared" si="859"/>
        <v>0</v>
      </c>
      <c r="BS1000" s="5">
        <f t="shared" si="859"/>
        <v>0</v>
      </c>
      <c r="BT1000" s="5">
        <f t="shared" si="859"/>
        <v>0</v>
      </c>
      <c r="BU1000" s="5">
        <f t="shared" si="859"/>
        <v>0</v>
      </c>
      <c r="BV1000" s="5">
        <f t="shared" si="859"/>
        <v>0</v>
      </c>
      <c r="BW1000" s="5">
        <f t="shared" si="859"/>
        <v>0</v>
      </c>
      <c r="BX1000" s="5">
        <f t="shared" si="859"/>
        <v>0</v>
      </c>
      <c r="BY1000" s="5">
        <f t="shared" si="859"/>
        <v>0</v>
      </c>
      <c r="BZ1000" s="5">
        <f t="shared" si="859"/>
        <v>0</v>
      </c>
      <c r="CA1000" s="5">
        <f t="shared" si="859"/>
        <v>0</v>
      </c>
      <c r="CB1000" s="5">
        <f t="shared" si="859"/>
        <v>0</v>
      </c>
      <c r="CC1000" s="5">
        <f t="shared" si="870"/>
        <v>1</v>
      </c>
      <c r="CD1000" s="5">
        <f t="shared" si="870"/>
        <v>0</v>
      </c>
      <c r="CE1000" s="5">
        <f t="shared" si="870"/>
        <v>0</v>
      </c>
    </row>
    <row r="1001" spans="1:83" x14ac:dyDescent="0.2">
      <c r="A1001" s="11"/>
      <c r="B1001" s="11"/>
      <c r="C1001" s="1">
        <f>Growth!D1006</f>
        <v>5.3333333333333337E-2</v>
      </c>
      <c r="D1001" s="5" t="b">
        <f t="shared" si="824"/>
        <v>0</v>
      </c>
      <c r="E1001" s="5">
        <v>2013</v>
      </c>
      <c r="F1001" s="5">
        <f ca="1">LOOKUP($E1001,frequence!$A$2:$A$35,frequence!L$2:L$35)</f>
        <v>46.610663652887361</v>
      </c>
      <c r="G1001" s="5">
        <f ca="1">LOOKUP($E1001,frequence!$A$2:$A$35,frequence!K$2:K$35)</f>
        <v>7.3617115683267258</v>
      </c>
      <c r="H1001" s="5">
        <f ca="1">LOOKUP($E1001,frequence!$A$2:$A$35,frequence!M$2:M$35)</f>
        <v>214.81113443396845</v>
      </c>
      <c r="I1001" s="16">
        <v>2005</v>
      </c>
      <c r="J1001" s="7">
        <f>LOOKUP(I1001,CPI!A$69:A$103,CPI!O$69:O$103)</f>
        <v>1.1165181771633383</v>
      </c>
      <c r="K1001" s="16">
        <v>2015</v>
      </c>
      <c r="L1001" s="7">
        <f t="shared" ca="1" si="807"/>
        <v>1</v>
      </c>
      <c r="M1001" s="7">
        <f t="shared" si="860"/>
        <v>0.33600000000000002</v>
      </c>
      <c r="N1001" s="14">
        <f>4/75</f>
        <v>5.3333333333333337E-2</v>
      </c>
      <c r="O1001" s="1">
        <f ca="1">P1001*J1001*(1+Growth!G$6)^(2010-K1001)</f>
        <v>89.078157203295845</v>
      </c>
      <c r="P1001" s="22">
        <v>86</v>
      </c>
      <c r="Q1001" s="2">
        <f t="shared" si="861"/>
        <v>86</v>
      </c>
      <c r="R1001" s="21">
        <f t="shared" ca="1" si="862"/>
        <v>7934.9180907350874</v>
      </c>
      <c r="U1001" s="11"/>
      <c r="V1001" s="11"/>
      <c r="W1001" s="11"/>
      <c r="X1001" s="11"/>
      <c r="Y1001" s="11"/>
      <c r="Z1001" s="11"/>
      <c r="AA1001" s="11"/>
      <c r="AB1001" s="11"/>
      <c r="AC1001" s="1">
        <f t="shared" si="863"/>
        <v>6.3</v>
      </c>
      <c r="AD1001" s="5">
        <v>1</v>
      </c>
      <c r="AE1001" s="5">
        <v>0</v>
      </c>
      <c r="AF1001" s="5">
        <v>1</v>
      </c>
      <c r="AG1001" s="5">
        <v>0</v>
      </c>
      <c r="AH1001" s="5">
        <v>1</v>
      </c>
      <c r="AI1001" s="3">
        <f t="shared" si="864"/>
        <v>3.3</v>
      </c>
      <c r="AJ1001" s="5">
        <f t="shared" si="835"/>
        <v>0</v>
      </c>
      <c r="AK1001" s="5">
        <f t="shared" si="808"/>
        <v>0</v>
      </c>
      <c r="AL1001" s="5">
        <f t="shared" si="809"/>
        <v>0</v>
      </c>
      <c r="AM1001" s="5">
        <f t="shared" si="836"/>
        <v>0</v>
      </c>
      <c r="AN1001" s="5">
        <f t="shared" si="810"/>
        <v>1</v>
      </c>
      <c r="AO1001" s="5">
        <f t="shared" si="837"/>
        <v>0</v>
      </c>
      <c r="AP1001" s="11" t="s">
        <v>42</v>
      </c>
      <c r="AQ1001" s="11">
        <v>0.1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1</v>
      </c>
      <c r="AY1001" s="1">
        <f t="shared" si="865"/>
        <v>0</v>
      </c>
      <c r="AZ1001" s="1">
        <f t="shared" si="866"/>
        <v>0</v>
      </c>
      <c r="BA1001" s="1">
        <f t="shared" si="867"/>
        <v>0</v>
      </c>
      <c r="BB1001" s="5">
        <v>0</v>
      </c>
      <c r="BC1001" s="5">
        <v>1</v>
      </c>
      <c r="BD1001" s="5">
        <v>0</v>
      </c>
      <c r="BE1001" s="5">
        <f t="shared" si="868"/>
        <v>0</v>
      </c>
      <c r="BF1001" s="5">
        <v>0</v>
      </c>
      <c r="BG1001" s="5">
        <f t="shared" si="869"/>
        <v>0</v>
      </c>
      <c r="BH1001" s="5">
        <f t="shared" si="869"/>
        <v>0</v>
      </c>
      <c r="BI1001" s="5">
        <f t="shared" si="869"/>
        <v>0</v>
      </c>
      <c r="BJ1001" s="5">
        <f t="shared" si="869"/>
        <v>0</v>
      </c>
      <c r="BK1001" s="5">
        <f t="shared" si="869"/>
        <v>0</v>
      </c>
      <c r="BL1001" s="5">
        <f t="shared" si="869"/>
        <v>0</v>
      </c>
      <c r="BM1001" s="5">
        <f t="shared" si="869"/>
        <v>0</v>
      </c>
      <c r="BN1001" s="5">
        <f t="shared" si="859"/>
        <v>0</v>
      </c>
      <c r="BO1001" s="5">
        <f t="shared" si="859"/>
        <v>0</v>
      </c>
      <c r="BP1001" s="5">
        <f t="shared" si="859"/>
        <v>0</v>
      </c>
      <c r="BQ1001" s="5">
        <f t="shared" si="859"/>
        <v>0</v>
      </c>
      <c r="BR1001" s="5">
        <f t="shared" si="859"/>
        <v>0</v>
      </c>
      <c r="BS1001" s="5">
        <f t="shared" si="859"/>
        <v>0</v>
      </c>
      <c r="BT1001" s="5">
        <f t="shared" si="859"/>
        <v>0</v>
      </c>
      <c r="BU1001" s="5">
        <f t="shared" si="859"/>
        <v>0</v>
      </c>
      <c r="BV1001" s="5">
        <f t="shared" si="859"/>
        <v>0</v>
      </c>
      <c r="BW1001" s="5">
        <f t="shared" si="859"/>
        <v>0</v>
      </c>
      <c r="BX1001" s="5">
        <f t="shared" si="859"/>
        <v>0</v>
      </c>
      <c r="BY1001" s="5">
        <f t="shared" si="859"/>
        <v>0</v>
      </c>
      <c r="BZ1001" s="5">
        <f t="shared" si="859"/>
        <v>0</v>
      </c>
      <c r="CA1001" s="5">
        <f t="shared" si="859"/>
        <v>0</v>
      </c>
      <c r="CB1001" s="5">
        <f t="shared" si="859"/>
        <v>0</v>
      </c>
      <c r="CC1001" s="5">
        <f t="shared" si="870"/>
        <v>1</v>
      </c>
      <c r="CD1001" s="5">
        <f t="shared" si="870"/>
        <v>0</v>
      </c>
      <c r="CE1001" s="5">
        <f t="shared" si="870"/>
        <v>0</v>
      </c>
    </row>
    <row r="1002" spans="1:83" x14ac:dyDescent="0.2">
      <c r="A1002" s="11"/>
      <c r="B1002" s="11"/>
      <c r="C1002" s="1">
        <f>Growth!D1007</f>
        <v>6.6666666666666666E-2</v>
      </c>
      <c r="D1002" s="5" t="b">
        <f t="shared" si="824"/>
        <v>0</v>
      </c>
      <c r="E1002" s="5">
        <v>2013</v>
      </c>
      <c r="F1002" s="5">
        <f ca="1">LOOKUP($E1002,frequence!$A$2:$A$35,frequence!L$2:L$35)</f>
        <v>46.610663652887361</v>
      </c>
      <c r="G1002" s="5">
        <f ca="1">LOOKUP($E1002,frequence!$A$2:$A$35,frequence!K$2:K$35)</f>
        <v>7.3617115683267258</v>
      </c>
      <c r="H1002" s="5">
        <f ca="1">LOOKUP($E1002,frequence!$A$2:$A$35,frequence!M$2:M$35)</f>
        <v>214.81113443396845</v>
      </c>
      <c r="I1002" s="16">
        <v>2005</v>
      </c>
      <c r="J1002" s="7">
        <f>LOOKUP(I1002,CPI!A$69:A$103,CPI!O$69:O$103)</f>
        <v>1.1165181771633383</v>
      </c>
      <c r="K1002" s="16">
        <v>2015</v>
      </c>
      <c r="L1002" s="7">
        <f t="shared" ca="1" si="807"/>
        <v>1</v>
      </c>
      <c r="M1002" s="7">
        <f t="shared" si="860"/>
        <v>0.42</v>
      </c>
      <c r="N1002" s="14">
        <f>5/75</f>
        <v>6.6666666666666666E-2</v>
      </c>
      <c r="O1002" s="1">
        <f ca="1">P1002*J1002*(1+Growth!G$6)^(2010-K1002)</f>
        <v>53.861211332225395</v>
      </c>
      <c r="P1002" s="22">
        <v>52</v>
      </c>
      <c r="Q1002" s="2">
        <f t="shared" si="861"/>
        <v>52</v>
      </c>
      <c r="R1002" s="21">
        <f t="shared" ca="1" si="862"/>
        <v>2901.0300861746455</v>
      </c>
      <c r="U1002" s="11"/>
      <c r="V1002" s="11"/>
      <c r="W1002" s="11"/>
      <c r="X1002" s="11"/>
      <c r="Y1002" s="11"/>
      <c r="Z1002" s="11"/>
      <c r="AA1002" s="11"/>
      <c r="AB1002" s="11"/>
      <c r="AC1002" s="1">
        <f t="shared" si="863"/>
        <v>6.3</v>
      </c>
      <c r="AD1002" s="5">
        <v>1</v>
      </c>
      <c r="AE1002" s="5">
        <v>0</v>
      </c>
      <c r="AF1002" s="5">
        <v>1</v>
      </c>
      <c r="AG1002" s="5">
        <v>0</v>
      </c>
      <c r="AH1002" s="5">
        <v>1</v>
      </c>
      <c r="AI1002" s="3">
        <f t="shared" si="864"/>
        <v>3.3</v>
      </c>
      <c r="AJ1002" s="5">
        <f t="shared" si="835"/>
        <v>0</v>
      </c>
      <c r="AK1002" s="5">
        <f t="shared" si="808"/>
        <v>0</v>
      </c>
      <c r="AL1002" s="5">
        <f t="shared" si="809"/>
        <v>1</v>
      </c>
      <c r="AM1002" s="5">
        <f t="shared" si="836"/>
        <v>0</v>
      </c>
      <c r="AN1002" s="5">
        <f t="shared" si="810"/>
        <v>0</v>
      </c>
      <c r="AO1002" s="5">
        <f t="shared" si="837"/>
        <v>0</v>
      </c>
      <c r="AP1002" s="11" t="s">
        <v>42</v>
      </c>
      <c r="AQ1002" s="11">
        <v>1.5</v>
      </c>
      <c r="AR1002" s="5">
        <v>0</v>
      </c>
      <c r="AS1002" s="5">
        <v>0</v>
      </c>
      <c r="AT1002" s="5">
        <v>0</v>
      </c>
      <c r="AU1002" s="5">
        <v>0</v>
      </c>
      <c r="AV1002" s="5">
        <v>0</v>
      </c>
      <c r="AW1002" s="5">
        <v>0</v>
      </c>
      <c r="AX1002" s="5">
        <v>1</v>
      </c>
      <c r="AY1002" s="1">
        <f t="shared" si="865"/>
        <v>0</v>
      </c>
      <c r="AZ1002" s="1">
        <f t="shared" si="866"/>
        <v>0</v>
      </c>
      <c r="BA1002" s="1">
        <f t="shared" si="867"/>
        <v>0</v>
      </c>
      <c r="BB1002" s="5">
        <v>0</v>
      </c>
      <c r="BC1002" s="5">
        <v>1</v>
      </c>
      <c r="BD1002" s="5">
        <v>0</v>
      </c>
      <c r="BE1002" s="5">
        <f t="shared" si="868"/>
        <v>0</v>
      </c>
      <c r="BF1002" s="5">
        <v>1</v>
      </c>
      <c r="BG1002" s="5">
        <f t="shared" si="869"/>
        <v>0</v>
      </c>
      <c r="BH1002" s="5">
        <f t="shared" si="869"/>
        <v>0</v>
      </c>
      <c r="BI1002" s="5">
        <f t="shared" si="869"/>
        <v>0</v>
      </c>
      <c r="BJ1002" s="5">
        <f t="shared" si="869"/>
        <v>0</v>
      </c>
      <c r="BK1002" s="5">
        <f t="shared" si="869"/>
        <v>0</v>
      </c>
      <c r="BL1002" s="5">
        <f t="shared" si="869"/>
        <v>0</v>
      </c>
      <c r="BM1002" s="5">
        <f t="shared" si="869"/>
        <v>0</v>
      </c>
      <c r="BN1002" s="5">
        <f t="shared" si="859"/>
        <v>0</v>
      </c>
      <c r="BO1002" s="5">
        <f t="shared" si="859"/>
        <v>0</v>
      </c>
      <c r="BP1002" s="5">
        <f t="shared" si="859"/>
        <v>0</v>
      </c>
      <c r="BQ1002" s="5">
        <f t="shared" si="859"/>
        <v>0</v>
      </c>
      <c r="BR1002" s="5">
        <f t="shared" si="859"/>
        <v>0</v>
      </c>
      <c r="BS1002" s="5">
        <f t="shared" si="859"/>
        <v>0</v>
      </c>
      <c r="BT1002" s="5">
        <f t="shared" si="859"/>
        <v>0</v>
      </c>
      <c r="BU1002" s="5">
        <f t="shared" si="859"/>
        <v>0</v>
      </c>
      <c r="BV1002" s="5">
        <f t="shared" si="859"/>
        <v>0</v>
      </c>
      <c r="BW1002" s="5">
        <f t="shared" si="859"/>
        <v>0</v>
      </c>
      <c r="BX1002" s="5">
        <f t="shared" si="859"/>
        <v>0</v>
      </c>
      <c r="BY1002" s="5">
        <f t="shared" si="859"/>
        <v>0</v>
      </c>
      <c r="BZ1002" s="5">
        <f t="shared" si="859"/>
        <v>0</v>
      </c>
      <c r="CA1002" s="5">
        <f t="shared" si="859"/>
        <v>0</v>
      </c>
      <c r="CB1002" s="5">
        <f t="shared" si="859"/>
        <v>0</v>
      </c>
      <c r="CC1002" s="5">
        <f t="shared" si="870"/>
        <v>1</v>
      </c>
      <c r="CD1002" s="5">
        <f t="shared" si="870"/>
        <v>0</v>
      </c>
      <c r="CE1002" s="5">
        <f t="shared" si="870"/>
        <v>0</v>
      </c>
    </row>
    <row r="1003" spans="1:83" x14ac:dyDescent="0.2">
      <c r="A1003" s="11"/>
      <c r="B1003" s="11"/>
      <c r="C1003" s="1">
        <f>Growth!D1008</f>
        <v>0.10666666666666667</v>
      </c>
      <c r="D1003" s="5" t="b">
        <f t="shared" si="824"/>
        <v>0</v>
      </c>
      <c r="E1003" s="5">
        <v>2013</v>
      </c>
      <c r="F1003" s="5">
        <f ca="1">LOOKUP($E1003,frequence!$A$2:$A$35,frequence!L$2:L$35)</f>
        <v>46.610663652887361</v>
      </c>
      <c r="G1003" s="5">
        <f ca="1">LOOKUP($E1003,frequence!$A$2:$A$35,frequence!K$2:K$35)</f>
        <v>7.3617115683267258</v>
      </c>
      <c r="H1003" s="5">
        <f ca="1">LOOKUP($E1003,frequence!$A$2:$A$35,frequence!M$2:M$35)</f>
        <v>214.81113443396845</v>
      </c>
      <c r="I1003" s="16">
        <v>2005</v>
      </c>
      <c r="J1003" s="7">
        <f>LOOKUP(I1003,CPI!A$69:A$103,CPI!O$69:O$103)</f>
        <v>1.1165181771633383</v>
      </c>
      <c r="K1003" s="16">
        <v>2015</v>
      </c>
      <c r="L1003" s="7">
        <f t="shared" ca="1" si="807"/>
        <v>1</v>
      </c>
      <c r="M1003" s="7">
        <f t="shared" ref="M1003:M1012" si="871">N1003*AC1003</f>
        <v>0.67200000000000004</v>
      </c>
      <c r="N1003" s="14">
        <f>8/75</f>
        <v>0.10666666666666667</v>
      </c>
      <c r="O1003" s="1">
        <f ca="1">P1003*J1003*(1+Growth!G$6)^(2010-K1003)</f>
        <v>43.503286076028203</v>
      </c>
      <c r="P1003" s="22">
        <v>42</v>
      </c>
      <c r="Q1003" s="2">
        <f t="shared" ref="Q1003:Q1011" si="872">P1003</f>
        <v>42</v>
      </c>
      <c r="R1003" s="21">
        <f t="shared" ref="R1003:R1011" ca="1" si="873">O1003*O1003</f>
        <v>1892.5358994127494</v>
      </c>
      <c r="U1003" s="11"/>
      <c r="V1003" s="11"/>
      <c r="W1003" s="11"/>
      <c r="X1003" s="11"/>
      <c r="Y1003" s="11"/>
      <c r="Z1003" s="11"/>
      <c r="AA1003" s="11"/>
      <c r="AB1003" s="11"/>
      <c r="AC1003" s="1">
        <f t="shared" ref="AC1003:AC1011" si="874">SUM(AD1003:AI1003)</f>
        <v>6.3</v>
      </c>
      <c r="AD1003" s="5">
        <v>1</v>
      </c>
      <c r="AE1003" s="5">
        <v>0</v>
      </c>
      <c r="AF1003" s="5">
        <v>1</v>
      </c>
      <c r="AG1003" s="5">
        <v>0</v>
      </c>
      <c r="AH1003" s="5">
        <v>1</v>
      </c>
      <c r="AI1003" s="3">
        <f t="shared" ref="AI1003:AI1012" si="875">(E1003-1980)/10</f>
        <v>3.3</v>
      </c>
      <c r="AJ1003" s="5">
        <f t="shared" si="835"/>
        <v>0</v>
      </c>
      <c r="AK1003" s="5">
        <f t="shared" si="808"/>
        <v>0</v>
      </c>
      <c r="AL1003" s="5">
        <f t="shared" si="809"/>
        <v>1</v>
      </c>
      <c r="AM1003" s="5">
        <f t="shared" si="836"/>
        <v>0</v>
      </c>
      <c r="AN1003" s="5">
        <f t="shared" si="810"/>
        <v>0</v>
      </c>
      <c r="AO1003" s="5">
        <f t="shared" si="837"/>
        <v>0</v>
      </c>
      <c r="AP1003" s="11" t="s">
        <v>42</v>
      </c>
      <c r="AQ1003" s="11">
        <v>1.5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1</v>
      </c>
      <c r="AY1003" s="1">
        <f t="shared" ref="AY1003:AY1011" si="876">AJ1003*$AD1003*(1-$AV1003)*(1-$AR1003)</f>
        <v>0</v>
      </c>
      <c r="AZ1003" s="1">
        <f t="shared" ref="AZ1003:AZ1011" si="877">AM1003*$AD1003*(1-$AV1003)*(1-$AR1003)</f>
        <v>0</v>
      </c>
      <c r="BA1003" s="1">
        <f t="shared" ref="BA1003:BA1011" si="878">AO1003*$AD1003*(1-$AV1003)*(1-$AR1003)</f>
        <v>0</v>
      </c>
      <c r="BB1003" s="5">
        <v>0</v>
      </c>
      <c r="BC1003" s="5">
        <v>1</v>
      </c>
      <c r="BD1003" s="5">
        <v>0</v>
      </c>
      <c r="BE1003" s="5">
        <f t="shared" ref="BE1003:BE1011" si="879">1-SUM(BB1003:BD1003)</f>
        <v>0</v>
      </c>
      <c r="BF1003" s="5">
        <v>1</v>
      </c>
      <c r="BG1003" s="5">
        <f t="shared" si="869"/>
        <v>0</v>
      </c>
      <c r="BH1003" s="5">
        <f t="shared" si="869"/>
        <v>0</v>
      </c>
      <c r="BI1003" s="5">
        <f t="shared" si="869"/>
        <v>0</v>
      </c>
      <c r="BJ1003" s="5">
        <f t="shared" si="869"/>
        <v>0</v>
      </c>
      <c r="BK1003" s="5">
        <f t="shared" si="869"/>
        <v>0</v>
      </c>
      <c r="BL1003" s="5">
        <f t="shared" si="869"/>
        <v>0</v>
      </c>
      <c r="BM1003" s="5">
        <f t="shared" si="869"/>
        <v>0</v>
      </c>
      <c r="BN1003" s="5">
        <f t="shared" si="859"/>
        <v>0</v>
      </c>
      <c r="BO1003" s="5">
        <f t="shared" si="859"/>
        <v>0</v>
      </c>
      <c r="BP1003" s="5">
        <f t="shared" si="859"/>
        <v>0</v>
      </c>
      <c r="BQ1003" s="5">
        <f t="shared" si="859"/>
        <v>0</v>
      </c>
      <c r="BR1003" s="5">
        <f t="shared" si="859"/>
        <v>0</v>
      </c>
      <c r="BS1003" s="5">
        <f t="shared" si="859"/>
        <v>0</v>
      </c>
      <c r="BT1003" s="5">
        <f t="shared" si="859"/>
        <v>0</v>
      </c>
      <c r="BU1003" s="5">
        <f t="shared" si="859"/>
        <v>0</v>
      </c>
      <c r="BV1003" s="5">
        <f t="shared" si="859"/>
        <v>0</v>
      </c>
      <c r="BW1003" s="5">
        <f t="shared" si="859"/>
        <v>0</v>
      </c>
      <c r="BX1003" s="5">
        <f t="shared" si="859"/>
        <v>0</v>
      </c>
      <c r="BY1003" s="5">
        <f t="shared" si="859"/>
        <v>0</v>
      </c>
      <c r="BZ1003" s="5">
        <f t="shared" si="859"/>
        <v>0</v>
      </c>
      <c r="CA1003" s="5">
        <f t="shared" si="859"/>
        <v>0</v>
      </c>
      <c r="CB1003" s="5">
        <f t="shared" si="859"/>
        <v>0</v>
      </c>
      <c r="CC1003" s="5">
        <f t="shared" si="870"/>
        <v>1</v>
      </c>
      <c r="CD1003" s="5">
        <f t="shared" si="870"/>
        <v>0</v>
      </c>
      <c r="CE1003" s="5">
        <f t="shared" si="870"/>
        <v>0</v>
      </c>
    </row>
    <row r="1004" spans="1:83" x14ac:dyDescent="0.2">
      <c r="A1004" s="11"/>
      <c r="B1004" s="11"/>
      <c r="C1004" s="1">
        <f>Growth!D1009</f>
        <v>5.3333333333333337E-2</v>
      </c>
      <c r="D1004" s="5" t="b">
        <f t="shared" si="824"/>
        <v>0</v>
      </c>
      <c r="E1004" s="5">
        <v>2013</v>
      </c>
      <c r="F1004" s="5">
        <f ca="1">LOOKUP($E1004,frequence!$A$2:$A$35,frequence!L$2:L$35)</f>
        <v>46.610663652887361</v>
      </c>
      <c r="G1004" s="5">
        <f ca="1">LOOKUP($E1004,frequence!$A$2:$A$35,frequence!K$2:K$35)</f>
        <v>7.3617115683267258</v>
      </c>
      <c r="H1004" s="5">
        <f ca="1">LOOKUP($E1004,frequence!$A$2:$A$35,frequence!M$2:M$35)</f>
        <v>214.81113443396845</v>
      </c>
      <c r="I1004" s="16">
        <v>2005</v>
      </c>
      <c r="J1004" s="7">
        <f>LOOKUP(I1004,CPI!A$69:A$103,CPI!O$69:O$103)</f>
        <v>1.1165181771633383</v>
      </c>
      <c r="K1004" s="16">
        <v>2015</v>
      </c>
      <c r="L1004" s="7">
        <f t="shared" ca="1" si="807"/>
        <v>1</v>
      </c>
      <c r="M1004" s="7">
        <f t="shared" si="871"/>
        <v>0.33600000000000002</v>
      </c>
      <c r="N1004" s="14">
        <f>4/75</f>
        <v>5.3333333333333337E-2</v>
      </c>
      <c r="O1004" s="1">
        <f ca="1">P1004*J1004*(1+Growth!G$6)^(2010-K1004)</f>
        <v>95.292912357014146</v>
      </c>
      <c r="P1004" s="22">
        <v>92</v>
      </c>
      <c r="Q1004" s="2">
        <f t="shared" si="872"/>
        <v>92</v>
      </c>
      <c r="R1004" s="21">
        <f t="shared" ca="1" si="873"/>
        <v>9080.7391454815788</v>
      </c>
      <c r="U1004" s="11"/>
      <c r="V1004" s="11"/>
      <c r="W1004" s="11"/>
      <c r="X1004" s="11"/>
      <c r="Y1004" s="11"/>
      <c r="Z1004" s="11"/>
      <c r="AA1004" s="11"/>
      <c r="AB1004" s="11"/>
      <c r="AC1004" s="1">
        <f t="shared" si="874"/>
        <v>6.3</v>
      </c>
      <c r="AD1004" s="5">
        <v>1</v>
      </c>
      <c r="AE1004" s="5">
        <v>0</v>
      </c>
      <c r="AF1004" s="5">
        <v>1</v>
      </c>
      <c r="AG1004" s="5">
        <v>0</v>
      </c>
      <c r="AH1004" s="5">
        <v>1</v>
      </c>
      <c r="AI1004" s="3">
        <f t="shared" si="875"/>
        <v>3.3</v>
      </c>
      <c r="AJ1004" s="5">
        <f t="shared" si="835"/>
        <v>0</v>
      </c>
      <c r="AK1004" s="5">
        <f t="shared" si="808"/>
        <v>0</v>
      </c>
      <c r="AL1004" s="5">
        <f t="shared" si="809"/>
        <v>1</v>
      </c>
      <c r="AM1004" s="5">
        <f t="shared" si="836"/>
        <v>0</v>
      </c>
      <c r="AN1004" s="5">
        <f t="shared" si="810"/>
        <v>0</v>
      </c>
      <c r="AO1004" s="5">
        <f t="shared" si="837"/>
        <v>0</v>
      </c>
      <c r="AP1004" s="11" t="s">
        <v>42</v>
      </c>
      <c r="AQ1004" s="11">
        <v>1.5</v>
      </c>
      <c r="AR1004" s="5">
        <v>0</v>
      </c>
      <c r="AS1004" s="5">
        <v>0</v>
      </c>
      <c r="AT1004" s="5">
        <v>0</v>
      </c>
      <c r="AU1004" s="5">
        <v>0</v>
      </c>
      <c r="AV1004" s="5">
        <v>0</v>
      </c>
      <c r="AW1004" s="5">
        <v>0</v>
      </c>
      <c r="AX1004" s="5">
        <v>1</v>
      </c>
      <c r="AY1004" s="1">
        <f t="shared" si="876"/>
        <v>0</v>
      </c>
      <c r="AZ1004" s="1">
        <f t="shared" si="877"/>
        <v>0</v>
      </c>
      <c r="BA1004" s="1">
        <f t="shared" si="878"/>
        <v>0</v>
      </c>
      <c r="BB1004" s="5">
        <v>0</v>
      </c>
      <c r="BC1004" s="5">
        <v>1</v>
      </c>
      <c r="BD1004" s="5">
        <v>0</v>
      </c>
      <c r="BE1004" s="5">
        <f t="shared" si="879"/>
        <v>0</v>
      </c>
      <c r="BF1004" s="5">
        <v>1</v>
      </c>
      <c r="BG1004" s="5">
        <f t="shared" si="869"/>
        <v>0</v>
      </c>
      <c r="BH1004" s="5">
        <f t="shared" si="869"/>
        <v>0</v>
      </c>
      <c r="BI1004" s="5">
        <f t="shared" si="869"/>
        <v>0</v>
      </c>
      <c r="BJ1004" s="5">
        <f t="shared" si="869"/>
        <v>0</v>
      </c>
      <c r="BK1004" s="5">
        <f t="shared" si="869"/>
        <v>0</v>
      </c>
      <c r="BL1004" s="5">
        <f t="shared" si="869"/>
        <v>0</v>
      </c>
      <c r="BM1004" s="5">
        <f t="shared" si="869"/>
        <v>0</v>
      </c>
      <c r="BN1004" s="5">
        <f t="shared" si="859"/>
        <v>0</v>
      </c>
      <c r="BO1004" s="5">
        <f t="shared" si="859"/>
        <v>0</v>
      </c>
      <c r="BP1004" s="5">
        <f t="shared" si="859"/>
        <v>0</v>
      </c>
      <c r="BQ1004" s="5">
        <f t="shared" si="859"/>
        <v>0</v>
      </c>
      <c r="BR1004" s="5">
        <f t="shared" si="859"/>
        <v>0</v>
      </c>
      <c r="BS1004" s="5">
        <f t="shared" si="859"/>
        <v>0</v>
      </c>
      <c r="BT1004" s="5">
        <f t="shared" si="859"/>
        <v>0</v>
      </c>
      <c r="BU1004" s="5">
        <f t="shared" si="859"/>
        <v>0</v>
      </c>
      <c r="BV1004" s="5">
        <f t="shared" si="859"/>
        <v>0</v>
      </c>
      <c r="BW1004" s="5">
        <f t="shared" si="859"/>
        <v>0</v>
      </c>
      <c r="BX1004" s="5">
        <f t="shared" si="859"/>
        <v>0</v>
      </c>
      <c r="BY1004" s="5">
        <f t="shared" si="859"/>
        <v>0</v>
      </c>
      <c r="BZ1004" s="5">
        <f t="shared" si="859"/>
        <v>0</v>
      </c>
      <c r="CA1004" s="5">
        <f t="shared" si="859"/>
        <v>0</v>
      </c>
      <c r="CB1004" s="5">
        <f t="shared" si="859"/>
        <v>0</v>
      </c>
      <c r="CC1004" s="5">
        <f t="shared" si="870"/>
        <v>1</v>
      </c>
      <c r="CD1004" s="5">
        <f t="shared" si="870"/>
        <v>0</v>
      </c>
      <c r="CE1004" s="5">
        <f t="shared" si="870"/>
        <v>0</v>
      </c>
    </row>
    <row r="1005" spans="1:83" x14ac:dyDescent="0.2">
      <c r="A1005" s="11"/>
      <c r="B1005" s="11"/>
      <c r="C1005" s="1">
        <f>Growth!D1010</f>
        <v>5.3333333333333337E-2</v>
      </c>
      <c r="D1005" s="5" t="b">
        <f t="shared" si="824"/>
        <v>0</v>
      </c>
      <c r="E1005" s="5">
        <v>2013</v>
      </c>
      <c r="F1005" s="5">
        <f ca="1">LOOKUP($E1005,frequence!$A$2:$A$35,frequence!L$2:L$35)</f>
        <v>46.610663652887361</v>
      </c>
      <c r="G1005" s="5">
        <f ca="1">LOOKUP($E1005,frequence!$A$2:$A$35,frequence!K$2:K$35)</f>
        <v>7.3617115683267258</v>
      </c>
      <c r="H1005" s="5">
        <f ca="1">LOOKUP($E1005,frequence!$A$2:$A$35,frequence!M$2:M$35)</f>
        <v>214.81113443396845</v>
      </c>
      <c r="I1005" s="16">
        <v>2005</v>
      </c>
      <c r="J1005" s="7">
        <f>LOOKUP(I1005,CPI!A$69:A$103,CPI!O$69:O$103)</f>
        <v>1.1165181771633383</v>
      </c>
      <c r="K1005" s="16">
        <v>2015</v>
      </c>
      <c r="L1005" s="7">
        <f t="shared" ca="1" si="807"/>
        <v>1</v>
      </c>
      <c r="M1005" s="7">
        <f t="shared" si="871"/>
        <v>0.33600000000000002</v>
      </c>
      <c r="N1005" s="14">
        <f>4/75</f>
        <v>5.3333333333333337E-2</v>
      </c>
      <c r="O1005" s="1">
        <f ca="1">P1005*J1005*(1+Growth!G$6)^(2010-K1005)</f>
        <v>82.86340204957753</v>
      </c>
      <c r="P1005" s="22">
        <v>80</v>
      </c>
      <c r="Q1005" s="2">
        <f t="shared" si="872"/>
        <v>80</v>
      </c>
      <c r="R1005" s="21">
        <f t="shared" ca="1" si="873"/>
        <v>6866.3433992299297</v>
      </c>
      <c r="U1005" s="11"/>
      <c r="V1005" s="11"/>
      <c r="W1005" s="11"/>
      <c r="X1005" s="11"/>
      <c r="Y1005" s="11"/>
      <c r="Z1005" s="11"/>
      <c r="AA1005" s="11"/>
      <c r="AB1005" s="11"/>
      <c r="AC1005" s="1">
        <f t="shared" si="874"/>
        <v>6.3</v>
      </c>
      <c r="AD1005" s="5">
        <v>1</v>
      </c>
      <c r="AE1005" s="5">
        <v>0</v>
      </c>
      <c r="AF1005" s="5">
        <v>1</v>
      </c>
      <c r="AG1005" s="5">
        <v>0</v>
      </c>
      <c r="AH1005" s="5">
        <v>1</v>
      </c>
      <c r="AI1005" s="3">
        <f t="shared" si="875"/>
        <v>3.3</v>
      </c>
      <c r="AJ1005" s="5">
        <f t="shared" si="835"/>
        <v>0</v>
      </c>
      <c r="AK1005" s="5">
        <f t="shared" si="808"/>
        <v>0</v>
      </c>
      <c r="AL1005" s="5">
        <f t="shared" si="809"/>
        <v>1</v>
      </c>
      <c r="AM1005" s="5">
        <f t="shared" si="836"/>
        <v>0</v>
      </c>
      <c r="AN1005" s="5">
        <f t="shared" si="810"/>
        <v>0</v>
      </c>
      <c r="AO1005" s="5">
        <f t="shared" si="837"/>
        <v>0</v>
      </c>
      <c r="AP1005" s="11" t="s">
        <v>42</v>
      </c>
      <c r="AQ1005" s="11">
        <v>1.5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1</v>
      </c>
      <c r="AY1005" s="1">
        <f t="shared" si="876"/>
        <v>0</v>
      </c>
      <c r="AZ1005" s="1">
        <f t="shared" si="877"/>
        <v>0</v>
      </c>
      <c r="BA1005" s="1">
        <f t="shared" si="878"/>
        <v>0</v>
      </c>
      <c r="BB1005" s="5">
        <v>0</v>
      </c>
      <c r="BC1005" s="5">
        <v>1</v>
      </c>
      <c r="BD1005" s="5">
        <v>0</v>
      </c>
      <c r="BE1005" s="5">
        <f t="shared" si="879"/>
        <v>0</v>
      </c>
      <c r="BF1005" s="5">
        <v>1</v>
      </c>
      <c r="BG1005" s="5">
        <f t="shared" si="869"/>
        <v>0</v>
      </c>
      <c r="BH1005" s="5">
        <f t="shared" si="869"/>
        <v>0</v>
      </c>
      <c r="BI1005" s="5">
        <f t="shared" si="869"/>
        <v>0</v>
      </c>
      <c r="BJ1005" s="5">
        <f t="shared" si="869"/>
        <v>0</v>
      </c>
      <c r="BK1005" s="5">
        <f t="shared" si="869"/>
        <v>0</v>
      </c>
      <c r="BL1005" s="5">
        <f t="shared" si="869"/>
        <v>0</v>
      </c>
      <c r="BM1005" s="5">
        <f t="shared" si="869"/>
        <v>0</v>
      </c>
      <c r="BN1005" s="5">
        <f t="shared" si="859"/>
        <v>0</v>
      </c>
      <c r="BO1005" s="5">
        <f t="shared" si="859"/>
        <v>0</v>
      </c>
      <c r="BP1005" s="5">
        <f t="shared" si="859"/>
        <v>0</v>
      </c>
      <c r="BQ1005" s="5">
        <f t="shared" si="859"/>
        <v>0</v>
      </c>
      <c r="BR1005" s="5">
        <f t="shared" si="859"/>
        <v>0</v>
      </c>
      <c r="BS1005" s="5">
        <f t="shared" si="859"/>
        <v>0</v>
      </c>
      <c r="BT1005" s="5">
        <f t="shared" si="859"/>
        <v>0</v>
      </c>
      <c r="BU1005" s="5">
        <f t="shared" si="859"/>
        <v>0</v>
      </c>
      <c r="BV1005" s="5">
        <f t="shared" si="859"/>
        <v>0</v>
      </c>
      <c r="BW1005" s="5">
        <f t="shared" si="859"/>
        <v>0</v>
      </c>
      <c r="BX1005" s="5">
        <f t="shared" si="859"/>
        <v>0</v>
      </c>
      <c r="BY1005" s="5">
        <f t="shared" si="859"/>
        <v>0</v>
      </c>
      <c r="BZ1005" s="5">
        <f t="shared" si="859"/>
        <v>0</v>
      </c>
      <c r="CA1005" s="5">
        <f t="shared" si="859"/>
        <v>0</v>
      </c>
      <c r="CB1005" s="5">
        <f t="shared" si="859"/>
        <v>0</v>
      </c>
      <c r="CC1005" s="5">
        <f t="shared" si="870"/>
        <v>1</v>
      </c>
      <c r="CD1005" s="5">
        <f t="shared" si="870"/>
        <v>0</v>
      </c>
      <c r="CE1005" s="5">
        <f t="shared" si="870"/>
        <v>0</v>
      </c>
    </row>
    <row r="1006" spans="1:83" x14ac:dyDescent="0.2">
      <c r="A1006" s="11"/>
      <c r="B1006" s="11"/>
      <c r="C1006" s="1">
        <f>Growth!D1011</f>
        <v>2.6666666666666668E-2</v>
      </c>
      <c r="D1006" s="5" t="b">
        <f t="shared" si="824"/>
        <v>0</v>
      </c>
      <c r="E1006" s="5">
        <v>2013</v>
      </c>
      <c r="F1006" s="5">
        <f ca="1">LOOKUP($E1006,frequence!$A$2:$A$35,frequence!L$2:L$35)</f>
        <v>46.610663652887361</v>
      </c>
      <c r="G1006" s="5">
        <f ca="1">LOOKUP($E1006,frequence!$A$2:$A$35,frequence!K$2:K$35)</f>
        <v>7.3617115683267258</v>
      </c>
      <c r="H1006" s="5">
        <f ca="1">LOOKUP($E1006,frequence!$A$2:$A$35,frequence!M$2:M$35)</f>
        <v>214.81113443396845</v>
      </c>
      <c r="I1006" s="16">
        <v>2005</v>
      </c>
      <c r="J1006" s="7">
        <f>LOOKUP(I1006,CPI!A$69:A$103,CPI!O$69:O$103)</f>
        <v>1.1165181771633383</v>
      </c>
      <c r="K1006" s="16">
        <v>2015</v>
      </c>
      <c r="L1006" s="7">
        <f t="shared" ca="1" si="807"/>
        <v>1</v>
      </c>
      <c r="M1006" s="7">
        <f t="shared" si="871"/>
        <v>0.16800000000000001</v>
      </c>
      <c r="N1006" s="14">
        <f>2/75</f>
        <v>2.6666666666666668E-2</v>
      </c>
      <c r="O1006" s="1">
        <f ca="1">P1006*J1006*(1+Growth!G$6)^(2010-K1006)</f>
        <v>362.52738396690165</v>
      </c>
      <c r="P1006" s="22">
        <v>350</v>
      </c>
      <c r="Q1006" s="2">
        <f t="shared" si="872"/>
        <v>350</v>
      </c>
      <c r="R1006" s="21">
        <f t="shared" ca="1" si="873"/>
        <v>131426.10412588535</v>
      </c>
      <c r="U1006" s="11"/>
      <c r="V1006" s="11"/>
      <c r="W1006" s="11"/>
      <c r="X1006" s="11"/>
      <c r="Y1006" s="11"/>
      <c r="Z1006" s="11"/>
      <c r="AA1006" s="11"/>
      <c r="AB1006" s="11"/>
      <c r="AC1006" s="1">
        <f t="shared" si="874"/>
        <v>6.3</v>
      </c>
      <c r="AD1006" s="5">
        <v>1</v>
      </c>
      <c r="AE1006" s="5">
        <v>0</v>
      </c>
      <c r="AF1006" s="5">
        <v>1</v>
      </c>
      <c r="AG1006" s="5">
        <v>0</v>
      </c>
      <c r="AH1006" s="5">
        <v>1</v>
      </c>
      <c r="AI1006" s="3">
        <f t="shared" si="875"/>
        <v>3.3</v>
      </c>
      <c r="AJ1006" s="5">
        <f t="shared" si="835"/>
        <v>0</v>
      </c>
      <c r="AK1006" s="5">
        <f t="shared" si="808"/>
        <v>0</v>
      </c>
      <c r="AL1006" s="5">
        <f t="shared" si="809"/>
        <v>0</v>
      </c>
      <c r="AM1006" s="5">
        <f t="shared" si="836"/>
        <v>0</v>
      </c>
      <c r="AN1006" s="5">
        <f t="shared" si="810"/>
        <v>1</v>
      </c>
      <c r="AO1006" s="5">
        <f t="shared" si="837"/>
        <v>0</v>
      </c>
      <c r="AP1006" s="11" t="s">
        <v>42</v>
      </c>
      <c r="AQ1006" s="11">
        <v>0.1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1</v>
      </c>
      <c r="AY1006" s="1">
        <f t="shared" si="876"/>
        <v>0</v>
      </c>
      <c r="AZ1006" s="1">
        <f t="shared" si="877"/>
        <v>0</v>
      </c>
      <c r="BA1006" s="1">
        <f t="shared" si="878"/>
        <v>0</v>
      </c>
      <c r="BB1006" s="5">
        <v>0</v>
      </c>
      <c r="BC1006" s="5">
        <v>1</v>
      </c>
      <c r="BD1006" s="5">
        <v>0</v>
      </c>
      <c r="BE1006" s="5">
        <f t="shared" si="879"/>
        <v>0</v>
      </c>
      <c r="BF1006" s="5">
        <v>1</v>
      </c>
      <c r="BG1006" s="5">
        <f t="shared" si="869"/>
        <v>0</v>
      </c>
      <c r="BH1006" s="5">
        <f t="shared" si="869"/>
        <v>0</v>
      </c>
      <c r="BI1006" s="5">
        <f t="shared" si="869"/>
        <v>0</v>
      </c>
      <c r="BJ1006" s="5">
        <f t="shared" si="869"/>
        <v>0</v>
      </c>
      <c r="BK1006" s="5">
        <f t="shared" si="869"/>
        <v>0</v>
      </c>
      <c r="BL1006" s="5">
        <f t="shared" si="869"/>
        <v>0</v>
      </c>
      <c r="BM1006" s="5">
        <f t="shared" si="869"/>
        <v>0</v>
      </c>
      <c r="BN1006" s="5">
        <f t="shared" si="859"/>
        <v>0</v>
      </c>
      <c r="BO1006" s="5">
        <f t="shared" si="859"/>
        <v>0</v>
      </c>
      <c r="BP1006" s="5">
        <f t="shared" si="859"/>
        <v>0</v>
      </c>
      <c r="BQ1006" s="5">
        <f t="shared" si="859"/>
        <v>0</v>
      </c>
      <c r="BR1006" s="5">
        <f t="shared" si="859"/>
        <v>0</v>
      </c>
      <c r="BS1006" s="5">
        <f t="shared" si="859"/>
        <v>0</v>
      </c>
      <c r="BT1006" s="5">
        <f t="shared" si="859"/>
        <v>0</v>
      </c>
      <c r="BU1006" s="5">
        <f t="shared" si="859"/>
        <v>0</v>
      </c>
      <c r="BV1006" s="5">
        <f t="shared" si="859"/>
        <v>0</v>
      </c>
      <c r="BW1006" s="5">
        <f t="shared" si="859"/>
        <v>0</v>
      </c>
      <c r="BX1006" s="5">
        <f t="shared" si="859"/>
        <v>0</v>
      </c>
      <c r="BY1006" s="5">
        <f t="shared" si="859"/>
        <v>0</v>
      </c>
      <c r="BZ1006" s="5">
        <f t="shared" si="859"/>
        <v>0</v>
      </c>
      <c r="CA1006" s="5">
        <f t="shared" si="859"/>
        <v>0</v>
      </c>
      <c r="CB1006" s="5">
        <f t="shared" si="859"/>
        <v>0</v>
      </c>
      <c r="CC1006" s="5">
        <f t="shared" si="870"/>
        <v>1</v>
      </c>
      <c r="CD1006" s="5">
        <f t="shared" si="870"/>
        <v>0</v>
      </c>
      <c r="CE1006" s="5">
        <f t="shared" si="870"/>
        <v>0</v>
      </c>
    </row>
    <row r="1007" spans="1:83" x14ac:dyDescent="0.2">
      <c r="A1007" s="11"/>
      <c r="B1007" s="11"/>
      <c r="C1007" s="1">
        <f>Growth!D1012</f>
        <v>5.3333333333333337E-2</v>
      </c>
      <c r="D1007" s="5" t="b">
        <f t="shared" si="824"/>
        <v>0</v>
      </c>
      <c r="E1007" s="5">
        <v>2013</v>
      </c>
      <c r="F1007" s="5">
        <f ca="1">LOOKUP($E1007,frequence!$A$2:$A$35,frequence!L$2:L$35)</f>
        <v>46.610663652887361</v>
      </c>
      <c r="G1007" s="5">
        <f ca="1">LOOKUP($E1007,frequence!$A$2:$A$35,frequence!K$2:K$35)</f>
        <v>7.3617115683267258</v>
      </c>
      <c r="H1007" s="5">
        <f ca="1">LOOKUP($E1007,frequence!$A$2:$A$35,frequence!M$2:M$35)</f>
        <v>214.81113443396845</v>
      </c>
      <c r="I1007" s="16">
        <v>2005</v>
      </c>
      <c r="J1007" s="7">
        <f>LOOKUP(I1007,CPI!A$69:A$103,CPI!O$69:O$103)</f>
        <v>1.1165181771633383</v>
      </c>
      <c r="K1007" s="16">
        <v>2015</v>
      </c>
      <c r="L1007" s="7">
        <f t="shared" ca="1" si="807"/>
        <v>1</v>
      </c>
      <c r="M1007" s="7">
        <f t="shared" si="871"/>
        <v>0.33600000000000002</v>
      </c>
      <c r="N1007" s="14">
        <f>4/75</f>
        <v>5.3333333333333337E-2</v>
      </c>
      <c r="O1007" s="1">
        <f ca="1">P1007*J1007*(1+Growth!G$6)^(2010-K1007)</f>
        <v>105.65083761321135</v>
      </c>
      <c r="P1007" s="22">
        <v>102</v>
      </c>
      <c r="Q1007" s="2">
        <f t="shared" si="872"/>
        <v>102</v>
      </c>
      <c r="R1007" s="21">
        <f t="shared" ca="1" si="873"/>
        <v>11162.099488373155</v>
      </c>
      <c r="U1007" s="11"/>
      <c r="V1007" s="11"/>
      <c r="W1007" s="11"/>
      <c r="X1007" s="11"/>
      <c r="Y1007" s="11"/>
      <c r="Z1007" s="11"/>
      <c r="AA1007" s="11"/>
      <c r="AB1007" s="11"/>
      <c r="AC1007" s="1">
        <f t="shared" si="874"/>
        <v>6.3</v>
      </c>
      <c r="AD1007" s="5">
        <v>1</v>
      </c>
      <c r="AE1007" s="5">
        <v>0</v>
      </c>
      <c r="AF1007" s="5">
        <v>1</v>
      </c>
      <c r="AG1007" s="5">
        <v>0</v>
      </c>
      <c r="AH1007" s="5">
        <v>1</v>
      </c>
      <c r="AI1007" s="3">
        <f t="shared" si="875"/>
        <v>3.3</v>
      </c>
      <c r="AJ1007" s="5">
        <f t="shared" si="835"/>
        <v>0</v>
      </c>
      <c r="AK1007" s="5">
        <f t="shared" si="808"/>
        <v>0</v>
      </c>
      <c r="AL1007" s="5">
        <f t="shared" si="809"/>
        <v>1</v>
      </c>
      <c r="AM1007" s="5">
        <f t="shared" si="836"/>
        <v>0</v>
      </c>
      <c r="AN1007" s="5">
        <f t="shared" si="810"/>
        <v>0</v>
      </c>
      <c r="AO1007" s="5">
        <f t="shared" si="837"/>
        <v>0</v>
      </c>
      <c r="AP1007" s="11" t="s">
        <v>42</v>
      </c>
      <c r="AQ1007" s="11">
        <v>1.5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1</v>
      </c>
      <c r="AY1007" s="1">
        <f t="shared" si="876"/>
        <v>0</v>
      </c>
      <c r="AZ1007" s="1">
        <f t="shared" si="877"/>
        <v>0</v>
      </c>
      <c r="BA1007" s="1">
        <f t="shared" si="878"/>
        <v>0</v>
      </c>
      <c r="BB1007" s="5">
        <v>0</v>
      </c>
      <c r="BC1007" s="5">
        <v>1</v>
      </c>
      <c r="BD1007" s="5">
        <v>0</v>
      </c>
      <c r="BE1007" s="5">
        <f t="shared" si="879"/>
        <v>0</v>
      </c>
      <c r="BF1007" s="5">
        <v>0</v>
      </c>
      <c r="BG1007" s="5">
        <f t="shared" si="869"/>
        <v>0</v>
      </c>
      <c r="BH1007" s="5">
        <f t="shared" si="869"/>
        <v>0</v>
      </c>
      <c r="BI1007" s="5">
        <f t="shared" si="869"/>
        <v>0</v>
      </c>
      <c r="BJ1007" s="5">
        <f t="shared" si="869"/>
        <v>0</v>
      </c>
      <c r="BK1007" s="5">
        <f t="shared" si="869"/>
        <v>0</v>
      </c>
      <c r="BL1007" s="5">
        <f t="shared" si="869"/>
        <v>0</v>
      </c>
      <c r="BM1007" s="5">
        <f t="shared" si="869"/>
        <v>0</v>
      </c>
      <c r="BN1007" s="5">
        <f t="shared" si="859"/>
        <v>0</v>
      </c>
      <c r="BO1007" s="5">
        <f t="shared" si="859"/>
        <v>0</v>
      </c>
      <c r="BP1007" s="5">
        <f t="shared" si="859"/>
        <v>0</v>
      </c>
      <c r="BQ1007" s="5">
        <f t="shared" si="859"/>
        <v>0</v>
      </c>
      <c r="BR1007" s="5">
        <f t="shared" si="859"/>
        <v>0</v>
      </c>
      <c r="BS1007" s="5">
        <f t="shared" si="859"/>
        <v>0</v>
      </c>
      <c r="BT1007" s="5">
        <f t="shared" si="859"/>
        <v>0</v>
      </c>
      <c r="BU1007" s="5">
        <f t="shared" si="859"/>
        <v>0</v>
      </c>
      <c r="BV1007" s="5">
        <f t="shared" si="859"/>
        <v>0</v>
      </c>
      <c r="BW1007" s="5">
        <f t="shared" si="859"/>
        <v>0</v>
      </c>
      <c r="BX1007" s="5">
        <f t="shared" si="859"/>
        <v>0</v>
      </c>
      <c r="BY1007" s="5">
        <f t="shared" si="859"/>
        <v>0</v>
      </c>
      <c r="BZ1007" s="5">
        <f t="shared" si="859"/>
        <v>0</v>
      </c>
      <c r="CA1007" s="5">
        <f t="shared" si="859"/>
        <v>0</v>
      </c>
      <c r="CB1007" s="5">
        <f t="shared" si="859"/>
        <v>0</v>
      </c>
      <c r="CC1007" s="5">
        <f t="shared" si="870"/>
        <v>1</v>
      </c>
      <c r="CD1007" s="5">
        <f t="shared" si="870"/>
        <v>0</v>
      </c>
      <c r="CE1007" s="5">
        <f t="shared" si="870"/>
        <v>0</v>
      </c>
    </row>
    <row r="1008" spans="1:83" x14ac:dyDescent="0.2">
      <c r="A1008" s="11"/>
      <c r="B1008" s="11"/>
      <c r="C1008" s="1">
        <f>Growth!D1013</f>
        <v>5.3333333333333337E-2</v>
      </c>
      <c r="D1008" s="5" t="b">
        <f t="shared" si="824"/>
        <v>0</v>
      </c>
      <c r="E1008" s="5">
        <v>2013</v>
      </c>
      <c r="F1008" s="5">
        <f ca="1">LOOKUP($E1008,frequence!$A$2:$A$35,frequence!L$2:L$35)</f>
        <v>46.610663652887361</v>
      </c>
      <c r="G1008" s="5">
        <f ca="1">LOOKUP($E1008,frequence!$A$2:$A$35,frequence!K$2:K$35)</f>
        <v>7.3617115683267258</v>
      </c>
      <c r="H1008" s="5">
        <f ca="1">LOOKUP($E1008,frequence!$A$2:$A$35,frequence!M$2:M$35)</f>
        <v>214.81113443396845</v>
      </c>
      <c r="I1008" s="16">
        <v>2005</v>
      </c>
      <c r="J1008" s="7">
        <f>LOOKUP(I1008,CPI!A$69:A$103,CPI!O$69:O$103)</f>
        <v>1.1165181771633383</v>
      </c>
      <c r="K1008" s="16">
        <v>2015</v>
      </c>
      <c r="L1008" s="7">
        <f t="shared" ca="1" si="807"/>
        <v>1</v>
      </c>
      <c r="M1008" s="7">
        <f t="shared" si="871"/>
        <v>0.33600000000000002</v>
      </c>
      <c r="N1008" s="14">
        <f>4/75</f>
        <v>5.3333333333333337E-2</v>
      </c>
      <c r="O1008" s="1">
        <f ca="1">P1008*J1008*(1+Growth!G$6)^(2010-K1008)</f>
        <v>45.574871127267635</v>
      </c>
      <c r="P1008" s="22">
        <v>44</v>
      </c>
      <c r="Q1008" s="2">
        <f t="shared" si="872"/>
        <v>44</v>
      </c>
      <c r="R1008" s="21">
        <f t="shared" ca="1" si="873"/>
        <v>2077.0688782670532</v>
      </c>
      <c r="U1008" s="11"/>
      <c r="V1008" s="11"/>
      <c r="W1008" s="11"/>
      <c r="X1008" s="11"/>
      <c r="Y1008" s="11"/>
      <c r="Z1008" s="11"/>
      <c r="AA1008" s="11"/>
      <c r="AB1008" s="11"/>
      <c r="AC1008" s="1">
        <f t="shared" si="874"/>
        <v>6.3</v>
      </c>
      <c r="AD1008" s="5">
        <v>1</v>
      </c>
      <c r="AE1008" s="5">
        <v>0</v>
      </c>
      <c r="AF1008" s="5">
        <v>1</v>
      </c>
      <c r="AG1008" s="5">
        <v>0</v>
      </c>
      <c r="AH1008" s="5">
        <v>1</v>
      </c>
      <c r="AI1008" s="3">
        <f t="shared" si="875"/>
        <v>3.3</v>
      </c>
      <c r="AJ1008" s="5">
        <f t="shared" si="835"/>
        <v>0</v>
      </c>
      <c r="AK1008" s="5">
        <f t="shared" si="808"/>
        <v>0</v>
      </c>
      <c r="AL1008" s="5">
        <f t="shared" si="809"/>
        <v>1</v>
      </c>
      <c r="AM1008" s="5">
        <f t="shared" si="836"/>
        <v>0</v>
      </c>
      <c r="AN1008" s="5">
        <f t="shared" si="810"/>
        <v>0</v>
      </c>
      <c r="AO1008" s="5">
        <f t="shared" si="837"/>
        <v>0</v>
      </c>
      <c r="AP1008" s="11" t="s">
        <v>42</v>
      </c>
      <c r="AQ1008" s="11">
        <v>1.5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1</v>
      </c>
      <c r="AY1008" s="1">
        <f t="shared" si="876"/>
        <v>0</v>
      </c>
      <c r="AZ1008" s="1">
        <f t="shared" si="877"/>
        <v>0</v>
      </c>
      <c r="BA1008" s="1">
        <f t="shared" si="878"/>
        <v>0</v>
      </c>
      <c r="BB1008" s="5">
        <v>0</v>
      </c>
      <c r="BC1008" s="5">
        <v>1</v>
      </c>
      <c r="BD1008" s="5">
        <v>0</v>
      </c>
      <c r="BE1008" s="5">
        <f t="shared" si="879"/>
        <v>0</v>
      </c>
      <c r="BF1008" s="5">
        <v>0</v>
      </c>
      <c r="BG1008" s="5">
        <f t="shared" si="869"/>
        <v>0</v>
      </c>
      <c r="BH1008" s="5">
        <f t="shared" si="869"/>
        <v>0</v>
      </c>
      <c r="BI1008" s="5">
        <f t="shared" si="869"/>
        <v>0</v>
      </c>
      <c r="BJ1008" s="5">
        <f t="shared" si="869"/>
        <v>0</v>
      </c>
      <c r="BK1008" s="5">
        <f t="shared" si="869"/>
        <v>0</v>
      </c>
      <c r="BL1008" s="5">
        <f t="shared" si="869"/>
        <v>0</v>
      </c>
      <c r="BM1008" s="5">
        <f t="shared" si="869"/>
        <v>0</v>
      </c>
      <c r="BN1008" s="5">
        <f t="shared" si="859"/>
        <v>0</v>
      </c>
      <c r="BO1008" s="5">
        <f t="shared" si="859"/>
        <v>0</v>
      </c>
      <c r="BP1008" s="5">
        <f t="shared" si="859"/>
        <v>0</v>
      </c>
      <c r="BQ1008" s="5">
        <f t="shared" si="859"/>
        <v>0</v>
      </c>
      <c r="BR1008" s="5">
        <f t="shared" si="859"/>
        <v>0</v>
      </c>
      <c r="BS1008" s="5">
        <f t="shared" si="859"/>
        <v>0</v>
      </c>
      <c r="BT1008" s="5">
        <f t="shared" si="859"/>
        <v>0</v>
      </c>
      <c r="BU1008" s="5">
        <f t="shared" si="859"/>
        <v>0</v>
      </c>
      <c r="BV1008" s="5">
        <f t="shared" si="859"/>
        <v>0</v>
      </c>
      <c r="BW1008" s="5">
        <f t="shared" si="859"/>
        <v>0</v>
      </c>
      <c r="BX1008" s="5">
        <f t="shared" si="859"/>
        <v>0</v>
      </c>
      <c r="BY1008" s="5">
        <f t="shared" si="859"/>
        <v>0</v>
      </c>
      <c r="BZ1008" s="5">
        <f t="shared" si="859"/>
        <v>0</v>
      </c>
      <c r="CA1008" s="5">
        <f t="shared" si="859"/>
        <v>0</v>
      </c>
      <c r="CB1008" s="5">
        <f t="shared" si="859"/>
        <v>0</v>
      </c>
      <c r="CC1008" s="5">
        <f t="shared" si="870"/>
        <v>1</v>
      </c>
      <c r="CD1008" s="5">
        <f t="shared" si="870"/>
        <v>0</v>
      </c>
      <c r="CE1008" s="5">
        <f t="shared" si="870"/>
        <v>0</v>
      </c>
    </row>
    <row r="1009" spans="1:83" x14ac:dyDescent="0.2">
      <c r="A1009" s="11"/>
      <c r="B1009" s="11"/>
      <c r="C1009" s="1">
        <f>Growth!D1014</f>
        <v>2.6666666666666668E-2</v>
      </c>
      <c r="D1009" s="5" t="b">
        <f t="shared" si="824"/>
        <v>0</v>
      </c>
      <c r="E1009" s="5">
        <v>2013</v>
      </c>
      <c r="F1009" s="5">
        <f ca="1">LOOKUP($E1009,frequence!$A$2:$A$35,frequence!L$2:L$35)</f>
        <v>46.610663652887361</v>
      </c>
      <c r="G1009" s="5">
        <f ca="1">LOOKUP($E1009,frequence!$A$2:$A$35,frequence!K$2:K$35)</f>
        <v>7.3617115683267258</v>
      </c>
      <c r="H1009" s="5">
        <f ca="1">LOOKUP($E1009,frequence!$A$2:$A$35,frequence!M$2:M$35)</f>
        <v>214.81113443396845</v>
      </c>
      <c r="I1009" s="16">
        <v>2005</v>
      </c>
      <c r="J1009" s="7">
        <f>LOOKUP(I1009,CPI!A$69:A$103,CPI!O$69:O$103)</f>
        <v>1.1165181771633383</v>
      </c>
      <c r="K1009" s="16">
        <v>2015</v>
      </c>
      <c r="L1009" s="7">
        <f t="shared" ca="1" si="807"/>
        <v>1</v>
      </c>
      <c r="M1009" s="7">
        <f t="shared" si="871"/>
        <v>0.16800000000000001</v>
      </c>
      <c r="N1009" s="14">
        <f>2/75</f>
        <v>2.6666666666666668E-2</v>
      </c>
      <c r="O1009" s="1">
        <f ca="1">P1009*J1009*(1+Growth!G$6)^(2010-K1009)</f>
        <v>108.7582151900705</v>
      </c>
      <c r="P1009" s="22">
        <v>105</v>
      </c>
      <c r="Q1009" s="2">
        <f t="shared" si="872"/>
        <v>105</v>
      </c>
      <c r="R1009" s="21">
        <f t="shared" ca="1" si="873"/>
        <v>11828.349371329681</v>
      </c>
      <c r="U1009" s="11"/>
      <c r="V1009" s="11"/>
      <c r="W1009" s="11"/>
      <c r="X1009" s="11"/>
      <c r="Y1009" s="11"/>
      <c r="Z1009" s="11"/>
      <c r="AA1009" s="11"/>
      <c r="AB1009" s="11"/>
      <c r="AC1009" s="1">
        <f t="shared" si="874"/>
        <v>6.3</v>
      </c>
      <c r="AD1009" s="5">
        <v>1</v>
      </c>
      <c r="AE1009" s="5">
        <v>0</v>
      </c>
      <c r="AF1009" s="5">
        <v>1</v>
      </c>
      <c r="AG1009" s="5">
        <v>0</v>
      </c>
      <c r="AH1009" s="5">
        <v>1</v>
      </c>
      <c r="AI1009" s="3">
        <f t="shared" si="875"/>
        <v>3.3</v>
      </c>
      <c r="AJ1009" s="5">
        <f t="shared" si="835"/>
        <v>0</v>
      </c>
      <c r="AK1009" s="5">
        <f t="shared" si="808"/>
        <v>0</v>
      </c>
      <c r="AL1009" s="5">
        <f t="shared" si="809"/>
        <v>1</v>
      </c>
      <c r="AM1009" s="5">
        <f t="shared" si="836"/>
        <v>0</v>
      </c>
      <c r="AN1009" s="5">
        <f t="shared" si="810"/>
        <v>0</v>
      </c>
      <c r="AO1009" s="5">
        <f t="shared" si="837"/>
        <v>0</v>
      </c>
      <c r="AP1009" s="11" t="s">
        <v>42</v>
      </c>
      <c r="AQ1009" s="11">
        <v>1.5</v>
      </c>
      <c r="AR1009" s="5">
        <v>0</v>
      </c>
      <c r="AS1009" s="5">
        <v>0</v>
      </c>
      <c r="AT1009" s="5">
        <v>0</v>
      </c>
      <c r="AU1009" s="5">
        <v>0</v>
      </c>
      <c r="AV1009" s="5">
        <v>0</v>
      </c>
      <c r="AW1009" s="5">
        <v>0</v>
      </c>
      <c r="AX1009" s="5">
        <v>1</v>
      </c>
      <c r="AY1009" s="1">
        <f t="shared" si="876"/>
        <v>0</v>
      </c>
      <c r="AZ1009" s="1">
        <f t="shared" si="877"/>
        <v>0</v>
      </c>
      <c r="BA1009" s="1">
        <f t="shared" si="878"/>
        <v>0</v>
      </c>
      <c r="BB1009" s="5">
        <v>0</v>
      </c>
      <c r="BC1009" s="5">
        <v>1</v>
      </c>
      <c r="BD1009" s="5">
        <v>0</v>
      </c>
      <c r="BE1009" s="5">
        <f t="shared" si="879"/>
        <v>0</v>
      </c>
      <c r="BF1009" s="5">
        <v>0</v>
      </c>
      <c r="BG1009" s="5">
        <f t="shared" si="869"/>
        <v>0</v>
      </c>
      <c r="BH1009" s="5">
        <f t="shared" si="869"/>
        <v>0</v>
      </c>
      <c r="BI1009" s="5">
        <f t="shared" si="869"/>
        <v>0</v>
      </c>
      <c r="BJ1009" s="5">
        <f t="shared" si="869"/>
        <v>0</v>
      </c>
      <c r="BK1009" s="5">
        <f t="shared" si="869"/>
        <v>0</v>
      </c>
      <c r="BL1009" s="5">
        <f t="shared" si="869"/>
        <v>0</v>
      </c>
      <c r="BM1009" s="5">
        <f t="shared" si="869"/>
        <v>0</v>
      </c>
      <c r="BN1009" s="5">
        <f t="shared" si="859"/>
        <v>0</v>
      </c>
      <c r="BO1009" s="5">
        <f t="shared" si="859"/>
        <v>0</v>
      </c>
      <c r="BP1009" s="5">
        <f t="shared" si="859"/>
        <v>0</v>
      </c>
      <c r="BQ1009" s="5">
        <f t="shared" si="859"/>
        <v>0</v>
      </c>
      <c r="BR1009" s="5">
        <f t="shared" si="859"/>
        <v>0</v>
      </c>
      <c r="BS1009" s="5">
        <f t="shared" si="859"/>
        <v>0</v>
      </c>
      <c r="BT1009" s="5">
        <f t="shared" si="859"/>
        <v>0</v>
      </c>
      <c r="BU1009" s="5">
        <f t="shared" si="859"/>
        <v>0</v>
      </c>
      <c r="BV1009" s="5">
        <f t="shared" si="859"/>
        <v>0</v>
      </c>
      <c r="BW1009" s="5">
        <f t="shared" si="859"/>
        <v>0</v>
      </c>
      <c r="BX1009" s="5">
        <f t="shared" si="859"/>
        <v>0</v>
      </c>
      <c r="BY1009" s="5">
        <f t="shared" si="859"/>
        <v>0</v>
      </c>
      <c r="BZ1009" s="5">
        <f t="shared" si="859"/>
        <v>0</v>
      </c>
      <c r="CA1009" s="5">
        <f t="shared" si="859"/>
        <v>0</v>
      </c>
      <c r="CB1009" s="5">
        <f t="shared" si="859"/>
        <v>0</v>
      </c>
      <c r="CC1009" s="5">
        <f t="shared" si="870"/>
        <v>1</v>
      </c>
      <c r="CD1009" s="5">
        <f t="shared" si="870"/>
        <v>0</v>
      </c>
      <c r="CE1009" s="5">
        <f t="shared" si="870"/>
        <v>0</v>
      </c>
    </row>
    <row r="1010" spans="1:83" x14ac:dyDescent="0.2">
      <c r="A1010" s="11"/>
      <c r="B1010" s="11"/>
      <c r="C1010" s="1">
        <f>Growth!D1015</f>
        <v>2.6666666666666668E-2</v>
      </c>
      <c r="D1010" s="5" t="b">
        <f t="shared" si="824"/>
        <v>0</v>
      </c>
      <c r="E1010" s="5">
        <v>2013</v>
      </c>
      <c r="F1010" s="5">
        <f ca="1">LOOKUP($E1010,frequence!$A$2:$A$35,frequence!L$2:L$35)</f>
        <v>46.610663652887361</v>
      </c>
      <c r="G1010" s="5">
        <f ca="1">LOOKUP($E1010,frequence!$A$2:$A$35,frequence!K$2:K$35)</f>
        <v>7.3617115683267258</v>
      </c>
      <c r="H1010" s="5">
        <f ca="1">LOOKUP($E1010,frequence!$A$2:$A$35,frequence!M$2:M$35)</f>
        <v>214.81113443396845</v>
      </c>
      <c r="I1010" s="16">
        <v>2005</v>
      </c>
      <c r="J1010" s="7">
        <f>LOOKUP(I1010,CPI!A$69:A$103,CPI!O$69:O$103)</f>
        <v>1.1165181771633383</v>
      </c>
      <c r="K1010" s="16">
        <v>2015</v>
      </c>
      <c r="L1010" s="7">
        <f t="shared" ca="1" si="807"/>
        <v>1</v>
      </c>
      <c r="M1010" s="7">
        <f t="shared" si="871"/>
        <v>0.16800000000000001</v>
      </c>
      <c r="N1010" s="14">
        <f>2/75</f>
        <v>2.6666666666666668E-2</v>
      </c>
      <c r="O1010" s="1">
        <f ca="1">P1010*J1010*(1+Growth!G$6)^(2010-K1010)</f>
        <v>570.72168161646528</v>
      </c>
      <c r="P1010" s="22">
        <v>551</v>
      </c>
      <c r="Q1010" s="2">
        <f t="shared" si="872"/>
        <v>551</v>
      </c>
      <c r="R1010" s="21">
        <f t="shared" ca="1" si="873"/>
        <v>325723.23786712595</v>
      </c>
      <c r="U1010" s="11"/>
      <c r="V1010" s="11"/>
      <c r="W1010" s="11"/>
      <c r="X1010" s="11"/>
      <c r="Y1010" s="11"/>
      <c r="Z1010" s="11"/>
      <c r="AA1010" s="11"/>
      <c r="AB1010" s="11"/>
      <c r="AC1010" s="1">
        <f t="shared" si="874"/>
        <v>6.3</v>
      </c>
      <c r="AD1010" s="5">
        <v>1</v>
      </c>
      <c r="AE1010" s="5">
        <v>0</v>
      </c>
      <c r="AF1010" s="5">
        <v>1</v>
      </c>
      <c r="AG1010" s="5">
        <v>0</v>
      </c>
      <c r="AH1010" s="5">
        <v>1</v>
      </c>
      <c r="AI1010" s="3">
        <f t="shared" si="875"/>
        <v>3.3</v>
      </c>
      <c r="AJ1010" s="5">
        <f t="shared" si="835"/>
        <v>0</v>
      </c>
      <c r="AK1010" s="5">
        <f t="shared" si="808"/>
        <v>0</v>
      </c>
      <c r="AL1010" s="5">
        <f t="shared" si="809"/>
        <v>1</v>
      </c>
      <c r="AM1010" s="5">
        <f t="shared" si="836"/>
        <v>0</v>
      </c>
      <c r="AN1010" s="5">
        <f t="shared" si="810"/>
        <v>0</v>
      </c>
      <c r="AO1010" s="5">
        <f t="shared" si="837"/>
        <v>0</v>
      </c>
      <c r="AP1010" s="11" t="s">
        <v>42</v>
      </c>
      <c r="AQ1010" s="11">
        <v>1.5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1</v>
      </c>
      <c r="AY1010" s="1">
        <f t="shared" si="876"/>
        <v>0</v>
      </c>
      <c r="AZ1010" s="1">
        <f t="shared" si="877"/>
        <v>0</v>
      </c>
      <c r="BA1010" s="1">
        <f t="shared" si="878"/>
        <v>0</v>
      </c>
      <c r="BB1010" s="5">
        <v>0</v>
      </c>
      <c r="BC1010" s="5">
        <v>1</v>
      </c>
      <c r="BD1010" s="5">
        <v>0</v>
      </c>
      <c r="BE1010" s="5">
        <f t="shared" si="879"/>
        <v>0</v>
      </c>
      <c r="BF1010" s="5">
        <v>0</v>
      </c>
      <c r="BG1010" s="5">
        <f t="shared" si="869"/>
        <v>0</v>
      </c>
      <c r="BH1010" s="5">
        <f t="shared" si="869"/>
        <v>0</v>
      </c>
      <c r="BI1010" s="5">
        <f t="shared" si="869"/>
        <v>0</v>
      </c>
      <c r="BJ1010" s="5">
        <f t="shared" si="869"/>
        <v>0</v>
      </c>
      <c r="BK1010" s="5">
        <f t="shared" si="869"/>
        <v>0</v>
      </c>
      <c r="BL1010" s="5">
        <f t="shared" si="869"/>
        <v>0</v>
      </c>
      <c r="BM1010" s="5">
        <f t="shared" si="869"/>
        <v>0</v>
      </c>
      <c r="BN1010" s="5">
        <f t="shared" si="859"/>
        <v>0</v>
      </c>
      <c r="BO1010" s="5">
        <f t="shared" si="859"/>
        <v>0</v>
      </c>
      <c r="BP1010" s="5">
        <f t="shared" si="859"/>
        <v>0</v>
      </c>
      <c r="BQ1010" s="5">
        <f t="shared" si="859"/>
        <v>0</v>
      </c>
      <c r="BR1010" s="5">
        <f t="shared" si="859"/>
        <v>0</v>
      </c>
      <c r="BS1010" s="5">
        <f t="shared" si="859"/>
        <v>0</v>
      </c>
      <c r="BT1010" s="5">
        <f t="shared" si="859"/>
        <v>0</v>
      </c>
      <c r="BU1010" s="5">
        <f t="shared" si="859"/>
        <v>0</v>
      </c>
      <c r="BV1010" s="5">
        <f t="shared" si="859"/>
        <v>0</v>
      </c>
      <c r="BW1010" s="5">
        <f t="shared" si="859"/>
        <v>0</v>
      </c>
      <c r="BX1010" s="5">
        <f t="shared" si="859"/>
        <v>0</v>
      </c>
      <c r="BY1010" s="5">
        <f t="shared" si="859"/>
        <v>0</v>
      </c>
      <c r="BZ1010" s="5">
        <f t="shared" si="859"/>
        <v>0</v>
      </c>
      <c r="CA1010" s="5">
        <f t="shared" si="859"/>
        <v>0</v>
      </c>
      <c r="CB1010" s="5">
        <f t="shared" si="859"/>
        <v>0</v>
      </c>
      <c r="CC1010" s="5">
        <f t="shared" si="870"/>
        <v>1</v>
      </c>
      <c r="CD1010" s="5">
        <f t="shared" si="870"/>
        <v>0</v>
      </c>
      <c r="CE1010" s="5">
        <f t="shared" si="870"/>
        <v>0</v>
      </c>
    </row>
    <row r="1011" spans="1:83" x14ac:dyDescent="0.2">
      <c r="A1011" s="11"/>
      <c r="B1011" s="11"/>
      <c r="C1011" s="1">
        <f>Growth!D1016</f>
        <v>1.3333333333333334E-2</v>
      </c>
      <c r="D1011" s="5" t="b">
        <f t="shared" si="824"/>
        <v>0</v>
      </c>
      <c r="E1011" s="5">
        <v>2013</v>
      </c>
      <c r="F1011" s="5">
        <f ca="1">LOOKUP($E1011,frequence!$A$2:$A$35,frequence!L$2:L$35)</f>
        <v>46.610663652887361</v>
      </c>
      <c r="G1011" s="5">
        <f ca="1">LOOKUP($E1011,frequence!$A$2:$A$35,frequence!K$2:K$35)</f>
        <v>7.3617115683267258</v>
      </c>
      <c r="H1011" s="5">
        <f ca="1">LOOKUP($E1011,frequence!$A$2:$A$35,frequence!M$2:M$35)</f>
        <v>214.81113443396845</v>
      </c>
      <c r="I1011" s="16">
        <v>2005</v>
      </c>
      <c r="J1011" s="7">
        <f>LOOKUP(I1011,CPI!A$69:A$103,CPI!O$69:O$103)</f>
        <v>1.1165181771633383</v>
      </c>
      <c r="K1011" s="16">
        <v>2015</v>
      </c>
      <c r="L1011" s="7">
        <f t="shared" ca="1" si="807"/>
        <v>0.35970686715258737</v>
      </c>
      <c r="M1011" s="7">
        <f t="shared" si="871"/>
        <v>8.4000000000000005E-2</v>
      </c>
      <c r="N1011" s="14">
        <f>1/75</f>
        <v>1.3333333333333334E-2</v>
      </c>
      <c r="O1011" s="1">
        <f ca="1">P1011*J1011*(1+Growth!G$6)^(2010-K1011)</f>
        <v>5282.5418806605676</v>
      </c>
      <c r="P1011" s="22">
        <v>5100</v>
      </c>
      <c r="Q1011" s="2">
        <f t="shared" si="872"/>
        <v>5100</v>
      </c>
      <c r="R1011" s="21">
        <f t="shared" ca="1" si="873"/>
        <v>27905248.720932886</v>
      </c>
      <c r="U1011" s="11"/>
      <c r="V1011" s="11"/>
      <c r="W1011" s="11"/>
      <c r="X1011" s="11"/>
      <c r="Y1011" s="11"/>
      <c r="Z1011" s="11"/>
      <c r="AA1011" s="11"/>
      <c r="AB1011" s="11"/>
      <c r="AC1011" s="1">
        <f t="shared" si="874"/>
        <v>6.3</v>
      </c>
      <c r="AD1011" s="5">
        <v>1</v>
      </c>
      <c r="AE1011" s="5">
        <v>0</v>
      </c>
      <c r="AF1011" s="5">
        <v>1</v>
      </c>
      <c r="AG1011" s="5">
        <v>0</v>
      </c>
      <c r="AH1011" s="5">
        <v>1</v>
      </c>
      <c r="AI1011" s="3">
        <f t="shared" si="875"/>
        <v>3.3</v>
      </c>
      <c r="AJ1011" s="5">
        <f t="shared" si="835"/>
        <v>0</v>
      </c>
      <c r="AK1011" s="5">
        <f t="shared" si="808"/>
        <v>0</v>
      </c>
      <c r="AL1011" s="5">
        <f t="shared" si="809"/>
        <v>1</v>
      </c>
      <c r="AM1011" s="5">
        <f t="shared" si="836"/>
        <v>0</v>
      </c>
      <c r="AN1011" s="5">
        <f t="shared" si="810"/>
        <v>0</v>
      </c>
      <c r="AO1011" s="5">
        <f t="shared" si="837"/>
        <v>0</v>
      </c>
      <c r="AP1011" s="11" t="s">
        <v>42</v>
      </c>
      <c r="AQ1011" s="11">
        <v>1.5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1</v>
      </c>
      <c r="AY1011" s="1">
        <f t="shared" si="876"/>
        <v>0</v>
      </c>
      <c r="AZ1011" s="1">
        <f t="shared" si="877"/>
        <v>0</v>
      </c>
      <c r="BA1011" s="1">
        <f t="shared" si="878"/>
        <v>0</v>
      </c>
      <c r="BB1011" s="5">
        <v>0</v>
      </c>
      <c r="BC1011" s="5">
        <v>1</v>
      </c>
      <c r="BD1011" s="5">
        <v>0</v>
      </c>
      <c r="BE1011" s="5">
        <f t="shared" si="879"/>
        <v>0</v>
      </c>
      <c r="BF1011" s="5">
        <v>0</v>
      </c>
      <c r="BG1011" s="5">
        <f t="shared" si="869"/>
        <v>0</v>
      </c>
      <c r="BH1011" s="5">
        <f t="shared" si="869"/>
        <v>0</v>
      </c>
      <c r="BI1011" s="5">
        <f t="shared" si="869"/>
        <v>0</v>
      </c>
      <c r="BJ1011" s="5">
        <f t="shared" si="869"/>
        <v>0</v>
      </c>
      <c r="BK1011" s="5">
        <f t="shared" si="869"/>
        <v>0</v>
      </c>
      <c r="BL1011" s="5">
        <f t="shared" si="869"/>
        <v>0</v>
      </c>
      <c r="BM1011" s="5">
        <f t="shared" si="869"/>
        <v>0</v>
      </c>
      <c r="BN1011" s="5">
        <f t="shared" si="859"/>
        <v>0</v>
      </c>
      <c r="BO1011" s="5">
        <f t="shared" si="859"/>
        <v>0</v>
      </c>
      <c r="BP1011" s="5">
        <f t="shared" si="859"/>
        <v>0</v>
      </c>
      <c r="BQ1011" s="5">
        <f t="shared" si="859"/>
        <v>0</v>
      </c>
      <c r="BR1011" s="5">
        <f t="shared" si="859"/>
        <v>0</v>
      </c>
      <c r="BS1011" s="5">
        <f t="shared" si="859"/>
        <v>0</v>
      </c>
      <c r="BT1011" s="5">
        <f t="shared" si="859"/>
        <v>0</v>
      </c>
      <c r="BU1011" s="5">
        <f t="shared" si="859"/>
        <v>0</v>
      </c>
      <c r="BV1011" s="5">
        <f t="shared" si="859"/>
        <v>0</v>
      </c>
      <c r="BW1011" s="5">
        <f t="shared" si="859"/>
        <v>0</v>
      </c>
      <c r="BX1011" s="5">
        <f t="shared" si="859"/>
        <v>0</v>
      </c>
      <c r="BY1011" s="5">
        <f t="shared" si="859"/>
        <v>0</v>
      </c>
      <c r="BZ1011" s="5">
        <f t="shared" si="859"/>
        <v>0</v>
      </c>
      <c r="CA1011" s="5">
        <f t="shared" si="859"/>
        <v>0</v>
      </c>
      <c r="CB1011" s="5">
        <f t="shared" si="859"/>
        <v>0</v>
      </c>
      <c r="CC1011" s="5">
        <f t="shared" si="870"/>
        <v>1</v>
      </c>
      <c r="CD1011" s="5">
        <f t="shared" si="870"/>
        <v>0</v>
      </c>
      <c r="CE1011" s="5">
        <f t="shared" si="870"/>
        <v>0</v>
      </c>
    </row>
    <row r="1012" spans="1:83" x14ac:dyDescent="0.2">
      <c r="A1012" s="11" t="s">
        <v>212</v>
      </c>
      <c r="B1012" s="11" t="s">
        <v>197</v>
      </c>
      <c r="C1012" s="1">
        <f>Growth!D1017</f>
        <v>2.8571428571428571E-2</v>
      </c>
      <c r="D1012" s="5">
        <f t="shared" si="824"/>
        <v>2014</v>
      </c>
      <c r="E1012" s="5">
        <v>2014</v>
      </c>
      <c r="F1012" s="5">
        <f ca="1">LOOKUP($E1012,frequence!$A$2:$A$35,frequence!L$2:L$35)</f>
        <v>50.75383375536623</v>
      </c>
      <c r="G1012" s="5">
        <f ca="1">LOOKUP($E1012,frequence!$A$2:$A$35,frequence!K$2:K$35)</f>
        <v>9.9751715831189358</v>
      </c>
      <c r="H1012" s="5">
        <f ca="1">LOOKUP($E1012,frequence!$A$2:$A$35,frequence!M$2:M$35)</f>
        <v>236.05429056976001</v>
      </c>
      <c r="I1012" s="16">
        <v>2007</v>
      </c>
      <c r="J1012" s="7">
        <f>LOOKUP(I1012,CPI!A$69:A$103,CPI!O$69:O$103)</f>
        <v>1.0516730811895323</v>
      </c>
      <c r="K1012" s="16">
        <v>2015</v>
      </c>
      <c r="L1012" s="7">
        <f t="shared" ca="1" si="807"/>
        <v>1</v>
      </c>
      <c r="M1012" s="7">
        <f t="shared" si="871"/>
        <v>0.21142857142857144</v>
      </c>
      <c r="N1012" s="14">
        <f>1/35</f>
        <v>2.8571428571428571E-2</v>
      </c>
      <c r="O1012" s="1">
        <f ca="1">P1012*J1012*(1+Growth!G$6)^(2010-K1012)</f>
        <v>50.08263828046384</v>
      </c>
      <c r="P1012" s="40">
        <f>14*44/12</f>
        <v>51.333333333333336</v>
      </c>
      <c r="Q1012" s="2">
        <f t="shared" ref="Q1012:Q1046" si="880">P1012</f>
        <v>51.333333333333336</v>
      </c>
      <c r="R1012" s="21">
        <f t="shared" ref="R1012:R1046" ca="1" si="881">O1012*O1012</f>
        <v>2508.2706571317822</v>
      </c>
      <c r="U1012" s="11"/>
      <c r="V1012" s="11"/>
      <c r="W1012" s="11"/>
      <c r="X1012" s="11"/>
      <c r="Y1012" s="11"/>
      <c r="Z1012" s="11"/>
      <c r="AA1012" s="11"/>
      <c r="AB1012" s="11"/>
      <c r="AC1012" s="1">
        <f t="shared" ref="AC1012" si="882">SUM(AD1012:AI1012)</f>
        <v>7.4</v>
      </c>
      <c r="AD1012" s="5">
        <v>1</v>
      </c>
      <c r="AE1012" s="5">
        <v>0</v>
      </c>
      <c r="AF1012" s="5">
        <v>1</v>
      </c>
      <c r="AG1012" s="5">
        <v>1</v>
      </c>
      <c r="AH1012" s="5">
        <v>1</v>
      </c>
      <c r="AI1012" s="3">
        <f t="shared" si="875"/>
        <v>3.4</v>
      </c>
      <c r="AJ1012" s="5">
        <f t="shared" si="835"/>
        <v>0</v>
      </c>
      <c r="AK1012" s="5">
        <f t="shared" si="808"/>
        <v>0</v>
      </c>
      <c r="AL1012" s="5">
        <f t="shared" si="809"/>
        <v>0</v>
      </c>
      <c r="AM1012" s="5">
        <f t="shared" si="836"/>
        <v>1</v>
      </c>
      <c r="AN1012" s="5">
        <f t="shared" si="810"/>
        <v>0</v>
      </c>
      <c r="AO1012" s="5">
        <f t="shared" si="837"/>
        <v>0</v>
      </c>
      <c r="AP1012" s="11" t="s">
        <v>42</v>
      </c>
      <c r="AQ1012" s="11">
        <v>1</v>
      </c>
      <c r="AR1012" s="5">
        <v>0</v>
      </c>
      <c r="AS1012" s="5">
        <v>0</v>
      </c>
      <c r="AT1012" s="5">
        <v>1</v>
      </c>
      <c r="AU1012" s="5">
        <v>1</v>
      </c>
      <c r="AV1012" s="5">
        <v>0</v>
      </c>
      <c r="AW1012" s="5">
        <v>0</v>
      </c>
      <c r="AX1012" s="5">
        <v>1</v>
      </c>
      <c r="AY1012" s="1">
        <f t="shared" ref="AY1012" si="883">AJ1012*$AD1012*(1-$AV1012)*(1-$AR1012)</f>
        <v>0</v>
      </c>
      <c r="AZ1012" s="1">
        <f t="shared" ref="AZ1012" si="884">AM1012*$AD1012*(1-$AV1012)*(1-$AR1012)</f>
        <v>1</v>
      </c>
      <c r="BA1012" s="1">
        <f t="shared" ref="BA1012" si="885">AO1012*$AD1012*(1-$AV1012)*(1-$AR1012)</f>
        <v>0</v>
      </c>
      <c r="BB1012" s="5">
        <v>0</v>
      </c>
      <c r="BC1012" s="5">
        <v>0</v>
      </c>
      <c r="BD1012" s="5">
        <v>0</v>
      </c>
      <c r="BE1012" s="5">
        <f t="shared" ref="BE1012" si="886">1-SUM(BB1012:BD1012)</f>
        <v>1</v>
      </c>
      <c r="BF1012" s="5">
        <v>0</v>
      </c>
      <c r="BG1012" s="5">
        <f t="shared" si="869"/>
        <v>0</v>
      </c>
      <c r="BH1012" s="5">
        <f t="shared" si="869"/>
        <v>0</v>
      </c>
      <c r="BI1012" s="5">
        <f t="shared" si="869"/>
        <v>0</v>
      </c>
      <c r="BJ1012" s="5">
        <f t="shared" si="869"/>
        <v>0</v>
      </c>
      <c r="BK1012" s="5">
        <f t="shared" si="869"/>
        <v>0</v>
      </c>
      <c r="BL1012" s="5">
        <f t="shared" si="869"/>
        <v>0</v>
      </c>
      <c r="BM1012" s="5">
        <f t="shared" si="869"/>
        <v>0</v>
      </c>
      <c r="BN1012" s="5">
        <f t="shared" si="869"/>
        <v>0</v>
      </c>
      <c r="BO1012" s="5">
        <f t="shared" ref="BO1012:CC1027" si="887">IF($E1012=BO$2,1,0)</f>
        <v>0</v>
      </c>
      <c r="BP1012" s="5">
        <f t="shared" si="887"/>
        <v>0</v>
      </c>
      <c r="BQ1012" s="5">
        <f t="shared" si="887"/>
        <v>0</v>
      </c>
      <c r="BR1012" s="5">
        <f t="shared" si="887"/>
        <v>0</v>
      </c>
      <c r="BS1012" s="5">
        <f t="shared" si="887"/>
        <v>0</v>
      </c>
      <c r="BT1012" s="5">
        <f t="shared" si="887"/>
        <v>0</v>
      </c>
      <c r="BU1012" s="5">
        <f t="shared" si="887"/>
        <v>0</v>
      </c>
      <c r="BV1012" s="5">
        <f t="shared" si="887"/>
        <v>0</v>
      </c>
      <c r="BW1012" s="5">
        <f t="shared" si="887"/>
        <v>0</v>
      </c>
      <c r="BX1012" s="5">
        <f t="shared" si="887"/>
        <v>0</v>
      </c>
      <c r="BY1012" s="5">
        <f t="shared" si="887"/>
        <v>0</v>
      </c>
      <c r="BZ1012" s="5">
        <f t="shared" si="887"/>
        <v>0</v>
      </c>
      <c r="CA1012" s="5">
        <f t="shared" si="887"/>
        <v>0</v>
      </c>
      <c r="CB1012" s="5">
        <f t="shared" si="887"/>
        <v>0</v>
      </c>
      <c r="CC1012" s="5">
        <f t="shared" si="870"/>
        <v>0</v>
      </c>
      <c r="CD1012" s="5">
        <f t="shared" si="870"/>
        <v>1</v>
      </c>
      <c r="CE1012" s="5">
        <f t="shared" si="870"/>
        <v>0</v>
      </c>
    </row>
    <row r="1013" spans="1:83" x14ac:dyDescent="0.2">
      <c r="A1013" s="11"/>
      <c r="B1013" s="11"/>
      <c r="C1013" s="1">
        <f>Growth!D1018</f>
        <v>2.8571428571428571E-2</v>
      </c>
      <c r="D1013" s="5" t="b">
        <f t="shared" si="824"/>
        <v>0</v>
      </c>
      <c r="E1013" s="5">
        <v>2014</v>
      </c>
      <c r="F1013" s="5">
        <f ca="1">LOOKUP($E1013,frequence!$A$2:$A$35,frequence!L$2:L$35)</f>
        <v>50.75383375536623</v>
      </c>
      <c r="G1013" s="5">
        <f ca="1">LOOKUP($E1013,frequence!$A$2:$A$35,frequence!K$2:K$35)</f>
        <v>9.9751715831189358</v>
      </c>
      <c r="H1013" s="5">
        <f ca="1">LOOKUP($E1013,frequence!$A$2:$A$35,frequence!M$2:M$35)</f>
        <v>236.05429056976001</v>
      </c>
      <c r="I1013" s="16">
        <v>2007</v>
      </c>
      <c r="J1013" s="7">
        <f>LOOKUP(I1013,CPI!A$69:A$103,CPI!O$69:O$103)</f>
        <v>1.0516730811895323</v>
      </c>
      <c r="K1013" s="16">
        <v>2015</v>
      </c>
      <c r="L1013" s="7">
        <f t="shared" ca="1" si="807"/>
        <v>1</v>
      </c>
      <c r="M1013" s="7">
        <f t="shared" ref="M1013:M1076" si="888">N1013*AC1013</f>
        <v>0.21142857142857144</v>
      </c>
      <c r="N1013" s="14">
        <f t="shared" ref="N1013:N1046" si="889">1/35</f>
        <v>2.8571428571428571E-2</v>
      </c>
      <c r="O1013" s="1">
        <f ca="1">P1013*J1013*(1+Growth!G$6)^(2010-K1013)</f>
        <v>160.97990875863374</v>
      </c>
      <c r="P1013" s="40">
        <f>45*44/12</f>
        <v>165</v>
      </c>
      <c r="Q1013" s="2">
        <f t="shared" si="880"/>
        <v>165</v>
      </c>
      <c r="R1013" s="21">
        <f t="shared" ca="1" si="881"/>
        <v>25914.531023938045</v>
      </c>
      <c r="U1013" s="11"/>
      <c r="V1013" s="11"/>
      <c r="W1013" s="11"/>
      <c r="X1013" s="11"/>
      <c r="Y1013" s="11"/>
      <c r="Z1013" s="11"/>
      <c r="AA1013" s="11"/>
      <c r="AB1013" s="11"/>
      <c r="AC1013" s="1">
        <f t="shared" ref="AC1013:AC1046" si="890">SUM(AD1013:AI1013)</f>
        <v>7.4</v>
      </c>
      <c r="AD1013" s="5">
        <v>1</v>
      </c>
      <c r="AE1013" s="5">
        <v>0</v>
      </c>
      <c r="AF1013" s="5">
        <v>1</v>
      </c>
      <c r="AG1013" s="5">
        <v>1</v>
      </c>
      <c r="AH1013" s="5">
        <v>1</v>
      </c>
      <c r="AI1013" s="3">
        <f t="shared" ref="AI1013:AI1047" si="891">(E1013-1980)/10</f>
        <v>3.4</v>
      </c>
      <c r="AJ1013" s="5">
        <f t="shared" si="835"/>
        <v>0</v>
      </c>
      <c r="AK1013" s="5">
        <f t="shared" si="808"/>
        <v>0</v>
      </c>
      <c r="AL1013" s="5">
        <f t="shared" si="809"/>
        <v>0</v>
      </c>
      <c r="AM1013" s="5">
        <f t="shared" si="836"/>
        <v>0</v>
      </c>
      <c r="AN1013" s="5">
        <f t="shared" si="810"/>
        <v>1</v>
      </c>
      <c r="AO1013" s="5">
        <f t="shared" si="837"/>
        <v>0</v>
      </c>
      <c r="AP1013" s="11" t="s">
        <v>42</v>
      </c>
      <c r="AQ1013" s="11">
        <v>0.1</v>
      </c>
      <c r="AR1013" s="5">
        <v>0</v>
      </c>
      <c r="AS1013" s="5">
        <v>0</v>
      </c>
      <c r="AT1013" s="5">
        <v>1</v>
      </c>
      <c r="AU1013" s="5">
        <v>1</v>
      </c>
      <c r="AV1013" s="5">
        <v>0</v>
      </c>
      <c r="AW1013" s="5">
        <v>0</v>
      </c>
      <c r="AX1013" s="5">
        <v>1</v>
      </c>
      <c r="AY1013" s="1">
        <f t="shared" ref="AY1013:AY1046" si="892">AJ1013*$AD1013*(1-$AV1013)*(1-$AR1013)</f>
        <v>0</v>
      </c>
      <c r="AZ1013" s="1">
        <f t="shared" ref="AZ1013:AZ1046" si="893">AM1013*$AD1013*(1-$AV1013)*(1-$AR1013)</f>
        <v>0</v>
      </c>
      <c r="BA1013" s="1">
        <f t="shared" ref="BA1013:BA1046" si="894">AO1013*$AD1013*(1-$AV1013)*(1-$AR1013)</f>
        <v>0</v>
      </c>
      <c r="BB1013" s="5">
        <v>0</v>
      </c>
      <c r="BC1013" s="5">
        <v>0</v>
      </c>
      <c r="BD1013" s="5">
        <v>0</v>
      </c>
      <c r="BE1013" s="5">
        <f t="shared" ref="BE1013:BE1046" si="895">1-SUM(BB1013:BD1013)</f>
        <v>1</v>
      </c>
      <c r="BF1013" s="5">
        <v>0</v>
      </c>
      <c r="BG1013" s="5">
        <f t="shared" ref="BG1013:BN1028" si="896">IF($E1013=BG$2,1,0)</f>
        <v>0</v>
      </c>
      <c r="BH1013" s="5">
        <f t="shared" si="896"/>
        <v>0</v>
      </c>
      <c r="BI1013" s="5">
        <f t="shared" si="896"/>
        <v>0</v>
      </c>
      <c r="BJ1013" s="5">
        <f t="shared" si="896"/>
        <v>0</v>
      </c>
      <c r="BK1013" s="5">
        <f t="shared" si="896"/>
        <v>0</v>
      </c>
      <c r="BL1013" s="5">
        <f t="shared" si="896"/>
        <v>0</v>
      </c>
      <c r="BM1013" s="5">
        <f t="shared" si="896"/>
        <v>0</v>
      </c>
      <c r="BN1013" s="5">
        <f t="shared" si="896"/>
        <v>0</v>
      </c>
      <c r="BO1013" s="5">
        <f t="shared" si="887"/>
        <v>0</v>
      </c>
      <c r="BP1013" s="5">
        <f t="shared" si="887"/>
        <v>0</v>
      </c>
      <c r="BQ1013" s="5">
        <f t="shared" si="887"/>
        <v>0</v>
      </c>
      <c r="BR1013" s="5">
        <f t="shared" si="887"/>
        <v>0</v>
      </c>
      <c r="BS1013" s="5">
        <f t="shared" si="887"/>
        <v>0</v>
      </c>
      <c r="BT1013" s="5">
        <f t="shared" si="887"/>
        <v>0</v>
      </c>
      <c r="BU1013" s="5">
        <f t="shared" si="887"/>
        <v>0</v>
      </c>
      <c r="BV1013" s="5">
        <f t="shared" si="887"/>
        <v>0</v>
      </c>
      <c r="BW1013" s="5">
        <f t="shared" si="887"/>
        <v>0</v>
      </c>
      <c r="BX1013" s="5">
        <f t="shared" si="887"/>
        <v>0</v>
      </c>
      <c r="BY1013" s="5">
        <f t="shared" si="887"/>
        <v>0</v>
      </c>
      <c r="BZ1013" s="5">
        <f t="shared" si="887"/>
        <v>0</v>
      </c>
      <c r="CA1013" s="5">
        <f t="shared" si="887"/>
        <v>0</v>
      </c>
      <c r="CB1013" s="5">
        <f t="shared" si="887"/>
        <v>0</v>
      </c>
      <c r="CC1013" s="5">
        <f t="shared" si="870"/>
        <v>0</v>
      </c>
      <c r="CD1013" s="5">
        <f t="shared" si="870"/>
        <v>1</v>
      </c>
      <c r="CE1013" s="5">
        <f t="shared" si="870"/>
        <v>0</v>
      </c>
    </row>
    <row r="1014" spans="1:83" x14ac:dyDescent="0.2">
      <c r="A1014" s="11"/>
      <c r="B1014" s="11"/>
      <c r="C1014" s="1">
        <f>Growth!D1019</f>
        <v>2.8571428571428571E-2</v>
      </c>
      <c r="D1014" s="5" t="b">
        <f t="shared" si="824"/>
        <v>0</v>
      </c>
      <c r="E1014" s="5">
        <v>2014</v>
      </c>
      <c r="F1014" s="5">
        <f ca="1">LOOKUP($E1014,frequence!$A$2:$A$35,frequence!L$2:L$35)</f>
        <v>50.75383375536623</v>
      </c>
      <c r="G1014" s="5">
        <f ca="1">LOOKUP($E1014,frequence!$A$2:$A$35,frequence!K$2:K$35)</f>
        <v>9.9751715831189358</v>
      </c>
      <c r="H1014" s="5">
        <f ca="1">LOOKUP($E1014,frequence!$A$2:$A$35,frequence!M$2:M$35)</f>
        <v>236.05429056976001</v>
      </c>
      <c r="I1014" s="16">
        <v>2007</v>
      </c>
      <c r="J1014" s="7">
        <f>LOOKUP(I1014,CPI!A$69:A$103,CPI!O$69:O$103)</f>
        <v>1.0516730811895323</v>
      </c>
      <c r="K1014" s="16">
        <v>2015</v>
      </c>
      <c r="L1014" s="7">
        <f t="shared" ca="1" si="807"/>
        <v>1</v>
      </c>
      <c r="M1014" s="7">
        <f t="shared" si="888"/>
        <v>0.21142857142857144</v>
      </c>
      <c r="N1014" s="14">
        <f t="shared" si="889"/>
        <v>2.8571428571428571E-2</v>
      </c>
      <c r="O1014" s="1">
        <f ca="1">P1014*J1014*(1+Growth!G$6)^(2010-K1014)</f>
        <v>121.62926439541219</v>
      </c>
      <c r="P1014" s="40">
        <f>34*44/12</f>
        <v>124.66666666666667</v>
      </c>
      <c r="Q1014" s="2">
        <f t="shared" si="880"/>
        <v>124.66666666666667</v>
      </c>
      <c r="R1014" s="21">
        <f t="shared" ca="1" si="881"/>
        <v>14793.677957369084</v>
      </c>
      <c r="U1014" s="11"/>
      <c r="V1014" s="11"/>
      <c r="W1014" s="11"/>
      <c r="X1014" s="11"/>
      <c r="Y1014" s="11"/>
      <c r="Z1014" s="11"/>
      <c r="AA1014" s="11"/>
      <c r="AB1014" s="11"/>
      <c r="AC1014" s="1">
        <f t="shared" si="890"/>
        <v>7.4</v>
      </c>
      <c r="AD1014" s="5">
        <v>1</v>
      </c>
      <c r="AE1014" s="5">
        <v>0</v>
      </c>
      <c r="AF1014" s="5">
        <v>1</v>
      </c>
      <c r="AG1014" s="5">
        <v>1</v>
      </c>
      <c r="AH1014" s="5">
        <v>1</v>
      </c>
      <c r="AI1014" s="3">
        <f t="shared" si="891"/>
        <v>3.4</v>
      </c>
      <c r="AJ1014" s="5">
        <f t="shared" si="835"/>
        <v>0</v>
      </c>
      <c r="AK1014" s="5">
        <f t="shared" si="808"/>
        <v>0</v>
      </c>
      <c r="AL1014" s="5">
        <f t="shared" si="809"/>
        <v>0</v>
      </c>
      <c r="AM1014" s="5">
        <f t="shared" si="836"/>
        <v>1</v>
      </c>
      <c r="AN1014" s="5">
        <f t="shared" si="810"/>
        <v>0</v>
      </c>
      <c r="AO1014" s="5">
        <f t="shared" si="837"/>
        <v>0</v>
      </c>
      <c r="AP1014" s="11" t="s">
        <v>42</v>
      </c>
      <c r="AQ1014" s="11">
        <v>1</v>
      </c>
      <c r="AR1014" s="5">
        <v>0</v>
      </c>
      <c r="AS1014" s="5">
        <v>0</v>
      </c>
      <c r="AT1014" s="5">
        <v>1</v>
      </c>
      <c r="AU1014" s="5">
        <v>1</v>
      </c>
      <c r="AV1014" s="5">
        <v>0</v>
      </c>
      <c r="AW1014" s="5">
        <v>0</v>
      </c>
      <c r="AX1014" s="5">
        <v>1</v>
      </c>
      <c r="AY1014" s="1">
        <f t="shared" si="892"/>
        <v>0</v>
      </c>
      <c r="AZ1014" s="1">
        <f t="shared" si="893"/>
        <v>1</v>
      </c>
      <c r="BA1014" s="1">
        <f t="shared" si="894"/>
        <v>0</v>
      </c>
      <c r="BB1014" s="5">
        <v>0</v>
      </c>
      <c r="BC1014" s="5">
        <v>0</v>
      </c>
      <c r="BD1014" s="5">
        <v>0</v>
      </c>
      <c r="BE1014" s="5">
        <f t="shared" si="895"/>
        <v>1</v>
      </c>
      <c r="BF1014" s="5">
        <v>0</v>
      </c>
      <c r="BG1014" s="5">
        <f t="shared" si="896"/>
        <v>0</v>
      </c>
      <c r="BH1014" s="5">
        <f t="shared" si="896"/>
        <v>0</v>
      </c>
      <c r="BI1014" s="5">
        <f t="shared" si="896"/>
        <v>0</v>
      </c>
      <c r="BJ1014" s="5">
        <f t="shared" si="896"/>
        <v>0</v>
      </c>
      <c r="BK1014" s="5">
        <f t="shared" si="896"/>
        <v>0</v>
      </c>
      <c r="BL1014" s="5">
        <f t="shared" si="896"/>
        <v>0</v>
      </c>
      <c r="BM1014" s="5">
        <f t="shared" si="896"/>
        <v>0</v>
      </c>
      <c r="BN1014" s="5">
        <f t="shared" si="896"/>
        <v>0</v>
      </c>
      <c r="BO1014" s="5">
        <f t="shared" si="887"/>
        <v>0</v>
      </c>
      <c r="BP1014" s="5">
        <f t="shared" si="887"/>
        <v>0</v>
      </c>
      <c r="BQ1014" s="5">
        <f t="shared" si="887"/>
        <v>0</v>
      </c>
      <c r="BR1014" s="5">
        <f t="shared" si="887"/>
        <v>0</v>
      </c>
      <c r="BS1014" s="5">
        <f t="shared" si="887"/>
        <v>0</v>
      </c>
      <c r="BT1014" s="5">
        <f t="shared" si="887"/>
        <v>0</v>
      </c>
      <c r="BU1014" s="5">
        <f t="shared" si="887"/>
        <v>0</v>
      </c>
      <c r="BV1014" s="5">
        <f t="shared" si="887"/>
        <v>0</v>
      </c>
      <c r="BW1014" s="5">
        <f t="shared" si="887"/>
        <v>0</v>
      </c>
      <c r="BX1014" s="5">
        <f t="shared" si="887"/>
        <v>0</v>
      </c>
      <c r="BY1014" s="5">
        <f t="shared" si="887"/>
        <v>0</v>
      </c>
      <c r="BZ1014" s="5">
        <f t="shared" si="887"/>
        <v>0</v>
      </c>
      <c r="CA1014" s="5">
        <f t="shared" si="887"/>
        <v>0</v>
      </c>
      <c r="CB1014" s="5">
        <f t="shared" si="887"/>
        <v>0</v>
      </c>
      <c r="CC1014" s="5">
        <f t="shared" si="870"/>
        <v>0</v>
      </c>
      <c r="CD1014" s="5">
        <f t="shared" si="870"/>
        <v>1</v>
      </c>
      <c r="CE1014" s="5">
        <f t="shared" si="870"/>
        <v>0</v>
      </c>
    </row>
    <row r="1015" spans="1:83" x14ac:dyDescent="0.2">
      <c r="A1015" s="11"/>
      <c r="B1015" s="11"/>
      <c r="C1015" s="1">
        <f>Growth!D1020</f>
        <v>2.8571428571428571E-2</v>
      </c>
      <c r="D1015" s="5" t="b">
        <f t="shared" si="824"/>
        <v>0</v>
      </c>
      <c r="E1015" s="5">
        <v>2014</v>
      </c>
      <c r="F1015" s="5">
        <f ca="1">LOOKUP($E1015,frequence!$A$2:$A$35,frequence!L$2:L$35)</f>
        <v>50.75383375536623</v>
      </c>
      <c r="G1015" s="5">
        <f ca="1">LOOKUP($E1015,frequence!$A$2:$A$35,frequence!K$2:K$35)</f>
        <v>9.9751715831189358</v>
      </c>
      <c r="H1015" s="5">
        <f ca="1">LOOKUP($E1015,frequence!$A$2:$A$35,frequence!M$2:M$35)</f>
        <v>236.05429056976001</v>
      </c>
      <c r="I1015" s="16">
        <v>2007</v>
      </c>
      <c r="J1015" s="7">
        <f>LOOKUP(I1015,CPI!A$69:A$103,CPI!O$69:O$103)</f>
        <v>1.0516730811895323</v>
      </c>
      <c r="K1015" s="16">
        <v>2015</v>
      </c>
      <c r="L1015" s="7">
        <f t="shared" ca="1" si="807"/>
        <v>1</v>
      </c>
      <c r="M1015" s="7">
        <f t="shared" si="888"/>
        <v>0.21142857142857144</v>
      </c>
      <c r="N1015" s="14">
        <f t="shared" si="889"/>
        <v>2.8571428571428571E-2</v>
      </c>
      <c r="O1015" s="1">
        <f ca="1">P1015*J1015*(1+Growth!G$6)^(2010-K1015)</f>
        <v>454.32107582992194</v>
      </c>
      <c r="P1015" s="40">
        <f>127*44/12</f>
        <v>465.66666666666669</v>
      </c>
      <c r="Q1015" s="2">
        <f t="shared" si="880"/>
        <v>465.66666666666669</v>
      </c>
      <c r="R1015" s="21">
        <f t="shared" ca="1" si="881"/>
        <v>206407.63994325767</v>
      </c>
      <c r="U1015" s="11"/>
      <c r="V1015" s="11"/>
      <c r="W1015" s="11"/>
      <c r="X1015" s="11"/>
      <c r="Y1015" s="11"/>
      <c r="Z1015" s="11"/>
      <c r="AA1015" s="11"/>
      <c r="AB1015" s="11"/>
      <c r="AC1015" s="1">
        <f t="shared" si="890"/>
        <v>7.4</v>
      </c>
      <c r="AD1015" s="5">
        <v>1</v>
      </c>
      <c r="AE1015" s="5">
        <v>0</v>
      </c>
      <c r="AF1015" s="5">
        <v>1</v>
      </c>
      <c r="AG1015" s="5">
        <v>1</v>
      </c>
      <c r="AH1015" s="5">
        <v>1</v>
      </c>
      <c r="AI1015" s="3">
        <f t="shared" si="891"/>
        <v>3.4</v>
      </c>
      <c r="AJ1015" s="5">
        <f t="shared" si="835"/>
        <v>0</v>
      </c>
      <c r="AK1015" s="5">
        <f t="shared" si="808"/>
        <v>0</v>
      </c>
      <c r="AL1015" s="5">
        <f t="shared" si="809"/>
        <v>0</v>
      </c>
      <c r="AM1015" s="5">
        <f t="shared" si="836"/>
        <v>0</v>
      </c>
      <c r="AN1015" s="5">
        <f t="shared" si="810"/>
        <v>1</v>
      </c>
      <c r="AO1015" s="5">
        <f t="shared" si="837"/>
        <v>0</v>
      </c>
      <c r="AP1015" s="11" t="s">
        <v>42</v>
      </c>
      <c r="AQ1015" s="11">
        <v>0.1</v>
      </c>
      <c r="AR1015" s="5">
        <v>0</v>
      </c>
      <c r="AS1015" s="5">
        <v>0</v>
      </c>
      <c r="AT1015" s="5">
        <v>1</v>
      </c>
      <c r="AU1015" s="5">
        <v>1</v>
      </c>
      <c r="AV1015" s="5">
        <v>0</v>
      </c>
      <c r="AW1015" s="5">
        <v>0</v>
      </c>
      <c r="AX1015" s="5">
        <v>1</v>
      </c>
      <c r="AY1015" s="1">
        <f t="shared" si="892"/>
        <v>0</v>
      </c>
      <c r="AZ1015" s="1">
        <f t="shared" si="893"/>
        <v>0</v>
      </c>
      <c r="BA1015" s="1">
        <f t="shared" si="894"/>
        <v>0</v>
      </c>
      <c r="BB1015" s="5">
        <v>0</v>
      </c>
      <c r="BC1015" s="5">
        <v>0</v>
      </c>
      <c r="BD1015" s="5">
        <v>0</v>
      </c>
      <c r="BE1015" s="5">
        <f t="shared" si="895"/>
        <v>1</v>
      </c>
      <c r="BF1015" s="5">
        <v>0</v>
      </c>
      <c r="BG1015" s="5">
        <f t="shared" si="896"/>
        <v>0</v>
      </c>
      <c r="BH1015" s="5">
        <f t="shared" si="896"/>
        <v>0</v>
      </c>
      <c r="BI1015" s="5">
        <f t="shared" si="896"/>
        <v>0</v>
      </c>
      <c r="BJ1015" s="5">
        <f t="shared" si="896"/>
        <v>0</v>
      </c>
      <c r="BK1015" s="5">
        <f t="shared" si="896"/>
        <v>0</v>
      </c>
      <c r="BL1015" s="5">
        <f t="shared" si="896"/>
        <v>0</v>
      </c>
      <c r="BM1015" s="5">
        <f t="shared" si="896"/>
        <v>0</v>
      </c>
      <c r="BN1015" s="5">
        <f t="shared" si="896"/>
        <v>0</v>
      </c>
      <c r="BO1015" s="5">
        <f t="shared" si="887"/>
        <v>0</v>
      </c>
      <c r="BP1015" s="5">
        <f t="shared" si="887"/>
        <v>0</v>
      </c>
      <c r="BQ1015" s="5">
        <f t="shared" si="887"/>
        <v>0</v>
      </c>
      <c r="BR1015" s="5">
        <f t="shared" si="887"/>
        <v>0</v>
      </c>
      <c r="BS1015" s="5">
        <f t="shared" si="887"/>
        <v>0</v>
      </c>
      <c r="BT1015" s="5">
        <f t="shared" si="887"/>
        <v>0</v>
      </c>
      <c r="BU1015" s="5">
        <f t="shared" si="887"/>
        <v>0</v>
      </c>
      <c r="BV1015" s="5">
        <f t="shared" si="887"/>
        <v>0</v>
      </c>
      <c r="BW1015" s="5">
        <f t="shared" si="887"/>
        <v>0</v>
      </c>
      <c r="BX1015" s="5">
        <f t="shared" si="887"/>
        <v>0</v>
      </c>
      <c r="BY1015" s="5">
        <f t="shared" si="887"/>
        <v>0</v>
      </c>
      <c r="BZ1015" s="5">
        <f t="shared" si="887"/>
        <v>0</v>
      </c>
      <c r="CA1015" s="5">
        <f t="shared" si="887"/>
        <v>0</v>
      </c>
      <c r="CB1015" s="5">
        <f t="shared" si="887"/>
        <v>0</v>
      </c>
      <c r="CC1015" s="5">
        <f t="shared" si="870"/>
        <v>0</v>
      </c>
      <c r="CD1015" s="5">
        <f t="shared" si="870"/>
        <v>1</v>
      </c>
      <c r="CE1015" s="5">
        <f t="shared" si="870"/>
        <v>0</v>
      </c>
    </row>
    <row r="1016" spans="1:83" x14ac:dyDescent="0.2">
      <c r="A1016" s="11"/>
      <c r="B1016" s="11"/>
      <c r="C1016" s="1">
        <f>Growth!D1021</f>
        <v>2.8571428571428571E-2</v>
      </c>
      <c r="D1016" s="5" t="b">
        <f t="shared" si="824"/>
        <v>0</v>
      </c>
      <c r="E1016" s="5">
        <v>2014</v>
      </c>
      <c r="F1016" s="5">
        <f ca="1">LOOKUP($E1016,frequence!$A$2:$A$35,frequence!L$2:L$35)</f>
        <v>50.75383375536623</v>
      </c>
      <c r="G1016" s="5">
        <f ca="1">LOOKUP($E1016,frequence!$A$2:$A$35,frequence!K$2:K$35)</f>
        <v>9.9751715831189358</v>
      </c>
      <c r="H1016" s="5">
        <f ca="1">LOOKUP($E1016,frequence!$A$2:$A$35,frequence!M$2:M$35)</f>
        <v>236.05429056976001</v>
      </c>
      <c r="I1016" s="16">
        <v>2007</v>
      </c>
      <c r="J1016" s="7">
        <f>LOOKUP(I1016,CPI!A$69:A$103,CPI!O$69:O$103)</f>
        <v>1.0516730811895323</v>
      </c>
      <c r="K1016" s="16">
        <v>2015</v>
      </c>
      <c r="L1016" s="7">
        <f t="shared" ca="1" si="807"/>
        <v>1</v>
      </c>
      <c r="M1016" s="7">
        <f t="shared" si="888"/>
        <v>0.21142857142857144</v>
      </c>
      <c r="N1016" s="14">
        <f t="shared" si="889"/>
        <v>2.8571428571428571E-2</v>
      </c>
      <c r="O1016" s="1">
        <f ca="1">P1016*J1016*(1+Growth!G$6)^(2010-K1016)</f>
        <v>71.546626114948339</v>
      </c>
      <c r="P1016" s="40">
        <f>20*44/12</f>
        <v>73.333333333333329</v>
      </c>
      <c r="Q1016" s="2">
        <f t="shared" si="880"/>
        <v>73.333333333333329</v>
      </c>
      <c r="R1016" s="21">
        <f t="shared" ca="1" si="881"/>
        <v>5118.9197084322077</v>
      </c>
      <c r="U1016" s="11"/>
      <c r="V1016" s="11"/>
      <c r="W1016" s="11"/>
      <c r="X1016" s="11"/>
      <c r="Y1016" s="11"/>
      <c r="Z1016" s="11"/>
      <c r="AA1016" s="11"/>
      <c r="AB1016" s="11"/>
      <c r="AC1016" s="1">
        <f t="shared" si="890"/>
        <v>7.4</v>
      </c>
      <c r="AD1016" s="5">
        <v>1</v>
      </c>
      <c r="AE1016" s="5">
        <v>0</v>
      </c>
      <c r="AF1016" s="5">
        <v>1</v>
      </c>
      <c r="AG1016" s="5">
        <v>1</v>
      </c>
      <c r="AH1016" s="5">
        <v>1</v>
      </c>
      <c r="AI1016" s="3">
        <f t="shared" si="891"/>
        <v>3.4</v>
      </c>
      <c r="AJ1016" s="5">
        <f t="shared" si="835"/>
        <v>1</v>
      </c>
      <c r="AK1016" s="5">
        <f t="shared" si="808"/>
        <v>0</v>
      </c>
      <c r="AL1016" s="5">
        <f t="shared" si="809"/>
        <v>0</v>
      </c>
      <c r="AM1016" s="5">
        <f t="shared" si="836"/>
        <v>0</v>
      </c>
      <c r="AN1016" s="5">
        <f t="shared" si="810"/>
        <v>0</v>
      </c>
      <c r="AO1016" s="5">
        <f t="shared" si="837"/>
        <v>0</v>
      </c>
      <c r="AP1016" s="11" t="s">
        <v>42</v>
      </c>
      <c r="AQ1016" s="11">
        <v>3</v>
      </c>
      <c r="AR1016" s="5">
        <v>0</v>
      </c>
      <c r="AS1016" s="5">
        <v>0</v>
      </c>
      <c r="AT1016" s="5">
        <v>1</v>
      </c>
      <c r="AU1016" s="5">
        <v>1</v>
      </c>
      <c r="AV1016" s="5">
        <v>0</v>
      </c>
      <c r="AW1016" s="5">
        <v>0</v>
      </c>
      <c r="AX1016" s="5">
        <v>1</v>
      </c>
      <c r="AY1016" s="1">
        <f t="shared" si="892"/>
        <v>1</v>
      </c>
      <c r="AZ1016" s="1">
        <f t="shared" si="893"/>
        <v>0</v>
      </c>
      <c r="BA1016" s="1">
        <f t="shared" si="894"/>
        <v>0</v>
      </c>
      <c r="BB1016" s="5">
        <v>0</v>
      </c>
      <c r="BC1016" s="5">
        <v>0</v>
      </c>
      <c r="BD1016" s="5">
        <v>0</v>
      </c>
      <c r="BE1016" s="5">
        <f t="shared" si="895"/>
        <v>1</v>
      </c>
      <c r="BF1016" s="5">
        <v>0</v>
      </c>
      <c r="BG1016" s="5">
        <f t="shared" si="896"/>
        <v>0</v>
      </c>
      <c r="BH1016" s="5">
        <f t="shared" si="896"/>
        <v>0</v>
      </c>
      <c r="BI1016" s="5">
        <f t="shared" si="896"/>
        <v>0</v>
      </c>
      <c r="BJ1016" s="5">
        <f t="shared" si="896"/>
        <v>0</v>
      </c>
      <c r="BK1016" s="5">
        <f t="shared" si="896"/>
        <v>0</v>
      </c>
      <c r="BL1016" s="5">
        <f t="shared" si="896"/>
        <v>0</v>
      </c>
      <c r="BM1016" s="5">
        <f t="shared" si="896"/>
        <v>0</v>
      </c>
      <c r="BN1016" s="5">
        <f t="shared" si="896"/>
        <v>0</v>
      </c>
      <c r="BO1016" s="5">
        <f t="shared" si="887"/>
        <v>0</v>
      </c>
      <c r="BP1016" s="5">
        <f t="shared" si="887"/>
        <v>0</v>
      </c>
      <c r="BQ1016" s="5">
        <f t="shared" si="887"/>
        <v>0</v>
      </c>
      <c r="BR1016" s="5">
        <f t="shared" si="887"/>
        <v>0</v>
      </c>
      <c r="BS1016" s="5">
        <f t="shared" si="887"/>
        <v>0</v>
      </c>
      <c r="BT1016" s="5">
        <f t="shared" si="887"/>
        <v>0</v>
      </c>
      <c r="BU1016" s="5">
        <f t="shared" si="887"/>
        <v>0</v>
      </c>
      <c r="BV1016" s="5">
        <f t="shared" si="887"/>
        <v>0</v>
      </c>
      <c r="BW1016" s="5">
        <f t="shared" si="887"/>
        <v>0</v>
      </c>
      <c r="BX1016" s="5">
        <f t="shared" si="887"/>
        <v>0</v>
      </c>
      <c r="BY1016" s="5">
        <f t="shared" si="887"/>
        <v>0</v>
      </c>
      <c r="BZ1016" s="5">
        <f t="shared" si="887"/>
        <v>0</v>
      </c>
      <c r="CA1016" s="5">
        <f t="shared" si="887"/>
        <v>0</v>
      </c>
      <c r="CB1016" s="5">
        <f t="shared" si="887"/>
        <v>0</v>
      </c>
      <c r="CC1016" s="5">
        <f t="shared" si="870"/>
        <v>0</v>
      </c>
      <c r="CD1016" s="5">
        <f t="shared" si="870"/>
        <v>1</v>
      </c>
      <c r="CE1016" s="5">
        <f t="shared" si="870"/>
        <v>0</v>
      </c>
    </row>
    <row r="1017" spans="1:83" x14ac:dyDescent="0.2">
      <c r="A1017" s="11"/>
      <c r="B1017" s="11"/>
      <c r="C1017" s="1">
        <f>Growth!D1022</f>
        <v>2.8571428571428571E-2</v>
      </c>
      <c r="D1017" s="5" t="b">
        <f t="shared" si="824"/>
        <v>0</v>
      </c>
      <c r="E1017" s="5">
        <v>2014</v>
      </c>
      <c r="F1017" s="5">
        <f ca="1">LOOKUP($E1017,frequence!$A$2:$A$35,frequence!L$2:L$35)</f>
        <v>50.75383375536623</v>
      </c>
      <c r="G1017" s="5">
        <f ca="1">LOOKUP($E1017,frequence!$A$2:$A$35,frequence!K$2:K$35)</f>
        <v>9.9751715831189358</v>
      </c>
      <c r="H1017" s="5">
        <f ca="1">LOOKUP($E1017,frequence!$A$2:$A$35,frequence!M$2:M$35)</f>
        <v>236.05429056976001</v>
      </c>
      <c r="I1017" s="16">
        <v>2007</v>
      </c>
      <c r="J1017" s="7">
        <f>LOOKUP(I1017,CPI!A$69:A$103,CPI!O$69:O$103)</f>
        <v>1.0516730811895323</v>
      </c>
      <c r="K1017" s="16">
        <v>2015</v>
      </c>
      <c r="L1017" s="7">
        <f t="shared" ca="1" si="807"/>
        <v>1</v>
      </c>
      <c r="M1017" s="7">
        <f t="shared" si="888"/>
        <v>0.21142857142857144</v>
      </c>
      <c r="N1017" s="14">
        <f t="shared" si="889"/>
        <v>2.8571428571428571E-2</v>
      </c>
      <c r="O1017" s="1">
        <f ca="1">P1017*J1017*(1+Growth!G$6)^(2010-K1017)</f>
        <v>64.39196350345351</v>
      </c>
      <c r="P1017" s="40">
        <f>18*44/12</f>
        <v>66</v>
      </c>
      <c r="Q1017" s="2">
        <f t="shared" si="880"/>
        <v>66</v>
      </c>
      <c r="R1017" s="21">
        <f t="shared" ca="1" si="881"/>
        <v>4146.3249638300886</v>
      </c>
      <c r="U1017" s="11"/>
      <c r="V1017" s="11"/>
      <c r="W1017" s="11"/>
      <c r="X1017" s="11"/>
      <c r="Y1017" s="11"/>
      <c r="Z1017" s="11"/>
      <c r="AA1017" s="11"/>
      <c r="AB1017" s="11"/>
      <c r="AC1017" s="1">
        <f t="shared" si="890"/>
        <v>7.4</v>
      </c>
      <c r="AD1017" s="5">
        <v>1</v>
      </c>
      <c r="AE1017" s="5">
        <v>0</v>
      </c>
      <c r="AF1017" s="5">
        <v>1</v>
      </c>
      <c r="AG1017" s="5">
        <v>1</v>
      </c>
      <c r="AH1017" s="5">
        <v>1</v>
      </c>
      <c r="AI1017" s="3">
        <f t="shared" si="891"/>
        <v>3.4</v>
      </c>
      <c r="AJ1017" s="5">
        <f t="shared" si="835"/>
        <v>0</v>
      </c>
      <c r="AK1017" s="5">
        <f t="shared" si="808"/>
        <v>0</v>
      </c>
      <c r="AL1017" s="5">
        <f t="shared" si="809"/>
        <v>0</v>
      </c>
      <c r="AM1017" s="5">
        <f t="shared" si="836"/>
        <v>1</v>
      </c>
      <c r="AN1017" s="5">
        <f t="shared" si="810"/>
        <v>0</v>
      </c>
      <c r="AO1017" s="5">
        <f t="shared" si="837"/>
        <v>0</v>
      </c>
      <c r="AP1017" s="11" t="s">
        <v>42</v>
      </c>
      <c r="AQ1017" s="11">
        <v>1</v>
      </c>
      <c r="AR1017" s="5">
        <v>0</v>
      </c>
      <c r="AS1017" s="5">
        <v>0</v>
      </c>
      <c r="AT1017" s="5">
        <v>1</v>
      </c>
      <c r="AU1017" s="5">
        <v>1</v>
      </c>
      <c r="AV1017" s="5">
        <v>0</v>
      </c>
      <c r="AW1017" s="5">
        <v>0</v>
      </c>
      <c r="AX1017" s="5">
        <v>1</v>
      </c>
      <c r="AY1017" s="1">
        <f t="shared" si="892"/>
        <v>0</v>
      </c>
      <c r="AZ1017" s="1">
        <f t="shared" si="893"/>
        <v>1</v>
      </c>
      <c r="BA1017" s="1">
        <f t="shared" si="894"/>
        <v>0</v>
      </c>
      <c r="BB1017" s="5">
        <v>0</v>
      </c>
      <c r="BC1017" s="5">
        <v>0</v>
      </c>
      <c r="BD1017" s="5">
        <v>0</v>
      </c>
      <c r="BE1017" s="5">
        <f t="shared" si="895"/>
        <v>1</v>
      </c>
      <c r="BF1017" s="5">
        <v>0</v>
      </c>
      <c r="BG1017" s="5">
        <f t="shared" si="896"/>
        <v>0</v>
      </c>
      <c r="BH1017" s="5">
        <f t="shared" si="896"/>
        <v>0</v>
      </c>
      <c r="BI1017" s="5">
        <f t="shared" si="896"/>
        <v>0</v>
      </c>
      <c r="BJ1017" s="5">
        <f t="shared" si="896"/>
        <v>0</v>
      </c>
      <c r="BK1017" s="5">
        <f t="shared" si="896"/>
        <v>0</v>
      </c>
      <c r="BL1017" s="5">
        <f t="shared" si="896"/>
        <v>0</v>
      </c>
      <c r="BM1017" s="5">
        <f t="shared" si="896"/>
        <v>0</v>
      </c>
      <c r="BN1017" s="5">
        <f t="shared" si="896"/>
        <v>0</v>
      </c>
      <c r="BO1017" s="5">
        <f t="shared" si="887"/>
        <v>0</v>
      </c>
      <c r="BP1017" s="5">
        <f t="shared" si="887"/>
        <v>0</v>
      </c>
      <c r="BQ1017" s="5">
        <f t="shared" si="887"/>
        <v>0</v>
      </c>
      <c r="BR1017" s="5">
        <f t="shared" si="887"/>
        <v>0</v>
      </c>
      <c r="BS1017" s="5">
        <f t="shared" si="887"/>
        <v>0</v>
      </c>
      <c r="BT1017" s="5">
        <f t="shared" si="887"/>
        <v>0</v>
      </c>
      <c r="BU1017" s="5">
        <f t="shared" si="887"/>
        <v>0</v>
      </c>
      <c r="BV1017" s="5">
        <f t="shared" si="887"/>
        <v>0</v>
      </c>
      <c r="BW1017" s="5">
        <f t="shared" si="887"/>
        <v>0</v>
      </c>
      <c r="BX1017" s="5">
        <f t="shared" si="887"/>
        <v>0</v>
      </c>
      <c r="BY1017" s="5">
        <f t="shared" si="887"/>
        <v>0</v>
      </c>
      <c r="BZ1017" s="5">
        <f t="shared" si="887"/>
        <v>0</v>
      </c>
      <c r="CA1017" s="5">
        <f t="shared" si="887"/>
        <v>0</v>
      </c>
      <c r="CB1017" s="5">
        <f t="shared" si="887"/>
        <v>0</v>
      </c>
      <c r="CC1017" s="5">
        <f t="shared" si="870"/>
        <v>0</v>
      </c>
      <c r="CD1017" s="5">
        <f t="shared" si="870"/>
        <v>1</v>
      </c>
      <c r="CE1017" s="5">
        <f t="shared" si="870"/>
        <v>0</v>
      </c>
    </row>
    <row r="1018" spans="1:83" x14ac:dyDescent="0.2">
      <c r="A1018" s="11"/>
      <c r="B1018" s="11"/>
      <c r="C1018" s="1">
        <f>Growth!D1023</f>
        <v>2.8571428571428571E-2</v>
      </c>
      <c r="D1018" s="5" t="b">
        <f t="shared" si="824"/>
        <v>0</v>
      </c>
      <c r="E1018" s="5">
        <v>2014</v>
      </c>
      <c r="F1018" s="5">
        <f ca="1">LOOKUP($E1018,frequence!$A$2:$A$35,frequence!L$2:L$35)</f>
        <v>50.75383375536623</v>
      </c>
      <c r="G1018" s="5">
        <f ca="1">LOOKUP($E1018,frequence!$A$2:$A$35,frequence!K$2:K$35)</f>
        <v>9.9751715831189358</v>
      </c>
      <c r="H1018" s="5">
        <f ca="1">LOOKUP($E1018,frequence!$A$2:$A$35,frequence!M$2:M$35)</f>
        <v>236.05429056976001</v>
      </c>
      <c r="I1018" s="16">
        <v>2007</v>
      </c>
      <c r="J1018" s="7">
        <f>LOOKUP(I1018,CPI!A$69:A$103,CPI!O$69:O$103)</f>
        <v>1.0516730811895323</v>
      </c>
      <c r="K1018" s="16">
        <v>2015</v>
      </c>
      <c r="L1018" s="7">
        <f t="shared" ca="1" si="807"/>
        <v>1</v>
      </c>
      <c r="M1018" s="7">
        <f t="shared" si="888"/>
        <v>0.21142857142857144</v>
      </c>
      <c r="N1018" s="14">
        <f t="shared" si="889"/>
        <v>2.8571428571428571E-2</v>
      </c>
      <c r="O1018" s="1">
        <f ca="1">P1018*J1018*(1+Growth!G$6)^(2010-K1018)</f>
        <v>214.63987834484502</v>
      </c>
      <c r="P1018" s="40">
        <f>60*44/12</f>
        <v>220</v>
      </c>
      <c r="Q1018" s="2">
        <f t="shared" si="880"/>
        <v>220</v>
      </c>
      <c r="R1018" s="21">
        <f t="shared" ca="1" si="881"/>
        <v>46070.277375889869</v>
      </c>
      <c r="U1018" s="11"/>
      <c r="V1018" s="11"/>
      <c r="W1018" s="11"/>
      <c r="X1018" s="11"/>
      <c r="Y1018" s="11"/>
      <c r="Z1018" s="11"/>
      <c r="AA1018" s="11"/>
      <c r="AB1018" s="11"/>
      <c r="AC1018" s="1">
        <f t="shared" si="890"/>
        <v>7.4</v>
      </c>
      <c r="AD1018" s="5">
        <v>1</v>
      </c>
      <c r="AE1018" s="5">
        <v>0</v>
      </c>
      <c r="AF1018" s="5">
        <v>1</v>
      </c>
      <c r="AG1018" s="5">
        <v>1</v>
      </c>
      <c r="AH1018" s="5">
        <v>1</v>
      </c>
      <c r="AI1018" s="3">
        <f t="shared" si="891"/>
        <v>3.4</v>
      </c>
      <c r="AJ1018" s="5">
        <f t="shared" si="835"/>
        <v>0</v>
      </c>
      <c r="AK1018" s="5">
        <f t="shared" si="808"/>
        <v>0</v>
      </c>
      <c r="AL1018" s="5">
        <f t="shared" si="809"/>
        <v>0</v>
      </c>
      <c r="AM1018" s="5">
        <f t="shared" si="836"/>
        <v>0</v>
      </c>
      <c r="AN1018" s="5">
        <f t="shared" si="810"/>
        <v>1</v>
      </c>
      <c r="AO1018" s="5">
        <f t="shared" si="837"/>
        <v>0</v>
      </c>
      <c r="AP1018" s="11" t="s">
        <v>42</v>
      </c>
      <c r="AQ1018" s="11">
        <v>0.1</v>
      </c>
      <c r="AR1018" s="5">
        <v>0</v>
      </c>
      <c r="AS1018" s="5">
        <v>0</v>
      </c>
      <c r="AT1018" s="5">
        <v>1</v>
      </c>
      <c r="AU1018" s="5">
        <v>1</v>
      </c>
      <c r="AV1018" s="5">
        <v>0</v>
      </c>
      <c r="AW1018" s="5">
        <v>0</v>
      </c>
      <c r="AX1018" s="5">
        <v>1</v>
      </c>
      <c r="AY1018" s="1">
        <f t="shared" si="892"/>
        <v>0</v>
      </c>
      <c r="AZ1018" s="1">
        <f t="shared" si="893"/>
        <v>0</v>
      </c>
      <c r="BA1018" s="1">
        <f t="shared" si="894"/>
        <v>0</v>
      </c>
      <c r="BB1018" s="5">
        <v>0</v>
      </c>
      <c r="BC1018" s="5">
        <v>0</v>
      </c>
      <c r="BD1018" s="5">
        <v>0</v>
      </c>
      <c r="BE1018" s="5">
        <f t="shared" si="895"/>
        <v>1</v>
      </c>
      <c r="BF1018" s="5">
        <v>0</v>
      </c>
      <c r="BG1018" s="5">
        <f t="shared" si="896"/>
        <v>0</v>
      </c>
      <c r="BH1018" s="5">
        <f t="shared" si="896"/>
        <v>0</v>
      </c>
      <c r="BI1018" s="5">
        <f t="shared" si="896"/>
        <v>0</v>
      </c>
      <c r="BJ1018" s="5">
        <f t="shared" si="896"/>
        <v>0</v>
      </c>
      <c r="BK1018" s="5">
        <f t="shared" si="896"/>
        <v>0</v>
      </c>
      <c r="BL1018" s="5">
        <f t="shared" si="896"/>
        <v>0</v>
      </c>
      <c r="BM1018" s="5">
        <f t="shared" si="896"/>
        <v>0</v>
      </c>
      <c r="BN1018" s="5">
        <f t="shared" si="896"/>
        <v>0</v>
      </c>
      <c r="BO1018" s="5">
        <f t="shared" si="887"/>
        <v>0</v>
      </c>
      <c r="BP1018" s="5">
        <f t="shared" si="887"/>
        <v>0</v>
      </c>
      <c r="BQ1018" s="5">
        <f t="shared" si="887"/>
        <v>0</v>
      </c>
      <c r="BR1018" s="5">
        <f t="shared" si="887"/>
        <v>0</v>
      </c>
      <c r="BS1018" s="5">
        <f t="shared" si="887"/>
        <v>0</v>
      </c>
      <c r="BT1018" s="5">
        <f t="shared" si="887"/>
        <v>0</v>
      </c>
      <c r="BU1018" s="5">
        <f t="shared" si="887"/>
        <v>0</v>
      </c>
      <c r="BV1018" s="5">
        <f t="shared" si="887"/>
        <v>0</v>
      </c>
      <c r="BW1018" s="5">
        <f t="shared" si="887"/>
        <v>0</v>
      </c>
      <c r="BX1018" s="5">
        <f t="shared" si="887"/>
        <v>0</v>
      </c>
      <c r="BY1018" s="5">
        <f t="shared" si="887"/>
        <v>0</v>
      </c>
      <c r="BZ1018" s="5">
        <f t="shared" si="887"/>
        <v>0</v>
      </c>
      <c r="CA1018" s="5">
        <f t="shared" si="887"/>
        <v>0</v>
      </c>
      <c r="CB1018" s="5">
        <f t="shared" si="887"/>
        <v>0</v>
      </c>
      <c r="CC1018" s="5">
        <f t="shared" si="870"/>
        <v>0</v>
      </c>
      <c r="CD1018" s="5">
        <f t="shared" si="870"/>
        <v>1</v>
      </c>
      <c r="CE1018" s="5">
        <f t="shared" si="870"/>
        <v>0</v>
      </c>
    </row>
    <row r="1019" spans="1:83" x14ac:dyDescent="0.2">
      <c r="A1019" s="11"/>
      <c r="B1019" s="11"/>
      <c r="C1019" s="1">
        <f>Growth!D1024</f>
        <v>2.8571428571428571E-2</v>
      </c>
      <c r="D1019" s="5" t="b">
        <f t="shared" si="824"/>
        <v>0</v>
      </c>
      <c r="E1019" s="5">
        <v>2014</v>
      </c>
      <c r="F1019" s="5">
        <f ca="1">LOOKUP($E1019,frequence!$A$2:$A$35,frequence!L$2:L$35)</f>
        <v>50.75383375536623</v>
      </c>
      <c r="G1019" s="5">
        <f ca="1">LOOKUP($E1019,frequence!$A$2:$A$35,frequence!K$2:K$35)</f>
        <v>9.9751715831189358</v>
      </c>
      <c r="H1019" s="5">
        <f ca="1">LOOKUP($E1019,frequence!$A$2:$A$35,frequence!M$2:M$35)</f>
        <v>236.05429056976001</v>
      </c>
      <c r="I1019" s="16">
        <v>2007</v>
      </c>
      <c r="J1019" s="7">
        <f>LOOKUP(I1019,CPI!A$69:A$103,CPI!O$69:O$103)</f>
        <v>1.0516730811895323</v>
      </c>
      <c r="K1019" s="16">
        <v>2015</v>
      </c>
      <c r="L1019" s="7">
        <f t="shared" ca="1" si="807"/>
        <v>1</v>
      </c>
      <c r="M1019" s="7">
        <f t="shared" si="888"/>
        <v>0.21142857142857144</v>
      </c>
      <c r="N1019" s="14">
        <f t="shared" si="889"/>
        <v>2.8571428571428571E-2</v>
      </c>
      <c r="O1019" s="1">
        <f ca="1">P1019*J1019*(1+Growth!G$6)^(2010-K1019)</f>
        <v>132.3612583126544</v>
      </c>
      <c r="P1019" s="40">
        <f>37*44/12</f>
        <v>135.66666666666666</v>
      </c>
      <c r="Q1019" s="2">
        <f t="shared" si="880"/>
        <v>135.66666666666666</v>
      </c>
      <c r="R1019" s="21">
        <f t="shared" ca="1" si="881"/>
        <v>17519.502702109225</v>
      </c>
      <c r="U1019" s="11"/>
      <c r="V1019" s="11"/>
      <c r="W1019" s="11"/>
      <c r="X1019" s="11"/>
      <c r="Y1019" s="11"/>
      <c r="Z1019" s="11"/>
      <c r="AA1019" s="11"/>
      <c r="AB1019" s="11"/>
      <c r="AC1019" s="1">
        <f t="shared" si="890"/>
        <v>7.4</v>
      </c>
      <c r="AD1019" s="5">
        <v>1</v>
      </c>
      <c r="AE1019" s="5">
        <v>0</v>
      </c>
      <c r="AF1019" s="5">
        <v>1</v>
      </c>
      <c r="AG1019" s="5">
        <v>1</v>
      </c>
      <c r="AH1019" s="5">
        <v>1</v>
      </c>
      <c r="AI1019" s="3">
        <f t="shared" si="891"/>
        <v>3.4</v>
      </c>
      <c r="AJ1019" s="5">
        <f t="shared" si="835"/>
        <v>0</v>
      </c>
      <c r="AK1019" s="5">
        <f t="shared" si="808"/>
        <v>0</v>
      </c>
      <c r="AL1019" s="5">
        <f t="shared" si="809"/>
        <v>0</v>
      </c>
      <c r="AM1019" s="5">
        <f t="shared" si="836"/>
        <v>1</v>
      </c>
      <c r="AN1019" s="5">
        <f t="shared" si="810"/>
        <v>0</v>
      </c>
      <c r="AO1019" s="5">
        <f t="shared" si="837"/>
        <v>0</v>
      </c>
      <c r="AP1019" s="11" t="s">
        <v>42</v>
      </c>
      <c r="AQ1019" s="11">
        <v>1</v>
      </c>
      <c r="AR1019" s="5">
        <v>0</v>
      </c>
      <c r="AS1019" s="5">
        <v>0</v>
      </c>
      <c r="AT1019" s="5">
        <v>1</v>
      </c>
      <c r="AU1019" s="5">
        <v>1</v>
      </c>
      <c r="AV1019" s="5">
        <v>0</v>
      </c>
      <c r="AW1019" s="5">
        <v>0</v>
      </c>
      <c r="AX1019" s="5">
        <v>1</v>
      </c>
      <c r="AY1019" s="1">
        <f t="shared" si="892"/>
        <v>0</v>
      </c>
      <c r="AZ1019" s="1">
        <f t="shared" si="893"/>
        <v>1</v>
      </c>
      <c r="BA1019" s="1">
        <f t="shared" si="894"/>
        <v>0</v>
      </c>
      <c r="BB1019" s="5">
        <v>0</v>
      </c>
      <c r="BC1019" s="5">
        <v>0</v>
      </c>
      <c r="BD1019" s="5">
        <v>0</v>
      </c>
      <c r="BE1019" s="5">
        <f t="shared" si="895"/>
        <v>1</v>
      </c>
      <c r="BF1019" s="5">
        <v>0</v>
      </c>
      <c r="BG1019" s="5">
        <f t="shared" si="896"/>
        <v>0</v>
      </c>
      <c r="BH1019" s="5">
        <f t="shared" si="896"/>
        <v>0</v>
      </c>
      <c r="BI1019" s="5">
        <f t="shared" si="896"/>
        <v>0</v>
      </c>
      <c r="BJ1019" s="5">
        <f t="shared" si="896"/>
        <v>0</v>
      </c>
      <c r="BK1019" s="5">
        <f t="shared" si="896"/>
        <v>0</v>
      </c>
      <c r="BL1019" s="5">
        <f t="shared" si="896"/>
        <v>0</v>
      </c>
      <c r="BM1019" s="5">
        <f t="shared" si="896"/>
        <v>0</v>
      </c>
      <c r="BN1019" s="5">
        <f t="shared" si="896"/>
        <v>0</v>
      </c>
      <c r="BO1019" s="5">
        <f t="shared" si="887"/>
        <v>0</v>
      </c>
      <c r="BP1019" s="5">
        <f t="shared" si="887"/>
        <v>0</v>
      </c>
      <c r="BQ1019" s="5">
        <f t="shared" si="887"/>
        <v>0</v>
      </c>
      <c r="BR1019" s="5">
        <f t="shared" si="887"/>
        <v>0</v>
      </c>
      <c r="BS1019" s="5">
        <f t="shared" si="887"/>
        <v>0</v>
      </c>
      <c r="BT1019" s="5">
        <f t="shared" si="887"/>
        <v>0</v>
      </c>
      <c r="BU1019" s="5">
        <f t="shared" si="887"/>
        <v>0</v>
      </c>
      <c r="BV1019" s="5">
        <f t="shared" si="887"/>
        <v>0</v>
      </c>
      <c r="BW1019" s="5">
        <f t="shared" si="887"/>
        <v>0</v>
      </c>
      <c r="BX1019" s="5">
        <f t="shared" si="887"/>
        <v>0</v>
      </c>
      <c r="BY1019" s="5">
        <f t="shared" si="887"/>
        <v>0</v>
      </c>
      <c r="BZ1019" s="5">
        <f t="shared" si="887"/>
        <v>0</v>
      </c>
      <c r="CA1019" s="5">
        <f t="shared" si="887"/>
        <v>0</v>
      </c>
      <c r="CB1019" s="5">
        <f t="shared" si="887"/>
        <v>0</v>
      </c>
      <c r="CC1019" s="5">
        <f t="shared" si="887"/>
        <v>0</v>
      </c>
      <c r="CD1019" s="5">
        <f t="shared" ref="CD1019:CE1038" si="897">IF($E1019=CD$2,1,0)</f>
        <v>1</v>
      </c>
      <c r="CE1019" s="5">
        <f t="shared" si="897"/>
        <v>0</v>
      </c>
    </row>
    <row r="1020" spans="1:83" x14ac:dyDescent="0.2">
      <c r="A1020" s="11"/>
      <c r="B1020" s="11"/>
      <c r="C1020" s="1">
        <f>Growth!D1025</f>
        <v>2.8571428571428571E-2</v>
      </c>
      <c r="D1020" s="5" t="b">
        <f t="shared" si="824"/>
        <v>0</v>
      </c>
      <c r="E1020" s="5">
        <v>2014</v>
      </c>
      <c r="F1020" s="5">
        <f ca="1">LOOKUP($E1020,frequence!$A$2:$A$35,frequence!L$2:L$35)</f>
        <v>50.75383375536623</v>
      </c>
      <c r="G1020" s="5">
        <f ca="1">LOOKUP($E1020,frequence!$A$2:$A$35,frequence!K$2:K$35)</f>
        <v>9.9751715831189358</v>
      </c>
      <c r="H1020" s="5">
        <f ca="1">LOOKUP($E1020,frequence!$A$2:$A$35,frequence!M$2:M$35)</f>
        <v>236.05429056976001</v>
      </c>
      <c r="I1020" s="16">
        <v>2007</v>
      </c>
      <c r="J1020" s="7">
        <f>LOOKUP(I1020,CPI!A$69:A$103,CPI!O$69:O$103)</f>
        <v>1.0516730811895323</v>
      </c>
      <c r="K1020" s="16">
        <v>2015</v>
      </c>
      <c r="L1020" s="7">
        <f t="shared" ca="1" si="807"/>
        <v>1</v>
      </c>
      <c r="M1020" s="7">
        <f t="shared" si="888"/>
        <v>0.21142857142857144</v>
      </c>
      <c r="N1020" s="14">
        <f t="shared" si="889"/>
        <v>2.8571428571428571E-2</v>
      </c>
      <c r="O1020" s="1">
        <f ca="1">P1020*J1020*(1+Growth!G$6)^(2010-K1020)</f>
        <v>500.8263828046384</v>
      </c>
      <c r="P1020" s="40">
        <f>140*44/12</f>
        <v>513.33333333333337</v>
      </c>
      <c r="Q1020" s="2">
        <f t="shared" si="880"/>
        <v>513.33333333333337</v>
      </c>
      <c r="R1020" s="21">
        <f t="shared" ca="1" si="881"/>
        <v>250827.06571317819</v>
      </c>
      <c r="U1020" s="11"/>
      <c r="V1020" s="11"/>
      <c r="W1020" s="11"/>
      <c r="X1020" s="11"/>
      <c r="Y1020" s="11"/>
      <c r="Z1020" s="11"/>
      <c r="AA1020" s="11"/>
      <c r="AB1020" s="11"/>
      <c r="AC1020" s="1">
        <f t="shared" si="890"/>
        <v>7.4</v>
      </c>
      <c r="AD1020" s="5">
        <v>1</v>
      </c>
      <c r="AE1020" s="5">
        <v>0</v>
      </c>
      <c r="AF1020" s="5">
        <v>1</v>
      </c>
      <c r="AG1020" s="5">
        <v>1</v>
      </c>
      <c r="AH1020" s="5">
        <v>1</v>
      </c>
      <c r="AI1020" s="3">
        <f t="shared" si="891"/>
        <v>3.4</v>
      </c>
      <c r="AJ1020" s="5">
        <f t="shared" si="835"/>
        <v>0</v>
      </c>
      <c r="AK1020" s="5">
        <f t="shared" si="808"/>
        <v>0</v>
      </c>
      <c r="AL1020" s="5">
        <f t="shared" si="809"/>
        <v>0</v>
      </c>
      <c r="AM1020" s="5">
        <f t="shared" si="836"/>
        <v>0</v>
      </c>
      <c r="AN1020" s="5">
        <f t="shared" si="810"/>
        <v>1</v>
      </c>
      <c r="AO1020" s="5">
        <f t="shared" si="837"/>
        <v>0</v>
      </c>
      <c r="AP1020" s="11" t="s">
        <v>42</v>
      </c>
      <c r="AQ1020" s="11">
        <v>0.1</v>
      </c>
      <c r="AR1020" s="5">
        <v>0</v>
      </c>
      <c r="AS1020" s="5">
        <v>0</v>
      </c>
      <c r="AT1020" s="5">
        <v>1</v>
      </c>
      <c r="AU1020" s="5">
        <v>1</v>
      </c>
      <c r="AV1020" s="5">
        <v>0</v>
      </c>
      <c r="AW1020" s="5">
        <v>0</v>
      </c>
      <c r="AX1020" s="5">
        <v>1</v>
      </c>
      <c r="AY1020" s="1">
        <f t="shared" si="892"/>
        <v>0</v>
      </c>
      <c r="AZ1020" s="1">
        <f t="shared" si="893"/>
        <v>0</v>
      </c>
      <c r="BA1020" s="1">
        <f t="shared" si="894"/>
        <v>0</v>
      </c>
      <c r="BB1020" s="5">
        <v>0</v>
      </c>
      <c r="BC1020" s="5">
        <v>0</v>
      </c>
      <c r="BD1020" s="5">
        <v>0</v>
      </c>
      <c r="BE1020" s="5">
        <f t="shared" si="895"/>
        <v>1</v>
      </c>
      <c r="BF1020" s="5">
        <v>0</v>
      </c>
      <c r="BG1020" s="5">
        <f t="shared" si="896"/>
        <v>0</v>
      </c>
      <c r="BH1020" s="5">
        <f t="shared" si="896"/>
        <v>0</v>
      </c>
      <c r="BI1020" s="5">
        <f t="shared" si="896"/>
        <v>0</v>
      </c>
      <c r="BJ1020" s="5">
        <f t="shared" si="896"/>
        <v>0</v>
      </c>
      <c r="BK1020" s="5">
        <f t="shared" si="896"/>
        <v>0</v>
      </c>
      <c r="BL1020" s="5">
        <f t="shared" si="896"/>
        <v>0</v>
      </c>
      <c r="BM1020" s="5">
        <f t="shared" si="896"/>
        <v>0</v>
      </c>
      <c r="BN1020" s="5">
        <f t="shared" si="896"/>
        <v>0</v>
      </c>
      <c r="BO1020" s="5">
        <f t="shared" si="887"/>
        <v>0</v>
      </c>
      <c r="BP1020" s="5">
        <f t="shared" si="887"/>
        <v>0</v>
      </c>
      <c r="BQ1020" s="5">
        <f t="shared" si="887"/>
        <v>0</v>
      </c>
      <c r="BR1020" s="5">
        <f t="shared" si="887"/>
        <v>0</v>
      </c>
      <c r="BS1020" s="5">
        <f t="shared" si="887"/>
        <v>0</v>
      </c>
      <c r="BT1020" s="5">
        <f t="shared" si="887"/>
        <v>0</v>
      </c>
      <c r="BU1020" s="5">
        <f t="shared" si="887"/>
        <v>0</v>
      </c>
      <c r="BV1020" s="5">
        <f t="shared" si="887"/>
        <v>0</v>
      </c>
      <c r="BW1020" s="5">
        <f t="shared" si="887"/>
        <v>0</v>
      </c>
      <c r="BX1020" s="5">
        <f t="shared" si="887"/>
        <v>0</v>
      </c>
      <c r="BY1020" s="5">
        <f t="shared" si="887"/>
        <v>0</v>
      </c>
      <c r="BZ1020" s="5">
        <f t="shared" si="887"/>
        <v>0</v>
      </c>
      <c r="CA1020" s="5">
        <f t="shared" si="887"/>
        <v>0</v>
      </c>
      <c r="CB1020" s="5">
        <f t="shared" si="887"/>
        <v>0</v>
      </c>
      <c r="CC1020" s="5">
        <f t="shared" si="887"/>
        <v>0</v>
      </c>
      <c r="CD1020" s="5">
        <f t="shared" si="897"/>
        <v>1</v>
      </c>
      <c r="CE1020" s="5">
        <f t="shared" si="897"/>
        <v>0</v>
      </c>
    </row>
    <row r="1021" spans="1:83" x14ac:dyDescent="0.2">
      <c r="A1021" s="11"/>
      <c r="B1021" s="11"/>
      <c r="C1021" s="1">
        <f>Growth!D1026</f>
        <v>2.8571428571428571E-2</v>
      </c>
      <c r="D1021" s="5" t="b">
        <f t="shared" si="824"/>
        <v>0</v>
      </c>
      <c r="E1021" s="5">
        <v>2014</v>
      </c>
      <c r="F1021" s="5">
        <f ca="1">LOOKUP($E1021,frequence!$A$2:$A$35,frequence!L$2:L$35)</f>
        <v>50.75383375536623</v>
      </c>
      <c r="G1021" s="5">
        <f ca="1">LOOKUP($E1021,frequence!$A$2:$A$35,frequence!K$2:K$35)</f>
        <v>9.9751715831189358</v>
      </c>
      <c r="H1021" s="5">
        <f ca="1">LOOKUP($E1021,frequence!$A$2:$A$35,frequence!M$2:M$35)</f>
        <v>236.05429056976001</v>
      </c>
      <c r="I1021" s="16">
        <v>2007</v>
      </c>
      <c r="J1021" s="7">
        <f>LOOKUP(I1021,CPI!A$69:A$103,CPI!O$69:O$103)</f>
        <v>1.0516730811895323</v>
      </c>
      <c r="K1021" s="16">
        <v>2015</v>
      </c>
      <c r="L1021" s="7">
        <f t="shared" ca="1" si="807"/>
        <v>1</v>
      </c>
      <c r="M1021" s="7">
        <f t="shared" si="888"/>
        <v>0.21142857142857144</v>
      </c>
      <c r="N1021" s="14">
        <f t="shared" si="889"/>
        <v>2.8571428571428571E-2</v>
      </c>
      <c r="O1021" s="1">
        <f ca="1">P1021*J1021*(1+Growth!G$6)^(2010-K1021)</f>
        <v>71.546626114948339</v>
      </c>
      <c r="P1021" s="40">
        <f>20*44/12</f>
        <v>73.333333333333329</v>
      </c>
      <c r="Q1021" s="2">
        <f t="shared" si="880"/>
        <v>73.333333333333329</v>
      </c>
      <c r="R1021" s="21">
        <f t="shared" ca="1" si="881"/>
        <v>5118.9197084322077</v>
      </c>
      <c r="U1021" s="11"/>
      <c r="V1021" s="11"/>
      <c r="W1021" s="11"/>
      <c r="X1021" s="11"/>
      <c r="Y1021" s="11"/>
      <c r="Z1021" s="11"/>
      <c r="AA1021" s="11"/>
      <c r="AB1021" s="11"/>
      <c r="AC1021" s="1">
        <f t="shared" si="890"/>
        <v>7.4</v>
      </c>
      <c r="AD1021" s="5">
        <v>1</v>
      </c>
      <c r="AE1021" s="5">
        <v>0</v>
      </c>
      <c r="AF1021" s="5">
        <v>1</v>
      </c>
      <c r="AG1021" s="5">
        <v>1</v>
      </c>
      <c r="AH1021" s="5">
        <v>1</v>
      </c>
      <c r="AI1021" s="3">
        <f t="shared" si="891"/>
        <v>3.4</v>
      </c>
      <c r="AJ1021" s="5">
        <f t="shared" si="835"/>
        <v>1</v>
      </c>
      <c r="AK1021" s="5">
        <f t="shared" si="808"/>
        <v>0</v>
      </c>
      <c r="AL1021" s="5">
        <f t="shared" si="809"/>
        <v>0</v>
      </c>
      <c r="AM1021" s="5">
        <f t="shared" si="836"/>
        <v>0</v>
      </c>
      <c r="AN1021" s="5">
        <f t="shared" si="810"/>
        <v>0</v>
      </c>
      <c r="AO1021" s="5">
        <f t="shared" si="837"/>
        <v>0</v>
      </c>
      <c r="AP1021" s="11" t="s">
        <v>42</v>
      </c>
      <c r="AQ1021" s="11">
        <v>3</v>
      </c>
      <c r="AR1021" s="5">
        <v>0</v>
      </c>
      <c r="AS1021" s="5">
        <v>0</v>
      </c>
      <c r="AT1021" s="5">
        <v>1</v>
      </c>
      <c r="AU1021" s="5">
        <v>1</v>
      </c>
      <c r="AV1021" s="5">
        <v>0</v>
      </c>
      <c r="AW1021" s="5">
        <v>0</v>
      </c>
      <c r="AX1021" s="5">
        <v>1</v>
      </c>
      <c r="AY1021" s="1">
        <f t="shared" si="892"/>
        <v>1</v>
      </c>
      <c r="AZ1021" s="1">
        <f t="shared" si="893"/>
        <v>0</v>
      </c>
      <c r="BA1021" s="1">
        <f t="shared" si="894"/>
        <v>0</v>
      </c>
      <c r="BB1021" s="5">
        <v>0</v>
      </c>
      <c r="BC1021" s="5">
        <v>0</v>
      </c>
      <c r="BD1021" s="5">
        <v>0</v>
      </c>
      <c r="BE1021" s="5">
        <f t="shared" si="895"/>
        <v>1</v>
      </c>
      <c r="BF1021" s="5">
        <v>0</v>
      </c>
      <c r="BG1021" s="5">
        <f t="shared" si="896"/>
        <v>0</v>
      </c>
      <c r="BH1021" s="5">
        <f t="shared" si="896"/>
        <v>0</v>
      </c>
      <c r="BI1021" s="5">
        <f t="shared" si="896"/>
        <v>0</v>
      </c>
      <c r="BJ1021" s="5">
        <f t="shared" si="896"/>
        <v>0</v>
      </c>
      <c r="BK1021" s="5">
        <f t="shared" si="896"/>
        <v>0</v>
      </c>
      <c r="BL1021" s="5">
        <f t="shared" si="896"/>
        <v>0</v>
      </c>
      <c r="BM1021" s="5">
        <f t="shared" si="896"/>
        <v>0</v>
      </c>
      <c r="BN1021" s="5">
        <f t="shared" si="896"/>
        <v>0</v>
      </c>
      <c r="BO1021" s="5">
        <f t="shared" si="887"/>
        <v>0</v>
      </c>
      <c r="BP1021" s="5">
        <f t="shared" si="887"/>
        <v>0</v>
      </c>
      <c r="BQ1021" s="5">
        <f t="shared" si="887"/>
        <v>0</v>
      </c>
      <c r="BR1021" s="5">
        <f t="shared" si="887"/>
        <v>0</v>
      </c>
      <c r="BS1021" s="5">
        <f t="shared" si="887"/>
        <v>0</v>
      </c>
      <c r="BT1021" s="5">
        <f t="shared" si="887"/>
        <v>0</v>
      </c>
      <c r="BU1021" s="5">
        <f t="shared" si="887"/>
        <v>0</v>
      </c>
      <c r="BV1021" s="5">
        <f t="shared" si="887"/>
        <v>0</v>
      </c>
      <c r="BW1021" s="5">
        <f t="shared" si="887"/>
        <v>0</v>
      </c>
      <c r="BX1021" s="5">
        <f t="shared" si="887"/>
        <v>0</v>
      </c>
      <c r="BY1021" s="5">
        <f t="shared" si="887"/>
        <v>0</v>
      </c>
      <c r="BZ1021" s="5">
        <f t="shared" si="887"/>
        <v>0</v>
      </c>
      <c r="CA1021" s="5">
        <f t="shared" si="887"/>
        <v>0</v>
      </c>
      <c r="CB1021" s="5">
        <f t="shared" si="887"/>
        <v>0</v>
      </c>
      <c r="CC1021" s="5">
        <f t="shared" si="887"/>
        <v>0</v>
      </c>
      <c r="CD1021" s="5">
        <f t="shared" si="897"/>
        <v>1</v>
      </c>
      <c r="CE1021" s="5">
        <f t="shared" si="897"/>
        <v>0</v>
      </c>
    </row>
    <row r="1022" spans="1:83" x14ac:dyDescent="0.2">
      <c r="A1022" s="11"/>
      <c r="B1022" s="11"/>
      <c r="C1022" s="1">
        <f>Growth!D1027</f>
        <v>2.8571428571428571E-2</v>
      </c>
      <c r="D1022" s="5" t="b">
        <f t="shared" si="824"/>
        <v>0</v>
      </c>
      <c r="E1022" s="5">
        <v>2014</v>
      </c>
      <c r="F1022" s="5">
        <f ca="1">LOOKUP($E1022,frequence!$A$2:$A$35,frequence!L$2:L$35)</f>
        <v>50.75383375536623</v>
      </c>
      <c r="G1022" s="5">
        <f ca="1">LOOKUP($E1022,frequence!$A$2:$A$35,frequence!K$2:K$35)</f>
        <v>9.9751715831189358</v>
      </c>
      <c r="H1022" s="5">
        <f ca="1">LOOKUP($E1022,frequence!$A$2:$A$35,frequence!M$2:M$35)</f>
        <v>236.05429056976001</v>
      </c>
      <c r="I1022" s="16">
        <v>2007</v>
      </c>
      <c r="J1022" s="7">
        <f>LOOKUP(I1022,CPI!A$69:A$103,CPI!O$69:O$103)</f>
        <v>1.0516730811895323</v>
      </c>
      <c r="K1022" s="16">
        <v>2015</v>
      </c>
      <c r="L1022" s="7">
        <f t="shared" ca="1" si="807"/>
        <v>1</v>
      </c>
      <c r="M1022" s="7">
        <f t="shared" si="888"/>
        <v>0.21142857142857144</v>
      </c>
      <c r="N1022" s="14">
        <f t="shared" si="889"/>
        <v>2.8571428571428571E-2</v>
      </c>
      <c r="O1022" s="1">
        <f ca="1">P1022*J1022*(1+Growth!G$6)^(2010-K1022)</f>
        <v>64.39196350345351</v>
      </c>
      <c r="P1022" s="40">
        <f>18*44/12</f>
        <v>66</v>
      </c>
      <c r="Q1022" s="2">
        <f t="shared" si="880"/>
        <v>66</v>
      </c>
      <c r="R1022" s="21">
        <f t="shared" ca="1" si="881"/>
        <v>4146.3249638300886</v>
      </c>
      <c r="U1022" s="11"/>
      <c r="V1022" s="11"/>
      <c r="W1022" s="11"/>
      <c r="X1022" s="11"/>
      <c r="Y1022" s="11"/>
      <c r="Z1022" s="11"/>
      <c r="AA1022" s="11"/>
      <c r="AB1022" s="11"/>
      <c r="AC1022" s="1">
        <f t="shared" si="890"/>
        <v>7.4</v>
      </c>
      <c r="AD1022" s="5">
        <v>1</v>
      </c>
      <c r="AE1022" s="5">
        <v>0</v>
      </c>
      <c r="AF1022" s="5">
        <v>1</v>
      </c>
      <c r="AG1022" s="5">
        <v>1</v>
      </c>
      <c r="AH1022" s="5">
        <v>1</v>
      </c>
      <c r="AI1022" s="3">
        <f t="shared" si="891"/>
        <v>3.4</v>
      </c>
      <c r="AJ1022" s="5">
        <f t="shared" si="835"/>
        <v>0</v>
      </c>
      <c r="AK1022" s="5">
        <f t="shared" si="808"/>
        <v>0</v>
      </c>
      <c r="AL1022" s="5">
        <f t="shared" si="809"/>
        <v>0</v>
      </c>
      <c r="AM1022" s="5">
        <f t="shared" si="836"/>
        <v>1</v>
      </c>
      <c r="AN1022" s="5">
        <f t="shared" si="810"/>
        <v>0</v>
      </c>
      <c r="AO1022" s="5">
        <f t="shared" si="837"/>
        <v>0</v>
      </c>
      <c r="AP1022" s="11" t="s">
        <v>42</v>
      </c>
      <c r="AQ1022" s="11">
        <v>1</v>
      </c>
      <c r="AR1022" s="5">
        <v>0</v>
      </c>
      <c r="AS1022" s="5">
        <v>0</v>
      </c>
      <c r="AT1022" s="5">
        <v>1</v>
      </c>
      <c r="AU1022" s="5">
        <v>1</v>
      </c>
      <c r="AV1022" s="5">
        <v>0</v>
      </c>
      <c r="AW1022" s="5">
        <v>0</v>
      </c>
      <c r="AX1022" s="5">
        <v>1</v>
      </c>
      <c r="AY1022" s="1">
        <f t="shared" si="892"/>
        <v>0</v>
      </c>
      <c r="AZ1022" s="1">
        <f t="shared" si="893"/>
        <v>1</v>
      </c>
      <c r="BA1022" s="1">
        <f t="shared" si="894"/>
        <v>0</v>
      </c>
      <c r="BB1022" s="5">
        <v>0</v>
      </c>
      <c r="BC1022" s="5">
        <v>0</v>
      </c>
      <c r="BD1022" s="5">
        <v>0</v>
      </c>
      <c r="BE1022" s="5">
        <f t="shared" si="895"/>
        <v>1</v>
      </c>
      <c r="BF1022" s="5">
        <v>0</v>
      </c>
      <c r="BG1022" s="5">
        <f t="shared" si="896"/>
        <v>0</v>
      </c>
      <c r="BH1022" s="5">
        <f t="shared" si="896"/>
        <v>0</v>
      </c>
      <c r="BI1022" s="5">
        <f t="shared" si="896"/>
        <v>0</v>
      </c>
      <c r="BJ1022" s="5">
        <f t="shared" si="896"/>
        <v>0</v>
      </c>
      <c r="BK1022" s="5">
        <f t="shared" si="896"/>
        <v>0</v>
      </c>
      <c r="BL1022" s="5">
        <f t="shared" si="896"/>
        <v>0</v>
      </c>
      <c r="BM1022" s="5">
        <f t="shared" si="896"/>
        <v>0</v>
      </c>
      <c r="BN1022" s="5">
        <f t="shared" si="896"/>
        <v>0</v>
      </c>
      <c r="BO1022" s="5">
        <f t="shared" si="887"/>
        <v>0</v>
      </c>
      <c r="BP1022" s="5">
        <f t="shared" si="887"/>
        <v>0</v>
      </c>
      <c r="BQ1022" s="5">
        <f t="shared" si="887"/>
        <v>0</v>
      </c>
      <c r="BR1022" s="5">
        <f t="shared" si="887"/>
        <v>0</v>
      </c>
      <c r="BS1022" s="5">
        <f t="shared" si="887"/>
        <v>0</v>
      </c>
      <c r="BT1022" s="5">
        <f t="shared" si="887"/>
        <v>0</v>
      </c>
      <c r="BU1022" s="5">
        <f t="shared" si="887"/>
        <v>0</v>
      </c>
      <c r="BV1022" s="5">
        <f t="shared" si="887"/>
        <v>0</v>
      </c>
      <c r="BW1022" s="5">
        <f t="shared" si="887"/>
        <v>0</v>
      </c>
      <c r="BX1022" s="5">
        <f t="shared" si="887"/>
        <v>0</v>
      </c>
      <c r="BY1022" s="5">
        <f t="shared" si="887"/>
        <v>0</v>
      </c>
      <c r="BZ1022" s="5">
        <f t="shared" si="887"/>
        <v>0</v>
      </c>
      <c r="CA1022" s="5">
        <f t="shared" si="887"/>
        <v>0</v>
      </c>
      <c r="CB1022" s="5">
        <f t="shared" si="887"/>
        <v>0</v>
      </c>
      <c r="CC1022" s="5">
        <f t="shared" si="887"/>
        <v>0</v>
      </c>
      <c r="CD1022" s="5">
        <f t="shared" si="897"/>
        <v>1</v>
      </c>
      <c r="CE1022" s="5">
        <f t="shared" si="897"/>
        <v>0</v>
      </c>
    </row>
    <row r="1023" spans="1:83" x14ac:dyDescent="0.2">
      <c r="A1023" s="11"/>
      <c r="B1023" s="11"/>
      <c r="C1023" s="1">
        <f>Growth!D1028</f>
        <v>2.8571428571428571E-2</v>
      </c>
      <c r="D1023" s="5" t="b">
        <f t="shared" si="824"/>
        <v>0</v>
      </c>
      <c r="E1023" s="5">
        <v>2014</v>
      </c>
      <c r="F1023" s="5">
        <f ca="1">LOOKUP($E1023,frequence!$A$2:$A$35,frequence!L$2:L$35)</f>
        <v>50.75383375536623</v>
      </c>
      <c r="G1023" s="5">
        <f ca="1">LOOKUP($E1023,frequence!$A$2:$A$35,frequence!K$2:K$35)</f>
        <v>9.9751715831189358</v>
      </c>
      <c r="H1023" s="5">
        <f ca="1">LOOKUP($E1023,frequence!$A$2:$A$35,frequence!M$2:M$35)</f>
        <v>236.05429056976001</v>
      </c>
      <c r="I1023" s="16">
        <v>2007</v>
      </c>
      <c r="J1023" s="7">
        <f>LOOKUP(I1023,CPI!A$69:A$103,CPI!O$69:O$103)</f>
        <v>1.0516730811895323</v>
      </c>
      <c r="K1023" s="16">
        <v>2015</v>
      </c>
      <c r="L1023" s="7">
        <f t="shared" ca="1" si="807"/>
        <v>1</v>
      </c>
      <c r="M1023" s="7">
        <f t="shared" si="888"/>
        <v>0.21142857142857144</v>
      </c>
      <c r="N1023" s="14">
        <f t="shared" si="889"/>
        <v>2.8571428571428571E-2</v>
      </c>
      <c r="O1023" s="1">
        <f ca="1">P1023*J1023*(1+Growth!G$6)^(2010-K1023)</f>
        <v>218.21720965059242</v>
      </c>
      <c r="P1023" s="40">
        <f>61*44/12</f>
        <v>223.66666666666666</v>
      </c>
      <c r="Q1023" s="2">
        <f t="shared" si="880"/>
        <v>223.66666666666666</v>
      </c>
      <c r="R1023" s="21">
        <f t="shared" ca="1" si="881"/>
        <v>47618.750587690607</v>
      </c>
      <c r="U1023" s="11"/>
      <c r="V1023" s="11"/>
      <c r="W1023" s="11"/>
      <c r="X1023" s="11"/>
      <c r="Y1023" s="11"/>
      <c r="Z1023" s="11"/>
      <c r="AA1023" s="11"/>
      <c r="AB1023" s="11"/>
      <c r="AC1023" s="1">
        <f t="shared" si="890"/>
        <v>7.4</v>
      </c>
      <c r="AD1023" s="5">
        <v>1</v>
      </c>
      <c r="AE1023" s="5">
        <v>0</v>
      </c>
      <c r="AF1023" s="5">
        <v>1</v>
      </c>
      <c r="AG1023" s="5">
        <v>1</v>
      </c>
      <c r="AH1023" s="5">
        <v>1</v>
      </c>
      <c r="AI1023" s="3">
        <f t="shared" si="891"/>
        <v>3.4</v>
      </c>
      <c r="AJ1023" s="5">
        <f t="shared" si="835"/>
        <v>0</v>
      </c>
      <c r="AK1023" s="5">
        <f t="shared" si="808"/>
        <v>0</v>
      </c>
      <c r="AL1023" s="5">
        <f t="shared" si="809"/>
        <v>0</v>
      </c>
      <c r="AM1023" s="5">
        <f t="shared" si="836"/>
        <v>0</v>
      </c>
      <c r="AN1023" s="5">
        <f t="shared" si="810"/>
        <v>1</v>
      </c>
      <c r="AO1023" s="5">
        <f t="shared" si="837"/>
        <v>0</v>
      </c>
      <c r="AP1023" s="11" t="s">
        <v>42</v>
      </c>
      <c r="AQ1023" s="11">
        <v>0.1</v>
      </c>
      <c r="AR1023" s="5">
        <v>0</v>
      </c>
      <c r="AS1023" s="5">
        <v>0</v>
      </c>
      <c r="AT1023" s="5">
        <v>1</v>
      </c>
      <c r="AU1023" s="5">
        <v>1</v>
      </c>
      <c r="AV1023" s="5">
        <v>0</v>
      </c>
      <c r="AW1023" s="5">
        <v>0</v>
      </c>
      <c r="AX1023" s="5">
        <v>1</v>
      </c>
      <c r="AY1023" s="1">
        <f t="shared" si="892"/>
        <v>0</v>
      </c>
      <c r="AZ1023" s="1">
        <f t="shared" si="893"/>
        <v>0</v>
      </c>
      <c r="BA1023" s="1">
        <f t="shared" si="894"/>
        <v>0</v>
      </c>
      <c r="BB1023" s="5">
        <v>0</v>
      </c>
      <c r="BC1023" s="5">
        <v>0</v>
      </c>
      <c r="BD1023" s="5">
        <v>0</v>
      </c>
      <c r="BE1023" s="5">
        <f t="shared" si="895"/>
        <v>1</v>
      </c>
      <c r="BF1023" s="5">
        <v>0</v>
      </c>
      <c r="BG1023" s="5">
        <f t="shared" si="896"/>
        <v>0</v>
      </c>
      <c r="BH1023" s="5">
        <f t="shared" si="896"/>
        <v>0</v>
      </c>
      <c r="BI1023" s="5">
        <f t="shared" si="896"/>
        <v>0</v>
      </c>
      <c r="BJ1023" s="5">
        <f t="shared" si="896"/>
        <v>0</v>
      </c>
      <c r="BK1023" s="5">
        <f t="shared" si="896"/>
        <v>0</v>
      </c>
      <c r="BL1023" s="5">
        <f t="shared" si="896"/>
        <v>0</v>
      </c>
      <c r="BM1023" s="5">
        <f t="shared" si="896"/>
        <v>0</v>
      </c>
      <c r="BN1023" s="5">
        <f t="shared" si="896"/>
        <v>0</v>
      </c>
      <c r="BO1023" s="5">
        <f t="shared" si="887"/>
        <v>0</v>
      </c>
      <c r="BP1023" s="5">
        <f t="shared" si="887"/>
        <v>0</v>
      </c>
      <c r="BQ1023" s="5">
        <f t="shared" si="887"/>
        <v>0</v>
      </c>
      <c r="BR1023" s="5">
        <f t="shared" si="887"/>
        <v>0</v>
      </c>
      <c r="BS1023" s="5">
        <f t="shared" si="887"/>
        <v>0</v>
      </c>
      <c r="BT1023" s="5">
        <f t="shared" si="887"/>
        <v>0</v>
      </c>
      <c r="BU1023" s="5">
        <f t="shared" si="887"/>
        <v>0</v>
      </c>
      <c r="BV1023" s="5">
        <f t="shared" si="887"/>
        <v>0</v>
      </c>
      <c r="BW1023" s="5">
        <f t="shared" si="887"/>
        <v>0</v>
      </c>
      <c r="BX1023" s="5">
        <f t="shared" si="887"/>
        <v>0</v>
      </c>
      <c r="BY1023" s="5">
        <f t="shared" si="887"/>
        <v>0</v>
      </c>
      <c r="BZ1023" s="5">
        <f t="shared" si="887"/>
        <v>0</v>
      </c>
      <c r="CA1023" s="5">
        <f t="shared" si="887"/>
        <v>0</v>
      </c>
      <c r="CB1023" s="5">
        <f t="shared" si="887"/>
        <v>0</v>
      </c>
      <c r="CC1023" s="5">
        <f t="shared" si="887"/>
        <v>0</v>
      </c>
      <c r="CD1023" s="5">
        <f t="shared" si="897"/>
        <v>1</v>
      </c>
      <c r="CE1023" s="5">
        <f t="shared" si="897"/>
        <v>0</v>
      </c>
    </row>
    <row r="1024" spans="1:83" x14ac:dyDescent="0.2">
      <c r="A1024" s="11"/>
      <c r="B1024" s="11"/>
      <c r="C1024" s="1">
        <f>Growth!D1029</f>
        <v>2.8571428571428571E-2</v>
      </c>
      <c r="D1024" s="5" t="b">
        <f t="shared" si="824"/>
        <v>0</v>
      </c>
      <c r="E1024" s="5">
        <v>2014</v>
      </c>
      <c r="F1024" s="5">
        <f ca="1">LOOKUP($E1024,frequence!$A$2:$A$35,frequence!L$2:L$35)</f>
        <v>50.75383375536623</v>
      </c>
      <c r="G1024" s="5">
        <f ca="1">LOOKUP($E1024,frequence!$A$2:$A$35,frequence!K$2:K$35)</f>
        <v>9.9751715831189358</v>
      </c>
      <c r="H1024" s="5">
        <f ca="1">LOOKUP($E1024,frequence!$A$2:$A$35,frequence!M$2:M$35)</f>
        <v>236.05429056976001</v>
      </c>
      <c r="I1024" s="16">
        <v>2007</v>
      </c>
      <c r="J1024" s="7">
        <f>LOOKUP(I1024,CPI!A$69:A$103,CPI!O$69:O$103)</f>
        <v>1.0516730811895323</v>
      </c>
      <c r="K1024" s="16">
        <v>2015</v>
      </c>
      <c r="L1024" s="7">
        <f t="shared" ca="1" si="807"/>
        <v>1</v>
      </c>
      <c r="M1024" s="7">
        <f t="shared" si="888"/>
        <v>0.21142857142857144</v>
      </c>
      <c r="N1024" s="14">
        <f t="shared" si="889"/>
        <v>2.8571428571428571E-2</v>
      </c>
      <c r="O1024" s="1">
        <f ca="1">P1024*J1024*(1+Growth!G$6)^(2010-K1024)</f>
        <v>132.3612583126544</v>
      </c>
      <c r="P1024" s="40">
        <f>37*44/12</f>
        <v>135.66666666666666</v>
      </c>
      <c r="Q1024" s="2">
        <f t="shared" si="880"/>
        <v>135.66666666666666</v>
      </c>
      <c r="R1024" s="21">
        <f t="shared" ca="1" si="881"/>
        <v>17519.502702109225</v>
      </c>
      <c r="U1024" s="11"/>
      <c r="V1024" s="11"/>
      <c r="W1024" s="11"/>
      <c r="X1024" s="11"/>
      <c r="Y1024" s="11"/>
      <c r="Z1024" s="11"/>
      <c r="AA1024" s="11"/>
      <c r="AB1024" s="11"/>
      <c r="AC1024" s="1">
        <f t="shared" si="890"/>
        <v>7.4</v>
      </c>
      <c r="AD1024" s="5">
        <v>1</v>
      </c>
      <c r="AE1024" s="5">
        <v>0</v>
      </c>
      <c r="AF1024" s="5">
        <v>1</v>
      </c>
      <c r="AG1024" s="5">
        <v>1</v>
      </c>
      <c r="AH1024" s="5">
        <v>1</v>
      </c>
      <c r="AI1024" s="3">
        <f t="shared" si="891"/>
        <v>3.4</v>
      </c>
      <c r="AJ1024" s="5">
        <f t="shared" si="835"/>
        <v>0</v>
      </c>
      <c r="AK1024" s="5">
        <f t="shared" si="808"/>
        <v>0</v>
      </c>
      <c r="AL1024" s="5">
        <f t="shared" si="809"/>
        <v>0</v>
      </c>
      <c r="AM1024" s="5">
        <f t="shared" si="836"/>
        <v>1</v>
      </c>
      <c r="AN1024" s="5">
        <f t="shared" si="810"/>
        <v>0</v>
      </c>
      <c r="AO1024" s="5">
        <f t="shared" si="837"/>
        <v>0</v>
      </c>
      <c r="AP1024" s="11" t="s">
        <v>42</v>
      </c>
      <c r="AQ1024" s="11">
        <v>1</v>
      </c>
      <c r="AR1024" s="5">
        <v>0</v>
      </c>
      <c r="AS1024" s="5">
        <v>0</v>
      </c>
      <c r="AT1024" s="5">
        <v>1</v>
      </c>
      <c r="AU1024" s="5">
        <v>1</v>
      </c>
      <c r="AV1024" s="5">
        <v>0</v>
      </c>
      <c r="AW1024" s="5">
        <v>0</v>
      </c>
      <c r="AX1024" s="5">
        <v>1</v>
      </c>
      <c r="AY1024" s="1">
        <f t="shared" si="892"/>
        <v>0</v>
      </c>
      <c r="AZ1024" s="1">
        <f t="shared" si="893"/>
        <v>1</v>
      </c>
      <c r="BA1024" s="1">
        <f t="shared" si="894"/>
        <v>0</v>
      </c>
      <c r="BB1024" s="5">
        <v>0</v>
      </c>
      <c r="BC1024" s="5">
        <v>0</v>
      </c>
      <c r="BD1024" s="5">
        <v>0</v>
      </c>
      <c r="BE1024" s="5">
        <f t="shared" si="895"/>
        <v>1</v>
      </c>
      <c r="BF1024" s="5">
        <v>0</v>
      </c>
      <c r="BG1024" s="5">
        <f t="shared" si="896"/>
        <v>0</v>
      </c>
      <c r="BH1024" s="5">
        <f t="shared" si="896"/>
        <v>0</v>
      </c>
      <c r="BI1024" s="5">
        <f t="shared" si="896"/>
        <v>0</v>
      </c>
      <c r="BJ1024" s="5">
        <f t="shared" si="896"/>
        <v>0</v>
      </c>
      <c r="BK1024" s="5">
        <f t="shared" si="896"/>
        <v>0</v>
      </c>
      <c r="BL1024" s="5">
        <f t="shared" si="896"/>
        <v>0</v>
      </c>
      <c r="BM1024" s="5">
        <f t="shared" si="896"/>
        <v>0</v>
      </c>
      <c r="BN1024" s="5">
        <f t="shared" si="896"/>
        <v>0</v>
      </c>
      <c r="BO1024" s="5">
        <f t="shared" si="887"/>
        <v>0</v>
      </c>
      <c r="BP1024" s="5">
        <f t="shared" si="887"/>
        <v>0</v>
      </c>
      <c r="BQ1024" s="5">
        <f t="shared" si="887"/>
        <v>0</v>
      </c>
      <c r="BR1024" s="5">
        <f t="shared" si="887"/>
        <v>0</v>
      </c>
      <c r="BS1024" s="5">
        <f t="shared" si="887"/>
        <v>0</v>
      </c>
      <c r="BT1024" s="5">
        <f t="shared" si="887"/>
        <v>0</v>
      </c>
      <c r="BU1024" s="5">
        <f t="shared" si="887"/>
        <v>0</v>
      </c>
      <c r="BV1024" s="5">
        <f t="shared" si="887"/>
        <v>0</v>
      </c>
      <c r="BW1024" s="5">
        <f t="shared" si="887"/>
        <v>0</v>
      </c>
      <c r="BX1024" s="5">
        <f t="shared" si="887"/>
        <v>0</v>
      </c>
      <c r="BY1024" s="5">
        <f t="shared" si="887"/>
        <v>0</v>
      </c>
      <c r="BZ1024" s="5">
        <f t="shared" si="887"/>
        <v>0</v>
      </c>
      <c r="CA1024" s="5">
        <f t="shared" si="887"/>
        <v>0</v>
      </c>
      <c r="CB1024" s="5">
        <f t="shared" si="887"/>
        <v>0</v>
      </c>
      <c r="CC1024" s="5">
        <f t="shared" si="887"/>
        <v>0</v>
      </c>
      <c r="CD1024" s="5">
        <f t="shared" si="897"/>
        <v>1</v>
      </c>
      <c r="CE1024" s="5">
        <f t="shared" si="897"/>
        <v>0</v>
      </c>
    </row>
    <row r="1025" spans="1:83" x14ac:dyDescent="0.2">
      <c r="A1025" s="11"/>
      <c r="B1025" s="11"/>
      <c r="C1025" s="1">
        <f>Growth!D1030</f>
        <v>2.8571428571428571E-2</v>
      </c>
      <c r="D1025" s="5" t="b">
        <f t="shared" si="824"/>
        <v>0</v>
      </c>
      <c r="E1025" s="5">
        <v>2014</v>
      </c>
      <c r="F1025" s="5">
        <f ca="1">LOOKUP($E1025,frequence!$A$2:$A$35,frequence!L$2:L$35)</f>
        <v>50.75383375536623</v>
      </c>
      <c r="G1025" s="5">
        <f ca="1">LOOKUP($E1025,frequence!$A$2:$A$35,frequence!K$2:K$35)</f>
        <v>9.9751715831189358</v>
      </c>
      <c r="H1025" s="5">
        <f ca="1">LOOKUP($E1025,frequence!$A$2:$A$35,frequence!M$2:M$35)</f>
        <v>236.05429056976001</v>
      </c>
      <c r="I1025" s="16">
        <v>2007</v>
      </c>
      <c r="J1025" s="7">
        <f>LOOKUP(I1025,CPI!A$69:A$103,CPI!O$69:O$103)</f>
        <v>1.0516730811895323</v>
      </c>
      <c r="K1025" s="16">
        <v>2015</v>
      </c>
      <c r="L1025" s="7">
        <f t="shared" ca="1" si="807"/>
        <v>1</v>
      </c>
      <c r="M1025" s="7">
        <f t="shared" si="888"/>
        <v>0.21142857142857144</v>
      </c>
      <c r="N1025" s="14">
        <f t="shared" si="889"/>
        <v>2.8571428571428571E-2</v>
      </c>
      <c r="O1025" s="1">
        <f ca="1">P1025*J1025*(1+Growth!G$6)^(2010-K1025)</f>
        <v>504.40371411038575</v>
      </c>
      <c r="P1025" s="40">
        <f>141*44/12</f>
        <v>517</v>
      </c>
      <c r="Q1025" s="2">
        <f t="shared" si="880"/>
        <v>517</v>
      </c>
      <c r="R1025" s="21">
        <f t="shared" ca="1" si="881"/>
        <v>254423.10680835176</v>
      </c>
      <c r="U1025" s="11"/>
      <c r="V1025" s="11"/>
      <c r="W1025" s="11"/>
      <c r="X1025" s="11"/>
      <c r="Y1025" s="11"/>
      <c r="Z1025" s="11"/>
      <c r="AA1025" s="11"/>
      <c r="AB1025" s="11"/>
      <c r="AC1025" s="1">
        <f t="shared" si="890"/>
        <v>7.4</v>
      </c>
      <c r="AD1025" s="5">
        <v>1</v>
      </c>
      <c r="AE1025" s="5">
        <v>0</v>
      </c>
      <c r="AF1025" s="5">
        <v>1</v>
      </c>
      <c r="AG1025" s="5">
        <v>1</v>
      </c>
      <c r="AH1025" s="5">
        <v>1</v>
      </c>
      <c r="AI1025" s="3">
        <f t="shared" si="891"/>
        <v>3.4</v>
      </c>
      <c r="AJ1025" s="5">
        <f t="shared" si="835"/>
        <v>0</v>
      </c>
      <c r="AK1025" s="5">
        <f t="shared" si="808"/>
        <v>0</v>
      </c>
      <c r="AL1025" s="5">
        <f t="shared" si="809"/>
        <v>0</v>
      </c>
      <c r="AM1025" s="5">
        <f t="shared" si="836"/>
        <v>0</v>
      </c>
      <c r="AN1025" s="5">
        <f t="shared" si="810"/>
        <v>1</v>
      </c>
      <c r="AO1025" s="5">
        <f t="shared" si="837"/>
        <v>0</v>
      </c>
      <c r="AP1025" s="11" t="s">
        <v>42</v>
      </c>
      <c r="AQ1025" s="11">
        <v>0.1</v>
      </c>
      <c r="AR1025" s="5">
        <v>0</v>
      </c>
      <c r="AS1025" s="5">
        <v>0</v>
      </c>
      <c r="AT1025" s="5">
        <v>1</v>
      </c>
      <c r="AU1025" s="5">
        <v>1</v>
      </c>
      <c r="AV1025" s="5">
        <v>0</v>
      </c>
      <c r="AW1025" s="5">
        <v>0</v>
      </c>
      <c r="AX1025" s="5">
        <v>1</v>
      </c>
      <c r="AY1025" s="1">
        <f t="shared" si="892"/>
        <v>0</v>
      </c>
      <c r="AZ1025" s="1">
        <f t="shared" si="893"/>
        <v>0</v>
      </c>
      <c r="BA1025" s="1">
        <f t="shared" si="894"/>
        <v>0</v>
      </c>
      <c r="BB1025" s="5">
        <v>0</v>
      </c>
      <c r="BC1025" s="5">
        <v>0</v>
      </c>
      <c r="BD1025" s="5">
        <v>0</v>
      </c>
      <c r="BE1025" s="5">
        <f t="shared" si="895"/>
        <v>1</v>
      </c>
      <c r="BF1025" s="5">
        <v>0</v>
      </c>
      <c r="BG1025" s="5">
        <f t="shared" si="896"/>
        <v>0</v>
      </c>
      <c r="BH1025" s="5">
        <f t="shared" si="896"/>
        <v>0</v>
      </c>
      <c r="BI1025" s="5">
        <f t="shared" si="896"/>
        <v>0</v>
      </c>
      <c r="BJ1025" s="5">
        <f t="shared" si="896"/>
        <v>0</v>
      </c>
      <c r="BK1025" s="5">
        <f t="shared" si="896"/>
        <v>0</v>
      </c>
      <c r="BL1025" s="5">
        <f t="shared" si="896"/>
        <v>0</v>
      </c>
      <c r="BM1025" s="5">
        <f t="shared" si="896"/>
        <v>0</v>
      </c>
      <c r="BN1025" s="5">
        <f t="shared" si="896"/>
        <v>0</v>
      </c>
      <c r="BO1025" s="5">
        <f t="shared" si="887"/>
        <v>0</v>
      </c>
      <c r="BP1025" s="5">
        <f t="shared" si="887"/>
        <v>0</v>
      </c>
      <c r="BQ1025" s="5">
        <f t="shared" si="887"/>
        <v>0</v>
      </c>
      <c r="BR1025" s="5">
        <f t="shared" si="887"/>
        <v>0</v>
      </c>
      <c r="BS1025" s="5">
        <f t="shared" si="887"/>
        <v>0</v>
      </c>
      <c r="BT1025" s="5">
        <f t="shared" si="887"/>
        <v>0</v>
      </c>
      <c r="BU1025" s="5">
        <f t="shared" si="887"/>
        <v>0</v>
      </c>
      <c r="BV1025" s="5">
        <f t="shared" si="887"/>
        <v>0</v>
      </c>
      <c r="BW1025" s="5">
        <f t="shared" si="887"/>
        <v>0</v>
      </c>
      <c r="BX1025" s="5">
        <f t="shared" si="887"/>
        <v>0</v>
      </c>
      <c r="BY1025" s="5">
        <f t="shared" si="887"/>
        <v>0</v>
      </c>
      <c r="BZ1025" s="5">
        <f t="shared" si="887"/>
        <v>0</v>
      </c>
      <c r="CA1025" s="5">
        <f t="shared" si="887"/>
        <v>0</v>
      </c>
      <c r="CB1025" s="5">
        <f t="shared" si="887"/>
        <v>0</v>
      </c>
      <c r="CC1025" s="5">
        <f t="shared" si="887"/>
        <v>0</v>
      </c>
      <c r="CD1025" s="5">
        <f t="shared" si="897"/>
        <v>1</v>
      </c>
      <c r="CE1025" s="5">
        <f t="shared" si="897"/>
        <v>0</v>
      </c>
    </row>
    <row r="1026" spans="1:83" x14ac:dyDescent="0.2">
      <c r="A1026" s="11"/>
      <c r="B1026" s="11"/>
      <c r="C1026" s="1">
        <f>Growth!D1031</f>
        <v>2.8571428571428571E-2</v>
      </c>
      <c r="D1026" s="5" t="b">
        <f t="shared" si="824"/>
        <v>0</v>
      </c>
      <c r="E1026" s="5">
        <v>2014</v>
      </c>
      <c r="F1026" s="5">
        <f ca="1">LOOKUP($E1026,frequence!$A$2:$A$35,frequence!L$2:L$35)</f>
        <v>50.75383375536623</v>
      </c>
      <c r="G1026" s="5">
        <f ca="1">LOOKUP($E1026,frequence!$A$2:$A$35,frequence!K$2:K$35)</f>
        <v>9.9751715831189358</v>
      </c>
      <c r="H1026" s="5">
        <f ca="1">LOOKUP($E1026,frequence!$A$2:$A$35,frequence!M$2:M$35)</f>
        <v>236.05429056976001</v>
      </c>
      <c r="I1026" s="16">
        <v>2007</v>
      </c>
      <c r="J1026" s="7">
        <f>LOOKUP(I1026,CPI!A$69:A$103,CPI!O$69:O$103)</f>
        <v>1.0516730811895323</v>
      </c>
      <c r="K1026" s="16">
        <v>2015</v>
      </c>
      <c r="L1026" s="7">
        <f t="shared" ca="1" si="807"/>
        <v>1</v>
      </c>
      <c r="M1026" s="7">
        <f t="shared" si="888"/>
        <v>0.21142857142857144</v>
      </c>
      <c r="N1026" s="14">
        <f t="shared" si="889"/>
        <v>2.8571428571428571E-2</v>
      </c>
      <c r="O1026" s="1">
        <f ca="1">P1026*J1026*(1+Growth!G$6)^(2010-K1026)</f>
        <v>75.12395742069576</v>
      </c>
      <c r="P1026" s="40">
        <f>21*44/12</f>
        <v>77</v>
      </c>
      <c r="Q1026" s="2">
        <f t="shared" si="880"/>
        <v>77</v>
      </c>
      <c r="R1026" s="21">
        <f t="shared" ca="1" si="881"/>
        <v>5643.6089785465092</v>
      </c>
      <c r="U1026" s="11"/>
      <c r="V1026" s="11"/>
      <c r="W1026" s="11"/>
      <c r="X1026" s="11"/>
      <c r="Y1026" s="11"/>
      <c r="Z1026" s="11"/>
      <c r="AA1026" s="11"/>
      <c r="AB1026" s="11"/>
      <c r="AC1026" s="1">
        <f t="shared" si="890"/>
        <v>7.4</v>
      </c>
      <c r="AD1026" s="5">
        <v>1</v>
      </c>
      <c r="AE1026" s="5">
        <v>0</v>
      </c>
      <c r="AF1026" s="5">
        <v>1</v>
      </c>
      <c r="AG1026" s="5">
        <v>1</v>
      </c>
      <c r="AH1026" s="5">
        <v>1</v>
      </c>
      <c r="AI1026" s="3">
        <f t="shared" si="891"/>
        <v>3.4</v>
      </c>
      <c r="AJ1026" s="5">
        <f t="shared" si="835"/>
        <v>1</v>
      </c>
      <c r="AK1026" s="5">
        <f t="shared" si="808"/>
        <v>0</v>
      </c>
      <c r="AL1026" s="5">
        <f t="shared" si="809"/>
        <v>0</v>
      </c>
      <c r="AM1026" s="5">
        <f t="shared" si="836"/>
        <v>0</v>
      </c>
      <c r="AN1026" s="5">
        <f t="shared" si="810"/>
        <v>0</v>
      </c>
      <c r="AO1026" s="5">
        <f t="shared" si="837"/>
        <v>0</v>
      </c>
      <c r="AP1026" s="11" t="s">
        <v>42</v>
      </c>
      <c r="AQ1026" s="11">
        <v>3</v>
      </c>
      <c r="AR1026" s="5">
        <v>0</v>
      </c>
      <c r="AS1026" s="5">
        <v>0</v>
      </c>
      <c r="AT1026" s="5">
        <v>1</v>
      </c>
      <c r="AU1026" s="5">
        <v>1</v>
      </c>
      <c r="AV1026" s="5">
        <v>0</v>
      </c>
      <c r="AW1026" s="5">
        <v>0</v>
      </c>
      <c r="AX1026" s="5">
        <v>1</v>
      </c>
      <c r="AY1026" s="1">
        <f t="shared" si="892"/>
        <v>1</v>
      </c>
      <c r="AZ1026" s="1">
        <f t="shared" si="893"/>
        <v>0</v>
      </c>
      <c r="BA1026" s="1">
        <f t="shared" si="894"/>
        <v>0</v>
      </c>
      <c r="BB1026" s="5">
        <v>0</v>
      </c>
      <c r="BC1026" s="5">
        <v>0</v>
      </c>
      <c r="BD1026" s="5">
        <v>0</v>
      </c>
      <c r="BE1026" s="5">
        <f t="shared" si="895"/>
        <v>1</v>
      </c>
      <c r="BF1026" s="5">
        <v>0</v>
      </c>
      <c r="BG1026" s="5">
        <f t="shared" si="896"/>
        <v>0</v>
      </c>
      <c r="BH1026" s="5">
        <f t="shared" si="896"/>
        <v>0</v>
      </c>
      <c r="BI1026" s="5">
        <f t="shared" si="896"/>
        <v>0</v>
      </c>
      <c r="BJ1026" s="5">
        <f t="shared" si="896"/>
        <v>0</v>
      </c>
      <c r="BK1026" s="5">
        <f t="shared" si="896"/>
        <v>0</v>
      </c>
      <c r="BL1026" s="5">
        <f t="shared" si="896"/>
        <v>0</v>
      </c>
      <c r="BM1026" s="5">
        <f t="shared" si="896"/>
        <v>0</v>
      </c>
      <c r="BN1026" s="5">
        <f t="shared" si="896"/>
        <v>0</v>
      </c>
      <c r="BO1026" s="5">
        <f t="shared" si="887"/>
        <v>0</v>
      </c>
      <c r="BP1026" s="5">
        <f t="shared" si="887"/>
        <v>0</v>
      </c>
      <c r="BQ1026" s="5">
        <f t="shared" si="887"/>
        <v>0</v>
      </c>
      <c r="BR1026" s="5">
        <f t="shared" si="887"/>
        <v>0</v>
      </c>
      <c r="BS1026" s="5">
        <f t="shared" si="887"/>
        <v>0</v>
      </c>
      <c r="BT1026" s="5">
        <f t="shared" si="887"/>
        <v>0</v>
      </c>
      <c r="BU1026" s="5">
        <f t="shared" si="887"/>
        <v>0</v>
      </c>
      <c r="BV1026" s="5">
        <f t="shared" si="887"/>
        <v>0</v>
      </c>
      <c r="BW1026" s="5">
        <f t="shared" si="887"/>
        <v>0</v>
      </c>
      <c r="BX1026" s="5">
        <f t="shared" si="887"/>
        <v>0</v>
      </c>
      <c r="BY1026" s="5">
        <f t="shared" si="887"/>
        <v>0</v>
      </c>
      <c r="BZ1026" s="5">
        <f t="shared" si="887"/>
        <v>0</v>
      </c>
      <c r="CA1026" s="5">
        <f t="shared" si="887"/>
        <v>0</v>
      </c>
      <c r="CB1026" s="5">
        <f t="shared" si="887"/>
        <v>0</v>
      </c>
      <c r="CC1026" s="5">
        <f t="shared" si="887"/>
        <v>0</v>
      </c>
      <c r="CD1026" s="5">
        <f t="shared" si="897"/>
        <v>1</v>
      </c>
      <c r="CE1026" s="5">
        <f t="shared" si="897"/>
        <v>0</v>
      </c>
    </row>
    <row r="1027" spans="1:83" x14ac:dyDescent="0.2">
      <c r="A1027" s="11"/>
      <c r="B1027" s="11"/>
      <c r="C1027" s="1">
        <f>Growth!D1032</f>
        <v>2.8571428571428571E-2</v>
      </c>
      <c r="D1027" s="5" t="b">
        <f t="shared" si="824"/>
        <v>0</v>
      </c>
      <c r="E1027" s="5">
        <v>2014</v>
      </c>
      <c r="F1027" s="5">
        <f ca="1">LOOKUP($E1027,frequence!$A$2:$A$35,frequence!L$2:L$35)</f>
        <v>50.75383375536623</v>
      </c>
      <c r="G1027" s="5">
        <f ca="1">LOOKUP($E1027,frequence!$A$2:$A$35,frequence!K$2:K$35)</f>
        <v>9.9751715831189358</v>
      </c>
      <c r="H1027" s="5">
        <f ca="1">LOOKUP($E1027,frequence!$A$2:$A$35,frequence!M$2:M$35)</f>
        <v>236.05429056976001</v>
      </c>
      <c r="I1027" s="16">
        <v>2007</v>
      </c>
      <c r="J1027" s="7">
        <f>LOOKUP(I1027,CPI!A$69:A$103,CPI!O$69:O$103)</f>
        <v>1.0516730811895323</v>
      </c>
      <c r="K1027" s="16">
        <v>2015</v>
      </c>
      <c r="L1027" s="7">
        <f t="shared" ca="1" si="807"/>
        <v>1</v>
      </c>
      <c r="M1027" s="7">
        <f t="shared" si="888"/>
        <v>0.21142857142857144</v>
      </c>
      <c r="N1027" s="14">
        <f t="shared" si="889"/>
        <v>2.8571428571428571E-2</v>
      </c>
      <c r="O1027" s="1">
        <f ca="1">P1027*J1027*(1+Growth!G$6)^(2010-K1027)</f>
        <v>60.814632197706096</v>
      </c>
      <c r="P1027" s="40">
        <f>17*44/12</f>
        <v>62.333333333333336</v>
      </c>
      <c r="Q1027" s="2">
        <f t="shared" si="880"/>
        <v>62.333333333333336</v>
      </c>
      <c r="R1027" s="21">
        <f t="shared" ca="1" si="881"/>
        <v>3698.4194893422709</v>
      </c>
      <c r="U1027" s="11"/>
      <c r="V1027" s="11"/>
      <c r="W1027" s="11"/>
      <c r="X1027" s="11"/>
      <c r="Y1027" s="11"/>
      <c r="Z1027" s="11"/>
      <c r="AA1027" s="11"/>
      <c r="AB1027" s="11"/>
      <c r="AC1027" s="1">
        <f t="shared" si="890"/>
        <v>7.4</v>
      </c>
      <c r="AD1027" s="5">
        <v>1</v>
      </c>
      <c r="AE1027" s="5">
        <v>0</v>
      </c>
      <c r="AF1027" s="5">
        <v>1</v>
      </c>
      <c r="AG1027" s="5">
        <v>1</v>
      </c>
      <c r="AH1027" s="5">
        <v>1</v>
      </c>
      <c r="AI1027" s="3">
        <f t="shared" si="891"/>
        <v>3.4</v>
      </c>
      <c r="AJ1027" s="5">
        <f t="shared" si="835"/>
        <v>0</v>
      </c>
      <c r="AK1027" s="5">
        <f t="shared" si="808"/>
        <v>0</v>
      </c>
      <c r="AL1027" s="5">
        <f t="shared" si="809"/>
        <v>0</v>
      </c>
      <c r="AM1027" s="5">
        <f t="shared" si="836"/>
        <v>1</v>
      </c>
      <c r="AN1027" s="5">
        <f t="shared" si="810"/>
        <v>0</v>
      </c>
      <c r="AO1027" s="5">
        <f t="shared" si="837"/>
        <v>0</v>
      </c>
      <c r="AP1027" s="11" t="s">
        <v>42</v>
      </c>
      <c r="AQ1027" s="11">
        <v>1</v>
      </c>
      <c r="AR1027" s="5">
        <v>0</v>
      </c>
      <c r="AS1027" s="5">
        <v>0</v>
      </c>
      <c r="AT1027" s="5">
        <v>1</v>
      </c>
      <c r="AU1027" s="5">
        <v>1</v>
      </c>
      <c r="AV1027" s="5">
        <v>0</v>
      </c>
      <c r="AW1027" s="5">
        <v>0</v>
      </c>
      <c r="AX1027" s="5">
        <v>1</v>
      </c>
      <c r="AY1027" s="1">
        <f t="shared" si="892"/>
        <v>0</v>
      </c>
      <c r="AZ1027" s="1">
        <f t="shared" si="893"/>
        <v>1</v>
      </c>
      <c r="BA1027" s="1">
        <f t="shared" si="894"/>
        <v>0</v>
      </c>
      <c r="BB1027" s="5">
        <v>0</v>
      </c>
      <c r="BC1027" s="5">
        <v>0</v>
      </c>
      <c r="BD1027" s="5">
        <v>0</v>
      </c>
      <c r="BE1027" s="5">
        <f t="shared" si="895"/>
        <v>1</v>
      </c>
      <c r="BF1027" s="5">
        <v>0</v>
      </c>
      <c r="BG1027" s="5">
        <f t="shared" si="896"/>
        <v>0</v>
      </c>
      <c r="BH1027" s="5">
        <f t="shared" si="896"/>
        <v>0</v>
      </c>
      <c r="BI1027" s="5">
        <f t="shared" si="896"/>
        <v>0</v>
      </c>
      <c r="BJ1027" s="5">
        <f t="shared" si="896"/>
        <v>0</v>
      </c>
      <c r="BK1027" s="5">
        <f t="shared" si="896"/>
        <v>0</v>
      </c>
      <c r="BL1027" s="5">
        <f t="shared" si="896"/>
        <v>0</v>
      </c>
      <c r="BM1027" s="5">
        <f t="shared" si="896"/>
        <v>0</v>
      </c>
      <c r="BN1027" s="5">
        <f t="shared" si="896"/>
        <v>0</v>
      </c>
      <c r="BO1027" s="5">
        <f t="shared" si="887"/>
        <v>0</v>
      </c>
      <c r="BP1027" s="5">
        <f t="shared" si="887"/>
        <v>0</v>
      </c>
      <c r="BQ1027" s="5">
        <f t="shared" si="887"/>
        <v>0</v>
      </c>
      <c r="BR1027" s="5">
        <f t="shared" si="887"/>
        <v>0</v>
      </c>
      <c r="BS1027" s="5">
        <f t="shared" si="887"/>
        <v>0</v>
      </c>
      <c r="BT1027" s="5">
        <f t="shared" si="887"/>
        <v>0</v>
      </c>
      <c r="BU1027" s="5">
        <f t="shared" si="887"/>
        <v>0</v>
      </c>
      <c r="BV1027" s="5">
        <f t="shared" si="887"/>
        <v>0</v>
      </c>
      <c r="BW1027" s="5">
        <f t="shared" si="887"/>
        <v>0</v>
      </c>
      <c r="BX1027" s="5">
        <f t="shared" si="887"/>
        <v>0</v>
      </c>
      <c r="BY1027" s="5">
        <f t="shared" si="887"/>
        <v>0</v>
      </c>
      <c r="BZ1027" s="5">
        <f t="shared" si="887"/>
        <v>0</v>
      </c>
      <c r="CA1027" s="5">
        <f t="shared" si="887"/>
        <v>0</v>
      </c>
      <c r="CB1027" s="5">
        <f t="shared" si="887"/>
        <v>0</v>
      </c>
      <c r="CC1027" s="5">
        <f t="shared" si="887"/>
        <v>0</v>
      </c>
      <c r="CD1027" s="5">
        <f t="shared" si="897"/>
        <v>1</v>
      </c>
      <c r="CE1027" s="5">
        <f t="shared" si="897"/>
        <v>0</v>
      </c>
    </row>
    <row r="1028" spans="1:83" x14ac:dyDescent="0.2">
      <c r="A1028" s="11"/>
      <c r="B1028" s="11"/>
      <c r="C1028" s="1">
        <f>Growth!D1033</f>
        <v>2.8571428571428571E-2</v>
      </c>
      <c r="D1028" s="5" t="b">
        <f t="shared" si="824"/>
        <v>0</v>
      </c>
      <c r="E1028" s="5">
        <v>2014</v>
      </c>
      <c r="F1028" s="5">
        <f ca="1">LOOKUP($E1028,frequence!$A$2:$A$35,frequence!L$2:L$35)</f>
        <v>50.75383375536623</v>
      </c>
      <c r="G1028" s="5">
        <f ca="1">LOOKUP($E1028,frequence!$A$2:$A$35,frequence!K$2:K$35)</f>
        <v>9.9751715831189358</v>
      </c>
      <c r="H1028" s="5">
        <f ca="1">LOOKUP($E1028,frequence!$A$2:$A$35,frequence!M$2:M$35)</f>
        <v>236.05429056976001</v>
      </c>
      <c r="I1028" s="16">
        <v>2007</v>
      </c>
      <c r="J1028" s="7">
        <f>LOOKUP(I1028,CPI!A$69:A$103,CPI!O$69:O$103)</f>
        <v>1.0516730811895323</v>
      </c>
      <c r="K1028" s="16">
        <v>2015</v>
      </c>
      <c r="L1028" s="7">
        <f t="shared" ca="1" si="807"/>
        <v>1</v>
      </c>
      <c r="M1028" s="7">
        <f t="shared" si="888"/>
        <v>0.21142857142857144</v>
      </c>
      <c r="N1028" s="14">
        <f t="shared" si="889"/>
        <v>2.8571428571428571E-2</v>
      </c>
      <c r="O1028" s="1">
        <f ca="1">P1028*J1028*(1+Growth!G$6)^(2010-K1028)</f>
        <v>207.48521573335017</v>
      </c>
      <c r="P1028" s="40">
        <f>58*44/12</f>
        <v>212.66666666666666</v>
      </c>
      <c r="Q1028" s="2">
        <f t="shared" si="880"/>
        <v>212.66666666666666</v>
      </c>
      <c r="R1028" s="21">
        <f t="shared" ca="1" si="881"/>
        <v>43050.114747914864</v>
      </c>
      <c r="U1028" s="11"/>
      <c r="V1028" s="11"/>
      <c r="W1028" s="11"/>
      <c r="X1028" s="11"/>
      <c r="Y1028" s="11"/>
      <c r="Z1028" s="11"/>
      <c r="AA1028" s="11"/>
      <c r="AB1028" s="11"/>
      <c r="AC1028" s="1">
        <f t="shared" si="890"/>
        <v>7.4</v>
      </c>
      <c r="AD1028" s="5">
        <v>1</v>
      </c>
      <c r="AE1028" s="5">
        <v>0</v>
      </c>
      <c r="AF1028" s="5">
        <v>1</v>
      </c>
      <c r="AG1028" s="5">
        <v>1</v>
      </c>
      <c r="AH1028" s="5">
        <v>1</v>
      </c>
      <c r="AI1028" s="3">
        <f t="shared" si="891"/>
        <v>3.4</v>
      </c>
      <c r="AJ1028" s="5">
        <f t="shared" si="835"/>
        <v>0</v>
      </c>
      <c r="AK1028" s="5">
        <f t="shared" si="808"/>
        <v>0</v>
      </c>
      <c r="AL1028" s="5">
        <f t="shared" si="809"/>
        <v>0</v>
      </c>
      <c r="AM1028" s="5">
        <f t="shared" si="836"/>
        <v>0</v>
      </c>
      <c r="AN1028" s="5">
        <f t="shared" si="810"/>
        <v>1</v>
      </c>
      <c r="AO1028" s="5">
        <f t="shared" si="837"/>
        <v>0</v>
      </c>
      <c r="AP1028" s="11" t="s">
        <v>42</v>
      </c>
      <c r="AQ1028" s="11">
        <v>0.1</v>
      </c>
      <c r="AR1028" s="5">
        <v>0</v>
      </c>
      <c r="AS1028" s="5">
        <v>0</v>
      </c>
      <c r="AT1028" s="5">
        <v>1</v>
      </c>
      <c r="AU1028" s="5">
        <v>1</v>
      </c>
      <c r="AV1028" s="5">
        <v>0</v>
      </c>
      <c r="AW1028" s="5">
        <v>0</v>
      </c>
      <c r="AX1028" s="5">
        <v>1</v>
      </c>
      <c r="AY1028" s="1">
        <f t="shared" si="892"/>
        <v>0</v>
      </c>
      <c r="AZ1028" s="1">
        <f t="shared" si="893"/>
        <v>0</v>
      </c>
      <c r="BA1028" s="1">
        <f t="shared" si="894"/>
        <v>0</v>
      </c>
      <c r="BB1028" s="5">
        <v>0</v>
      </c>
      <c r="BC1028" s="5">
        <v>0</v>
      </c>
      <c r="BD1028" s="5">
        <v>0</v>
      </c>
      <c r="BE1028" s="5">
        <f t="shared" si="895"/>
        <v>1</v>
      </c>
      <c r="BF1028" s="5">
        <v>0</v>
      </c>
      <c r="BG1028" s="5">
        <f t="shared" si="896"/>
        <v>0</v>
      </c>
      <c r="BH1028" s="5">
        <f t="shared" si="896"/>
        <v>0</v>
      </c>
      <c r="BI1028" s="5">
        <f t="shared" si="896"/>
        <v>0</v>
      </c>
      <c r="BJ1028" s="5">
        <f t="shared" si="896"/>
        <v>0</v>
      </c>
      <c r="BK1028" s="5">
        <f t="shared" si="896"/>
        <v>0</v>
      </c>
      <c r="BL1028" s="5">
        <f t="shared" si="896"/>
        <v>0</v>
      </c>
      <c r="BM1028" s="5">
        <f t="shared" si="896"/>
        <v>0</v>
      </c>
      <c r="BN1028" s="5">
        <f t="shared" ref="BN1028:CB1043" si="898">IF($E1028=BN$2,1,0)</f>
        <v>0</v>
      </c>
      <c r="BO1028" s="5">
        <f t="shared" si="898"/>
        <v>0</v>
      </c>
      <c r="BP1028" s="5">
        <f t="shared" si="898"/>
        <v>0</v>
      </c>
      <c r="BQ1028" s="5">
        <f t="shared" si="898"/>
        <v>0</v>
      </c>
      <c r="BR1028" s="5">
        <f t="shared" si="898"/>
        <v>0</v>
      </c>
      <c r="BS1028" s="5">
        <f t="shared" si="898"/>
        <v>0</v>
      </c>
      <c r="BT1028" s="5">
        <f t="shared" si="898"/>
        <v>0</v>
      </c>
      <c r="BU1028" s="5">
        <f t="shared" si="898"/>
        <v>0</v>
      </c>
      <c r="BV1028" s="5">
        <f t="shared" si="898"/>
        <v>0</v>
      </c>
      <c r="BW1028" s="5">
        <f t="shared" si="898"/>
        <v>0</v>
      </c>
      <c r="BX1028" s="5">
        <f t="shared" si="898"/>
        <v>0</v>
      </c>
      <c r="BY1028" s="5">
        <f t="shared" si="898"/>
        <v>0</v>
      </c>
      <c r="BZ1028" s="5">
        <f t="shared" si="898"/>
        <v>0</v>
      </c>
      <c r="CA1028" s="5">
        <f t="shared" si="898"/>
        <v>0</v>
      </c>
      <c r="CB1028" s="5">
        <f t="shared" si="898"/>
        <v>0</v>
      </c>
      <c r="CC1028" s="5">
        <f t="shared" ref="CC1028:CE1047" si="899">IF($E1028=CC$2,1,0)</f>
        <v>0</v>
      </c>
      <c r="CD1028" s="5">
        <f t="shared" si="897"/>
        <v>1</v>
      </c>
      <c r="CE1028" s="5">
        <f t="shared" si="897"/>
        <v>0</v>
      </c>
    </row>
    <row r="1029" spans="1:83" x14ac:dyDescent="0.2">
      <c r="A1029" s="11"/>
      <c r="B1029" s="11"/>
      <c r="C1029" s="1">
        <f>Growth!D1034</f>
        <v>2.8571428571428571E-2</v>
      </c>
      <c r="D1029" s="5" t="b">
        <f t="shared" si="824"/>
        <v>0</v>
      </c>
      <c r="E1029" s="5">
        <v>2014</v>
      </c>
      <c r="F1029" s="5">
        <f ca="1">LOOKUP($E1029,frequence!$A$2:$A$35,frequence!L$2:L$35)</f>
        <v>50.75383375536623</v>
      </c>
      <c r="G1029" s="5">
        <f ca="1">LOOKUP($E1029,frequence!$A$2:$A$35,frequence!K$2:K$35)</f>
        <v>9.9751715831189358</v>
      </c>
      <c r="H1029" s="5">
        <f ca="1">LOOKUP($E1029,frequence!$A$2:$A$35,frequence!M$2:M$35)</f>
        <v>236.05429056976001</v>
      </c>
      <c r="I1029" s="16">
        <v>2007</v>
      </c>
      <c r="J1029" s="7">
        <f>LOOKUP(I1029,CPI!A$69:A$103,CPI!O$69:O$103)</f>
        <v>1.0516730811895323</v>
      </c>
      <c r="K1029" s="16">
        <v>2015</v>
      </c>
      <c r="L1029" s="7">
        <f t="shared" ref="L1029:L1092" ca="1" si="900">IF(O1029&lt;L$1,1,IF(O1029&gt;L$2,0,1-(O1029-L$1)/(L$2-L$1)))</f>
        <v>1</v>
      </c>
      <c r="M1029" s="7">
        <f t="shared" si="888"/>
        <v>0.21142857142857144</v>
      </c>
      <c r="N1029" s="14">
        <f t="shared" si="889"/>
        <v>2.8571428571428571E-2</v>
      </c>
      <c r="O1029" s="1">
        <f ca="1">P1029*J1029*(1+Growth!G$6)^(2010-K1029)</f>
        <v>128.78392700690702</v>
      </c>
      <c r="P1029" s="40">
        <f>36*44/12</f>
        <v>132</v>
      </c>
      <c r="Q1029" s="2">
        <f t="shared" si="880"/>
        <v>132</v>
      </c>
      <c r="R1029" s="21">
        <f t="shared" ca="1" si="881"/>
        <v>16585.299855320354</v>
      </c>
      <c r="U1029" s="11"/>
      <c r="V1029" s="11"/>
      <c r="W1029" s="11"/>
      <c r="X1029" s="11"/>
      <c r="Y1029" s="11"/>
      <c r="Z1029" s="11"/>
      <c r="AA1029" s="11"/>
      <c r="AB1029" s="11"/>
      <c r="AC1029" s="1">
        <f t="shared" si="890"/>
        <v>7.4</v>
      </c>
      <c r="AD1029" s="5">
        <v>1</v>
      </c>
      <c r="AE1029" s="5">
        <v>0</v>
      </c>
      <c r="AF1029" s="5">
        <v>1</v>
      </c>
      <c r="AG1029" s="5">
        <v>1</v>
      </c>
      <c r="AH1029" s="5">
        <v>1</v>
      </c>
      <c r="AI1029" s="3">
        <f t="shared" si="891"/>
        <v>3.4</v>
      </c>
      <c r="AJ1029" s="5">
        <f t="shared" si="835"/>
        <v>0</v>
      </c>
      <c r="AK1029" s="5">
        <f t="shared" ref="AK1029:AK1092" si="901">IF($AQ1029=2,1,0)</f>
        <v>0</v>
      </c>
      <c r="AL1029" s="5">
        <f t="shared" ref="AL1029:AL1092" si="902">IF($AQ1029=1.5,1,0)</f>
        <v>0</v>
      </c>
      <c r="AM1029" s="5">
        <f t="shared" si="836"/>
        <v>1</v>
      </c>
      <c r="AN1029" s="5">
        <f t="shared" ref="AN1029:AN1092" si="903">IF($AQ1029=0.1,1,0)</f>
        <v>0</v>
      </c>
      <c r="AO1029" s="5">
        <f t="shared" si="837"/>
        <v>0</v>
      </c>
      <c r="AP1029" s="11" t="s">
        <v>42</v>
      </c>
      <c r="AQ1029" s="11">
        <v>1</v>
      </c>
      <c r="AR1029" s="5">
        <v>0</v>
      </c>
      <c r="AS1029" s="5">
        <v>0</v>
      </c>
      <c r="AT1029" s="5">
        <v>1</v>
      </c>
      <c r="AU1029" s="5">
        <v>1</v>
      </c>
      <c r="AV1029" s="5">
        <v>0</v>
      </c>
      <c r="AW1029" s="5">
        <v>0</v>
      </c>
      <c r="AX1029" s="5">
        <v>1</v>
      </c>
      <c r="AY1029" s="1">
        <f t="shared" si="892"/>
        <v>0</v>
      </c>
      <c r="AZ1029" s="1">
        <f t="shared" si="893"/>
        <v>1</v>
      </c>
      <c r="BA1029" s="1">
        <f t="shared" si="894"/>
        <v>0</v>
      </c>
      <c r="BB1029" s="5">
        <v>0</v>
      </c>
      <c r="BC1029" s="5">
        <v>0</v>
      </c>
      <c r="BD1029" s="5">
        <v>0</v>
      </c>
      <c r="BE1029" s="5">
        <f t="shared" si="895"/>
        <v>1</v>
      </c>
      <c r="BF1029" s="5">
        <v>0</v>
      </c>
      <c r="BG1029" s="5">
        <f t="shared" ref="BG1029:BN1044" si="904">IF($E1029=BG$2,1,0)</f>
        <v>0</v>
      </c>
      <c r="BH1029" s="5">
        <f t="shared" si="904"/>
        <v>0</v>
      </c>
      <c r="BI1029" s="5">
        <f t="shared" si="904"/>
        <v>0</v>
      </c>
      <c r="BJ1029" s="5">
        <f t="shared" si="904"/>
        <v>0</v>
      </c>
      <c r="BK1029" s="5">
        <f t="shared" si="904"/>
        <v>0</v>
      </c>
      <c r="BL1029" s="5">
        <f t="shared" si="904"/>
        <v>0</v>
      </c>
      <c r="BM1029" s="5">
        <f t="shared" si="904"/>
        <v>0</v>
      </c>
      <c r="BN1029" s="5">
        <f t="shared" si="898"/>
        <v>0</v>
      </c>
      <c r="BO1029" s="5">
        <f t="shared" si="898"/>
        <v>0</v>
      </c>
      <c r="BP1029" s="5">
        <f t="shared" si="898"/>
        <v>0</v>
      </c>
      <c r="BQ1029" s="5">
        <f t="shared" si="898"/>
        <v>0</v>
      </c>
      <c r="BR1029" s="5">
        <f t="shared" si="898"/>
        <v>0</v>
      </c>
      <c r="BS1029" s="5">
        <f t="shared" si="898"/>
        <v>0</v>
      </c>
      <c r="BT1029" s="5">
        <f t="shared" si="898"/>
        <v>0</v>
      </c>
      <c r="BU1029" s="5">
        <f t="shared" si="898"/>
        <v>0</v>
      </c>
      <c r="BV1029" s="5">
        <f t="shared" si="898"/>
        <v>0</v>
      </c>
      <c r="BW1029" s="5">
        <f t="shared" si="898"/>
        <v>0</v>
      </c>
      <c r="BX1029" s="5">
        <f t="shared" si="898"/>
        <v>0</v>
      </c>
      <c r="BY1029" s="5">
        <f t="shared" si="898"/>
        <v>0</v>
      </c>
      <c r="BZ1029" s="5">
        <f t="shared" si="898"/>
        <v>0</v>
      </c>
      <c r="CA1029" s="5">
        <f t="shared" si="898"/>
        <v>0</v>
      </c>
      <c r="CB1029" s="5">
        <f t="shared" si="898"/>
        <v>0</v>
      </c>
      <c r="CC1029" s="5">
        <f t="shared" si="899"/>
        <v>0</v>
      </c>
      <c r="CD1029" s="5">
        <f t="shared" si="897"/>
        <v>1</v>
      </c>
      <c r="CE1029" s="5">
        <f t="shared" si="897"/>
        <v>0</v>
      </c>
    </row>
    <row r="1030" spans="1:83" x14ac:dyDescent="0.2">
      <c r="A1030" s="11"/>
      <c r="B1030" s="11"/>
      <c r="C1030" s="1">
        <f>Growth!D1035</f>
        <v>2.8571428571428571E-2</v>
      </c>
      <c r="D1030" s="5" t="b">
        <f t="shared" si="824"/>
        <v>0</v>
      </c>
      <c r="E1030" s="5">
        <v>2014</v>
      </c>
      <c r="F1030" s="5">
        <f ca="1">LOOKUP($E1030,frequence!$A$2:$A$35,frequence!L$2:L$35)</f>
        <v>50.75383375536623</v>
      </c>
      <c r="G1030" s="5">
        <f ca="1">LOOKUP($E1030,frequence!$A$2:$A$35,frequence!K$2:K$35)</f>
        <v>9.9751715831189358</v>
      </c>
      <c r="H1030" s="5">
        <f ca="1">LOOKUP($E1030,frequence!$A$2:$A$35,frequence!M$2:M$35)</f>
        <v>236.05429056976001</v>
      </c>
      <c r="I1030" s="16">
        <v>2007</v>
      </c>
      <c r="J1030" s="7">
        <f>LOOKUP(I1030,CPI!A$69:A$103,CPI!O$69:O$103)</f>
        <v>1.0516730811895323</v>
      </c>
      <c r="K1030" s="16">
        <v>2015</v>
      </c>
      <c r="L1030" s="7">
        <f t="shared" ca="1" si="900"/>
        <v>1</v>
      </c>
      <c r="M1030" s="7">
        <f t="shared" si="888"/>
        <v>0.21142857142857144</v>
      </c>
      <c r="N1030" s="14">
        <f t="shared" si="889"/>
        <v>2.8571428571428571E-2</v>
      </c>
      <c r="O1030" s="1">
        <f ca="1">P1030*J1030*(1+Growth!G$6)^(2010-K1030)</f>
        <v>486.51705758164877</v>
      </c>
      <c r="P1030" s="40">
        <f>136*44/12</f>
        <v>498.66666666666669</v>
      </c>
      <c r="Q1030" s="2">
        <f t="shared" si="880"/>
        <v>498.66666666666669</v>
      </c>
      <c r="R1030" s="21">
        <f t="shared" ca="1" si="881"/>
        <v>236698.84731790534</v>
      </c>
      <c r="U1030" s="11"/>
      <c r="V1030" s="11"/>
      <c r="W1030" s="11"/>
      <c r="X1030" s="11"/>
      <c r="Y1030" s="11"/>
      <c r="Z1030" s="11"/>
      <c r="AA1030" s="11"/>
      <c r="AB1030" s="11"/>
      <c r="AC1030" s="1">
        <f t="shared" si="890"/>
        <v>7.4</v>
      </c>
      <c r="AD1030" s="5">
        <v>1</v>
      </c>
      <c r="AE1030" s="5">
        <v>0</v>
      </c>
      <c r="AF1030" s="5">
        <v>1</v>
      </c>
      <c r="AG1030" s="5">
        <v>1</v>
      </c>
      <c r="AH1030" s="5">
        <v>1</v>
      </c>
      <c r="AI1030" s="3">
        <f t="shared" si="891"/>
        <v>3.4</v>
      </c>
      <c r="AJ1030" s="5">
        <f t="shared" si="835"/>
        <v>0</v>
      </c>
      <c r="AK1030" s="5">
        <f t="shared" si="901"/>
        <v>0</v>
      </c>
      <c r="AL1030" s="5">
        <f t="shared" si="902"/>
        <v>0</v>
      </c>
      <c r="AM1030" s="5">
        <f t="shared" si="836"/>
        <v>0</v>
      </c>
      <c r="AN1030" s="5">
        <f t="shared" si="903"/>
        <v>1</v>
      </c>
      <c r="AO1030" s="5">
        <f t="shared" si="837"/>
        <v>0</v>
      </c>
      <c r="AP1030" s="11" t="s">
        <v>42</v>
      </c>
      <c r="AQ1030" s="11">
        <v>0.1</v>
      </c>
      <c r="AR1030" s="5">
        <v>0</v>
      </c>
      <c r="AS1030" s="5">
        <v>0</v>
      </c>
      <c r="AT1030" s="5">
        <v>1</v>
      </c>
      <c r="AU1030" s="5">
        <v>1</v>
      </c>
      <c r="AV1030" s="5">
        <v>0</v>
      </c>
      <c r="AW1030" s="5">
        <v>0</v>
      </c>
      <c r="AX1030" s="5">
        <v>1</v>
      </c>
      <c r="AY1030" s="1">
        <f t="shared" si="892"/>
        <v>0</v>
      </c>
      <c r="AZ1030" s="1">
        <f t="shared" si="893"/>
        <v>0</v>
      </c>
      <c r="BA1030" s="1">
        <f t="shared" si="894"/>
        <v>0</v>
      </c>
      <c r="BB1030" s="5">
        <v>0</v>
      </c>
      <c r="BC1030" s="5">
        <v>0</v>
      </c>
      <c r="BD1030" s="5">
        <v>0</v>
      </c>
      <c r="BE1030" s="5">
        <f t="shared" si="895"/>
        <v>1</v>
      </c>
      <c r="BF1030" s="5">
        <v>0</v>
      </c>
      <c r="BG1030" s="5">
        <f t="shared" si="904"/>
        <v>0</v>
      </c>
      <c r="BH1030" s="5">
        <f t="shared" si="904"/>
        <v>0</v>
      </c>
      <c r="BI1030" s="5">
        <f t="shared" si="904"/>
        <v>0</v>
      </c>
      <c r="BJ1030" s="5">
        <f t="shared" si="904"/>
        <v>0</v>
      </c>
      <c r="BK1030" s="5">
        <f t="shared" si="904"/>
        <v>0</v>
      </c>
      <c r="BL1030" s="5">
        <f t="shared" si="904"/>
        <v>0</v>
      </c>
      <c r="BM1030" s="5">
        <f t="shared" si="904"/>
        <v>0</v>
      </c>
      <c r="BN1030" s="5">
        <f t="shared" si="898"/>
        <v>0</v>
      </c>
      <c r="BO1030" s="5">
        <f t="shared" si="898"/>
        <v>0</v>
      </c>
      <c r="BP1030" s="5">
        <f t="shared" si="898"/>
        <v>0</v>
      </c>
      <c r="BQ1030" s="5">
        <f t="shared" si="898"/>
        <v>0</v>
      </c>
      <c r="BR1030" s="5">
        <f t="shared" si="898"/>
        <v>0</v>
      </c>
      <c r="BS1030" s="5">
        <f t="shared" si="898"/>
        <v>0</v>
      </c>
      <c r="BT1030" s="5">
        <f t="shared" si="898"/>
        <v>0</v>
      </c>
      <c r="BU1030" s="5">
        <f t="shared" si="898"/>
        <v>0</v>
      </c>
      <c r="BV1030" s="5">
        <f t="shared" si="898"/>
        <v>0</v>
      </c>
      <c r="BW1030" s="5">
        <f t="shared" si="898"/>
        <v>0</v>
      </c>
      <c r="BX1030" s="5">
        <f t="shared" si="898"/>
        <v>0</v>
      </c>
      <c r="BY1030" s="5">
        <f t="shared" si="898"/>
        <v>0</v>
      </c>
      <c r="BZ1030" s="5">
        <f t="shared" si="898"/>
        <v>0</v>
      </c>
      <c r="CA1030" s="5">
        <f t="shared" si="898"/>
        <v>0</v>
      </c>
      <c r="CB1030" s="5">
        <f t="shared" si="898"/>
        <v>0</v>
      </c>
      <c r="CC1030" s="5">
        <f t="shared" si="899"/>
        <v>0</v>
      </c>
      <c r="CD1030" s="5">
        <f t="shared" si="897"/>
        <v>1</v>
      </c>
      <c r="CE1030" s="5">
        <f t="shared" si="897"/>
        <v>0</v>
      </c>
    </row>
    <row r="1031" spans="1:83" x14ac:dyDescent="0.2">
      <c r="A1031" s="11"/>
      <c r="B1031" s="11"/>
      <c r="C1031" s="1">
        <f>Growth!D1036</f>
        <v>2.8571428571428571E-2</v>
      </c>
      <c r="D1031" s="5" t="b">
        <f t="shared" si="824"/>
        <v>0</v>
      </c>
      <c r="E1031" s="5">
        <v>2014</v>
      </c>
      <c r="F1031" s="5">
        <f ca="1">LOOKUP($E1031,frequence!$A$2:$A$35,frequence!L$2:L$35)</f>
        <v>50.75383375536623</v>
      </c>
      <c r="G1031" s="5">
        <f ca="1">LOOKUP($E1031,frequence!$A$2:$A$35,frequence!K$2:K$35)</f>
        <v>9.9751715831189358</v>
      </c>
      <c r="H1031" s="5">
        <f ca="1">LOOKUP($E1031,frequence!$A$2:$A$35,frequence!M$2:M$35)</f>
        <v>236.05429056976001</v>
      </c>
      <c r="I1031" s="16">
        <v>2007</v>
      </c>
      <c r="J1031" s="7">
        <f>LOOKUP(I1031,CPI!A$69:A$103,CPI!O$69:O$103)</f>
        <v>1.0516730811895323</v>
      </c>
      <c r="K1031" s="16">
        <v>2015</v>
      </c>
      <c r="L1031" s="7">
        <f t="shared" ca="1" si="900"/>
        <v>1</v>
      </c>
      <c r="M1031" s="7">
        <f t="shared" si="888"/>
        <v>0.21142857142857144</v>
      </c>
      <c r="N1031" s="14">
        <f t="shared" si="889"/>
        <v>2.8571428571428571E-2</v>
      </c>
      <c r="O1031" s="1">
        <f ca="1">P1031*J1031*(1+Growth!G$6)^(2010-K1031)</f>
        <v>71.546626114948339</v>
      </c>
      <c r="P1031" s="40">
        <f>20*44/12</f>
        <v>73.333333333333329</v>
      </c>
      <c r="Q1031" s="2">
        <f t="shared" si="880"/>
        <v>73.333333333333329</v>
      </c>
      <c r="R1031" s="21">
        <f t="shared" ca="1" si="881"/>
        <v>5118.9197084322077</v>
      </c>
      <c r="U1031" s="11"/>
      <c r="V1031" s="11"/>
      <c r="W1031" s="11"/>
      <c r="X1031" s="11"/>
      <c r="Y1031" s="11"/>
      <c r="Z1031" s="11"/>
      <c r="AA1031" s="11"/>
      <c r="AB1031" s="11"/>
      <c r="AC1031" s="1">
        <f t="shared" si="890"/>
        <v>7.4</v>
      </c>
      <c r="AD1031" s="5">
        <v>1</v>
      </c>
      <c r="AE1031" s="5">
        <v>0</v>
      </c>
      <c r="AF1031" s="5">
        <v>1</v>
      </c>
      <c r="AG1031" s="5">
        <v>1</v>
      </c>
      <c r="AH1031" s="5">
        <v>1</v>
      </c>
      <c r="AI1031" s="3">
        <f t="shared" si="891"/>
        <v>3.4</v>
      </c>
      <c r="AJ1031" s="5">
        <f t="shared" si="835"/>
        <v>1</v>
      </c>
      <c r="AK1031" s="5">
        <f t="shared" si="901"/>
        <v>0</v>
      </c>
      <c r="AL1031" s="5">
        <f t="shared" si="902"/>
        <v>0</v>
      </c>
      <c r="AM1031" s="5">
        <f t="shared" si="836"/>
        <v>0</v>
      </c>
      <c r="AN1031" s="5">
        <f t="shared" si="903"/>
        <v>0</v>
      </c>
      <c r="AO1031" s="5">
        <f t="shared" si="837"/>
        <v>0</v>
      </c>
      <c r="AP1031" s="11" t="s">
        <v>42</v>
      </c>
      <c r="AQ1031" s="11">
        <v>3</v>
      </c>
      <c r="AR1031" s="5">
        <v>0</v>
      </c>
      <c r="AS1031" s="5">
        <v>0</v>
      </c>
      <c r="AT1031" s="5">
        <v>1</v>
      </c>
      <c r="AU1031" s="5">
        <v>1</v>
      </c>
      <c r="AV1031" s="5">
        <v>0</v>
      </c>
      <c r="AW1031" s="5">
        <v>0</v>
      </c>
      <c r="AX1031" s="5">
        <v>1</v>
      </c>
      <c r="AY1031" s="1">
        <f t="shared" si="892"/>
        <v>1</v>
      </c>
      <c r="AZ1031" s="1">
        <f t="shared" si="893"/>
        <v>0</v>
      </c>
      <c r="BA1031" s="1">
        <f t="shared" si="894"/>
        <v>0</v>
      </c>
      <c r="BB1031" s="5">
        <v>0</v>
      </c>
      <c r="BC1031" s="5">
        <v>0</v>
      </c>
      <c r="BD1031" s="5">
        <v>0</v>
      </c>
      <c r="BE1031" s="5">
        <f t="shared" si="895"/>
        <v>1</v>
      </c>
      <c r="BF1031" s="5">
        <v>0</v>
      </c>
      <c r="BG1031" s="5">
        <f t="shared" si="904"/>
        <v>0</v>
      </c>
      <c r="BH1031" s="5">
        <f t="shared" si="904"/>
        <v>0</v>
      </c>
      <c r="BI1031" s="5">
        <f t="shared" si="904"/>
        <v>0</v>
      </c>
      <c r="BJ1031" s="5">
        <f t="shared" si="904"/>
        <v>0</v>
      </c>
      <c r="BK1031" s="5">
        <f t="shared" si="904"/>
        <v>0</v>
      </c>
      <c r="BL1031" s="5">
        <f t="shared" si="904"/>
        <v>0</v>
      </c>
      <c r="BM1031" s="5">
        <f t="shared" si="904"/>
        <v>0</v>
      </c>
      <c r="BN1031" s="5">
        <f t="shared" si="898"/>
        <v>0</v>
      </c>
      <c r="BO1031" s="5">
        <f t="shared" si="898"/>
        <v>0</v>
      </c>
      <c r="BP1031" s="5">
        <f t="shared" si="898"/>
        <v>0</v>
      </c>
      <c r="BQ1031" s="5">
        <f t="shared" si="898"/>
        <v>0</v>
      </c>
      <c r="BR1031" s="5">
        <f t="shared" si="898"/>
        <v>0</v>
      </c>
      <c r="BS1031" s="5">
        <f t="shared" si="898"/>
        <v>0</v>
      </c>
      <c r="BT1031" s="5">
        <f t="shared" si="898"/>
        <v>0</v>
      </c>
      <c r="BU1031" s="5">
        <f t="shared" si="898"/>
        <v>0</v>
      </c>
      <c r="BV1031" s="5">
        <f t="shared" si="898"/>
        <v>0</v>
      </c>
      <c r="BW1031" s="5">
        <f t="shared" si="898"/>
        <v>0</v>
      </c>
      <c r="BX1031" s="5">
        <f t="shared" si="898"/>
        <v>0</v>
      </c>
      <c r="BY1031" s="5">
        <f t="shared" si="898"/>
        <v>0</v>
      </c>
      <c r="BZ1031" s="5">
        <f t="shared" si="898"/>
        <v>0</v>
      </c>
      <c r="CA1031" s="5">
        <f t="shared" si="898"/>
        <v>0</v>
      </c>
      <c r="CB1031" s="5">
        <f t="shared" si="898"/>
        <v>0</v>
      </c>
      <c r="CC1031" s="5">
        <f t="shared" si="899"/>
        <v>0</v>
      </c>
      <c r="CD1031" s="5">
        <f t="shared" si="897"/>
        <v>1</v>
      </c>
      <c r="CE1031" s="5">
        <f t="shared" si="897"/>
        <v>0</v>
      </c>
    </row>
    <row r="1032" spans="1:83" x14ac:dyDescent="0.2">
      <c r="A1032" s="11"/>
      <c r="B1032" s="11"/>
      <c r="C1032" s="1">
        <f>Growth!D1037</f>
        <v>2.8571428571428571E-2</v>
      </c>
      <c r="D1032" s="5" t="b">
        <f t="shared" si="824"/>
        <v>0</v>
      </c>
      <c r="E1032" s="5">
        <v>2014</v>
      </c>
      <c r="F1032" s="5">
        <f ca="1">LOOKUP($E1032,frequence!$A$2:$A$35,frequence!L$2:L$35)</f>
        <v>50.75383375536623</v>
      </c>
      <c r="G1032" s="5">
        <f ca="1">LOOKUP($E1032,frequence!$A$2:$A$35,frequence!K$2:K$35)</f>
        <v>9.9751715831189358</v>
      </c>
      <c r="H1032" s="5">
        <f ca="1">LOOKUP($E1032,frequence!$A$2:$A$35,frequence!M$2:M$35)</f>
        <v>236.05429056976001</v>
      </c>
      <c r="I1032" s="16">
        <v>2007</v>
      </c>
      <c r="J1032" s="7">
        <f>LOOKUP(I1032,CPI!A$69:A$103,CPI!O$69:O$103)</f>
        <v>1.0516730811895323</v>
      </c>
      <c r="K1032" s="16">
        <v>2015</v>
      </c>
      <c r="L1032" s="7">
        <f t="shared" ca="1" si="900"/>
        <v>1</v>
      </c>
      <c r="M1032" s="7">
        <f t="shared" si="888"/>
        <v>0.21142857142857144</v>
      </c>
      <c r="N1032" s="14">
        <f t="shared" si="889"/>
        <v>2.8571428571428571E-2</v>
      </c>
      <c r="O1032" s="1">
        <f ca="1">P1032*J1032*(1+Growth!G$6)^(2010-K1032)</f>
        <v>25.04131914023192</v>
      </c>
      <c r="P1032" s="40">
        <f>7*44/12</f>
        <v>25.666666666666668</v>
      </c>
      <c r="Q1032" s="2">
        <f t="shared" si="880"/>
        <v>25.666666666666668</v>
      </c>
      <c r="R1032" s="21">
        <f t="shared" ca="1" si="881"/>
        <v>627.06766428294554</v>
      </c>
      <c r="U1032" s="11"/>
      <c r="V1032" s="11"/>
      <c r="W1032" s="11"/>
      <c r="X1032" s="11"/>
      <c r="Y1032" s="11"/>
      <c r="Z1032" s="11"/>
      <c r="AA1032" s="11"/>
      <c r="AB1032" s="11"/>
      <c r="AC1032" s="1">
        <f t="shared" si="890"/>
        <v>7.4</v>
      </c>
      <c r="AD1032" s="5">
        <v>1</v>
      </c>
      <c r="AE1032" s="5">
        <v>0</v>
      </c>
      <c r="AF1032" s="5">
        <v>1</v>
      </c>
      <c r="AG1032" s="5">
        <v>1</v>
      </c>
      <c r="AH1032" s="5">
        <v>1</v>
      </c>
      <c r="AI1032" s="3">
        <f t="shared" si="891"/>
        <v>3.4</v>
      </c>
      <c r="AJ1032" s="5">
        <f t="shared" si="835"/>
        <v>0</v>
      </c>
      <c r="AK1032" s="5">
        <f t="shared" si="901"/>
        <v>0</v>
      </c>
      <c r="AL1032" s="5">
        <f t="shared" si="902"/>
        <v>0</v>
      </c>
      <c r="AM1032" s="5">
        <f t="shared" si="836"/>
        <v>1</v>
      </c>
      <c r="AN1032" s="5">
        <f t="shared" si="903"/>
        <v>0</v>
      </c>
      <c r="AO1032" s="5">
        <f t="shared" si="837"/>
        <v>0</v>
      </c>
      <c r="AP1032" s="11" t="s">
        <v>42</v>
      </c>
      <c r="AQ1032" s="11">
        <v>1</v>
      </c>
      <c r="AR1032" s="5">
        <v>0</v>
      </c>
      <c r="AS1032" s="5">
        <v>0</v>
      </c>
      <c r="AT1032" s="5">
        <v>0</v>
      </c>
      <c r="AU1032" s="5">
        <v>1</v>
      </c>
      <c r="AV1032" s="5">
        <v>0</v>
      </c>
      <c r="AW1032" s="5">
        <v>0</v>
      </c>
      <c r="AX1032" s="5">
        <v>1</v>
      </c>
      <c r="AY1032" s="1">
        <f t="shared" si="892"/>
        <v>0</v>
      </c>
      <c r="AZ1032" s="1">
        <f t="shared" si="893"/>
        <v>1</v>
      </c>
      <c r="BA1032" s="1">
        <f t="shared" si="894"/>
        <v>0</v>
      </c>
      <c r="BB1032" s="5">
        <v>0</v>
      </c>
      <c r="BC1032" s="5">
        <v>0</v>
      </c>
      <c r="BD1032" s="5">
        <v>0</v>
      </c>
      <c r="BE1032" s="5">
        <f t="shared" si="895"/>
        <v>1</v>
      </c>
      <c r="BF1032" s="5">
        <v>0</v>
      </c>
      <c r="BG1032" s="5">
        <f t="shared" si="904"/>
        <v>0</v>
      </c>
      <c r="BH1032" s="5">
        <f t="shared" si="904"/>
        <v>0</v>
      </c>
      <c r="BI1032" s="5">
        <f t="shared" si="904"/>
        <v>0</v>
      </c>
      <c r="BJ1032" s="5">
        <f t="shared" si="904"/>
        <v>0</v>
      </c>
      <c r="BK1032" s="5">
        <f t="shared" si="904"/>
        <v>0</v>
      </c>
      <c r="BL1032" s="5">
        <f t="shared" si="904"/>
        <v>0</v>
      </c>
      <c r="BM1032" s="5">
        <f t="shared" si="904"/>
        <v>0</v>
      </c>
      <c r="BN1032" s="5">
        <f t="shared" si="898"/>
        <v>0</v>
      </c>
      <c r="BO1032" s="5">
        <f t="shared" si="898"/>
        <v>0</v>
      </c>
      <c r="BP1032" s="5">
        <f t="shared" si="898"/>
        <v>0</v>
      </c>
      <c r="BQ1032" s="5">
        <f t="shared" si="898"/>
        <v>0</v>
      </c>
      <c r="BR1032" s="5">
        <f t="shared" si="898"/>
        <v>0</v>
      </c>
      <c r="BS1032" s="5">
        <f t="shared" si="898"/>
        <v>0</v>
      </c>
      <c r="BT1032" s="5">
        <f t="shared" si="898"/>
        <v>0</v>
      </c>
      <c r="BU1032" s="5">
        <f t="shared" si="898"/>
        <v>0</v>
      </c>
      <c r="BV1032" s="5">
        <f t="shared" si="898"/>
        <v>0</v>
      </c>
      <c r="BW1032" s="5">
        <f t="shared" si="898"/>
        <v>0</v>
      </c>
      <c r="BX1032" s="5">
        <f t="shared" si="898"/>
        <v>0</v>
      </c>
      <c r="BY1032" s="5">
        <f t="shared" si="898"/>
        <v>0</v>
      </c>
      <c r="BZ1032" s="5">
        <f t="shared" si="898"/>
        <v>0</v>
      </c>
      <c r="CA1032" s="5">
        <f t="shared" si="898"/>
        <v>0</v>
      </c>
      <c r="CB1032" s="5">
        <f t="shared" si="898"/>
        <v>0</v>
      </c>
      <c r="CC1032" s="5">
        <f t="shared" si="899"/>
        <v>0</v>
      </c>
      <c r="CD1032" s="5">
        <f t="shared" si="897"/>
        <v>1</v>
      </c>
      <c r="CE1032" s="5">
        <f t="shared" si="897"/>
        <v>0</v>
      </c>
    </row>
    <row r="1033" spans="1:83" x14ac:dyDescent="0.2">
      <c r="A1033" s="11"/>
      <c r="B1033" s="11"/>
      <c r="C1033" s="1">
        <f>Growth!D1038</f>
        <v>2.8571428571428571E-2</v>
      </c>
      <c r="D1033" s="5" t="b">
        <f t="shared" si="824"/>
        <v>0</v>
      </c>
      <c r="E1033" s="5">
        <v>2014</v>
      </c>
      <c r="F1033" s="5">
        <f ca="1">LOOKUP($E1033,frequence!$A$2:$A$35,frequence!L$2:L$35)</f>
        <v>50.75383375536623</v>
      </c>
      <c r="G1033" s="5">
        <f ca="1">LOOKUP($E1033,frequence!$A$2:$A$35,frequence!K$2:K$35)</f>
        <v>9.9751715831189358</v>
      </c>
      <c r="H1033" s="5">
        <f ca="1">LOOKUP($E1033,frequence!$A$2:$A$35,frequence!M$2:M$35)</f>
        <v>236.05429056976001</v>
      </c>
      <c r="I1033" s="16">
        <v>2007</v>
      </c>
      <c r="J1033" s="7">
        <f>LOOKUP(I1033,CPI!A$69:A$103,CPI!O$69:O$103)</f>
        <v>1.0516730811895323</v>
      </c>
      <c r="K1033" s="16">
        <v>2015</v>
      </c>
      <c r="L1033" s="7">
        <f t="shared" ca="1" si="900"/>
        <v>1</v>
      </c>
      <c r="M1033" s="7">
        <f t="shared" si="888"/>
        <v>0.21142857142857144</v>
      </c>
      <c r="N1033" s="14">
        <f t="shared" si="889"/>
        <v>2.8571428571428571E-2</v>
      </c>
      <c r="O1033" s="1">
        <f ca="1">P1033*J1033*(1+Growth!G$6)^(2010-K1033)</f>
        <v>78.701288726443181</v>
      </c>
      <c r="P1033" s="40">
        <f>22*44/12</f>
        <v>80.666666666666671</v>
      </c>
      <c r="Q1033" s="2">
        <f t="shared" si="880"/>
        <v>80.666666666666671</v>
      </c>
      <c r="R1033" s="21">
        <f t="shared" ca="1" si="881"/>
        <v>6193.8928472029729</v>
      </c>
      <c r="U1033" s="11"/>
      <c r="V1033" s="11"/>
      <c r="W1033" s="11"/>
      <c r="X1033" s="11"/>
      <c r="Y1033" s="11"/>
      <c r="Z1033" s="11"/>
      <c r="AA1033" s="11"/>
      <c r="AB1033" s="11"/>
      <c r="AC1033" s="1">
        <f t="shared" si="890"/>
        <v>7.4</v>
      </c>
      <c r="AD1033" s="5">
        <v>1</v>
      </c>
      <c r="AE1033" s="5">
        <v>0</v>
      </c>
      <c r="AF1033" s="5">
        <v>1</v>
      </c>
      <c r="AG1033" s="5">
        <v>1</v>
      </c>
      <c r="AH1033" s="5">
        <v>1</v>
      </c>
      <c r="AI1033" s="3">
        <f t="shared" si="891"/>
        <v>3.4</v>
      </c>
      <c r="AJ1033" s="5">
        <f t="shared" si="835"/>
        <v>0</v>
      </c>
      <c r="AK1033" s="5">
        <f t="shared" si="901"/>
        <v>0</v>
      </c>
      <c r="AL1033" s="5">
        <f t="shared" si="902"/>
        <v>0</v>
      </c>
      <c r="AM1033" s="5">
        <f t="shared" si="836"/>
        <v>0</v>
      </c>
      <c r="AN1033" s="5">
        <f t="shared" si="903"/>
        <v>1</v>
      </c>
      <c r="AO1033" s="5">
        <f t="shared" si="837"/>
        <v>0</v>
      </c>
      <c r="AP1033" s="11" t="s">
        <v>42</v>
      </c>
      <c r="AQ1033" s="11">
        <v>0.1</v>
      </c>
      <c r="AR1033" s="5">
        <v>0</v>
      </c>
      <c r="AS1033" s="5">
        <v>0</v>
      </c>
      <c r="AT1033" s="5">
        <v>0</v>
      </c>
      <c r="AU1033" s="5">
        <v>1</v>
      </c>
      <c r="AV1033" s="5">
        <v>0</v>
      </c>
      <c r="AW1033" s="5">
        <v>0</v>
      </c>
      <c r="AX1033" s="5">
        <v>1</v>
      </c>
      <c r="AY1033" s="1">
        <f t="shared" si="892"/>
        <v>0</v>
      </c>
      <c r="AZ1033" s="1">
        <f t="shared" si="893"/>
        <v>0</v>
      </c>
      <c r="BA1033" s="1">
        <f t="shared" si="894"/>
        <v>0</v>
      </c>
      <c r="BB1033" s="5">
        <v>0</v>
      </c>
      <c r="BC1033" s="5">
        <v>0</v>
      </c>
      <c r="BD1033" s="5">
        <v>0</v>
      </c>
      <c r="BE1033" s="5">
        <f t="shared" si="895"/>
        <v>1</v>
      </c>
      <c r="BF1033" s="5">
        <v>0</v>
      </c>
      <c r="BG1033" s="5">
        <f t="shared" si="904"/>
        <v>0</v>
      </c>
      <c r="BH1033" s="5">
        <f t="shared" si="904"/>
        <v>0</v>
      </c>
      <c r="BI1033" s="5">
        <f t="shared" si="904"/>
        <v>0</v>
      </c>
      <c r="BJ1033" s="5">
        <f t="shared" si="904"/>
        <v>0</v>
      </c>
      <c r="BK1033" s="5">
        <f t="shared" si="904"/>
        <v>0</v>
      </c>
      <c r="BL1033" s="5">
        <f t="shared" si="904"/>
        <v>0</v>
      </c>
      <c r="BM1033" s="5">
        <f t="shared" si="904"/>
        <v>0</v>
      </c>
      <c r="BN1033" s="5">
        <f t="shared" si="898"/>
        <v>0</v>
      </c>
      <c r="BO1033" s="5">
        <f t="shared" si="898"/>
        <v>0</v>
      </c>
      <c r="BP1033" s="5">
        <f t="shared" si="898"/>
        <v>0</v>
      </c>
      <c r="BQ1033" s="5">
        <f t="shared" si="898"/>
        <v>0</v>
      </c>
      <c r="BR1033" s="5">
        <f t="shared" si="898"/>
        <v>0</v>
      </c>
      <c r="BS1033" s="5">
        <f t="shared" si="898"/>
        <v>0</v>
      </c>
      <c r="BT1033" s="5">
        <f t="shared" si="898"/>
        <v>0</v>
      </c>
      <c r="BU1033" s="5">
        <f t="shared" si="898"/>
        <v>0</v>
      </c>
      <c r="BV1033" s="5">
        <f t="shared" si="898"/>
        <v>0</v>
      </c>
      <c r="BW1033" s="5">
        <f t="shared" si="898"/>
        <v>0</v>
      </c>
      <c r="BX1033" s="5">
        <f t="shared" si="898"/>
        <v>0</v>
      </c>
      <c r="BY1033" s="5">
        <f t="shared" si="898"/>
        <v>0</v>
      </c>
      <c r="BZ1033" s="5">
        <f t="shared" si="898"/>
        <v>0</v>
      </c>
      <c r="CA1033" s="5">
        <f t="shared" si="898"/>
        <v>0</v>
      </c>
      <c r="CB1033" s="5">
        <f t="shared" si="898"/>
        <v>0</v>
      </c>
      <c r="CC1033" s="5">
        <f t="shared" si="899"/>
        <v>0</v>
      </c>
      <c r="CD1033" s="5">
        <f t="shared" si="897"/>
        <v>1</v>
      </c>
      <c r="CE1033" s="5">
        <f t="shared" si="897"/>
        <v>0</v>
      </c>
    </row>
    <row r="1034" spans="1:83" x14ac:dyDescent="0.2">
      <c r="A1034" s="11"/>
      <c r="B1034" s="11"/>
      <c r="C1034" s="1">
        <f>Growth!D1039</f>
        <v>2.8571428571428571E-2</v>
      </c>
      <c r="D1034" s="5" t="b">
        <f t="shared" si="824"/>
        <v>0</v>
      </c>
      <c r="E1034" s="5">
        <v>2014</v>
      </c>
      <c r="F1034" s="5">
        <f ca="1">LOOKUP($E1034,frequence!$A$2:$A$35,frequence!L$2:L$35)</f>
        <v>50.75383375536623</v>
      </c>
      <c r="G1034" s="5">
        <f ca="1">LOOKUP($E1034,frequence!$A$2:$A$35,frequence!K$2:K$35)</f>
        <v>9.9751715831189358</v>
      </c>
      <c r="H1034" s="5">
        <f ca="1">LOOKUP($E1034,frequence!$A$2:$A$35,frequence!M$2:M$35)</f>
        <v>236.05429056976001</v>
      </c>
      <c r="I1034" s="16">
        <v>2007</v>
      </c>
      <c r="J1034" s="7">
        <f>LOOKUP(I1034,CPI!A$69:A$103,CPI!O$69:O$103)</f>
        <v>1.0516730811895323</v>
      </c>
      <c r="K1034" s="16">
        <v>2015</v>
      </c>
      <c r="L1034" s="7">
        <f t="shared" ca="1" si="900"/>
        <v>1</v>
      </c>
      <c r="M1034" s="7">
        <f t="shared" si="888"/>
        <v>0.21142857142857144</v>
      </c>
      <c r="N1034" s="14">
        <f t="shared" si="889"/>
        <v>2.8571428571428571E-2</v>
      </c>
      <c r="O1034" s="1">
        <f ca="1">P1034*J1034*(1+Growth!G$6)^(2010-K1034)</f>
        <v>64.39196350345351</v>
      </c>
      <c r="P1034" s="40">
        <f>18*44/12</f>
        <v>66</v>
      </c>
      <c r="Q1034" s="2">
        <f t="shared" si="880"/>
        <v>66</v>
      </c>
      <c r="R1034" s="21">
        <f t="shared" ca="1" si="881"/>
        <v>4146.3249638300886</v>
      </c>
      <c r="U1034" s="11"/>
      <c r="V1034" s="11"/>
      <c r="W1034" s="11"/>
      <c r="X1034" s="11"/>
      <c r="Y1034" s="11"/>
      <c r="Z1034" s="11"/>
      <c r="AA1034" s="11"/>
      <c r="AB1034" s="11"/>
      <c r="AC1034" s="1">
        <f t="shared" si="890"/>
        <v>7.4</v>
      </c>
      <c r="AD1034" s="5">
        <v>1</v>
      </c>
      <c r="AE1034" s="5">
        <v>0</v>
      </c>
      <c r="AF1034" s="5">
        <v>1</v>
      </c>
      <c r="AG1034" s="5">
        <v>1</v>
      </c>
      <c r="AH1034" s="5">
        <v>1</v>
      </c>
      <c r="AI1034" s="3">
        <f t="shared" si="891"/>
        <v>3.4</v>
      </c>
      <c r="AJ1034" s="5">
        <f t="shared" si="835"/>
        <v>0</v>
      </c>
      <c r="AK1034" s="5">
        <f t="shared" si="901"/>
        <v>0</v>
      </c>
      <c r="AL1034" s="5">
        <f t="shared" si="902"/>
        <v>0</v>
      </c>
      <c r="AM1034" s="5">
        <f t="shared" si="836"/>
        <v>1</v>
      </c>
      <c r="AN1034" s="5">
        <f t="shared" si="903"/>
        <v>0</v>
      </c>
      <c r="AO1034" s="5">
        <f t="shared" si="837"/>
        <v>0</v>
      </c>
      <c r="AP1034" s="11" t="s">
        <v>42</v>
      </c>
      <c r="AQ1034" s="11">
        <v>1</v>
      </c>
      <c r="AR1034" s="5">
        <v>0</v>
      </c>
      <c r="AS1034" s="5">
        <v>0</v>
      </c>
      <c r="AT1034" s="5">
        <v>0</v>
      </c>
      <c r="AU1034" s="5">
        <v>1</v>
      </c>
      <c r="AV1034" s="5">
        <v>0</v>
      </c>
      <c r="AW1034" s="5">
        <v>0</v>
      </c>
      <c r="AX1034" s="5">
        <v>1</v>
      </c>
      <c r="AY1034" s="1">
        <f t="shared" si="892"/>
        <v>0</v>
      </c>
      <c r="AZ1034" s="1">
        <f t="shared" si="893"/>
        <v>1</v>
      </c>
      <c r="BA1034" s="1">
        <f t="shared" si="894"/>
        <v>0</v>
      </c>
      <c r="BB1034" s="5">
        <v>0</v>
      </c>
      <c r="BC1034" s="5">
        <v>0</v>
      </c>
      <c r="BD1034" s="5">
        <v>0</v>
      </c>
      <c r="BE1034" s="5">
        <f t="shared" si="895"/>
        <v>1</v>
      </c>
      <c r="BF1034" s="5">
        <v>0</v>
      </c>
      <c r="BG1034" s="5">
        <f t="shared" si="904"/>
        <v>0</v>
      </c>
      <c r="BH1034" s="5">
        <f t="shared" si="904"/>
        <v>0</v>
      </c>
      <c r="BI1034" s="5">
        <f t="shared" si="904"/>
        <v>0</v>
      </c>
      <c r="BJ1034" s="5">
        <f t="shared" si="904"/>
        <v>0</v>
      </c>
      <c r="BK1034" s="5">
        <f t="shared" si="904"/>
        <v>0</v>
      </c>
      <c r="BL1034" s="5">
        <f t="shared" si="904"/>
        <v>0</v>
      </c>
      <c r="BM1034" s="5">
        <f t="shared" si="904"/>
        <v>0</v>
      </c>
      <c r="BN1034" s="5">
        <f t="shared" si="898"/>
        <v>0</v>
      </c>
      <c r="BO1034" s="5">
        <f t="shared" si="898"/>
        <v>0</v>
      </c>
      <c r="BP1034" s="5">
        <f t="shared" si="898"/>
        <v>0</v>
      </c>
      <c r="BQ1034" s="5">
        <f t="shared" si="898"/>
        <v>0</v>
      </c>
      <c r="BR1034" s="5">
        <f t="shared" si="898"/>
        <v>0</v>
      </c>
      <c r="BS1034" s="5">
        <f t="shared" si="898"/>
        <v>0</v>
      </c>
      <c r="BT1034" s="5">
        <f t="shared" si="898"/>
        <v>0</v>
      </c>
      <c r="BU1034" s="5">
        <f t="shared" si="898"/>
        <v>0</v>
      </c>
      <c r="BV1034" s="5">
        <f t="shared" si="898"/>
        <v>0</v>
      </c>
      <c r="BW1034" s="5">
        <f t="shared" si="898"/>
        <v>0</v>
      </c>
      <c r="BX1034" s="5">
        <f t="shared" si="898"/>
        <v>0</v>
      </c>
      <c r="BY1034" s="5">
        <f t="shared" si="898"/>
        <v>0</v>
      </c>
      <c r="BZ1034" s="5">
        <f t="shared" si="898"/>
        <v>0</v>
      </c>
      <c r="CA1034" s="5">
        <f t="shared" si="898"/>
        <v>0</v>
      </c>
      <c r="CB1034" s="5">
        <f t="shared" si="898"/>
        <v>0</v>
      </c>
      <c r="CC1034" s="5">
        <f t="shared" si="899"/>
        <v>0</v>
      </c>
      <c r="CD1034" s="5">
        <f t="shared" si="897"/>
        <v>1</v>
      </c>
      <c r="CE1034" s="5">
        <f t="shared" si="897"/>
        <v>0</v>
      </c>
    </row>
    <row r="1035" spans="1:83" x14ac:dyDescent="0.2">
      <c r="A1035" s="11"/>
      <c r="B1035" s="11"/>
      <c r="C1035" s="1">
        <f>Growth!D1040</f>
        <v>2.8571428571428571E-2</v>
      </c>
      <c r="D1035" s="5" t="b">
        <f t="shared" si="824"/>
        <v>0</v>
      </c>
      <c r="E1035" s="5">
        <v>2014</v>
      </c>
      <c r="F1035" s="5">
        <f ca="1">LOOKUP($E1035,frequence!$A$2:$A$35,frequence!L$2:L$35)</f>
        <v>50.75383375536623</v>
      </c>
      <c r="G1035" s="5">
        <f ca="1">LOOKUP($E1035,frequence!$A$2:$A$35,frequence!K$2:K$35)</f>
        <v>9.9751715831189358</v>
      </c>
      <c r="H1035" s="5">
        <f ca="1">LOOKUP($E1035,frequence!$A$2:$A$35,frequence!M$2:M$35)</f>
        <v>236.05429056976001</v>
      </c>
      <c r="I1035" s="16">
        <v>2007</v>
      </c>
      <c r="J1035" s="7">
        <f>LOOKUP(I1035,CPI!A$69:A$103,CPI!O$69:O$103)</f>
        <v>1.0516730811895323</v>
      </c>
      <c r="K1035" s="16">
        <v>2015</v>
      </c>
      <c r="L1035" s="7">
        <f t="shared" ca="1" si="900"/>
        <v>1</v>
      </c>
      <c r="M1035" s="7">
        <f t="shared" si="888"/>
        <v>0.21142857142857144</v>
      </c>
      <c r="N1035" s="14">
        <f t="shared" si="889"/>
        <v>2.8571428571428571E-2</v>
      </c>
      <c r="O1035" s="1">
        <f ca="1">P1035*J1035*(1+Growth!G$6)^(2010-K1035)</f>
        <v>232.52653487358211</v>
      </c>
      <c r="P1035" s="40">
        <f>65*44/12</f>
        <v>238.33333333333334</v>
      </c>
      <c r="Q1035" s="2">
        <f t="shared" si="880"/>
        <v>238.33333333333334</v>
      </c>
      <c r="R1035" s="21">
        <f t="shared" ca="1" si="881"/>
        <v>54068.589420315198</v>
      </c>
      <c r="U1035" s="11"/>
      <c r="V1035" s="11"/>
      <c r="W1035" s="11"/>
      <c r="X1035" s="11"/>
      <c r="Y1035" s="11"/>
      <c r="Z1035" s="11"/>
      <c r="AA1035" s="11"/>
      <c r="AB1035" s="11"/>
      <c r="AC1035" s="1">
        <f t="shared" si="890"/>
        <v>7.4</v>
      </c>
      <c r="AD1035" s="5">
        <v>1</v>
      </c>
      <c r="AE1035" s="5">
        <v>0</v>
      </c>
      <c r="AF1035" s="5">
        <v>1</v>
      </c>
      <c r="AG1035" s="5">
        <v>1</v>
      </c>
      <c r="AH1035" s="5">
        <v>1</v>
      </c>
      <c r="AI1035" s="3">
        <f t="shared" si="891"/>
        <v>3.4</v>
      </c>
      <c r="AJ1035" s="5">
        <f t="shared" si="835"/>
        <v>0</v>
      </c>
      <c r="AK1035" s="5">
        <f t="shared" si="901"/>
        <v>0</v>
      </c>
      <c r="AL1035" s="5">
        <f t="shared" si="902"/>
        <v>0</v>
      </c>
      <c r="AM1035" s="5">
        <f t="shared" si="836"/>
        <v>0</v>
      </c>
      <c r="AN1035" s="5">
        <f t="shared" si="903"/>
        <v>1</v>
      </c>
      <c r="AO1035" s="5">
        <f t="shared" si="837"/>
        <v>0</v>
      </c>
      <c r="AP1035" s="11" t="s">
        <v>42</v>
      </c>
      <c r="AQ1035" s="11">
        <v>0.1</v>
      </c>
      <c r="AR1035" s="5">
        <v>0</v>
      </c>
      <c r="AS1035" s="5">
        <v>0</v>
      </c>
      <c r="AT1035" s="5">
        <v>0</v>
      </c>
      <c r="AU1035" s="5">
        <v>1</v>
      </c>
      <c r="AV1035" s="5">
        <v>0</v>
      </c>
      <c r="AW1035" s="5">
        <v>0</v>
      </c>
      <c r="AX1035" s="5">
        <v>1</v>
      </c>
      <c r="AY1035" s="1">
        <f t="shared" si="892"/>
        <v>0</v>
      </c>
      <c r="AZ1035" s="1">
        <f t="shared" si="893"/>
        <v>0</v>
      </c>
      <c r="BA1035" s="1">
        <f t="shared" si="894"/>
        <v>0</v>
      </c>
      <c r="BB1035" s="5">
        <v>0</v>
      </c>
      <c r="BC1035" s="5">
        <v>0</v>
      </c>
      <c r="BD1035" s="5">
        <v>0</v>
      </c>
      <c r="BE1035" s="5">
        <f t="shared" si="895"/>
        <v>1</v>
      </c>
      <c r="BF1035" s="5">
        <v>0</v>
      </c>
      <c r="BG1035" s="5">
        <f t="shared" si="904"/>
        <v>0</v>
      </c>
      <c r="BH1035" s="5">
        <f t="shared" si="904"/>
        <v>0</v>
      </c>
      <c r="BI1035" s="5">
        <f t="shared" si="904"/>
        <v>0</v>
      </c>
      <c r="BJ1035" s="5">
        <f t="shared" si="904"/>
        <v>0</v>
      </c>
      <c r="BK1035" s="5">
        <f t="shared" si="904"/>
        <v>0</v>
      </c>
      <c r="BL1035" s="5">
        <f t="shared" si="904"/>
        <v>0</v>
      </c>
      <c r="BM1035" s="5">
        <f t="shared" si="904"/>
        <v>0</v>
      </c>
      <c r="BN1035" s="5">
        <f t="shared" si="898"/>
        <v>0</v>
      </c>
      <c r="BO1035" s="5">
        <f t="shared" si="898"/>
        <v>0</v>
      </c>
      <c r="BP1035" s="5">
        <f t="shared" si="898"/>
        <v>0</v>
      </c>
      <c r="BQ1035" s="5">
        <f t="shared" si="898"/>
        <v>0</v>
      </c>
      <c r="BR1035" s="5">
        <f t="shared" si="898"/>
        <v>0</v>
      </c>
      <c r="BS1035" s="5">
        <f t="shared" si="898"/>
        <v>0</v>
      </c>
      <c r="BT1035" s="5">
        <f t="shared" si="898"/>
        <v>0</v>
      </c>
      <c r="BU1035" s="5">
        <f t="shared" si="898"/>
        <v>0</v>
      </c>
      <c r="BV1035" s="5">
        <f t="shared" si="898"/>
        <v>0</v>
      </c>
      <c r="BW1035" s="5">
        <f t="shared" si="898"/>
        <v>0</v>
      </c>
      <c r="BX1035" s="5">
        <f t="shared" si="898"/>
        <v>0</v>
      </c>
      <c r="BY1035" s="5">
        <f t="shared" si="898"/>
        <v>0</v>
      </c>
      <c r="BZ1035" s="5">
        <f t="shared" si="898"/>
        <v>0</v>
      </c>
      <c r="CA1035" s="5">
        <f t="shared" si="898"/>
        <v>0</v>
      </c>
      <c r="CB1035" s="5">
        <f t="shared" si="898"/>
        <v>0</v>
      </c>
      <c r="CC1035" s="5">
        <f t="shared" si="899"/>
        <v>0</v>
      </c>
      <c r="CD1035" s="5">
        <f t="shared" si="897"/>
        <v>1</v>
      </c>
      <c r="CE1035" s="5">
        <f t="shared" si="897"/>
        <v>0</v>
      </c>
    </row>
    <row r="1036" spans="1:83" x14ac:dyDescent="0.2">
      <c r="A1036" s="11"/>
      <c r="B1036" s="11"/>
      <c r="C1036" s="1">
        <f>Growth!D1041</f>
        <v>2.8571428571428571E-2</v>
      </c>
      <c r="D1036" s="5" t="b">
        <f t="shared" si="824"/>
        <v>0</v>
      </c>
      <c r="E1036" s="5">
        <v>2014</v>
      </c>
      <c r="F1036" s="5">
        <f ca="1">LOOKUP($E1036,frequence!$A$2:$A$35,frequence!L$2:L$35)</f>
        <v>50.75383375536623</v>
      </c>
      <c r="G1036" s="5">
        <f ca="1">LOOKUP($E1036,frequence!$A$2:$A$35,frequence!K$2:K$35)</f>
        <v>9.9751715831189358</v>
      </c>
      <c r="H1036" s="5">
        <f ca="1">LOOKUP($E1036,frequence!$A$2:$A$35,frequence!M$2:M$35)</f>
        <v>236.05429056976001</v>
      </c>
      <c r="I1036" s="16">
        <v>2007</v>
      </c>
      <c r="J1036" s="7">
        <f>LOOKUP(I1036,CPI!A$69:A$103,CPI!O$69:O$103)</f>
        <v>1.0516730811895323</v>
      </c>
      <c r="K1036" s="16">
        <v>2015</v>
      </c>
      <c r="L1036" s="7">
        <f t="shared" ca="1" si="900"/>
        <v>1</v>
      </c>
      <c r="M1036" s="7">
        <f t="shared" si="888"/>
        <v>0.21142857142857144</v>
      </c>
      <c r="N1036" s="14">
        <f t="shared" si="889"/>
        <v>2.8571428571428571E-2</v>
      </c>
      <c r="O1036" s="1">
        <f ca="1">P1036*J1036*(1+Growth!G$6)^(2010-K1036)</f>
        <v>39.350644363221591</v>
      </c>
      <c r="P1036" s="40">
        <f>11*44/12</f>
        <v>40.333333333333336</v>
      </c>
      <c r="Q1036" s="2">
        <f t="shared" si="880"/>
        <v>40.333333333333336</v>
      </c>
      <c r="R1036" s="21">
        <f t="shared" ca="1" si="881"/>
        <v>1548.4732118007432</v>
      </c>
      <c r="U1036" s="11"/>
      <c r="V1036" s="11"/>
      <c r="W1036" s="11"/>
      <c r="X1036" s="11"/>
      <c r="Y1036" s="11"/>
      <c r="Z1036" s="11"/>
      <c r="AA1036" s="11"/>
      <c r="AB1036" s="11"/>
      <c r="AC1036" s="1">
        <f t="shared" si="890"/>
        <v>7.4</v>
      </c>
      <c r="AD1036" s="5">
        <v>1</v>
      </c>
      <c r="AE1036" s="5">
        <v>0</v>
      </c>
      <c r="AF1036" s="5">
        <v>1</v>
      </c>
      <c r="AG1036" s="5">
        <v>1</v>
      </c>
      <c r="AH1036" s="5">
        <v>1</v>
      </c>
      <c r="AI1036" s="3">
        <f t="shared" si="891"/>
        <v>3.4</v>
      </c>
      <c r="AJ1036" s="5">
        <f t="shared" si="835"/>
        <v>1</v>
      </c>
      <c r="AK1036" s="5">
        <f t="shared" si="901"/>
        <v>0</v>
      </c>
      <c r="AL1036" s="5">
        <f t="shared" si="902"/>
        <v>0</v>
      </c>
      <c r="AM1036" s="5">
        <f t="shared" si="836"/>
        <v>0</v>
      </c>
      <c r="AN1036" s="5">
        <f t="shared" si="903"/>
        <v>0</v>
      </c>
      <c r="AO1036" s="5">
        <f t="shared" si="837"/>
        <v>0</v>
      </c>
      <c r="AP1036" s="11" t="s">
        <v>42</v>
      </c>
      <c r="AQ1036" s="11">
        <v>3</v>
      </c>
      <c r="AR1036" s="5">
        <v>0</v>
      </c>
      <c r="AS1036" s="5">
        <v>0</v>
      </c>
      <c r="AT1036" s="5">
        <v>0</v>
      </c>
      <c r="AU1036" s="5">
        <v>1</v>
      </c>
      <c r="AV1036" s="5">
        <v>0</v>
      </c>
      <c r="AW1036" s="5">
        <v>0</v>
      </c>
      <c r="AX1036" s="5">
        <v>1</v>
      </c>
      <c r="AY1036" s="1">
        <f t="shared" si="892"/>
        <v>1</v>
      </c>
      <c r="AZ1036" s="1">
        <f t="shared" si="893"/>
        <v>0</v>
      </c>
      <c r="BA1036" s="1">
        <f t="shared" si="894"/>
        <v>0</v>
      </c>
      <c r="BB1036" s="5">
        <v>0</v>
      </c>
      <c r="BC1036" s="5">
        <v>0</v>
      </c>
      <c r="BD1036" s="5">
        <v>0</v>
      </c>
      <c r="BE1036" s="5">
        <f t="shared" si="895"/>
        <v>1</v>
      </c>
      <c r="BF1036" s="5">
        <v>0</v>
      </c>
      <c r="BG1036" s="5">
        <f t="shared" si="904"/>
        <v>0</v>
      </c>
      <c r="BH1036" s="5">
        <f t="shared" si="904"/>
        <v>0</v>
      </c>
      <c r="BI1036" s="5">
        <f t="shared" si="904"/>
        <v>0</v>
      </c>
      <c r="BJ1036" s="5">
        <f t="shared" si="904"/>
        <v>0</v>
      </c>
      <c r="BK1036" s="5">
        <f t="shared" si="904"/>
        <v>0</v>
      </c>
      <c r="BL1036" s="5">
        <f t="shared" si="904"/>
        <v>0</v>
      </c>
      <c r="BM1036" s="5">
        <f t="shared" si="904"/>
        <v>0</v>
      </c>
      <c r="BN1036" s="5">
        <f t="shared" si="898"/>
        <v>0</v>
      </c>
      <c r="BO1036" s="5">
        <f t="shared" si="898"/>
        <v>0</v>
      </c>
      <c r="BP1036" s="5">
        <f t="shared" si="898"/>
        <v>0</v>
      </c>
      <c r="BQ1036" s="5">
        <f t="shared" si="898"/>
        <v>0</v>
      </c>
      <c r="BR1036" s="5">
        <f t="shared" si="898"/>
        <v>0</v>
      </c>
      <c r="BS1036" s="5">
        <f t="shared" si="898"/>
        <v>0</v>
      </c>
      <c r="BT1036" s="5">
        <f t="shared" si="898"/>
        <v>0</v>
      </c>
      <c r="BU1036" s="5">
        <f t="shared" si="898"/>
        <v>0</v>
      </c>
      <c r="BV1036" s="5">
        <f t="shared" si="898"/>
        <v>0</v>
      </c>
      <c r="BW1036" s="5">
        <f t="shared" si="898"/>
        <v>0</v>
      </c>
      <c r="BX1036" s="5">
        <f t="shared" si="898"/>
        <v>0</v>
      </c>
      <c r="BY1036" s="5">
        <f t="shared" si="898"/>
        <v>0</v>
      </c>
      <c r="BZ1036" s="5">
        <f t="shared" si="898"/>
        <v>0</v>
      </c>
      <c r="CA1036" s="5">
        <f t="shared" si="898"/>
        <v>0</v>
      </c>
      <c r="CB1036" s="5">
        <f t="shared" si="898"/>
        <v>0</v>
      </c>
      <c r="CC1036" s="5">
        <f t="shared" si="899"/>
        <v>0</v>
      </c>
      <c r="CD1036" s="5">
        <f t="shared" si="897"/>
        <v>1</v>
      </c>
      <c r="CE1036" s="5">
        <f t="shared" si="897"/>
        <v>0</v>
      </c>
    </row>
    <row r="1037" spans="1:83" x14ac:dyDescent="0.2">
      <c r="A1037" s="11"/>
      <c r="B1037" s="11"/>
      <c r="C1037" s="1">
        <f>Growth!D1042</f>
        <v>2.8571428571428571E-2</v>
      </c>
      <c r="D1037" s="5" t="b">
        <f t="shared" si="824"/>
        <v>0</v>
      </c>
      <c r="E1037" s="5">
        <v>2014</v>
      </c>
      <c r="F1037" s="5">
        <f ca="1">LOOKUP($E1037,frequence!$A$2:$A$35,frequence!L$2:L$35)</f>
        <v>50.75383375536623</v>
      </c>
      <c r="G1037" s="5">
        <f ca="1">LOOKUP($E1037,frequence!$A$2:$A$35,frequence!K$2:K$35)</f>
        <v>9.9751715831189358</v>
      </c>
      <c r="H1037" s="5">
        <f ca="1">LOOKUP($E1037,frequence!$A$2:$A$35,frequence!M$2:M$35)</f>
        <v>236.05429056976001</v>
      </c>
      <c r="I1037" s="16">
        <v>2007</v>
      </c>
      <c r="J1037" s="7">
        <f>LOOKUP(I1037,CPI!A$69:A$103,CPI!O$69:O$103)</f>
        <v>1.0516730811895323</v>
      </c>
      <c r="K1037" s="16">
        <v>2015</v>
      </c>
      <c r="L1037" s="7">
        <f t="shared" ca="1" si="900"/>
        <v>1</v>
      </c>
      <c r="M1037" s="7">
        <f t="shared" si="888"/>
        <v>0.21142857142857144</v>
      </c>
      <c r="N1037" s="14">
        <f t="shared" si="889"/>
        <v>2.8571428571428571E-2</v>
      </c>
      <c r="O1037" s="1">
        <f ca="1">P1037*J1037*(1+Growth!G$6)^(2010-K1037)</f>
        <v>60.814632197706096</v>
      </c>
      <c r="P1037" s="40">
        <f>17*44/12</f>
        <v>62.333333333333336</v>
      </c>
      <c r="Q1037" s="2">
        <f t="shared" si="880"/>
        <v>62.333333333333336</v>
      </c>
      <c r="R1037" s="21">
        <f t="shared" ca="1" si="881"/>
        <v>3698.4194893422709</v>
      </c>
      <c r="U1037" s="11"/>
      <c r="V1037" s="11"/>
      <c r="W1037" s="11"/>
      <c r="X1037" s="11"/>
      <c r="Y1037" s="11"/>
      <c r="Z1037" s="11"/>
      <c r="AA1037" s="11"/>
      <c r="AB1037" s="11"/>
      <c r="AC1037" s="1">
        <f t="shared" si="890"/>
        <v>7.4</v>
      </c>
      <c r="AD1037" s="5">
        <v>1</v>
      </c>
      <c r="AE1037" s="5">
        <v>0</v>
      </c>
      <c r="AF1037" s="5">
        <v>1</v>
      </c>
      <c r="AG1037" s="5">
        <v>1</v>
      </c>
      <c r="AH1037" s="5">
        <v>1</v>
      </c>
      <c r="AI1037" s="3">
        <f t="shared" si="891"/>
        <v>3.4</v>
      </c>
      <c r="AJ1037" s="5">
        <f t="shared" si="835"/>
        <v>0</v>
      </c>
      <c r="AK1037" s="5">
        <f t="shared" si="901"/>
        <v>0</v>
      </c>
      <c r="AL1037" s="5">
        <f t="shared" si="902"/>
        <v>0</v>
      </c>
      <c r="AM1037" s="5">
        <f t="shared" si="836"/>
        <v>1</v>
      </c>
      <c r="AN1037" s="5">
        <f t="shared" si="903"/>
        <v>0</v>
      </c>
      <c r="AO1037" s="5">
        <f t="shared" si="837"/>
        <v>0</v>
      </c>
      <c r="AP1037" s="11" t="s">
        <v>42</v>
      </c>
      <c r="AQ1037" s="11">
        <v>1</v>
      </c>
      <c r="AR1037" s="5">
        <v>0</v>
      </c>
      <c r="AS1037" s="5">
        <v>0</v>
      </c>
      <c r="AT1037" s="5">
        <v>1</v>
      </c>
      <c r="AU1037" s="5">
        <v>1</v>
      </c>
      <c r="AV1037" s="5">
        <v>0</v>
      </c>
      <c r="AW1037" s="5">
        <v>0</v>
      </c>
      <c r="AX1037" s="5">
        <v>1</v>
      </c>
      <c r="AY1037" s="1">
        <f t="shared" si="892"/>
        <v>0</v>
      </c>
      <c r="AZ1037" s="1">
        <f t="shared" si="893"/>
        <v>1</v>
      </c>
      <c r="BA1037" s="1">
        <f t="shared" si="894"/>
        <v>0</v>
      </c>
      <c r="BB1037" s="5">
        <v>0</v>
      </c>
      <c r="BC1037" s="5">
        <v>0</v>
      </c>
      <c r="BD1037" s="5">
        <v>0</v>
      </c>
      <c r="BE1037" s="5">
        <f t="shared" si="895"/>
        <v>1</v>
      </c>
      <c r="BF1037" s="5">
        <v>0</v>
      </c>
      <c r="BG1037" s="5">
        <f t="shared" si="904"/>
        <v>0</v>
      </c>
      <c r="BH1037" s="5">
        <f t="shared" si="904"/>
        <v>0</v>
      </c>
      <c r="BI1037" s="5">
        <f t="shared" si="904"/>
        <v>0</v>
      </c>
      <c r="BJ1037" s="5">
        <f t="shared" si="904"/>
        <v>0</v>
      </c>
      <c r="BK1037" s="5">
        <f t="shared" si="904"/>
        <v>0</v>
      </c>
      <c r="BL1037" s="5">
        <f t="shared" si="904"/>
        <v>0</v>
      </c>
      <c r="BM1037" s="5">
        <f t="shared" si="904"/>
        <v>0</v>
      </c>
      <c r="BN1037" s="5">
        <f t="shared" si="898"/>
        <v>0</v>
      </c>
      <c r="BO1037" s="5">
        <f t="shared" si="898"/>
        <v>0</v>
      </c>
      <c r="BP1037" s="5">
        <f t="shared" si="898"/>
        <v>0</v>
      </c>
      <c r="BQ1037" s="5">
        <f t="shared" si="898"/>
        <v>0</v>
      </c>
      <c r="BR1037" s="5">
        <f t="shared" si="898"/>
        <v>0</v>
      </c>
      <c r="BS1037" s="5">
        <f t="shared" si="898"/>
        <v>0</v>
      </c>
      <c r="BT1037" s="5">
        <f t="shared" si="898"/>
        <v>0</v>
      </c>
      <c r="BU1037" s="5">
        <f t="shared" si="898"/>
        <v>0</v>
      </c>
      <c r="BV1037" s="5">
        <f t="shared" si="898"/>
        <v>0</v>
      </c>
      <c r="BW1037" s="5">
        <f t="shared" si="898"/>
        <v>0</v>
      </c>
      <c r="BX1037" s="5">
        <f t="shared" si="898"/>
        <v>0</v>
      </c>
      <c r="BY1037" s="5">
        <f t="shared" si="898"/>
        <v>0</v>
      </c>
      <c r="BZ1037" s="5">
        <f t="shared" si="898"/>
        <v>0</v>
      </c>
      <c r="CA1037" s="5">
        <f t="shared" si="898"/>
        <v>0</v>
      </c>
      <c r="CB1037" s="5">
        <f t="shared" si="898"/>
        <v>0</v>
      </c>
      <c r="CC1037" s="5">
        <f t="shared" si="899"/>
        <v>0</v>
      </c>
      <c r="CD1037" s="5">
        <f t="shared" si="897"/>
        <v>1</v>
      </c>
      <c r="CE1037" s="5">
        <f t="shared" si="897"/>
        <v>0</v>
      </c>
    </row>
    <row r="1038" spans="1:83" x14ac:dyDescent="0.2">
      <c r="A1038" s="11"/>
      <c r="B1038" s="11"/>
      <c r="C1038" s="1">
        <f>Growth!D1043</f>
        <v>2.8571428571428571E-2</v>
      </c>
      <c r="D1038" s="5" t="b">
        <f t="shared" si="824"/>
        <v>0</v>
      </c>
      <c r="E1038" s="5">
        <v>2014</v>
      </c>
      <c r="F1038" s="5">
        <f ca="1">LOOKUP($E1038,frequence!$A$2:$A$35,frequence!L$2:L$35)</f>
        <v>50.75383375536623</v>
      </c>
      <c r="G1038" s="5">
        <f ca="1">LOOKUP($E1038,frequence!$A$2:$A$35,frequence!K$2:K$35)</f>
        <v>9.9751715831189358</v>
      </c>
      <c r="H1038" s="5">
        <f ca="1">LOOKUP($E1038,frequence!$A$2:$A$35,frequence!M$2:M$35)</f>
        <v>236.05429056976001</v>
      </c>
      <c r="I1038" s="16">
        <v>2007</v>
      </c>
      <c r="J1038" s="7">
        <f>LOOKUP(I1038,CPI!A$69:A$103,CPI!O$69:O$103)</f>
        <v>1.0516730811895323</v>
      </c>
      <c r="K1038" s="16">
        <v>2015</v>
      </c>
      <c r="L1038" s="7">
        <f t="shared" ca="1" si="900"/>
        <v>1</v>
      </c>
      <c r="M1038" s="7">
        <f t="shared" si="888"/>
        <v>0.21142857142857144</v>
      </c>
      <c r="N1038" s="14">
        <f t="shared" si="889"/>
        <v>2.8571428571428571E-2</v>
      </c>
      <c r="O1038" s="1">
        <f ca="1">P1038*J1038*(1+Growth!G$6)^(2010-K1038)</f>
        <v>178.86656528737086</v>
      </c>
      <c r="P1038" s="40">
        <f>50*44/12</f>
        <v>183.33333333333334</v>
      </c>
      <c r="Q1038" s="2">
        <f t="shared" si="880"/>
        <v>183.33333333333334</v>
      </c>
      <c r="R1038" s="21">
        <f t="shared" ca="1" si="881"/>
        <v>31993.248177701302</v>
      </c>
      <c r="U1038" s="11"/>
      <c r="V1038" s="11"/>
      <c r="W1038" s="11"/>
      <c r="X1038" s="11"/>
      <c r="Y1038" s="11"/>
      <c r="Z1038" s="11"/>
      <c r="AA1038" s="11"/>
      <c r="AB1038" s="11"/>
      <c r="AC1038" s="1">
        <f t="shared" si="890"/>
        <v>7.4</v>
      </c>
      <c r="AD1038" s="5">
        <v>1</v>
      </c>
      <c r="AE1038" s="5">
        <v>0</v>
      </c>
      <c r="AF1038" s="5">
        <v>1</v>
      </c>
      <c r="AG1038" s="5">
        <v>1</v>
      </c>
      <c r="AH1038" s="5">
        <v>1</v>
      </c>
      <c r="AI1038" s="3">
        <f t="shared" si="891"/>
        <v>3.4</v>
      </c>
      <c r="AJ1038" s="5">
        <f t="shared" si="835"/>
        <v>0</v>
      </c>
      <c r="AK1038" s="5">
        <f t="shared" si="901"/>
        <v>0</v>
      </c>
      <c r="AL1038" s="5">
        <f t="shared" si="902"/>
        <v>0</v>
      </c>
      <c r="AM1038" s="5">
        <f t="shared" si="836"/>
        <v>0</v>
      </c>
      <c r="AN1038" s="5">
        <f t="shared" si="903"/>
        <v>1</v>
      </c>
      <c r="AO1038" s="5">
        <f t="shared" si="837"/>
        <v>0</v>
      </c>
      <c r="AP1038" s="11" t="s">
        <v>42</v>
      </c>
      <c r="AQ1038" s="11">
        <v>0.1</v>
      </c>
      <c r="AR1038" s="5">
        <v>0</v>
      </c>
      <c r="AS1038" s="5">
        <v>0</v>
      </c>
      <c r="AT1038" s="5">
        <v>1</v>
      </c>
      <c r="AU1038" s="5">
        <v>1</v>
      </c>
      <c r="AV1038" s="5">
        <v>0</v>
      </c>
      <c r="AW1038" s="5">
        <v>0</v>
      </c>
      <c r="AX1038" s="5">
        <v>1</v>
      </c>
      <c r="AY1038" s="1">
        <f t="shared" si="892"/>
        <v>0</v>
      </c>
      <c r="AZ1038" s="1">
        <f t="shared" si="893"/>
        <v>0</v>
      </c>
      <c r="BA1038" s="1">
        <f t="shared" si="894"/>
        <v>0</v>
      </c>
      <c r="BB1038" s="5">
        <v>0</v>
      </c>
      <c r="BC1038" s="5">
        <v>0</v>
      </c>
      <c r="BD1038" s="5">
        <v>0</v>
      </c>
      <c r="BE1038" s="5">
        <f t="shared" si="895"/>
        <v>1</v>
      </c>
      <c r="BF1038" s="5">
        <v>0</v>
      </c>
      <c r="BG1038" s="5">
        <f t="shared" si="904"/>
        <v>0</v>
      </c>
      <c r="BH1038" s="5">
        <f t="shared" si="904"/>
        <v>0</v>
      </c>
      <c r="BI1038" s="5">
        <f t="shared" si="904"/>
        <v>0</v>
      </c>
      <c r="BJ1038" s="5">
        <f t="shared" si="904"/>
        <v>0</v>
      </c>
      <c r="BK1038" s="5">
        <f t="shared" si="904"/>
        <v>0</v>
      </c>
      <c r="BL1038" s="5">
        <f t="shared" si="904"/>
        <v>0</v>
      </c>
      <c r="BM1038" s="5">
        <f t="shared" si="904"/>
        <v>0</v>
      </c>
      <c r="BN1038" s="5">
        <f t="shared" si="898"/>
        <v>0</v>
      </c>
      <c r="BO1038" s="5">
        <f t="shared" si="898"/>
        <v>0</v>
      </c>
      <c r="BP1038" s="5">
        <f t="shared" si="898"/>
        <v>0</v>
      </c>
      <c r="BQ1038" s="5">
        <f t="shared" si="898"/>
        <v>0</v>
      </c>
      <c r="BR1038" s="5">
        <f t="shared" si="898"/>
        <v>0</v>
      </c>
      <c r="BS1038" s="5">
        <f t="shared" si="898"/>
        <v>0</v>
      </c>
      <c r="BT1038" s="5">
        <f t="shared" si="898"/>
        <v>0</v>
      </c>
      <c r="BU1038" s="5">
        <f t="shared" si="898"/>
        <v>0</v>
      </c>
      <c r="BV1038" s="5">
        <f t="shared" si="898"/>
        <v>0</v>
      </c>
      <c r="BW1038" s="5">
        <f t="shared" si="898"/>
        <v>0</v>
      </c>
      <c r="BX1038" s="5">
        <f t="shared" si="898"/>
        <v>0</v>
      </c>
      <c r="BY1038" s="5">
        <f t="shared" si="898"/>
        <v>0</v>
      </c>
      <c r="BZ1038" s="5">
        <f t="shared" si="898"/>
        <v>0</v>
      </c>
      <c r="CA1038" s="5">
        <f t="shared" si="898"/>
        <v>0</v>
      </c>
      <c r="CB1038" s="5">
        <f t="shared" si="898"/>
        <v>0</v>
      </c>
      <c r="CC1038" s="5">
        <f t="shared" si="899"/>
        <v>0</v>
      </c>
      <c r="CD1038" s="5">
        <f t="shared" si="897"/>
        <v>1</v>
      </c>
      <c r="CE1038" s="5">
        <f t="shared" si="897"/>
        <v>0</v>
      </c>
    </row>
    <row r="1039" spans="1:83" x14ac:dyDescent="0.2">
      <c r="A1039" s="11"/>
      <c r="B1039" s="11"/>
      <c r="C1039" s="1">
        <f>Growth!D1044</f>
        <v>2.8571428571428571E-2</v>
      </c>
      <c r="D1039" s="5" t="b">
        <f t="shared" si="824"/>
        <v>0</v>
      </c>
      <c r="E1039" s="5">
        <v>2014</v>
      </c>
      <c r="F1039" s="5">
        <f ca="1">LOOKUP($E1039,frequence!$A$2:$A$35,frequence!L$2:L$35)</f>
        <v>50.75383375536623</v>
      </c>
      <c r="G1039" s="5">
        <f ca="1">LOOKUP($E1039,frequence!$A$2:$A$35,frequence!K$2:K$35)</f>
        <v>9.9751715831189358</v>
      </c>
      <c r="H1039" s="5">
        <f ca="1">LOOKUP($E1039,frequence!$A$2:$A$35,frequence!M$2:M$35)</f>
        <v>236.05429056976001</v>
      </c>
      <c r="I1039" s="16">
        <v>2007</v>
      </c>
      <c r="J1039" s="7">
        <f>LOOKUP(I1039,CPI!A$69:A$103,CPI!O$69:O$103)</f>
        <v>1.0516730811895323</v>
      </c>
      <c r="K1039" s="16">
        <v>2015</v>
      </c>
      <c r="L1039" s="7">
        <f t="shared" ca="1" si="900"/>
        <v>1</v>
      </c>
      <c r="M1039" s="7">
        <f t="shared" si="888"/>
        <v>0.21142857142857144</v>
      </c>
      <c r="N1039" s="14">
        <f t="shared" si="889"/>
        <v>2.8571428571428571E-2</v>
      </c>
      <c r="O1039" s="1">
        <f ca="1">P1039*J1039*(1+Growth!G$6)^(2010-K1039)</f>
        <v>143.09325222989668</v>
      </c>
      <c r="P1039" s="40">
        <f>40*44/12</f>
        <v>146.66666666666666</v>
      </c>
      <c r="Q1039" s="2">
        <f t="shared" si="880"/>
        <v>146.66666666666666</v>
      </c>
      <c r="R1039" s="21">
        <f t="shared" ca="1" si="881"/>
        <v>20475.678833728831</v>
      </c>
      <c r="U1039" s="11"/>
      <c r="V1039" s="11"/>
      <c r="W1039" s="11"/>
      <c r="X1039" s="11"/>
      <c r="Y1039" s="11"/>
      <c r="Z1039" s="11"/>
      <c r="AA1039" s="11"/>
      <c r="AB1039" s="11"/>
      <c r="AC1039" s="1">
        <f t="shared" si="890"/>
        <v>7.4</v>
      </c>
      <c r="AD1039" s="5">
        <v>1</v>
      </c>
      <c r="AE1039" s="5">
        <v>0</v>
      </c>
      <c r="AF1039" s="5">
        <v>1</v>
      </c>
      <c r="AG1039" s="5">
        <v>1</v>
      </c>
      <c r="AH1039" s="5">
        <v>1</v>
      </c>
      <c r="AI1039" s="3">
        <f t="shared" si="891"/>
        <v>3.4</v>
      </c>
      <c r="AJ1039" s="5">
        <f t="shared" si="835"/>
        <v>0</v>
      </c>
      <c r="AK1039" s="5">
        <f t="shared" si="901"/>
        <v>0</v>
      </c>
      <c r="AL1039" s="5">
        <f t="shared" si="902"/>
        <v>0</v>
      </c>
      <c r="AM1039" s="5">
        <f t="shared" si="836"/>
        <v>1</v>
      </c>
      <c r="AN1039" s="5">
        <f t="shared" si="903"/>
        <v>0</v>
      </c>
      <c r="AO1039" s="5">
        <f t="shared" si="837"/>
        <v>0</v>
      </c>
      <c r="AP1039" s="11" t="s">
        <v>42</v>
      </c>
      <c r="AQ1039" s="11">
        <v>1</v>
      </c>
      <c r="AR1039" s="5">
        <v>0</v>
      </c>
      <c r="AS1039" s="5">
        <v>0</v>
      </c>
      <c r="AT1039" s="5">
        <v>1</v>
      </c>
      <c r="AU1039" s="5">
        <v>1</v>
      </c>
      <c r="AV1039" s="5">
        <v>0</v>
      </c>
      <c r="AW1039" s="5">
        <v>0</v>
      </c>
      <c r="AX1039" s="5">
        <v>1</v>
      </c>
      <c r="AY1039" s="1">
        <f t="shared" si="892"/>
        <v>0</v>
      </c>
      <c r="AZ1039" s="1">
        <f t="shared" si="893"/>
        <v>1</v>
      </c>
      <c r="BA1039" s="1">
        <f t="shared" si="894"/>
        <v>0</v>
      </c>
      <c r="BB1039" s="5">
        <v>0</v>
      </c>
      <c r="BC1039" s="5">
        <v>0</v>
      </c>
      <c r="BD1039" s="5">
        <v>0</v>
      </c>
      <c r="BE1039" s="5">
        <f t="shared" si="895"/>
        <v>1</v>
      </c>
      <c r="BF1039" s="5">
        <v>0</v>
      </c>
      <c r="BG1039" s="5">
        <f t="shared" si="904"/>
        <v>0</v>
      </c>
      <c r="BH1039" s="5">
        <f t="shared" si="904"/>
        <v>0</v>
      </c>
      <c r="BI1039" s="5">
        <f t="shared" si="904"/>
        <v>0</v>
      </c>
      <c r="BJ1039" s="5">
        <f t="shared" si="904"/>
        <v>0</v>
      </c>
      <c r="BK1039" s="5">
        <f t="shared" si="904"/>
        <v>0</v>
      </c>
      <c r="BL1039" s="5">
        <f t="shared" si="904"/>
        <v>0</v>
      </c>
      <c r="BM1039" s="5">
        <f t="shared" si="904"/>
        <v>0</v>
      </c>
      <c r="BN1039" s="5">
        <f t="shared" si="898"/>
        <v>0</v>
      </c>
      <c r="BO1039" s="5">
        <f t="shared" si="898"/>
        <v>0</v>
      </c>
      <c r="BP1039" s="5">
        <f t="shared" si="898"/>
        <v>0</v>
      </c>
      <c r="BQ1039" s="5">
        <f t="shared" si="898"/>
        <v>0</v>
      </c>
      <c r="BR1039" s="5">
        <f t="shared" si="898"/>
        <v>0</v>
      </c>
      <c r="BS1039" s="5">
        <f t="shared" si="898"/>
        <v>0</v>
      </c>
      <c r="BT1039" s="5">
        <f t="shared" si="898"/>
        <v>0</v>
      </c>
      <c r="BU1039" s="5">
        <f t="shared" si="898"/>
        <v>0</v>
      </c>
      <c r="BV1039" s="5">
        <f t="shared" si="898"/>
        <v>0</v>
      </c>
      <c r="BW1039" s="5">
        <f t="shared" si="898"/>
        <v>0</v>
      </c>
      <c r="BX1039" s="5">
        <f t="shared" si="898"/>
        <v>0</v>
      </c>
      <c r="BY1039" s="5">
        <f t="shared" si="898"/>
        <v>0</v>
      </c>
      <c r="BZ1039" s="5">
        <f t="shared" si="898"/>
        <v>0</v>
      </c>
      <c r="CA1039" s="5">
        <f t="shared" si="898"/>
        <v>0</v>
      </c>
      <c r="CB1039" s="5">
        <f t="shared" si="898"/>
        <v>0</v>
      </c>
      <c r="CC1039" s="5">
        <f t="shared" si="899"/>
        <v>0</v>
      </c>
      <c r="CD1039" s="5">
        <f t="shared" si="899"/>
        <v>1</v>
      </c>
      <c r="CE1039" s="5">
        <f t="shared" si="899"/>
        <v>0</v>
      </c>
    </row>
    <row r="1040" spans="1:83" x14ac:dyDescent="0.2">
      <c r="A1040" s="11"/>
      <c r="B1040" s="11"/>
      <c r="C1040" s="1">
        <f>Growth!D1045</f>
        <v>2.8571428571428571E-2</v>
      </c>
      <c r="D1040" s="5" t="b">
        <f t="shared" si="824"/>
        <v>0</v>
      </c>
      <c r="E1040" s="5">
        <v>2014</v>
      </c>
      <c r="F1040" s="5">
        <f ca="1">LOOKUP($E1040,frequence!$A$2:$A$35,frequence!L$2:L$35)</f>
        <v>50.75383375536623</v>
      </c>
      <c r="G1040" s="5">
        <f ca="1">LOOKUP($E1040,frequence!$A$2:$A$35,frequence!K$2:K$35)</f>
        <v>9.9751715831189358</v>
      </c>
      <c r="H1040" s="5">
        <f ca="1">LOOKUP($E1040,frequence!$A$2:$A$35,frequence!M$2:M$35)</f>
        <v>236.05429056976001</v>
      </c>
      <c r="I1040" s="16">
        <v>2007</v>
      </c>
      <c r="J1040" s="7">
        <f>LOOKUP(I1040,CPI!A$69:A$103,CPI!O$69:O$103)</f>
        <v>1.0516730811895323</v>
      </c>
      <c r="K1040" s="16">
        <v>2015</v>
      </c>
      <c r="L1040" s="7">
        <f t="shared" ca="1" si="900"/>
        <v>1</v>
      </c>
      <c r="M1040" s="7">
        <f t="shared" si="888"/>
        <v>0.21142857142857144</v>
      </c>
      <c r="N1040" s="14">
        <f t="shared" si="889"/>
        <v>2.8571428571428571E-2</v>
      </c>
      <c r="O1040" s="1">
        <f ca="1">P1040*J1040*(1+Growth!G$6)^(2010-K1040)</f>
        <v>490.09438888739612</v>
      </c>
      <c r="P1040" s="40">
        <f>137*44/12</f>
        <v>502.33333333333331</v>
      </c>
      <c r="Q1040" s="2">
        <f t="shared" si="880"/>
        <v>502.33333333333331</v>
      </c>
      <c r="R1040" s="21">
        <f t="shared" ca="1" si="881"/>
        <v>240192.51001891025</v>
      </c>
      <c r="U1040" s="11"/>
      <c r="V1040" s="11"/>
      <c r="W1040" s="11"/>
      <c r="X1040" s="11"/>
      <c r="Y1040" s="11"/>
      <c r="Z1040" s="11"/>
      <c r="AA1040" s="11"/>
      <c r="AB1040" s="11"/>
      <c r="AC1040" s="1">
        <f t="shared" si="890"/>
        <v>7.4</v>
      </c>
      <c r="AD1040" s="5">
        <v>1</v>
      </c>
      <c r="AE1040" s="5">
        <v>0</v>
      </c>
      <c r="AF1040" s="5">
        <v>1</v>
      </c>
      <c r="AG1040" s="5">
        <v>1</v>
      </c>
      <c r="AH1040" s="5">
        <v>1</v>
      </c>
      <c r="AI1040" s="3">
        <f t="shared" si="891"/>
        <v>3.4</v>
      </c>
      <c r="AJ1040" s="5">
        <f t="shared" si="835"/>
        <v>0</v>
      </c>
      <c r="AK1040" s="5">
        <f t="shared" si="901"/>
        <v>0</v>
      </c>
      <c r="AL1040" s="5">
        <f t="shared" si="902"/>
        <v>0</v>
      </c>
      <c r="AM1040" s="5">
        <f t="shared" si="836"/>
        <v>0</v>
      </c>
      <c r="AN1040" s="5">
        <f t="shared" si="903"/>
        <v>1</v>
      </c>
      <c r="AO1040" s="5">
        <f t="shared" si="837"/>
        <v>0</v>
      </c>
      <c r="AP1040" s="11" t="s">
        <v>42</v>
      </c>
      <c r="AQ1040" s="11">
        <v>0.1</v>
      </c>
      <c r="AR1040" s="5">
        <v>0</v>
      </c>
      <c r="AS1040" s="5">
        <v>0</v>
      </c>
      <c r="AT1040" s="5">
        <v>1</v>
      </c>
      <c r="AU1040" s="5">
        <v>1</v>
      </c>
      <c r="AV1040" s="5">
        <v>0</v>
      </c>
      <c r="AW1040" s="5">
        <v>0</v>
      </c>
      <c r="AX1040" s="5">
        <v>1</v>
      </c>
      <c r="AY1040" s="1">
        <f t="shared" si="892"/>
        <v>0</v>
      </c>
      <c r="AZ1040" s="1">
        <f t="shared" si="893"/>
        <v>0</v>
      </c>
      <c r="BA1040" s="1">
        <f t="shared" si="894"/>
        <v>0</v>
      </c>
      <c r="BB1040" s="5">
        <v>0</v>
      </c>
      <c r="BC1040" s="5">
        <v>0</v>
      </c>
      <c r="BD1040" s="5">
        <v>0</v>
      </c>
      <c r="BE1040" s="5">
        <f t="shared" si="895"/>
        <v>1</v>
      </c>
      <c r="BF1040" s="5">
        <v>0</v>
      </c>
      <c r="BG1040" s="5">
        <f t="shared" si="904"/>
        <v>0</v>
      </c>
      <c r="BH1040" s="5">
        <f t="shared" si="904"/>
        <v>0</v>
      </c>
      <c r="BI1040" s="5">
        <f t="shared" si="904"/>
        <v>0</v>
      </c>
      <c r="BJ1040" s="5">
        <f t="shared" si="904"/>
        <v>0</v>
      </c>
      <c r="BK1040" s="5">
        <f t="shared" si="904"/>
        <v>0</v>
      </c>
      <c r="BL1040" s="5">
        <f t="shared" si="904"/>
        <v>0</v>
      </c>
      <c r="BM1040" s="5">
        <f t="shared" si="904"/>
        <v>0</v>
      </c>
      <c r="BN1040" s="5">
        <f t="shared" si="898"/>
        <v>0</v>
      </c>
      <c r="BO1040" s="5">
        <f t="shared" si="898"/>
        <v>0</v>
      </c>
      <c r="BP1040" s="5">
        <f t="shared" si="898"/>
        <v>0</v>
      </c>
      <c r="BQ1040" s="5">
        <f t="shared" si="898"/>
        <v>0</v>
      </c>
      <c r="BR1040" s="5">
        <f t="shared" si="898"/>
        <v>0</v>
      </c>
      <c r="BS1040" s="5">
        <f t="shared" si="898"/>
        <v>0</v>
      </c>
      <c r="BT1040" s="5">
        <f t="shared" si="898"/>
        <v>0</v>
      </c>
      <c r="BU1040" s="5">
        <f t="shared" si="898"/>
        <v>0</v>
      </c>
      <c r="BV1040" s="5">
        <f t="shared" si="898"/>
        <v>0</v>
      </c>
      <c r="BW1040" s="5">
        <f t="shared" si="898"/>
        <v>0</v>
      </c>
      <c r="BX1040" s="5">
        <f t="shared" si="898"/>
        <v>0</v>
      </c>
      <c r="BY1040" s="5">
        <f t="shared" si="898"/>
        <v>0</v>
      </c>
      <c r="BZ1040" s="5">
        <f t="shared" si="898"/>
        <v>0</v>
      </c>
      <c r="CA1040" s="5">
        <f t="shared" si="898"/>
        <v>0</v>
      </c>
      <c r="CB1040" s="5">
        <f t="shared" si="898"/>
        <v>0</v>
      </c>
      <c r="CC1040" s="5">
        <f t="shared" si="899"/>
        <v>0</v>
      </c>
      <c r="CD1040" s="5">
        <f t="shared" si="899"/>
        <v>1</v>
      </c>
      <c r="CE1040" s="5">
        <f t="shared" si="899"/>
        <v>0</v>
      </c>
    </row>
    <row r="1041" spans="1:83" x14ac:dyDescent="0.2">
      <c r="A1041" s="11"/>
      <c r="B1041" s="11"/>
      <c r="C1041" s="1">
        <f>Growth!D1046</f>
        <v>2.8571428571428571E-2</v>
      </c>
      <c r="D1041" s="5" t="b">
        <f t="shared" si="824"/>
        <v>0</v>
      </c>
      <c r="E1041" s="5">
        <v>2014</v>
      </c>
      <c r="F1041" s="5">
        <f ca="1">LOOKUP($E1041,frequence!$A$2:$A$35,frequence!L$2:L$35)</f>
        <v>50.75383375536623</v>
      </c>
      <c r="G1041" s="5">
        <f ca="1">LOOKUP($E1041,frequence!$A$2:$A$35,frequence!K$2:K$35)</f>
        <v>9.9751715831189358</v>
      </c>
      <c r="H1041" s="5">
        <f ca="1">LOOKUP($E1041,frequence!$A$2:$A$35,frequence!M$2:M$35)</f>
        <v>236.05429056976001</v>
      </c>
      <c r="I1041" s="16">
        <v>2007</v>
      </c>
      <c r="J1041" s="7">
        <f>LOOKUP(I1041,CPI!A$69:A$103,CPI!O$69:O$103)</f>
        <v>1.0516730811895323</v>
      </c>
      <c r="K1041" s="16">
        <v>2015</v>
      </c>
      <c r="L1041" s="7">
        <f t="shared" ca="1" si="900"/>
        <v>1</v>
      </c>
      <c r="M1041" s="7">
        <f t="shared" si="888"/>
        <v>0.21142857142857144</v>
      </c>
      <c r="N1041" s="14">
        <f t="shared" si="889"/>
        <v>2.8571428571428571E-2</v>
      </c>
      <c r="O1041" s="1">
        <f ca="1">P1041*J1041*(1+Growth!G$6)^(2010-K1041)</f>
        <v>89.43328264368543</v>
      </c>
      <c r="P1041" s="40">
        <f>25*44/12</f>
        <v>91.666666666666671</v>
      </c>
      <c r="Q1041" s="2">
        <f t="shared" si="880"/>
        <v>91.666666666666671</v>
      </c>
      <c r="R1041" s="21">
        <f t="shared" ca="1" si="881"/>
        <v>7998.3120444253254</v>
      </c>
      <c r="U1041" s="11"/>
      <c r="V1041" s="11"/>
      <c r="W1041" s="11"/>
      <c r="X1041" s="11"/>
      <c r="Y1041" s="11"/>
      <c r="Z1041" s="11"/>
      <c r="AA1041" s="11"/>
      <c r="AB1041" s="11"/>
      <c r="AC1041" s="1">
        <f t="shared" si="890"/>
        <v>7.4</v>
      </c>
      <c r="AD1041" s="5">
        <v>1</v>
      </c>
      <c r="AE1041" s="5">
        <v>0</v>
      </c>
      <c r="AF1041" s="5">
        <v>1</v>
      </c>
      <c r="AG1041" s="5">
        <v>1</v>
      </c>
      <c r="AH1041" s="5">
        <v>1</v>
      </c>
      <c r="AI1041" s="3">
        <f t="shared" si="891"/>
        <v>3.4</v>
      </c>
      <c r="AJ1041" s="5">
        <f t="shared" si="835"/>
        <v>1</v>
      </c>
      <c r="AK1041" s="5">
        <f t="shared" si="901"/>
        <v>0</v>
      </c>
      <c r="AL1041" s="5">
        <f t="shared" si="902"/>
        <v>0</v>
      </c>
      <c r="AM1041" s="5">
        <f t="shared" si="836"/>
        <v>0</v>
      </c>
      <c r="AN1041" s="5">
        <f t="shared" si="903"/>
        <v>0</v>
      </c>
      <c r="AO1041" s="5">
        <f t="shared" si="837"/>
        <v>0</v>
      </c>
      <c r="AP1041" s="11" t="s">
        <v>42</v>
      </c>
      <c r="AQ1041" s="11">
        <v>3</v>
      </c>
      <c r="AR1041" s="5">
        <v>0</v>
      </c>
      <c r="AS1041" s="5">
        <v>0</v>
      </c>
      <c r="AT1041" s="5">
        <v>1</v>
      </c>
      <c r="AU1041" s="5">
        <v>1</v>
      </c>
      <c r="AV1041" s="5">
        <v>0</v>
      </c>
      <c r="AW1041" s="5">
        <v>0</v>
      </c>
      <c r="AX1041" s="5">
        <v>1</v>
      </c>
      <c r="AY1041" s="1">
        <f t="shared" si="892"/>
        <v>1</v>
      </c>
      <c r="AZ1041" s="1">
        <f t="shared" si="893"/>
        <v>0</v>
      </c>
      <c r="BA1041" s="1">
        <f t="shared" si="894"/>
        <v>0</v>
      </c>
      <c r="BB1041" s="5">
        <v>0</v>
      </c>
      <c r="BC1041" s="5">
        <v>0</v>
      </c>
      <c r="BD1041" s="5">
        <v>0</v>
      </c>
      <c r="BE1041" s="5">
        <f t="shared" si="895"/>
        <v>1</v>
      </c>
      <c r="BF1041" s="5">
        <v>0</v>
      </c>
      <c r="BG1041" s="5">
        <f t="shared" si="904"/>
        <v>0</v>
      </c>
      <c r="BH1041" s="5">
        <f t="shared" si="904"/>
        <v>0</v>
      </c>
      <c r="BI1041" s="5">
        <f t="shared" si="904"/>
        <v>0</v>
      </c>
      <c r="BJ1041" s="5">
        <f t="shared" si="904"/>
        <v>0</v>
      </c>
      <c r="BK1041" s="5">
        <f t="shared" si="904"/>
        <v>0</v>
      </c>
      <c r="BL1041" s="5">
        <f t="shared" si="904"/>
        <v>0</v>
      </c>
      <c r="BM1041" s="5">
        <f t="shared" si="904"/>
        <v>0</v>
      </c>
      <c r="BN1041" s="5">
        <f t="shared" si="898"/>
        <v>0</v>
      </c>
      <c r="BO1041" s="5">
        <f t="shared" si="898"/>
        <v>0</v>
      </c>
      <c r="BP1041" s="5">
        <f t="shared" si="898"/>
        <v>0</v>
      </c>
      <c r="BQ1041" s="5">
        <f t="shared" si="898"/>
        <v>0</v>
      </c>
      <c r="BR1041" s="5">
        <f t="shared" si="898"/>
        <v>0</v>
      </c>
      <c r="BS1041" s="5">
        <f t="shared" si="898"/>
        <v>0</v>
      </c>
      <c r="BT1041" s="5">
        <f t="shared" si="898"/>
        <v>0</v>
      </c>
      <c r="BU1041" s="5">
        <f t="shared" si="898"/>
        <v>0</v>
      </c>
      <c r="BV1041" s="5">
        <f t="shared" si="898"/>
        <v>0</v>
      </c>
      <c r="BW1041" s="5">
        <f t="shared" si="898"/>
        <v>0</v>
      </c>
      <c r="BX1041" s="5">
        <f t="shared" si="898"/>
        <v>0</v>
      </c>
      <c r="BY1041" s="5">
        <f t="shared" si="898"/>
        <v>0</v>
      </c>
      <c r="BZ1041" s="5">
        <f t="shared" si="898"/>
        <v>0</v>
      </c>
      <c r="CA1041" s="5">
        <f t="shared" si="898"/>
        <v>0</v>
      </c>
      <c r="CB1041" s="5">
        <f t="shared" si="898"/>
        <v>0</v>
      </c>
      <c r="CC1041" s="5">
        <f t="shared" si="899"/>
        <v>0</v>
      </c>
      <c r="CD1041" s="5">
        <f t="shared" si="899"/>
        <v>1</v>
      </c>
      <c r="CE1041" s="5">
        <f t="shared" si="899"/>
        <v>0</v>
      </c>
    </row>
    <row r="1042" spans="1:83" x14ac:dyDescent="0.2">
      <c r="A1042" s="11"/>
      <c r="B1042" s="11"/>
      <c r="C1042" s="1">
        <f>Growth!D1047</f>
        <v>2.8571428571428571E-2</v>
      </c>
      <c r="D1042" s="5" t="b">
        <f t="shared" si="824"/>
        <v>0</v>
      </c>
      <c r="E1042" s="5">
        <v>2014</v>
      </c>
      <c r="F1042" s="5">
        <f ca="1">LOOKUP($E1042,frequence!$A$2:$A$35,frequence!L$2:L$35)</f>
        <v>50.75383375536623</v>
      </c>
      <c r="G1042" s="5">
        <f ca="1">LOOKUP($E1042,frequence!$A$2:$A$35,frequence!K$2:K$35)</f>
        <v>9.9751715831189358</v>
      </c>
      <c r="H1042" s="5">
        <f ca="1">LOOKUP($E1042,frequence!$A$2:$A$35,frequence!M$2:M$35)</f>
        <v>236.05429056976001</v>
      </c>
      <c r="I1042" s="16">
        <v>2007</v>
      </c>
      <c r="J1042" s="7">
        <f>LOOKUP(I1042,CPI!A$69:A$103,CPI!O$69:O$103)</f>
        <v>1.0516730811895323</v>
      </c>
      <c r="K1042" s="16">
        <v>2015</v>
      </c>
      <c r="L1042" s="7">
        <f t="shared" ca="1" si="900"/>
        <v>1</v>
      </c>
      <c r="M1042" s="7">
        <f t="shared" si="888"/>
        <v>0.21142857142857144</v>
      </c>
      <c r="N1042" s="14">
        <f t="shared" si="889"/>
        <v>2.8571428571428571E-2</v>
      </c>
      <c r="O1042" s="1">
        <f ca="1">P1042*J1042*(1+Growth!G$6)^(2010-K1042)</f>
        <v>21.463987834484502</v>
      </c>
      <c r="P1042" s="40">
        <f>6*44/12</f>
        <v>22</v>
      </c>
      <c r="Q1042" s="2">
        <f t="shared" si="880"/>
        <v>22</v>
      </c>
      <c r="R1042" s="21">
        <f t="shared" ca="1" si="881"/>
        <v>460.70277375889873</v>
      </c>
      <c r="U1042" s="11"/>
      <c r="V1042" s="11"/>
      <c r="W1042" s="11"/>
      <c r="X1042" s="11"/>
      <c r="Y1042" s="11"/>
      <c r="Z1042" s="11"/>
      <c r="AA1042" s="11"/>
      <c r="AB1042" s="11"/>
      <c r="AC1042" s="1">
        <f t="shared" si="890"/>
        <v>7.4</v>
      </c>
      <c r="AD1042" s="5">
        <v>1</v>
      </c>
      <c r="AE1042" s="5">
        <v>0</v>
      </c>
      <c r="AF1042" s="5">
        <v>1</v>
      </c>
      <c r="AG1042" s="5">
        <v>1</v>
      </c>
      <c r="AH1042" s="5">
        <v>1</v>
      </c>
      <c r="AI1042" s="3">
        <f t="shared" si="891"/>
        <v>3.4</v>
      </c>
      <c r="AJ1042" s="5">
        <f t="shared" si="835"/>
        <v>0</v>
      </c>
      <c r="AK1042" s="5">
        <f t="shared" si="901"/>
        <v>0</v>
      </c>
      <c r="AL1042" s="5">
        <f t="shared" si="902"/>
        <v>0</v>
      </c>
      <c r="AM1042" s="5">
        <f t="shared" si="836"/>
        <v>1</v>
      </c>
      <c r="AN1042" s="5">
        <f t="shared" si="903"/>
        <v>0</v>
      </c>
      <c r="AO1042" s="5">
        <f t="shared" si="837"/>
        <v>0</v>
      </c>
      <c r="AP1042" s="11" t="s">
        <v>42</v>
      </c>
      <c r="AQ1042" s="11">
        <v>1</v>
      </c>
      <c r="AR1042" s="5">
        <v>0</v>
      </c>
      <c r="AS1042" s="5">
        <v>0</v>
      </c>
      <c r="AT1042" s="5">
        <v>1</v>
      </c>
      <c r="AU1042" s="5">
        <v>1</v>
      </c>
      <c r="AV1042" s="5">
        <v>0</v>
      </c>
      <c r="AW1042" s="5">
        <v>0</v>
      </c>
      <c r="AX1042" s="5">
        <v>1</v>
      </c>
      <c r="AY1042" s="1">
        <f t="shared" si="892"/>
        <v>0</v>
      </c>
      <c r="AZ1042" s="1">
        <f t="shared" si="893"/>
        <v>1</v>
      </c>
      <c r="BA1042" s="1">
        <f t="shared" si="894"/>
        <v>0</v>
      </c>
      <c r="BB1042" s="5">
        <v>0</v>
      </c>
      <c r="BC1042" s="5">
        <v>0</v>
      </c>
      <c r="BD1042" s="5">
        <v>0</v>
      </c>
      <c r="BE1042" s="5">
        <f t="shared" si="895"/>
        <v>1</v>
      </c>
      <c r="BF1042" s="5">
        <v>0</v>
      </c>
      <c r="BG1042" s="5">
        <f t="shared" si="904"/>
        <v>0</v>
      </c>
      <c r="BH1042" s="5">
        <f t="shared" si="904"/>
        <v>0</v>
      </c>
      <c r="BI1042" s="5">
        <f t="shared" si="904"/>
        <v>0</v>
      </c>
      <c r="BJ1042" s="5">
        <f t="shared" si="904"/>
        <v>0</v>
      </c>
      <c r="BK1042" s="5">
        <f t="shared" si="904"/>
        <v>0</v>
      </c>
      <c r="BL1042" s="5">
        <f t="shared" si="904"/>
        <v>0</v>
      </c>
      <c r="BM1042" s="5">
        <f t="shared" si="904"/>
        <v>0</v>
      </c>
      <c r="BN1042" s="5">
        <f t="shared" si="898"/>
        <v>0</v>
      </c>
      <c r="BO1042" s="5">
        <f t="shared" si="898"/>
        <v>0</v>
      </c>
      <c r="BP1042" s="5">
        <f t="shared" si="898"/>
        <v>0</v>
      </c>
      <c r="BQ1042" s="5">
        <f t="shared" si="898"/>
        <v>0</v>
      </c>
      <c r="BR1042" s="5">
        <f t="shared" si="898"/>
        <v>0</v>
      </c>
      <c r="BS1042" s="5">
        <f t="shared" si="898"/>
        <v>0</v>
      </c>
      <c r="BT1042" s="5">
        <f t="shared" si="898"/>
        <v>0</v>
      </c>
      <c r="BU1042" s="5">
        <f t="shared" si="898"/>
        <v>0</v>
      </c>
      <c r="BV1042" s="5">
        <f t="shared" si="898"/>
        <v>0</v>
      </c>
      <c r="BW1042" s="5">
        <f t="shared" si="898"/>
        <v>0</v>
      </c>
      <c r="BX1042" s="5">
        <f t="shared" si="898"/>
        <v>0</v>
      </c>
      <c r="BY1042" s="5">
        <f t="shared" si="898"/>
        <v>0</v>
      </c>
      <c r="BZ1042" s="5">
        <f t="shared" si="898"/>
        <v>0</v>
      </c>
      <c r="CA1042" s="5">
        <f t="shared" si="898"/>
        <v>0</v>
      </c>
      <c r="CB1042" s="5">
        <f t="shared" si="898"/>
        <v>0</v>
      </c>
      <c r="CC1042" s="5">
        <f t="shared" si="899"/>
        <v>0</v>
      </c>
      <c r="CD1042" s="5">
        <f t="shared" si="899"/>
        <v>1</v>
      </c>
      <c r="CE1042" s="5">
        <f t="shared" si="899"/>
        <v>0</v>
      </c>
    </row>
    <row r="1043" spans="1:83" x14ac:dyDescent="0.2">
      <c r="A1043" s="11"/>
      <c r="B1043" s="11"/>
      <c r="C1043" s="1">
        <f>Growth!D1048</f>
        <v>2.8571428571428571E-2</v>
      </c>
      <c r="D1043" s="5" t="b">
        <f t="shared" si="824"/>
        <v>0</v>
      </c>
      <c r="E1043" s="5">
        <v>2014</v>
      </c>
      <c r="F1043" s="5">
        <f ca="1">LOOKUP($E1043,frequence!$A$2:$A$35,frequence!L$2:L$35)</f>
        <v>50.75383375536623</v>
      </c>
      <c r="G1043" s="5">
        <f ca="1">LOOKUP($E1043,frequence!$A$2:$A$35,frequence!K$2:K$35)</f>
        <v>9.9751715831189358</v>
      </c>
      <c r="H1043" s="5">
        <f ca="1">LOOKUP($E1043,frequence!$A$2:$A$35,frequence!M$2:M$35)</f>
        <v>236.05429056976001</v>
      </c>
      <c r="I1043" s="16">
        <v>2007</v>
      </c>
      <c r="J1043" s="7">
        <f>LOOKUP(I1043,CPI!A$69:A$103,CPI!O$69:O$103)</f>
        <v>1.0516730811895323</v>
      </c>
      <c r="K1043" s="16">
        <v>2015</v>
      </c>
      <c r="L1043" s="7">
        <f t="shared" ca="1" si="900"/>
        <v>1</v>
      </c>
      <c r="M1043" s="7">
        <f t="shared" si="888"/>
        <v>0.21142857142857144</v>
      </c>
      <c r="N1043" s="14">
        <f t="shared" si="889"/>
        <v>2.8571428571428571E-2</v>
      </c>
      <c r="O1043" s="1">
        <f ca="1">P1043*J1043*(1+Growth!G$6)^(2010-K1043)</f>
        <v>71.546626114948339</v>
      </c>
      <c r="P1043" s="40">
        <f>20*44/12</f>
        <v>73.333333333333329</v>
      </c>
      <c r="Q1043" s="2">
        <f t="shared" si="880"/>
        <v>73.333333333333329</v>
      </c>
      <c r="R1043" s="21">
        <f t="shared" ca="1" si="881"/>
        <v>5118.9197084322077</v>
      </c>
      <c r="U1043" s="11"/>
      <c r="V1043" s="11"/>
      <c r="W1043" s="11"/>
      <c r="X1043" s="11"/>
      <c r="Y1043" s="11"/>
      <c r="Z1043" s="11"/>
      <c r="AA1043" s="11"/>
      <c r="AB1043" s="11"/>
      <c r="AC1043" s="1">
        <f t="shared" si="890"/>
        <v>7.4</v>
      </c>
      <c r="AD1043" s="5">
        <v>1</v>
      </c>
      <c r="AE1043" s="5">
        <v>0</v>
      </c>
      <c r="AF1043" s="5">
        <v>1</v>
      </c>
      <c r="AG1043" s="5">
        <v>1</v>
      </c>
      <c r="AH1043" s="5">
        <v>1</v>
      </c>
      <c r="AI1043" s="3">
        <f t="shared" si="891"/>
        <v>3.4</v>
      </c>
      <c r="AJ1043" s="5">
        <f t="shared" si="835"/>
        <v>0</v>
      </c>
      <c r="AK1043" s="5">
        <f t="shared" si="901"/>
        <v>0</v>
      </c>
      <c r="AL1043" s="5">
        <f t="shared" si="902"/>
        <v>0</v>
      </c>
      <c r="AM1043" s="5">
        <f t="shared" si="836"/>
        <v>0</v>
      </c>
      <c r="AN1043" s="5">
        <f t="shared" si="903"/>
        <v>1</v>
      </c>
      <c r="AO1043" s="5">
        <f t="shared" si="837"/>
        <v>0</v>
      </c>
      <c r="AP1043" s="11" t="s">
        <v>42</v>
      </c>
      <c r="AQ1043" s="11">
        <v>0.1</v>
      </c>
      <c r="AR1043" s="5">
        <v>0</v>
      </c>
      <c r="AS1043" s="5">
        <v>0</v>
      </c>
      <c r="AT1043" s="5">
        <v>1</v>
      </c>
      <c r="AU1043" s="5">
        <v>1</v>
      </c>
      <c r="AV1043" s="5">
        <v>0</v>
      </c>
      <c r="AW1043" s="5">
        <v>0</v>
      </c>
      <c r="AX1043" s="5">
        <v>1</v>
      </c>
      <c r="AY1043" s="1">
        <f t="shared" si="892"/>
        <v>0</v>
      </c>
      <c r="AZ1043" s="1">
        <f t="shared" si="893"/>
        <v>0</v>
      </c>
      <c r="BA1043" s="1">
        <f t="shared" si="894"/>
        <v>0</v>
      </c>
      <c r="BB1043" s="5">
        <v>0</v>
      </c>
      <c r="BC1043" s="5">
        <v>0</v>
      </c>
      <c r="BD1043" s="5">
        <v>0</v>
      </c>
      <c r="BE1043" s="5">
        <f t="shared" si="895"/>
        <v>1</v>
      </c>
      <c r="BF1043" s="5">
        <v>0</v>
      </c>
      <c r="BG1043" s="5">
        <f t="shared" si="904"/>
        <v>0</v>
      </c>
      <c r="BH1043" s="5">
        <f t="shared" si="904"/>
        <v>0</v>
      </c>
      <c r="BI1043" s="5">
        <f t="shared" si="904"/>
        <v>0</v>
      </c>
      <c r="BJ1043" s="5">
        <f t="shared" si="904"/>
        <v>0</v>
      </c>
      <c r="BK1043" s="5">
        <f t="shared" si="904"/>
        <v>0</v>
      </c>
      <c r="BL1043" s="5">
        <f t="shared" si="904"/>
        <v>0</v>
      </c>
      <c r="BM1043" s="5">
        <f t="shared" si="904"/>
        <v>0</v>
      </c>
      <c r="BN1043" s="5">
        <f t="shared" si="898"/>
        <v>0</v>
      </c>
      <c r="BO1043" s="5">
        <f t="shared" si="898"/>
        <v>0</v>
      </c>
      <c r="BP1043" s="5">
        <f t="shared" si="898"/>
        <v>0</v>
      </c>
      <c r="BQ1043" s="5">
        <f t="shared" si="898"/>
        <v>0</v>
      </c>
      <c r="BR1043" s="5">
        <f t="shared" si="898"/>
        <v>0</v>
      </c>
      <c r="BS1043" s="5">
        <f t="shared" si="898"/>
        <v>0</v>
      </c>
      <c r="BT1043" s="5">
        <f t="shared" si="898"/>
        <v>0</v>
      </c>
      <c r="BU1043" s="5">
        <f t="shared" si="898"/>
        <v>0</v>
      </c>
      <c r="BV1043" s="5">
        <f t="shared" si="898"/>
        <v>0</v>
      </c>
      <c r="BW1043" s="5">
        <f t="shared" si="898"/>
        <v>0</v>
      </c>
      <c r="BX1043" s="5">
        <f t="shared" si="898"/>
        <v>0</v>
      </c>
      <c r="BY1043" s="5">
        <f t="shared" si="898"/>
        <v>0</v>
      </c>
      <c r="BZ1043" s="5">
        <f t="shared" si="898"/>
        <v>0</v>
      </c>
      <c r="CA1043" s="5">
        <f t="shared" si="898"/>
        <v>0</v>
      </c>
      <c r="CB1043" s="5">
        <f t="shared" ref="CB1043:CE1062" si="905">IF($E1043=CB$2,1,0)</f>
        <v>0</v>
      </c>
      <c r="CC1043" s="5">
        <f t="shared" si="899"/>
        <v>0</v>
      </c>
      <c r="CD1043" s="5">
        <f t="shared" si="899"/>
        <v>1</v>
      </c>
      <c r="CE1043" s="5">
        <f t="shared" si="899"/>
        <v>0</v>
      </c>
    </row>
    <row r="1044" spans="1:83" x14ac:dyDescent="0.2">
      <c r="A1044" s="11"/>
      <c r="B1044" s="11"/>
      <c r="C1044" s="1">
        <f>Growth!D1049</f>
        <v>2.8571428571428571E-2</v>
      </c>
      <c r="D1044" s="5" t="b">
        <f t="shared" si="824"/>
        <v>0</v>
      </c>
      <c r="E1044" s="5">
        <v>2014</v>
      </c>
      <c r="F1044" s="5">
        <f ca="1">LOOKUP($E1044,frequence!$A$2:$A$35,frequence!L$2:L$35)</f>
        <v>50.75383375536623</v>
      </c>
      <c r="G1044" s="5">
        <f ca="1">LOOKUP($E1044,frequence!$A$2:$A$35,frequence!K$2:K$35)</f>
        <v>9.9751715831189358</v>
      </c>
      <c r="H1044" s="5">
        <f ca="1">LOOKUP($E1044,frequence!$A$2:$A$35,frequence!M$2:M$35)</f>
        <v>236.05429056976001</v>
      </c>
      <c r="I1044" s="16">
        <v>2007</v>
      </c>
      <c r="J1044" s="7">
        <f>LOOKUP(I1044,CPI!A$69:A$103,CPI!O$69:O$103)</f>
        <v>1.0516730811895323</v>
      </c>
      <c r="K1044" s="16">
        <v>2015</v>
      </c>
      <c r="L1044" s="7">
        <f t="shared" ca="1" si="900"/>
        <v>1</v>
      </c>
      <c r="M1044" s="7">
        <f t="shared" si="888"/>
        <v>0.21142857142857144</v>
      </c>
      <c r="N1044" s="14">
        <f t="shared" si="889"/>
        <v>2.8571428571428571E-2</v>
      </c>
      <c r="O1044" s="1">
        <f ca="1">P1044*J1044*(1+Growth!G$6)^(2010-K1044)</f>
        <v>53.659969586211254</v>
      </c>
      <c r="P1044" s="40">
        <f>15*44/12</f>
        <v>55</v>
      </c>
      <c r="Q1044" s="2">
        <f t="shared" si="880"/>
        <v>55</v>
      </c>
      <c r="R1044" s="21">
        <f t="shared" ca="1" si="881"/>
        <v>2879.3923359931168</v>
      </c>
      <c r="U1044" s="11"/>
      <c r="V1044" s="11"/>
      <c r="W1044" s="11"/>
      <c r="X1044" s="11"/>
      <c r="Y1044" s="11"/>
      <c r="Z1044" s="11"/>
      <c r="AA1044" s="11"/>
      <c r="AB1044" s="11"/>
      <c r="AC1044" s="1">
        <f t="shared" si="890"/>
        <v>7.4</v>
      </c>
      <c r="AD1044" s="5">
        <v>1</v>
      </c>
      <c r="AE1044" s="5">
        <v>0</v>
      </c>
      <c r="AF1044" s="5">
        <v>1</v>
      </c>
      <c r="AG1044" s="5">
        <v>1</v>
      </c>
      <c r="AH1044" s="5">
        <v>1</v>
      </c>
      <c r="AI1044" s="3">
        <f t="shared" si="891"/>
        <v>3.4</v>
      </c>
      <c r="AJ1044" s="5">
        <f t="shared" si="835"/>
        <v>0</v>
      </c>
      <c r="AK1044" s="5">
        <f t="shared" si="901"/>
        <v>0</v>
      </c>
      <c r="AL1044" s="5">
        <f t="shared" si="902"/>
        <v>0</v>
      </c>
      <c r="AM1044" s="5">
        <f t="shared" si="836"/>
        <v>1</v>
      </c>
      <c r="AN1044" s="5">
        <f t="shared" si="903"/>
        <v>0</v>
      </c>
      <c r="AO1044" s="5">
        <f t="shared" si="837"/>
        <v>0</v>
      </c>
      <c r="AP1044" s="11" t="s">
        <v>42</v>
      </c>
      <c r="AQ1044" s="11">
        <v>1</v>
      </c>
      <c r="AR1044" s="5">
        <v>0</v>
      </c>
      <c r="AS1044" s="5">
        <v>0</v>
      </c>
      <c r="AT1044" s="5">
        <v>1</v>
      </c>
      <c r="AU1044" s="5">
        <v>1</v>
      </c>
      <c r="AV1044" s="5">
        <v>0</v>
      </c>
      <c r="AW1044" s="5">
        <v>0</v>
      </c>
      <c r="AX1044" s="5">
        <v>1</v>
      </c>
      <c r="AY1044" s="1">
        <f t="shared" si="892"/>
        <v>0</v>
      </c>
      <c r="AZ1044" s="1">
        <f t="shared" si="893"/>
        <v>1</v>
      </c>
      <c r="BA1044" s="1">
        <f t="shared" si="894"/>
        <v>0</v>
      </c>
      <c r="BB1044" s="5">
        <v>0</v>
      </c>
      <c r="BC1044" s="5">
        <v>0</v>
      </c>
      <c r="BD1044" s="5">
        <v>0</v>
      </c>
      <c r="BE1044" s="5">
        <f t="shared" si="895"/>
        <v>1</v>
      </c>
      <c r="BF1044" s="5">
        <v>0</v>
      </c>
      <c r="BG1044" s="5">
        <f t="shared" si="904"/>
        <v>0</v>
      </c>
      <c r="BH1044" s="5">
        <f t="shared" si="904"/>
        <v>0</v>
      </c>
      <c r="BI1044" s="5">
        <f t="shared" si="904"/>
        <v>0</v>
      </c>
      <c r="BJ1044" s="5">
        <f t="shared" si="904"/>
        <v>0</v>
      </c>
      <c r="BK1044" s="5">
        <f t="shared" si="904"/>
        <v>0</v>
      </c>
      <c r="BL1044" s="5">
        <f t="shared" si="904"/>
        <v>0</v>
      </c>
      <c r="BM1044" s="5">
        <f t="shared" si="904"/>
        <v>0</v>
      </c>
      <c r="BN1044" s="5">
        <f t="shared" si="904"/>
        <v>0</v>
      </c>
      <c r="BO1044" s="5">
        <f t="shared" ref="BO1044:CA1059" si="906">IF($E1044=BO$2,1,0)</f>
        <v>0</v>
      </c>
      <c r="BP1044" s="5">
        <f t="shared" si="906"/>
        <v>0</v>
      </c>
      <c r="BQ1044" s="5">
        <f t="shared" si="906"/>
        <v>0</v>
      </c>
      <c r="BR1044" s="5">
        <f t="shared" si="906"/>
        <v>0</v>
      </c>
      <c r="BS1044" s="5">
        <f t="shared" si="906"/>
        <v>0</v>
      </c>
      <c r="BT1044" s="5">
        <f t="shared" si="906"/>
        <v>0</v>
      </c>
      <c r="BU1044" s="5">
        <f t="shared" si="906"/>
        <v>0</v>
      </c>
      <c r="BV1044" s="5">
        <f t="shared" si="906"/>
        <v>0</v>
      </c>
      <c r="BW1044" s="5">
        <f t="shared" si="906"/>
        <v>0</v>
      </c>
      <c r="BX1044" s="5">
        <f t="shared" si="906"/>
        <v>0</v>
      </c>
      <c r="BY1044" s="5">
        <f t="shared" si="906"/>
        <v>0</v>
      </c>
      <c r="BZ1044" s="5">
        <f t="shared" si="906"/>
        <v>0</v>
      </c>
      <c r="CA1044" s="5">
        <f t="shared" si="906"/>
        <v>0</v>
      </c>
      <c r="CB1044" s="5">
        <f t="shared" si="905"/>
        <v>0</v>
      </c>
      <c r="CC1044" s="5">
        <f t="shared" si="899"/>
        <v>0</v>
      </c>
      <c r="CD1044" s="5">
        <f t="shared" si="899"/>
        <v>1</v>
      </c>
      <c r="CE1044" s="5">
        <f t="shared" si="899"/>
        <v>0</v>
      </c>
    </row>
    <row r="1045" spans="1:83" x14ac:dyDescent="0.2">
      <c r="A1045" s="11"/>
      <c r="B1045" s="11"/>
      <c r="C1045" s="1">
        <f>Growth!D1050</f>
        <v>2.8571428571428571E-2</v>
      </c>
      <c r="D1045" s="5" t="b">
        <f t="shared" ref="D1045:D1091" si="907">IF(B1045&gt;0,E1045)</f>
        <v>0</v>
      </c>
      <c r="E1045" s="5">
        <v>2014</v>
      </c>
      <c r="F1045" s="5">
        <f ca="1">LOOKUP($E1045,frequence!$A$2:$A$35,frequence!L$2:L$35)</f>
        <v>50.75383375536623</v>
      </c>
      <c r="G1045" s="5">
        <f ca="1">LOOKUP($E1045,frequence!$A$2:$A$35,frequence!K$2:K$35)</f>
        <v>9.9751715831189358</v>
      </c>
      <c r="H1045" s="5">
        <f ca="1">LOOKUP($E1045,frequence!$A$2:$A$35,frequence!M$2:M$35)</f>
        <v>236.05429056976001</v>
      </c>
      <c r="I1045" s="16">
        <v>2007</v>
      </c>
      <c r="J1045" s="7">
        <f>LOOKUP(I1045,CPI!A$69:A$103,CPI!O$69:O$103)</f>
        <v>1.0516730811895323</v>
      </c>
      <c r="K1045" s="16">
        <v>2015</v>
      </c>
      <c r="L1045" s="7">
        <f t="shared" ca="1" si="900"/>
        <v>1</v>
      </c>
      <c r="M1045" s="7">
        <f t="shared" si="888"/>
        <v>0.21142857142857144</v>
      </c>
      <c r="N1045" s="14">
        <f t="shared" si="889"/>
        <v>2.8571428571428571E-2</v>
      </c>
      <c r="O1045" s="1">
        <f ca="1">P1045*J1045*(1+Growth!G$6)^(2010-K1045)</f>
        <v>225.37187226208727</v>
      </c>
      <c r="P1045" s="40">
        <f>63*44/12</f>
        <v>231</v>
      </c>
      <c r="Q1045" s="2">
        <f t="shared" si="880"/>
        <v>231</v>
      </c>
      <c r="R1045" s="21">
        <f t="shared" ca="1" si="881"/>
        <v>50792.480806918582</v>
      </c>
      <c r="U1045" s="11"/>
      <c r="V1045" s="11"/>
      <c r="W1045" s="11"/>
      <c r="X1045" s="11"/>
      <c r="Y1045" s="11"/>
      <c r="Z1045" s="11"/>
      <c r="AA1045" s="11"/>
      <c r="AB1045" s="11"/>
      <c r="AC1045" s="1">
        <f t="shared" si="890"/>
        <v>7.4</v>
      </c>
      <c r="AD1045" s="5">
        <v>1</v>
      </c>
      <c r="AE1045" s="5">
        <v>0</v>
      </c>
      <c r="AF1045" s="5">
        <v>1</v>
      </c>
      <c r="AG1045" s="5">
        <v>1</v>
      </c>
      <c r="AH1045" s="5">
        <v>1</v>
      </c>
      <c r="AI1045" s="3">
        <f t="shared" si="891"/>
        <v>3.4</v>
      </c>
      <c r="AJ1045" s="5">
        <f t="shared" si="835"/>
        <v>0</v>
      </c>
      <c r="AK1045" s="5">
        <f t="shared" si="901"/>
        <v>0</v>
      </c>
      <c r="AL1045" s="5">
        <f t="shared" si="902"/>
        <v>0</v>
      </c>
      <c r="AM1045" s="5">
        <f t="shared" si="836"/>
        <v>0</v>
      </c>
      <c r="AN1045" s="5">
        <f t="shared" si="903"/>
        <v>1</v>
      </c>
      <c r="AO1045" s="5">
        <f t="shared" si="837"/>
        <v>0</v>
      </c>
      <c r="AP1045" s="11" t="s">
        <v>42</v>
      </c>
      <c r="AQ1045" s="11">
        <v>0.1</v>
      </c>
      <c r="AR1045" s="5">
        <v>0</v>
      </c>
      <c r="AS1045" s="5">
        <v>0</v>
      </c>
      <c r="AT1045" s="5">
        <v>1</v>
      </c>
      <c r="AU1045" s="5">
        <v>1</v>
      </c>
      <c r="AV1045" s="5">
        <v>0</v>
      </c>
      <c r="AW1045" s="5">
        <v>0</v>
      </c>
      <c r="AX1045" s="5">
        <v>1</v>
      </c>
      <c r="AY1045" s="1">
        <f t="shared" si="892"/>
        <v>0</v>
      </c>
      <c r="AZ1045" s="1">
        <f t="shared" si="893"/>
        <v>0</v>
      </c>
      <c r="BA1045" s="1">
        <f t="shared" si="894"/>
        <v>0</v>
      </c>
      <c r="BB1045" s="5">
        <v>0</v>
      </c>
      <c r="BC1045" s="5">
        <v>0</v>
      </c>
      <c r="BD1045" s="5">
        <v>0</v>
      </c>
      <c r="BE1045" s="5">
        <f t="shared" si="895"/>
        <v>1</v>
      </c>
      <c r="BF1045" s="5">
        <v>0</v>
      </c>
      <c r="BG1045" s="5">
        <f t="shared" ref="BG1045:BN1060" si="908">IF($E1045=BG$2,1,0)</f>
        <v>0</v>
      </c>
      <c r="BH1045" s="5">
        <f t="shared" si="908"/>
        <v>0</v>
      </c>
      <c r="BI1045" s="5">
        <f t="shared" si="908"/>
        <v>0</v>
      </c>
      <c r="BJ1045" s="5">
        <f t="shared" si="908"/>
        <v>0</v>
      </c>
      <c r="BK1045" s="5">
        <f t="shared" si="908"/>
        <v>0</v>
      </c>
      <c r="BL1045" s="5">
        <f t="shared" si="908"/>
        <v>0</v>
      </c>
      <c r="BM1045" s="5">
        <f t="shared" si="908"/>
        <v>0</v>
      </c>
      <c r="BN1045" s="5">
        <f t="shared" si="908"/>
        <v>0</v>
      </c>
      <c r="BO1045" s="5">
        <f t="shared" si="906"/>
        <v>0</v>
      </c>
      <c r="BP1045" s="5">
        <f t="shared" si="906"/>
        <v>0</v>
      </c>
      <c r="BQ1045" s="5">
        <f t="shared" si="906"/>
        <v>0</v>
      </c>
      <c r="BR1045" s="5">
        <f t="shared" si="906"/>
        <v>0</v>
      </c>
      <c r="BS1045" s="5">
        <f t="shared" si="906"/>
        <v>0</v>
      </c>
      <c r="BT1045" s="5">
        <f t="shared" si="906"/>
        <v>0</v>
      </c>
      <c r="BU1045" s="5">
        <f t="shared" si="906"/>
        <v>0</v>
      </c>
      <c r="BV1045" s="5">
        <f t="shared" si="906"/>
        <v>0</v>
      </c>
      <c r="BW1045" s="5">
        <f t="shared" si="906"/>
        <v>0</v>
      </c>
      <c r="BX1045" s="5">
        <f t="shared" si="906"/>
        <v>0</v>
      </c>
      <c r="BY1045" s="5">
        <f t="shared" si="906"/>
        <v>0</v>
      </c>
      <c r="BZ1045" s="5">
        <f t="shared" si="906"/>
        <v>0</v>
      </c>
      <c r="CA1045" s="5">
        <f t="shared" si="906"/>
        <v>0</v>
      </c>
      <c r="CB1045" s="5">
        <f t="shared" si="905"/>
        <v>0</v>
      </c>
      <c r="CC1045" s="5">
        <f t="shared" si="899"/>
        <v>0</v>
      </c>
      <c r="CD1045" s="5">
        <f t="shared" si="899"/>
        <v>1</v>
      </c>
      <c r="CE1045" s="5">
        <f t="shared" si="899"/>
        <v>0</v>
      </c>
    </row>
    <row r="1046" spans="1:83" x14ac:dyDescent="0.2">
      <c r="A1046" s="11"/>
      <c r="B1046" s="11"/>
      <c r="C1046" s="1">
        <f>Growth!D1051</f>
        <v>2.8571428571428571E-2</v>
      </c>
      <c r="D1046" s="5" t="b">
        <f t="shared" si="907"/>
        <v>0</v>
      </c>
      <c r="E1046" s="5">
        <v>2014</v>
      </c>
      <c r="F1046" s="5">
        <f ca="1">LOOKUP($E1046,frequence!$A$2:$A$35,frequence!L$2:L$35)</f>
        <v>50.75383375536623</v>
      </c>
      <c r="G1046" s="5">
        <f ca="1">LOOKUP($E1046,frequence!$A$2:$A$35,frequence!K$2:K$35)</f>
        <v>9.9751715831189358</v>
      </c>
      <c r="H1046" s="5">
        <f ca="1">LOOKUP($E1046,frequence!$A$2:$A$35,frequence!M$2:M$35)</f>
        <v>236.05429056976001</v>
      </c>
      <c r="I1046" s="16">
        <v>2007</v>
      </c>
      <c r="J1046" s="7">
        <f>LOOKUP(I1046,CPI!A$69:A$103,CPI!O$69:O$103)</f>
        <v>1.0516730811895323</v>
      </c>
      <c r="K1046" s="16">
        <v>2015</v>
      </c>
      <c r="L1046" s="7">
        <f t="shared" ca="1" si="900"/>
        <v>1</v>
      </c>
      <c r="M1046" s="7">
        <f t="shared" si="888"/>
        <v>0.21142857142857144</v>
      </c>
      <c r="N1046" s="14">
        <f t="shared" si="889"/>
        <v>2.8571428571428571E-2</v>
      </c>
      <c r="O1046" s="1">
        <f ca="1">P1046*J1046*(1+Growth!G$6)^(2010-K1046)</f>
        <v>39.350644363221591</v>
      </c>
      <c r="P1046" s="40">
        <f>11*44/12</f>
        <v>40.333333333333336</v>
      </c>
      <c r="Q1046" s="2">
        <f t="shared" si="880"/>
        <v>40.333333333333336</v>
      </c>
      <c r="R1046" s="21">
        <f t="shared" ca="1" si="881"/>
        <v>1548.4732118007432</v>
      </c>
      <c r="U1046" s="11"/>
      <c r="V1046" s="11"/>
      <c r="W1046" s="11"/>
      <c r="X1046" s="11"/>
      <c r="Y1046" s="11"/>
      <c r="Z1046" s="11"/>
      <c r="AA1046" s="11"/>
      <c r="AB1046" s="11"/>
      <c r="AC1046" s="1">
        <f t="shared" si="890"/>
        <v>7.4</v>
      </c>
      <c r="AD1046" s="5">
        <v>1</v>
      </c>
      <c r="AE1046" s="5">
        <v>0</v>
      </c>
      <c r="AF1046" s="5">
        <v>1</v>
      </c>
      <c r="AG1046" s="5">
        <v>1</v>
      </c>
      <c r="AH1046" s="5">
        <v>1</v>
      </c>
      <c r="AI1046" s="3">
        <f t="shared" si="891"/>
        <v>3.4</v>
      </c>
      <c r="AJ1046" s="5">
        <f t="shared" si="835"/>
        <v>1</v>
      </c>
      <c r="AK1046" s="5">
        <f t="shared" si="901"/>
        <v>0</v>
      </c>
      <c r="AL1046" s="5">
        <f t="shared" si="902"/>
        <v>0</v>
      </c>
      <c r="AM1046" s="5">
        <f t="shared" si="836"/>
        <v>0</v>
      </c>
      <c r="AN1046" s="5">
        <f t="shared" si="903"/>
        <v>0</v>
      </c>
      <c r="AO1046" s="5">
        <f t="shared" si="837"/>
        <v>0</v>
      </c>
      <c r="AP1046" s="11" t="s">
        <v>42</v>
      </c>
      <c r="AQ1046" s="11">
        <v>3</v>
      </c>
      <c r="AR1046" s="5">
        <v>0</v>
      </c>
      <c r="AS1046" s="5">
        <v>0</v>
      </c>
      <c r="AT1046" s="5">
        <v>1</v>
      </c>
      <c r="AU1046" s="5">
        <v>1</v>
      </c>
      <c r="AV1046" s="5">
        <v>0</v>
      </c>
      <c r="AW1046" s="5">
        <v>0</v>
      </c>
      <c r="AX1046" s="5">
        <v>1</v>
      </c>
      <c r="AY1046" s="1">
        <f t="shared" si="892"/>
        <v>1</v>
      </c>
      <c r="AZ1046" s="1">
        <f t="shared" si="893"/>
        <v>0</v>
      </c>
      <c r="BA1046" s="1">
        <f t="shared" si="894"/>
        <v>0</v>
      </c>
      <c r="BB1046" s="5">
        <v>0</v>
      </c>
      <c r="BC1046" s="5">
        <v>0</v>
      </c>
      <c r="BD1046" s="5">
        <v>0</v>
      </c>
      <c r="BE1046" s="5">
        <f t="shared" si="895"/>
        <v>1</v>
      </c>
      <c r="BF1046" s="5">
        <v>0</v>
      </c>
      <c r="BG1046" s="5">
        <f t="shared" si="908"/>
        <v>0</v>
      </c>
      <c r="BH1046" s="5">
        <f t="shared" si="908"/>
        <v>0</v>
      </c>
      <c r="BI1046" s="5">
        <f t="shared" si="908"/>
        <v>0</v>
      </c>
      <c r="BJ1046" s="5">
        <f t="shared" si="908"/>
        <v>0</v>
      </c>
      <c r="BK1046" s="5">
        <f t="shared" si="908"/>
        <v>0</v>
      </c>
      <c r="BL1046" s="5">
        <f t="shared" si="908"/>
        <v>0</v>
      </c>
      <c r="BM1046" s="5">
        <f t="shared" si="908"/>
        <v>0</v>
      </c>
      <c r="BN1046" s="5">
        <f t="shared" si="908"/>
        <v>0</v>
      </c>
      <c r="BO1046" s="5">
        <f t="shared" si="906"/>
        <v>0</v>
      </c>
      <c r="BP1046" s="5">
        <f t="shared" si="906"/>
        <v>0</v>
      </c>
      <c r="BQ1046" s="5">
        <f t="shared" si="906"/>
        <v>0</v>
      </c>
      <c r="BR1046" s="5">
        <f t="shared" si="906"/>
        <v>0</v>
      </c>
      <c r="BS1046" s="5">
        <f t="shared" si="906"/>
        <v>0</v>
      </c>
      <c r="BT1046" s="5">
        <f t="shared" si="906"/>
        <v>0</v>
      </c>
      <c r="BU1046" s="5">
        <f t="shared" si="906"/>
        <v>0</v>
      </c>
      <c r="BV1046" s="5">
        <f t="shared" si="906"/>
        <v>0</v>
      </c>
      <c r="BW1046" s="5">
        <f t="shared" si="906"/>
        <v>0</v>
      </c>
      <c r="BX1046" s="5">
        <f t="shared" si="906"/>
        <v>0</v>
      </c>
      <c r="BY1046" s="5">
        <f t="shared" si="906"/>
        <v>0</v>
      </c>
      <c r="BZ1046" s="5">
        <f t="shared" si="906"/>
        <v>0</v>
      </c>
      <c r="CA1046" s="5">
        <f t="shared" si="906"/>
        <v>0</v>
      </c>
      <c r="CB1046" s="5">
        <f t="shared" si="905"/>
        <v>0</v>
      </c>
      <c r="CC1046" s="5">
        <f t="shared" si="899"/>
        <v>0</v>
      </c>
      <c r="CD1046" s="5">
        <f t="shared" si="899"/>
        <v>1</v>
      </c>
      <c r="CE1046" s="5">
        <f t="shared" si="899"/>
        <v>0</v>
      </c>
    </row>
    <row r="1047" spans="1:83" x14ac:dyDescent="0.2">
      <c r="A1047" s="11" t="s">
        <v>213</v>
      </c>
      <c r="B1047" s="11" t="s">
        <v>197</v>
      </c>
      <c r="C1047" s="1">
        <f>Growth!D1052</f>
        <v>2.564102564102564E-2</v>
      </c>
      <c r="D1047" s="5">
        <f t="shared" si="907"/>
        <v>2013</v>
      </c>
      <c r="E1047" s="5">
        <v>2013</v>
      </c>
      <c r="F1047" s="5">
        <f ca="1">LOOKUP($E1047,frequence!$A$2:$A$35,frequence!L$2:L$35)</f>
        <v>46.610663652887361</v>
      </c>
      <c r="G1047" s="5">
        <f ca="1">LOOKUP($E1047,frequence!$A$2:$A$35,frequence!K$2:K$35)</f>
        <v>7.3617115683267258</v>
      </c>
      <c r="H1047" s="5">
        <f ca="1">LOOKUP($E1047,frequence!$A$2:$A$35,frequence!M$2:M$35)</f>
        <v>214.81113443396845</v>
      </c>
      <c r="I1047" s="16">
        <v>2005</v>
      </c>
      <c r="J1047" s="7">
        <f>LOOKUP(I1047,CPI!A$69:A$103,CPI!O$69:O$103)</f>
        <v>1.1165181771633383</v>
      </c>
      <c r="K1047" s="16">
        <v>2015</v>
      </c>
      <c r="L1047" s="7">
        <f t="shared" ca="1" si="900"/>
        <v>1</v>
      </c>
      <c r="M1047" s="7">
        <f t="shared" si="888"/>
        <v>0.16153846153846152</v>
      </c>
      <c r="N1047" s="14">
        <f t="shared" ref="N1047:N1049" si="909">1/39</f>
        <v>2.564102564102564E-2</v>
      </c>
      <c r="O1047" s="1">
        <f ca="1">P1047*J1047*(1+Growth!G$6)^(2010-K1047)</f>
        <v>36.839687494541337</v>
      </c>
      <c r="P1047" s="22">
        <f>9.7*44/12</f>
        <v>35.566666666666663</v>
      </c>
      <c r="Q1047" s="2">
        <f t="shared" ref="Q1047:Q1049" si="910">P1047</f>
        <v>35.566666666666663</v>
      </c>
      <c r="R1047" s="21">
        <f t="shared" ref="R1047:R1051" ca="1" si="911">O1047*O1047</f>
        <v>1357.1625746954653</v>
      </c>
      <c r="U1047" s="11"/>
      <c r="V1047" s="11"/>
      <c r="W1047" s="11"/>
      <c r="X1047" s="11"/>
      <c r="Y1047" s="11"/>
      <c r="Z1047" s="11"/>
      <c r="AA1047" s="11"/>
      <c r="AB1047" s="11"/>
      <c r="AC1047" s="1">
        <f t="shared" ref="AC1047" si="912">SUM(AD1047:AI1047)</f>
        <v>6.3</v>
      </c>
      <c r="AD1047" s="5">
        <v>1</v>
      </c>
      <c r="AE1047" s="5">
        <v>0</v>
      </c>
      <c r="AF1047" s="5">
        <v>1</v>
      </c>
      <c r="AG1047" s="5">
        <v>0</v>
      </c>
      <c r="AH1047" s="5">
        <v>1</v>
      </c>
      <c r="AI1047" s="3">
        <f t="shared" si="891"/>
        <v>3.3</v>
      </c>
      <c r="AJ1047" s="5">
        <f t="shared" ref="AJ1047:AJ1110" si="913">IF($AQ1047=3,1,0)</f>
        <v>0</v>
      </c>
      <c r="AK1047" s="5">
        <f t="shared" si="901"/>
        <v>0</v>
      </c>
      <c r="AL1047" s="5">
        <f t="shared" si="902"/>
        <v>0</v>
      </c>
      <c r="AM1047" s="5">
        <f t="shared" si="836"/>
        <v>0</v>
      </c>
      <c r="AN1047" s="5">
        <f t="shared" si="903"/>
        <v>0</v>
      </c>
      <c r="AO1047" s="5">
        <f t="shared" si="837"/>
        <v>0</v>
      </c>
      <c r="AP1047" s="11" t="s">
        <v>42</v>
      </c>
      <c r="AQ1047" s="11" t="s">
        <v>42</v>
      </c>
      <c r="AR1047" s="5">
        <v>0</v>
      </c>
      <c r="AS1047" s="5">
        <v>0</v>
      </c>
      <c r="AT1047" s="5">
        <v>0</v>
      </c>
      <c r="AU1047" s="5">
        <v>1</v>
      </c>
      <c r="AV1047" s="5">
        <v>0</v>
      </c>
      <c r="AW1047" s="5">
        <v>0</v>
      </c>
      <c r="AX1047" s="5">
        <v>1</v>
      </c>
      <c r="AY1047" s="1">
        <f t="shared" ref="AY1047:AY1081" si="914">AJ1047*$AD1047*(1-$AV1047)*(1-$AR1047)</f>
        <v>0</v>
      </c>
      <c r="AZ1047" s="1">
        <f t="shared" ref="AZ1047:AZ1081" si="915">AM1047*$AD1047*(1-$AV1047)*(1-$AR1047)</f>
        <v>0</v>
      </c>
      <c r="BA1047" s="1">
        <f t="shared" ref="BA1047:BA1081" si="916">AO1047*$AD1047*(1-$AV1047)*(1-$AR1047)</f>
        <v>0</v>
      </c>
      <c r="BB1047" s="5">
        <v>0</v>
      </c>
      <c r="BC1047" s="5">
        <v>0</v>
      </c>
      <c r="BD1047" s="5">
        <v>0</v>
      </c>
      <c r="BE1047" s="5">
        <f t="shared" ref="BE1047:BE1081" si="917">1-SUM(BB1047:BD1047)</f>
        <v>1</v>
      </c>
      <c r="BF1047" s="5">
        <v>0</v>
      </c>
      <c r="BG1047" s="5">
        <f t="shared" si="908"/>
        <v>0</v>
      </c>
      <c r="BH1047" s="5">
        <f t="shared" si="908"/>
        <v>0</v>
      </c>
      <c r="BI1047" s="5">
        <f t="shared" si="908"/>
        <v>0</v>
      </c>
      <c r="BJ1047" s="5">
        <f t="shared" si="908"/>
        <v>0</v>
      </c>
      <c r="BK1047" s="5">
        <f t="shared" si="908"/>
        <v>0</v>
      </c>
      <c r="BL1047" s="5">
        <f t="shared" si="908"/>
        <v>0</v>
      </c>
      <c r="BM1047" s="5">
        <f t="shared" si="908"/>
        <v>0</v>
      </c>
      <c r="BN1047" s="5">
        <f t="shared" si="908"/>
        <v>0</v>
      </c>
      <c r="BO1047" s="5">
        <f t="shared" si="906"/>
        <v>0</v>
      </c>
      <c r="BP1047" s="5">
        <f t="shared" si="906"/>
        <v>0</v>
      </c>
      <c r="BQ1047" s="5">
        <f t="shared" si="906"/>
        <v>0</v>
      </c>
      <c r="BR1047" s="5">
        <f t="shared" si="906"/>
        <v>0</v>
      </c>
      <c r="BS1047" s="5">
        <f t="shared" si="906"/>
        <v>0</v>
      </c>
      <c r="BT1047" s="5">
        <f t="shared" si="906"/>
        <v>0</v>
      </c>
      <c r="BU1047" s="5">
        <f t="shared" si="906"/>
        <v>0</v>
      </c>
      <c r="BV1047" s="5">
        <f t="shared" si="906"/>
        <v>0</v>
      </c>
      <c r="BW1047" s="5">
        <f t="shared" si="906"/>
        <v>0</v>
      </c>
      <c r="BX1047" s="5">
        <f t="shared" si="906"/>
        <v>0</v>
      </c>
      <c r="BY1047" s="5">
        <f t="shared" si="906"/>
        <v>0</v>
      </c>
      <c r="BZ1047" s="5">
        <f t="shared" si="906"/>
        <v>0</v>
      </c>
      <c r="CA1047" s="5">
        <f t="shared" si="906"/>
        <v>0</v>
      </c>
      <c r="CB1047" s="5">
        <f t="shared" si="905"/>
        <v>0</v>
      </c>
      <c r="CC1047" s="5">
        <f t="shared" si="899"/>
        <v>1</v>
      </c>
      <c r="CD1047" s="5">
        <f t="shared" si="899"/>
        <v>0</v>
      </c>
      <c r="CE1047" s="5">
        <f t="shared" si="899"/>
        <v>0</v>
      </c>
    </row>
    <row r="1048" spans="1:83" x14ac:dyDescent="0.2">
      <c r="A1048" s="11"/>
      <c r="B1048" s="11"/>
      <c r="C1048" s="1">
        <f>Growth!D1053</f>
        <v>2.564102564102564E-2</v>
      </c>
      <c r="D1048" s="5" t="b">
        <f t="shared" si="907"/>
        <v>0</v>
      </c>
      <c r="E1048" s="5">
        <v>2013</v>
      </c>
      <c r="F1048" s="5">
        <f ca="1">LOOKUP($E1048,frequence!$A$2:$A$35,frequence!L$2:L$35)</f>
        <v>46.610663652887361</v>
      </c>
      <c r="G1048" s="5">
        <f ca="1">LOOKUP($E1048,frequence!$A$2:$A$35,frequence!K$2:K$35)</f>
        <v>7.3617115683267258</v>
      </c>
      <c r="H1048" s="5">
        <f ca="1">LOOKUP($E1048,frequence!$A$2:$A$35,frequence!M$2:M$35)</f>
        <v>214.81113443396845</v>
      </c>
      <c r="I1048" s="16">
        <v>2005</v>
      </c>
      <c r="J1048" s="7">
        <f>LOOKUP(I1048,CPI!A$69:A$103,CPI!O$69:O$103)</f>
        <v>1.1165181771633383</v>
      </c>
      <c r="K1048" s="16">
        <v>2015</v>
      </c>
      <c r="L1048" s="7">
        <f t="shared" ca="1" si="900"/>
        <v>1</v>
      </c>
      <c r="M1048" s="7">
        <f t="shared" si="888"/>
        <v>0.16153846153846152</v>
      </c>
      <c r="N1048" s="14">
        <f t="shared" si="909"/>
        <v>2.564102564102564E-2</v>
      </c>
      <c r="O1048" s="1">
        <f ca="1">P1048*J1048*(1+Growth!G$6)^(2010-K1048)</f>
        <v>56.968588909084552</v>
      </c>
      <c r="P1048" s="22">
        <f>15*44/12</f>
        <v>55</v>
      </c>
      <c r="Q1048" s="2">
        <f t="shared" si="910"/>
        <v>55</v>
      </c>
      <c r="R1048" s="21">
        <f t="shared" ca="1" si="911"/>
        <v>3245.4201222922716</v>
      </c>
      <c r="U1048" s="11"/>
      <c r="V1048" s="11"/>
      <c r="W1048" s="11"/>
      <c r="X1048" s="11"/>
      <c r="Y1048" s="11"/>
      <c r="Z1048" s="11"/>
      <c r="AA1048" s="11"/>
      <c r="AB1048" s="11"/>
      <c r="AC1048" s="1">
        <f t="shared" ref="AC1048:AC1081" si="918">SUM(AD1048:AI1048)</f>
        <v>6.3</v>
      </c>
      <c r="AD1048" s="5">
        <v>1</v>
      </c>
      <c r="AE1048" s="5">
        <v>0</v>
      </c>
      <c r="AF1048" s="5">
        <v>1</v>
      </c>
      <c r="AG1048" s="5">
        <v>0</v>
      </c>
      <c r="AH1048" s="5">
        <v>1</v>
      </c>
      <c r="AI1048" s="3">
        <f t="shared" ref="AI1048:AI1082" si="919">(E1048-1980)/10</f>
        <v>3.3</v>
      </c>
      <c r="AJ1048" s="5">
        <f t="shared" si="913"/>
        <v>0</v>
      </c>
      <c r="AK1048" s="5">
        <f t="shared" si="901"/>
        <v>0</v>
      </c>
      <c r="AL1048" s="5">
        <f t="shared" si="902"/>
        <v>0</v>
      </c>
      <c r="AM1048" s="5">
        <f t="shared" si="836"/>
        <v>0</v>
      </c>
      <c r="AN1048" s="5">
        <f t="shared" si="903"/>
        <v>0</v>
      </c>
      <c r="AO1048" s="5">
        <f t="shared" si="837"/>
        <v>0</v>
      </c>
      <c r="AP1048" s="11" t="s">
        <v>42</v>
      </c>
      <c r="AQ1048" s="11" t="s">
        <v>42</v>
      </c>
      <c r="AR1048" s="5">
        <v>0</v>
      </c>
      <c r="AS1048" s="5">
        <v>0</v>
      </c>
      <c r="AT1048" s="5">
        <v>0</v>
      </c>
      <c r="AU1048" s="5">
        <v>1</v>
      </c>
      <c r="AV1048" s="5">
        <v>0</v>
      </c>
      <c r="AW1048" s="5">
        <v>0</v>
      </c>
      <c r="AX1048" s="5">
        <v>1</v>
      </c>
      <c r="AY1048" s="1">
        <f t="shared" si="914"/>
        <v>0</v>
      </c>
      <c r="AZ1048" s="1">
        <f t="shared" si="915"/>
        <v>0</v>
      </c>
      <c r="BA1048" s="1">
        <f t="shared" si="916"/>
        <v>0</v>
      </c>
      <c r="BB1048" s="5">
        <v>0</v>
      </c>
      <c r="BC1048" s="5">
        <v>0</v>
      </c>
      <c r="BD1048" s="5">
        <v>0</v>
      </c>
      <c r="BE1048" s="5">
        <f t="shared" si="917"/>
        <v>1</v>
      </c>
      <c r="BF1048" s="5">
        <v>0</v>
      </c>
      <c r="BG1048" s="5">
        <f t="shared" si="908"/>
        <v>0</v>
      </c>
      <c r="BH1048" s="5">
        <f t="shared" si="908"/>
        <v>0</v>
      </c>
      <c r="BI1048" s="5">
        <f t="shared" si="908"/>
        <v>0</v>
      </c>
      <c r="BJ1048" s="5">
        <f t="shared" si="908"/>
        <v>0</v>
      </c>
      <c r="BK1048" s="5">
        <f t="shared" si="908"/>
        <v>0</v>
      </c>
      <c r="BL1048" s="5">
        <f t="shared" si="908"/>
        <v>0</v>
      </c>
      <c r="BM1048" s="5">
        <f t="shared" si="908"/>
        <v>0</v>
      </c>
      <c r="BN1048" s="5">
        <f t="shared" si="908"/>
        <v>0</v>
      </c>
      <c r="BO1048" s="5">
        <f t="shared" si="906"/>
        <v>0</v>
      </c>
      <c r="BP1048" s="5">
        <f t="shared" si="906"/>
        <v>0</v>
      </c>
      <c r="BQ1048" s="5">
        <f t="shared" si="906"/>
        <v>0</v>
      </c>
      <c r="BR1048" s="5">
        <f t="shared" si="906"/>
        <v>0</v>
      </c>
      <c r="BS1048" s="5">
        <f t="shared" si="906"/>
        <v>0</v>
      </c>
      <c r="BT1048" s="5">
        <f t="shared" si="906"/>
        <v>0</v>
      </c>
      <c r="BU1048" s="5">
        <f t="shared" si="906"/>
        <v>0</v>
      </c>
      <c r="BV1048" s="5">
        <f t="shared" si="906"/>
        <v>0</v>
      </c>
      <c r="BW1048" s="5">
        <f t="shared" si="906"/>
        <v>0</v>
      </c>
      <c r="BX1048" s="5">
        <f t="shared" si="906"/>
        <v>0</v>
      </c>
      <c r="BY1048" s="5">
        <f t="shared" si="906"/>
        <v>0</v>
      </c>
      <c r="BZ1048" s="5">
        <f t="shared" si="906"/>
        <v>0</v>
      </c>
      <c r="CA1048" s="5">
        <f t="shared" si="906"/>
        <v>0</v>
      </c>
      <c r="CB1048" s="5">
        <f t="shared" si="905"/>
        <v>0</v>
      </c>
      <c r="CC1048" s="5">
        <f t="shared" si="905"/>
        <v>1</v>
      </c>
      <c r="CD1048" s="5">
        <f t="shared" si="905"/>
        <v>0</v>
      </c>
      <c r="CE1048" s="5">
        <f t="shared" si="905"/>
        <v>0</v>
      </c>
    </row>
    <row r="1049" spans="1:83" x14ac:dyDescent="0.2">
      <c r="A1049" s="11"/>
      <c r="B1049" s="11"/>
      <c r="C1049" s="1">
        <f>Growth!D1054</f>
        <v>2.564102564102564E-2</v>
      </c>
      <c r="D1049" s="5" t="b">
        <f t="shared" si="907"/>
        <v>0</v>
      </c>
      <c r="E1049" s="5">
        <v>2013</v>
      </c>
      <c r="F1049" s="5">
        <f ca="1">LOOKUP($E1049,frequence!$A$2:$A$35,frequence!L$2:L$35)</f>
        <v>46.610663652887361</v>
      </c>
      <c r="G1049" s="5">
        <f ca="1">LOOKUP($E1049,frequence!$A$2:$A$35,frequence!K$2:K$35)</f>
        <v>7.3617115683267258</v>
      </c>
      <c r="H1049" s="5">
        <f ca="1">LOOKUP($E1049,frequence!$A$2:$A$35,frequence!M$2:M$35)</f>
        <v>214.81113443396845</v>
      </c>
      <c r="I1049" s="16">
        <v>2005</v>
      </c>
      <c r="J1049" s="7">
        <f>LOOKUP(I1049,CPI!A$69:A$103,CPI!O$69:O$103)</f>
        <v>1.1165181771633383</v>
      </c>
      <c r="K1049" s="16">
        <v>2015</v>
      </c>
      <c r="L1049" s="7">
        <f t="shared" ca="1" si="900"/>
        <v>1</v>
      </c>
      <c r="M1049" s="7">
        <f t="shared" si="888"/>
        <v>0.16153846153846152</v>
      </c>
      <c r="N1049" s="14">
        <f t="shared" si="909"/>
        <v>2.564102564102564E-2</v>
      </c>
      <c r="O1049" s="1">
        <f ca="1">P1049*J1049*(1+Growth!G$6)^(2010-K1049)</f>
        <v>60.766494836356841</v>
      </c>
      <c r="P1049" s="22">
        <f>16*44/12</f>
        <v>58.666666666666664</v>
      </c>
      <c r="Q1049" s="2">
        <f t="shared" si="910"/>
        <v>58.666666666666664</v>
      </c>
      <c r="R1049" s="21">
        <f t="shared" ca="1" si="911"/>
        <v>3692.5668946969827</v>
      </c>
      <c r="U1049" s="11"/>
      <c r="V1049" s="11"/>
      <c r="W1049" s="11"/>
      <c r="X1049" s="11"/>
      <c r="Y1049" s="11"/>
      <c r="Z1049" s="11"/>
      <c r="AA1049" s="11"/>
      <c r="AB1049" s="11"/>
      <c r="AC1049" s="1">
        <f t="shared" si="918"/>
        <v>6.3</v>
      </c>
      <c r="AD1049" s="5">
        <v>1</v>
      </c>
      <c r="AE1049" s="5">
        <v>0</v>
      </c>
      <c r="AF1049" s="5">
        <v>1</v>
      </c>
      <c r="AG1049" s="5">
        <v>0</v>
      </c>
      <c r="AH1049" s="5">
        <v>1</v>
      </c>
      <c r="AI1049" s="3">
        <f t="shared" si="919"/>
        <v>3.3</v>
      </c>
      <c r="AJ1049" s="5">
        <f t="shared" si="913"/>
        <v>0</v>
      </c>
      <c r="AK1049" s="5">
        <f t="shared" si="901"/>
        <v>0</v>
      </c>
      <c r="AL1049" s="5">
        <f t="shared" si="902"/>
        <v>0</v>
      </c>
      <c r="AM1049" s="5">
        <f t="shared" si="836"/>
        <v>0</v>
      </c>
      <c r="AN1049" s="5">
        <f t="shared" si="903"/>
        <v>0</v>
      </c>
      <c r="AO1049" s="5">
        <f t="shared" si="837"/>
        <v>0</v>
      </c>
      <c r="AP1049" s="11" t="s">
        <v>42</v>
      </c>
      <c r="AQ1049" s="11" t="s">
        <v>42</v>
      </c>
      <c r="AR1049" s="5">
        <v>0</v>
      </c>
      <c r="AS1049" s="5">
        <v>0</v>
      </c>
      <c r="AT1049" s="5">
        <v>0</v>
      </c>
      <c r="AU1049" s="5">
        <v>1</v>
      </c>
      <c r="AV1049" s="5">
        <v>0</v>
      </c>
      <c r="AW1049" s="5">
        <v>0</v>
      </c>
      <c r="AX1049" s="5">
        <v>1</v>
      </c>
      <c r="AY1049" s="1">
        <f t="shared" si="914"/>
        <v>0</v>
      </c>
      <c r="AZ1049" s="1">
        <f t="shared" si="915"/>
        <v>0</v>
      </c>
      <c r="BA1049" s="1">
        <f t="shared" si="916"/>
        <v>0</v>
      </c>
      <c r="BB1049" s="5">
        <v>0</v>
      </c>
      <c r="BC1049" s="5">
        <v>0</v>
      </c>
      <c r="BD1049" s="5">
        <v>0</v>
      </c>
      <c r="BE1049" s="5">
        <f t="shared" si="917"/>
        <v>1</v>
      </c>
      <c r="BF1049" s="5">
        <v>0</v>
      </c>
      <c r="BG1049" s="5">
        <f t="shared" si="908"/>
        <v>0</v>
      </c>
      <c r="BH1049" s="5">
        <f t="shared" si="908"/>
        <v>0</v>
      </c>
      <c r="BI1049" s="5">
        <f t="shared" si="908"/>
        <v>0</v>
      </c>
      <c r="BJ1049" s="5">
        <f t="shared" si="908"/>
        <v>0</v>
      </c>
      <c r="BK1049" s="5">
        <f t="shared" si="908"/>
        <v>0</v>
      </c>
      <c r="BL1049" s="5">
        <f t="shared" si="908"/>
        <v>0</v>
      </c>
      <c r="BM1049" s="5">
        <f t="shared" si="908"/>
        <v>0</v>
      </c>
      <c r="BN1049" s="5">
        <f t="shared" si="908"/>
        <v>0</v>
      </c>
      <c r="BO1049" s="5">
        <f t="shared" si="906"/>
        <v>0</v>
      </c>
      <c r="BP1049" s="5">
        <f t="shared" si="906"/>
        <v>0</v>
      </c>
      <c r="BQ1049" s="5">
        <f t="shared" si="906"/>
        <v>0</v>
      </c>
      <c r="BR1049" s="5">
        <f t="shared" si="906"/>
        <v>0</v>
      </c>
      <c r="BS1049" s="5">
        <f t="shared" si="906"/>
        <v>0</v>
      </c>
      <c r="BT1049" s="5">
        <f t="shared" si="906"/>
        <v>0</v>
      </c>
      <c r="BU1049" s="5">
        <f t="shared" si="906"/>
        <v>0</v>
      </c>
      <c r="BV1049" s="5">
        <f t="shared" si="906"/>
        <v>0</v>
      </c>
      <c r="BW1049" s="5">
        <f t="shared" si="906"/>
        <v>0</v>
      </c>
      <c r="BX1049" s="5">
        <f t="shared" si="906"/>
        <v>0</v>
      </c>
      <c r="BY1049" s="5">
        <f t="shared" si="906"/>
        <v>0</v>
      </c>
      <c r="BZ1049" s="5">
        <f t="shared" si="906"/>
        <v>0</v>
      </c>
      <c r="CA1049" s="5">
        <f t="shared" si="906"/>
        <v>0</v>
      </c>
      <c r="CB1049" s="5">
        <f t="shared" si="905"/>
        <v>0</v>
      </c>
      <c r="CC1049" s="5">
        <f t="shared" si="905"/>
        <v>1</v>
      </c>
      <c r="CD1049" s="5">
        <f t="shared" si="905"/>
        <v>0</v>
      </c>
      <c r="CE1049" s="5">
        <f t="shared" si="905"/>
        <v>0</v>
      </c>
    </row>
    <row r="1050" spans="1:83" x14ac:dyDescent="0.2">
      <c r="A1050" s="11"/>
      <c r="B1050" s="11"/>
      <c r="C1050" s="1">
        <f>Growth!D1055</f>
        <v>0.10256410256410256</v>
      </c>
      <c r="D1050" s="5" t="b">
        <f t="shared" si="907"/>
        <v>0</v>
      </c>
      <c r="E1050" s="5">
        <v>2013</v>
      </c>
      <c r="F1050" s="5">
        <f ca="1">LOOKUP($E1050,frequence!$A$2:$A$35,frequence!L$2:L$35)</f>
        <v>46.610663652887361</v>
      </c>
      <c r="G1050" s="5">
        <f ca="1">LOOKUP($E1050,frequence!$A$2:$A$35,frequence!K$2:K$35)</f>
        <v>7.3617115683267258</v>
      </c>
      <c r="H1050" s="5">
        <f ca="1">LOOKUP($E1050,frequence!$A$2:$A$35,frequence!M$2:M$35)</f>
        <v>214.81113443396845</v>
      </c>
      <c r="I1050" s="16">
        <v>2005</v>
      </c>
      <c r="J1050" s="7">
        <f>LOOKUP(I1050,CPI!A$69:A$103,CPI!O$69:O$103)</f>
        <v>1.1165181771633383</v>
      </c>
      <c r="K1050" s="16">
        <v>2015</v>
      </c>
      <c r="L1050" s="7">
        <f t="shared" ca="1" si="900"/>
        <v>1</v>
      </c>
      <c r="M1050" s="7">
        <f t="shared" si="888"/>
        <v>0.64615384615384608</v>
      </c>
      <c r="N1050" s="14">
        <f>4/39</f>
        <v>0.10256410256410256</v>
      </c>
      <c r="O1050" s="1">
        <f ca="1">P1050*J1050*(1+Growth!G$6)^(2010-K1050)</f>
        <v>417.76965199995334</v>
      </c>
      <c r="P1050" s="23">
        <f>Q1050</f>
        <v>403.33333333333331</v>
      </c>
      <c r="Q1050" s="22">
        <f>110*44/12</f>
        <v>403.33333333333331</v>
      </c>
      <c r="R1050" s="21">
        <f t="shared" ca="1" si="911"/>
        <v>174531.48213216211</v>
      </c>
      <c r="U1050" s="11"/>
      <c r="V1050" s="11"/>
      <c r="W1050" s="11"/>
      <c r="X1050" s="11"/>
      <c r="Y1050" s="11"/>
      <c r="Z1050" s="11"/>
      <c r="AA1050" s="11"/>
      <c r="AB1050" s="11"/>
      <c r="AC1050" s="1">
        <f t="shared" si="918"/>
        <v>6.3</v>
      </c>
      <c r="AD1050" s="5">
        <v>1</v>
      </c>
      <c r="AE1050" s="5">
        <v>0</v>
      </c>
      <c r="AF1050" s="5">
        <v>1</v>
      </c>
      <c r="AG1050" s="5">
        <v>0</v>
      </c>
      <c r="AH1050" s="5">
        <v>1</v>
      </c>
      <c r="AI1050" s="3">
        <f t="shared" si="919"/>
        <v>3.3</v>
      </c>
      <c r="AJ1050" s="5">
        <f t="shared" si="913"/>
        <v>0</v>
      </c>
      <c r="AK1050" s="5">
        <f t="shared" si="901"/>
        <v>0</v>
      </c>
      <c r="AL1050" s="5">
        <f t="shared" si="902"/>
        <v>0</v>
      </c>
      <c r="AM1050" s="5">
        <f t="shared" ref="AM1050:AM1113" si="920">IF($AQ1050=1,1,0)</f>
        <v>0</v>
      </c>
      <c r="AN1050" s="5">
        <f t="shared" si="903"/>
        <v>0</v>
      </c>
      <c r="AO1050" s="5">
        <f t="shared" ref="AO1050:AO1113" si="921">IF($AQ1050=0,1,0)</f>
        <v>0</v>
      </c>
      <c r="AP1050" s="11" t="s">
        <v>42</v>
      </c>
      <c r="AQ1050" s="11" t="s">
        <v>42</v>
      </c>
      <c r="AR1050" s="5">
        <v>0</v>
      </c>
      <c r="AS1050" s="5">
        <v>0</v>
      </c>
      <c r="AT1050" s="5">
        <v>1</v>
      </c>
      <c r="AU1050" s="5">
        <v>1</v>
      </c>
      <c r="AV1050" s="5">
        <v>0</v>
      </c>
      <c r="AW1050" s="5">
        <v>0</v>
      </c>
      <c r="AX1050" s="5">
        <v>1</v>
      </c>
      <c r="AY1050" s="1">
        <f t="shared" si="914"/>
        <v>0</v>
      </c>
      <c r="AZ1050" s="1">
        <f t="shared" si="915"/>
        <v>0</v>
      </c>
      <c r="BA1050" s="1">
        <f t="shared" si="916"/>
        <v>0</v>
      </c>
      <c r="BB1050" s="5">
        <v>0</v>
      </c>
      <c r="BC1050" s="5">
        <v>0</v>
      </c>
      <c r="BD1050" s="5">
        <v>0</v>
      </c>
      <c r="BE1050" s="5">
        <f t="shared" si="917"/>
        <v>1</v>
      </c>
      <c r="BF1050" s="5">
        <v>0</v>
      </c>
      <c r="BG1050" s="5">
        <f t="shared" si="908"/>
        <v>0</v>
      </c>
      <c r="BH1050" s="5">
        <f t="shared" si="908"/>
        <v>0</v>
      </c>
      <c r="BI1050" s="5">
        <f t="shared" si="908"/>
        <v>0</v>
      </c>
      <c r="BJ1050" s="5">
        <f t="shared" si="908"/>
        <v>0</v>
      </c>
      <c r="BK1050" s="5">
        <f t="shared" si="908"/>
        <v>0</v>
      </c>
      <c r="BL1050" s="5">
        <f t="shared" si="908"/>
        <v>0</v>
      </c>
      <c r="BM1050" s="5">
        <f t="shared" si="908"/>
        <v>0</v>
      </c>
      <c r="BN1050" s="5">
        <f t="shared" si="908"/>
        <v>0</v>
      </c>
      <c r="BO1050" s="5">
        <f t="shared" si="906"/>
        <v>0</v>
      </c>
      <c r="BP1050" s="5">
        <f t="shared" si="906"/>
        <v>0</v>
      </c>
      <c r="BQ1050" s="5">
        <f t="shared" si="906"/>
        <v>0</v>
      </c>
      <c r="BR1050" s="5">
        <f t="shared" si="906"/>
        <v>0</v>
      </c>
      <c r="BS1050" s="5">
        <f t="shared" si="906"/>
        <v>0</v>
      </c>
      <c r="BT1050" s="5">
        <f t="shared" si="906"/>
        <v>0</v>
      </c>
      <c r="BU1050" s="5">
        <f t="shared" si="906"/>
        <v>0</v>
      </c>
      <c r="BV1050" s="5">
        <f t="shared" si="906"/>
        <v>0</v>
      </c>
      <c r="BW1050" s="5">
        <f t="shared" si="906"/>
        <v>0</v>
      </c>
      <c r="BX1050" s="5">
        <f t="shared" si="906"/>
        <v>0</v>
      </c>
      <c r="BY1050" s="5">
        <f t="shared" si="906"/>
        <v>0</v>
      </c>
      <c r="BZ1050" s="5">
        <f t="shared" si="906"/>
        <v>0</v>
      </c>
      <c r="CA1050" s="5">
        <f t="shared" si="906"/>
        <v>0</v>
      </c>
      <c r="CB1050" s="5">
        <f t="shared" si="905"/>
        <v>0</v>
      </c>
      <c r="CC1050" s="5">
        <f t="shared" si="905"/>
        <v>1</v>
      </c>
      <c r="CD1050" s="5">
        <f t="shared" si="905"/>
        <v>0</v>
      </c>
      <c r="CE1050" s="5">
        <f t="shared" si="905"/>
        <v>0</v>
      </c>
    </row>
    <row r="1051" spans="1:83" x14ac:dyDescent="0.2">
      <c r="A1051" s="11"/>
      <c r="B1051" s="11"/>
      <c r="C1051" s="1">
        <f>Growth!D1056</f>
        <v>5.128205128205128E-2</v>
      </c>
      <c r="D1051" s="5" t="b">
        <f t="shared" si="907"/>
        <v>0</v>
      </c>
      <c r="E1051" s="5">
        <v>2013</v>
      </c>
      <c r="F1051" s="5">
        <f ca="1">LOOKUP($E1051,frequence!$A$2:$A$35,frequence!L$2:L$35)</f>
        <v>46.610663652887361</v>
      </c>
      <c r="G1051" s="5">
        <f ca="1">LOOKUP($E1051,frequence!$A$2:$A$35,frequence!K$2:K$35)</f>
        <v>7.3617115683267258</v>
      </c>
      <c r="H1051" s="5">
        <f ca="1">LOOKUP($E1051,frequence!$A$2:$A$35,frequence!M$2:M$35)</f>
        <v>214.81113443396845</v>
      </c>
      <c r="I1051" s="16">
        <v>2005</v>
      </c>
      <c r="J1051" s="7">
        <f>LOOKUP(I1051,CPI!A$69:A$103,CPI!O$69:O$103)</f>
        <v>1.1165181771633383</v>
      </c>
      <c r="K1051" s="16">
        <v>2015</v>
      </c>
      <c r="L1051" s="7">
        <f t="shared" ca="1" si="900"/>
        <v>1</v>
      </c>
      <c r="M1051" s="7">
        <f t="shared" si="888"/>
        <v>0.32307692307692304</v>
      </c>
      <c r="N1051" s="14">
        <f>2/39</f>
        <v>5.128205128205128E-2</v>
      </c>
      <c r="O1051" s="1">
        <f ca="1">P1051*J1051*(1+Growth!G$6)^(2010-K1051)</f>
        <v>94.947648181807594</v>
      </c>
      <c r="P1051" s="23">
        <f>Q1051</f>
        <v>91.666666666666671</v>
      </c>
      <c r="Q1051" s="22">
        <f>25*44/12</f>
        <v>91.666666666666671</v>
      </c>
      <c r="R1051" s="21">
        <f t="shared" ca="1" si="911"/>
        <v>9015.0558952563115</v>
      </c>
      <c r="U1051" s="11"/>
      <c r="V1051" s="11"/>
      <c r="W1051" s="11"/>
      <c r="X1051" s="11"/>
      <c r="Y1051" s="11"/>
      <c r="Z1051" s="11"/>
      <c r="AA1051" s="11"/>
      <c r="AB1051" s="11"/>
      <c r="AC1051" s="1">
        <f t="shared" si="918"/>
        <v>6.3</v>
      </c>
      <c r="AD1051" s="5">
        <v>1</v>
      </c>
      <c r="AE1051" s="5">
        <v>0</v>
      </c>
      <c r="AF1051" s="5">
        <v>1</v>
      </c>
      <c r="AG1051" s="5">
        <v>0</v>
      </c>
      <c r="AH1051" s="5">
        <v>1</v>
      </c>
      <c r="AI1051" s="3">
        <f t="shared" si="919"/>
        <v>3.3</v>
      </c>
      <c r="AJ1051" s="5">
        <f t="shared" si="913"/>
        <v>0</v>
      </c>
      <c r="AK1051" s="5">
        <f t="shared" si="901"/>
        <v>0</v>
      </c>
      <c r="AL1051" s="5">
        <f t="shared" si="902"/>
        <v>0</v>
      </c>
      <c r="AM1051" s="5">
        <f t="shared" si="920"/>
        <v>0</v>
      </c>
      <c r="AN1051" s="5">
        <f t="shared" si="903"/>
        <v>0</v>
      </c>
      <c r="AO1051" s="5">
        <f t="shared" si="921"/>
        <v>0</v>
      </c>
      <c r="AP1051" s="11" t="s">
        <v>42</v>
      </c>
      <c r="AQ1051" s="11" t="s">
        <v>42</v>
      </c>
      <c r="AR1051" s="5">
        <v>0</v>
      </c>
      <c r="AS1051" s="5">
        <v>0</v>
      </c>
      <c r="AT1051" s="5">
        <v>1</v>
      </c>
      <c r="AU1051" s="5">
        <v>1</v>
      </c>
      <c r="AV1051" s="5">
        <v>0</v>
      </c>
      <c r="AW1051" s="5">
        <v>0</v>
      </c>
      <c r="AX1051" s="5">
        <v>1</v>
      </c>
      <c r="AY1051" s="1">
        <f t="shared" si="914"/>
        <v>0</v>
      </c>
      <c r="AZ1051" s="1">
        <f t="shared" si="915"/>
        <v>0</v>
      </c>
      <c r="BA1051" s="1">
        <f t="shared" si="916"/>
        <v>0</v>
      </c>
      <c r="BB1051" s="5">
        <v>0</v>
      </c>
      <c r="BC1051" s="5">
        <v>0</v>
      </c>
      <c r="BD1051" s="5">
        <v>0</v>
      </c>
      <c r="BE1051" s="5">
        <f t="shared" si="917"/>
        <v>1</v>
      </c>
      <c r="BF1051" s="5">
        <v>0</v>
      </c>
      <c r="BG1051" s="5">
        <f t="shared" si="908"/>
        <v>0</v>
      </c>
      <c r="BH1051" s="5">
        <f t="shared" si="908"/>
        <v>0</v>
      </c>
      <c r="BI1051" s="5">
        <f t="shared" si="908"/>
        <v>0</v>
      </c>
      <c r="BJ1051" s="5">
        <f t="shared" si="908"/>
        <v>0</v>
      </c>
      <c r="BK1051" s="5">
        <f t="shared" si="908"/>
        <v>0</v>
      </c>
      <c r="BL1051" s="5">
        <f t="shared" si="908"/>
        <v>0</v>
      </c>
      <c r="BM1051" s="5">
        <f t="shared" si="908"/>
        <v>0</v>
      </c>
      <c r="BN1051" s="5">
        <f t="shared" si="908"/>
        <v>0</v>
      </c>
      <c r="BO1051" s="5">
        <f t="shared" si="906"/>
        <v>0</v>
      </c>
      <c r="BP1051" s="5">
        <f t="shared" si="906"/>
        <v>0</v>
      </c>
      <c r="BQ1051" s="5">
        <f t="shared" si="906"/>
        <v>0</v>
      </c>
      <c r="BR1051" s="5">
        <f t="shared" si="906"/>
        <v>0</v>
      </c>
      <c r="BS1051" s="5">
        <f t="shared" si="906"/>
        <v>0</v>
      </c>
      <c r="BT1051" s="5">
        <f t="shared" si="906"/>
        <v>0</v>
      </c>
      <c r="BU1051" s="5">
        <f t="shared" si="906"/>
        <v>0</v>
      </c>
      <c r="BV1051" s="5">
        <f t="shared" si="906"/>
        <v>0</v>
      </c>
      <c r="BW1051" s="5">
        <f t="shared" si="906"/>
        <v>0</v>
      </c>
      <c r="BX1051" s="5">
        <f t="shared" si="906"/>
        <v>0</v>
      </c>
      <c r="BY1051" s="5">
        <f t="shared" si="906"/>
        <v>0</v>
      </c>
      <c r="BZ1051" s="5">
        <f t="shared" si="906"/>
        <v>0</v>
      </c>
      <c r="CA1051" s="5">
        <f t="shared" si="906"/>
        <v>0</v>
      </c>
      <c r="CB1051" s="5">
        <f t="shared" si="905"/>
        <v>0</v>
      </c>
      <c r="CC1051" s="5">
        <f t="shared" si="905"/>
        <v>1</v>
      </c>
      <c r="CD1051" s="5">
        <f t="shared" si="905"/>
        <v>0</v>
      </c>
      <c r="CE1051" s="5">
        <f t="shared" si="905"/>
        <v>0</v>
      </c>
    </row>
    <row r="1052" spans="1:83" x14ac:dyDescent="0.2">
      <c r="A1052" s="11"/>
      <c r="B1052" s="11"/>
      <c r="C1052" s="1">
        <f>Growth!D1057</f>
        <v>2.564102564102564E-2</v>
      </c>
      <c r="D1052" s="5" t="b">
        <f t="shared" si="907"/>
        <v>0</v>
      </c>
      <c r="E1052" s="5">
        <v>2013</v>
      </c>
      <c r="F1052" s="5">
        <f ca="1">LOOKUP($E1052,frequence!$A$2:$A$35,frequence!L$2:L$35)</f>
        <v>46.610663652887361</v>
      </c>
      <c r="G1052" s="5">
        <f ca="1">LOOKUP($E1052,frequence!$A$2:$A$35,frequence!K$2:K$35)</f>
        <v>7.3617115683267258</v>
      </c>
      <c r="H1052" s="5">
        <f ca="1">LOOKUP($E1052,frequence!$A$2:$A$35,frequence!M$2:M$35)</f>
        <v>214.81113443396845</v>
      </c>
      <c r="I1052" s="16">
        <v>2005</v>
      </c>
      <c r="J1052" s="7">
        <f>LOOKUP(I1052,CPI!A$69:A$103,CPI!O$69:O$103)</f>
        <v>1.1165181771633383</v>
      </c>
      <c r="K1052" s="16">
        <v>2005</v>
      </c>
      <c r="L1052" s="7">
        <f t="shared" ca="1" si="900"/>
        <v>1</v>
      </c>
      <c r="M1052" s="7">
        <f t="shared" si="888"/>
        <v>0.16153846153846152</v>
      </c>
      <c r="N1052" s="14">
        <f t="shared" ref="N1052:N1080" si="922">1/39</f>
        <v>2.564102564102564E-2</v>
      </c>
      <c r="O1052" s="1">
        <f ca="1">P1052*J1052*(1+Growth!G$6)^(2010-K1052)</f>
        <v>47.130441284746432</v>
      </c>
      <c r="P1052" s="22">
        <f>0.89*12*44/12</f>
        <v>39.159999999999997</v>
      </c>
      <c r="Q1052" s="2">
        <f t="shared" ref="Q1052" si="923">P1052</f>
        <v>39.159999999999997</v>
      </c>
      <c r="R1052" s="21">
        <f t="shared" ref="R1052" ca="1" si="924">O1052*O1052</f>
        <v>2221.2784956949308</v>
      </c>
      <c r="U1052" s="11"/>
      <c r="V1052" s="11"/>
      <c r="W1052" s="11"/>
      <c r="X1052" s="11"/>
      <c r="Y1052" s="11"/>
      <c r="Z1052" s="11"/>
      <c r="AA1052" s="11"/>
      <c r="AB1052" s="11"/>
      <c r="AC1052" s="1">
        <f t="shared" si="918"/>
        <v>6.3</v>
      </c>
      <c r="AD1052" s="5">
        <v>1</v>
      </c>
      <c r="AE1052" s="5">
        <v>0</v>
      </c>
      <c r="AF1052" s="5">
        <v>1</v>
      </c>
      <c r="AG1052" s="5">
        <v>0</v>
      </c>
      <c r="AH1052" s="5">
        <v>1</v>
      </c>
      <c r="AI1052" s="3">
        <f t="shared" si="919"/>
        <v>3.3</v>
      </c>
      <c r="AJ1052" s="5">
        <f t="shared" si="913"/>
        <v>0</v>
      </c>
      <c r="AK1052" s="5">
        <f t="shared" si="901"/>
        <v>0</v>
      </c>
      <c r="AL1052" s="5">
        <f t="shared" si="902"/>
        <v>0</v>
      </c>
      <c r="AM1052" s="5">
        <f t="shared" si="920"/>
        <v>0</v>
      </c>
      <c r="AN1052" s="5">
        <f t="shared" si="903"/>
        <v>0</v>
      </c>
      <c r="AO1052" s="5">
        <f t="shared" si="921"/>
        <v>0</v>
      </c>
      <c r="AP1052" s="11" t="s">
        <v>42</v>
      </c>
      <c r="AQ1052" s="11" t="s">
        <v>42</v>
      </c>
      <c r="AR1052" s="5">
        <v>0</v>
      </c>
      <c r="AS1052" s="5">
        <v>0</v>
      </c>
      <c r="AT1052" s="5">
        <v>0</v>
      </c>
      <c r="AU1052" s="5">
        <v>0</v>
      </c>
      <c r="AV1052" s="5">
        <v>0</v>
      </c>
      <c r="AW1052" s="5">
        <v>0</v>
      </c>
      <c r="AX1052" s="5">
        <v>1</v>
      </c>
      <c r="AY1052" s="1">
        <f t="shared" si="914"/>
        <v>0</v>
      </c>
      <c r="AZ1052" s="1">
        <f t="shared" si="915"/>
        <v>0</v>
      </c>
      <c r="BA1052" s="1">
        <f t="shared" si="916"/>
        <v>0</v>
      </c>
      <c r="BB1052" s="5">
        <v>0</v>
      </c>
      <c r="BC1052" s="5">
        <v>0</v>
      </c>
      <c r="BD1052" s="5">
        <v>0</v>
      </c>
      <c r="BE1052" s="5">
        <f t="shared" si="917"/>
        <v>1</v>
      </c>
      <c r="BF1052" s="5">
        <v>0</v>
      </c>
      <c r="BG1052" s="5">
        <f t="shared" si="908"/>
        <v>0</v>
      </c>
      <c r="BH1052" s="5">
        <f t="shared" si="908"/>
        <v>0</v>
      </c>
      <c r="BI1052" s="5">
        <f t="shared" si="908"/>
        <v>0</v>
      </c>
      <c r="BJ1052" s="5">
        <f t="shared" si="908"/>
        <v>0</v>
      </c>
      <c r="BK1052" s="5">
        <f t="shared" si="908"/>
        <v>0</v>
      </c>
      <c r="BL1052" s="5">
        <f t="shared" si="908"/>
        <v>0</v>
      </c>
      <c r="BM1052" s="5">
        <f t="shared" si="908"/>
        <v>0</v>
      </c>
      <c r="BN1052" s="5">
        <f t="shared" si="908"/>
        <v>0</v>
      </c>
      <c r="BO1052" s="5">
        <f t="shared" si="906"/>
        <v>0</v>
      </c>
      <c r="BP1052" s="5">
        <f t="shared" si="906"/>
        <v>0</v>
      </c>
      <c r="BQ1052" s="5">
        <f t="shared" si="906"/>
        <v>0</v>
      </c>
      <c r="BR1052" s="5">
        <f t="shared" si="906"/>
        <v>0</v>
      </c>
      <c r="BS1052" s="5">
        <f t="shared" si="906"/>
        <v>0</v>
      </c>
      <c r="BT1052" s="5">
        <f t="shared" si="906"/>
        <v>0</v>
      </c>
      <c r="BU1052" s="5">
        <f t="shared" si="906"/>
        <v>0</v>
      </c>
      <c r="BV1052" s="5">
        <f t="shared" si="906"/>
        <v>0</v>
      </c>
      <c r="BW1052" s="5">
        <f t="shared" si="906"/>
        <v>0</v>
      </c>
      <c r="BX1052" s="5">
        <f t="shared" si="906"/>
        <v>0</v>
      </c>
      <c r="BY1052" s="5">
        <f t="shared" si="906"/>
        <v>0</v>
      </c>
      <c r="BZ1052" s="5">
        <f t="shared" si="906"/>
        <v>0</v>
      </c>
      <c r="CA1052" s="5">
        <f t="shared" si="906"/>
        <v>0</v>
      </c>
      <c r="CB1052" s="5">
        <f t="shared" si="905"/>
        <v>0</v>
      </c>
      <c r="CC1052" s="5">
        <f t="shared" si="905"/>
        <v>1</v>
      </c>
      <c r="CD1052" s="5">
        <f t="shared" si="905"/>
        <v>0</v>
      </c>
      <c r="CE1052" s="5">
        <f t="shared" si="905"/>
        <v>0</v>
      </c>
    </row>
    <row r="1053" spans="1:83" x14ac:dyDescent="0.2">
      <c r="A1053" s="11"/>
      <c r="B1053" s="11"/>
      <c r="C1053" s="1">
        <f>Growth!D1058</f>
        <v>2.564102564102564E-2</v>
      </c>
      <c r="D1053" s="5" t="b">
        <f t="shared" si="907"/>
        <v>0</v>
      </c>
      <c r="E1053" s="5">
        <v>2013</v>
      </c>
      <c r="F1053" s="5">
        <f ca="1">LOOKUP($E1053,frequence!$A$2:$A$35,frequence!L$2:L$35)</f>
        <v>46.610663652887361</v>
      </c>
      <c r="G1053" s="5">
        <f ca="1">LOOKUP($E1053,frequence!$A$2:$A$35,frequence!K$2:K$35)</f>
        <v>7.3617115683267258</v>
      </c>
      <c r="H1053" s="5">
        <f ca="1">LOOKUP($E1053,frequence!$A$2:$A$35,frequence!M$2:M$35)</f>
        <v>214.81113443396845</v>
      </c>
      <c r="I1053" s="16">
        <v>2005</v>
      </c>
      <c r="J1053" s="7">
        <f>LOOKUP(I1053,CPI!A$69:A$103,CPI!O$69:O$103)</f>
        <v>1.1165181771633383</v>
      </c>
      <c r="K1053" s="16">
        <v>2005</v>
      </c>
      <c r="L1053" s="7">
        <f t="shared" ca="1" si="900"/>
        <v>1</v>
      </c>
      <c r="M1053" s="7">
        <f t="shared" si="888"/>
        <v>0.16153846153846152</v>
      </c>
      <c r="N1053" s="14">
        <f t="shared" si="922"/>
        <v>2.564102564102564E-2</v>
      </c>
      <c r="O1053" s="1">
        <f ca="1">P1053*J1053*(1+Growth!G$6)^(2010-K1053)</f>
        <v>64.076217926453026</v>
      </c>
      <c r="P1053" s="22">
        <f>1.21*12*44/12</f>
        <v>53.24</v>
      </c>
      <c r="Q1053" s="2">
        <f t="shared" ref="Q1053:Q1065" si="925">P1053</f>
        <v>53.24</v>
      </c>
      <c r="R1053" s="21">
        <f t="shared" ref="R1053:R1065" ca="1" si="926">O1053*O1053</f>
        <v>4105.7617037583004</v>
      </c>
      <c r="U1053" s="11"/>
      <c r="V1053" s="11"/>
      <c r="W1053" s="11"/>
      <c r="X1053" s="11"/>
      <c r="Y1053" s="11"/>
      <c r="Z1053" s="11"/>
      <c r="AA1053" s="11"/>
      <c r="AB1053" s="11"/>
      <c r="AC1053" s="1">
        <f t="shared" si="918"/>
        <v>6.3</v>
      </c>
      <c r="AD1053" s="5">
        <v>1</v>
      </c>
      <c r="AE1053" s="5">
        <v>0</v>
      </c>
      <c r="AF1053" s="5">
        <v>1</v>
      </c>
      <c r="AG1053" s="5">
        <v>0</v>
      </c>
      <c r="AH1053" s="5">
        <v>1</v>
      </c>
      <c r="AI1053" s="3">
        <f t="shared" si="919"/>
        <v>3.3</v>
      </c>
      <c r="AJ1053" s="5">
        <f t="shared" si="913"/>
        <v>0</v>
      </c>
      <c r="AK1053" s="5">
        <f t="shared" si="901"/>
        <v>0</v>
      </c>
      <c r="AL1053" s="5">
        <f t="shared" si="902"/>
        <v>0</v>
      </c>
      <c r="AM1053" s="5">
        <f t="shared" si="920"/>
        <v>0</v>
      </c>
      <c r="AN1053" s="5">
        <f t="shared" si="903"/>
        <v>0</v>
      </c>
      <c r="AO1053" s="5">
        <f t="shared" si="921"/>
        <v>0</v>
      </c>
      <c r="AP1053" s="11" t="s">
        <v>42</v>
      </c>
      <c r="AQ1053" s="11" t="s">
        <v>42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1</v>
      </c>
      <c r="AY1053" s="1">
        <f t="shared" si="914"/>
        <v>0</v>
      </c>
      <c r="AZ1053" s="1">
        <f t="shared" si="915"/>
        <v>0</v>
      </c>
      <c r="BA1053" s="1">
        <f t="shared" si="916"/>
        <v>0</v>
      </c>
      <c r="BB1053" s="5">
        <v>0</v>
      </c>
      <c r="BC1053" s="5">
        <v>0</v>
      </c>
      <c r="BD1053" s="5">
        <v>0</v>
      </c>
      <c r="BE1053" s="5">
        <f t="shared" si="917"/>
        <v>1</v>
      </c>
      <c r="BF1053" s="5">
        <v>0</v>
      </c>
      <c r="BG1053" s="5">
        <f t="shared" si="908"/>
        <v>0</v>
      </c>
      <c r="BH1053" s="5">
        <f t="shared" si="908"/>
        <v>0</v>
      </c>
      <c r="BI1053" s="5">
        <f t="shared" si="908"/>
        <v>0</v>
      </c>
      <c r="BJ1053" s="5">
        <f t="shared" si="908"/>
        <v>0</v>
      </c>
      <c r="BK1053" s="5">
        <f t="shared" si="908"/>
        <v>0</v>
      </c>
      <c r="BL1053" s="5">
        <f t="shared" si="908"/>
        <v>0</v>
      </c>
      <c r="BM1053" s="5">
        <f t="shared" si="908"/>
        <v>0</v>
      </c>
      <c r="BN1053" s="5">
        <f t="shared" si="908"/>
        <v>0</v>
      </c>
      <c r="BO1053" s="5">
        <f t="shared" si="906"/>
        <v>0</v>
      </c>
      <c r="BP1053" s="5">
        <f t="shared" si="906"/>
        <v>0</v>
      </c>
      <c r="BQ1053" s="5">
        <f t="shared" si="906"/>
        <v>0</v>
      </c>
      <c r="BR1053" s="5">
        <f t="shared" si="906"/>
        <v>0</v>
      </c>
      <c r="BS1053" s="5">
        <f t="shared" si="906"/>
        <v>0</v>
      </c>
      <c r="BT1053" s="5">
        <f t="shared" si="906"/>
        <v>0</v>
      </c>
      <c r="BU1053" s="5">
        <f t="shared" si="906"/>
        <v>0</v>
      </c>
      <c r="BV1053" s="5">
        <f t="shared" si="906"/>
        <v>0</v>
      </c>
      <c r="BW1053" s="5">
        <f t="shared" si="906"/>
        <v>0</v>
      </c>
      <c r="BX1053" s="5">
        <f t="shared" si="906"/>
        <v>0</v>
      </c>
      <c r="BY1053" s="5">
        <f t="shared" si="906"/>
        <v>0</v>
      </c>
      <c r="BZ1053" s="5">
        <f t="shared" si="906"/>
        <v>0</v>
      </c>
      <c r="CA1053" s="5">
        <f t="shared" si="906"/>
        <v>0</v>
      </c>
      <c r="CB1053" s="5">
        <f t="shared" si="905"/>
        <v>0</v>
      </c>
      <c r="CC1053" s="5">
        <f t="shared" si="905"/>
        <v>1</v>
      </c>
      <c r="CD1053" s="5">
        <f t="shared" si="905"/>
        <v>0</v>
      </c>
      <c r="CE1053" s="5">
        <f t="shared" si="905"/>
        <v>0</v>
      </c>
    </row>
    <row r="1054" spans="1:83" x14ac:dyDescent="0.2">
      <c r="A1054" s="11"/>
      <c r="B1054" s="11"/>
      <c r="C1054" s="1">
        <f>Growth!D1059</f>
        <v>2.564102564102564E-2</v>
      </c>
      <c r="D1054" s="5" t="b">
        <f t="shared" si="907"/>
        <v>0</v>
      </c>
      <c r="E1054" s="5">
        <v>2013</v>
      </c>
      <c r="F1054" s="5">
        <f ca="1">LOOKUP($E1054,frequence!$A$2:$A$35,frequence!L$2:L$35)</f>
        <v>46.610663652887361</v>
      </c>
      <c r="G1054" s="5">
        <f ca="1">LOOKUP($E1054,frequence!$A$2:$A$35,frequence!K$2:K$35)</f>
        <v>7.3617115683267258</v>
      </c>
      <c r="H1054" s="5">
        <f ca="1">LOOKUP($E1054,frequence!$A$2:$A$35,frequence!M$2:M$35)</f>
        <v>214.81113443396845</v>
      </c>
      <c r="I1054" s="16">
        <v>2005</v>
      </c>
      <c r="J1054" s="7">
        <f>LOOKUP(I1054,CPI!A$69:A$103,CPI!O$69:O$103)</f>
        <v>1.1165181771633383</v>
      </c>
      <c r="K1054" s="16">
        <v>2005</v>
      </c>
      <c r="L1054" s="7">
        <f t="shared" ca="1" si="900"/>
        <v>1</v>
      </c>
      <c r="M1054" s="7">
        <f t="shared" si="888"/>
        <v>0.16153846153846152</v>
      </c>
      <c r="N1054" s="14">
        <f t="shared" si="922"/>
        <v>2.564102564102564E-2</v>
      </c>
      <c r="O1054" s="1">
        <f ca="1">P1054*J1054*(1+Growth!G$6)^(2010-K1054)</f>
        <v>43.423552644373117</v>
      </c>
      <c r="P1054" s="22">
        <f>0.82*12*44/12</f>
        <v>36.08</v>
      </c>
      <c r="Q1054" s="2">
        <f t="shared" si="925"/>
        <v>36.08</v>
      </c>
      <c r="R1054" s="21">
        <f t="shared" ca="1" si="926"/>
        <v>1885.6049242586435</v>
      </c>
      <c r="U1054" s="11"/>
      <c r="V1054" s="11"/>
      <c r="W1054" s="11"/>
      <c r="X1054" s="11"/>
      <c r="Y1054" s="11"/>
      <c r="Z1054" s="11"/>
      <c r="AA1054" s="11"/>
      <c r="AB1054" s="11"/>
      <c r="AC1054" s="1">
        <f t="shared" si="918"/>
        <v>6.3</v>
      </c>
      <c r="AD1054" s="5">
        <v>1</v>
      </c>
      <c r="AE1054" s="5">
        <v>0</v>
      </c>
      <c r="AF1054" s="5">
        <v>1</v>
      </c>
      <c r="AG1054" s="5">
        <v>0</v>
      </c>
      <c r="AH1054" s="5">
        <v>1</v>
      </c>
      <c r="AI1054" s="3">
        <f t="shared" si="919"/>
        <v>3.3</v>
      </c>
      <c r="AJ1054" s="5">
        <f t="shared" si="913"/>
        <v>0</v>
      </c>
      <c r="AK1054" s="5">
        <f t="shared" si="901"/>
        <v>0</v>
      </c>
      <c r="AL1054" s="5">
        <f t="shared" si="902"/>
        <v>0</v>
      </c>
      <c r="AM1054" s="5">
        <f t="shared" si="920"/>
        <v>0</v>
      </c>
      <c r="AN1054" s="5">
        <f t="shared" si="903"/>
        <v>0</v>
      </c>
      <c r="AO1054" s="5">
        <f t="shared" si="921"/>
        <v>0</v>
      </c>
      <c r="AP1054" s="11" t="s">
        <v>42</v>
      </c>
      <c r="AQ1054" s="11" t="s">
        <v>42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1</v>
      </c>
      <c r="AY1054" s="1">
        <f t="shared" si="914"/>
        <v>0</v>
      </c>
      <c r="AZ1054" s="1">
        <f t="shared" si="915"/>
        <v>0</v>
      </c>
      <c r="BA1054" s="1">
        <f t="shared" si="916"/>
        <v>0</v>
      </c>
      <c r="BB1054" s="5">
        <v>0</v>
      </c>
      <c r="BC1054" s="5">
        <v>0</v>
      </c>
      <c r="BD1054" s="5">
        <v>0</v>
      </c>
      <c r="BE1054" s="5">
        <f t="shared" si="917"/>
        <v>1</v>
      </c>
      <c r="BF1054" s="5">
        <v>0</v>
      </c>
      <c r="BG1054" s="5">
        <f t="shared" si="908"/>
        <v>0</v>
      </c>
      <c r="BH1054" s="5">
        <f t="shared" si="908"/>
        <v>0</v>
      </c>
      <c r="BI1054" s="5">
        <f t="shared" si="908"/>
        <v>0</v>
      </c>
      <c r="BJ1054" s="5">
        <f t="shared" si="908"/>
        <v>0</v>
      </c>
      <c r="BK1054" s="5">
        <f t="shared" si="908"/>
        <v>0</v>
      </c>
      <c r="BL1054" s="5">
        <f t="shared" si="908"/>
        <v>0</v>
      </c>
      <c r="BM1054" s="5">
        <f t="shared" si="908"/>
        <v>0</v>
      </c>
      <c r="BN1054" s="5">
        <f t="shared" si="908"/>
        <v>0</v>
      </c>
      <c r="BO1054" s="5">
        <f t="shared" si="906"/>
        <v>0</v>
      </c>
      <c r="BP1054" s="5">
        <f t="shared" si="906"/>
        <v>0</v>
      </c>
      <c r="BQ1054" s="5">
        <f t="shared" si="906"/>
        <v>0</v>
      </c>
      <c r="BR1054" s="5">
        <f t="shared" si="906"/>
        <v>0</v>
      </c>
      <c r="BS1054" s="5">
        <f t="shared" si="906"/>
        <v>0</v>
      </c>
      <c r="BT1054" s="5">
        <f t="shared" si="906"/>
        <v>0</v>
      </c>
      <c r="BU1054" s="5">
        <f t="shared" si="906"/>
        <v>0</v>
      </c>
      <c r="BV1054" s="5">
        <f t="shared" si="906"/>
        <v>0</v>
      </c>
      <c r="BW1054" s="5">
        <f t="shared" si="906"/>
        <v>0</v>
      </c>
      <c r="BX1054" s="5">
        <f t="shared" si="906"/>
        <v>0</v>
      </c>
      <c r="BY1054" s="5">
        <f t="shared" si="906"/>
        <v>0</v>
      </c>
      <c r="BZ1054" s="5">
        <f t="shared" si="906"/>
        <v>0</v>
      </c>
      <c r="CA1054" s="5">
        <f t="shared" si="906"/>
        <v>0</v>
      </c>
      <c r="CB1054" s="5">
        <f t="shared" si="905"/>
        <v>0</v>
      </c>
      <c r="CC1054" s="5">
        <f t="shared" si="905"/>
        <v>1</v>
      </c>
      <c r="CD1054" s="5">
        <f t="shared" si="905"/>
        <v>0</v>
      </c>
      <c r="CE1054" s="5">
        <f t="shared" si="905"/>
        <v>0</v>
      </c>
    </row>
    <row r="1055" spans="1:83" x14ac:dyDescent="0.2">
      <c r="A1055" s="11"/>
      <c r="B1055" s="11"/>
      <c r="C1055" s="1">
        <f>Growth!D1060</f>
        <v>2.564102564102564E-2</v>
      </c>
      <c r="D1055" s="5" t="b">
        <f t="shared" si="907"/>
        <v>0</v>
      </c>
      <c r="E1055" s="5">
        <v>2013</v>
      </c>
      <c r="F1055" s="5">
        <f ca="1">LOOKUP($E1055,frequence!$A$2:$A$35,frequence!L$2:L$35)</f>
        <v>46.610663652887361</v>
      </c>
      <c r="G1055" s="5">
        <f ca="1">LOOKUP($E1055,frequence!$A$2:$A$35,frequence!K$2:K$35)</f>
        <v>7.3617115683267258</v>
      </c>
      <c r="H1055" s="5">
        <f ca="1">LOOKUP($E1055,frequence!$A$2:$A$35,frequence!M$2:M$35)</f>
        <v>214.81113443396845</v>
      </c>
      <c r="I1055" s="16">
        <v>2005</v>
      </c>
      <c r="J1055" s="7">
        <f>LOOKUP(I1055,CPI!A$69:A$103,CPI!O$69:O$103)</f>
        <v>1.1165181771633383</v>
      </c>
      <c r="K1055" s="16">
        <v>2005</v>
      </c>
      <c r="L1055" s="7">
        <f t="shared" ca="1" si="900"/>
        <v>1</v>
      </c>
      <c r="M1055" s="7">
        <f t="shared" si="888"/>
        <v>0.16153846153846152</v>
      </c>
      <c r="N1055" s="14">
        <f t="shared" si="922"/>
        <v>2.564102564102564E-2</v>
      </c>
      <c r="O1055" s="1">
        <f ca="1">P1055*J1055*(1+Growth!G$6)^(2010-K1055)</f>
        <v>66.723995526719676</v>
      </c>
      <c r="P1055" s="22">
        <f>1.26*12*44/12</f>
        <v>55.440000000000005</v>
      </c>
      <c r="Q1055" s="2">
        <f t="shared" si="925"/>
        <v>55.440000000000005</v>
      </c>
      <c r="R1055" s="21">
        <f t="shared" ca="1" si="926"/>
        <v>4452.0915790497074</v>
      </c>
      <c r="U1055" s="11"/>
      <c r="V1055" s="11"/>
      <c r="W1055" s="11"/>
      <c r="X1055" s="11"/>
      <c r="Y1055" s="11"/>
      <c r="Z1055" s="11"/>
      <c r="AA1055" s="11"/>
      <c r="AB1055" s="11"/>
      <c r="AC1055" s="1">
        <f t="shared" si="918"/>
        <v>6.3</v>
      </c>
      <c r="AD1055" s="5">
        <v>1</v>
      </c>
      <c r="AE1055" s="5">
        <v>0</v>
      </c>
      <c r="AF1055" s="5">
        <v>1</v>
      </c>
      <c r="AG1055" s="5">
        <v>0</v>
      </c>
      <c r="AH1055" s="5">
        <v>1</v>
      </c>
      <c r="AI1055" s="3">
        <f t="shared" si="919"/>
        <v>3.3</v>
      </c>
      <c r="AJ1055" s="5">
        <f t="shared" si="913"/>
        <v>0</v>
      </c>
      <c r="AK1055" s="5">
        <f t="shared" si="901"/>
        <v>0</v>
      </c>
      <c r="AL1055" s="5">
        <f t="shared" si="902"/>
        <v>0</v>
      </c>
      <c r="AM1055" s="5">
        <f t="shared" si="920"/>
        <v>0</v>
      </c>
      <c r="AN1055" s="5">
        <f t="shared" si="903"/>
        <v>0</v>
      </c>
      <c r="AO1055" s="5">
        <f t="shared" si="921"/>
        <v>0</v>
      </c>
      <c r="AP1055" s="11" t="s">
        <v>42</v>
      </c>
      <c r="AQ1055" s="11" t="s">
        <v>42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1</v>
      </c>
      <c r="AY1055" s="1">
        <f t="shared" si="914"/>
        <v>0</v>
      </c>
      <c r="AZ1055" s="1">
        <f t="shared" si="915"/>
        <v>0</v>
      </c>
      <c r="BA1055" s="1">
        <f t="shared" si="916"/>
        <v>0</v>
      </c>
      <c r="BB1055" s="5">
        <v>0</v>
      </c>
      <c r="BC1055" s="5">
        <v>0</v>
      </c>
      <c r="BD1055" s="5">
        <v>0</v>
      </c>
      <c r="BE1055" s="5">
        <f t="shared" si="917"/>
        <v>1</v>
      </c>
      <c r="BF1055" s="5">
        <v>0</v>
      </c>
      <c r="BG1055" s="5">
        <f t="shared" si="908"/>
        <v>0</v>
      </c>
      <c r="BH1055" s="5">
        <f t="shared" si="908"/>
        <v>0</v>
      </c>
      <c r="BI1055" s="5">
        <f t="shared" si="908"/>
        <v>0</v>
      </c>
      <c r="BJ1055" s="5">
        <f t="shared" si="908"/>
        <v>0</v>
      </c>
      <c r="BK1055" s="5">
        <f t="shared" si="908"/>
        <v>0</v>
      </c>
      <c r="BL1055" s="5">
        <f t="shared" si="908"/>
        <v>0</v>
      </c>
      <c r="BM1055" s="5">
        <f t="shared" si="908"/>
        <v>0</v>
      </c>
      <c r="BN1055" s="5">
        <f t="shared" si="908"/>
        <v>0</v>
      </c>
      <c r="BO1055" s="5">
        <f t="shared" si="906"/>
        <v>0</v>
      </c>
      <c r="BP1055" s="5">
        <f t="shared" si="906"/>
        <v>0</v>
      </c>
      <c r="BQ1055" s="5">
        <f t="shared" si="906"/>
        <v>0</v>
      </c>
      <c r="BR1055" s="5">
        <f t="shared" si="906"/>
        <v>0</v>
      </c>
      <c r="BS1055" s="5">
        <f t="shared" si="906"/>
        <v>0</v>
      </c>
      <c r="BT1055" s="5">
        <f t="shared" si="906"/>
        <v>0</v>
      </c>
      <c r="BU1055" s="5">
        <f t="shared" si="906"/>
        <v>0</v>
      </c>
      <c r="BV1055" s="5">
        <f t="shared" si="906"/>
        <v>0</v>
      </c>
      <c r="BW1055" s="5">
        <f t="shared" si="906"/>
        <v>0</v>
      </c>
      <c r="BX1055" s="5">
        <f t="shared" si="906"/>
        <v>0</v>
      </c>
      <c r="BY1055" s="5">
        <f t="shared" si="906"/>
        <v>0</v>
      </c>
      <c r="BZ1055" s="5">
        <f t="shared" si="906"/>
        <v>0</v>
      </c>
      <c r="CA1055" s="5">
        <f t="shared" si="906"/>
        <v>0</v>
      </c>
      <c r="CB1055" s="5">
        <f t="shared" si="905"/>
        <v>0</v>
      </c>
      <c r="CC1055" s="5">
        <f t="shared" si="905"/>
        <v>1</v>
      </c>
      <c r="CD1055" s="5">
        <f t="shared" si="905"/>
        <v>0</v>
      </c>
      <c r="CE1055" s="5">
        <f t="shared" si="905"/>
        <v>0</v>
      </c>
    </row>
    <row r="1056" spans="1:83" x14ac:dyDescent="0.2">
      <c r="A1056" s="11"/>
      <c r="B1056" s="11"/>
      <c r="C1056" s="1">
        <f>Growth!D1061</f>
        <v>2.564102564102564E-2</v>
      </c>
      <c r="D1056" s="5" t="b">
        <f t="shared" si="907"/>
        <v>0</v>
      </c>
      <c r="E1056" s="5">
        <v>2013</v>
      </c>
      <c r="F1056" s="5">
        <f ca="1">LOOKUP($E1056,frequence!$A$2:$A$35,frequence!L$2:L$35)</f>
        <v>46.610663652887361</v>
      </c>
      <c r="G1056" s="5">
        <f ca="1">LOOKUP($E1056,frequence!$A$2:$A$35,frequence!K$2:K$35)</f>
        <v>7.3617115683267258</v>
      </c>
      <c r="H1056" s="5">
        <f ca="1">LOOKUP($E1056,frequence!$A$2:$A$35,frequence!M$2:M$35)</f>
        <v>214.81113443396845</v>
      </c>
      <c r="I1056" s="16">
        <v>2005</v>
      </c>
      <c r="J1056" s="7">
        <f>LOOKUP(I1056,CPI!A$69:A$103,CPI!O$69:O$103)</f>
        <v>1.1165181771633383</v>
      </c>
      <c r="K1056" s="16">
        <v>2005</v>
      </c>
      <c r="L1056" s="7">
        <f t="shared" ca="1" si="900"/>
        <v>1</v>
      </c>
      <c r="M1056" s="7">
        <f t="shared" si="888"/>
        <v>0.16153846153846152</v>
      </c>
      <c r="N1056" s="14">
        <f t="shared" si="922"/>
        <v>2.564102564102564E-2</v>
      </c>
      <c r="O1056" s="1">
        <f ca="1">P1056*J1056*(1+Growth!G$6)^(2010-K1056)</f>
        <v>52.161218725253079</v>
      </c>
      <c r="P1056" s="22">
        <f>0.985*12*44/12</f>
        <v>43.34</v>
      </c>
      <c r="Q1056" s="2">
        <f t="shared" si="925"/>
        <v>43.34</v>
      </c>
      <c r="R1056" s="21">
        <f t="shared" ca="1" si="926"/>
        <v>2720.7927389036922</v>
      </c>
      <c r="U1056" s="11"/>
      <c r="V1056" s="11"/>
      <c r="W1056" s="11"/>
      <c r="X1056" s="11"/>
      <c r="Y1056" s="11"/>
      <c r="Z1056" s="11"/>
      <c r="AA1056" s="11"/>
      <c r="AB1056" s="11"/>
      <c r="AC1056" s="1">
        <f t="shared" si="918"/>
        <v>6.3</v>
      </c>
      <c r="AD1056" s="5">
        <v>1</v>
      </c>
      <c r="AE1056" s="5">
        <v>0</v>
      </c>
      <c r="AF1056" s="5">
        <v>1</v>
      </c>
      <c r="AG1056" s="5">
        <v>0</v>
      </c>
      <c r="AH1056" s="5">
        <v>1</v>
      </c>
      <c r="AI1056" s="3">
        <f t="shared" si="919"/>
        <v>3.3</v>
      </c>
      <c r="AJ1056" s="5">
        <f t="shared" si="913"/>
        <v>0</v>
      </c>
      <c r="AK1056" s="5">
        <f t="shared" si="901"/>
        <v>0</v>
      </c>
      <c r="AL1056" s="5">
        <f t="shared" si="902"/>
        <v>0</v>
      </c>
      <c r="AM1056" s="5">
        <f t="shared" si="920"/>
        <v>0</v>
      </c>
      <c r="AN1056" s="5">
        <f t="shared" si="903"/>
        <v>0</v>
      </c>
      <c r="AO1056" s="5">
        <f t="shared" si="921"/>
        <v>0</v>
      </c>
      <c r="AP1056" s="11" t="s">
        <v>42</v>
      </c>
      <c r="AQ1056" s="11" t="s">
        <v>42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1</v>
      </c>
      <c r="AY1056" s="1">
        <f t="shared" si="914"/>
        <v>0</v>
      </c>
      <c r="AZ1056" s="1">
        <f t="shared" si="915"/>
        <v>0</v>
      </c>
      <c r="BA1056" s="1">
        <f t="shared" si="916"/>
        <v>0</v>
      </c>
      <c r="BB1056" s="5">
        <v>0</v>
      </c>
      <c r="BC1056" s="5">
        <v>0</v>
      </c>
      <c r="BD1056" s="5">
        <v>0</v>
      </c>
      <c r="BE1056" s="5">
        <f t="shared" si="917"/>
        <v>1</v>
      </c>
      <c r="BF1056" s="5">
        <v>0</v>
      </c>
      <c r="BG1056" s="5">
        <f t="shared" si="908"/>
        <v>0</v>
      </c>
      <c r="BH1056" s="5">
        <f t="shared" si="908"/>
        <v>0</v>
      </c>
      <c r="BI1056" s="5">
        <f t="shared" si="908"/>
        <v>0</v>
      </c>
      <c r="BJ1056" s="5">
        <f t="shared" si="908"/>
        <v>0</v>
      </c>
      <c r="BK1056" s="5">
        <f t="shared" si="908"/>
        <v>0</v>
      </c>
      <c r="BL1056" s="5">
        <f t="shared" si="908"/>
        <v>0</v>
      </c>
      <c r="BM1056" s="5">
        <f t="shared" si="908"/>
        <v>0</v>
      </c>
      <c r="BN1056" s="5">
        <f t="shared" si="908"/>
        <v>0</v>
      </c>
      <c r="BO1056" s="5">
        <f t="shared" si="906"/>
        <v>0</v>
      </c>
      <c r="BP1056" s="5">
        <f t="shared" si="906"/>
        <v>0</v>
      </c>
      <c r="BQ1056" s="5">
        <f t="shared" si="906"/>
        <v>0</v>
      </c>
      <c r="BR1056" s="5">
        <f t="shared" si="906"/>
        <v>0</v>
      </c>
      <c r="BS1056" s="5">
        <f t="shared" si="906"/>
        <v>0</v>
      </c>
      <c r="BT1056" s="5">
        <f t="shared" si="906"/>
        <v>0</v>
      </c>
      <c r="BU1056" s="5">
        <f t="shared" si="906"/>
        <v>0</v>
      </c>
      <c r="BV1056" s="5">
        <f t="shared" si="906"/>
        <v>0</v>
      </c>
      <c r="BW1056" s="5">
        <f t="shared" si="906"/>
        <v>0</v>
      </c>
      <c r="BX1056" s="5">
        <f t="shared" si="906"/>
        <v>0</v>
      </c>
      <c r="BY1056" s="5">
        <f t="shared" si="906"/>
        <v>0</v>
      </c>
      <c r="BZ1056" s="5">
        <f t="shared" si="906"/>
        <v>0</v>
      </c>
      <c r="CA1056" s="5">
        <f t="shared" si="906"/>
        <v>0</v>
      </c>
      <c r="CB1056" s="5">
        <f t="shared" si="905"/>
        <v>0</v>
      </c>
      <c r="CC1056" s="5">
        <f t="shared" si="905"/>
        <v>1</v>
      </c>
      <c r="CD1056" s="5">
        <f t="shared" si="905"/>
        <v>0</v>
      </c>
      <c r="CE1056" s="5">
        <f t="shared" si="905"/>
        <v>0</v>
      </c>
    </row>
    <row r="1057" spans="1:83" x14ac:dyDescent="0.2">
      <c r="A1057" s="11"/>
      <c r="B1057" s="11"/>
      <c r="C1057" s="1">
        <f>Growth!D1062</f>
        <v>2.564102564102564E-2</v>
      </c>
      <c r="D1057" s="5" t="b">
        <f t="shared" si="907"/>
        <v>0</v>
      </c>
      <c r="E1057" s="5">
        <v>2013</v>
      </c>
      <c r="F1057" s="5">
        <f ca="1">LOOKUP($E1057,frequence!$A$2:$A$35,frequence!L$2:L$35)</f>
        <v>46.610663652887361</v>
      </c>
      <c r="G1057" s="5">
        <f ca="1">LOOKUP($E1057,frequence!$A$2:$A$35,frequence!K$2:K$35)</f>
        <v>7.3617115683267258</v>
      </c>
      <c r="H1057" s="5">
        <f ca="1">LOOKUP($E1057,frequence!$A$2:$A$35,frequence!M$2:M$35)</f>
        <v>214.81113443396845</v>
      </c>
      <c r="I1057" s="16">
        <v>2005</v>
      </c>
      <c r="J1057" s="7">
        <f>LOOKUP(I1057,CPI!A$69:A$103,CPI!O$69:O$103)</f>
        <v>1.1165181771633383</v>
      </c>
      <c r="K1057" s="16">
        <v>2005</v>
      </c>
      <c r="L1057" s="7">
        <f t="shared" ca="1" si="900"/>
        <v>1</v>
      </c>
      <c r="M1057" s="7">
        <f t="shared" si="888"/>
        <v>0.16153846153846152</v>
      </c>
      <c r="N1057" s="14">
        <f t="shared" si="922"/>
        <v>2.564102564102564E-2</v>
      </c>
      <c r="O1057" s="1">
        <f ca="1">P1057*J1057*(1+Growth!G$6)^(2010-K1057)</f>
        <v>53.643974181402399</v>
      </c>
      <c r="P1057" s="22">
        <f>1.013*12*44/12</f>
        <v>44.571999999999996</v>
      </c>
      <c r="Q1057" s="2">
        <f t="shared" si="925"/>
        <v>44.571999999999996</v>
      </c>
      <c r="R1057" s="21">
        <f t="shared" ca="1" si="926"/>
        <v>2877.6759659749673</v>
      </c>
      <c r="U1057" s="11"/>
      <c r="V1057" s="11"/>
      <c r="W1057" s="11"/>
      <c r="X1057" s="11"/>
      <c r="Y1057" s="11"/>
      <c r="Z1057" s="11"/>
      <c r="AA1057" s="11"/>
      <c r="AB1057" s="11"/>
      <c r="AC1057" s="1">
        <f t="shared" si="918"/>
        <v>6.3</v>
      </c>
      <c r="AD1057" s="5">
        <v>1</v>
      </c>
      <c r="AE1057" s="5">
        <v>0</v>
      </c>
      <c r="AF1057" s="5">
        <v>1</v>
      </c>
      <c r="AG1057" s="5">
        <v>0</v>
      </c>
      <c r="AH1057" s="5">
        <v>1</v>
      </c>
      <c r="AI1057" s="3">
        <f t="shared" si="919"/>
        <v>3.3</v>
      </c>
      <c r="AJ1057" s="5">
        <f t="shared" si="913"/>
        <v>0</v>
      </c>
      <c r="AK1057" s="5">
        <f t="shared" si="901"/>
        <v>0</v>
      </c>
      <c r="AL1057" s="5">
        <f t="shared" si="902"/>
        <v>0</v>
      </c>
      <c r="AM1057" s="5">
        <f t="shared" si="920"/>
        <v>0</v>
      </c>
      <c r="AN1057" s="5">
        <f t="shared" si="903"/>
        <v>0</v>
      </c>
      <c r="AO1057" s="5">
        <f t="shared" si="921"/>
        <v>0</v>
      </c>
      <c r="AP1057" s="11" t="s">
        <v>42</v>
      </c>
      <c r="AQ1057" s="11" t="s">
        <v>42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1</v>
      </c>
      <c r="AY1057" s="1">
        <f t="shared" si="914"/>
        <v>0</v>
      </c>
      <c r="AZ1057" s="1">
        <f t="shared" si="915"/>
        <v>0</v>
      </c>
      <c r="BA1057" s="1">
        <f t="shared" si="916"/>
        <v>0</v>
      </c>
      <c r="BB1057" s="5">
        <v>0</v>
      </c>
      <c r="BC1057" s="5">
        <v>0</v>
      </c>
      <c r="BD1057" s="5">
        <v>0</v>
      </c>
      <c r="BE1057" s="5">
        <f t="shared" si="917"/>
        <v>1</v>
      </c>
      <c r="BF1057" s="5">
        <v>0</v>
      </c>
      <c r="BG1057" s="5">
        <f t="shared" si="908"/>
        <v>0</v>
      </c>
      <c r="BH1057" s="5">
        <f t="shared" si="908"/>
        <v>0</v>
      </c>
      <c r="BI1057" s="5">
        <f t="shared" si="908"/>
        <v>0</v>
      </c>
      <c r="BJ1057" s="5">
        <f t="shared" si="908"/>
        <v>0</v>
      </c>
      <c r="BK1057" s="5">
        <f t="shared" si="908"/>
        <v>0</v>
      </c>
      <c r="BL1057" s="5">
        <f t="shared" si="908"/>
        <v>0</v>
      </c>
      <c r="BM1057" s="5">
        <f t="shared" si="908"/>
        <v>0</v>
      </c>
      <c r="BN1057" s="5">
        <f t="shared" si="908"/>
        <v>0</v>
      </c>
      <c r="BO1057" s="5">
        <f t="shared" si="906"/>
        <v>0</v>
      </c>
      <c r="BP1057" s="5">
        <f t="shared" si="906"/>
        <v>0</v>
      </c>
      <c r="BQ1057" s="5">
        <f t="shared" si="906"/>
        <v>0</v>
      </c>
      <c r="BR1057" s="5">
        <f t="shared" si="906"/>
        <v>0</v>
      </c>
      <c r="BS1057" s="5">
        <f t="shared" si="906"/>
        <v>0</v>
      </c>
      <c r="BT1057" s="5">
        <f t="shared" si="906"/>
        <v>0</v>
      </c>
      <c r="BU1057" s="5">
        <f t="shared" si="906"/>
        <v>0</v>
      </c>
      <c r="BV1057" s="5">
        <f t="shared" si="906"/>
        <v>0</v>
      </c>
      <c r="BW1057" s="5">
        <f t="shared" si="906"/>
        <v>0</v>
      </c>
      <c r="BX1057" s="5">
        <f t="shared" si="906"/>
        <v>0</v>
      </c>
      <c r="BY1057" s="5">
        <f t="shared" si="906"/>
        <v>0</v>
      </c>
      <c r="BZ1057" s="5">
        <f t="shared" si="906"/>
        <v>0</v>
      </c>
      <c r="CA1057" s="5">
        <f t="shared" si="906"/>
        <v>0</v>
      </c>
      <c r="CB1057" s="5">
        <f t="shared" si="905"/>
        <v>0</v>
      </c>
      <c r="CC1057" s="5">
        <f t="shared" si="905"/>
        <v>1</v>
      </c>
      <c r="CD1057" s="5">
        <f t="shared" si="905"/>
        <v>0</v>
      </c>
      <c r="CE1057" s="5">
        <f t="shared" si="905"/>
        <v>0</v>
      </c>
    </row>
    <row r="1058" spans="1:83" x14ac:dyDescent="0.2">
      <c r="A1058" s="11"/>
      <c r="B1058" s="11"/>
      <c r="C1058" s="1">
        <f>Growth!D1063</f>
        <v>2.564102564102564E-2</v>
      </c>
      <c r="D1058" s="5" t="b">
        <f t="shared" si="907"/>
        <v>0</v>
      </c>
      <c r="E1058" s="5">
        <v>2013</v>
      </c>
      <c r="F1058" s="5">
        <f ca="1">LOOKUP($E1058,frequence!$A$2:$A$35,frequence!L$2:L$35)</f>
        <v>46.610663652887361</v>
      </c>
      <c r="G1058" s="5">
        <f ca="1">LOOKUP($E1058,frequence!$A$2:$A$35,frequence!K$2:K$35)</f>
        <v>7.3617115683267258</v>
      </c>
      <c r="H1058" s="5">
        <f ca="1">LOOKUP($E1058,frequence!$A$2:$A$35,frequence!M$2:M$35)</f>
        <v>214.81113443396845</v>
      </c>
      <c r="I1058" s="16">
        <v>2005</v>
      </c>
      <c r="J1058" s="7">
        <f>LOOKUP(I1058,CPI!A$69:A$103,CPI!O$69:O$103)</f>
        <v>1.1165181771633383</v>
      </c>
      <c r="K1058" s="16">
        <v>2005</v>
      </c>
      <c r="L1058" s="7">
        <f t="shared" ca="1" si="900"/>
        <v>1</v>
      </c>
      <c r="M1058" s="7">
        <f t="shared" si="888"/>
        <v>0.16153846153846152</v>
      </c>
      <c r="N1058" s="14">
        <f t="shared" si="922"/>
        <v>2.564102564102564E-2</v>
      </c>
      <c r="O1058" s="1">
        <f ca="1">P1058*J1058*(1+Growth!G$6)^(2010-K1058)</f>
        <v>33.361997763359838</v>
      </c>
      <c r="P1058" s="22">
        <f>0.63*12*44/12</f>
        <v>27.720000000000002</v>
      </c>
      <c r="Q1058" s="2">
        <f t="shared" si="925"/>
        <v>27.720000000000002</v>
      </c>
      <c r="R1058" s="21">
        <f t="shared" ca="1" si="926"/>
        <v>1113.0228947624269</v>
      </c>
      <c r="U1058" s="11"/>
      <c r="V1058" s="11"/>
      <c r="W1058" s="11"/>
      <c r="X1058" s="11"/>
      <c r="Y1058" s="11"/>
      <c r="Z1058" s="11"/>
      <c r="AA1058" s="11"/>
      <c r="AB1058" s="11"/>
      <c r="AC1058" s="1">
        <f t="shared" si="918"/>
        <v>6.3</v>
      </c>
      <c r="AD1058" s="5">
        <v>1</v>
      </c>
      <c r="AE1058" s="5">
        <v>0</v>
      </c>
      <c r="AF1058" s="5">
        <v>1</v>
      </c>
      <c r="AG1058" s="5">
        <v>0</v>
      </c>
      <c r="AH1058" s="5">
        <v>1</v>
      </c>
      <c r="AI1058" s="3">
        <f t="shared" si="919"/>
        <v>3.3</v>
      </c>
      <c r="AJ1058" s="5">
        <f t="shared" si="913"/>
        <v>0</v>
      </c>
      <c r="AK1058" s="5">
        <f t="shared" si="901"/>
        <v>0</v>
      </c>
      <c r="AL1058" s="5">
        <f t="shared" si="902"/>
        <v>0</v>
      </c>
      <c r="AM1058" s="5">
        <f t="shared" si="920"/>
        <v>0</v>
      </c>
      <c r="AN1058" s="5">
        <f t="shared" si="903"/>
        <v>0</v>
      </c>
      <c r="AO1058" s="5">
        <f t="shared" si="921"/>
        <v>0</v>
      </c>
      <c r="AP1058" s="11" t="s">
        <v>42</v>
      </c>
      <c r="AQ1058" s="11" t="s">
        <v>42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1</v>
      </c>
      <c r="AY1058" s="1">
        <f t="shared" si="914"/>
        <v>0</v>
      </c>
      <c r="AZ1058" s="1">
        <f t="shared" si="915"/>
        <v>0</v>
      </c>
      <c r="BA1058" s="1">
        <f t="shared" si="916"/>
        <v>0</v>
      </c>
      <c r="BB1058" s="5">
        <v>0</v>
      </c>
      <c r="BC1058" s="5">
        <v>0</v>
      </c>
      <c r="BD1058" s="5">
        <v>0</v>
      </c>
      <c r="BE1058" s="5">
        <f t="shared" si="917"/>
        <v>1</v>
      </c>
      <c r="BF1058" s="5">
        <v>0</v>
      </c>
      <c r="BG1058" s="5">
        <f t="shared" si="908"/>
        <v>0</v>
      </c>
      <c r="BH1058" s="5">
        <f t="shared" si="908"/>
        <v>0</v>
      </c>
      <c r="BI1058" s="5">
        <f t="shared" si="908"/>
        <v>0</v>
      </c>
      <c r="BJ1058" s="5">
        <f t="shared" si="908"/>
        <v>0</v>
      </c>
      <c r="BK1058" s="5">
        <f t="shared" si="908"/>
        <v>0</v>
      </c>
      <c r="BL1058" s="5">
        <f t="shared" si="908"/>
        <v>0</v>
      </c>
      <c r="BM1058" s="5">
        <f t="shared" si="908"/>
        <v>0</v>
      </c>
      <c r="BN1058" s="5">
        <f t="shared" si="908"/>
        <v>0</v>
      </c>
      <c r="BO1058" s="5">
        <f t="shared" si="906"/>
        <v>0</v>
      </c>
      <c r="BP1058" s="5">
        <f t="shared" si="906"/>
        <v>0</v>
      </c>
      <c r="BQ1058" s="5">
        <f t="shared" si="906"/>
        <v>0</v>
      </c>
      <c r="BR1058" s="5">
        <f t="shared" si="906"/>
        <v>0</v>
      </c>
      <c r="BS1058" s="5">
        <f t="shared" si="906"/>
        <v>0</v>
      </c>
      <c r="BT1058" s="5">
        <f t="shared" si="906"/>
        <v>0</v>
      </c>
      <c r="BU1058" s="5">
        <f t="shared" si="906"/>
        <v>0</v>
      </c>
      <c r="BV1058" s="5">
        <f t="shared" si="906"/>
        <v>0</v>
      </c>
      <c r="BW1058" s="5">
        <f t="shared" si="906"/>
        <v>0</v>
      </c>
      <c r="BX1058" s="5">
        <f t="shared" si="906"/>
        <v>0</v>
      </c>
      <c r="BY1058" s="5">
        <f t="shared" si="906"/>
        <v>0</v>
      </c>
      <c r="BZ1058" s="5">
        <f t="shared" si="906"/>
        <v>0</v>
      </c>
      <c r="CA1058" s="5">
        <f t="shared" si="906"/>
        <v>0</v>
      </c>
      <c r="CB1058" s="5">
        <f t="shared" si="905"/>
        <v>0</v>
      </c>
      <c r="CC1058" s="5">
        <f t="shared" si="905"/>
        <v>1</v>
      </c>
      <c r="CD1058" s="5">
        <f t="shared" si="905"/>
        <v>0</v>
      </c>
      <c r="CE1058" s="5">
        <f t="shared" si="905"/>
        <v>0</v>
      </c>
    </row>
    <row r="1059" spans="1:83" x14ac:dyDescent="0.2">
      <c r="A1059" s="11"/>
      <c r="B1059" s="11"/>
      <c r="C1059" s="1">
        <f>Growth!D1064</f>
        <v>2.564102564102564E-2</v>
      </c>
      <c r="D1059" s="5" t="b">
        <f t="shared" si="907"/>
        <v>0</v>
      </c>
      <c r="E1059" s="5">
        <v>2013</v>
      </c>
      <c r="F1059" s="5">
        <f ca="1">LOOKUP($E1059,frequence!$A$2:$A$35,frequence!L$2:L$35)</f>
        <v>46.610663652887361</v>
      </c>
      <c r="G1059" s="5">
        <f ca="1">LOOKUP($E1059,frequence!$A$2:$A$35,frequence!K$2:K$35)</f>
        <v>7.3617115683267258</v>
      </c>
      <c r="H1059" s="5">
        <f ca="1">LOOKUP($E1059,frequence!$A$2:$A$35,frequence!M$2:M$35)</f>
        <v>214.81113443396845</v>
      </c>
      <c r="I1059" s="16">
        <v>2005</v>
      </c>
      <c r="J1059" s="7">
        <f>LOOKUP(I1059,CPI!A$69:A$103,CPI!O$69:O$103)</f>
        <v>1.1165181771633383</v>
      </c>
      <c r="K1059" s="16">
        <v>2005</v>
      </c>
      <c r="L1059" s="7">
        <f t="shared" ca="1" si="900"/>
        <v>1</v>
      </c>
      <c r="M1059" s="7">
        <f t="shared" si="888"/>
        <v>0.16153846153846152</v>
      </c>
      <c r="N1059" s="14">
        <f t="shared" si="922"/>
        <v>2.564102564102564E-2</v>
      </c>
      <c r="O1059" s="1">
        <f ca="1">P1059*J1059*(1+Growth!G$6)^(2010-K1059)</f>
        <v>75.726439367626284</v>
      </c>
      <c r="P1059" s="22">
        <f>1.43*12*44/12</f>
        <v>62.919999999999995</v>
      </c>
      <c r="Q1059" s="2">
        <f t="shared" si="925"/>
        <v>62.919999999999995</v>
      </c>
      <c r="R1059" s="21">
        <f t="shared" ca="1" si="926"/>
        <v>5734.4936192987798</v>
      </c>
      <c r="U1059" s="11"/>
      <c r="V1059" s="11"/>
      <c r="W1059" s="11"/>
      <c r="X1059" s="11"/>
      <c r="Y1059" s="11"/>
      <c r="Z1059" s="11"/>
      <c r="AA1059" s="11"/>
      <c r="AB1059" s="11"/>
      <c r="AC1059" s="1">
        <f t="shared" si="918"/>
        <v>6.3</v>
      </c>
      <c r="AD1059" s="5">
        <v>1</v>
      </c>
      <c r="AE1059" s="5">
        <v>0</v>
      </c>
      <c r="AF1059" s="5">
        <v>1</v>
      </c>
      <c r="AG1059" s="5">
        <v>0</v>
      </c>
      <c r="AH1059" s="5">
        <v>1</v>
      </c>
      <c r="AI1059" s="3">
        <f t="shared" si="919"/>
        <v>3.3</v>
      </c>
      <c r="AJ1059" s="5">
        <f t="shared" si="913"/>
        <v>0</v>
      </c>
      <c r="AK1059" s="5">
        <f t="shared" si="901"/>
        <v>0</v>
      </c>
      <c r="AL1059" s="5">
        <f t="shared" si="902"/>
        <v>0</v>
      </c>
      <c r="AM1059" s="5">
        <f t="shared" si="920"/>
        <v>0</v>
      </c>
      <c r="AN1059" s="5">
        <f t="shared" si="903"/>
        <v>0</v>
      </c>
      <c r="AO1059" s="5">
        <f t="shared" si="921"/>
        <v>0</v>
      </c>
      <c r="AP1059" s="11" t="s">
        <v>42</v>
      </c>
      <c r="AQ1059" s="11" t="s">
        <v>42</v>
      </c>
      <c r="AR1059" s="5">
        <v>0</v>
      </c>
      <c r="AS1059" s="5">
        <v>0</v>
      </c>
      <c r="AT1059" s="5">
        <v>0</v>
      </c>
      <c r="AU1059" s="5">
        <v>0</v>
      </c>
      <c r="AV1059" s="5">
        <v>0</v>
      </c>
      <c r="AW1059" s="5">
        <v>0</v>
      </c>
      <c r="AX1059" s="5">
        <v>1</v>
      </c>
      <c r="AY1059" s="1">
        <f t="shared" si="914"/>
        <v>0</v>
      </c>
      <c r="AZ1059" s="1">
        <f t="shared" si="915"/>
        <v>0</v>
      </c>
      <c r="BA1059" s="1">
        <f t="shared" si="916"/>
        <v>0</v>
      </c>
      <c r="BB1059" s="5">
        <v>0</v>
      </c>
      <c r="BC1059" s="5">
        <v>0</v>
      </c>
      <c r="BD1059" s="5">
        <v>0</v>
      </c>
      <c r="BE1059" s="5">
        <f t="shared" si="917"/>
        <v>1</v>
      </c>
      <c r="BF1059" s="5">
        <v>0</v>
      </c>
      <c r="BG1059" s="5">
        <f t="shared" si="908"/>
        <v>0</v>
      </c>
      <c r="BH1059" s="5">
        <f t="shared" si="908"/>
        <v>0</v>
      </c>
      <c r="BI1059" s="5">
        <f t="shared" si="908"/>
        <v>0</v>
      </c>
      <c r="BJ1059" s="5">
        <f t="shared" si="908"/>
        <v>0</v>
      </c>
      <c r="BK1059" s="5">
        <f t="shared" si="908"/>
        <v>0</v>
      </c>
      <c r="BL1059" s="5">
        <f t="shared" si="908"/>
        <v>0</v>
      </c>
      <c r="BM1059" s="5">
        <f t="shared" si="908"/>
        <v>0</v>
      </c>
      <c r="BN1059" s="5">
        <f t="shared" si="908"/>
        <v>0</v>
      </c>
      <c r="BO1059" s="5">
        <f t="shared" si="906"/>
        <v>0</v>
      </c>
      <c r="BP1059" s="5">
        <f t="shared" si="906"/>
        <v>0</v>
      </c>
      <c r="BQ1059" s="5">
        <f t="shared" si="906"/>
        <v>0</v>
      </c>
      <c r="BR1059" s="5">
        <f t="shared" si="906"/>
        <v>0</v>
      </c>
      <c r="BS1059" s="5">
        <f t="shared" si="906"/>
        <v>0</v>
      </c>
      <c r="BT1059" s="5">
        <f t="shared" si="906"/>
        <v>0</v>
      </c>
      <c r="BU1059" s="5">
        <f t="shared" si="906"/>
        <v>0</v>
      </c>
      <c r="BV1059" s="5">
        <f t="shared" si="906"/>
        <v>0</v>
      </c>
      <c r="BW1059" s="5">
        <f t="shared" si="906"/>
        <v>0</v>
      </c>
      <c r="BX1059" s="5">
        <f t="shared" si="906"/>
        <v>0</v>
      </c>
      <c r="BY1059" s="5">
        <f t="shared" si="906"/>
        <v>0</v>
      </c>
      <c r="BZ1059" s="5">
        <f t="shared" si="906"/>
        <v>0</v>
      </c>
      <c r="CA1059" s="5">
        <f t="shared" si="906"/>
        <v>0</v>
      </c>
      <c r="CB1059" s="5">
        <f t="shared" si="905"/>
        <v>0</v>
      </c>
      <c r="CC1059" s="5">
        <f t="shared" si="905"/>
        <v>1</v>
      </c>
      <c r="CD1059" s="5">
        <f t="shared" si="905"/>
        <v>0</v>
      </c>
      <c r="CE1059" s="5">
        <f t="shared" si="905"/>
        <v>0</v>
      </c>
    </row>
    <row r="1060" spans="1:83" x14ac:dyDescent="0.2">
      <c r="A1060" s="11"/>
      <c r="B1060" s="11"/>
      <c r="C1060" s="1">
        <f>Growth!D1065</f>
        <v>2.564102564102564E-2</v>
      </c>
      <c r="D1060" s="5" t="b">
        <f t="shared" si="907"/>
        <v>0</v>
      </c>
      <c r="E1060" s="5">
        <v>2013</v>
      </c>
      <c r="F1060" s="5">
        <f ca="1">LOOKUP($E1060,frequence!$A$2:$A$35,frequence!L$2:L$35)</f>
        <v>46.610663652887361</v>
      </c>
      <c r="G1060" s="5">
        <f ca="1">LOOKUP($E1060,frequence!$A$2:$A$35,frequence!K$2:K$35)</f>
        <v>7.3617115683267258</v>
      </c>
      <c r="H1060" s="5">
        <f ca="1">LOOKUP($E1060,frequence!$A$2:$A$35,frequence!M$2:M$35)</f>
        <v>214.81113443396845</v>
      </c>
      <c r="I1060" s="16">
        <v>2005</v>
      </c>
      <c r="J1060" s="7">
        <f>LOOKUP(I1060,CPI!A$69:A$103,CPI!O$69:O$103)</f>
        <v>1.1165181771633383</v>
      </c>
      <c r="K1060" s="16">
        <v>2005</v>
      </c>
      <c r="L1060" s="7">
        <f t="shared" ca="1" si="900"/>
        <v>1</v>
      </c>
      <c r="M1060" s="7">
        <f t="shared" si="888"/>
        <v>0.16153846153846152</v>
      </c>
      <c r="N1060" s="14">
        <f t="shared" si="922"/>
        <v>2.564102564102564E-2</v>
      </c>
      <c r="O1060" s="1">
        <f ca="1">P1060*J1060*(1+Growth!G$6)^(2010-K1060)</f>
        <v>18.534443201866573</v>
      </c>
      <c r="P1060" s="22">
        <f>0.35*12*44/12</f>
        <v>15.399999999999997</v>
      </c>
      <c r="Q1060" s="2">
        <f t="shared" si="925"/>
        <v>15.399999999999997</v>
      </c>
      <c r="R1060" s="21">
        <f t="shared" ca="1" si="926"/>
        <v>343.52558480321801</v>
      </c>
      <c r="U1060" s="11"/>
      <c r="V1060" s="11"/>
      <c r="W1060" s="11"/>
      <c r="X1060" s="11"/>
      <c r="Y1060" s="11"/>
      <c r="Z1060" s="11"/>
      <c r="AA1060" s="11"/>
      <c r="AB1060" s="11"/>
      <c r="AC1060" s="1">
        <f t="shared" si="918"/>
        <v>6.3</v>
      </c>
      <c r="AD1060" s="5">
        <v>1</v>
      </c>
      <c r="AE1060" s="5">
        <v>0</v>
      </c>
      <c r="AF1060" s="5">
        <v>1</v>
      </c>
      <c r="AG1060" s="5">
        <v>0</v>
      </c>
      <c r="AH1060" s="5">
        <v>1</v>
      </c>
      <c r="AI1060" s="3">
        <f t="shared" si="919"/>
        <v>3.3</v>
      </c>
      <c r="AJ1060" s="5">
        <f t="shared" si="913"/>
        <v>0</v>
      </c>
      <c r="AK1060" s="5">
        <f t="shared" si="901"/>
        <v>0</v>
      </c>
      <c r="AL1060" s="5">
        <f t="shared" si="902"/>
        <v>0</v>
      </c>
      <c r="AM1060" s="5">
        <f t="shared" si="920"/>
        <v>0</v>
      </c>
      <c r="AN1060" s="5">
        <f t="shared" si="903"/>
        <v>0</v>
      </c>
      <c r="AO1060" s="5">
        <f t="shared" si="921"/>
        <v>0</v>
      </c>
      <c r="AP1060" s="11" t="s">
        <v>42</v>
      </c>
      <c r="AQ1060" s="11" t="s">
        <v>42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1</v>
      </c>
      <c r="AY1060" s="1">
        <f t="shared" si="914"/>
        <v>0</v>
      </c>
      <c r="AZ1060" s="1">
        <f t="shared" si="915"/>
        <v>0</v>
      </c>
      <c r="BA1060" s="1">
        <f t="shared" si="916"/>
        <v>0</v>
      </c>
      <c r="BB1060" s="5">
        <v>0</v>
      </c>
      <c r="BC1060" s="5">
        <v>0</v>
      </c>
      <c r="BD1060" s="5">
        <v>0</v>
      </c>
      <c r="BE1060" s="5">
        <f t="shared" si="917"/>
        <v>1</v>
      </c>
      <c r="BF1060" s="5">
        <v>0</v>
      </c>
      <c r="BG1060" s="5">
        <f t="shared" si="908"/>
        <v>0</v>
      </c>
      <c r="BH1060" s="5">
        <f t="shared" si="908"/>
        <v>0</v>
      </c>
      <c r="BI1060" s="5">
        <f t="shared" si="908"/>
        <v>0</v>
      </c>
      <c r="BJ1060" s="5">
        <f t="shared" si="908"/>
        <v>0</v>
      </c>
      <c r="BK1060" s="5">
        <f t="shared" si="908"/>
        <v>0</v>
      </c>
      <c r="BL1060" s="5">
        <f t="shared" si="908"/>
        <v>0</v>
      </c>
      <c r="BM1060" s="5">
        <f t="shared" si="908"/>
        <v>0</v>
      </c>
      <c r="BN1060" s="5">
        <f t="shared" ref="BN1060:CB1075" si="927">IF($E1060=BN$2,1,0)</f>
        <v>0</v>
      </c>
      <c r="BO1060" s="5">
        <f t="shared" si="927"/>
        <v>0</v>
      </c>
      <c r="BP1060" s="5">
        <f t="shared" si="927"/>
        <v>0</v>
      </c>
      <c r="BQ1060" s="5">
        <f t="shared" si="927"/>
        <v>0</v>
      </c>
      <c r="BR1060" s="5">
        <f t="shared" si="927"/>
        <v>0</v>
      </c>
      <c r="BS1060" s="5">
        <f t="shared" si="927"/>
        <v>0</v>
      </c>
      <c r="BT1060" s="5">
        <f t="shared" si="927"/>
        <v>0</v>
      </c>
      <c r="BU1060" s="5">
        <f t="shared" si="927"/>
        <v>0</v>
      </c>
      <c r="BV1060" s="5">
        <f t="shared" si="927"/>
        <v>0</v>
      </c>
      <c r="BW1060" s="5">
        <f t="shared" si="927"/>
        <v>0</v>
      </c>
      <c r="BX1060" s="5">
        <f t="shared" si="927"/>
        <v>0</v>
      </c>
      <c r="BY1060" s="5">
        <f t="shared" si="927"/>
        <v>0</v>
      </c>
      <c r="BZ1060" s="5">
        <f t="shared" si="927"/>
        <v>0</v>
      </c>
      <c r="CA1060" s="5">
        <f t="shared" si="927"/>
        <v>0</v>
      </c>
      <c r="CB1060" s="5">
        <f t="shared" si="905"/>
        <v>0</v>
      </c>
      <c r="CC1060" s="5">
        <f t="shared" si="905"/>
        <v>1</v>
      </c>
      <c r="CD1060" s="5">
        <f t="shared" si="905"/>
        <v>0</v>
      </c>
      <c r="CE1060" s="5">
        <f t="shared" si="905"/>
        <v>0</v>
      </c>
    </row>
    <row r="1061" spans="1:83" x14ac:dyDescent="0.2">
      <c r="A1061" s="11"/>
      <c r="B1061" s="11"/>
      <c r="C1061" s="1">
        <f>Growth!D1066</f>
        <v>2.564102564102564E-2</v>
      </c>
      <c r="D1061" s="5" t="b">
        <f t="shared" si="907"/>
        <v>0</v>
      </c>
      <c r="E1061" s="5">
        <v>2013</v>
      </c>
      <c r="F1061" s="5">
        <f ca="1">LOOKUP($E1061,frequence!$A$2:$A$35,frequence!L$2:L$35)</f>
        <v>46.610663652887361</v>
      </c>
      <c r="G1061" s="5">
        <f ca="1">LOOKUP($E1061,frequence!$A$2:$A$35,frequence!K$2:K$35)</f>
        <v>7.3617115683267258</v>
      </c>
      <c r="H1061" s="5">
        <f ca="1">LOOKUP($E1061,frequence!$A$2:$A$35,frequence!M$2:M$35)</f>
        <v>214.81113443396845</v>
      </c>
      <c r="I1061" s="16">
        <v>2005</v>
      </c>
      <c r="J1061" s="7">
        <f>LOOKUP(I1061,CPI!A$69:A$103,CPI!O$69:O$103)</f>
        <v>1.1165181771633383</v>
      </c>
      <c r="K1061" s="16">
        <v>2005</v>
      </c>
      <c r="L1061" s="7">
        <f t="shared" ca="1" si="900"/>
        <v>1</v>
      </c>
      <c r="M1061" s="7">
        <f t="shared" si="888"/>
        <v>0.16153846153846152</v>
      </c>
      <c r="N1061" s="14">
        <f t="shared" si="922"/>
        <v>2.564102564102564E-2</v>
      </c>
      <c r="O1061" s="1">
        <f ca="1">P1061*J1061*(1+Growth!G$6)^(2010-K1061)</f>
        <v>64.076217926453026</v>
      </c>
      <c r="P1061" s="22">
        <f>1.21*12*44/12</f>
        <v>53.24</v>
      </c>
      <c r="Q1061" s="2">
        <f t="shared" si="925"/>
        <v>53.24</v>
      </c>
      <c r="R1061" s="21">
        <f t="shared" ca="1" si="926"/>
        <v>4105.7617037583004</v>
      </c>
      <c r="U1061" s="11"/>
      <c r="V1061" s="11"/>
      <c r="W1061" s="11"/>
      <c r="X1061" s="11"/>
      <c r="Y1061" s="11"/>
      <c r="Z1061" s="11"/>
      <c r="AA1061" s="11"/>
      <c r="AB1061" s="11"/>
      <c r="AC1061" s="1">
        <f t="shared" si="918"/>
        <v>6.3</v>
      </c>
      <c r="AD1061" s="5">
        <v>1</v>
      </c>
      <c r="AE1061" s="5">
        <v>0</v>
      </c>
      <c r="AF1061" s="5">
        <v>1</v>
      </c>
      <c r="AG1061" s="5">
        <v>0</v>
      </c>
      <c r="AH1061" s="5">
        <v>1</v>
      </c>
      <c r="AI1061" s="3">
        <f t="shared" si="919"/>
        <v>3.3</v>
      </c>
      <c r="AJ1061" s="5">
        <f t="shared" si="913"/>
        <v>0</v>
      </c>
      <c r="AK1061" s="5">
        <f t="shared" si="901"/>
        <v>0</v>
      </c>
      <c r="AL1061" s="5">
        <f t="shared" si="902"/>
        <v>0</v>
      </c>
      <c r="AM1061" s="5">
        <f t="shared" si="920"/>
        <v>0</v>
      </c>
      <c r="AN1061" s="5">
        <f t="shared" si="903"/>
        <v>0</v>
      </c>
      <c r="AO1061" s="5">
        <f t="shared" si="921"/>
        <v>0</v>
      </c>
      <c r="AP1061" s="11" t="s">
        <v>42</v>
      </c>
      <c r="AQ1061" s="11" t="s">
        <v>42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1</v>
      </c>
      <c r="AY1061" s="1">
        <f t="shared" si="914"/>
        <v>0</v>
      </c>
      <c r="AZ1061" s="1">
        <f t="shared" si="915"/>
        <v>0</v>
      </c>
      <c r="BA1061" s="1">
        <f t="shared" si="916"/>
        <v>0</v>
      </c>
      <c r="BB1061" s="5">
        <v>0</v>
      </c>
      <c r="BC1061" s="5">
        <v>0</v>
      </c>
      <c r="BD1061" s="5">
        <v>0</v>
      </c>
      <c r="BE1061" s="5">
        <f t="shared" si="917"/>
        <v>1</v>
      </c>
      <c r="BF1061" s="5">
        <v>0</v>
      </c>
      <c r="BG1061" s="5">
        <f t="shared" ref="BG1061:BN1076" si="928">IF($E1061=BG$2,1,0)</f>
        <v>0</v>
      </c>
      <c r="BH1061" s="5">
        <f t="shared" si="928"/>
        <v>0</v>
      </c>
      <c r="BI1061" s="5">
        <f t="shared" si="928"/>
        <v>0</v>
      </c>
      <c r="BJ1061" s="5">
        <f t="shared" si="928"/>
        <v>0</v>
      </c>
      <c r="BK1061" s="5">
        <f t="shared" si="928"/>
        <v>0</v>
      </c>
      <c r="BL1061" s="5">
        <f t="shared" si="928"/>
        <v>0</v>
      </c>
      <c r="BM1061" s="5">
        <f t="shared" si="928"/>
        <v>0</v>
      </c>
      <c r="BN1061" s="5">
        <f t="shared" si="927"/>
        <v>0</v>
      </c>
      <c r="BO1061" s="5">
        <f t="shared" si="927"/>
        <v>0</v>
      </c>
      <c r="BP1061" s="5">
        <f t="shared" si="927"/>
        <v>0</v>
      </c>
      <c r="BQ1061" s="5">
        <f t="shared" si="927"/>
        <v>0</v>
      </c>
      <c r="BR1061" s="5">
        <f t="shared" si="927"/>
        <v>0</v>
      </c>
      <c r="BS1061" s="5">
        <f t="shared" si="927"/>
        <v>0</v>
      </c>
      <c r="BT1061" s="5">
        <f t="shared" si="927"/>
        <v>0</v>
      </c>
      <c r="BU1061" s="5">
        <f t="shared" si="927"/>
        <v>0</v>
      </c>
      <c r="BV1061" s="5">
        <f t="shared" si="927"/>
        <v>0</v>
      </c>
      <c r="BW1061" s="5">
        <f t="shared" si="927"/>
        <v>0</v>
      </c>
      <c r="BX1061" s="5">
        <f t="shared" si="927"/>
        <v>0</v>
      </c>
      <c r="BY1061" s="5">
        <f t="shared" si="927"/>
        <v>0</v>
      </c>
      <c r="BZ1061" s="5">
        <f t="shared" si="927"/>
        <v>0</v>
      </c>
      <c r="CA1061" s="5">
        <f t="shared" si="927"/>
        <v>0</v>
      </c>
      <c r="CB1061" s="5">
        <f t="shared" si="905"/>
        <v>0</v>
      </c>
      <c r="CC1061" s="5">
        <f t="shared" si="905"/>
        <v>1</v>
      </c>
      <c r="CD1061" s="5">
        <f t="shared" si="905"/>
        <v>0</v>
      </c>
      <c r="CE1061" s="5">
        <f t="shared" si="905"/>
        <v>0</v>
      </c>
    </row>
    <row r="1062" spans="1:83" x14ac:dyDescent="0.2">
      <c r="A1062" s="11"/>
      <c r="B1062" s="11"/>
      <c r="C1062" s="1">
        <f>Growth!D1067</f>
        <v>2.564102564102564E-2</v>
      </c>
      <c r="D1062" s="5" t="b">
        <f t="shared" si="907"/>
        <v>0</v>
      </c>
      <c r="E1062" s="5">
        <v>2013</v>
      </c>
      <c r="F1062" s="5">
        <f ca="1">LOOKUP($E1062,frequence!$A$2:$A$35,frequence!L$2:L$35)</f>
        <v>46.610663652887361</v>
      </c>
      <c r="G1062" s="5">
        <f ca="1">LOOKUP($E1062,frequence!$A$2:$A$35,frequence!K$2:K$35)</f>
        <v>7.3617115683267258</v>
      </c>
      <c r="H1062" s="5">
        <f ca="1">LOOKUP($E1062,frequence!$A$2:$A$35,frequence!M$2:M$35)</f>
        <v>214.81113443396845</v>
      </c>
      <c r="I1062" s="16">
        <v>2005</v>
      </c>
      <c r="J1062" s="7">
        <f>LOOKUP(I1062,CPI!A$69:A$103,CPI!O$69:O$103)</f>
        <v>1.1165181771633383</v>
      </c>
      <c r="K1062" s="16">
        <v>2005</v>
      </c>
      <c r="L1062" s="7">
        <f t="shared" ca="1" si="900"/>
        <v>1</v>
      </c>
      <c r="M1062" s="7">
        <f t="shared" si="888"/>
        <v>0.16153846153846152</v>
      </c>
      <c r="N1062" s="14">
        <f t="shared" si="922"/>
        <v>2.564102564102564E-2</v>
      </c>
      <c r="O1062" s="1">
        <f ca="1">P1062*J1062*(1+Growth!G$6)^(2010-K1062)</f>
        <v>27.00733152271987</v>
      </c>
      <c r="P1062" s="22">
        <f>0.51*12*44/12</f>
        <v>22.44</v>
      </c>
      <c r="Q1062" s="2">
        <f t="shared" si="925"/>
        <v>22.44</v>
      </c>
      <c r="R1062" s="21">
        <f t="shared" ca="1" si="926"/>
        <v>729.39595597809841</v>
      </c>
      <c r="U1062" s="11"/>
      <c r="V1062" s="11"/>
      <c r="W1062" s="11"/>
      <c r="X1062" s="11"/>
      <c r="Y1062" s="11"/>
      <c r="Z1062" s="11"/>
      <c r="AA1062" s="11"/>
      <c r="AB1062" s="11"/>
      <c r="AC1062" s="1">
        <f t="shared" si="918"/>
        <v>6.3</v>
      </c>
      <c r="AD1062" s="5">
        <v>1</v>
      </c>
      <c r="AE1062" s="5">
        <v>0</v>
      </c>
      <c r="AF1062" s="5">
        <v>1</v>
      </c>
      <c r="AG1062" s="5">
        <v>0</v>
      </c>
      <c r="AH1062" s="5">
        <v>1</v>
      </c>
      <c r="AI1062" s="3">
        <f t="shared" si="919"/>
        <v>3.3</v>
      </c>
      <c r="AJ1062" s="5">
        <f t="shared" si="913"/>
        <v>0</v>
      </c>
      <c r="AK1062" s="5">
        <f t="shared" si="901"/>
        <v>0</v>
      </c>
      <c r="AL1062" s="5">
        <f t="shared" si="902"/>
        <v>0</v>
      </c>
      <c r="AM1062" s="5">
        <f t="shared" si="920"/>
        <v>0</v>
      </c>
      <c r="AN1062" s="5">
        <f t="shared" si="903"/>
        <v>0</v>
      </c>
      <c r="AO1062" s="5">
        <f t="shared" si="921"/>
        <v>0</v>
      </c>
      <c r="AP1062" s="11" t="s">
        <v>42</v>
      </c>
      <c r="AQ1062" s="11" t="s">
        <v>42</v>
      </c>
      <c r="AR1062" s="5">
        <v>0</v>
      </c>
      <c r="AS1062" s="5">
        <v>0</v>
      </c>
      <c r="AT1062" s="5">
        <v>0</v>
      </c>
      <c r="AU1062" s="5">
        <v>0</v>
      </c>
      <c r="AV1062" s="5">
        <v>0</v>
      </c>
      <c r="AW1062" s="5">
        <v>0</v>
      </c>
      <c r="AX1062" s="5">
        <v>1</v>
      </c>
      <c r="AY1062" s="1">
        <f t="shared" si="914"/>
        <v>0</v>
      </c>
      <c r="AZ1062" s="1">
        <f t="shared" si="915"/>
        <v>0</v>
      </c>
      <c r="BA1062" s="1">
        <f t="shared" si="916"/>
        <v>0</v>
      </c>
      <c r="BB1062" s="5">
        <v>0</v>
      </c>
      <c r="BC1062" s="5">
        <v>0</v>
      </c>
      <c r="BD1062" s="5">
        <v>0</v>
      </c>
      <c r="BE1062" s="5">
        <f t="shared" si="917"/>
        <v>1</v>
      </c>
      <c r="BF1062" s="5">
        <v>0</v>
      </c>
      <c r="BG1062" s="5">
        <f t="shared" si="928"/>
        <v>0</v>
      </c>
      <c r="BH1062" s="5">
        <f t="shared" si="928"/>
        <v>0</v>
      </c>
      <c r="BI1062" s="5">
        <f t="shared" si="928"/>
        <v>0</v>
      </c>
      <c r="BJ1062" s="5">
        <f t="shared" si="928"/>
        <v>0</v>
      </c>
      <c r="BK1062" s="5">
        <f t="shared" si="928"/>
        <v>0</v>
      </c>
      <c r="BL1062" s="5">
        <f t="shared" si="928"/>
        <v>0</v>
      </c>
      <c r="BM1062" s="5">
        <f t="shared" si="928"/>
        <v>0</v>
      </c>
      <c r="BN1062" s="5">
        <f t="shared" si="927"/>
        <v>0</v>
      </c>
      <c r="BO1062" s="5">
        <f t="shared" si="927"/>
        <v>0</v>
      </c>
      <c r="BP1062" s="5">
        <f t="shared" si="927"/>
        <v>0</v>
      </c>
      <c r="BQ1062" s="5">
        <f t="shared" si="927"/>
        <v>0</v>
      </c>
      <c r="BR1062" s="5">
        <f t="shared" si="927"/>
        <v>0</v>
      </c>
      <c r="BS1062" s="5">
        <f t="shared" si="927"/>
        <v>0</v>
      </c>
      <c r="BT1062" s="5">
        <f t="shared" si="927"/>
        <v>0</v>
      </c>
      <c r="BU1062" s="5">
        <f t="shared" si="927"/>
        <v>0</v>
      </c>
      <c r="BV1062" s="5">
        <f t="shared" si="927"/>
        <v>0</v>
      </c>
      <c r="BW1062" s="5">
        <f t="shared" si="927"/>
        <v>0</v>
      </c>
      <c r="BX1062" s="5">
        <f t="shared" si="927"/>
        <v>0</v>
      </c>
      <c r="BY1062" s="5">
        <f t="shared" si="927"/>
        <v>0</v>
      </c>
      <c r="BZ1062" s="5">
        <f t="shared" si="927"/>
        <v>0</v>
      </c>
      <c r="CA1062" s="5">
        <f t="shared" si="927"/>
        <v>0</v>
      </c>
      <c r="CB1062" s="5">
        <f t="shared" si="905"/>
        <v>0</v>
      </c>
      <c r="CC1062" s="5">
        <f t="shared" si="905"/>
        <v>1</v>
      </c>
      <c r="CD1062" s="5">
        <f t="shared" si="905"/>
        <v>0</v>
      </c>
      <c r="CE1062" s="5">
        <f t="shared" si="905"/>
        <v>0</v>
      </c>
    </row>
    <row r="1063" spans="1:83" x14ac:dyDescent="0.2">
      <c r="A1063" s="11"/>
      <c r="B1063" s="11"/>
      <c r="C1063" s="1">
        <f>Growth!D1068</f>
        <v>2.564102564102564E-2</v>
      </c>
      <c r="D1063" s="5" t="b">
        <f t="shared" si="907"/>
        <v>0</v>
      </c>
      <c r="E1063" s="5">
        <v>2013</v>
      </c>
      <c r="F1063" s="5">
        <f ca="1">LOOKUP($E1063,frequence!$A$2:$A$35,frequence!L$2:L$35)</f>
        <v>46.610663652887361</v>
      </c>
      <c r="G1063" s="5">
        <f ca="1">LOOKUP($E1063,frequence!$A$2:$A$35,frequence!K$2:K$35)</f>
        <v>7.3617115683267258</v>
      </c>
      <c r="H1063" s="5">
        <f ca="1">LOOKUP($E1063,frequence!$A$2:$A$35,frequence!M$2:M$35)</f>
        <v>214.81113443396845</v>
      </c>
      <c r="I1063" s="16">
        <v>2005</v>
      </c>
      <c r="J1063" s="7">
        <f>LOOKUP(I1063,CPI!A$69:A$103,CPI!O$69:O$103)</f>
        <v>1.1165181771633383</v>
      </c>
      <c r="K1063" s="16">
        <v>2005</v>
      </c>
      <c r="L1063" s="7">
        <f t="shared" ca="1" si="900"/>
        <v>1</v>
      </c>
      <c r="M1063" s="7">
        <f t="shared" si="888"/>
        <v>0.16153846153846152</v>
      </c>
      <c r="N1063" s="14">
        <f t="shared" si="922"/>
        <v>2.564102564102564E-2</v>
      </c>
      <c r="O1063" s="1">
        <f ca="1">P1063*J1063*(1+Growth!G$6)^(2010-K1063)</f>
        <v>150.39376769514593</v>
      </c>
      <c r="P1063" s="22">
        <f>2.84*12*44/12</f>
        <v>124.96</v>
      </c>
      <c r="Q1063" s="2">
        <f t="shared" si="925"/>
        <v>124.96</v>
      </c>
      <c r="R1063" s="21">
        <f t="shared" ca="1" si="926"/>
        <v>22618.285361541519</v>
      </c>
      <c r="U1063" s="11"/>
      <c r="V1063" s="11"/>
      <c r="W1063" s="11"/>
      <c r="X1063" s="11"/>
      <c r="Y1063" s="11"/>
      <c r="Z1063" s="11"/>
      <c r="AA1063" s="11"/>
      <c r="AB1063" s="11"/>
      <c r="AC1063" s="1">
        <f t="shared" si="918"/>
        <v>6.3</v>
      </c>
      <c r="AD1063" s="5">
        <v>1</v>
      </c>
      <c r="AE1063" s="5">
        <v>0</v>
      </c>
      <c r="AF1063" s="5">
        <v>1</v>
      </c>
      <c r="AG1063" s="5">
        <v>0</v>
      </c>
      <c r="AH1063" s="5">
        <v>1</v>
      </c>
      <c r="AI1063" s="3">
        <f t="shared" si="919"/>
        <v>3.3</v>
      </c>
      <c r="AJ1063" s="5">
        <f t="shared" si="913"/>
        <v>0</v>
      </c>
      <c r="AK1063" s="5">
        <f t="shared" si="901"/>
        <v>0</v>
      </c>
      <c r="AL1063" s="5">
        <f t="shared" si="902"/>
        <v>0</v>
      </c>
      <c r="AM1063" s="5">
        <f t="shared" si="920"/>
        <v>0</v>
      </c>
      <c r="AN1063" s="5">
        <f t="shared" si="903"/>
        <v>0</v>
      </c>
      <c r="AO1063" s="5">
        <f t="shared" si="921"/>
        <v>0</v>
      </c>
      <c r="AP1063" s="11" t="s">
        <v>42</v>
      </c>
      <c r="AQ1063" s="11" t="s">
        <v>42</v>
      </c>
      <c r="AR1063" s="5">
        <v>0</v>
      </c>
      <c r="AS1063" s="5">
        <v>0</v>
      </c>
      <c r="AT1063" s="5">
        <v>0</v>
      </c>
      <c r="AU1063" s="5">
        <v>0</v>
      </c>
      <c r="AV1063" s="5">
        <v>0</v>
      </c>
      <c r="AW1063" s="5">
        <v>0</v>
      </c>
      <c r="AX1063" s="5">
        <v>1</v>
      </c>
      <c r="AY1063" s="1">
        <f t="shared" si="914"/>
        <v>0</v>
      </c>
      <c r="AZ1063" s="1">
        <f t="shared" si="915"/>
        <v>0</v>
      </c>
      <c r="BA1063" s="1">
        <f t="shared" si="916"/>
        <v>0</v>
      </c>
      <c r="BB1063" s="5">
        <v>0</v>
      </c>
      <c r="BC1063" s="5">
        <v>0</v>
      </c>
      <c r="BD1063" s="5">
        <v>0</v>
      </c>
      <c r="BE1063" s="5">
        <f t="shared" si="917"/>
        <v>1</v>
      </c>
      <c r="BF1063" s="5">
        <v>0</v>
      </c>
      <c r="BG1063" s="5">
        <f t="shared" si="928"/>
        <v>0</v>
      </c>
      <c r="BH1063" s="5">
        <f t="shared" si="928"/>
        <v>0</v>
      </c>
      <c r="BI1063" s="5">
        <f t="shared" si="928"/>
        <v>0</v>
      </c>
      <c r="BJ1063" s="5">
        <f t="shared" si="928"/>
        <v>0</v>
      </c>
      <c r="BK1063" s="5">
        <f t="shared" si="928"/>
        <v>0</v>
      </c>
      <c r="BL1063" s="5">
        <f t="shared" si="928"/>
        <v>0</v>
      </c>
      <c r="BM1063" s="5">
        <f t="shared" si="928"/>
        <v>0</v>
      </c>
      <c r="BN1063" s="5">
        <f t="shared" si="927"/>
        <v>0</v>
      </c>
      <c r="BO1063" s="5">
        <f t="shared" si="927"/>
        <v>0</v>
      </c>
      <c r="BP1063" s="5">
        <f t="shared" si="927"/>
        <v>0</v>
      </c>
      <c r="BQ1063" s="5">
        <f t="shared" si="927"/>
        <v>0</v>
      </c>
      <c r="BR1063" s="5">
        <f t="shared" si="927"/>
        <v>0</v>
      </c>
      <c r="BS1063" s="5">
        <f t="shared" si="927"/>
        <v>0</v>
      </c>
      <c r="BT1063" s="5">
        <f t="shared" si="927"/>
        <v>0</v>
      </c>
      <c r="BU1063" s="5">
        <f t="shared" si="927"/>
        <v>0</v>
      </c>
      <c r="BV1063" s="5">
        <f t="shared" si="927"/>
        <v>0</v>
      </c>
      <c r="BW1063" s="5">
        <f t="shared" si="927"/>
        <v>0</v>
      </c>
      <c r="BX1063" s="5">
        <f t="shared" si="927"/>
        <v>0</v>
      </c>
      <c r="BY1063" s="5">
        <f t="shared" si="927"/>
        <v>0</v>
      </c>
      <c r="BZ1063" s="5">
        <f t="shared" si="927"/>
        <v>0</v>
      </c>
      <c r="CA1063" s="5">
        <f t="shared" si="927"/>
        <v>0</v>
      </c>
      <c r="CB1063" s="5">
        <f t="shared" si="927"/>
        <v>0</v>
      </c>
      <c r="CC1063" s="5">
        <f t="shared" ref="CC1063:CE1082" si="929">IF($E1063=CC$2,1,0)</f>
        <v>1</v>
      </c>
      <c r="CD1063" s="5">
        <f t="shared" si="929"/>
        <v>0</v>
      </c>
      <c r="CE1063" s="5">
        <f t="shared" si="929"/>
        <v>0</v>
      </c>
    </row>
    <row r="1064" spans="1:83" x14ac:dyDescent="0.2">
      <c r="A1064" s="11"/>
      <c r="B1064" s="11"/>
      <c r="C1064" s="1">
        <f>Growth!D1069</f>
        <v>2.564102564102564E-2</v>
      </c>
      <c r="D1064" s="5" t="b">
        <f t="shared" si="907"/>
        <v>0</v>
      </c>
      <c r="E1064" s="5">
        <v>2013</v>
      </c>
      <c r="F1064" s="5">
        <f ca="1">LOOKUP($E1064,frequence!$A$2:$A$35,frequence!L$2:L$35)</f>
        <v>46.610663652887361</v>
      </c>
      <c r="G1064" s="5">
        <f ca="1">LOOKUP($E1064,frequence!$A$2:$A$35,frequence!K$2:K$35)</f>
        <v>7.3617115683267258</v>
      </c>
      <c r="H1064" s="5">
        <f ca="1">LOOKUP($E1064,frequence!$A$2:$A$35,frequence!M$2:M$35)</f>
        <v>214.81113443396845</v>
      </c>
      <c r="I1064" s="16">
        <v>2005</v>
      </c>
      <c r="J1064" s="7">
        <f>LOOKUP(I1064,CPI!A$69:A$103,CPI!O$69:O$103)</f>
        <v>1.1165181771633383</v>
      </c>
      <c r="K1064" s="16">
        <v>2005</v>
      </c>
      <c r="L1064" s="7">
        <f t="shared" ca="1" si="900"/>
        <v>1</v>
      </c>
      <c r="M1064" s="7">
        <f t="shared" si="888"/>
        <v>0.16153846153846152</v>
      </c>
      <c r="N1064" s="14">
        <f t="shared" si="922"/>
        <v>2.564102564102564E-2</v>
      </c>
      <c r="O1064" s="1">
        <f ca="1">P1064*J1064*(1+Growth!G$6)^(2010-K1064)</f>
        <v>29.655109122986524</v>
      </c>
      <c r="P1064" s="22">
        <f>0.56*12*44/12</f>
        <v>24.64</v>
      </c>
      <c r="Q1064" s="2">
        <f t="shared" si="925"/>
        <v>24.64</v>
      </c>
      <c r="R1064" s="21">
        <f t="shared" ca="1" si="926"/>
        <v>879.42549709623859</v>
      </c>
      <c r="U1064" s="11"/>
      <c r="V1064" s="11"/>
      <c r="W1064" s="11"/>
      <c r="X1064" s="11"/>
      <c r="Y1064" s="11"/>
      <c r="Z1064" s="11"/>
      <c r="AA1064" s="11"/>
      <c r="AB1064" s="11"/>
      <c r="AC1064" s="1">
        <f t="shared" si="918"/>
        <v>6.3</v>
      </c>
      <c r="AD1064" s="5">
        <v>1</v>
      </c>
      <c r="AE1064" s="5">
        <v>0</v>
      </c>
      <c r="AF1064" s="5">
        <v>1</v>
      </c>
      <c r="AG1064" s="5">
        <v>0</v>
      </c>
      <c r="AH1064" s="5">
        <v>1</v>
      </c>
      <c r="AI1064" s="3">
        <f t="shared" si="919"/>
        <v>3.3</v>
      </c>
      <c r="AJ1064" s="5">
        <f t="shared" si="913"/>
        <v>0</v>
      </c>
      <c r="AK1064" s="5">
        <f t="shared" si="901"/>
        <v>0</v>
      </c>
      <c r="AL1064" s="5">
        <f t="shared" si="902"/>
        <v>0</v>
      </c>
      <c r="AM1064" s="5">
        <f t="shared" si="920"/>
        <v>0</v>
      </c>
      <c r="AN1064" s="5">
        <f t="shared" si="903"/>
        <v>0</v>
      </c>
      <c r="AO1064" s="5">
        <f t="shared" si="921"/>
        <v>0</v>
      </c>
      <c r="AP1064" s="11" t="s">
        <v>42</v>
      </c>
      <c r="AQ1064" s="11" t="s">
        <v>42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1</v>
      </c>
      <c r="AY1064" s="1">
        <f t="shared" si="914"/>
        <v>0</v>
      </c>
      <c r="AZ1064" s="1">
        <f t="shared" si="915"/>
        <v>0</v>
      </c>
      <c r="BA1064" s="1">
        <f t="shared" si="916"/>
        <v>0</v>
      </c>
      <c r="BB1064" s="5">
        <v>0</v>
      </c>
      <c r="BC1064" s="5">
        <v>0</v>
      </c>
      <c r="BD1064" s="5">
        <v>0</v>
      </c>
      <c r="BE1064" s="5">
        <f t="shared" si="917"/>
        <v>1</v>
      </c>
      <c r="BF1064" s="5">
        <v>0</v>
      </c>
      <c r="BG1064" s="5">
        <f t="shared" si="928"/>
        <v>0</v>
      </c>
      <c r="BH1064" s="5">
        <f t="shared" si="928"/>
        <v>0</v>
      </c>
      <c r="BI1064" s="5">
        <f t="shared" si="928"/>
        <v>0</v>
      </c>
      <c r="BJ1064" s="5">
        <f t="shared" si="928"/>
        <v>0</v>
      </c>
      <c r="BK1064" s="5">
        <f t="shared" si="928"/>
        <v>0</v>
      </c>
      <c r="BL1064" s="5">
        <f t="shared" si="928"/>
        <v>0</v>
      </c>
      <c r="BM1064" s="5">
        <f t="shared" si="928"/>
        <v>0</v>
      </c>
      <c r="BN1064" s="5">
        <f t="shared" si="927"/>
        <v>0</v>
      </c>
      <c r="BO1064" s="5">
        <f t="shared" si="927"/>
        <v>0</v>
      </c>
      <c r="BP1064" s="5">
        <f t="shared" si="927"/>
        <v>0</v>
      </c>
      <c r="BQ1064" s="5">
        <f t="shared" si="927"/>
        <v>0</v>
      </c>
      <c r="BR1064" s="5">
        <f t="shared" si="927"/>
        <v>0</v>
      </c>
      <c r="BS1064" s="5">
        <f t="shared" si="927"/>
        <v>0</v>
      </c>
      <c r="BT1064" s="5">
        <f t="shared" si="927"/>
        <v>0</v>
      </c>
      <c r="BU1064" s="5">
        <f t="shared" si="927"/>
        <v>0</v>
      </c>
      <c r="BV1064" s="5">
        <f t="shared" si="927"/>
        <v>0</v>
      </c>
      <c r="BW1064" s="5">
        <f t="shared" si="927"/>
        <v>0</v>
      </c>
      <c r="BX1064" s="5">
        <f t="shared" si="927"/>
        <v>0</v>
      </c>
      <c r="BY1064" s="5">
        <f t="shared" si="927"/>
        <v>0</v>
      </c>
      <c r="BZ1064" s="5">
        <f t="shared" si="927"/>
        <v>0</v>
      </c>
      <c r="CA1064" s="5">
        <f t="shared" si="927"/>
        <v>0</v>
      </c>
      <c r="CB1064" s="5">
        <f t="shared" si="927"/>
        <v>0</v>
      </c>
      <c r="CC1064" s="5">
        <f t="shared" si="929"/>
        <v>1</v>
      </c>
      <c r="CD1064" s="5">
        <f t="shared" si="929"/>
        <v>0</v>
      </c>
      <c r="CE1064" s="5">
        <f t="shared" si="929"/>
        <v>0</v>
      </c>
    </row>
    <row r="1065" spans="1:83" x14ac:dyDescent="0.2">
      <c r="A1065" s="11"/>
      <c r="B1065" s="11"/>
      <c r="C1065" s="1">
        <f>Growth!D1070</f>
        <v>2.564102564102564E-2</v>
      </c>
      <c r="D1065" s="5" t="b">
        <f t="shared" si="907"/>
        <v>0</v>
      </c>
      <c r="E1065" s="5">
        <v>2013</v>
      </c>
      <c r="F1065" s="5">
        <f ca="1">LOOKUP($E1065,frequence!$A$2:$A$35,frequence!L$2:L$35)</f>
        <v>46.610663652887361</v>
      </c>
      <c r="G1065" s="5">
        <f ca="1">LOOKUP($E1065,frequence!$A$2:$A$35,frequence!K$2:K$35)</f>
        <v>7.3617115683267258</v>
      </c>
      <c r="H1065" s="5">
        <f ca="1">LOOKUP($E1065,frequence!$A$2:$A$35,frequence!M$2:M$35)</f>
        <v>214.81113443396845</v>
      </c>
      <c r="I1065" s="16">
        <v>2005</v>
      </c>
      <c r="J1065" s="7">
        <f>LOOKUP(I1065,CPI!A$69:A$103,CPI!O$69:O$103)</f>
        <v>1.1165181771633383</v>
      </c>
      <c r="K1065" s="16">
        <v>2005</v>
      </c>
      <c r="L1065" s="7">
        <f t="shared" ca="1" si="900"/>
        <v>1</v>
      </c>
      <c r="M1065" s="7">
        <f t="shared" si="888"/>
        <v>0.16153846153846152</v>
      </c>
      <c r="N1065" s="14">
        <f t="shared" si="922"/>
        <v>2.564102564102564E-2</v>
      </c>
      <c r="O1065" s="1">
        <f ca="1">P1065*J1065*(1+Growth!G$6)^(2010-K1065)</f>
        <v>104.85199297055946</v>
      </c>
      <c r="P1065" s="22">
        <f>1.98*12*44/12</f>
        <v>87.11999999999999</v>
      </c>
      <c r="Q1065" s="2">
        <f t="shared" si="925"/>
        <v>87.11999999999999</v>
      </c>
      <c r="R1065" s="21">
        <f t="shared" ca="1" si="926"/>
        <v>10993.940429898252</v>
      </c>
      <c r="U1065" s="11"/>
      <c r="V1065" s="11"/>
      <c r="W1065" s="11"/>
      <c r="X1065" s="11"/>
      <c r="Y1065" s="11"/>
      <c r="Z1065" s="11"/>
      <c r="AA1065" s="11"/>
      <c r="AB1065" s="11"/>
      <c r="AC1065" s="1">
        <f t="shared" si="918"/>
        <v>6.3</v>
      </c>
      <c r="AD1065" s="5">
        <v>1</v>
      </c>
      <c r="AE1065" s="5">
        <v>0</v>
      </c>
      <c r="AF1065" s="5">
        <v>1</v>
      </c>
      <c r="AG1065" s="5">
        <v>0</v>
      </c>
      <c r="AH1065" s="5">
        <v>1</v>
      </c>
      <c r="AI1065" s="3">
        <f t="shared" si="919"/>
        <v>3.3</v>
      </c>
      <c r="AJ1065" s="5">
        <f t="shared" si="913"/>
        <v>0</v>
      </c>
      <c r="AK1065" s="5">
        <f t="shared" si="901"/>
        <v>0</v>
      </c>
      <c r="AL1065" s="5">
        <f t="shared" si="902"/>
        <v>0</v>
      </c>
      <c r="AM1065" s="5">
        <f t="shared" si="920"/>
        <v>0</v>
      </c>
      <c r="AN1065" s="5">
        <f t="shared" si="903"/>
        <v>0</v>
      </c>
      <c r="AO1065" s="5">
        <f t="shared" si="921"/>
        <v>0</v>
      </c>
      <c r="AP1065" s="11" t="s">
        <v>42</v>
      </c>
      <c r="AQ1065" s="11" t="s">
        <v>42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1</v>
      </c>
      <c r="AY1065" s="1">
        <f t="shared" si="914"/>
        <v>0</v>
      </c>
      <c r="AZ1065" s="1">
        <f t="shared" si="915"/>
        <v>0</v>
      </c>
      <c r="BA1065" s="1">
        <f t="shared" si="916"/>
        <v>0</v>
      </c>
      <c r="BB1065" s="5">
        <v>0</v>
      </c>
      <c r="BC1065" s="5">
        <v>0</v>
      </c>
      <c r="BD1065" s="5">
        <v>0</v>
      </c>
      <c r="BE1065" s="5">
        <f t="shared" si="917"/>
        <v>1</v>
      </c>
      <c r="BF1065" s="5">
        <v>0</v>
      </c>
      <c r="BG1065" s="5">
        <f t="shared" si="928"/>
        <v>0</v>
      </c>
      <c r="BH1065" s="5">
        <f t="shared" si="928"/>
        <v>0</v>
      </c>
      <c r="BI1065" s="5">
        <f t="shared" si="928"/>
        <v>0</v>
      </c>
      <c r="BJ1065" s="5">
        <f t="shared" si="928"/>
        <v>0</v>
      </c>
      <c r="BK1065" s="5">
        <f t="shared" si="928"/>
        <v>0</v>
      </c>
      <c r="BL1065" s="5">
        <f t="shared" si="928"/>
        <v>0</v>
      </c>
      <c r="BM1065" s="5">
        <f t="shared" si="928"/>
        <v>0</v>
      </c>
      <c r="BN1065" s="5">
        <f t="shared" si="927"/>
        <v>0</v>
      </c>
      <c r="BO1065" s="5">
        <f t="shared" si="927"/>
        <v>0</v>
      </c>
      <c r="BP1065" s="5">
        <f t="shared" si="927"/>
        <v>0</v>
      </c>
      <c r="BQ1065" s="5">
        <f t="shared" si="927"/>
        <v>0</v>
      </c>
      <c r="BR1065" s="5">
        <f t="shared" si="927"/>
        <v>0</v>
      </c>
      <c r="BS1065" s="5">
        <f t="shared" si="927"/>
        <v>0</v>
      </c>
      <c r="BT1065" s="5">
        <f t="shared" si="927"/>
        <v>0</v>
      </c>
      <c r="BU1065" s="5">
        <f t="shared" si="927"/>
        <v>0</v>
      </c>
      <c r="BV1065" s="5">
        <f t="shared" si="927"/>
        <v>0</v>
      </c>
      <c r="BW1065" s="5">
        <f t="shared" si="927"/>
        <v>0</v>
      </c>
      <c r="BX1065" s="5">
        <f t="shared" si="927"/>
        <v>0</v>
      </c>
      <c r="BY1065" s="5">
        <f t="shared" si="927"/>
        <v>0</v>
      </c>
      <c r="BZ1065" s="5">
        <f t="shared" si="927"/>
        <v>0</v>
      </c>
      <c r="CA1065" s="5">
        <f t="shared" si="927"/>
        <v>0</v>
      </c>
      <c r="CB1065" s="5">
        <f t="shared" si="927"/>
        <v>0</v>
      </c>
      <c r="CC1065" s="5">
        <f t="shared" si="929"/>
        <v>1</v>
      </c>
      <c r="CD1065" s="5">
        <f t="shared" si="929"/>
        <v>0</v>
      </c>
      <c r="CE1065" s="5">
        <f t="shared" si="929"/>
        <v>0</v>
      </c>
    </row>
    <row r="1066" spans="1:83" x14ac:dyDescent="0.2">
      <c r="A1066" s="11"/>
      <c r="B1066" s="11"/>
      <c r="C1066" s="1">
        <f>Growth!D1071</f>
        <v>2.564102564102564E-2</v>
      </c>
      <c r="D1066" s="5" t="b">
        <f t="shared" si="907"/>
        <v>0</v>
      </c>
      <c r="E1066" s="5">
        <v>2013</v>
      </c>
      <c r="F1066" s="5">
        <f ca="1">LOOKUP($E1066,frequence!$A$2:$A$35,frequence!L$2:L$35)</f>
        <v>46.610663652887361</v>
      </c>
      <c r="G1066" s="5">
        <f ca="1">LOOKUP($E1066,frequence!$A$2:$A$35,frequence!K$2:K$35)</f>
        <v>7.3617115683267258</v>
      </c>
      <c r="H1066" s="5">
        <f ca="1">LOOKUP($E1066,frequence!$A$2:$A$35,frequence!M$2:M$35)</f>
        <v>214.81113443396845</v>
      </c>
      <c r="I1066" s="16">
        <v>2005</v>
      </c>
      <c r="J1066" s="7">
        <f>LOOKUP(I1066,CPI!A$69:A$103,CPI!O$69:O$103)</f>
        <v>1.1165181771633383</v>
      </c>
      <c r="K1066" s="16">
        <v>2005</v>
      </c>
      <c r="L1066" s="7">
        <f t="shared" ca="1" si="900"/>
        <v>0.28946348871005423</v>
      </c>
      <c r="M1066" s="7">
        <f t="shared" si="888"/>
        <v>0.16153846153846152</v>
      </c>
      <c r="N1066" s="14">
        <f t="shared" si="922"/>
        <v>2.564102564102564E-2</v>
      </c>
      <c r="O1066" s="1">
        <f ca="1">P1066*J1066*(1+Growth!G$6)^(2010-K1066)</f>
        <v>5736.8514672444171</v>
      </c>
      <c r="P1066" s="22">
        <f>1300*44/12</f>
        <v>4766.666666666667</v>
      </c>
      <c r="Q1066" s="2">
        <f t="shared" ref="Q1066:Q1082" si="930">P1066</f>
        <v>4766.666666666667</v>
      </c>
      <c r="R1066" s="21">
        <f t="shared" ref="R1066:R1091" ca="1" si="931">O1066*O1066</f>
        <v>32911464.757224422</v>
      </c>
      <c r="U1066" s="11"/>
      <c r="V1066" s="11"/>
      <c r="W1066" s="11"/>
      <c r="X1066" s="11"/>
      <c r="Y1066" s="11"/>
      <c r="Z1066" s="11"/>
      <c r="AA1066" s="11"/>
      <c r="AB1066" s="11"/>
      <c r="AC1066" s="1">
        <f t="shared" si="918"/>
        <v>6.3</v>
      </c>
      <c r="AD1066" s="5">
        <v>1</v>
      </c>
      <c r="AE1066" s="5">
        <v>0</v>
      </c>
      <c r="AF1066" s="5">
        <v>1</v>
      </c>
      <c r="AG1066" s="5">
        <v>0</v>
      </c>
      <c r="AH1066" s="5">
        <v>1</v>
      </c>
      <c r="AI1066" s="3">
        <f t="shared" si="919"/>
        <v>3.3</v>
      </c>
      <c r="AJ1066" s="5">
        <f t="shared" si="913"/>
        <v>0</v>
      </c>
      <c r="AK1066" s="5">
        <f t="shared" si="901"/>
        <v>0</v>
      </c>
      <c r="AL1066" s="5">
        <f t="shared" si="902"/>
        <v>0</v>
      </c>
      <c r="AM1066" s="5">
        <f t="shared" si="920"/>
        <v>0</v>
      </c>
      <c r="AN1066" s="5">
        <f t="shared" si="903"/>
        <v>0</v>
      </c>
      <c r="AO1066" s="5">
        <f t="shared" si="921"/>
        <v>1</v>
      </c>
      <c r="AP1066" s="11" t="s">
        <v>42</v>
      </c>
      <c r="AQ1066" s="11">
        <v>0</v>
      </c>
      <c r="AR1066" s="5">
        <v>0</v>
      </c>
      <c r="AS1066" s="5">
        <v>0</v>
      </c>
      <c r="AT1066" s="5">
        <v>1</v>
      </c>
      <c r="AU1066" s="5">
        <v>0</v>
      </c>
      <c r="AV1066" s="5">
        <v>0</v>
      </c>
      <c r="AW1066" s="5">
        <v>0</v>
      </c>
      <c r="AX1066" s="5">
        <v>1</v>
      </c>
      <c r="AY1066" s="1">
        <f t="shared" si="914"/>
        <v>0</v>
      </c>
      <c r="AZ1066" s="1">
        <f t="shared" si="915"/>
        <v>0</v>
      </c>
      <c r="BA1066" s="1">
        <f t="shared" si="916"/>
        <v>1</v>
      </c>
      <c r="BB1066" s="5">
        <v>0</v>
      </c>
      <c r="BC1066" s="5">
        <v>0</v>
      </c>
      <c r="BD1066" s="5">
        <v>0</v>
      </c>
      <c r="BE1066" s="5">
        <f t="shared" si="917"/>
        <v>1</v>
      </c>
      <c r="BF1066" s="5">
        <v>0</v>
      </c>
      <c r="BG1066" s="5">
        <f t="shared" si="928"/>
        <v>0</v>
      </c>
      <c r="BH1066" s="5">
        <f t="shared" si="928"/>
        <v>0</v>
      </c>
      <c r="BI1066" s="5">
        <f t="shared" si="928"/>
        <v>0</v>
      </c>
      <c r="BJ1066" s="5">
        <f t="shared" si="928"/>
        <v>0</v>
      </c>
      <c r="BK1066" s="5">
        <f t="shared" si="928"/>
        <v>0</v>
      </c>
      <c r="BL1066" s="5">
        <f t="shared" si="928"/>
        <v>0</v>
      </c>
      <c r="BM1066" s="5">
        <f t="shared" si="928"/>
        <v>0</v>
      </c>
      <c r="BN1066" s="5">
        <f t="shared" si="927"/>
        <v>0</v>
      </c>
      <c r="BO1066" s="5">
        <f t="shared" si="927"/>
        <v>0</v>
      </c>
      <c r="BP1066" s="5">
        <f t="shared" si="927"/>
        <v>0</v>
      </c>
      <c r="BQ1066" s="5">
        <f t="shared" si="927"/>
        <v>0</v>
      </c>
      <c r="BR1066" s="5">
        <f t="shared" si="927"/>
        <v>0</v>
      </c>
      <c r="BS1066" s="5">
        <f t="shared" si="927"/>
        <v>0</v>
      </c>
      <c r="BT1066" s="5">
        <f t="shared" si="927"/>
        <v>0</v>
      </c>
      <c r="BU1066" s="5">
        <f t="shared" si="927"/>
        <v>0</v>
      </c>
      <c r="BV1066" s="5">
        <f t="shared" si="927"/>
        <v>0</v>
      </c>
      <c r="BW1066" s="5">
        <f t="shared" si="927"/>
        <v>0</v>
      </c>
      <c r="BX1066" s="5">
        <f t="shared" si="927"/>
        <v>0</v>
      </c>
      <c r="BY1066" s="5">
        <f t="shared" si="927"/>
        <v>0</v>
      </c>
      <c r="BZ1066" s="5">
        <f t="shared" si="927"/>
        <v>0</v>
      </c>
      <c r="CA1066" s="5">
        <f t="shared" si="927"/>
        <v>0</v>
      </c>
      <c r="CB1066" s="5">
        <f t="shared" si="927"/>
        <v>0</v>
      </c>
      <c r="CC1066" s="5">
        <f t="shared" si="929"/>
        <v>1</v>
      </c>
      <c r="CD1066" s="5">
        <f t="shared" si="929"/>
        <v>0</v>
      </c>
      <c r="CE1066" s="5">
        <f t="shared" si="929"/>
        <v>0</v>
      </c>
    </row>
    <row r="1067" spans="1:83" x14ac:dyDescent="0.2">
      <c r="A1067" s="11"/>
      <c r="B1067" s="11"/>
      <c r="C1067" s="1">
        <f>Growth!D1072</f>
        <v>2.564102564102564E-2</v>
      </c>
      <c r="D1067" s="5" t="b">
        <f t="shared" si="907"/>
        <v>0</v>
      </c>
      <c r="E1067" s="5">
        <v>2013</v>
      </c>
      <c r="F1067" s="5">
        <f ca="1">LOOKUP($E1067,frequence!$A$2:$A$35,frequence!L$2:L$35)</f>
        <v>46.610663652887361</v>
      </c>
      <c r="G1067" s="5">
        <f ca="1">LOOKUP($E1067,frequence!$A$2:$A$35,frequence!K$2:K$35)</f>
        <v>7.3617115683267258</v>
      </c>
      <c r="H1067" s="5">
        <f ca="1">LOOKUP($E1067,frequence!$A$2:$A$35,frequence!M$2:M$35)</f>
        <v>214.81113443396845</v>
      </c>
      <c r="I1067" s="16">
        <v>2005</v>
      </c>
      <c r="J1067" s="7">
        <f>LOOKUP(I1067,CPI!A$69:A$103,CPI!O$69:O$103)</f>
        <v>1.1165181771633383</v>
      </c>
      <c r="K1067" s="16">
        <v>2005</v>
      </c>
      <c r="L1067" s="7">
        <f t="shared" ca="1" si="900"/>
        <v>1</v>
      </c>
      <c r="M1067" s="7">
        <f t="shared" si="888"/>
        <v>0.16153846153846152</v>
      </c>
      <c r="N1067" s="14">
        <f t="shared" si="922"/>
        <v>2.564102564102564E-2</v>
      </c>
      <c r="O1067" s="1">
        <f ca="1">P1067*J1067*(1+Growth!G$6)^(2010-K1067)</f>
        <v>750.20365340888532</v>
      </c>
      <c r="P1067" s="22">
        <f>170*44/12</f>
        <v>623.33333333333337</v>
      </c>
      <c r="Q1067" s="2">
        <f t="shared" si="930"/>
        <v>623.33333333333337</v>
      </c>
      <c r="R1067" s="21">
        <f t="shared" ca="1" si="931"/>
        <v>562805.52158803889</v>
      </c>
      <c r="U1067" s="11"/>
      <c r="V1067" s="11"/>
      <c r="W1067" s="11"/>
      <c r="X1067" s="11"/>
      <c r="Y1067" s="11"/>
      <c r="Z1067" s="11"/>
      <c r="AA1067" s="11"/>
      <c r="AB1067" s="11"/>
      <c r="AC1067" s="1">
        <f t="shared" si="918"/>
        <v>6.3</v>
      </c>
      <c r="AD1067" s="5">
        <v>1</v>
      </c>
      <c r="AE1067" s="5">
        <v>0</v>
      </c>
      <c r="AF1067" s="5">
        <v>1</v>
      </c>
      <c r="AG1067" s="5">
        <v>0</v>
      </c>
      <c r="AH1067" s="5">
        <v>1</v>
      </c>
      <c r="AI1067" s="3">
        <f t="shared" si="919"/>
        <v>3.3</v>
      </c>
      <c r="AJ1067" s="5">
        <f t="shared" si="913"/>
        <v>0</v>
      </c>
      <c r="AK1067" s="5">
        <f t="shared" si="901"/>
        <v>0</v>
      </c>
      <c r="AL1067" s="5">
        <f t="shared" si="902"/>
        <v>0</v>
      </c>
      <c r="AM1067" s="5">
        <f t="shared" si="920"/>
        <v>1</v>
      </c>
      <c r="AN1067" s="5">
        <f t="shared" si="903"/>
        <v>0</v>
      </c>
      <c r="AO1067" s="5">
        <f t="shared" si="921"/>
        <v>0</v>
      </c>
      <c r="AP1067" s="11" t="s">
        <v>42</v>
      </c>
      <c r="AQ1067" s="11">
        <v>1</v>
      </c>
      <c r="AR1067" s="5">
        <v>0</v>
      </c>
      <c r="AS1067" s="5">
        <v>0</v>
      </c>
      <c r="AT1067" s="5">
        <v>1</v>
      </c>
      <c r="AU1067" s="5">
        <v>0</v>
      </c>
      <c r="AV1067" s="5">
        <v>0</v>
      </c>
      <c r="AW1067" s="5">
        <v>0</v>
      </c>
      <c r="AX1067" s="5">
        <v>1</v>
      </c>
      <c r="AY1067" s="1">
        <f t="shared" si="914"/>
        <v>0</v>
      </c>
      <c r="AZ1067" s="1">
        <f t="shared" si="915"/>
        <v>1</v>
      </c>
      <c r="BA1067" s="1">
        <f t="shared" si="916"/>
        <v>0</v>
      </c>
      <c r="BB1067" s="5">
        <v>0</v>
      </c>
      <c r="BC1067" s="5">
        <v>0</v>
      </c>
      <c r="BD1067" s="5">
        <v>0</v>
      </c>
      <c r="BE1067" s="5">
        <f t="shared" si="917"/>
        <v>1</v>
      </c>
      <c r="BF1067" s="5">
        <v>0</v>
      </c>
      <c r="BG1067" s="5">
        <f t="shared" si="928"/>
        <v>0</v>
      </c>
      <c r="BH1067" s="5">
        <f t="shared" si="928"/>
        <v>0</v>
      </c>
      <c r="BI1067" s="5">
        <f t="shared" si="928"/>
        <v>0</v>
      </c>
      <c r="BJ1067" s="5">
        <f t="shared" si="928"/>
        <v>0</v>
      </c>
      <c r="BK1067" s="5">
        <f t="shared" si="928"/>
        <v>0</v>
      </c>
      <c r="BL1067" s="5">
        <f t="shared" si="928"/>
        <v>0</v>
      </c>
      <c r="BM1067" s="5">
        <f t="shared" si="928"/>
        <v>0</v>
      </c>
      <c r="BN1067" s="5">
        <f t="shared" si="927"/>
        <v>0</v>
      </c>
      <c r="BO1067" s="5">
        <f t="shared" si="927"/>
        <v>0</v>
      </c>
      <c r="BP1067" s="5">
        <f t="shared" si="927"/>
        <v>0</v>
      </c>
      <c r="BQ1067" s="5">
        <f t="shared" si="927"/>
        <v>0</v>
      </c>
      <c r="BR1067" s="5">
        <f t="shared" si="927"/>
        <v>0</v>
      </c>
      <c r="BS1067" s="5">
        <f t="shared" si="927"/>
        <v>0</v>
      </c>
      <c r="BT1067" s="5">
        <f t="shared" si="927"/>
        <v>0</v>
      </c>
      <c r="BU1067" s="5">
        <f t="shared" si="927"/>
        <v>0</v>
      </c>
      <c r="BV1067" s="5">
        <f t="shared" si="927"/>
        <v>0</v>
      </c>
      <c r="BW1067" s="5">
        <f t="shared" si="927"/>
        <v>0</v>
      </c>
      <c r="BX1067" s="5">
        <f t="shared" si="927"/>
        <v>0</v>
      </c>
      <c r="BY1067" s="5">
        <f t="shared" si="927"/>
        <v>0</v>
      </c>
      <c r="BZ1067" s="5">
        <f t="shared" si="927"/>
        <v>0</v>
      </c>
      <c r="CA1067" s="5">
        <f t="shared" si="927"/>
        <v>0</v>
      </c>
      <c r="CB1067" s="5">
        <f t="shared" si="927"/>
        <v>0</v>
      </c>
      <c r="CC1067" s="5">
        <f t="shared" si="929"/>
        <v>1</v>
      </c>
      <c r="CD1067" s="5">
        <f t="shared" si="929"/>
        <v>0</v>
      </c>
      <c r="CE1067" s="5">
        <f t="shared" si="929"/>
        <v>0</v>
      </c>
    </row>
    <row r="1068" spans="1:83" x14ac:dyDescent="0.2">
      <c r="A1068" s="11"/>
      <c r="B1068" s="11"/>
      <c r="C1068" s="1">
        <f>Growth!D1073</f>
        <v>2.564102564102564E-2</v>
      </c>
      <c r="D1068" s="5" t="b">
        <f t="shared" si="907"/>
        <v>0</v>
      </c>
      <c r="E1068" s="5">
        <v>2013</v>
      </c>
      <c r="F1068" s="5">
        <f ca="1">LOOKUP($E1068,frequence!$A$2:$A$35,frequence!L$2:L$35)</f>
        <v>46.610663652887361</v>
      </c>
      <c r="G1068" s="5">
        <f ca="1">LOOKUP($E1068,frequence!$A$2:$A$35,frequence!K$2:K$35)</f>
        <v>7.3617115683267258</v>
      </c>
      <c r="H1068" s="5">
        <f ca="1">LOOKUP($E1068,frequence!$A$2:$A$35,frequence!M$2:M$35)</f>
        <v>214.81113443396845</v>
      </c>
      <c r="I1068" s="16">
        <v>2005</v>
      </c>
      <c r="J1068" s="7">
        <f>LOOKUP(I1068,CPI!A$69:A$103,CPI!O$69:O$103)</f>
        <v>1.1165181771633383</v>
      </c>
      <c r="K1068" s="16">
        <v>2005</v>
      </c>
      <c r="L1068" s="7">
        <f t="shared" ca="1" si="900"/>
        <v>1</v>
      </c>
      <c r="M1068" s="7">
        <f t="shared" si="888"/>
        <v>0.16153846153846152</v>
      </c>
      <c r="N1068" s="14">
        <f t="shared" si="922"/>
        <v>2.564102564102564E-2</v>
      </c>
      <c r="O1068" s="1">
        <f ca="1">P1068*J1068*(1+Growth!G$6)^(2010-K1068)</f>
        <v>92.672216009332885</v>
      </c>
      <c r="P1068" s="22">
        <f>21*44/12</f>
        <v>77</v>
      </c>
      <c r="Q1068" s="2">
        <f t="shared" si="930"/>
        <v>77</v>
      </c>
      <c r="R1068" s="21">
        <f t="shared" ca="1" si="931"/>
        <v>8588.1396200804538</v>
      </c>
      <c r="U1068" s="11"/>
      <c r="V1068" s="11"/>
      <c r="W1068" s="11"/>
      <c r="X1068" s="11"/>
      <c r="Y1068" s="11"/>
      <c r="Z1068" s="11"/>
      <c r="AA1068" s="11"/>
      <c r="AB1068" s="11"/>
      <c r="AC1068" s="1">
        <f t="shared" si="918"/>
        <v>6.3</v>
      </c>
      <c r="AD1068" s="5">
        <v>1</v>
      </c>
      <c r="AE1068" s="5">
        <v>0</v>
      </c>
      <c r="AF1068" s="5">
        <v>1</v>
      </c>
      <c r="AG1068" s="5">
        <v>0</v>
      </c>
      <c r="AH1068" s="5">
        <v>1</v>
      </c>
      <c r="AI1068" s="3">
        <f t="shared" si="919"/>
        <v>3.3</v>
      </c>
      <c r="AJ1068" s="5">
        <f t="shared" si="913"/>
        <v>0</v>
      </c>
      <c r="AK1068" s="5">
        <f t="shared" si="901"/>
        <v>1</v>
      </c>
      <c r="AL1068" s="5">
        <f t="shared" si="902"/>
        <v>0</v>
      </c>
      <c r="AM1068" s="5">
        <f t="shared" si="920"/>
        <v>0</v>
      </c>
      <c r="AN1068" s="5">
        <f t="shared" si="903"/>
        <v>0</v>
      </c>
      <c r="AO1068" s="5">
        <f t="shared" si="921"/>
        <v>0</v>
      </c>
      <c r="AP1068" s="11" t="s">
        <v>42</v>
      </c>
      <c r="AQ1068" s="11">
        <v>2</v>
      </c>
      <c r="AR1068" s="5">
        <v>0</v>
      </c>
      <c r="AS1068" s="5">
        <v>0</v>
      </c>
      <c r="AT1068" s="5">
        <v>1</v>
      </c>
      <c r="AU1068" s="5">
        <v>0</v>
      </c>
      <c r="AV1068" s="5">
        <v>0</v>
      </c>
      <c r="AW1068" s="5">
        <v>0</v>
      </c>
      <c r="AX1068" s="5">
        <v>1</v>
      </c>
      <c r="AY1068" s="1">
        <f t="shared" si="914"/>
        <v>0</v>
      </c>
      <c r="AZ1068" s="1">
        <f t="shared" si="915"/>
        <v>0</v>
      </c>
      <c r="BA1068" s="1">
        <f t="shared" si="916"/>
        <v>0</v>
      </c>
      <c r="BB1068" s="5">
        <v>0</v>
      </c>
      <c r="BC1068" s="5">
        <v>0</v>
      </c>
      <c r="BD1068" s="5">
        <v>0</v>
      </c>
      <c r="BE1068" s="5">
        <f t="shared" si="917"/>
        <v>1</v>
      </c>
      <c r="BF1068" s="5">
        <v>0</v>
      </c>
      <c r="BG1068" s="5">
        <f t="shared" si="928"/>
        <v>0</v>
      </c>
      <c r="BH1068" s="5">
        <f t="shared" si="928"/>
        <v>0</v>
      </c>
      <c r="BI1068" s="5">
        <f t="shared" si="928"/>
        <v>0</v>
      </c>
      <c r="BJ1068" s="5">
        <f t="shared" si="928"/>
        <v>0</v>
      </c>
      <c r="BK1068" s="5">
        <f t="shared" si="928"/>
        <v>0</v>
      </c>
      <c r="BL1068" s="5">
        <f t="shared" si="928"/>
        <v>0</v>
      </c>
      <c r="BM1068" s="5">
        <f t="shared" si="928"/>
        <v>0</v>
      </c>
      <c r="BN1068" s="5">
        <f t="shared" si="927"/>
        <v>0</v>
      </c>
      <c r="BO1068" s="5">
        <f t="shared" si="927"/>
        <v>0</v>
      </c>
      <c r="BP1068" s="5">
        <f t="shared" si="927"/>
        <v>0</v>
      </c>
      <c r="BQ1068" s="5">
        <f t="shared" si="927"/>
        <v>0</v>
      </c>
      <c r="BR1068" s="5">
        <f t="shared" si="927"/>
        <v>0</v>
      </c>
      <c r="BS1068" s="5">
        <f t="shared" si="927"/>
        <v>0</v>
      </c>
      <c r="BT1068" s="5">
        <f t="shared" si="927"/>
        <v>0</v>
      </c>
      <c r="BU1068" s="5">
        <f t="shared" si="927"/>
        <v>0</v>
      </c>
      <c r="BV1068" s="5">
        <f t="shared" si="927"/>
        <v>0</v>
      </c>
      <c r="BW1068" s="5">
        <f t="shared" si="927"/>
        <v>0</v>
      </c>
      <c r="BX1068" s="5">
        <f t="shared" si="927"/>
        <v>0</v>
      </c>
      <c r="BY1068" s="5">
        <f t="shared" si="927"/>
        <v>0</v>
      </c>
      <c r="BZ1068" s="5">
        <f t="shared" si="927"/>
        <v>0</v>
      </c>
      <c r="CA1068" s="5">
        <f t="shared" si="927"/>
        <v>0</v>
      </c>
      <c r="CB1068" s="5">
        <f t="shared" si="927"/>
        <v>0</v>
      </c>
      <c r="CC1068" s="5">
        <f t="shared" si="929"/>
        <v>1</v>
      </c>
      <c r="CD1068" s="5">
        <f t="shared" si="929"/>
        <v>0</v>
      </c>
      <c r="CE1068" s="5">
        <f t="shared" si="929"/>
        <v>0</v>
      </c>
    </row>
    <row r="1069" spans="1:83" x14ac:dyDescent="0.2">
      <c r="A1069" s="11"/>
      <c r="B1069" s="11"/>
      <c r="C1069" s="1">
        <f>Growth!D1074</f>
        <v>2.564102564102564E-2</v>
      </c>
      <c r="D1069" s="5" t="b">
        <f t="shared" si="907"/>
        <v>0</v>
      </c>
      <c r="E1069" s="5">
        <v>2013</v>
      </c>
      <c r="F1069" s="5">
        <f ca="1">LOOKUP($E1069,frequence!$A$2:$A$35,frequence!L$2:L$35)</f>
        <v>46.610663652887361</v>
      </c>
      <c r="G1069" s="5">
        <f ca="1">LOOKUP($E1069,frequence!$A$2:$A$35,frequence!K$2:K$35)</f>
        <v>7.3617115683267258</v>
      </c>
      <c r="H1069" s="5">
        <f ca="1">LOOKUP($E1069,frequence!$A$2:$A$35,frequence!M$2:M$35)</f>
        <v>214.81113443396845</v>
      </c>
      <c r="I1069" s="16">
        <v>2005</v>
      </c>
      <c r="J1069" s="7">
        <f>LOOKUP(I1069,CPI!A$69:A$103,CPI!O$69:O$103)</f>
        <v>1.1165181771633383</v>
      </c>
      <c r="K1069" s="16">
        <v>2005</v>
      </c>
      <c r="L1069" s="7">
        <f t="shared" ca="1" si="900"/>
        <v>1</v>
      </c>
      <c r="M1069" s="7">
        <f t="shared" si="888"/>
        <v>0.16153846153846152</v>
      </c>
      <c r="N1069" s="14">
        <f t="shared" si="922"/>
        <v>2.564102564102564E-2</v>
      </c>
      <c r="O1069" s="1">
        <f ca="1">P1069*J1069*(1+Growth!G$6)^(2010-K1069)</f>
        <v>33.538516270044276</v>
      </c>
      <c r="P1069" s="22">
        <f>7.6*44/12</f>
        <v>27.866666666666664</v>
      </c>
      <c r="Q1069" s="2">
        <f t="shared" si="930"/>
        <v>27.866666666666664</v>
      </c>
      <c r="R1069" s="21">
        <f t="shared" ca="1" si="931"/>
        <v>1124.8320735960247</v>
      </c>
      <c r="U1069" s="11"/>
      <c r="V1069" s="11"/>
      <c r="W1069" s="11"/>
      <c r="X1069" s="11"/>
      <c r="Y1069" s="11"/>
      <c r="Z1069" s="11"/>
      <c r="AA1069" s="11"/>
      <c r="AB1069" s="11"/>
      <c r="AC1069" s="1">
        <f t="shared" si="918"/>
        <v>6.3</v>
      </c>
      <c r="AD1069" s="5">
        <v>1</v>
      </c>
      <c r="AE1069" s="5">
        <v>0</v>
      </c>
      <c r="AF1069" s="5">
        <v>1</v>
      </c>
      <c r="AG1069" s="5">
        <v>0</v>
      </c>
      <c r="AH1069" s="5">
        <v>1</v>
      </c>
      <c r="AI1069" s="3">
        <f t="shared" si="919"/>
        <v>3.3</v>
      </c>
      <c r="AJ1069" s="5">
        <f t="shared" si="913"/>
        <v>1</v>
      </c>
      <c r="AK1069" s="5">
        <f t="shared" si="901"/>
        <v>0</v>
      </c>
      <c r="AL1069" s="5">
        <f t="shared" si="902"/>
        <v>0</v>
      </c>
      <c r="AM1069" s="5">
        <f t="shared" si="920"/>
        <v>0</v>
      </c>
      <c r="AN1069" s="5">
        <f t="shared" si="903"/>
        <v>0</v>
      </c>
      <c r="AO1069" s="5">
        <f t="shared" si="921"/>
        <v>0</v>
      </c>
      <c r="AP1069" s="11" t="s">
        <v>42</v>
      </c>
      <c r="AQ1069" s="11">
        <v>3</v>
      </c>
      <c r="AR1069" s="5">
        <v>0</v>
      </c>
      <c r="AS1069" s="5">
        <v>0</v>
      </c>
      <c r="AT1069" s="5">
        <v>1</v>
      </c>
      <c r="AU1069" s="5">
        <v>0</v>
      </c>
      <c r="AV1069" s="5">
        <v>0</v>
      </c>
      <c r="AW1069" s="5">
        <v>0</v>
      </c>
      <c r="AX1069" s="5">
        <v>1</v>
      </c>
      <c r="AY1069" s="1">
        <f t="shared" si="914"/>
        <v>1</v>
      </c>
      <c r="AZ1069" s="1">
        <f t="shared" si="915"/>
        <v>0</v>
      </c>
      <c r="BA1069" s="1">
        <f t="shared" si="916"/>
        <v>0</v>
      </c>
      <c r="BB1069" s="5">
        <v>0</v>
      </c>
      <c r="BC1069" s="5">
        <v>0</v>
      </c>
      <c r="BD1069" s="5">
        <v>0</v>
      </c>
      <c r="BE1069" s="5">
        <f t="shared" si="917"/>
        <v>1</v>
      </c>
      <c r="BF1069" s="5">
        <v>0</v>
      </c>
      <c r="BG1069" s="5">
        <f t="shared" si="928"/>
        <v>0</v>
      </c>
      <c r="BH1069" s="5">
        <f t="shared" si="928"/>
        <v>0</v>
      </c>
      <c r="BI1069" s="5">
        <f t="shared" si="928"/>
        <v>0</v>
      </c>
      <c r="BJ1069" s="5">
        <f t="shared" si="928"/>
        <v>0</v>
      </c>
      <c r="BK1069" s="5">
        <f t="shared" si="928"/>
        <v>0</v>
      </c>
      <c r="BL1069" s="5">
        <f t="shared" si="928"/>
        <v>0</v>
      </c>
      <c r="BM1069" s="5">
        <f t="shared" si="928"/>
        <v>0</v>
      </c>
      <c r="BN1069" s="5">
        <f t="shared" si="927"/>
        <v>0</v>
      </c>
      <c r="BO1069" s="5">
        <f t="shared" si="927"/>
        <v>0</v>
      </c>
      <c r="BP1069" s="5">
        <f t="shared" si="927"/>
        <v>0</v>
      </c>
      <c r="BQ1069" s="5">
        <f t="shared" si="927"/>
        <v>0</v>
      </c>
      <c r="BR1069" s="5">
        <f t="shared" si="927"/>
        <v>0</v>
      </c>
      <c r="BS1069" s="5">
        <f t="shared" si="927"/>
        <v>0</v>
      </c>
      <c r="BT1069" s="5">
        <f t="shared" si="927"/>
        <v>0</v>
      </c>
      <c r="BU1069" s="5">
        <f t="shared" si="927"/>
        <v>0</v>
      </c>
      <c r="BV1069" s="5">
        <f t="shared" si="927"/>
        <v>0</v>
      </c>
      <c r="BW1069" s="5">
        <f t="shared" si="927"/>
        <v>0</v>
      </c>
      <c r="BX1069" s="5">
        <f t="shared" si="927"/>
        <v>0</v>
      </c>
      <c r="BY1069" s="5">
        <f t="shared" si="927"/>
        <v>0</v>
      </c>
      <c r="BZ1069" s="5">
        <f t="shared" si="927"/>
        <v>0</v>
      </c>
      <c r="CA1069" s="5">
        <f t="shared" si="927"/>
        <v>0</v>
      </c>
      <c r="CB1069" s="5">
        <f t="shared" si="927"/>
        <v>0</v>
      </c>
      <c r="CC1069" s="5">
        <f t="shared" si="929"/>
        <v>1</v>
      </c>
      <c r="CD1069" s="5">
        <f t="shared" si="929"/>
        <v>0</v>
      </c>
      <c r="CE1069" s="5">
        <f t="shared" si="929"/>
        <v>0</v>
      </c>
    </row>
    <row r="1070" spans="1:83" x14ac:dyDescent="0.2">
      <c r="A1070" s="11"/>
      <c r="B1070" s="11"/>
      <c r="C1070" s="1">
        <f>Growth!D1075</f>
        <v>2.564102564102564E-2</v>
      </c>
      <c r="D1070" s="5" t="b">
        <f t="shared" si="907"/>
        <v>0</v>
      </c>
      <c r="E1070" s="5">
        <v>2013</v>
      </c>
      <c r="F1070" s="5">
        <f ca="1">LOOKUP($E1070,frequence!$A$2:$A$35,frequence!L$2:L$35)</f>
        <v>46.610663652887361</v>
      </c>
      <c r="G1070" s="5">
        <f ca="1">LOOKUP($E1070,frequence!$A$2:$A$35,frequence!K$2:K$35)</f>
        <v>7.3617115683267258</v>
      </c>
      <c r="H1070" s="5">
        <f ca="1">LOOKUP($E1070,frequence!$A$2:$A$35,frequence!M$2:M$35)</f>
        <v>214.81113443396845</v>
      </c>
      <c r="I1070" s="16">
        <v>2005</v>
      </c>
      <c r="J1070" s="7">
        <f>LOOKUP(I1070,CPI!A$69:A$103,CPI!O$69:O$103)</f>
        <v>1.1165181771633383</v>
      </c>
      <c r="K1070" s="16">
        <v>2005</v>
      </c>
      <c r="L1070" s="7">
        <f t="shared" ca="1" si="900"/>
        <v>1</v>
      </c>
      <c r="M1070" s="7">
        <f t="shared" si="888"/>
        <v>0.16153846153846152</v>
      </c>
      <c r="N1070" s="14">
        <f t="shared" si="922"/>
        <v>2.564102564102564E-2</v>
      </c>
      <c r="O1070" s="1">
        <f ca="1">P1070*J1070*(1+Growth!G$6)^(2010-K1070)</f>
        <v>485.42589338221984</v>
      </c>
      <c r="P1070" s="22">
        <f>110*44/12</f>
        <v>403.33333333333331</v>
      </c>
      <c r="Q1070" s="2">
        <f t="shared" si="930"/>
        <v>403.33333333333331</v>
      </c>
      <c r="R1070" s="21">
        <f t="shared" ca="1" si="931"/>
        <v>235638.29796592626</v>
      </c>
      <c r="U1070" s="11"/>
      <c r="V1070" s="11"/>
      <c r="W1070" s="11"/>
      <c r="X1070" s="11"/>
      <c r="Y1070" s="11"/>
      <c r="Z1070" s="11"/>
      <c r="AA1070" s="11"/>
      <c r="AB1070" s="11"/>
      <c r="AC1070" s="1">
        <f t="shared" si="918"/>
        <v>6.3</v>
      </c>
      <c r="AD1070" s="5">
        <v>1</v>
      </c>
      <c r="AE1070" s="5">
        <v>0</v>
      </c>
      <c r="AF1070" s="5">
        <v>1</v>
      </c>
      <c r="AG1070" s="5">
        <v>0</v>
      </c>
      <c r="AH1070" s="5">
        <v>1</v>
      </c>
      <c r="AI1070" s="3">
        <f t="shared" si="919"/>
        <v>3.3</v>
      </c>
      <c r="AJ1070" s="5">
        <f t="shared" si="913"/>
        <v>0</v>
      </c>
      <c r="AK1070" s="5">
        <f t="shared" si="901"/>
        <v>0</v>
      </c>
      <c r="AL1070" s="5">
        <f t="shared" si="902"/>
        <v>0</v>
      </c>
      <c r="AM1070" s="5">
        <f t="shared" si="920"/>
        <v>0</v>
      </c>
      <c r="AN1070" s="5">
        <f t="shared" si="903"/>
        <v>0</v>
      </c>
      <c r="AO1070" s="5">
        <f t="shared" si="921"/>
        <v>1</v>
      </c>
      <c r="AP1070" s="11" t="s">
        <v>42</v>
      </c>
      <c r="AQ1070" s="11">
        <v>0</v>
      </c>
      <c r="AR1070" s="5">
        <v>0</v>
      </c>
      <c r="AS1070" s="5">
        <v>0</v>
      </c>
      <c r="AT1070" s="5">
        <v>1</v>
      </c>
      <c r="AU1070" s="5">
        <v>0</v>
      </c>
      <c r="AV1070" s="5">
        <v>0</v>
      </c>
      <c r="AW1070" s="5">
        <v>0</v>
      </c>
      <c r="AX1070" s="5">
        <v>1</v>
      </c>
      <c r="AY1070" s="1">
        <f t="shared" si="914"/>
        <v>0</v>
      </c>
      <c r="AZ1070" s="1">
        <f t="shared" si="915"/>
        <v>0</v>
      </c>
      <c r="BA1070" s="1">
        <f t="shared" si="916"/>
        <v>1</v>
      </c>
      <c r="BB1070" s="5">
        <v>0</v>
      </c>
      <c r="BC1070" s="5">
        <v>0</v>
      </c>
      <c r="BD1070" s="5">
        <v>0</v>
      </c>
      <c r="BE1070" s="5">
        <f t="shared" si="917"/>
        <v>1</v>
      </c>
      <c r="BF1070" s="5">
        <v>0</v>
      </c>
      <c r="BG1070" s="5">
        <f t="shared" si="928"/>
        <v>0</v>
      </c>
      <c r="BH1070" s="5">
        <f t="shared" si="928"/>
        <v>0</v>
      </c>
      <c r="BI1070" s="5">
        <f t="shared" si="928"/>
        <v>0</v>
      </c>
      <c r="BJ1070" s="5">
        <f t="shared" si="928"/>
        <v>0</v>
      </c>
      <c r="BK1070" s="5">
        <f t="shared" si="928"/>
        <v>0</v>
      </c>
      <c r="BL1070" s="5">
        <f t="shared" si="928"/>
        <v>0</v>
      </c>
      <c r="BM1070" s="5">
        <f t="shared" si="928"/>
        <v>0</v>
      </c>
      <c r="BN1070" s="5">
        <f t="shared" si="927"/>
        <v>0</v>
      </c>
      <c r="BO1070" s="5">
        <f t="shared" si="927"/>
        <v>0</v>
      </c>
      <c r="BP1070" s="5">
        <f t="shared" si="927"/>
        <v>0</v>
      </c>
      <c r="BQ1070" s="5">
        <f t="shared" si="927"/>
        <v>0</v>
      </c>
      <c r="BR1070" s="5">
        <f t="shared" si="927"/>
        <v>0</v>
      </c>
      <c r="BS1070" s="5">
        <f t="shared" si="927"/>
        <v>0</v>
      </c>
      <c r="BT1070" s="5">
        <f t="shared" si="927"/>
        <v>0</v>
      </c>
      <c r="BU1070" s="5">
        <f t="shared" si="927"/>
        <v>0</v>
      </c>
      <c r="BV1070" s="5">
        <f t="shared" si="927"/>
        <v>0</v>
      </c>
      <c r="BW1070" s="5">
        <f t="shared" si="927"/>
        <v>0</v>
      </c>
      <c r="BX1070" s="5">
        <f t="shared" si="927"/>
        <v>0</v>
      </c>
      <c r="BY1070" s="5">
        <f t="shared" si="927"/>
        <v>0</v>
      </c>
      <c r="BZ1070" s="5">
        <f t="shared" si="927"/>
        <v>0</v>
      </c>
      <c r="CA1070" s="5">
        <f t="shared" si="927"/>
        <v>0</v>
      </c>
      <c r="CB1070" s="5">
        <f t="shared" si="927"/>
        <v>0</v>
      </c>
      <c r="CC1070" s="5">
        <f t="shared" si="929"/>
        <v>1</v>
      </c>
      <c r="CD1070" s="5">
        <f t="shared" si="929"/>
        <v>0</v>
      </c>
      <c r="CE1070" s="5">
        <f t="shared" si="929"/>
        <v>0</v>
      </c>
    </row>
    <row r="1071" spans="1:83" x14ac:dyDescent="0.2">
      <c r="A1071" s="11"/>
      <c r="B1071" s="11"/>
      <c r="C1071" s="1">
        <f>Growth!D1076</f>
        <v>2.564102564102564E-2</v>
      </c>
      <c r="D1071" s="5" t="b">
        <f t="shared" si="907"/>
        <v>0</v>
      </c>
      <c r="E1071" s="5">
        <v>2013</v>
      </c>
      <c r="F1071" s="5">
        <f ca="1">LOOKUP($E1071,frequence!$A$2:$A$35,frequence!L$2:L$35)</f>
        <v>46.610663652887361</v>
      </c>
      <c r="G1071" s="5">
        <f ca="1">LOOKUP($E1071,frequence!$A$2:$A$35,frequence!K$2:K$35)</f>
        <v>7.3617115683267258</v>
      </c>
      <c r="H1071" s="5">
        <f ca="1">LOOKUP($E1071,frequence!$A$2:$A$35,frequence!M$2:M$35)</f>
        <v>214.81113443396845</v>
      </c>
      <c r="I1071" s="16">
        <v>2005</v>
      </c>
      <c r="J1071" s="7">
        <f>LOOKUP(I1071,CPI!A$69:A$103,CPI!O$69:O$103)</f>
        <v>1.1165181771633383</v>
      </c>
      <c r="K1071" s="16">
        <v>2005</v>
      </c>
      <c r="L1071" s="7">
        <f t="shared" ca="1" si="900"/>
        <v>1</v>
      </c>
      <c r="M1071" s="7">
        <f t="shared" si="888"/>
        <v>0.16153846153846152</v>
      </c>
      <c r="N1071" s="14">
        <f t="shared" si="922"/>
        <v>2.564102564102564E-2</v>
      </c>
      <c r="O1071" s="1">
        <f ca="1">P1071*J1071*(1+Growth!G$6)^(2010-K1071)</f>
        <v>158.86665601599921</v>
      </c>
      <c r="P1071" s="22">
        <f>36*44/12</f>
        <v>132</v>
      </c>
      <c r="Q1071" s="2">
        <f t="shared" si="930"/>
        <v>132</v>
      </c>
      <c r="R1071" s="21">
        <f t="shared" ca="1" si="931"/>
        <v>25238.614393705819</v>
      </c>
      <c r="U1071" s="11"/>
      <c r="V1071" s="11"/>
      <c r="W1071" s="11"/>
      <c r="X1071" s="11"/>
      <c r="Y1071" s="11"/>
      <c r="Z1071" s="11"/>
      <c r="AA1071" s="11"/>
      <c r="AB1071" s="11"/>
      <c r="AC1071" s="1">
        <f t="shared" si="918"/>
        <v>6.3</v>
      </c>
      <c r="AD1071" s="5">
        <v>1</v>
      </c>
      <c r="AE1071" s="5">
        <v>0</v>
      </c>
      <c r="AF1071" s="5">
        <v>1</v>
      </c>
      <c r="AG1071" s="5">
        <v>0</v>
      </c>
      <c r="AH1071" s="5">
        <v>1</v>
      </c>
      <c r="AI1071" s="3">
        <f t="shared" si="919"/>
        <v>3.3</v>
      </c>
      <c r="AJ1071" s="5">
        <f t="shared" si="913"/>
        <v>0</v>
      </c>
      <c r="AK1071" s="5">
        <f t="shared" si="901"/>
        <v>0</v>
      </c>
      <c r="AL1071" s="5">
        <f t="shared" si="902"/>
        <v>0</v>
      </c>
      <c r="AM1071" s="5">
        <f t="shared" si="920"/>
        <v>1</v>
      </c>
      <c r="AN1071" s="5">
        <f t="shared" si="903"/>
        <v>0</v>
      </c>
      <c r="AO1071" s="5">
        <f t="shared" si="921"/>
        <v>0</v>
      </c>
      <c r="AP1071" s="11" t="s">
        <v>42</v>
      </c>
      <c r="AQ1071" s="11">
        <v>1</v>
      </c>
      <c r="AR1071" s="5">
        <v>0</v>
      </c>
      <c r="AS1071" s="5">
        <v>0</v>
      </c>
      <c r="AT1071" s="5">
        <v>1</v>
      </c>
      <c r="AU1071" s="5">
        <v>0</v>
      </c>
      <c r="AV1071" s="5">
        <v>0</v>
      </c>
      <c r="AW1071" s="5">
        <v>0</v>
      </c>
      <c r="AX1071" s="5">
        <v>1</v>
      </c>
      <c r="AY1071" s="1">
        <f t="shared" si="914"/>
        <v>0</v>
      </c>
      <c r="AZ1071" s="1">
        <f t="shared" si="915"/>
        <v>1</v>
      </c>
      <c r="BA1071" s="1">
        <f t="shared" si="916"/>
        <v>0</v>
      </c>
      <c r="BB1071" s="5">
        <v>0</v>
      </c>
      <c r="BC1071" s="5">
        <v>0</v>
      </c>
      <c r="BD1071" s="5">
        <v>0</v>
      </c>
      <c r="BE1071" s="5">
        <f t="shared" si="917"/>
        <v>1</v>
      </c>
      <c r="BF1071" s="5">
        <v>0</v>
      </c>
      <c r="BG1071" s="5">
        <f t="shared" si="928"/>
        <v>0</v>
      </c>
      <c r="BH1071" s="5">
        <f t="shared" si="928"/>
        <v>0</v>
      </c>
      <c r="BI1071" s="5">
        <f t="shared" si="928"/>
        <v>0</v>
      </c>
      <c r="BJ1071" s="5">
        <f t="shared" si="928"/>
        <v>0</v>
      </c>
      <c r="BK1071" s="5">
        <f t="shared" si="928"/>
        <v>0</v>
      </c>
      <c r="BL1071" s="5">
        <f t="shared" si="928"/>
        <v>0</v>
      </c>
      <c r="BM1071" s="5">
        <f t="shared" si="928"/>
        <v>0</v>
      </c>
      <c r="BN1071" s="5">
        <f t="shared" si="927"/>
        <v>0</v>
      </c>
      <c r="BO1071" s="5">
        <f t="shared" si="927"/>
        <v>0</v>
      </c>
      <c r="BP1071" s="5">
        <f t="shared" si="927"/>
        <v>0</v>
      </c>
      <c r="BQ1071" s="5">
        <f t="shared" si="927"/>
        <v>0</v>
      </c>
      <c r="BR1071" s="5">
        <f t="shared" si="927"/>
        <v>0</v>
      </c>
      <c r="BS1071" s="5">
        <f t="shared" si="927"/>
        <v>0</v>
      </c>
      <c r="BT1071" s="5">
        <f t="shared" si="927"/>
        <v>0</v>
      </c>
      <c r="BU1071" s="5">
        <f t="shared" si="927"/>
        <v>0</v>
      </c>
      <c r="BV1071" s="5">
        <f t="shared" si="927"/>
        <v>0</v>
      </c>
      <c r="BW1071" s="5">
        <f t="shared" si="927"/>
        <v>0</v>
      </c>
      <c r="BX1071" s="5">
        <f t="shared" si="927"/>
        <v>0</v>
      </c>
      <c r="BY1071" s="5">
        <f t="shared" si="927"/>
        <v>0</v>
      </c>
      <c r="BZ1071" s="5">
        <f t="shared" si="927"/>
        <v>0</v>
      </c>
      <c r="CA1071" s="5">
        <f t="shared" si="927"/>
        <v>0</v>
      </c>
      <c r="CB1071" s="5">
        <f t="shared" si="927"/>
        <v>0</v>
      </c>
      <c r="CC1071" s="5">
        <f t="shared" si="929"/>
        <v>1</v>
      </c>
      <c r="CD1071" s="5">
        <f t="shared" si="929"/>
        <v>0</v>
      </c>
      <c r="CE1071" s="5">
        <f t="shared" si="929"/>
        <v>0</v>
      </c>
    </row>
    <row r="1072" spans="1:83" x14ac:dyDescent="0.2">
      <c r="A1072" s="11"/>
      <c r="B1072" s="11"/>
      <c r="C1072" s="1">
        <f>Growth!D1077</f>
        <v>2.564102564102564E-2</v>
      </c>
      <c r="D1072" s="5" t="b">
        <f t="shared" si="907"/>
        <v>0</v>
      </c>
      <c r="E1072" s="5">
        <v>2013</v>
      </c>
      <c r="F1072" s="5">
        <f ca="1">LOOKUP($E1072,frequence!$A$2:$A$35,frequence!L$2:L$35)</f>
        <v>46.610663652887361</v>
      </c>
      <c r="G1072" s="5">
        <f ca="1">LOOKUP($E1072,frequence!$A$2:$A$35,frequence!K$2:K$35)</f>
        <v>7.3617115683267258</v>
      </c>
      <c r="H1072" s="5">
        <f ca="1">LOOKUP($E1072,frequence!$A$2:$A$35,frequence!M$2:M$35)</f>
        <v>214.81113443396845</v>
      </c>
      <c r="I1072" s="16">
        <v>2005</v>
      </c>
      <c r="J1072" s="7">
        <f>LOOKUP(I1072,CPI!A$69:A$103,CPI!O$69:O$103)</f>
        <v>1.1165181771633383</v>
      </c>
      <c r="K1072" s="16">
        <v>2005</v>
      </c>
      <c r="L1072" s="7">
        <f t="shared" ca="1" si="900"/>
        <v>1</v>
      </c>
      <c r="M1072" s="7">
        <f t="shared" si="888"/>
        <v>0.16153846153846152</v>
      </c>
      <c r="N1072" s="14">
        <f t="shared" si="922"/>
        <v>2.564102564102564E-2</v>
      </c>
      <c r="O1072" s="1">
        <f ca="1">P1072*J1072*(1+Growth!G$6)^(2010-K1072)</f>
        <v>48.542589338221987</v>
      </c>
      <c r="P1072" s="22">
        <f>11*44/12</f>
        <v>40.333333333333336</v>
      </c>
      <c r="Q1072" s="2">
        <f t="shared" si="930"/>
        <v>40.333333333333336</v>
      </c>
      <c r="R1072" s="21">
        <f t="shared" ca="1" si="931"/>
        <v>2356.3829796592631</v>
      </c>
      <c r="U1072" s="11"/>
      <c r="V1072" s="11"/>
      <c r="W1072" s="11"/>
      <c r="X1072" s="11"/>
      <c r="Y1072" s="11"/>
      <c r="Z1072" s="11"/>
      <c r="AA1072" s="11"/>
      <c r="AB1072" s="11"/>
      <c r="AC1072" s="1">
        <f t="shared" si="918"/>
        <v>6.3</v>
      </c>
      <c r="AD1072" s="5">
        <v>1</v>
      </c>
      <c r="AE1072" s="5">
        <v>0</v>
      </c>
      <c r="AF1072" s="5">
        <v>1</v>
      </c>
      <c r="AG1072" s="5">
        <v>0</v>
      </c>
      <c r="AH1072" s="5">
        <v>1</v>
      </c>
      <c r="AI1072" s="3">
        <f t="shared" si="919"/>
        <v>3.3</v>
      </c>
      <c r="AJ1072" s="5">
        <f t="shared" si="913"/>
        <v>0</v>
      </c>
      <c r="AK1072" s="5">
        <f t="shared" si="901"/>
        <v>1</v>
      </c>
      <c r="AL1072" s="5">
        <f t="shared" si="902"/>
        <v>0</v>
      </c>
      <c r="AM1072" s="5">
        <f t="shared" si="920"/>
        <v>0</v>
      </c>
      <c r="AN1072" s="5">
        <f t="shared" si="903"/>
        <v>0</v>
      </c>
      <c r="AO1072" s="5">
        <f t="shared" si="921"/>
        <v>0</v>
      </c>
      <c r="AP1072" s="11" t="s">
        <v>42</v>
      </c>
      <c r="AQ1072" s="11">
        <v>2</v>
      </c>
      <c r="AR1072" s="5">
        <v>0</v>
      </c>
      <c r="AS1072" s="5">
        <v>0</v>
      </c>
      <c r="AT1072" s="5">
        <v>1</v>
      </c>
      <c r="AU1072" s="5">
        <v>0</v>
      </c>
      <c r="AV1072" s="5">
        <v>0</v>
      </c>
      <c r="AW1072" s="5">
        <v>0</v>
      </c>
      <c r="AX1072" s="5">
        <v>1</v>
      </c>
      <c r="AY1072" s="1">
        <f t="shared" si="914"/>
        <v>0</v>
      </c>
      <c r="AZ1072" s="1">
        <f t="shared" si="915"/>
        <v>0</v>
      </c>
      <c r="BA1072" s="1">
        <f t="shared" si="916"/>
        <v>0</v>
      </c>
      <c r="BB1072" s="5">
        <v>0</v>
      </c>
      <c r="BC1072" s="5">
        <v>0</v>
      </c>
      <c r="BD1072" s="5">
        <v>0</v>
      </c>
      <c r="BE1072" s="5">
        <f t="shared" si="917"/>
        <v>1</v>
      </c>
      <c r="BF1072" s="5">
        <v>0</v>
      </c>
      <c r="BG1072" s="5">
        <f t="shared" si="928"/>
        <v>0</v>
      </c>
      <c r="BH1072" s="5">
        <f t="shared" si="928"/>
        <v>0</v>
      </c>
      <c r="BI1072" s="5">
        <f t="shared" si="928"/>
        <v>0</v>
      </c>
      <c r="BJ1072" s="5">
        <f t="shared" si="928"/>
        <v>0</v>
      </c>
      <c r="BK1072" s="5">
        <f t="shared" si="928"/>
        <v>0</v>
      </c>
      <c r="BL1072" s="5">
        <f t="shared" si="928"/>
        <v>0</v>
      </c>
      <c r="BM1072" s="5">
        <f t="shared" si="928"/>
        <v>0</v>
      </c>
      <c r="BN1072" s="5">
        <f t="shared" si="927"/>
        <v>0</v>
      </c>
      <c r="BO1072" s="5">
        <f t="shared" si="927"/>
        <v>0</v>
      </c>
      <c r="BP1072" s="5">
        <f t="shared" si="927"/>
        <v>0</v>
      </c>
      <c r="BQ1072" s="5">
        <f t="shared" si="927"/>
        <v>0</v>
      </c>
      <c r="BR1072" s="5">
        <f t="shared" si="927"/>
        <v>0</v>
      </c>
      <c r="BS1072" s="5">
        <f t="shared" si="927"/>
        <v>0</v>
      </c>
      <c r="BT1072" s="5">
        <f t="shared" si="927"/>
        <v>0</v>
      </c>
      <c r="BU1072" s="5">
        <f t="shared" si="927"/>
        <v>0</v>
      </c>
      <c r="BV1072" s="5">
        <f t="shared" si="927"/>
        <v>0</v>
      </c>
      <c r="BW1072" s="5">
        <f t="shared" si="927"/>
        <v>0</v>
      </c>
      <c r="BX1072" s="5">
        <f t="shared" si="927"/>
        <v>0</v>
      </c>
      <c r="BY1072" s="5">
        <f t="shared" si="927"/>
        <v>0</v>
      </c>
      <c r="BZ1072" s="5">
        <f t="shared" si="927"/>
        <v>0</v>
      </c>
      <c r="CA1072" s="5">
        <f t="shared" si="927"/>
        <v>0</v>
      </c>
      <c r="CB1072" s="5">
        <f t="shared" si="927"/>
        <v>0</v>
      </c>
      <c r="CC1072" s="5">
        <f t="shared" si="929"/>
        <v>1</v>
      </c>
      <c r="CD1072" s="5">
        <f t="shared" si="929"/>
        <v>0</v>
      </c>
      <c r="CE1072" s="5">
        <f t="shared" si="929"/>
        <v>0</v>
      </c>
    </row>
    <row r="1073" spans="1:83" x14ac:dyDescent="0.2">
      <c r="A1073" s="11"/>
      <c r="B1073" s="11"/>
      <c r="C1073" s="1">
        <f>Growth!D1078</f>
        <v>2.564102564102564E-2</v>
      </c>
      <c r="D1073" s="5" t="b">
        <f t="shared" si="907"/>
        <v>0</v>
      </c>
      <c r="E1073" s="5">
        <v>2013</v>
      </c>
      <c r="F1073" s="5">
        <f ca="1">LOOKUP($E1073,frequence!$A$2:$A$35,frequence!L$2:L$35)</f>
        <v>46.610663652887361</v>
      </c>
      <c r="G1073" s="5">
        <f ca="1">LOOKUP($E1073,frequence!$A$2:$A$35,frequence!K$2:K$35)</f>
        <v>7.3617115683267258</v>
      </c>
      <c r="H1073" s="5">
        <f ca="1">LOOKUP($E1073,frequence!$A$2:$A$35,frequence!M$2:M$35)</f>
        <v>214.81113443396845</v>
      </c>
      <c r="I1073" s="16">
        <v>2005</v>
      </c>
      <c r="J1073" s="7">
        <f>LOOKUP(I1073,CPI!A$69:A$103,CPI!O$69:O$103)</f>
        <v>1.1165181771633383</v>
      </c>
      <c r="K1073" s="16">
        <v>2005</v>
      </c>
      <c r="L1073" s="7">
        <f t="shared" ca="1" si="900"/>
        <v>1</v>
      </c>
      <c r="M1073" s="7">
        <f t="shared" si="888"/>
        <v>0.16153846153846152</v>
      </c>
      <c r="N1073" s="14">
        <f t="shared" si="922"/>
        <v>2.564102564102564E-2</v>
      </c>
      <c r="O1073" s="1">
        <f ca="1">P1073*J1073*(1+Growth!G$6)^(2010-K1073)</f>
        <v>22.506109602266559</v>
      </c>
      <c r="P1073" s="22">
        <f>5.1*44/12</f>
        <v>18.7</v>
      </c>
      <c r="Q1073" s="2">
        <f t="shared" si="930"/>
        <v>18.7</v>
      </c>
      <c r="R1073" s="21">
        <f t="shared" ca="1" si="931"/>
        <v>506.524969429235</v>
      </c>
      <c r="U1073" s="11"/>
      <c r="V1073" s="11"/>
      <c r="W1073" s="11"/>
      <c r="X1073" s="11"/>
      <c r="Y1073" s="11"/>
      <c r="Z1073" s="11"/>
      <c r="AA1073" s="11"/>
      <c r="AB1073" s="11"/>
      <c r="AC1073" s="1">
        <f t="shared" si="918"/>
        <v>6.3</v>
      </c>
      <c r="AD1073" s="5">
        <v>1</v>
      </c>
      <c r="AE1073" s="5">
        <v>0</v>
      </c>
      <c r="AF1073" s="5">
        <v>1</v>
      </c>
      <c r="AG1073" s="5">
        <v>0</v>
      </c>
      <c r="AH1073" s="5">
        <v>1</v>
      </c>
      <c r="AI1073" s="3">
        <f t="shared" si="919"/>
        <v>3.3</v>
      </c>
      <c r="AJ1073" s="5">
        <f t="shared" si="913"/>
        <v>1</v>
      </c>
      <c r="AK1073" s="5">
        <f t="shared" si="901"/>
        <v>0</v>
      </c>
      <c r="AL1073" s="5">
        <f t="shared" si="902"/>
        <v>0</v>
      </c>
      <c r="AM1073" s="5">
        <f t="shared" si="920"/>
        <v>0</v>
      </c>
      <c r="AN1073" s="5">
        <f t="shared" si="903"/>
        <v>0</v>
      </c>
      <c r="AO1073" s="5">
        <f t="shared" si="921"/>
        <v>0</v>
      </c>
      <c r="AP1073" s="11" t="s">
        <v>42</v>
      </c>
      <c r="AQ1073" s="11">
        <v>3</v>
      </c>
      <c r="AR1073" s="5">
        <v>0</v>
      </c>
      <c r="AS1073" s="5">
        <v>0</v>
      </c>
      <c r="AT1073" s="5">
        <v>1</v>
      </c>
      <c r="AU1073" s="5">
        <v>0</v>
      </c>
      <c r="AV1073" s="5">
        <v>0</v>
      </c>
      <c r="AW1073" s="5">
        <v>0</v>
      </c>
      <c r="AX1073" s="5">
        <v>1</v>
      </c>
      <c r="AY1073" s="1">
        <f t="shared" si="914"/>
        <v>1</v>
      </c>
      <c r="AZ1073" s="1">
        <f t="shared" si="915"/>
        <v>0</v>
      </c>
      <c r="BA1073" s="1">
        <f t="shared" si="916"/>
        <v>0</v>
      </c>
      <c r="BB1073" s="5">
        <v>0</v>
      </c>
      <c r="BC1073" s="5">
        <v>0</v>
      </c>
      <c r="BD1073" s="5">
        <v>0</v>
      </c>
      <c r="BE1073" s="5">
        <f t="shared" si="917"/>
        <v>1</v>
      </c>
      <c r="BF1073" s="5">
        <v>0</v>
      </c>
      <c r="BG1073" s="5">
        <f t="shared" si="928"/>
        <v>0</v>
      </c>
      <c r="BH1073" s="5">
        <f t="shared" si="928"/>
        <v>0</v>
      </c>
      <c r="BI1073" s="5">
        <f t="shared" si="928"/>
        <v>0</v>
      </c>
      <c r="BJ1073" s="5">
        <f t="shared" si="928"/>
        <v>0</v>
      </c>
      <c r="BK1073" s="5">
        <f t="shared" si="928"/>
        <v>0</v>
      </c>
      <c r="BL1073" s="5">
        <f t="shared" si="928"/>
        <v>0</v>
      </c>
      <c r="BM1073" s="5">
        <f t="shared" si="928"/>
        <v>0</v>
      </c>
      <c r="BN1073" s="5">
        <f t="shared" si="927"/>
        <v>0</v>
      </c>
      <c r="BO1073" s="5">
        <f t="shared" si="927"/>
        <v>0</v>
      </c>
      <c r="BP1073" s="5">
        <f t="shared" si="927"/>
        <v>0</v>
      </c>
      <c r="BQ1073" s="5">
        <f t="shared" si="927"/>
        <v>0</v>
      </c>
      <c r="BR1073" s="5">
        <f t="shared" si="927"/>
        <v>0</v>
      </c>
      <c r="BS1073" s="5">
        <f t="shared" si="927"/>
        <v>0</v>
      </c>
      <c r="BT1073" s="5">
        <f t="shared" si="927"/>
        <v>0</v>
      </c>
      <c r="BU1073" s="5">
        <f t="shared" si="927"/>
        <v>0</v>
      </c>
      <c r="BV1073" s="5">
        <f t="shared" si="927"/>
        <v>0</v>
      </c>
      <c r="BW1073" s="5">
        <f t="shared" si="927"/>
        <v>0</v>
      </c>
      <c r="BX1073" s="5">
        <f t="shared" si="927"/>
        <v>0</v>
      </c>
      <c r="BY1073" s="5">
        <f t="shared" si="927"/>
        <v>0</v>
      </c>
      <c r="BZ1073" s="5">
        <f t="shared" si="927"/>
        <v>0</v>
      </c>
      <c r="CA1073" s="5">
        <f t="shared" si="927"/>
        <v>0</v>
      </c>
      <c r="CB1073" s="5">
        <f t="shared" si="927"/>
        <v>0</v>
      </c>
      <c r="CC1073" s="5">
        <f t="shared" si="929"/>
        <v>1</v>
      </c>
      <c r="CD1073" s="5">
        <f t="shared" si="929"/>
        <v>0</v>
      </c>
      <c r="CE1073" s="5">
        <f t="shared" si="929"/>
        <v>0</v>
      </c>
    </row>
    <row r="1074" spans="1:83" x14ac:dyDescent="0.2">
      <c r="A1074" s="11"/>
      <c r="B1074" s="11"/>
      <c r="C1074" s="1">
        <f>Growth!D1079</f>
        <v>2.564102564102564E-2</v>
      </c>
      <c r="D1074" s="5" t="b">
        <f t="shared" si="907"/>
        <v>0</v>
      </c>
      <c r="E1074" s="5">
        <v>2013</v>
      </c>
      <c r="F1074" s="5">
        <f ca="1">LOOKUP($E1074,frequence!$A$2:$A$35,frequence!L$2:L$35)</f>
        <v>46.610663652887361</v>
      </c>
      <c r="G1074" s="5">
        <f ca="1">LOOKUP($E1074,frequence!$A$2:$A$35,frequence!K$2:K$35)</f>
        <v>7.3617115683267258</v>
      </c>
      <c r="H1074" s="5">
        <f ca="1">LOOKUP($E1074,frequence!$A$2:$A$35,frequence!M$2:M$35)</f>
        <v>214.81113443396845</v>
      </c>
      <c r="I1074" s="16">
        <v>2005</v>
      </c>
      <c r="J1074" s="7">
        <f>LOOKUP(I1074,CPI!A$69:A$103,CPI!O$69:O$103)</f>
        <v>1.1165181771633383</v>
      </c>
      <c r="K1074" s="16">
        <v>2005</v>
      </c>
      <c r="L1074" s="7">
        <f t="shared" ca="1" si="900"/>
        <v>1</v>
      </c>
      <c r="M1074" s="7">
        <f t="shared" si="888"/>
        <v>0.16153846153846152</v>
      </c>
      <c r="N1074" s="14">
        <f t="shared" si="922"/>
        <v>2.564102564102564E-2</v>
      </c>
      <c r="O1074" s="1">
        <f ca="1">P1074*J1074*(1+Growth!G$6)^(2010-K1074)</f>
        <v>136.80184268044377</v>
      </c>
      <c r="P1074" s="22">
        <f>31*44/12</f>
        <v>113.66666666666667</v>
      </c>
      <c r="Q1074" s="2">
        <f t="shared" si="930"/>
        <v>113.66666666666667</v>
      </c>
      <c r="R1074" s="21">
        <f t="shared" ca="1" si="931"/>
        <v>18714.744160764887</v>
      </c>
      <c r="U1074" s="11"/>
      <c r="V1074" s="11"/>
      <c r="W1074" s="11"/>
      <c r="X1074" s="11"/>
      <c r="Y1074" s="11"/>
      <c r="Z1074" s="11"/>
      <c r="AA1074" s="11"/>
      <c r="AB1074" s="11"/>
      <c r="AC1074" s="1">
        <f t="shared" si="918"/>
        <v>6.3</v>
      </c>
      <c r="AD1074" s="5">
        <v>1</v>
      </c>
      <c r="AE1074" s="5">
        <v>0</v>
      </c>
      <c r="AF1074" s="5">
        <v>1</v>
      </c>
      <c r="AG1074" s="5">
        <v>0</v>
      </c>
      <c r="AH1074" s="5">
        <v>1</v>
      </c>
      <c r="AI1074" s="3">
        <f t="shared" si="919"/>
        <v>3.3</v>
      </c>
      <c r="AJ1074" s="5">
        <f t="shared" si="913"/>
        <v>0</v>
      </c>
      <c r="AK1074" s="5">
        <f t="shared" si="901"/>
        <v>0</v>
      </c>
      <c r="AL1074" s="5">
        <f t="shared" si="902"/>
        <v>0</v>
      </c>
      <c r="AM1074" s="5">
        <f t="shared" si="920"/>
        <v>0</v>
      </c>
      <c r="AN1074" s="5">
        <f t="shared" si="903"/>
        <v>0</v>
      </c>
      <c r="AO1074" s="5">
        <f t="shared" si="921"/>
        <v>1</v>
      </c>
      <c r="AP1074" s="11" t="s">
        <v>42</v>
      </c>
      <c r="AQ1074" s="11">
        <v>0</v>
      </c>
      <c r="AR1074" s="5">
        <v>0</v>
      </c>
      <c r="AS1074" s="5">
        <v>0</v>
      </c>
      <c r="AT1074" s="5">
        <v>1</v>
      </c>
      <c r="AU1074" s="5">
        <v>0</v>
      </c>
      <c r="AV1074" s="5">
        <v>0</v>
      </c>
      <c r="AW1074" s="5">
        <v>0</v>
      </c>
      <c r="AX1074" s="5">
        <v>1</v>
      </c>
      <c r="AY1074" s="1">
        <f t="shared" si="914"/>
        <v>0</v>
      </c>
      <c r="AZ1074" s="1">
        <f t="shared" si="915"/>
        <v>0</v>
      </c>
      <c r="BA1074" s="1">
        <f t="shared" si="916"/>
        <v>1</v>
      </c>
      <c r="BB1074" s="5">
        <v>0</v>
      </c>
      <c r="BC1074" s="5">
        <v>0</v>
      </c>
      <c r="BD1074" s="5">
        <v>0</v>
      </c>
      <c r="BE1074" s="5">
        <f t="shared" si="917"/>
        <v>1</v>
      </c>
      <c r="BF1074" s="5">
        <v>0</v>
      </c>
      <c r="BG1074" s="5">
        <f t="shared" si="928"/>
        <v>0</v>
      </c>
      <c r="BH1074" s="5">
        <f t="shared" si="928"/>
        <v>0</v>
      </c>
      <c r="BI1074" s="5">
        <f t="shared" si="928"/>
        <v>0</v>
      </c>
      <c r="BJ1074" s="5">
        <f t="shared" si="928"/>
        <v>0</v>
      </c>
      <c r="BK1074" s="5">
        <f t="shared" si="928"/>
        <v>0</v>
      </c>
      <c r="BL1074" s="5">
        <f t="shared" si="928"/>
        <v>0</v>
      </c>
      <c r="BM1074" s="5">
        <f t="shared" si="928"/>
        <v>0</v>
      </c>
      <c r="BN1074" s="5">
        <f t="shared" si="927"/>
        <v>0</v>
      </c>
      <c r="BO1074" s="5">
        <f t="shared" si="927"/>
        <v>0</v>
      </c>
      <c r="BP1074" s="5">
        <f t="shared" si="927"/>
        <v>0</v>
      </c>
      <c r="BQ1074" s="5">
        <f t="shared" si="927"/>
        <v>0</v>
      </c>
      <c r="BR1074" s="5">
        <f t="shared" si="927"/>
        <v>0</v>
      </c>
      <c r="BS1074" s="5">
        <f t="shared" si="927"/>
        <v>0</v>
      </c>
      <c r="BT1074" s="5">
        <f t="shared" si="927"/>
        <v>0</v>
      </c>
      <c r="BU1074" s="5">
        <f t="shared" si="927"/>
        <v>0</v>
      </c>
      <c r="BV1074" s="5">
        <f t="shared" si="927"/>
        <v>0</v>
      </c>
      <c r="BW1074" s="5">
        <f t="shared" si="927"/>
        <v>0</v>
      </c>
      <c r="BX1074" s="5">
        <f t="shared" si="927"/>
        <v>0</v>
      </c>
      <c r="BY1074" s="5">
        <f t="shared" si="927"/>
        <v>0</v>
      </c>
      <c r="BZ1074" s="5">
        <f t="shared" si="927"/>
        <v>0</v>
      </c>
      <c r="CA1074" s="5">
        <f t="shared" si="927"/>
        <v>0</v>
      </c>
      <c r="CB1074" s="5">
        <f t="shared" si="927"/>
        <v>0</v>
      </c>
      <c r="CC1074" s="5">
        <f t="shared" si="929"/>
        <v>1</v>
      </c>
      <c r="CD1074" s="5">
        <f t="shared" si="929"/>
        <v>0</v>
      </c>
      <c r="CE1074" s="5">
        <f t="shared" si="929"/>
        <v>0</v>
      </c>
    </row>
    <row r="1075" spans="1:83" x14ac:dyDescent="0.2">
      <c r="A1075" s="11"/>
      <c r="B1075" s="11"/>
      <c r="C1075" s="1">
        <f>Growth!D1080</f>
        <v>2.564102564102564E-2</v>
      </c>
      <c r="D1075" s="5" t="b">
        <f t="shared" si="907"/>
        <v>0</v>
      </c>
      <c r="E1075" s="5">
        <v>2013</v>
      </c>
      <c r="F1075" s="5">
        <f ca="1">LOOKUP($E1075,frequence!$A$2:$A$35,frequence!L$2:L$35)</f>
        <v>46.610663652887361</v>
      </c>
      <c r="G1075" s="5">
        <f ca="1">LOOKUP($E1075,frequence!$A$2:$A$35,frequence!K$2:K$35)</f>
        <v>7.3617115683267258</v>
      </c>
      <c r="H1075" s="5">
        <f ca="1">LOOKUP($E1075,frequence!$A$2:$A$35,frequence!M$2:M$35)</f>
        <v>214.81113443396845</v>
      </c>
      <c r="I1075" s="16">
        <v>2005</v>
      </c>
      <c r="J1075" s="7">
        <f>LOOKUP(I1075,CPI!A$69:A$103,CPI!O$69:O$103)</f>
        <v>1.1165181771633383</v>
      </c>
      <c r="K1075" s="16">
        <v>2005</v>
      </c>
      <c r="L1075" s="7">
        <f t="shared" ca="1" si="900"/>
        <v>1</v>
      </c>
      <c r="M1075" s="7">
        <f t="shared" si="888"/>
        <v>0.16153846153846152</v>
      </c>
      <c r="N1075" s="14">
        <f t="shared" si="922"/>
        <v>2.564102564102564E-2</v>
      </c>
      <c r="O1075" s="1">
        <f ca="1">P1075*J1075*(1+Growth!G$6)^(2010-K1075)</f>
        <v>70.607402673777415</v>
      </c>
      <c r="P1075" s="22">
        <f>16*44/12</f>
        <v>58.666666666666664</v>
      </c>
      <c r="Q1075" s="2">
        <f t="shared" si="930"/>
        <v>58.666666666666664</v>
      </c>
      <c r="R1075" s="21">
        <f t="shared" ca="1" si="931"/>
        <v>4985.4053123369504</v>
      </c>
      <c r="U1075" s="11"/>
      <c r="V1075" s="11"/>
      <c r="W1075" s="11"/>
      <c r="X1075" s="11"/>
      <c r="Y1075" s="11"/>
      <c r="Z1075" s="11"/>
      <c r="AA1075" s="11"/>
      <c r="AB1075" s="11"/>
      <c r="AC1075" s="1">
        <f t="shared" si="918"/>
        <v>6.3</v>
      </c>
      <c r="AD1075" s="5">
        <v>1</v>
      </c>
      <c r="AE1075" s="5">
        <v>0</v>
      </c>
      <c r="AF1075" s="5">
        <v>1</v>
      </c>
      <c r="AG1075" s="5">
        <v>0</v>
      </c>
      <c r="AH1075" s="5">
        <v>1</v>
      </c>
      <c r="AI1075" s="3">
        <f t="shared" si="919"/>
        <v>3.3</v>
      </c>
      <c r="AJ1075" s="5">
        <f t="shared" si="913"/>
        <v>0</v>
      </c>
      <c r="AK1075" s="5">
        <f t="shared" si="901"/>
        <v>0</v>
      </c>
      <c r="AL1075" s="5">
        <f t="shared" si="902"/>
        <v>0</v>
      </c>
      <c r="AM1075" s="5">
        <f t="shared" si="920"/>
        <v>1</v>
      </c>
      <c r="AN1075" s="5">
        <f t="shared" si="903"/>
        <v>0</v>
      </c>
      <c r="AO1075" s="5">
        <f t="shared" si="921"/>
        <v>0</v>
      </c>
      <c r="AP1075" s="11" t="s">
        <v>42</v>
      </c>
      <c r="AQ1075" s="11">
        <v>1</v>
      </c>
      <c r="AR1075" s="5">
        <v>0</v>
      </c>
      <c r="AS1075" s="5">
        <v>0</v>
      </c>
      <c r="AT1075" s="5">
        <v>1</v>
      </c>
      <c r="AU1075" s="5">
        <v>0</v>
      </c>
      <c r="AV1075" s="5">
        <v>0</v>
      </c>
      <c r="AW1075" s="5">
        <v>0</v>
      </c>
      <c r="AX1075" s="5">
        <v>1</v>
      </c>
      <c r="AY1075" s="1">
        <f t="shared" si="914"/>
        <v>0</v>
      </c>
      <c r="AZ1075" s="1">
        <f t="shared" si="915"/>
        <v>1</v>
      </c>
      <c r="BA1075" s="1">
        <f t="shared" si="916"/>
        <v>0</v>
      </c>
      <c r="BB1075" s="5">
        <v>0</v>
      </c>
      <c r="BC1075" s="5">
        <v>0</v>
      </c>
      <c r="BD1075" s="5">
        <v>0</v>
      </c>
      <c r="BE1075" s="5">
        <f t="shared" si="917"/>
        <v>1</v>
      </c>
      <c r="BF1075" s="5">
        <v>0</v>
      </c>
      <c r="BG1075" s="5">
        <f t="shared" si="928"/>
        <v>0</v>
      </c>
      <c r="BH1075" s="5">
        <f t="shared" si="928"/>
        <v>0</v>
      </c>
      <c r="BI1075" s="5">
        <f t="shared" si="928"/>
        <v>0</v>
      </c>
      <c r="BJ1075" s="5">
        <f t="shared" si="928"/>
        <v>0</v>
      </c>
      <c r="BK1075" s="5">
        <f t="shared" si="928"/>
        <v>0</v>
      </c>
      <c r="BL1075" s="5">
        <f t="shared" si="928"/>
        <v>0</v>
      </c>
      <c r="BM1075" s="5">
        <f t="shared" si="928"/>
        <v>0</v>
      </c>
      <c r="BN1075" s="5">
        <f t="shared" si="927"/>
        <v>0</v>
      </c>
      <c r="BO1075" s="5">
        <f t="shared" si="927"/>
        <v>0</v>
      </c>
      <c r="BP1075" s="5">
        <f t="shared" si="927"/>
        <v>0</v>
      </c>
      <c r="BQ1075" s="5">
        <f t="shared" si="927"/>
        <v>0</v>
      </c>
      <c r="BR1075" s="5">
        <f t="shared" si="927"/>
        <v>0</v>
      </c>
      <c r="BS1075" s="5">
        <f t="shared" si="927"/>
        <v>0</v>
      </c>
      <c r="BT1075" s="5">
        <f t="shared" si="927"/>
        <v>0</v>
      </c>
      <c r="BU1075" s="5">
        <f t="shared" si="927"/>
        <v>0</v>
      </c>
      <c r="BV1075" s="5">
        <f t="shared" si="927"/>
        <v>0</v>
      </c>
      <c r="BW1075" s="5">
        <f t="shared" si="927"/>
        <v>0</v>
      </c>
      <c r="BX1075" s="5">
        <f t="shared" si="927"/>
        <v>0</v>
      </c>
      <c r="BY1075" s="5">
        <f t="shared" si="927"/>
        <v>0</v>
      </c>
      <c r="BZ1075" s="5">
        <f t="shared" si="927"/>
        <v>0</v>
      </c>
      <c r="CA1075" s="5">
        <f t="shared" si="927"/>
        <v>0</v>
      </c>
      <c r="CB1075" s="5">
        <f t="shared" si="927"/>
        <v>0</v>
      </c>
      <c r="CC1075" s="5">
        <f t="shared" si="929"/>
        <v>1</v>
      </c>
      <c r="CD1075" s="5">
        <f t="shared" si="929"/>
        <v>0</v>
      </c>
      <c r="CE1075" s="5">
        <f t="shared" si="929"/>
        <v>0</v>
      </c>
    </row>
    <row r="1076" spans="1:83" x14ac:dyDescent="0.2">
      <c r="A1076" s="11"/>
      <c r="B1076" s="11"/>
      <c r="C1076" s="1">
        <f>Growth!D1081</f>
        <v>2.564102564102564E-2</v>
      </c>
      <c r="D1076" s="5" t="b">
        <f t="shared" si="907"/>
        <v>0</v>
      </c>
      <c r="E1076" s="5">
        <v>2013</v>
      </c>
      <c r="F1076" s="5">
        <f ca="1">LOOKUP($E1076,frequence!$A$2:$A$35,frequence!L$2:L$35)</f>
        <v>46.610663652887361</v>
      </c>
      <c r="G1076" s="5">
        <f ca="1">LOOKUP($E1076,frequence!$A$2:$A$35,frequence!K$2:K$35)</f>
        <v>7.3617115683267258</v>
      </c>
      <c r="H1076" s="5">
        <f ca="1">LOOKUP($E1076,frequence!$A$2:$A$35,frequence!M$2:M$35)</f>
        <v>214.81113443396845</v>
      </c>
      <c r="I1076" s="16">
        <v>2005</v>
      </c>
      <c r="J1076" s="7">
        <f>LOOKUP(I1076,CPI!A$69:A$103,CPI!O$69:O$103)</f>
        <v>1.1165181771633383</v>
      </c>
      <c r="K1076" s="16">
        <v>2005</v>
      </c>
      <c r="L1076" s="7">
        <f t="shared" ca="1" si="900"/>
        <v>1</v>
      </c>
      <c r="M1076" s="7">
        <f t="shared" si="888"/>
        <v>0.16153846153846152</v>
      </c>
      <c r="N1076" s="14">
        <f t="shared" si="922"/>
        <v>2.564102564102564E-2</v>
      </c>
      <c r="O1076" s="1">
        <f ca="1">P1076*J1076*(1+Growth!G$6)^(2010-K1076)</f>
        <v>30.008146136355411</v>
      </c>
      <c r="P1076" s="22">
        <f>6.8*44/12</f>
        <v>24.933333333333334</v>
      </c>
      <c r="Q1076" s="2">
        <f t="shared" si="930"/>
        <v>24.933333333333334</v>
      </c>
      <c r="R1076" s="21">
        <f t="shared" ca="1" si="931"/>
        <v>900.48883454086217</v>
      </c>
      <c r="U1076" s="11"/>
      <c r="V1076" s="11"/>
      <c r="W1076" s="11"/>
      <c r="X1076" s="11"/>
      <c r="Y1076" s="11"/>
      <c r="Z1076" s="11"/>
      <c r="AA1076" s="11"/>
      <c r="AB1076" s="11"/>
      <c r="AC1076" s="1">
        <f t="shared" si="918"/>
        <v>6.3</v>
      </c>
      <c r="AD1076" s="5">
        <v>1</v>
      </c>
      <c r="AE1076" s="5">
        <v>0</v>
      </c>
      <c r="AF1076" s="5">
        <v>1</v>
      </c>
      <c r="AG1076" s="5">
        <v>0</v>
      </c>
      <c r="AH1076" s="5">
        <v>1</v>
      </c>
      <c r="AI1076" s="3">
        <f t="shared" si="919"/>
        <v>3.3</v>
      </c>
      <c r="AJ1076" s="5">
        <f t="shared" si="913"/>
        <v>0</v>
      </c>
      <c r="AK1076" s="5">
        <f t="shared" si="901"/>
        <v>1</v>
      </c>
      <c r="AL1076" s="5">
        <f t="shared" si="902"/>
        <v>0</v>
      </c>
      <c r="AM1076" s="5">
        <f t="shared" si="920"/>
        <v>0</v>
      </c>
      <c r="AN1076" s="5">
        <f t="shared" si="903"/>
        <v>0</v>
      </c>
      <c r="AO1076" s="5">
        <f t="shared" si="921"/>
        <v>0</v>
      </c>
      <c r="AP1076" s="11" t="s">
        <v>42</v>
      </c>
      <c r="AQ1076" s="11">
        <v>2</v>
      </c>
      <c r="AR1076" s="5">
        <v>0</v>
      </c>
      <c r="AS1076" s="5">
        <v>0</v>
      </c>
      <c r="AT1076" s="5">
        <v>1</v>
      </c>
      <c r="AU1076" s="5">
        <v>0</v>
      </c>
      <c r="AV1076" s="5">
        <v>0</v>
      </c>
      <c r="AW1076" s="5">
        <v>0</v>
      </c>
      <c r="AX1076" s="5">
        <v>1</v>
      </c>
      <c r="AY1076" s="1">
        <f t="shared" si="914"/>
        <v>0</v>
      </c>
      <c r="AZ1076" s="1">
        <f t="shared" si="915"/>
        <v>0</v>
      </c>
      <c r="BA1076" s="1">
        <f t="shared" si="916"/>
        <v>0</v>
      </c>
      <c r="BB1076" s="5">
        <v>0</v>
      </c>
      <c r="BC1076" s="5">
        <v>0</v>
      </c>
      <c r="BD1076" s="5">
        <v>0</v>
      </c>
      <c r="BE1076" s="5">
        <f t="shared" si="917"/>
        <v>1</v>
      </c>
      <c r="BF1076" s="5">
        <v>0</v>
      </c>
      <c r="BG1076" s="5">
        <f t="shared" si="928"/>
        <v>0</v>
      </c>
      <c r="BH1076" s="5">
        <f t="shared" si="928"/>
        <v>0</v>
      </c>
      <c r="BI1076" s="5">
        <f t="shared" si="928"/>
        <v>0</v>
      </c>
      <c r="BJ1076" s="5">
        <f t="shared" si="928"/>
        <v>0</v>
      </c>
      <c r="BK1076" s="5">
        <f t="shared" si="928"/>
        <v>0</v>
      </c>
      <c r="BL1076" s="5">
        <f t="shared" si="928"/>
        <v>0</v>
      </c>
      <c r="BM1076" s="5">
        <f t="shared" si="928"/>
        <v>0</v>
      </c>
      <c r="BN1076" s="5">
        <f t="shared" si="928"/>
        <v>0</v>
      </c>
      <c r="BO1076" s="5">
        <f t="shared" ref="BO1076:CC1091" si="932">IF($E1076=BO$2,1,0)</f>
        <v>0</v>
      </c>
      <c r="BP1076" s="5">
        <f t="shared" si="932"/>
        <v>0</v>
      </c>
      <c r="BQ1076" s="5">
        <f t="shared" si="932"/>
        <v>0</v>
      </c>
      <c r="BR1076" s="5">
        <f t="shared" si="932"/>
        <v>0</v>
      </c>
      <c r="BS1076" s="5">
        <f t="shared" si="932"/>
        <v>0</v>
      </c>
      <c r="BT1076" s="5">
        <f t="shared" si="932"/>
        <v>0</v>
      </c>
      <c r="BU1076" s="5">
        <f t="shared" si="932"/>
        <v>0</v>
      </c>
      <c r="BV1076" s="5">
        <f t="shared" si="932"/>
        <v>0</v>
      </c>
      <c r="BW1076" s="5">
        <f t="shared" si="932"/>
        <v>0</v>
      </c>
      <c r="BX1076" s="5">
        <f t="shared" si="932"/>
        <v>0</v>
      </c>
      <c r="BY1076" s="5">
        <f t="shared" si="932"/>
        <v>0</v>
      </c>
      <c r="BZ1076" s="5">
        <f t="shared" si="932"/>
        <v>0</v>
      </c>
      <c r="CA1076" s="5">
        <f t="shared" si="932"/>
        <v>0</v>
      </c>
      <c r="CB1076" s="5">
        <f t="shared" si="932"/>
        <v>0</v>
      </c>
      <c r="CC1076" s="5">
        <f t="shared" si="929"/>
        <v>1</v>
      </c>
      <c r="CD1076" s="5">
        <f t="shared" si="929"/>
        <v>0</v>
      </c>
      <c r="CE1076" s="5">
        <f t="shared" si="929"/>
        <v>0</v>
      </c>
    </row>
    <row r="1077" spans="1:83" x14ac:dyDescent="0.2">
      <c r="A1077" s="11"/>
      <c r="B1077" s="11"/>
      <c r="C1077" s="1">
        <f>Growth!D1082</f>
        <v>2.564102564102564E-2</v>
      </c>
      <c r="D1077" s="5" t="b">
        <f t="shared" si="907"/>
        <v>0</v>
      </c>
      <c r="E1077" s="5">
        <v>2013</v>
      </c>
      <c r="F1077" s="5">
        <f ca="1">LOOKUP($E1077,frequence!$A$2:$A$35,frequence!L$2:L$35)</f>
        <v>46.610663652887361</v>
      </c>
      <c r="G1077" s="5">
        <f ca="1">LOOKUP($E1077,frequence!$A$2:$A$35,frequence!K$2:K$35)</f>
        <v>7.3617115683267258</v>
      </c>
      <c r="H1077" s="5">
        <f ca="1">LOOKUP($E1077,frequence!$A$2:$A$35,frequence!M$2:M$35)</f>
        <v>214.81113443396845</v>
      </c>
      <c r="I1077" s="16">
        <v>2005</v>
      </c>
      <c r="J1077" s="7">
        <f>LOOKUP(I1077,CPI!A$69:A$103,CPI!O$69:O$103)</f>
        <v>1.1165181771633383</v>
      </c>
      <c r="K1077" s="16">
        <v>2005</v>
      </c>
      <c r="L1077" s="7">
        <f t="shared" ca="1" si="900"/>
        <v>1</v>
      </c>
      <c r="M1077" s="7">
        <f t="shared" ref="M1077:M1140" si="933">N1077*AC1077</f>
        <v>0.16153846153846152</v>
      </c>
      <c r="N1077" s="14">
        <f t="shared" si="922"/>
        <v>2.564102564102564E-2</v>
      </c>
      <c r="O1077" s="1">
        <f ca="1">P1077*J1077*(1+Growth!G$6)^(2010-K1077)</f>
        <v>16.327961868311032</v>
      </c>
      <c r="P1077" s="22">
        <f>3.7*44/12</f>
        <v>13.566666666666668</v>
      </c>
      <c r="Q1077" s="2">
        <f t="shared" si="930"/>
        <v>13.566666666666668</v>
      </c>
      <c r="R1077" s="21">
        <f t="shared" ca="1" si="931"/>
        <v>266.60233877301908</v>
      </c>
      <c r="U1077" s="11"/>
      <c r="V1077" s="11"/>
      <c r="W1077" s="11"/>
      <c r="X1077" s="11"/>
      <c r="Y1077" s="11"/>
      <c r="Z1077" s="11"/>
      <c r="AA1077" s="11"/>
      <c r="AB1077" s="11"/>
      <c r="AC1077" s="1">
        <f t="shared" si="918"/>
        <v>6.3</v>
      </c>
      <c r="AD1077" s="5">
        <v>1</v>
      </c>
      <c r="AE1077" s="5">
        <v>0</v>
      </c>
      <c r="AF1077" s="5">
        <v>1</v>
      </c>
      <c r="AG1077" s="5">
        <v>0</v>
      </c>
      <c r="AH1077" s="5">
        <v>1</v>
      </c>
      <c r="AI1077" s="3">
        <f t="shared" si="919"/>
        <v>3.3</v>
      </c>
      <c r="AJ1077" s="5">
        <f t="shared" si="913"/>
        <v>1</v>
      </c>
      <c r="AK1077" s="5">
        <f t="shared" si="901"/>
        <v>0</v>
      </c>
      <c r="AL1077" s="5">
        <f t="shared" si="902"/>
        <v>0</v>
      </c>
      <c r="AM1077" s="5">
        <f t="shared" si="920"/>
        <v>0</v>
      </c>
      <c r="AN1077" s="5">
        <f t="shared" si="903"/>
        <v>0</v>
      </c>
      <c r="AO1077" s="5">
        <f t="shared" si="921"/>
        <v>0</v>
      </c>
      <c r="AP1077" s="11" t="s">
        <v>42</v>
      </c>
      <c r="AQ1077" s="11">
        <v>3</v>
      </c>
      <c r="AR1077" s="5">
        <v>0</v>
      </c>
      <c r="AS1077" s="5">
        <v>0</v>
      </c>
      <c r="AT1077" s="5">
        <v>1</v>
      </c>
      <c r="AU1077" s="5">
        <v>0</v>
      </c>
      <c r="AV1077" s="5">
        <v>0</v>
      </c>
      <c r="AW1077" s="5">
        <v>0</v>
      </c>
      <c r="AX1077" s="5">
        <v>1</v>
      </c>
      <c r="AY1077" s="1">
        <f t="shared" si="914"/>
        <v>1</v>
      </c>
      <c r="AZ1077" s="1">
        <f t="shared" si="915"/>
        <v>0</v>
      </c>
      <c r="BA1077" s="1">
        <f t="shared" si="916"/>
        <v>0</v>
      </c>
      <c r="BB1077" s="5">
        <v>0</v>
      </c>
      <c r="BC1077" s="5">
        <v>0</v>
      </c>
      <c r="BD1077" s="5">
        <v>0</v>
      </c>
      <c r="BE1077" s="5">
        <f t="shared" si="917"/>
        <v>1</v>
      </c>
      <c r="BF1077" s="5">
        <v>0</v>
      </c>
      <c r="BG1077" s="5">
        <f t="shared" ref="BG1077:BN1092" si="934">IF($E1077=BG$2,1,0)</f>
        <v>0</v>
      </c>
      <c r="BH1077" s="5">
        <f t="shared" si="934"/>
        <v>0</v>
      </c>
      <c r="BI1077" s="5">
        <f t="shared" si="934"/>
        <v>0</v>
      </c>
      <c r="BJ1077" s="5">
        <f t="shared" si="934"/>
        <v>0</v>
      </c>
      <c r="BK1077" s="5">
        <f t="shared" si="934"/>
        <v>0</v>
      </c>
      <c r="BL1077" s="5">
        <f t="shared" si="934"/>
        <v>0</v>
      </c>
      <c r="BM1077" s="5">
        <f t="shared" si="934"/>
        <v>0</v>
      </c>
      <c r="BN1077" s="5">
        <f t="shared" si="934"/>
        <v>0</v>
      </c>
      <c r="BO1077" s="5">
        <f t="shared" si="932"/>
        <v>0</v>
      </c>
      <c r="BP1077" s="5">
        <f t="shared" si="932"/>
        <v>0</v>
      </c>
      <c r="BQ1077" s="5">
        <f t="shared" si="932"/>
        <v>0</v>
      </c>
      <c r="BR1077" s="5">
        <f t="shared" si="932"/>
        <v>0</v>
      </c>
      <c r="BS1077" s="5">
        <f t="shared" si="932"/>
        <v>0</v>
      </c>
      <c r="BT1077" s="5">
        <f t="shared" si="932"/>
        <v>0</v>
      </c>
      <c r="BU1077" s="5">
        <f t="shared" si="932"/>
        <v>0</v>
      </c>
      <c r="BV1077" s="5">
        <f t="shared" si="932"/>
        <v>0</v>
      </c>
      <c r="BW1077" s="5">
        <f t="shared" si="932"/>
        <v>0</v>
      </c>
      <c r="BX1077" s="5">
        <f t="shared" si="932"/>
        <v>0</v>
      </c>
      <c r="BY1077" s="5">
        <f t="shared" si="932"/>
        <v>0</v>
      </c>
      <c r="BZ1077" s="5">
        <f t="shared" si="932"/>
        <v>0</v>
      </c>
      <c r="CA1077" s="5">
        <f t="shared" si="932"/>
        <v>0</v>
      </c>
      <c r="CB1077" s="5">
        <f t="shared" si="932"/>
        <v>0</v>
      </c>
      <c r="CC1077" s="5">
        <f t="shared" si="929"/>
        <v>1</v>
      </c>
      <c r="CD1077" s="5">
        <f t="shared" si="929"/>
        <v>0</v>
      </c>
      <c r="CE1077" s="5">
        <f t="shared" si="929"/>
        <v>0</v>
      </c>
    </row>
    <row r="1078" spans="1:83" x14ac:dyDescent="0.2">
      <c r="A1078" s="11"/>
      <c r="B1078" s="11"/>
      <c r="C1078" s="1">
        <f>Growth!D1083</f>
        <v>2.564102564102564E-2</v>
      </c>
      <c r="D1078" s="5" t="b">
        <f t="shared" si="907"/>
        <v>0</v>
      </c>
      <c r="E1078" s="5">
        <v>2013</v>
      </c>
      <c r="F1078" s="5">
        <f ca="1">LOOKUP($E1078,frequence!$A$2:$A$35,frequence!L$2:L$35)</f>
        <v>46.610663652887361</v>
      </c>
      <c r="G1078" s="5">
        <f ca="1">LOOKUP($E1078,frequence!$A$2:$A$35,frequence!K$2:K$35)</f>
        <v>7.3617115683267258</v>
      </c>
      <c r="H1078" s="5">
        <f ca="1">LOOKUP($E1078,frequence!$A$2:$A$35,frequence!M$2:M$35)</f>
        <v>214.81113443396845</v>
      </c>
      <c r="I1078" s="16">
        <v>2005</v>
      </c>
      <c r="J1078" s="7">
        <f>LOOKUP(I1078,CPI!A$69:A$103,CPI!O$69:O$103)</f>
        <v>1.1165181771633383</v>
      </c>
      <c r="K1078" s="16">
        <v>2005</v>
      </c>
      <c r="L1078" s="7">
        <f t="shared" ca="1" si="900"/>
        <v>1</v>
      </c>
      <c r="M1078" s="7">
        <f t="shared" si="933"/>
        <v>0.16153846153846152</v>
      </c>
      <c r="N1078" s="14">
        <f t="shared" si="922"/>
        <v>2.564102564102564E-2</v>
      </c>
      <c r="O1078" s="1">
        <f ca="1">P1078*J1078*(1+Growth!G$6)^(2010-K1078)</f>
        <v>66.194440006666341</v>
      </c>
      <c r="P1078" s="22">
        <f>15*44/12</f>
        <v>55</v>
      </c>
      <c r="Q1078" s="2">
        <f t="shared" si="930"/>
        <v>55</v>
      </c>
      <c r="R1078" s="21">
        <f t="shared" ca="1" si="931"/>
        <v>4381.7038877961495</v>
      </c>
      <c r="U1078" s="11"/>
      <c r="V1078" s="11"/>
      <c r="W1078" s="11"/>
      <c r="X1078" s="11"/>
      <c r="Y1078" s="11"/>
      <c r="Z1078" s="11"/>
      <c r="AA1078" s="11"/>
      <c r="AB1078" s="11"/>
      <c r="AC1078" s="1">
        <f t="shared" si="918"/>
        <v>6.3</v>
      </c>
      <c r="AD1078" s="5">
        <v>1</v>
      </c>
      <c r="AE1078" s="5">
        <v>0</v>
      </c>
      <c r="AF1078" s="5">
        <v>1</v>
      </c>
      <c r="AG1078" s="5">
        <v>0</v>
      </c>
      <c r="AH1078" s="5">
        <v>1</v>
      </c>
      <c r="AI1078" s="3">
        <f t="shared" si="919"/>
        <v>3.3</v>
      </c>
      <c r="AJ1078" s="5">
        <f t="shared" si="913"/>
        <v>0</v>
      </c>
      <c r="AK1078" s="5">
        <f t="shared" si="901"/>
        <v>0</v>
      </c>
      <c r="AL1078" s="5">
        <f t="shared" si="902"/>
        <v>0</v>
      </c>
      <c r="AM1078" s="5">
        <f t="shared" si="920"/>
        <v>0</v>
      </c>
      <c r="AN1078" s="5">
        <f t="shared" si="903"/>
        <v>0</v>
      </c>
      <c r="AO1078" s="5">
        <f t="shared" si="921"/>
        <v>1</v>
      </c>
      <c r="AP1078" s="11" t="s">
        <v>42</v>
      </c>
      <c r="AQ1078" s="11">
        <v>0</v>
      </c>
      <c r="AR1078" s="5">
        <v>0</v>
      </c>
      <c r="AS1078" s="5">
        <v>0</v>
      </c>
      <c r="AT1078" s="5">
        <v>1</v>
      </c>
      <c r="AU1078" s="5">
        <v>0</v>
      </c>
      <c r="AV1078" s="5">
        <v>0</v>
      </c>
      <c r="AW1078" s="5">
        <v>0</v>
      </c>
      <c r="AX1078" s="5">
        <v>1</v>
      </c>
      <c r="AY1078" s="1">
        <f t="shared" si="914"/>
        <v>0</v>
      </c>
      <c r="AZ1078" s="1">
        <f t="shared" si="915"/>
        <v>0</v>
      </c>
      <c r="BA1078" s="1">
        <f t="shared" si="916"/>
        <v>1</v>
      </c>
      <c r="BB1078" s="5">
        <v>0</v>
      </c>
      <c r="BC1078" s="5">
        <v>0</v>
      </c>
      <c r="BD1078" s="5">
        <v>0</v>
      </c>
      <c r="BE1078" s="5">
        <f t="shared" si="917"/>
        <v>1</v>
      </c>
      <c r="BF1078" s="5">
        <v>0</v>
      </c>
      <c r="BG1078" s="5">
        <f t="shared" si="934"/>
        <v>0</v>
      </c>
      <c r="BH1078" s="5">
        <f t="shared" si="934"/>
        <v>0</v>
      </c>
      <c r="BI1078" s="5">
        <f t="shared" si="934"/>
        <v>0</v>
      </c>
      <c r="BJ1078" s="5">
        <f t="shared" si="934"/>
        <v>0</v>
      </c>
      <c r="BK1078" s="5">
        <f t="shared" si="934"/>
        <v>0</v>
      </c>
      <c r="BL1078" s="5">
        <f t="shared" si="934"/>
        <v>0</v>
      </c>
      <c r="BM1078" s="5">
        <f t="shared" si="934"/>
        <v>0</v>
      </c>
      <c r="BN1078" s="5">
        <f t="shared" si="934"/>
        <v>0</v>
      </c>
      <c r="BO1078" s="5">
        <f t="shared" si="932"/>
        <v>0</v>
      </c>
      <c r="BP1078" s="5">
        <f t="shared" si="932"/>
        <v>0</v>
      </c>
      <c r="BQ1078" s="5">
        <f t="shared" si="932"/>
        <v>0</v>
      </c>
      <c r="BR1078" s="5">
        <f t="shared" si="932"/>
        <v>0</v>
      </c>
      <c r="BS1078" s="5">
        <f t="shared" si="932"/>
        <v>0</v>
      </c>
      <c r="BT1078" s="5">
        <f t="shared" si="932"/>
        <v>0</v>
      </c>
      <c r="BU1078" s="5">
        <f t="shared" si="932"/>
        <v>0</v>
      </c>
      <c r="BV1078" s="5">
        <f t="shared" si="932"/>
        <v>0</v>
      </c>
      <c r="BW1078" s="5">
        <f t="shared" si="932"/>
        <v>0</v>
      </c>
      <c r="BX1078" s="5">
        <f t="shared" si="932"/>
        <v>0</v>
      </c>
      <c r="BY1078" s="5">
        <f t="shared" si="932"/>
        <v>0</v>
      </c>
      <c r="BZ1078" s="5">
        <f t="shared" si="932"/>
        <v>0</v>
      </c>
      <c r="CA1078" s="5">
        <f t="shared" si="932"/>
        <v>0</v>
      </c>
      <c r="CB1078" s="5">
        <f t="shared" si="932"/>
        <v>0</v>
      </c>
      <c r="CC1078" s="5">
        <f t="shared" si="929"/>
        <v>1</v>
      </c>
      <c r="CD1078" s="5">
        <f t="shared" si="929"/>
        <v>0</v>
      </c>
      <c r="CE1078" s="5">
        <f t="shared" si="929"/>
        <v>0</v>
      </c>
    </row>
    <row r="1079" spans="1:83" x14ac:dyDescent="0.2">
      <c r="A1079" s="11"/>
      <c r="B1079" s="11"/>
      <c r="C1079" s="1">
        <f>Growth!D1084</f>
        <v>2.564102564102564E-2</v>
      </c>
      <c r="D1079" s="5" t="b">
        <f t="shared" si="907"/>
        <v>0</v>
      </c>
      <c r="E1079" s="5">
        <v>2013</v>
      </c>
      <c r="F1079" s="5">
        <f ca="1">LOOKUP($E1079,frequence!$A$2:$A$35,frequence!L$2:L$35)</f>
        <v>46.610663652887361</v>
      </c>
      <c r="G1079" s="5">
        <f ca="1">LOOKUP($E1079,frequence!$A$2:$A$35,frequence!K$2:K$35)</f>
        <v>7.3617115683267258</v>
      </c>
      <c r="H1079" s="5">
        <f ca="1">LOOKUP($E1079,frequence!$A$2:$A$35,frequence!M$2:M$35)</f>
        <v>214.81113443396845</v>
      </c>
      <c r="I1079" s="16">
        <v>2005</v>
      </c>
      <c r="J1079" s="7">
        <f>LOOKUP(I1079,CPI!A$69:A$103,CPI!O$69:O$103)</f>
        <v>1.1165181771633383</v>
      </c>
      <c r="K1079" s="16">
        <v>2005</v>
      </c>
      <c r="L1079" s="7">
        <f t="shared" ca="1" si="900"/>
        <v>1</v>
      </c>
      <c r="M1079" s="7">
        <f t="shared" si="933"/>
        <v>0.16153846153846152</v>
      </c>
      <c r="N1079" s="14">
        <f t="shared" si="922"/>
        <v>2.564102564102564E-2</v>
      </c>
      <c r="O1079" s="1">
        <f ca="1">P1079*J1079*(1+Growth!G$6)^(2010-K1079)</f>
        <v>41.481849070844241</v>
      </c>
      <c r="P1079" s="22">
        <f>9.4*44/12</f>
        <v>34.466666666666669</v>
      </c>
      <c r="Q1079" s="2">
        <f t="shared" si="930"/>
        <v>34.466666666666669</v>
      </c>
      <c r="R1079" s="21">
        <f t="shared" ca="1" si="931"/>
        <v>1720.7438023363013</v>
      </c>
      <c r="U1079" s="11"/>
      <c r="V1079" s="11"/>
      <c r="W1079" s="11"/>
      <c r="X1079" s="11"/>
      <c r="Y1079" s="11"/>
      <c r="Z1079" s="11"/>
      <c r="AA1079" s="11"/>
      <c r="AB1079" s="11"/>
      <c r="AC1079" s="1">
        <f t="shared" si="918"/>
        <v>6.3</v>
      </c>
      <c r="AD1079" s="5">
        <v>1</v>
      </c>
      <c r="AE1079" s="5">
        <v>0</v>
      </c>
      <c r="AF1079" s="5">
        <v>1</v>
      </c>
      <c r="AG1079" s="5">
        <v>0</v>
      </c>
      <c r="AH1079" s="5">
        <v>1</v>
      </c>
      <c r="AI1079" s="3">
        <f t="shared" si="919"/>
        <v>3.3</v>
      </c>
      <c r="AJ1079" s="5">
        <f t="shared" si="913"/>
        <v>0</v>
      </c>
      <c r="AK1079" s="5">
        <f t="shared" si="901"/>
        <v>0</v>
      </c>
      <c r="AL1079" s="5">
        <f t="shared" si="902"/>
        <v>0</v>
      </c>
      <c r="AM1079" s="5">
        <f t="shared" si="920"/>
        <v>1</v>
      </c>
      <c r="AN1079" s="5">
        <f t="shared" si="903"/>
        <v>0</v>
      </c>
      <c r="AO1079" s="5">
        <f t="shared" si="921"/>
        <v>0</v>
      </c>
      <c r="AP1079" s="11" t="s">
        <v>42</v>
      </c>
      <c r="AQ1079" s="11">
        <v>1</v>
      </c>
      <c r="AR1079" s="5">
        <v>0</v>
      </c>
      <c r="AS1079" s="5">
        <v>0</v>
      </c>
      <c r="AT1079" s="5">
        <v>1</v>
      </c>
      <c r="AU1079" s="5">
        <v>0</v>
      </c>
      <c r="AV1079" s="5">
        <v>0</v>
      </c>
      <c r="AW1079" s="5">
        <v>0</v>
      </c>
      <c r="AX1079" s="5">
        <v>1</v>
      </c>
      <c r="AY1079" s="1">
        <f t="shared" si="914"/>
        <v>0</v>
      </c>
      <c r="AZ1079" s="1">
        <f t="shared" si="915"/>
        <v>1</v>
      </c>
      <c r="BA1079" s="1">
        <f t="shared" si="916"/>
        <v>0</v>
      </c>
      <c r="BB1079" s="5">
        <v>0</v>
      </c>
      <c r="BC1079" s="5">
        <v>0</v>
      </c>
      <c r="BD1079" s="5">
        <v>0</v>
      </c>
      <c r="BE1079" s="5">
        <f t="shared" si="917"/>
        <v>1</v>
      </c>
      <c r="BF1079" s="5">
        <v>0</v>
      </c>
      <c r="BG1079" s="5">
        <f t="shared" si="934"/>
        <v>0</v>
      </c>
      <c r="BH1079" s="5">
        <f t="shared" si="934"/>
        <v>0</v>
      </c>
      <c r="BI1079" s="5">
        <f t="shared" si="934"/>
        <v>0</v>
      </c>
      <c r="BJ1079" s="5">
        <f t="shared" si="934"/>
        <v>0</v>
      </c>
      <c r="BK1079" s="5">
        <f t="shared" si="934"/>
        <v>0</v>
      </c>
      <c r="BL1079" s="5">
        <f t="shared" si="934"/>
        <v>0</v>
      </c>
      <c r="BM1079" s="5">
        <f t="shared" si="934"/>
        <v>0</v>
      </c>
      <c r="BN1079" s="5">
        <f t="shared" si="934"/>
        <v>0</v>
      </c>
      <c r="BO1079" s="5">
        <f t="shared" si="932"/>
        <v>0</v>
      </c>
      <c r="BP1079" s="5">
        <f t="shared" si="932"/>
        <v>0</v>
      </c>
      <c r="BQ1079" s="5">
        <f t="shared" si="932"/>
        <v>0</v>
      </c>
      <c r="BR1079" s="5">
        <f t="shared" si="932"/>
        <v>0</v>
      </c>
      <c r="BS1079" s="5">
        <f t="shared" si="932"/>
        <v>0</v>
      </c>
      <c r="BT1079" s="5">
        <f t="shared" si="932"/>
        <v>0</v>
      </c>
      <c r="BU1079" s="5">
        <f t="shared" si="932"/>
        <v>0</v>
      </c>
      <c r="BV1079" s="5">
        <f t="shared" si="932"/>
        <v>0</v>
      </c>
      <c r="BW1079" s="5">
        <f t="shared" si="932"/>
        <v>0</v>
      </c>
      <c r="BX1079" s="5">
        <f t="shared" si="932"/>
        <v>0</v>
      </c>
      <c r="BY1079" s="5">
        <f t="shared" si="932"/>
        <v>0</v>
      </c>
      <c r="BZ1079" s="5">
        <f t="shared" si="932"/>
        <v>0</v>
      </c>
      <c r="CA1079" s="5">
        <f t="shared" si="932"/>
        <v>0</v>
      </c>
      <c r="CB1079" s="5">
        <f t="shared" si="932"/>
        <v>0</v>
      </c>
      <c r="CC1079" s="5">
        <f t="shared" si="929"/>
        <v>1</v>
      </c>
      <c r="CD1079" s="5">
        <f t="shared" si="929"/>
        <v>0</v>
      </c>
      <c r="CE1079" s="5">
        <f t="shared" si="929"/>
        <v>0</v>
      </c>
    </row>
    <row r="1080" spans="1:83" x14ac:dyDescent="0.2">
      <c r="A1080" s="11"/>
      <c r="B1080" s="11"/>
      <c r="C1080" s="1">
        <f>Growth!D1085</f>
        <v>2.564102564102564E-2</v>
      </c>
      <c r="D1080" s="5" t="b">
        <f t="shared" si="907"/>
        <v>0</v>
      </c>
      <c r="E1080" s="5">
        <v>2013</v>
      </c>
      <c r="F1080" s="5">
        <f ca="1">LOOKUP($E1080,frequence!$A$2:$A$35,frequence!L$2:L$35)</f>
        <v>46.610663652887361</v>
      </c>
      <c r="G1080" s="5">
        <f ca="1">LOOKUP($E1080,frequence!$A$2:$A$35,frequence!K$2:K$35)</f>
        <v>7.3617115683267258</v>
      </c>
      <c r="H1080" s="5">
        <f ca="1">LOOKUP($E1080,frequence!$A$2:$A$35,frequence!M$2:M$35)</f>
        <v>214.81113443396845</v>
      </c>
      <c r="I1080" s="16">
        <v>2005</v>
      </c>
      <c r="J1080" s="7">
        <f>LOOKUP(I1080,CPI!A$69:A$103,CPI!O$69:O$103)</f>
        <v>1.1165181771633383</v>
      </c>
      <c r="K1080" s="16">
        <v>2005</v>
      </c>
      <c r="L1080" s="7">
        <f t="shared" ca="1" si="900"/>
        <v>1</v>
      </c>
      <c r="M1080" s="7">
        <f t="shared" si="933"/>
        <v>0.16153846153846152</v>
      </c>
      <c r="N1080" s="14">
        <f t="shared" si="922"/>
        <v>2.564102564102564E-2</v>
      </c>
      <c r="O1080" s="1">
        <f ca="1">P1080*J1080*(1+Growth!G$6)^(2010-K1080)</f>
        <v>20.740924535422121</v>
      </c>
      <c r="P1080" s="22">
        <f>4.7*44/12</f>
        <v>17.233333333333334</v>
      </c>
      <c r="Q1080" s="2">
        <f t="shared" si="930"/>
        <v>17.233333333333334</v>
      </c>
      <c r="R1080" s="21">
        <f t="shared" ca="1" si="931"/>
        <v>430.18595058407533</v>
      </c>
      <c r="U1080" s="11"/>
      <c r="V1080" s="11"/>
      <c r="W1080" s="11"/>
      <c r="X1080" s="11"/>
      <c r="Y1080" s="11"/>
      <c r="Z1080" s="11"/>
      <c r="AA1080" s="11"/>
      <c r="AB1080" s="11"/>
      <c r="AC1080" s="1">
        <f t="shared" si="918"/>
        <v>6.3</v>
      </c>
      <c r="AD1080" s="5">
        <v>1</v>
      </c>
      <c r="AE1080" s="5">
        <v>0</v>
      </c>
      <c r="AF1080" s="5">
        <v>1</v>
      </c>
      <c r="AG1080" s="5">
        <v>0</v>
      </c>
      <c r="AH1080" s="5">
        <v>1</v>
      </c>
      <c r="AI1080" s="3">
        <f t="shared" si="919"/>
        <v>3.3</v>
      </c>
      <c r="AJ1080" s="5">
        <f t="shared" si="913"/>
        <v>0</v>
      </c>
      <c r="AK1080" s="5">
        <f t="shared" si="901"/>
        <v>1</v>
      </c>
      <c r="AL1080" s="5">
        <f t="shared" si="902"/>
        <v>0</v>
      </c>
      <c r="AM1080" s="5">
        <f t="shared" si="920"/>
        <v>0</v>
      </c>
      <c r="AN1080" s="5">
        <f t="shared" si="903"/>
        <v>0</v>
      </c>
      <c r="AO1080" s="5">
        <f t="shared" si="921"/>
        <v>0</v>
      </c>
      <c r="AP1080" s="11" t="s">
        <v>42</v>
      </c>
      <c r="AQ1080" s="11">
        <v>2</v>
      </c>
      <c r="AR1080" s="5">
        <v>0</v>
      </c>
      <c r="AS1080" s="5">
        <v>0</v>
      </c>
      <c r="AT1080" s="5">
        <v>1</v>
      </c>
      <c r="AU1080" s="5">
        <v>0</v>
      </c>
      <c r="AV1080" s="5">
        <v>0</v>
      </c>
      <c r="AW1080" s="5">
        <v>0</v>
      </c>
      <c r="AX1080" s="5">
        <v>1</v>
      </c>
      <c r="AY1080" s="1">
        <f t="shared" si="914"/>
        <v>0</v>
      </c>
      <c r="AZ1080" s="1">
        <f t="shared" si="915"/>
        <v>0</v>
      </c>
      <c r="BA1080" s="1">
        <f t="shared" si="916"/>
        <v>0</v>
      </c>
      <c r="BB1080" s="5">
        <v>0</v>
      </c>
      <c r="BC1080" s="5">
        <v>0</v>
      </c>
      <c r="BD1080" s="5">
        <v>0</v>
      </c>
      <c r="BE1080" s="5">
        <f t="shared" si="917"/>
        <v>1</v>
      </c>
      <c r="BF1080" s="5">
        <v>0</v>
      </c>
      <c r="BG1080" s="5">
        <f t="shared" si="934"/>
        <v>0</v>
      </c>
      <c r="BH1080" s="5">
        <f t="shared" si="934"/>
        <v>0</v>
      </c>
      <c r="BI1080" s="5">
        <f t="shared" si="934"/>
        <v>0</v>
      </c>
      <c r="BJ1080" s="5">
        <f t="shared" si="934"/>
        <v>0</v>
      </c>
      <c r="BK1080" s="5">
        <f t="shared" si="934"/>
        <v>0</v>
      </c>
      <c r="BL1080" s="5">
        <f t="shared" si="934"/>
        <v>0</v>
      </c>
      <c r="BM1080" s="5">
        <f t="shared" si="934"/>
        <v>0</v>
      </c>
      <c r="BN1080" s="5">
        <f t="shared" si="934"/>
        <v>0</v>
      </c>
      <c r="BO1080" s="5">
        <f t="shared" si="932"/>
        <v>0</v>
      </c>
      <c r="BP1080" s="5">
        <f t="shared" si="932"/>
        <v>0</v>
      </c>
      <c r="BQ1080" s="5">
        <f t="shared" si="932"/>
        <v>0</v>
      </c>
      <c r="BR1080" s="5">
        <f t="shared" si="932"/>
        <v>0</v>
      </c>
      <c r="BS1080" s="5">
        <f t="shared" si="932"/>
        <v>0</v>
      </c>
      <c r="BT1080" s="5">
        <f t="shared" si="932"/>
        <v>0</v>
      </c>
      <c r="BU1080" s="5">
        <f t="shared" si="932"/>
        <v>0</v>
      </c>
      <c r="BV1080" s="5">
        <f t="shared" si="932"/>
        <v>0</v>
      </c>
      <c r="BW1080" s="5">
        <f t="shared" si="932"/>
        <v>0</v>
      </c>
      <c r="BX1080" s="5">
        <f t="shared" si="932"/>
        <v>0</v>
      </c>
      <c r="BY1080" s="5">
        <f t="shared" si="932"/>
        <v>0</v>
      </c>
      <c r="BZ1080" s="5">
        <f t="shared" si="932"/>
        <v>0</v>
      </c>
      <c r="CA1080" s="5">
        <f t="shared" si="932"/>
        <v>0</v>
      </c>
      <c r="CB1080" s="5">
        <f t="shared" si="932"/>
        <v>0</v>
      </c>
      <c r="CC1080" s="5">
        <f t="shared" si="929"/>
        <v>1</v>
      </c>
      <c r="CD1080" s="5">
        <f t="shared" si="929"/>
        <v>0</v>
      </c>
      <c r="CE1080" s="5">
        <f t="shared" si="929"/>
        <v>0</v>
      </c>
    </row>
    <row r="1081" spans="1:83" x14ac:dyDescent="0.2">
      <c r="A1081" s="11"/>
      <c r="B1081" s="11"/>
      <c r="C1081" s="1">
        <f>Growth!D1086</f>
        <v>2.564102564102564E-2</v>
      </c>
      <c r="D1081" s="5" t="b">
        <f t="shared" si="907"/>
        <v>0</v>
      </c>
      <c r="E1081" s="5">
        <v>2013</v>
      </c>
      <c r="F1081" s="5">
        <f ca="1">LOOKUP($E1081,frequence!$A$2:$A$35,frequence!L$2:L$35)</f>
        <v>46.610663652887361</v>
      </c>
      <c r="G1081" s="5">
        <f ca="1">LOOKUP($E1081,frequence!$A$2:$A$35,frequence!K$2:K$35)</f>
        <v>7.3617115683267258</v>
      </c>
      <c r="H1081" s="5">
        <f ca="1">LOOKUP($E1081,frequence!$A$2:$A$35,frequence!M$2:M$35)</f>
        <v>214.81113443396845</v>
      </c>
      <c r="I1081" s="16">
        <v>2005</v>
      </c>
      <c r="J1081" s="7">
        <f>LOOKUP(I1081,CPI!A$69:A$103,CPI!O$69:O$103)</f>
        <v>1.1165181771633383</v>
      </c>
      <c r="K1081" s="16">
        <v>2005</v>
      </c>
      <c r="L1081" s="7">
        <f t="shared" ca="1" si="900"/>
        <v>1</v>
      </c>
      <c r="M1081" s="7">
        <f t="shared" si="933"/>
        <v>0.16153846153846152</v>
      </c>
      <c r="N1081" s="14">
        <f>1/39</f>
        <v>2.564102564102564E-2</v>
      </c>
      <c r="O1081" s="1">
        <f ca="1">P1081*J1081*(1+Growth!G$6)^(2010-K1081)</f>
        <v>12.35629546791105</v>
      </c>
      <c r="P1081" s="22">
        <f>2.8*44/12</f>
        <v>10.266666666666666</v>
      </c>
      <c r="Q1081" s="2">
        <f t="shared" si="930"/>
        <v>10.266666666666666</v>
      </c>
      <c r="R1081" s="21">
        <f t="shared" ca="1" si="931"/>
        <v>152.67803769031914</v>
      </c>
      <c r="U1081" s="11"/>
      <c r="V1081" s="11"/>
      <c r="W1081" s="11"/>
      <c r="X1081" s="11"/>
      <c r="Y1081" s="11"/>
      <c r="Z1081" s="11"/>
      <c r="AA1081" s="11"/>
      <c r="AB1081" s="11"/>
      <c r="AC1081" s="1">
        <f t="shared" si="918"/>
        <v>6.3</v>
      </c>
      <c r="AD1081" s="5">
        <v>1</v>
      </c>
      <c r="AE1081" s="5">
        <v>0</v>
      </c>
      <c r="AF1081" s="5">
        <v>1</v>
      </c>
      <c r="AG1081" s="5">
        <v>0</v>
      </c>
      <c r="AH1081" s="5">
        <v>1</v>
      </c>
      <c r="AI1081" s="3">
        <f t="shared" si="919"/>
        <v>3.3</v>
      </c>
      <c r="AJ1081" s="5">
        <f t="shared" si="913"/>
        <v>1</v>
      </c>
      <c r="AK1081" s="5">
        <f t="shared" si="901"/>
        <v>0</v>
      </c>
      <c r="AL1081" s="5">
        <f t="shared" si="902"/>
        <v>0</v>
      </c>
      <c r="AM1081" s="5">
        <f t="shared" si="920"/>
        <v>0</v>
      </c>
      <c r="AN1081" s="5">
        <f t="shared" si="903"/>
        <v>0</v>
      </c>
      <c r="AO1081" s="5">
        <f t="shared" si="921"/>
        <v>0</v>
      </c>
      <c r="AP1081" s="11" t="s">
        <v>42</v>
      </c>
      <c r="AQ1081" s="11">
        <v>3</v>
      </c>
      <c r="AR1081" s="5">
        <v>0</v>
      </c>
      <c r="AS1081" s="5">
        <v>0</v>
      </c>
      <c r="AT1081" s="5">
        <v>1</v>
      </c>
      <c r="AU1081" s="5">
        <v>0</v>
      </c>
      <c r="AV1081" s="5">
        <v>0</v>
      </c>
      <c r="AW1081" s="5">
        <v>0</v>
      </c>
      <c r="AX1081" s="5">
        <v>1</v>
      </c>
      <c r="AY1081" s="1">
        <f t="shared" si="914"/>
        <v>1</v>
      </c>
      <c r="AZ1081" s="1">
        <f t="shared" si="915"/>
        <v>0</v>
      </c>
      <c r="BA1081" s="1">
        <f t="shared" si="916"/>
        <v>0</v>
      </c>
      <c r="BB1081" s="5">
        <v>0</v>
      </c>
      <c r="BC1081" s="5">
        <v>0</v>
      </c>
      <c r="BD1081" s="5">
        <v>0</v>
      </c>
      <c r="BE1081" s="5">
        <f t="shared" si="917"/>
        <v>1</v>
      </c>
      <c r="BF1081" s="5">
        <v>0</v>
      </c>
      <c r="BG1081" s="5">
        <f t="shared" si="934"/>
        <v>0</v>
      </c>
      <c r="BH1081" s="5">
        <f t="shared" si="934"/>
        <v>0</v>
      </c>
      <c r="BI1081" s="5">
        <f t="shared" si="934"/>
        <v>0</v>
      </c>
      <c r="BJ1081" s="5">
        <f t="shared" si="934"/>
        <v>0</v>
      </c>
      <c r="BK1081" s="5">
        <f t="shared" si="934"/>
        <v>0</v>
      </c>
      <c r="BL1081" s="5">
        <f t="shared" si="934"/>
        <v>0</v>
      </c>
      <c r="BM1081" s="5">
        <f t="shared" si="934"/>
        <v>0</v>
      </c>
      <c r="BN1081" s="5">
        <f t="shared" si="934"/>
        <v>0</v>
      </c>
      <c r="BO1081" s="5">
        <f t="shared" si="932"/>
        <v>0</v>
      </c>
      <c r="BP1081" s="5">
        <f t="shared" si="932"/>
        <v>0</v>
      </c>
      <c r="BQ1081" s="5">
        <f t="shared" si="932"/>
        <v>0</v>
      </c>
      <c r="BR1081" s="5">
        <f t="shared" si="932"/>
        <v>0</v>
      </c>
      <c r="BS1081" s="5">
        <f t="shared" si="932"/>
        <v>0</v>
      </c>
      <c r="BT1081" s="5">
        <f t="shared" si="932"/>
        <v>0</v>
      </c>
      <c r="BU1081" s="5">
        <f t="shared" si="932"/>
        <v>0</v>
      </c>
      <c r="BV1081" s="5">
        <f t="shared" si="932"/>
        <v>0</v>
      </c>
      <c r="BW1081" s="5">
        <f t="shared" si="932"/>
        <v>0</v>
      </c>
      <c r="BX1081" s="5">
        <f t="shared" si="932"/>
        <v>0</v>
      </c>
      <c r="BY1081" s="5">
        <f t="shared" si="932"/>
        <v>0</v>
      </c>
      <c r="BZ1081" s="5">
        <f t="shared" si="932"/>
        <v>0</v>
      </c>
      <c r="CA1081" s="5">
        <f t="shared" si="932"/>
        <v>0</v>
      </c>
      <c r="CB1081" s="5">
        <f t="shared" si="932"/>
        <v>0</v>
      </c>
      <c r="CC1081" s="5">
        <f t="shared" si="929"/>
        <v>1</v>
      </c>
      <c r="CD1081" s="5">
        <f t="shared" si="929"/>
        <v>0</v>
      </c>
      <c r="CE1081" s="5">
        <f t="shared" si="929"/>
        <v>0</v>
      </c>
    </row>
    <row r="1082" spans="1:83" x14ac:dyDescent="0.2">
      <c r="A1082" s="11" t="s">
        <v>214</v>
      </c>
      <c r="B1082" s="11" t="s">
        <v>197</v>
      </c>
      <c r="C1082" s="1">
        <f>Growth!D1087</f>
        <v>7.6923076923076927E-2</v>
      </c>
      <c r="D1082" s="5">
        <f t="shared" si="907"/>
        <v>2013</v>
      </c>
      <c r="E1082" s="5">
        <v>2013</v>
      </c>
      <c r="F1082" s="5">
        <f ca="1">LOOKUP($E1082,frequence!$A$2:$A$35,frequence!L$2:L$35)</f>
        <v>46.610663652887361</v>
      </c>
      <c r="G1082" s="5">
        <f ca="1">LOOKUP($E1082,frequence!$A$2:$A$35,frequence!K$2:K$35)</f>
        <v>7.3617115683267258</v>
      </c>
      <c r="H1082" s="5">
        <f ca="1">LOOKUP($E1082,frequence!$A$2:$A$35,frequence!M$2:M$35)</f>
        <v>214.81113443396845</v>
      </c>
      <c r="I1082" s="16">
        <v>1995</v>
      </c>
      <c r="J1082" s="7">
        <f>LOOKUP(I1082,CPI!A$69:A$103,CPI!O$69:O$103)</f>
        <v>1.4308136482939633</v>
      </c>
      <c r="K1082" s="16">
        <v>2015</v>
      </c>
      <c r="L1082" s="7">
        <f t="shared" ca="1" si="900"/>
        <v>1</v>
      </c>
      <c r="M1082" s="7">
        <f t="shared" si="933"/>
        <v>0.40769230769230769</v>
      </c>
      <c r="N1082" s="14">
        <f>1/13</f>
        <v>7.6923076923076927E-2</v>
      </c>
      <c r="O1082" s="1">
        <f ca="1">P1082*J1082*(1+Growth!G$6)^(2010-K1082)</f>
        <v>77.872023894622671</v>
      </c>
      <c r="P1082" s="22">
        <f>16*44/12</f>
        <v>58.666666666666664</v>
      </c>
      <c r="Q1082" s="2">
        <f t="shared" si="930"/>
        <v>58.666666666666664</v>
      </c>
      <c r="R1082" s="21">
        <f t="shared" ca="1" si="931"/>
        <v>6064.0521054446845</v>
      </c>
      <c r="U1082" s="11"/>
      <c r="V1082" s="11"/>
      <c r="W1082" s="11"/>
      <c r="X1082" s="11"/>
      <c r="Y1082" s="11"/>
      <c r="Z1082" s="11"/>
      <c r="AA1082" s="11"/>
      <c r="AB1082" s="11"/>
      <c r="AC1082" s="1">
        <f t="shared" ref="AC1082" si="935">SUM(AD1082:AI1082)</f>
        <v>5.3</v>
      </c>
      <c r="AD1082" s="5">
        <v>0</v>
      </c>
      <c r="AE1082" s="5">
        <v>0</v>
      </c>
      <c r="AF1082" s="5">
        <v>1</v>
      </c>
      <c r="AG1082" s="5">
        <v>0</v>
      </c>
      <c r="AH1082" s="5">
        <v>1</v>
      </c>
      <c r="AI1082" s="3">
        <f t="shared" si="919"/>
        <v>3.3</v>
      </c>
      <c r="AJ1082" s="5">
        <f t="shared" si="913"/>
        <v>0</v>
      </c>
      <c r="AK1082" s="5">
        <f t="shared" si="901"/>
        <v>0</v>
      </c>
      <c r="AL1082" s="5">
        <f t="shared" si="902"/>
        <v>0</v>
      </c>
      <c r="AM1082" s="5">
        <f t="shared" si="920"/>
        <v>0</v>
      </c>
      <c r="AN1082" s="5">
        <f t="shared" si="903"/>
        <v>0</v>
      </c>
      <c r="AO1082" s="5">
        <f t="shared" si="921"/>
        <v>0</v>
      </c>
      <c r="AP1082" s="11" t="s">
        <v>42</v>
      </c>
      <c r="AQ1082" s="16" t="s">
        <v>42</v>
      </c>
      <c r="AR1082" s="5">
        <v>0</v>
      </c>
      <c r="AS1082" s="5">
        <v>0</v>
      </c>
      <c r="AT1082" s="5">
        <v>0</v>
      </c>
      <c r="AU1082" s="5">
        <v>1</v>
      </c>
      <c r="AV1082" s="5">
        <v>0</v>
      </c>
      <c r="AW1082" s="5">
        <v>0</v>
      </c>
      <c r="AX1082" s="5">
        <v>1</v>
      </c>
      <c r="AY1082" s="1">
        <f t="shared" ref="AY1082:AY1091" si="936">AJ1082*$AD1082*(1-$AV1082)*(1-$AR1082)</f>
        <v>0</v>
      </c>
      <c r="AZ1082" s="1">
        <f t="shared" ref="AZ1082:AZ1091" si="937">AM1082*$AD1082*(1-$AV1082)*(1-$AR1082)</f>
        <v>0</v>
      </c>
      <c r="BA1082" s="1">
        <f t="shared" ref="BA1082:BA1091" si="938">AO1082*$AD1082*(1-$AV1082)*(1-$AR1082)</f>
        <v>0</v>
      </c>
      <c r="BB1082" s="5">
        <v>0</v>
      </c>
      <c r="BC1082" s="5">
        <v>0</v>
      </c>
      <c r="BD1082" s="5">
        <v>0</v>
      </c>
      <c r="BE1082" s="5">
        <f t="shared" ref="BE1082:BE1091" si="939">1-SUM(BB1082:BD1082)</f>
        <v>1</v>
      </c>
      <c r="BF1082" s="5">
        <v>0</v>
      </c>
      <c r="BG1082" s="5">
        <f t="shared" si="934"/>
        <v>0</v>
      </c>
      <c r="BH1082" s="5">
        <f t="shared" si="934"/>
        <v>0</v>
      </c>
      <c r="BI1082" s="5">
        <f t="shared" si="934"/>
        <v>0</v>
      </c>
      <c r="BJ1082" s="5">
        <f t="shared" si="934"/>
        <v>0</v>
      </c>
      <c r="BK1082" s="5">
        <f t="shared" si="934"/>
        <v>0</v>
      </c>
      <c r="BL1082" s="5">
        <f t="shared" si="934"/>
        <v>0</v>
      </c>
      <c r="BM1082" s="5">
        <f t="shared" si="934"/>
        <v>0</v>
      </c>
      <c r="BN1082" s="5">
        <f t="shared" si="934"/>
        <v>0</v>
      </c>
      <c r="BO1082" s="5">
        <f t="shared" si="932"/>
        <v>0</v>
      </c>
      <c r="BP1082" s="5">
        <f t="shared" si="932"/>
        <v>0</v>
      </c>
      <c r="BQ1082" s="5">
        <f t="shared" si="932"/>
        <v>0</v>
      </c>
      <c r="BR1082" s="5">
        <f t="shared" si="932"/>
        <v>0</v>
      </c>
      <c r="BS1082" s="5">
        <f t="shared" si="932"/>
        <v>0</v>
      </c>
      <c r="BT1082" s="5">
        <f t="shared" si="932"/>
        <v>0</v>
      </c>
      <c r="BU1082" s="5">
        <f t="shared" si="932"/>
        <v>0</v>
      </c>
      <c r="BV1082" s="5">
        <f t="shared" si="932"/>
        <v>0</v>
      </c>
      <c r="BW1082" s="5">
        <f t="shared" si="932"/>
        <v>0</v>
      </c>
      <c r="BX1082" s="5">
        <f t="shared" si="932"/>
        <v>0</v>
      </c>
      <c r="BY1082" s="5">
        <f t="shared" si="932"/>
        <v>0</v>
      </c>
      <c r="BZ1082" s="5">
        <f t="shared" si="932"/>
        <v>0</v>
      </c>
      <c r="CA1082" s="5">
        <f t="shared" si="932"/>
        <v>0</v>
      </c>
      <c r="CB1082" s="5">
        <f t="shared" si="932"/>
        <v>0</v>
      </c>
      <c r="CC1082" s="5">
        <f t="shared" si="929"/>
        <v>1</v>
      </c>
      <c r="CD1082" s="5">
        <f t="shared" si="929"/>
        <v>0</v>
      </c>
      <c r="CE1082" s="5">
        <f t="shared" si="929"/>
        <v>0</v>
      </c>
    </row>
    <row r="1083" spans="1:83" x14ac:dyDescent="0.2">
      <c r="A1083" s="11"/>
      <c r="B1083" s="11"/>
      <c r="C1083" s="1">
        <f>Growth!D1088</f>
        <v>7.6923076923076927E-2</v>
      </c>
      <c r="D1083" s="5" t="b">
        <f t="shared" si="907"/>
        <v>0</v>
      </c>
      <c r="E1083" s="5">
        <v>2013</v>
      </c>
      <c r="F1083" s="5">
        <f ca="1">LOOKUP($E1083,frequence!$A$2:$A$35,frequence!L$2:L$35)</f>
        <v>46.610663652887361</v>
      </c>
      <c r="G1083" s="5">
        <f ca="1">LOOKUP($E1083,frequence!$A$2:$A$35,frequence!K$2:K$35)</f>
        <v>7.3617115683267258</v>
      </c>
      <c r="H1083" s="5">
        <f ca="1">LOOKUP($E1083,frequence!$A$2:$A$35,frequence!M$2:M$35)</f>
        <v>214.81113443396845</v>
      </c>
      <c r="I1083" s="16">
        <v>1995</v>
      </c>
      <c r="J1083" s="7">
        <f>LOOKUP(I1083,CPI!A$69:A$103,CPI!O$69:O$103)</f>
        <v>1.4308136482939633</v>
      </c>
      <c r="K1083" s="16">
        <v>2015</v>
      </c>
      <c r="L1083" s="7">
        <f t="shared" ca="1" si="900"/>
        <v>1</v>
      </c>
      <c r="M1083" s="7">
        <f t="shared" si="933"/>
        <v>0.40769230769230769</v>
      </c>
      <c r="N1083" s="14">
        <f>1/13</f>
        <v>7.6923076923076927E-2</v>
      </c>
      <c r="O1083" s="1">
        <f ca="1">P1083*J1083*(1+Growth!G$6)^(2010-K1083)</f>
        <v>77.385323745281283</v>
      </c>
      <c r="P1083" s="23">
        <f>Q1083</f>
        <v>58.300000000000004</v>
      </c>
      <c r="Q1083" s="22">
        <f>15.9*44/12</f>
        <v>58.300000000000004</v>
      </c>
      <c r="R1083" s="21">
        <f t="shared" ca="1" si="931"/>
        <v>5988.4883311619951</v>
      </c>
      <c r="U1083" s="11"/>
      <c r="V1083" s="11"/>
      <c r="W1083" s="11"/>
      <c r="X1083" s="11"/>
      <c r="Y1083" s="11"/>
      <c r="Z1083" s="11"/>
      <c r="AA1083" s="11"/>
      <c r="AB1083" s="11"/>
      <c r="AC1083" s="1">
        <f t="shared" ref="AC1083:AC1091" si="940">SUM(AD1083:AI1083)</f>
        <v>5.3</v>
      </c>
      <c r="AD1083" s="5">
        <v>0</v>
      </c>
      <c r="AE1083" s="5">
        <v>0</v>
      </c>
      <c r="AF1083" s="5">
        <v>1</v>
      </c>
      <c r="AG1083" s="5">
        <v>0</v>
      </c>
      <c r="AH1083" s="5">
        <v>1</v>
      </c>
      <c r="AI1083" s="3">
        <f t="shared" ref="AI1083:AI1092" si="941">(E1083-1980)/10</f>
        <v>3.3</v>
      </c>
      <c r="AJ1083" s="5">
        <f t="shared" si="913"/>
        <v>0</v>
      </c>
      <c r="AK1083" s="5">
        <f t="shared" si="901"/>
        <v>0</v>
      </c>
      <c r="AL1083" s="5">
        <f t="shared" si="902"/>
        <v>0</v>
      </c>
      <c r="AM1083" s="5">
        <f t="shared" si="920"/>
        <v>0</v>
      </c>
      <c r="AN1083" s="5">
        <f t="shared" si="903"/>
        <v>0</v>
      </c>
      <c r="AO1083" s="5">
        <f t="shared" si="921"/>
        <v>0</v>
      </c>
      <c r="AP1083" s="11" t="s">
        <v>42</v>
      </c>
      <c r="AQ1083" s="16" t="s">
        <v>42</v>
      </c>
      <c r="AR1083" s="5">
        <v>0</v>
      </c>
      <c r="AS1083" s="5">
        <v>0</v>
      </c>
      <c r="AT1083" s="5">
        <v>1</v>
      </c>
      <c r="AU1083" s="5">
        <v>0</v>
      </c>
      <c r="AV1083" s="5">
        <v>0</v>
      </c>
      <c r="AW1083" s="5">
        <v>0</v>
      </c>
      <c r="AX1083" s="5">
        <v>1</v>
      </c>
      <c r="AY1083" s="1">
        <f t="shared" si="936"/>
        <v>0</v>
      </c>
      <c r="AZ1083" s="1">
        <f t="shared" si="937"/>
        <v>0</v>
      </c>
      <c r="BA1083" s="1">
        <f t="shared" si="938"/>
        <v>0</v>
      </c>
      <c r="BB1083" s="5">
        <v>0</v>
      </c>
      <c r="BC1083" s="5">
        <v>0</v>
      </c>
      <c r="BD1083" s="5">
        <v>0</v>
      </c>
      <c r="BE1083" s="5">
        <f t="shared" si="939"/>
        <v>1</v>
      </c>
      <c r="BF1083" s="5">
        <v>0</v>
      </c>
      <c r="BG1083" s="5">
        <f t="shared" si="934"/>
        <v>0</v>
      </c>
      <c r="BH1083" s="5">
        <f t="shared" si="934"/>
        <v>0</v>
      </c>
      <c r="BI1083" s="5">
        <f t="shared" si="934"/>
        <v>0</v>
      </c>
      <c r="BJ1083" s="5">
        <f t="shared" si="934"/>
        <v>0</v>
      </c>
      <c r="BK1083" s="5">
        <f t="shared" si="934"/>
        <v>0</v>
      </c>
      <c r="BL1083" s="5">
        <f t="shared" si="934"/>
        <v>0</v>
      </c>
      <c r="BM1083" s="5">
        <f t="shared" si="934"/>
        <v>0</v>
      </c>
      <c r="BN1083" s="5">
        <f t="shared" si="934"/>
        <v>0</v>
      </c>
      <c r="BO1083" s="5">
        <f t="shared" si="932"/>
        <v>0</v>
      </c>
      <c r="BP1083" s="5">
        <f t="shared" si="932"/>
        <v>0</v>
      </c>
      <c r="BQ1083" s="5">
        <f t="shared" si="932"/>
        <v>0</v>
      </c>
      <c r="BR1083" s="5">
        <f t="shared" si="932"/>
        <v>0</v>
      </c>
      <c r="BS1083" s="5">
        <f t="shared" si="932"/>
        <v>0</v>
      </c>
      <c r="BT1083" s="5">
        <f t="shared" si="932"/>
        <v>0</v>
      </c>
      <c r="BU1083" s="5">
        <f t="shared" si="932"/>
        <v>0</v>
      </c>
      <c r="BV1083" s="5">
        <f t="shared" si="932"/>
        <v>0</v>
      </c>
      <c r="BW1083" s="5">
        <f t="shared" si="932"/>
        <v>0</v>
      </c>
      <c r="BX1083" s="5">
        <f t="shared" si="932"/>
        <v>0</v>
      </c>
      <c r="BY1083" s="5">
        <f t="shared" si="932"/>
        <v>0</v>
      </c>
      <c r="BZ1083" s="5">
        <f t="shared" si="932"/>
        <v>0</v>
      </c>
      <c r="CA1083" s="5">
        <f t="shared" si="932"/>
        <v>0</v>
      </c>
      <c r="CB1083" s="5">
        <f t="shared" si="932"/>
        <v>0</v>
      </c>
      <c r="CC1083" s="5">
        <f t="shared" si="932"/>
        <v>1</v>
      </c>
      <c r="CD1083" s="5">
        <f t="shared" ref="CD1083:CE1102" si="942">IF($E1083=CD$2,1,0)</f>
        <v>0</v>
      </c>
      <c r="CE1083" s="5">
        <f t="shared" si="942"/>
        <v>0</v>
      </c>
    </row>
    <row r="1084" spans="1:83" x14ac:dyDescent="0.2">
      <c r="A1084" s="11"/>
      <c r="B1084" s="11"/>
      <c r="C1084" s="1">
        <f>Growth!D1089</f>
        <v>7.6923076923076927E-2</v>
      </c>
      <c r="D1084" s="5" t="b">
        <f t="shared" si="907"/>
        <v>0</v>
      </c>
      <c r="E1084" s="5">
        <v>2013</v>
      </c>
      <c r="F1084" s="5">
        <f ca="1">LOOKUP($E1084,frequence!$A$2:$A$35,frequence!L$2:L$35)</f>
        <v>46.610663652887361</v>
      </c>
      <c r="G1084" s="5">
        <f ca="1">LOOKUP($E1084,frequence!$A$2:$A$35,frequence!K$2:K$35)</f>
        <v>7.3617115683267258</v>
      </c>
      <c r="H1084" s="5">
        <f ca="1">LOOKUP($E1084,frequence!$A$2:$A$35,frequence!M$2:M$35)</f>
        <v>214.81113443396845</v>
      </c>
      <c r="I1084" s="16">
        <v>1995</v>
      </c>
      <c r="J1084" s="7">
        <f>LOOKUP(I1084,CPI!A$69:A$103,CPI!O$69:O$103)</f>
        <v>1.4308136482939633</v>
      </c>
      <c r="K1084" s="16">
        <v>2015</v>
      </c>
      <c r="L1084" s="7">
        <f t="shared" ca="1" si="900"/>
        <v>1</v>
      </c>
      <c r="M1084" s="7">
        <f t="shared" si="933"/>
        <v>0.40769230769230769</v>
      </c>
      <c r="N1084" s="14">
        <f>1/13</f>
        <v>7.6923076923076927E-2</v>
      </c>
      <c r="O1084" s="1">
        <f ca="1">P1084*J1084*(1+Growth!G$6)^(2010-K1084)</f>
        <v>92.473028374864427</v>
      </c>
      <c r="P1084" s="23">
        <f t="shared" ref="P1084:P1091" si="943">Q1084</f>
        <v>69.666666666666671</v>
      </c>
      <c r="Q1084" s="22">
        <f>19*44/12</f>
        <v>69.666666666666671</v>
      </c>
      <c r="R1084" s="21">
        <f t="shared" ca="1" si="931"/>
        <v>8551.2609768184811</v>
      </c>
      <c r="U1084" s="11"/>
      <c r="V1084" s="11"/>
      <c r="W1084" s="11"/>
      <c r="X1084" s="11"/>
      <c r="Y1084" s="11"/>
      <c r="Z1084" s="11"/>
      <c r="AA1084" s="11"/>
      <c r="AB1084" s="11"/>
      <c r="AC1084" s="1">
        <f t="shared" si="940"/>
        <v>5.3</v>
      </c>
      <c r="AD1084" s="5">
        <v>0</v>
      </c>
      <c r="AE1084" s="5">
        <v>0</v>
      </c>
      <c r="AF1084" s="5">
        <v>1</v>
      </c>
      <c r="AG1084" s="5">
        <v>0</v>
      </c>
      <c r="AH1084" s="5">
        <v>1</v>
      </c>
      <c r="AI1084" s="3">
        <f t="shared" si="941"/>
        <v>3.3</v>
      </c>
      <c r="AJ1084" s="5">
        <f t="shared" si="913"/>
        <v>0</v>
      </c>
      <c r="AK1084" s="5">
        <f t="shared" si="901"/>
        <v>0</v>
      </c>
      <c r="AL1084" s="5">
        <f t="shared" si="902"/>
        <v>0</v>
      </c>
      <c r="AM1084" s="5">
        <f t="shared" si="920"/>
        <v>0</v>
      </c>
      <c r="AN1084" s="5">
        <f t="shared" si="903"/>
        <v>0</v>
      </c>
      <c r="AO1084" s="5">
        <f t="shared" si="921"/>
        <v>0</v>
      </c>
      <c r="AP1084" s="11" t="s">
        <v>42</v>
      </c>
      <c r="AQ1084" s="16" t="s">
        <v>42</v>
      </c>
      <c r="AR1084" s="5">
        <v>0</v>
      </c>
      <c r="AS1084" s="5">
        <v>0</v>
      </c>
      <c r="AT1084" s="5">
        <v>1</v>
      </c>
      <c r="AU1084" s="5">
        <v>0</v>
      </c>
      <c r="AV1084" s="5">
        <v>0</v>
      </c>
      <c r="AW1084" s="5">
        <v>0</v>
      </c>
      <c r="AX1084" s="5">
        <v>1</v>
      </c>
      <c r="AY1084" s="1">
        <f t="shared" si="936"/>
        <v>0</v>
      </c>
      <c r="AZ1084" s="1">
        <f t="shared" si="937"/>
        <v>0</v>
      </c>
      <c r="BA1084" s="1">
        <f t="shared" si="938"/>
        <v>0</v>
      </c>
      <c r="BB1084" s="5">
        <v>0</v>
      </c>
      <c r="BC1084" s="5">
        <v>0</v>
      </c>
      <c r="BD1084" s="5">
        <v>0</v>
      </c>
      <c r="BE1084" s="5">
        <f t="shared" si="939"/>
        <v>1</v>
      </c>
      <c r="BF1084" s="5">
        <v>0</v>
      </c>
      <c r="BG1084" s="5">
        <f t="shared" si="934"/>
        <v>0</v>
      </c>
      <c r="BH1084" s="5">
        <f t="shared" si="934"/>
        <v>0</v>
      </c>
      <c r="BI1084" s="5">
        <f t="shared" si="934"/>
        <v>0</v>
      </c>
      <c r="BJ1084" s="5">
        <f t="shared" si="934"/>
        <v>0</v>
      </c>
      <c r="BK1084" s="5">
        <f t="shared" si="934"/>
        <v>0</v>
      </c>
      <c r="BL1084" s="5">
        <f t="shared" si="934"/>
        <v>0</v>
      </c>
      <c r="BM1084" s="5">
        <f t="shared" si="934"/>
        <v>0</v>
      </c>
      <c r="BN1084" s="5">
        <f t="shared" si="934"/>
        <v>0</v>
      </c>
      <c r="BO1084" s="5">
        <f t="shared" si="932"/>
        <v>0</v>
      </c>
      <c r="BP1084" s="5">
        <f t="shared" si="932"/>
        <v>0</v>
      </c>
      <c r="BQ1084" s="5">
        <f t="shared" si="932"/>
        <v>0</v>
      </c>
      <c r="BR1084" s="5">
        <f t="shared" si="932"/>
        <v>0</v>
      </c>
      <c r="BS1084" s="5">
        <f t="shared" si="932"/>
        <v>0</v>
      </c>
      <c r="BT1084" s="5">
        <f t="shared" si="932"/>
        <v>0</v>
      </c>
      <c r="BU1084" s="5">
        <f t="shared" si="932"/>
        <v>0</v>
      </c>
      <c r="BV1084" s="5">
        <f t="shared" si="932"/>
        <v>0</v>
      </c>
      <c r="BW1084" s="5">
        <f t="shared" si="932"/>
        <v>0</v>
      </c>
      <c r="BX1084" s="5">
        <f t="shared" si="932"/>
        <v>0</v>
      </c>
      <c r="BY1084" s="5">
        <f t="shared" si="932"/>
        <v>0</v>
      </c>
      <c r="BZ1084" s="5">
        <f t="shared" si="932"/>
        <v>0</v>
      </c>
      <c r="CA1084" s="5">
        <f t="shared" si="932"/>
        <v>0</v>
      </c>
      <c r="CB1084" s="5">
        <f t="shared" si="932"/>
        <v>0</v>
      </c>
      <c r="CC1084" s="5">
        <f t="shared" si="932"/>
        <v>1</v>
      </c>
      <c r="CD1084" s="5">
        <f t="shared" si="942"/>
        <v>0</v>
      </c>
      <c r="CE1084" s="5">
        <f t="shared" si="942"/>
        <v>0</v>
      </c>
    </row>
    <row r="1085" spans="1:83" x14ac:dyDescent="0.2">
      <c r="A1085" s="11"/>
      <c r="B1085" s="11"/>
      <c r="C1085" s="1">
        <f>Growth!D1090</f>
        <v>7.6923076923076927E-2</v>
      </c>
      <c r="D1085" s="5" t="b">
        <f t="shared" si="907"/>
        <v>0</v>
      </c>
      <c r="E1085" s="5">
        <v>2013</v>
      </c>
      <c r="F1085" s="5">
        <f ca="1">LOOKUP($E1085,frequence!$A$2:$A$35,frequence!L$2:L$35)</f>
        <v>46.610663652887361</v>
      </c>
      <c r="G1085" s="5">
        <f ca="1">LOOKUP($E1085,frequence!$A$2:$A$35,frequence!K$2:K$35)</f>
        <v>7.3617115683267258</v>
      </c>
      <c r="H1085" s="5">
        <f ca="1">LOOKUP($E1085,frequence!$A$2:$A$35,frequence!M$2:M$35)</f>
        <v>214.81113443396845</v>
      </c>
      <c r="I1085" s="16">
        <v>1995</v>
      </c>
      <c r="J1085" s="7">
        <f>LOOKUP(I1085,CPI!A$69:A$103,CPI!O$69:O$103)</f>
        <v>1.4308136482939633</v>
      </c>
      <c r="K1085" s="16">
        <v>2015</v>
      </c>
      <c r="L1085" s="7">
        <f t="shared" ca="1" si="900"/>
        <v>1</v>
      </c>
      <c r="M1085" s="7">
        <f t="shared" si="933"/>
        <v>0.40769230769230769</v>
      </c>
      <c r="N1085" s="14">
        <f>1/13</f>
        <v>7.6923076923076927E-2</v>
      </c>
      <c r="O1085" s="1">
        <f ca="1">P1085*J1085*(1+Growth!G$6)^(2010-K1085)</f>
        <v>103.66713180971644</v>
      </c>
      <c r="P1085" s="23">
        <f t="shared" si="943"/>
        <v>78.100000000000009</v>
      </c>
      <c r="Q1085" s="22">
        <f>21.3*44/12</f>
        <v>78.100000000000009</v>
      </c>
      <c r="R1085" s="21">
        <f t="shared" ca="1" si="931"/>
        <v>10746.874217653121</v>
      </c>
      <c r="U1085" s="11"/>
      <c r="V1085" s="11"/>
      <c r="W1085" s="11"/>
      <c r="X1085" s="11"/>
      <c r="Y1085" s="11"/>
      <c r="Z1085" s="11"/>
      <c r="AA1085" s="11"/>
      <c r="AB1085" s="11"/>
      <c r="AC1085" s="1">
        <f t="shared" si="940"/>
        <v>5.3</v>
      </c>
      <c r="AD1085" s="5">
        <v>0</v>
      </c>
      <c r="AE1085" s="5">
        <v>0</v>
      </c>
      <c r="AF1085" s="5">
        <v>1</v>
      </c>
      <c r="AG1085" s="5">
        <v>0</v>
      </c>
      <c r="AH1085" s="5">
        <v>1</v>
      </c>
      <c r="AI1085" s="3">
        <f t="shared" si="941"/>
        <v>3.3</v>
      </c>
      <c r="AJ1085" s="5">
        <f t="shared" si="913"/>
        <v>0</v>
      </c>
      <c r="AK1085" s="5">
        <f t="shared" si="901"/>
        <v>0</v>
      </c>
      <c r="AL1085" s="5">
        <f t="shared" si="902"/>
        <v>0</v>
      </c>
      <c r="AM1085" s="5">
        <f t="shared" si="920"/>
        <v>0</v>
      </c>
      <c r="AN1085" s="5">
        <f t="shared" si="903"/>
        <v>0</v>
      </c>
      <c r="AO1085" s="5">
        <f t="shared" si="921"/>
        <v>0</v>
      </c>
      <c r="AP1085" s="11" t="s">
        <v>42</v>
      </c>
      <c r="AQ1085" s="16" t="s">
        <v>42</v>
      </c>
      <c r="AR1085" s="5">
        <v>0</v>
      </c>
      <c r="AS1085" s="5">
        <v>0</v>
      </c>
      <c r="AT1085" s="5">
        <v>1</v>
      </c>
      <c r="AU1085" s="5">
        <v>0</v>
      </c>
      <c r="AV1085" s="5">
        <v>0</v>
      </c>
      <c r="AW1085" s="5">
        <v>0</v>
      </c>
      <c r="AX1085" s="5">
        <v>1</v>
      </c>
      <c r="AY1085" s="1">
        <f t="shared" si="936"/>
        <v>0</v>
      </c>
      <c r="AZ1085" s="1">
        <f t="shared" si="937"/>
        <v>0</v>
      </c>
      <c r="BA1085" s="1">
        <f t="shared" si="938"/>
        <v>0</v>
      </c>
      <c r="BB1085" s="5">
        <v>0</v>
      </c>
      <c r="BC1085" s="5">
        <v>0</v>
      </c>
      <c r="BD1085" s="5">
        <v>0</v>
      </c>
      <c r="BE1085" s="5">
        <f t="shared" si="939"/>
        <v>1</v>
      </c>
      <c r="BF1085" s="5">
        <v>0</v>
      </c>
      <c r="BG1085" s="5">
        <f t="shared" si="934"/>
        <v>0</v>
      </c>
      <c r="BH1085" s="5">
        <f t="shared" si="934"/>
        <v>0</v>
      </c>
      <c r="BI1085" s="5">
        <f t="shared" si="934"/>
        <v>0</v>
      </c>
      <c r="BJ1085" s="5">
        <f t="shared" si="934"/>
        <v>0</v>
      </c>
      <c r="BK1085" s="5">
        <f t="shared" si="934"/>
        <v>0</v>
      </c>
      <c r="BL1085" s="5">
        <f t="shared" si="934"/>
        <v>0</v>
      </c>
      <c r="BM1085" s="5">
        <f t="shared" si="934"/>
        <v>0</v>
      </c>
      <c r="BN1085" s="5">
        <f t="shared" si="934"/>
        <v>0</v>
      </c>
      <c r="BO1085" s="5">
        <f t="shared" si="932"/>
        <v>0</v>
      </c>
      <c r="BP1085" s="5">
        <f t="shared" si="932"/>
        <v>0</v>
      </c>
      <c r="BQ1085" s="5">
        <f t="shared" si="932"/>
        <v>0</v>
      </c>
      <c r="BR1085" s="5">
        <f t="shared" si="932"/>
        <v>0</v>
      </c>
      <c r="BS1085" s="5">
        <f t="shared" si="932"/>
        <v>0</v>
      </c>
      <c r="BT1085" s="5">
        <f t="shared" si="932"/>
        <v>0</v>
      </c>
      <c r="BU1085" s="5">
        <f t="shared" si="932"/>
        <v>0</v>
      </c>
      <c r="BV1085" s="5">
        <f t="shared" si="932"/>
        <v>0</v>
      </c>
      <c r="BW1085" s="5">
        <f t="shared" si="932"/>
        <v>0</v>
      </c>
      <c r="BX1085" s="5">
        <f t="shared" si="932"/>
        <v>0</v>
      </c>
      <c r="BY1085" s="5">
        <f t="shared" si="932"/>
        <v>0</v>
      </c>
      <c r="BZ1085" s="5">
        <f t="shared" si="932"/>
        <v>0</v>
      </c>
      <c r="CA1085" s="5">
        <f t="shared" si="932"/>
        <v>0</v>
      </c>
      <c r="CB1085" s="5">
        <f t="shared" si="932"/>
        <v>0</v>
      </c>
      <c r="CC1085" s="5">
        <f t="shared" si="932"/>
        <v>1</v>
      </c>
      <c r="CD1085" s="5">
        <f t="shared" si="942"/>
        <v>0</v>
      </c>
      <c r="CE1085" s="5">
        <f t="shared" si="942"/>
        <v>0</v>
      </c>
    </row>
    <row r="1086" spans="1:83" x14ac:dyDescent="0.2">
      <c r="A1086" s="11"/>
      <c r="B1086" s="11"/>
      <c r="C1086" s="1">
        <f>Growth!D1091</f>
        <v>7.6923076923076927E-2</v>
      </c>
      <c r="D1086" s="5" t="b">
        <f t="shared" si="907"/>
        <v>0</v>
      </c>
      <c r="E1086" s="5">
        <v>2013</v>
      </c>
      <c r="F1086" s="5">
        <f ca="1">LOOKUP($E1086,frequence!$A$2:$A$35,frequence!L$2:L$35)</f>
        <v>46.610663652887361</v>
      </c>
      <c r="G1086" s="5">
        <f ca="1">LOOKUP($E1086,frequence!$A$2:$A$35,frequence!K$2:K$35)</f>
        <v>7.3617115683267258</v>
      </c>
      <c r="H1086" s="5">
        <f ca="1">LOOKUP($E1086,frequence!$A$2:$A$35,frequence!M$2:M$35)</f>
        <v>214.81113443396845</v>
      </c>
      <c r="I1086" s="16">
        <v>1995</v>
      </c>
      <c r="J1086" s="7">
        <f>LOOKUP(I1086,CPI!A$69:A$103,CPI!O$69:O$103)</f>
        <v>1.4308136482939633</v>
      </c>
      <c r="K1086" s="16">
        <v>2015</v>
      </c>
      <c r="L1086" s="7">
        <f t="shared" ca="1" si="900"/>
        <v>1</v>
      </c>
      <c r="M1086" s="7">
        <f t="shared" si="933"/>
        <v>0.40769230769230769</v>
      </c>
      <c r="N1086" s="14">
        <f>1/13</f>
        <v>7.6923076923076927E-2</v>
      </c>
      <c r="O1086" s="1">
        <f ca="1">P1086*J1086*(1+Growth!G$6)^(2010-K1086)</f>
        <v>95.879929420254157</v>
      </c>
      <c r="P1086" s="23">
        <f t="shared" si="943"/>
        <v>72.233333333333334</v>
      </c>
      <c r="Q1086" s="22">
        <f>19.7*44/12</f>
        <v>72.233333333333334</v>
      </c>
      <c r="R1086" s="21">
        <f t="shared" ca="1" si="931"/>
        <v>9192.9608656329183</v>
      </c>
      <c r="U1086" s="11"/>
      <c r="V1086" s="11"/>
      <c r="W1086" s="11"/>
      <c r="X1086" s="11"/>
      <c r="Y1086" s="11"/>
      <c r="Z1086" s="11"/>
      <c r="AA1086" s="11"/>
      <c r="AB1086" s="11"/>
      <c r="AC1086" s="1">
        <f t="shared" si="940"/>
        <v>5.3</v>
      </c>
      <c r="AD1086" s="5">
        <v>0</v>
      </c>
      <c r="AE1086" s="5">
        <v>0</v>
      </c>
      <c r="AF1086" s="5">
        <v>1</v>
      </c>
      <c r="AG1086" s="5">
        <v>0</v>
      </c>
      <c r="AH1086" s="5">
        <v>1</v>
      </c>
      <c r="AI1086" s="3">
        <f t="shared" si="941"/>
        <v>3.3</v>
      </c>
      <c r="AJ1086" s="5">
        <f t="shared" si="913"/>
        <v>0</v>
      </c>
      <c r="AK1086" s="5">
        <f t="shared" si="901"/>
        <v>0</v>
      </c>
      <c r="AL1086" s="5">
        <f t="shared" si="902"/>
        <v>0</v>
      </c>
      <c r="AM1086" s="5">
        <f t="shared" si="920"/>
        <v>0</v>
      </c>
      <c r="AN1086" s="5">
        <f t="shared" si="903"/>
        <v>0</v>
      </c>
      <c r="AO1086" s="5">
        <f t="shared" si="921"/>
        <v>0</v>
      </c>
      <c r="AP1086" s="11" t="s">
        <v>42</v>
      </c>
      <c r="AQ1086" s="16" t="s">
        <v>42</v>
      </c>
      <c r="AR1086" s="5">
        <v>0</v>
      </c>
      <c r="AS1086" s="5">
        <v>0</v>
      </c>
      <c r="AT1086" s="5">
        <v>1</v>
      </c>
      <c r="AU1086" s="5">
        <v>0</v>
      </c>
      <c r="AV1086" s="5">
        <v>0</v>
      </c>
      <c r="AW1086" s="5">
        <v>0</v>
      </c>
      <c r="AX1086" s="5">
        <v>1</v>
      </c>
      <c r="AY1086" s="1">
        <f t="shared" si="936"/>
        <v>0</v>
      </c>
      <c r="AZ1086" s="1">
        <f t="shared" si="937"/>
        <v>0</v>
      </c>
      <c r="BA1086" s="1">
        <f t="shared" si="938"/>
        <v>0</v>
      </c>
      <c r="BB1086" s="5">
        <v>0</v>
      </c>
      <c r="BC1086" s="5">
        <v>0</v>
      </c>
      <c r="BD1086" s="5">
        <v>0</v>
      </c>
      <c r="BE1086" s="5">
        <f t="shared" si="939"/>
        <v>1</v>
      </c>
      <c r="BF1086" s="5">
        <v>0</v>
      </c>
      <c r="BG1086" s="5">
        <f t="shared" si="934"/>
        <v>0</v>
      </c>
      <c r="BH1086" s="5">
        <f t="shared" si="934"/>
        <v>0</v>
      </c>
      <c r="BI1086" s="5">
        <f t="shared" si="934"/>
        <v>0</v>
      </c>
      <c r="BJ1086" s="5">
        <f t="shared" si="934"/>
        <v>0</v>
      </c>
      <c r="BK1086" s="5">
        <f t="shared" si="934"/>
        <v>0</v>
      </c>
      <c r="BL1086" s="5">
        <f t="shared" si="934"/>
        <v>0</v>
      </c>
      <c r="BM1086" s="5">
        <f t="shared" si="934"/>
        <v>0</v>
      </c>
      <c r="BN1086" s="5">
        <f t="shared" si="934"/>
        <v>0</v>
      </c>
      <c r="BO1086" s="5">
        <f t="shared" si="932"/>
        <v>0</v>
      </c>
      <c r="BP1086" s="5">
        <f t="shared" si="932"/>
        <v>0</v>
      </c>
      <c r="BQ1086" s="5">
        <f t="shared" si="932"/>
        <v>0</v>
      </c>
      <c r="BR1086" s="5">
        <f t="shared" si="932"/>
        <v>0</v>
      </c>
      <c r="BS1086" s="5">
        <f t="shared" si="932"/>
        <v>0</v>
      </c>
      <c r="BT1086" s="5">
        <f t="shared" si="932"/>
        <v>0</v>
      </c>
      <c r="BU1086" s="5">
        <f t="shared" si="932"/>
        <v>0</v>
      </c>
      <c r="BV1086" s="5">
        <f t="shared" si="932"/>
        <v>0</v>
      </c>
      <c r="BW1086" s="5">
        <f t="shared" si="932"/>
        <v>0</v>
      </c>
      <c r="BX1086" s="5">
        <f t="shared" si="932"/>
        <v>0</v>
      </c>
      <c r="BY1086" s="5">
        <f t="shared" si="932"/>
        <v>0</v>
      </c>
      <c r="BZ1086" s="5">
        <f t="shared" si="932"/>
        <v>0</v>
      </c>
      <c r="CA1086" s="5">
        <f t="shared" si="932"/>
        <v>0</v>
      </c>
      <c r="CB1086" s="5">
        <f t="shared" si="932"/>
        <v>0</v>
      </c>
      <c r="CC1086" s="5">
        <f t="shared" si="932"/>
        <v>1</v>
      </c>
      <c r="CD1086" s="5">
        <f t="shared" si="942"/>
        <v>0</v>
      </c>
      <c r="CE1086" s="5">
        <f t="shared" si="942"/>
        <v>0</v>
      </c>
    </row>
    <row r="1087" spans="1:83" x14ac:dyDescent="0.2">
      <c r="A1087" s="11"/>
      <c r="B1087" s="11"/>
      <c r="C1087" s="1">
        <f>Growth!D1092</f>
        <v>0.30769230769230771</v>
      </c>
      <c r="D1087" s="5" t="b">
        <f t="shared" si="907"/>
        <v>0</v>
      </c>
      <c r="E1087" s="5">
        <v>2013</v>
      </c>
      <c r="F1087" s="5">
        <f ca="1">LOOKUP($E1087,frequence!$A$2:$A$35,frequence!L$2:L$35)</f>
        <v>46.610663652887361</v>
      </c>
      <c r="G1087" s="5">
        <f ca="1">LOOKUP($E1087,frequence!$A$2:$A$35,frequence!K$2:K$35)</f>
        <v>7.3617115683267258</v>
      </c>
      <c r="H1087" s="5">
        <f ca="1">LOOKUP($E1087,frequence!$A$2:$A$35,frequence!M$2:M$35)</f>
        <v>214.81113443396845</v>
      </c>
      <c r="I1087" s="16">
        <v>1995</v>
      </c>
      <c r="J1087" s="7">
        <f>LOOKUP(I1087,CPI!A$69:A$103,CPI!O$69:O$103)</f>
        <v>1.4308136482939633</v>
      </c>
      <c r="K1087" s="16">
        <v>2015</v>
      </c>
      <c r="L1087" s="7">
        <f t="shared" ca="1" si="900"/>
        <v>1</v>
      </c>
      <c r="M1087" s="7">
        <f t="shared" si="933"/>
        <v>1.6307692307692307</v>
      </c>
      <c r="N1087" s="14">
        <f>4/13</f>
        <v>0.30769230769230771</v>
      </c>
      <c r="O1087" s="1">
        <f ca="1">P1087*J1087*(1+Growth!G$6)^(2010-K1087)</f>
        <v>153.31054704253839</v>
      </c>
      <c r="P1087" s="23">
        <f t="shared" si="943"/>
        <v>115.5</v>
      </c>
      <c r="Q1087" s="22">
        <f>31.5*44/12</f>
        <v>115.5</v>
      </c>
      <c r="R1087" s="21">
        <f t="shared" ca="1" si="931"/>
        <v>23504.123834482376</v>
      </c>
      <c r="U1087" s="11"/>
      <c r="V1087" s="11"/>
      <c r="W1087" s="11"/>
      <c r="X1087" s="11"/>
      <c r="Y1087" s="11"/>
      <c r="Z1087" s="11"/>
      <c r="AA1087" s="11"/>
      <c r="AB1087" s="11"/>
      <c r="AC1087" s="1">
        <f t="shared" si="940"/>
        <v>5.3</v>
      </c>
      <c r="AD1087" s="5">
        <v>0</v>
      </c>
      <c r="AE1087" s="5">
        <v>0</v>
      </c>
      <c r="AF1087" s="5">
        <v>1</v>
      </c>
      <c r="AG1087" s="5">
        <v>0</v>
      </c>
      <c r="AH1087" s="5">
        <v>1</v>
      </c>
      <c r="AI1087" s="3">
        <f t="shared" si="941"/>
        <v>3.3</v>
      </c>
      <c r="AJ1087" s="5">
        <f t="shared" si="913"/>
        <v>0</v>
      </c>
      <c r="AK1087" s="5">
        <f t="shared" si="901"/>
        <v>0</v>
      </c>
      <c r="AL1087" s="5">
        <f t="shared" si="902"/>
        <v>0</v>
      </c>
      <c r="AM1087" s="5">
        <f t="shared" si="920"/>
        <v>0</v>
      </c>
      <c r="AN1087" s="5">
        <f t="shared" si="903"/>
        <v>0</v>
      </c>
      <c r="AO1087" s="5">
        <f t="shared" si="921"/>
        <v>0</v>
      </c>
      <c r="AP1087" s="11" t="s">
        <v>42</v>
      </c>
      <c r="AQ1087" s="16" t="s">
        <v>42</v>
      </c>
      <c r="AR1087" s="5">
        <v>0</v>
      </c>
      <c r="AS1087" s="5">
        <v>0</v>
      </c>
      <c r="AT1087" s="5">
        <v>1</v>
      </c>
      <c r="AU1087" s="5">
        <v>1</v>
      </c>
      <c r="AV1087" s="5">
        <v>0</v>
      </c>
      <c r="AW1087" s="5">
        <v>0</v>
      </c>
      <c r="AX1087" s="5">
        <v>1</v>
      </c>
      <c r="AY1087" s="1">
        <f t="shared" si="936"/>
        <v>0</v>
      </c>
      <c r="AZ1087" s="1">
        <f t="shared" si="937"/>
        <v>0</v>
      </c>
      <c r="BA1087" s="1">
        <f t="shared" si="938"/>
        <v>0</v>
      </c>
      <c r="BB1087" s="5">
        <v>0</v>
      </c>
      <c r="BC1087" s="5">
        <v>0</v>
      </c>
      <c r="BD1087" s="5">
        <v>0</v>
      </c>
      <c r="BE1087" s="5">
        <f t="shared" si="939"/>
        <v>1</v>
      </c>
      <c r="BF1087" s="5">
        <v>0</v>
      </c>
      <c r="BG1087" s="5">
        <f t="shared" si="934"/>
        <v>0</v>
      </c>
      <c r="BH1087" s="5">
        <f t="shared" si="934"/>
        <v>0</v>
      </c>
      <c r="BI1087" s="5">
        <f t="shared" si="934"/>
        <v>0</v>
      </c>
      <c r="BJ1087" s="5">
        <f t="shared" si="934"/>
        <v>0</v>
      </c>
      <c r="BK1087" s="5">
        <f t="shared" si="934"/>
        <v>0</v>
      </c>
      <c r="BL1087" s="5">
        <f t="shared" si="934"/>
        <v>0</v>
      </c>
      <c r="BM1087" s="5">
        <f t="shared" si="934"/>
        <v>0</v>
      </c>
      <c r="BN1087" s="5">
        <f t="shared" si="934"/>
        <v>0</v>
      </c>
      <c r="BO1087" s="5">
        <f t="shared" si="932"/>
        <v>0</v>
      </c>
      <c r="BP1087" s="5">
        <f t="shared" si="932"/>
        <v>0</v>
      </c>
      <c r="BQ1087" s="5">
        <f t="shared" si="932"/>
        <v>0</v>
      </c>
      <c r="BR1087" s="5">
        <f t="shared" si="932"/>
        <v>0</v>
      </c>
      <c r="BS1087" s="5">
        <f t="shared" si="932"/>
        <v>0</v>
      </c>
      <c r="BT1087" s="5">
        <f t="shared" si="932"/>
        <v>0</v>
      </c>
      <c r="BU1087" s="5">
        <f t="shared" si="932"/>
        <v>0</v>
      </c>
      <c r="BV1087" s="5">
        <f t="shared" si="932"/>
        <v>0</v>
      </c>
      <c r="BW1087" s="5">
        <f t="shared" si="932"/>
        <v>0</v>
      </c>
      <c r="BX1087" s="5">
        <f t="shared" si="932"/>
        <v>0</v>
      </c>
      <c r="BY1087" s="5">
        <f t="shared" si="932"/>
        <v>0</v>
      </c>
      <c r="BZ1087" s="5">
        <f t="shared" si="932"/>
        <v>0</v>
      </c>
      <c r="CA1087" s="5">
        <f t="shared" si="932"/>
        <v>0</v>
      </c>
      <c r="CB1087" s="5">
        <f t="shared" si="932"/>
        <v>0</v>
      </c>
      <c r="CC1087" s="5">
        <f t="shared" si="932"/>
        <v>1</v>
      </c>
      <c r="CD1087" s="5">
        <f t="shared" si="942"/>
        <v>0</v>
      </c>
      <c r="CE1087" s="5">
        <f t="shared" si="942"/>
        <v>0</v>
      </c>
    </row>
    <row r="1088" spans="1:83" x14ac:dyDescent="0.2">
      <c r="A1088" s="11"/>
      <c r="B1088" s="11"/>
      <c r="C1088" s="1">
        <f>Growth!D1093</f>
        <v>7.6923076923076927E-2</v>
      </c>
      <c r="D1088" s="5" t="b">
        <f t="shared" si="907"/>
        <v>0</v>
      </c>
      <c r="E1088" s="5">
        <v>2013</v>
      </c>
      <c r="F1088" s="5">
        <f ca="1">LOOKUP($E1088,frequence!$A$2:$A$35,frequence!L$2:L$35)</f>
        <v>46.610663652887361</v>
      </c>
      <c r="G1088" s="5">
        <f ca="1">LOOKUP($E1088,frequence!$A$2:$A$35,frequence!K$2:K$35)</f>
        <v>7.3617115683267258</v>
      </c>
      <c r="H1088" s="5">
        <f ca="1">LOOKUP($E1088,frequence!$A$2:$A$35,frequence!M$2:M$35)</f>
        <v>214.81113443396845</v>
      </c>
      <c r="I1088" s="16">
        <v>1995</v>
      </c>
      <c r="J1088" s="7">
        <f>LOOKUP(I1088,CPI!A$69:A$103,CPI!O$69:O$103)</f>
        <v>1.4308136482939633</v>
      </c>
      <c r="K1088" s="16">
        <v>2015</v>
      </c>
      <c r="L1088" s="7">
        <f t="shared" ca="1" si="900"/>
        <v>0.93867595310216267</v>
      </c>
      <c r="M1088" s="7">
        <f t="shared" si="933"/>
        <v>0.40769230769230769</v>
      </c>
      <c r="N1088" s="14">
        <f>1/13</f>
        <v>7.6923076923076927E-2</v>
      </c>
      <c r="O1088" s="1">
        <f ca="1">P1088*J1088*(1+Growth!G$6)^(2010-K1088)</f>
        <v>1537.9724719187977</v>
      </c>
      <c r="P1088" s="23">
        <f t="shared" si="943"/>
        <v>1158.6666666666667</v>
      </c>
      <c r="Q1088" s="22">
        <f>316*44/12</f>
        <v>1158.6666666666667</v>
      </c>
      <c r="R1088" s="21">
        <f t="shared" ca="1" si="931"/>
        <v>2365359.3243800169</v>
      </c>
      <c r="U1088" s="11"/>
      <c r="V1088" s="11"/>
      <c r="W1088" s="11"/>
      <c r="X1088" s="11"/>
      <c r="Y1088" s="11"/>
      <c r="Z1088" s="11"/>
      <c r="AA1088" s="11"/>
      <c r="AB1088" s="11"/>
      <c r="AC1088" s="1">
        <f t="shared" si="940"/>
        <v>5.3</v>
      </c>
      <c r="AD1088" s="5">
        <v>0</v>
      </c>
      <c r="AE1088" s="5">
        <v>0</v>
      </c>
      <c r="AF1088" s="5">
        <v>1</v>
      </c>
      <c r="AG1088" s="5">
        <v>0</v>
      </c>
      <c r="AH1088" s="5">
        <v>1</v>
      </c>
      <c r="AI1088" s="3">
        <f t="shared" si="941"/>
        <v>3.3</v>
      </c>
      <c r="AJ1088" s="5">
        <f t="shared" si="913"/>
        <v>0</v>
      </c>
      <c r="AK1088" s="5">
        <f t="shared" si="901"/>
        <v>0</v>
      </c>
      <c r="AL1088" s="5">
        <f t="shared" si="902"/>
        <v>0</v>
      </c>
      <c r="AM1088" s="5">
        <f t="shared" si="920"/>
        <v>0</v>
      </c>
      <c r="AN1088" s="5">
        <f t="shared" si="903"/>
        <v>1</v>
      </c>
      <c r="AO1088" s="5">
        <f t="shared" si="921"/>
        <v>0</v>
      </c>
      <c r="AP1088" s="11" t="s">
        <v>42</v>
      </c>
      <c r="AQ1088" s="11">
        <v>0.1</v>
      </c>
      <c r="AR1088" s="5">
        <v>0</v>
      </c>
      <c r="AS1088" s="5">
        <v>0</v>
      </c>
      <c r="AT1088" s="5">
        <v>1</v>
      </c>
      <c r="AU1088" s="5">
        <v>0</v>
      </c>
      <c r="AV1088" s="5">
        <v>0</v>
      </c>
      <c r="AW1088" s="5">
        <v>0</v>
      </c>
      <c r="AX1088" s="5">
        <v>1</v>
      </c>
      <c r="AY1088" s="1">
        <f t="shared" si="936"/>
        <v>0</v>
      </c>
      <c r="AZ1088" s="1">
        <f t="shared" si="937"/>
        <v>0</v>
      </c>
      <c r="BA1088" s="1">
        <f t="shared" si="938"/>
        <v>0</v>
      </c>
      <c r="BB1088" s="5">
        <v>0</v>
      </c>
      <c r="BC1088" s="5">
        <v>0</v>
      </c>
      <c r="BD1088" s="5">
        <v>0</v>
      </c>
      <c r="BE1088" s="5">
        <f t="shared" si="939"/>
        <v>1</v>
      </c>
      <c r="BF1088" s="5">
        <v>0</v>
      </c>
      <c r="BG1088" s="5">
        <f t="shared" si="934"/>
        <v>0</v>
      </c>
      <c r="BH1088" s="5">
        <f t="shared" si="934"/>
        <v>0</v>
      </c>
      <c r="BI1088" s="5">
        <f t="shared" si="934"/>
        <v>0</v>
      </c>
      <c r="BJ1088" s="5">
        <f t="shared" si="934"/>
        <v>0</v>
      </c>
      <c r="BK1088" s="5">
        <f t="shared" si="934"/>
        <v>0</v>
      </c>
      <c r="BL1088" s="5">
        <f t="shared" si="934"/>
        <v>0</v>
      </c>
      <c r="BM1088" s="5">
        <f t="shared" si="934"/>
        <v>0</v>
      </c>
      <c r="BN1088" s="5">
        <f t="shared" si="934"/>
        <v>0</v>
      </c>
      <c r="BO1088" s="5">
        <f t="shared" si="932"/>
        <v>0</v>
      </c>
      <c r="BP1088" s="5">
        <f t="shared" si="932"/>
        <v>0</v>
      </c>
      <c r="BQ1088" s="5">
        <f t="shared" si="932"/>
        <v>0</v>
      </c>
      <c r="BR1088" s="5">
        <f t="shared" si="932"/>
        <v>0</v>
      </c>
      <c r="BS1088" s="5">
        <f t="shared" si="932"/>
        <v>0</v>
      </c>
      <c r="BT1088" s="5">
        <f t="shared" si="932"/>
        <v>0</v>
      </c>
      <c r="BU1088" s="5">
        <f t="shared" si="932"/>
        <v>0</v>
      </c>
      <c r="BV1088" s="5">
        <f t="shared" si="932"/>
        <v>0</v>
      </c>
      <c r="BW1088" s="5">
        <f t="shared" si="932"/>
        <v>0</v>
      </c>
      <c r="BX1088" s="5">
        <f t="shared" si="932"/>
        <v>0</v>
      </c>
      <c r="BY1088" s="5">
        <f t="shared" si="932"/>
        <v>0</v>
      </c>
      <c r="BZ1088" s="5">
        <f t="shared" si="932"/>
        <v>0</v>
      </c>
      <c r="CA1088" s="5">
        <f t="shared" si="932"/>
        <v>0</v>
      </c>
      <c r="CB1088" s="5">
        <f t="shared" si="932"/>
        <v>0</v>
      </c>
      <c r="CC1088" s="5">
        <f t="shared" si="932"/>
        <v>1</v>
      </c>
      <c r="CD1088" s="5">
        <f t="shared" si="942"/>
        <v>0</v>
      </c>
      <c r="CE1088" s="5">
        <f t="shared" si="942"/>
        <v>0</v>
      </c>
    </row>
    <row r="1089" spans="1:83" x14ac:dyDescent="0.2">
      <c r="A1089" s="11"/>
      <c r="B1089" s="11"/>
      <c r="C1089" s="1">
        <f>Growth!D1094</f>
        <v>7.6923076923076927E-2</v>
      </c>
      <c r="D1089" s="5" t="b">
        <f t="shared" si="907"/>
        <v>0</v>
      </c>
      <c r="E1089" s="5">
        <v>2013</v>
      </c>
      <c r="F1089" s="5">
        <f ca="1">LOOKUP($E1089,frequence!$A$2:$A$35,frequence!L$2:L$35)</f>
        <v>46.610663652887361</v>
      </c>
      <c r="G1089" s="5">
        <f ca="1">LOOKUP($E1089,frequence!$A$2:$A$35,frequence!K$2:K$35)</f>
        <v>7.3617115683267258</v>
      </c>
      <c r="H1089" s="5">
        <f ca="1">LOOKUP($E1089,frequence!$A$2:$A$35,frequence!M$2:M$35)</f>
        <v>214.81113443396845</v>
      </c>
      <c r="I1089" s="16">
        <v>1995</v>
      </c>
      <c r="J1089" s="7">
        <f>LOOKUP(I1089,CPI!A$69:A$103,CPI!O$69:O$103)</f>
        <v>1.4308136482939633</v>
      </c>
      <c r="K1089" s="16">
        <v>2015</v>
      </c>
      <c r="L1089" s="7">
        <f t="shared" ca="1" si="900"/>
        <v>1</v>
      </c>
      <c r="M1089" s="7">
        <f t="shared" si="933"/>
        <v>0.40769230769230769</v>
      </c>
      <c r="N1089" s="14">
        <f>1/13</f>
        <v>7.6923076923076927E-2</v>
      </c>
      <c r="O1089" s="1">
        <f ca="1">P1089*J1089*(1+Growth!G$6)^(2010-K1089)</f>
        <v>236.04957243057498</v>
      </c>
      <c r="P1089" s="23">
        <f t="shared" si="943"/>
        <v>177.83333333333334</v>
      </c>
      <c r="Q1089" s="22">
        <f>48.5*44/12</f>
        <v>177.83333333333334</v>
      </c>
      <c r="R1089" s="21">
        <f t="shared" ca="1" si="931"/>
        <v>55719.400644657268</v>
      </c>
      <c r="U1089" s="11"/>
      <c r="V1089" s="11"/>
      <c r="W1089" s="11"/>
      <c r="X1089" s="11"/>
      <c r="Y1089" s="11"/>
      <c r="Z1089" s="11"/>
      <c r="AA1089" s="11"/>
      <c r="AB1089" s="11"/>
      <c r="AC1089" s="1">
        <f t="shared" si="940"/>
        <v>5.3</v>
      </c>
      <c r="AD1089" s="5">
        <v>0</v>
      </c>
      <c r="AE1089" s="5">
        <v>0</v>
      </c>
      <c r="AF1089" s="5">
        <v>1</v>
      </c>
      <c r="AG1089" s="5">
        <v>0</v>
      </c>
      <c r="AH1089" s="5">
        <v>1</v>
      </c>
      <c r="AI1089" s="3">
        <f t="shared" si="941"/>
        <v>3.3</v>
      </c>
      <c r="AJ1089" s="5">
        <f t="shared" si="913"/>
        <v>0</v>
      </c>
      <c r="AK1089" s="5">
        <f t="shared" si="901"/>
        <v>0</v>
      </c>
      <c r="AL1089" s="5">
        <f t="shared" si="902"/>
        <v>0</v>
      </c>
      <c r="AM1089" s="5">
        <f t="shared" si="920"/>
        <v>1</v>
      </c>
      <c r="AN1089" s="5">
        <f t="shared" si="903"/>
        <v>0</v>
      </c>
      <c r="AO1089" s="5">
        <f t="shared" si="921"/>
        <v>0</v>
      </c>
      <c r="AP1089" s="11" t="s">
        <v>42</v>
      </c>
      <c r="AQ1089" s="11">
        <v>1</v>
      </c>
      <c r="AR1089" s="5">
        <v>0</v>
      </c>
      <c r="AS1089" s="5">
        <v>0</v>
      </c>
      <c r="AT1089" s="5">
        <v>1</v>
      </c>
      <c r="AU1089" s="5">
        <v>0</v>
      </c>
      <c r="AV1089" s="5">
        <v>0</v>
      </c>
      <c r="AW1089" s="5">
        <v>0</v>
      </c>
      <c r="AX1089" s="5">
        <v>1</v>
      </c>
      <c r="AY1089" s="1">
        <f t="shared" si="936"/>
        <v>0</v>
      </c>
      <c r="AZ1089" s="1">
        <f t="shared" si="937"/>
        <v>0</v>
      </c>
      <c r="BA1089" s="1">
        <f t="shared" si="938"/>
        <v>0</v>
      </c>
      <c r="BB1089" s="5">
        <v>0</v>
      </c>
      <c r="BC1089" s="5">
        <v>0</v>
      </c>
      <c r="BD1089" s="5">
        <v>0</v>
      </c>
      <c r="BE1089" s="5">
        <f t="shared" si="939"/>
        <v>1</v>
      </c>
      <c r="BF1089" s="5">
        <v>0</v>
      </c>
      <c r="BG1089" s="5">
        <f t="shared" si="934"/>
        <v>0</v>
      </c>
      <c r="BH1089" s="5">
        <f t="shared" si="934"/>
        <v>0</v>
      </c>
      <c r="BI1089" s="5">
        <f t="shared" si="934"/>
        <v>0</v>
      </c>
      <c r="BJ1089" s="5">
        <f t="shared" si="934"/>
        <v>0</v>
      </c>
      <c r="BK1089" s="5">
        <f t="shared" si="934"/>
        <v>0</v>
      </c>
      <c r="BL1089" s="5">
        <f t="shared" si="934"/>
        <v>0</v>
      </c>
      <c r="BM1089" s="5">
        <f t="shared" si="934"/>
        <v>0</v>
      </c>
      <c r="BN1089" s="5">
        <f t="shared" si="934"/>
        <v>0</v>
      </c>
      <c r="BO1089" s="5">
        <f t="shared" si="932"/>
        <v>0</v>
      </c>
      <c r="BP1089" s="5">
        <f t="shared" si="932"/>
        <v>0</v>
      </c>
      <c r="BQ1089" s="5">
        <f t="shared" si="932"/>
        <v>0</v>
      </c>
      <c r="BR1089" s="5">
        <f t="shared" si="932"/>
        <v>0</v>
      </c>
      <c r="BS1089" s="5">
        <f t="shared" si="932"/>
        <v>0</v>
      </c>
      <c r="BT1089" s="5">
        <f t="shared" si="932"/>
        <v>0</v>
      </c>
      <c r="BU1089" s="5">
        <f t="shared" si="932"/>
        <v>0</v>
      </c>
      <c r="BV1089" s="5">
        <f t="shared" si="932"/>
        <v>0</v>
      </c>
      <c r="BW1089" s="5">
        <f t="shared" si="932"/>
        <v>0</v>
      </c>
      <c r="BX1089" s="5">
        <f t="shared" si="932"/>
        <v>0</v>
      </c>
      <c r="BY1089" s="5">
        <f t="shared" si="932"/>
        <v>0</v>
      </c>
      <c r="BZ1089" s="5">
        <f t="shared" si="932"/>
        <v>0</v>
      </c>
      <c r="CA1089" s="5">
        <f t="shared" si="932"/>
        <v>0</v>
      </c>
      <c r="CB1089" s="5">
        <f t="shared" si="932"/>
        <v>0</v>
      </c>
      <c r="CC1089" s="5">
        <f t="shared" si="932"/>
        <v>1</v>
      </c>
      <c r="CD1089" s="5">
        <f t="shared" si="942"/>
        <v>0</v>
      </c>
      <c r="CE1089" s="5">
        <f t="shared" si="942"/>
        <v>0</v>
      </c>
    </row>
    <row r="1090" spans="1:83" x14ac:dyDescent="0.2">
      <c r="A1090" s="11"/>
      <c r="B1090" s="11"/>
      <c r="C1090" s="1">
        <f>Growth!D1095</f>
        <v>7.6923076923076927E-2</v>
      </c>
      <c r="D1090" s="5" t="b">
        <f t="shared" si="907"/>
        <v>0</v>
      </c>
      <c r="E1090" s="5">
        <v>2013</v>
      </c>
      <c r="F1090" s="5">
        <f ca="1">LOOKUP($E1090,frequence!$A$2:$A$35,frequence!L$2:L$35)</f>
        <v>46.610663652887361</v>
      </c>
      <c r="G1090" s="5">
        <f ca="1">LOOKUP($E1090,frequence!$A$2:$A$35,frequence!K$2:K$35)</f>
        <v>7.3617115683267258</v>
      </c>
      <c r="H1090" s="5">
        <f ca="1">LOOKUP($E1090,frequence!$A$2:$A$35,frequence!M$2:M$35)</f>
        <v>214.81113443396845</v>
      </c>
      <c r="I1090" s="16">
        <v>1995</v>
      </c>
      <c r="J1090" s="7">
        <f>LOOKUP(I1090,CPI!A$69:A$103,CPI!O$69:O$103)</f>
        <v>1.4308136482939633</v>
      </c>
      <c r="K1090" s="16">
        <v>2015</v>
      </c>
      <c r="L1090" s="7">
        <f t="shared" ca="1" si="900"/>
        <v>1</v>
      </c>
      <c r="M1090" s="7">
        <f t="shared" si="933"/>
        <v>0.40769230769230769</v>
      </c>
      <c r="N1090" s="14">
        <f>1/13</f>
        <v>7.6923076923076927E-2</v>
      </c>
      <c r="O1090" s="1">
        <f ca="1">P1090*J1090*(1+Growth!G$6)^(2010-K1090)</f>
        <v>107.56073300444758</v>
      </c>
      <c r="P1090" s="23">
        <f t="shared" si="943"/>
        <v>81.033333333333346</v>
      </c>
      <c r="Q1090" s="22">
        <f>22.1*44/12</f>
        <v>81.033333333333346</v>
      </c>
      <c r="R1090" s="21">
        <f t="shared" ca="1" si="931"/>
        <v>11569.311284454059</v>
      </c>
      <c r="U1090" s="11"/>
      <c r="V1090" s="11"/>
      <c r="W1090" s="11"/>
      <c r="X1090" s="11"/>
      <c r="Y1090" s="11"/>
      <c r="Z1090" s="11"/>
      <c r="AA1090" s="11"/>
      <c r="AB1090" s="11"/>
      <c r="AC1090" s="1">
        <f t="shared" si="940"/>
        <v>5.3</v>
      </c>
      <c r="AD1090" s="5">
        <v>0</v>
      </c>
      <c r="AE1090" s="5">
        <v>0</v>
      </c>
      <c r="AF1090" s="5">
        <v>1</v>
      </c>
      <c r="AG1090" s="5">
        <v>0</v>
      </c>
      <c r="AH1090" s="5">
        <v>1</v>
      </c>
      <c r="AI1090" s="3">
        <f t="shared" si="941"/>
        <v>3.3</v>
      </c>
      <c r="AJ1090" s="5">
        <f t="shared" si="913"/>
        <v>0</v>
      </c>
      <c r="AK1090" s="5">
        <f t="shared" si="901"/>
        <v>1</v>
      </c>
      <c r="AL1090" s="5">
        <f t="shared" si="902"/>
        <v>0</v>
      </c>
      <c r="AM1090" s="5">
        <f t="shared" si="920"/>
        <v>0</v>
      </c>
      <c r="AN1090" s="5">
        <f t="shared" si="903"/>
        <v>0</v>
      </c>
      <c r="AO1090" s="5">
        <f t="shared" si="921"/>
        <v>0</v>
      </c>
      <c r="AP1090" s="11" t="s">
        <v>42</v>
      </c>
      <c r="AQ1090" s="11">
        <v>2</v>
      </c>
      <c r="AR1090" s="5">
        <v>0</v>
      </c>
      <c r="AS1090" s="5">
        <v>0</v>
      </c>
      <c r="AT1090" s="5">
        <v>1</v>
      </c>
      <c r="AU1090" s="5">
        <v>0</v>
      </c>
      <c r="AV1090" s="5">
        <v>0</v>
      </c>
      <c r="AW1090" s="5">
        <v>0</v>
      </c>
      <c r="AX1090" s="5">
        <v>1</v>
      </c>
      <c r="AY1090" s="1">
        <f t="shared" si="936"/>
        <v>0</v>
      </c>
      <c r="AZ1090" s="1">
        <f t="shared" si="937"/>
        <v>0</v>
      </c>
      <c r="BA1090" s="1">
        <f t="shared" si="938"/>
        <v>0</v>
      </c>
      <c r="BB1090" s="5">
        <v>0</v>
      </c>
      <c r="BC1090" s="5">
        <v>0</v>
      </c>
      <c r="BD1090" s="5">
        <v>0</v>
      </c>
      <c r="BE1090" s="5">
        <f t="shared" si="939"/>
        <v>1</v>
      </c>
      <c r="BF1090" s="5">
        <v>0</v>
      </c>
      <c r="BG1090" s="5">
        <f t="shared" si="934"/>
        <v>0</v>
      </c>
      <c r="BH1090" s="5">
        <f t="shared" si="934"/>
        <v>0</v>
      </c>
      <c r="BI1090" s="5">
        <f t="shared" si="934"/>
        <v>0</v>
      </c>
      <c r="BJ1090" s="5">
        <f t="shared" si="934"/>
        <v>0</v>
      </c>
      <c r="BK1090" s="5">
        <f t="shared" si="934"/>
        <v>0</v>
      </c>
      <c r="BL1090" s="5">
        <f t="shared" si="934"/>
        <v>0</v>
      </c>
      <c r="BM1090" s="5">
        <f t="shared" si="934"/>
        <v>0</v>
      </c>
      <c r="BN1090" s="5">
        <f t="shared" si="934"/>
        <v>0</v>
      </c>
      <c r="BO1090" s="5">
        <f t="shared" si="932"/>
        <v>0</v>
      </c>
      <c r="BP1090" s="5">
        <f t="shared" si="932"/>
        <v>0</v>
      </c>
      <c r="BQ1090" s="5">
        <f t="shared" si="932"/>
        <v>0</v>
      </c>
      <c r="BR1090" s="5">
        <f t="shared" si="932"/>
        <v>0</v>
      </c>
      <c r="BS1090" s="5">
        <f t="shared" si="932"/>
        <v>0</v>
      </c>
      <c r="BT1090" s="5">
        <f t="shared" si="932"/>
        <v>0</v>
      </c>
      <c r="BU1090" s="5">
        <f t="shared" si="932"/>
        <v>0</v>
      </c>
      <c r="BV1090" s="5">
        <f t="shared" si="932"/>
        <v>0</v>
      </c>
      <c r="BW1090" s="5">
        <f t="shared" si="932"/>
        <v>0</v>
      </c>
      <c r="BX1090" s="5">
        <f t="shared" si="932"/>
        <v>0</v>
      </c>
      <c r="BY1090" s="5">
        <f t="shared" si="932"/>
        <v>0</v>
      </c>
      <c r="BZ1090" s="5">
        <f t="shared" si="932"/>
        <v>0</v>
      </c>
      <c r="CA1090" s="5">
        <f t="shared" si="932"/>
        <v>0</v>
      </c>
      <c r="CB1090" s="5">
        <f t="shared" si="932"/>
        <v>0</v>
      </c>
      <c r="CC1090" s="5">
        <f t="shared" si="932"/>
        <v>1</v>
      </c>
      <c r="CD1090" s="5">
        <f t="shared" si="942"/>
        <v>0</v>
      </c>
      <c r="CE1090" s="5">
        <f t="shared" si="942"/>
        <v>0</v>
      </c>
    </row>
    <row r="1091" spans="1:83" x14ac:dyDescent="0.2">
      <c r="A1091" s="11"/>
      <c r="B1091" s="11"/>
      <c r="C1091" s="1">
        <f>Growth!D1096</f>
        <v>7.6923076923076927E-2</v>
      </c>
      <c r="D1091" s="5" t="b">
        <f t="shared" si="907"/>
        <v>0</v>
      </c>
      <c r="E1091" s="5">
        <v>2013</v>
      </c>
      <c r="F1091" s="5">
        <f ca="1">LOOKUP($E1091,frequence!$A$2:$A$35,frequence!L$2:L$35)</f>
        <v>46.610663652887361</v>
      </c>
      <c r="G1091" s="5">
        <f ca="1">LOOKUP($E1091,frequence!$A$2:$A$35,frequence!K$2:K$35)</f>
        <v>7.3617115683267258</v>
      </c>
      <c r="H1091" s="5">
        <f ca="1">LOOKUP($E1091,frequence!$A$2:$A$35,frequence!M$2:M$35)</f>
        <v>214.81113443396845</v>
      </c>
      <c r="I1091" s="16">
        <v>1995</v>
      </c>
      <c r="J1091" s="7">
        <f>LOOKUP(I1091,CPI!A$69:A$103,CPI!O$69:O$103)</f>
        <v>1.4308136482939633</v>
      </c>
      <c r="K1091" s="16">
        <v>2015</v>
      </c>
      <c r="L1091" s="7">
        <f t="shared" ca="1" si="900"/>
        <v>1</v>
      </c>
      <c r="M1091" s="7">
        <f t="shared" si="933"/>
        <v>0.40769230769230769</v>
      </c>
      <c r="N1091" s="14">
        <f>1/13</f>
        <v>7.6923076923076927E-2</v>
      </c>
      <c r="O1091" s="1">
        <f ca="1">P1091*J1091*(1+Growth!G$6)^(2010-K1091)</f>
        <v>63.271019414380916</v>
      </c>
      <c r="P1091" s="23">
        <f t="shared" si="943"/>
        <v>47.666666666666664</v>
      </c>
      <c r="Q1091" s="22">
        <f>13*44/12</f>
        <v>47.666666666666664</v>
      </c>
      <c r="R1091" s="21">
        <f t="shared" ca="1" si="931"/>
        <v>4003.2218977349667</v>
      </c>
      <c r="U1091" s="11"/>
      <c r="V1091" s="11"/>
      <c r="W1091" s="11"/>
      <c r="X1091" s="11"/>
      <c r="Y1091" s="11"/>
      <c r="Z1091" s="11"/>
      <c r="AA1091" s="11"/>
      <c r="AB1091" s="11"/>
      <c r="AC1091" s="1">
        <f t="shared" si="940"/>
        <v>5.3</v>
      </c>
      <c r="AD1091" s="5">
        <v>0</v>
      </c>
      <c r="AE1091" s="5">
        <v>0</v>
      </c>
      <c r="AF1091" s="5">
        <v>1</v>
      </c>
      <c r="AG1091" s="5">
        <v>0</v>
      </c>
      <c r="AH1091" s="5">
        <v>1</v>
      </c>
      <c r="AI1091" s="3">
        <f t="shared" si="941"/>
        <v>3.3</v>
      </c>
      <c r="AJ1091" s="5">
        <f t="shared" si="913"/>
        <v>1</v>
      </c>
      <c r="AK1091" s="5">
        <f t="shared" si="901"/>
        <v>0</v>
      </c>
      <c r="AL1091" s="5">
        <f t="shared" si="902"/>
        <v>0</v>
      </c>
      <c r="AM1091" s="5">
        <f t="shared" si="920"/>
        <v>0</v>
      </c>
      <c r="AN1091" s="5">
        <f t="shared" si="903"/>
        <v>0</v>
      </c>
      <c r="AO1091" s="5">
        <f t="shared" si="921"/>
        <v>0</v>
      </c>
      <c r="AP1091" s="11" t="s">
        <v>42</v>
      </c>
      <c r="AQ1091" s="11">
        <v>3</v>
      </c>
      <c r="AR1091" s="5">
        <v>0</v>
      </c>
      <c r="AS1091" s="5">
        <v>0</v>
      </c>
      <c r="AT1091" s="5">
        <v>1</v>
      </c>
      <c r="AU1091" s="5">
        <v>0</v>
      </c>
      <c r="AV1091" s="5">
        <v>0</v>
      </c>
      <c r="AW1091" s="5">
        <v>0</v>
      </c>
      <c r="AX1091" s="5">
        <v>1</v>
      </c>
      <c r="AY1091" s="1">
        <f t="shared" si="936"/>
        <v>0</v>
      </c>
      <c r="AZ1091" s="1">
        <f t="shared" si="937"/>
        <v>0</v>
      </c>
      <c r="BA1091" s="1">
        <f t="shared" si="938"/>
        <v>0</v>
      </c>
      <c r="BB1091" s="5">
        <v>0</v>
      </c>
      <c r="BC1091" s="5">
        <v>0</v>
      </c>
      <c r="BD1091" s="5">
        <v>0</v>
      </c>
      <c r="BE1091" s="5">
        <f t="shared" si="939"/>
        <v>1</v>
      </c>
      <c r="BF1091" s="5">
        <v>0</v>
      </c>
      <c r="BG1091" s="5">
        <f t="shared" si="934"/>
        <v>0</v>
      </c>
      <c r="BH1091" s="5">
        <f t="shared" si="934"/>
        <v>0</v>
      </c>
      <c r="BI1091" s="5">
        <f t="shared" si="934"/>
        <v>0</v>
      </c>
      <c r="BJ1091" s="5">
        <f t="shared" si="934"/>
        <v>0</v>
      </c>
      <c r="BK1091" s="5">
        <f t="shared" si="934"/>
        <v>0</v>
      </c>
      <c r="BL1091" s="5">
        <f t="shared" si="934"/>
        <v>0</v>
      </c>
      <c r="BM1091" s="5">
        <f t="shared" si="934"/>
        <v>0</v>
      </c>
      <c r="BN1091" s="5">
        <f t="shared" si="934"/>
        <v>0</v>
      </c>
      <c r="BO1091" s="5">
        <f t="shared" si="932"/>
        <v>0</v>
      </c>
      <c r="BP1091" s="5">
        <f t="shared" si="932"/>
        <v>0</v>
      </c>
      <c r="BQ1091" s="5">
        <f t="shared" si="932"/>
        <v>0</v>
      </c>
      <c r="BR1091" s="5">
        <f t="shared" si="932"/>
        <v>0</v>
      </c>
      <c r="BS1091" s="5">
        <f t="shared" si="932"/>
        <v>0</v>
      </c>
      <c r="BT1091" s="5">
        <f t="shared" si="932"/>
        <v>0</v>
      </c>
      <c r="BU1091" s="5">
        <f t="shared" si="932"/>
        <v>0</v>
      </c>
      <c r="BV1091" s="5">
        <f t="shared" si="932"/>
        <v>0</v>
      </c>
      <c r="BW1091" s="5">
        <f t="shared" si="932"/>
        <v>0</v>
      </c>
      <c r="BX1091" s="5">
        <f t="shared" si="932"/>
        <v>0</v>
      </c>
      <c r="BY1091" s="5">
        <f t="shared" si="932"/>
        <v>0</v>
      </c>
      <c r="BZ1091" s="5">
        <f t="shared" si="932"/>
        <v>0</v>
      </c>
      <c r="CA1091" s="5">
        <f t="shared" si="932"/>
        <v>0</v>
      </c>
      <c r="CB1091" s="5">
        <f t="shared" si="932"/>
        <v>0</v>
      </c>
      <c r="CC1091" s="5">
        <f t="shared" si="932"/>
        <v>1</v>
      </c>
      <c r="CD1091" s="5">
        <f t="shared" si="942"/>
        <v>0</v>
      </c>
      <c r="CE1091" s="5">
        <f t="shared" si="942"/>
        <v>0</v>
      </c>
    </row>
    <row r="1092" spans="1:83" x14ac:dyDescent="0.2">
      <c r="A1092" s="11" t="s">
        <v>20</v>
      </c>
      <c r="B1092" s="11" t="s">
        <v>197</v>
      </c>
      <c r="C1092" s="1">
        <f>Growth!D1097</f>
        <v>6.4516129032258063E-2</v>
      </c>
      <c r="D1092" s="5">
        <f t="shared" ref="D1092:D1117" si="944">IF(B1092&gt;0,E1092)</f>
        <v>2011</v>
      </c>
      <c r="E1092" s="5">
        <v>2011</v>
      </c>
      <c r="F1092" s="5">
        <f ca="1">LOOKUP($E1092,frequence!$A$2:$A$35,frequence!L$2:L$35)</f>
        <v>33.053542446246631</v>
      </c>
      <c r="G1092" s="5">
        <f ca="1">LOOKUP($E1092,frequence!$A$2:$A$35,frequence!K$2:K$35)</f>
        <v>2.1388579511305732</v>
      </c>
      <c r="H1092" s="5">
        <f ca="1">LOOKUP($E1092,frequence!$A$2:$A$35,frequence!M$2:M$35)</f>
        <v>182.11948132765423</v>
      </c>
      <c r="I1092" s="16">
        <v>2005</v>
      </c>
      <c r="J1092" s="7">
        <f>LOOKUP(I1092,CPI!A$69:A$103,CPI!O$69:O$103)</f>
        <v>1.1165181771633383</v>
      </c>
      <c r="K1092" s="16">
        <v>2015</v>
      </c>
      <c r="L1092" s="7">
        <f t="shared" ca="1" si="900"/>
        <v>1</v>
      </c>
      <c r="M1092" s="7">
        <f t="shared" si="933"/>
        <v>0.32903225806451608</v>
      </c>
      <c r="N1092" s="14">
        <f>2/31</f>
        <v>6.4516129032258063E-2</v>
      </c>
      <c r="O1092" s="1">
        <f ca="1">P1092*J1092*(1+Growth!G$6)^(2010-K1092)</f>
        <v>44.207624993449606</v>
      </c>
      <c r="P1092" s="24">
        <v>42.68</v>
      </c>
      <c r="Q1092" s="2">
        <f t="shared" ref="Q1092" si="945">P1092</f>
        <v>42.68</v>
      </c>
      <c r="R1092" s="21">
        <f t="shared" ref="R1092" ca="1" si="946">O1092*O1092</f>
        <v>1954.3141075614703</v>
      </c>
      <c r="U1092" s="11"/>
      <c r="V1092" s="11"/>
      <c r="W1092" s="11"/>
      <c r="X1092" s="11"/>
      <c r="Y1092" s="11"/>
      <c r="Z1092" s="11"/>
      <c r="AA1092" s="11"/>
      <c r="AB1092" s="11"/>
      <c r="AC1092" s="1">
        <f t="shared" ref="AC1092" si="947">SUM(AD1092:AI1092)</f>
        <v>5.0999999999999996</v>
      </c>
      <c r="AD1092" s="5">
        <v>0</v>
      </c>
      <c r="AE1092" s="5">
        <v>0</v>
      </c>
      <c r="AF1092" s="5">
        <v>1</v>
      </c>
      <c r="AG1092" s="5">
        <v>0</v>
      </c>
      <c r="AH1092" s="5">
        <v>1</v>
      </c>
      <c r="AI1092" s="3">
        <f t="shared" si="941"/>
        <v>3.1</v>
      </c>
      <c r="AJ1092" s="5">
        <f t="shared" si="913"/>
        <v>0</v>
      </c>
      <c r="AK1092" s="5">
        <f t="shared" si="901"/>
        <v>0</v>
      </c>
      <c r="AL1092" s="5">
        <f t="shared" si="902"/>
        <v>1</v>
      </c>
      <c r="AM1092" s="5">
        <f t="shared" si="920"/>
        <v>0</v>
      </c>
      <c r="AN1092" s="5">
        <f t="shared" si="903"/>
        <v>0</v>
      </c>
      <c r="AO1092" s="5">
        <f t="shared" si="921"/>
        <v>0</v>
      </c>
      <c r="AP1092" s="11" t="s">
        <v>42</v>
      </c>
      <c r="AQ1092" s="11">
        <v>1.5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1</v>
      </c>
      <c r="AY1092" s="1">
        <f t="shared" ref="AY1092:AY1097" si="948">AJ1092*$AD1092*(1-$AV1092)*(1-$AR1092)</f>
        <v>0</v>
      </c>
      <c r="AZ1092" s="1">
        <f t="shared" ref="AZ1092:AZ1097" si="949">AM1092*$AD1092*(1-$AV1092)*(1-$AR1092)</f>
        <v>0</v>
      </c>
      <c r="BA1092" s="1">
        <f t="shared" ref="BA1092:BA1097" si="950">AO1092*$AD1092*(1-$AV1092)*(1-$AR1092)</f>
        <v>0</v>
      </c>
      <c r="BB1092" s="5">
        <v>0</v>
      </c>
      <c r="BC1092" s="5">
        <v>1</v>
      </c>
      <c r="BD1092" s="5">
        <v>0</v>
      </c>
      <c r="BE1092" s="5">
        <f t="shared" ref="BE1092:BE1097" si="951">1-SUM(BB1092:BD1092)</f>
        <v>0</v>
      </c>
      <c r="BF1092" s="5">
        <v>0</v>
      </c>
      <c r="BG1092" s="5">
        <f t="shared" si="934"/>
        <v>0</v>
      </c>
      <c r="BH1092" s="5">
        <f t="shared" si="934"/>
        <v>0</v>
      </c>
      <c r="BI1092" s="5">
        <f t="shared" si="934"/>
        <v>0</v>
      </c>
      <c r="BJ1092" s="5">
        <f t="shared" si="934"/>
        <v>0</v>
      </c>
      <c r="BK1092" s="5">
        <f t="shared" si="934"/>
        <v>0</v>
      </c>
      <c r="BL1092" s="5">
        <f t="shared" si="934"/>
        <v>0</v>
      </c>
      <c r="BM1092" s="5">
        <f t="shared" si="934"/>
        <v>0</v>
      </c>
      <c r="BN1092" s="5">
        <f t="shared" ref="BN1092:CB1107" si="952">IF($E1092=BN$2,1,0)</f>
        <v>0</v>
      </c>
      <c r="BO1092" s="5">
        <f t="shared" si="952"/>
        <v>0</v>
      </c>
      <c r="BP1092" s="5">
        <f t="shared" si="952"/>
        <v>0</v>
      </c>
      <c r="BQ1092" s="5">
        <f t="shared" si="952"/>
        <v>0</v>
      </c>
      <c r="BR1092" s="5">
        <f t="shared" si="952"/>
        <v>0</v>
      </c>
      <c r="BS1092" s="5">
        <f t="shared" si="952"/>
        <v>0</v>
      </c>
      <c r="BT1092" s="5">
        <f t="shared" si="952"/>
        <v>0</v>
      </c>
      <c r="BU1092" s="5">
        <f t="shared" si="952"/>
        <v>0</v>
      </c>
      <c r="BV1092" s="5">
        <f t="shared" si="952"/>
        <v>0</v>
      </c>
      <c r="BW1092" s="5">
        <f t="shared" si="952"/>
        <v>0</v>
      </c>
      <c r="BX1092" s="5">
        <f t="shared" si="952"/>
        <v>0</v>
      </c>
      <c r="BY1092" s="5">
        <f t="shared" si="952"/>
        <v>0</v>
      </c>
      <c r="BZ1092" s="5">
        <f t="shared" si="952"/>
        <v>0</v>
      </c>
      <c r="CA1092" s="5">
        <f t="shared" si="952"/>
        <v>1</v>
      </c>
      <c r="CB1092" s="5">
        <f t="shared" si="952"/>
        <v>0</v>
      </c>
      <c r="CC1092" s="5">
        <f t="shared" ref="CC1092:CE1111" si="953">IF($E1092=CC$2,1,0)</f>
        <v>0</v>
      </c>
      <c r="CD1092" s="5">
        <f t="shared" si="942"/>
        <v>0</v>
      </c>
      <c r="CE1092" s="5">
        <f t="shared" si="942"/>
        <v>0</v>
      </c>
    </row>
    <row r="1093" spans="1:83" x14ac:dyDescent="0.2">
      <c r="A1093" s="11"/>
      <c r="B1093" s="11"/>
      <c r="C1093" s="1">
        <f>Growth!D1098</f>
        <v>0.12903225806451613</v>
      </c>
      <c r="D1093" s="5" t="b">
        <f t="shared" si="944"/>
        <v>0</v>
      </c>
      <c r="E1093" s="5">
        <v>2011</v>
      </c>
      <c r="F1093" s="5">
        <f ca="1">LOOKUP($E1093,frequence!$A$2:$A$35,frequence!L$2:L$35)</f>
        <v>33.053542446246631</v>
      </c>
      <c r="G1093" s="5">
        <f ca="1">LOOKUP($E1093,frequence!$A$2:$A$35,frequence!K$2:K$35)</f>
        <v>2.1388579511305732</v>
      </c>
      <c r="H1093" s="5">
        <f ca="1">LOOKUP($E1093,frequence!$A$2:$A$35,frequence!M$2:M$35)</f>
        <v>182.11948132765423</v>
      </c>
      <c r="I1093" s="16">
        <v>2005</v>
      </c>
      <c r="J1093" s="7">
        <f>LOOKUP(I1093,CPI!A$69:A$103,CPI!O$69:O$103)</f>
        <v>1.1165181771633383</v>
      </c>
      <c r="K1093" s="16">
        <v>2015</v>
      </c>
      <c r="L1093" s="7">
        <f t="shared" ref="L1093:L1156" ca="1" si="954">IF(O1093&lt;L$1,1,IF(O1093&gt;L$2,0,1-(O1093-L$1)/(L$2-L$1)))</f>
        <v>1</v>
      </c>
      <c r="M1093" s="7">
        <f t="shared" si="933"/>
        <v>0.65806451612903216</v>
      </c>
      <c r="N1093" s="14">
        <f>4/31</f>
        <v>0.12903225806451613</v>
      </c>
      <c r="O1093" s="1">
        <f ca="1">P1093*J1093*(1+Growth!G$6)^(2010-K1093)</f>
        <v>41.545638202606931</v>
      </c>
      <c r="P1093" s="24">
        <v>40.11</v>
      </c>
      <c r="Q1093" s="2">
        <f t="shared" ref="Q1093:Q1117" si="955">P1093</f>
        <v>40.11</v>
      </c>
      <c r="R1093" s="21">
        <f t="shared" ref="R1093:R1117" ca="1" si="956">O1093*O1093</f>
        <v>1726.0400536619125</v>
      </c>
      <c r="U1093" s="11"/>
      <c r="V1093" s="11"/>
      <c r="W1093" s="11"/>
      <c r="X1093" s="11"/>
      <c r="Y1093" s="11"/>
      <c r="Z1093" s="11"/>
      <c r="AA1093" s="11"/>
      <c r="AB1093" s="11"/>
      <c r="AC1093" s="1">
        <f t="shared" ref="AC1093:AC1097" si="957">SUM(AD1093:AI1093)</f>
        <v>5.0999999999999996</v>
      </c>
      <c r="AD1093" s="5">
        <v>0</v>
      </c>
      <c r="AE1093" s="5">
        <v>0</v>
      </c>
      <c r="AF1093" s="5">
        <v>1</v>
      </c>
      <c r="AG1093" s="5">
        <v>0</v>
      </c>
      <c r="AH1093" s="5">
        <v>1</v>
      </c>
      <c r="AI1093" s="3">
        <f t="shared" ref="AI1093:AI1097" si="958">(E1093-1980)/10</f>
        <v>3.1</v>
      </c>
      <c r="AJ1093" s="5">
        <f t="shared" si="913"/>
        <v>0</v>
      </c>
      <c r="AK1093" s="5">
        <f t="shared" ref="AK1093:AK1156" si="959">IF($AQ1093=2,1,0)</f>
        <v>0</v>
      </c>
      <c r="AL1093" s="5">
        <f t="shared" ref="AL1093:AL1156" si="960">IF($AQ1093=1.5,1,0)</f>
        <v>1</v>
      </c>
      <c r="AM1093" s="5">
        <f t="shared" si="920"/>
        <v>0</v>
      </c>
      <c r="AN1093" s="5">
        <f t="shared" ref="AN1093:AN1156" si="961">IF($AQ1093=0.1,1,0)</f>
        <v>0</v>
      </c>
      <c r="AO1093" s="5">
        <f t="shared" si="921"/>
        <v>0</v>
      </c>
      <c r="AP1093" s="11" t="s">
        <v>42</v>
      </c>
      <c r="AQ1093" s="11">
        <v>1.5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1</v>
      </c>
      <c r="AY1093" s="1">
        <f t="shared" si="948"/>
        <v>0</v>
      </c>
      <c r="AZ1093" s="1">
        <f t="shared" si="949"/>
        <v>0</v>
      </c>
      <c r="BA1093" s="1">
        <f t="shared" si="950"/>
        <v>0</v>
      </c>
      <c r="BB1093" s="5">
        <v>0</v>
      </c>
      <c r="BC1093" s="5">
        <v>1</v>
      </c>
      <c r="BD1093" s="5">
        <v>0</v>
      </c>
      <c r="BE1093" s="5">
        <f t="shared" si="951"/>
        <v>0</v>
      </c>
      <c r="BF1093" s="5">
        <v>1</v>
      </c>
      <c r="BG1093" s="5">
        <f t="shared" ref="BG1093:BN1108" si="962">IF($E1093=BG$2,1,0)</f>
        <v>0</v>
      </c>
      <c r="BH1093" s="5">
        <f t="shared" si="962"/>
        <v>0</v>
      </c>
      <c r="BI1093" s="5">
        <f t="shared" si="962"/>
        <v>0</v>
      </c>
      <c r="BJ1093" s="5">
        <f t="shared" si="962"/>
        <v>0</v>
      </c>
      <c r="BK1093" s="5">
        <f t="shared" si="962"/>
        <v>0</v>
      </c>
      <c r="BL1093" s="5">
        <f t="shared" si="962"/>
        <v>0</v>
      </c>
      <c r="BM1093" s="5">
        <f t="shared" si="962"/>
        <v>0</v>
      </c>
      <c r="BN1093" s="5">
        <f t="shared" si="952"/>
        <v>0</v>
      </c>
      <c r="BO1093" s="5">
        <f t="shared" si="952"/>
        <v>0</v>
      </c>
      <c r="BP1093" s="5">
        <f t="shared" si="952"/>
        <v>0</v>
      </c>
      <c r="BQ1093" s="5">
        <f t="shared" si="952"/>
        <v>0</v>
      </c>
      <c r="BR1093" s="5">
        <f t="shared" si="952"/>
        <v>0</v>
      </c>
      <c r="BS1093" s="5">
        <f t="shared" si="952"/>
        <v>0</v>
      </c>
      <c r="BT1093" s="5">
        <f t="shared" si="952"/>
        <v>0</v>
      </c>
      <c r="BU1093" s="5">
        <f t="shared" si="952"/>
        <v>0</v>
      </c>
      <c r="BV1093" s="5">
        <f t="shared" si="952"/>
        <v>0</v>
      </c>
      <c r="BW1093" s="5">
        <f t="shared" si="952"/>
        <v>0</v>
      </c>
      <c r="BX1093" s="5">
        <f t="shared" si="952"/>
        <v>0</v>
      </c>
      <c r="BY1093" s="5">
        <f t="shared" si="952"/>
        <v>0</v>
      </c>
      <c r="BZ1093" s="5">
        <f t="shared" si="952"/>
        <v>0</v>
      </c>
      <c r="CA1093" s="5">
        <f t="shared" si="952"/>
        <v>1</v>
      </c>
      <c r="CB1093" s="5">
        <f t="shared" si="952"/>
        <v>0</v>
      </c>
      <c r="CC1093" s="5">
        <f t="shared" si="953"/>
        <v>0</v>
      </c>
      <c r="CD1093" s="5">
        <f t="shared" si="942"/>
        <v>0</v>
      </c>
      <c r="CE1093" s="5">
        <f t="shared" si="942"/>
        <v>0</v>
      </c>
    </row>
    <row r="1094" spans="1:83" x14ac:dyDescent="0.2">
      <c r="A1094" s="11"/>
      <c r="B1094" s="11"/>
      <c r="C1094" s="1">
        <f>Growth!D1099</f>
        <v>6.4516129032258063E-2</v>
      </c>
      <c r="D1094" s="5" t="b">
        <f t="shared" si="944"/>
        <v>0</v>
      </c>
      <c r="E1094" s="5">
        <v>2011</v>
      </c>
      <c r="F1094" s="5">
        <f ca="1">LOOKUP($E1094,frequence!$A$2:$A$35,frequence!L$2:L$35)</f>
        <v>33.053542446246631</v>
      </c>
      <c r="G1094" s="5">
        <f ca="1">LOOKUP($E1094,frequence!$A$2:$A$35,frequence!K$2:K$35)</f>
        <v>2.1388579511305732</v>
      </c>
      <c r="H1094" s="5">
        <f ca="1">LOOKUP($E1094,frequence!$A$2:$A$35,frequence!M$2:M$35)</f>
        <v>182.11948132765423</v>
      </c>
      <c r="I1094" s="16">
        <v>2005</v>
      </c>
      <c r="J1094" s="7">
        <f>LOOKUP(I1094,CPI!A$69:A$103,CPI!O$69:O$103)</f>
        <v>1.1165181771633383</v>
      </c>
      <c r="K1094" s="16">
        <v>2015</v>
      </c>
      <c r="L1094" s="7">
        <f t="shared" ca="1" si="954"/>
        <v>1</v>
      </c>
      <c r="M1094" s="7">
        <f t="shared" si="933"/>
        <v>0.32903225806451608</v>
      </c>
      <c r="N1094" s="14">
        <f>2/31</f>
        <v>6.4516129032258063E-2</v>
      </c>
      <c r="O1094" s="1">
        <f ca="1">P1094*J1094*(1+Growth!G$6)^(2010-K1094)</f>
        <v>143.15688496590138</v>
      </c>
      <c r="P1094" s="24">
        <v>138.21</v>
      </c>
      <c r="Q1094" s="2">
        <f t="shared" si="955"/>
        <v>138.21</v>
      </c>
      <c r="R1094" s="21">
        <f t="shared" ca="1" si="956"/>
        <v>20493.893713140322</v>
      </c>
      <c r="U1094" s="11"/>
      <c r="V1094" s="11"/>
      <c r="W1094" s="11"/>
      <c r="X1094" s="11"/>
      <c r="Y1094" s="11"/>
      <c r="Z1094" s="11"/>
      <c r="AA1094" s="11"/>
      <c r="AB1094" s="11"/>
      <c r="AC1094" s="1">
        <f t="shared" si="957"/>
        <v>5.0999999999999996</v>
      </c>
      <c r="AD1094" s="5">
        <v>0</v>
      </c>
      <c r="AE1094" s="5">
        <v>0</v>
      </c>
      <c r="AF1094" s="5">
        <v>1</v>
      </c>
      <c r="AG1094" s="5">
        <v>0</v>
      </c>
      <c r="AH1094" s="5">
        <v>1</v>
      </c>
      <c r="AI1094" s="3">
        <f t="shared" si="958"/>
        <v>3.1</v>
      </c>
      <c r="AJ1094" s="5">
        <f t="shared" si="913"/>
        <v>0</v>
      </c>
      <c r="AK1094" s="5">
        <f t="shared" si="959"/>
        <v>0</v>
      </c>
      <c r="AL1094" s="5">
        <f t="shared" si="960"/>
        <v>0</v>
      </c>
      <c r="AM1094" s="5">
        <f t="shared" si="920"/>
        <v>1</v>
      </c>
      <c r="AN1094" s="5">
        <f t="shared" si="961"/>
        <v>0</v>
      </c>
      <c r="AO1094" s="5">
        <f t="shared" si="921"/>
        <v>0</v>
      </c>
      <c r="AP1094" s="11" t="s">
        <v>42</v>
      </c>
      <c r="AQ1094" s="11">
        <v>1</v>
      </c>
      <c r="AR1094" s="5">
        <v>0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1</v>
      </c>
      <c r="AY1094" s="1">
        <f t="shared" si="948"/>
        <v>0</v>
      </c>
      <c r="AZ1094" s="1">
        <f t="shared" si="949"/>
        <v>0</v>
      </c>
      <c r="BA1094" s="1">
        <f t="shared" si="950"/>
        <v>0</v>
      </c>
      <c r="BB1094" s="5">
        <v>0</v>
      </c>
      <c r="BC1094" s="5">
        <v>1</v>
      </c>
      <c r="BD1094" s="5">
        <v>0</v>
      </c>
      <c r="BE1094" s="5">
        <f t="shared" si="951"/>
        <v>0</v>
      </c>
      <c r="BF1094" s="5">
        <v>1</v>
      </c>
      <c r="BG1094" s="5">
        <f t="shared" si="962"/>
        <v>0</v>
      </c>
      <c r="BH1094" s="5">
        <f t="shared" si="962"/>
        <v>0</v>
      </c>
      <c r="BI1094" s="5">
        <f t="shared" si="962"/>
        <v>0</v>
      </c>
      <c r="BJ1094" s="5">
        <f t="shared" si="962"/>
        <v>0</v>
      </c>
      <c r="BK1094" s="5">
        <f t="shared" si="962"/>
        <v>0</v>
      </c>
      <c r="BL1094" s="5">
        <f t="shared" si="962"/>
        <v>0</v>
      </c>
      <c r="BM1094" s="5">
        <f t="shared" si="962"/>
        <v>0</v>
      </c>
      <c r="BN1094" s="5">
        <f t="shared" si="952"/>
        <v>0</v>
      </c>
      <c r="BO1094" s="5">
        <f t="shared" si="952"/>
        <v>0</v>
      </c>
      <c r="BP1094" s="5">
        <f t="shared" si="952"/>
        <v>0</v>
      </c>
      <c r="BQ1094" s="5">
        <f t="shared" si="952"/>
        <v>0</v>
      </c>
      <c r="BR1094" s="5">
        <f t="shared" si="952"/>
        <v>0</v>
      </c>
      <c r="BS1094" s="5">
        <f t="shared" si="952"/>
        <v>0</v>
      </c>
      <c r="BT1094" s="5">
        <f t="shared" si="952"/>
        <v>0</v>
      </c>
      <c r="BU1094" s="5">
        <f t="shared" si="952"/>
        <v>0</v>
      </c>
      <c r="BV1094" s="5">
        <f t="shared" si="952"/>
        <v>0</v>
      </c>
      <c r="BW1094" s="5">
        <f t="shared" si="952"/>
        <v>0</v>
      </c>
      <c r="BX1094" s="5">
        <f t="shared" si="952"/>
        <v>0</v>
      </c>
      <c r="BY1094" s="5">
        <f t="shared" si="952"/>
        <v>0</v>
      </c>
      <c r="BZ1094" s="5">
        <f t="shared" si="952"/>
        <v>0</v>
      </c>
      <c r="CA1094" s="5">
        <f t="shared" si="952"/>
        <v>1</v>
      </c>
      <c r="CB1094" s="5">
        <f t="shared" si="952"/>
        <v>0</v>
      </c>
      <c r="CC1094" s="5">
        <f t="shared" si="953"/>
        <v>0</v>
      </c>
      <c r="CD1094" s="5">
        <f t="shared" si="942"/>
        <v>0</v>
      </c>
      <c r="CE1094" s="5">
        <f t="shared" si="942"/>
        <v>0</v>
      </c>
    </row>
    <row r="1095" spans="1:83" x14ac:dyDescent="0.2">
      <c r="A1095" s="11"/>
      <c r="B1095" s="11"/>
      <c r="C1095" s="1">
        <f>Growth!D1100</f>
        <v>3.2258064516129031E-2</v>
      </c>
      <c r="D1095" s="5" t="b">
        <f t="shared" si="944"/>
        <v>0</v>
      </c>
      <c r="E1095" s="5">
        <v>2011</v>
      </c>
      <c r="F1095" s="5">
        <f ca="1">LOOKUP($E1095,frequence!$A$2:$A$35,frequence!L$2:L$35)</f>
        <v>33.053542446246631</v>
      </c>
      <c r="G1095" s="5">
        <f ca="1">LOOKUP($E1095,frequence!$A$2:$A$35,frequence!K$2:K$35)</f>
        <v>2.1388579511305732</v>
      </c>
      <c r="H1095" s="5">
        <f ca="1">LOOKUP($E1095,frequence!$A$2:$A$35,frequence!M$2:M$35)</f>
        <v>182.11948132765423</v>
      </c>
      <c r="I1095" s="16">
        <v>2005</v>
      </c>
      <c r="J1095" s="7">
        <f>LOOKUP(I1095,CPI!A$69:A$103,CPI!O$69:O$103)</f>
        <v>1.1165181771633383</v>
      </c>
      <c r="K1095" s="16">
        <v>2015</v>
      </c>
      <c r="L1095" s="7">
        <f t="shared" ca="1" si="954"/>
        <v>1</v>
      </c>
      <c r="M1095" s="7">
        <f t="shared" si="933"/>
        <v>0.16451612903225804</v>
      </c>
      <c r="N1095" s="14">
        <f t="shared" ref="N1095:N1117" si="963">1/31</f>
        <v>3.2258064516129031E-2</v>
      </c>
      <c r="O1095" s="1">
        <f ca="1">P1095*J1095*(1+Growth!G$6)^(2010-K1095)</f>
        <v>298.670774762446</v>
      </c>
      <c r="P1095" s="24">
        <v>288.35000000000002</v>
      </c>
      <c r="Q1095" s="2">
        <f t="shared" si="955"/>
        <v>288.35000000000002</v>
      </c>
      <c r="R1095" s="21">
        <f t="shared" ca="1" si="956"/>
        <v>89204.23169719975</v>
      </c>
      <c r="U1095" s="11"/>
      <c r="V1095" s="11"/>
      <c r="W1095" s="11"/>
      <c r="X1095" s="11"/>
      <c r="Y1095" s="11"/>
      <c r="Z1095" s="11"/>
      <c r="AA1095" s="11"/>
      <c r="AB1095" s="11"/>
      <c r="AC1095" s="1">
        <f t="shared" si="957"/>
        <v>5.0999999999999996</v>
      </c>
      <c r="AD1095" s="5">
        <v>0</v>
      </c>
      <c r="AE1095" s="5">
        <v>0</v>
      </c>
      <c r="AF1095" s="5">
        <v>1</v>
      </c>
      <c r="AG1095" s="5">
        <v>0</v>
      </c>
      <c r="AH1095" s="5">
        <v>1</v>
      </c>
      <c r="AI1095" s="3">
        <f t="shared" si="958"/>
        <v>3.1</v>
      </c>
      <c r="AJ1095" s="5">
        <f t="shared" si="913"/>
        <v>0</v>
      </c>
      <c r="AK1095" s="5">
        <f t="shared" si="959"/>
        <v>0</v>
      </c>
      <c r="AL1095" s="5">
        <f t="shared" si="960"/>
        <v>0</v>
      </c>
      <c r="AM1095" s="5">
        <f t="shared" si="920"/>
        <v>0</v>
      </c>
      <c r="AN1095" s="5">
        <f t="shared" si="961"/>
        <v>1</v>
      </c>
      <c r="AO1095" s="5">
        <f t="shared" si="921"/>
        <v>0</v>
      </c>
      <c r="AP1095" s="11" t="s">
        <v>42</v>
      </c>
      <c r="AQ1095" s="11">
        <v>0.1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1</v>
      </c>
      <c r="AY1095" s="1">
        <f t="shared" si="948"/>
        <v>0</v>
      </c>
      <c r="AZ1095" s="1">
        <f t="shared" si="949"/>
        <v>0</v>
      </c>
      <c r="BA1095" s="1">
        <f t="shared" si="950"/>
        <v>0</v>
      </c>
      <c r="BB1095" s="5">
        <v>0</v>
      </c>
      <c r="BC1095" s="5">
        <v>1</v>
      </c>
      <c r="BD1095" s="5">
        <v>0</v>
      </c>
      <c r="BE1095" s="5">
        <f t="shared" si="951"/>
        <v>0</v>
      </c>
      <c r="BF1095" s="5">
        <v>1</v>
      </c>
      <c r="BG1095" s="5">
        <f t="shared" si="962"/>
        <v>0</v>
      </c>
      <c r="BH1095" s="5">
        <f t="shared" si="962"/>
        <v>0</v>
      </c>
      <c r="BI1095" s="5">
        <f t="shared" si="962"/>
        <v>0</v>
      </c>
      <c r="BJ1095" s="5">
        <f t="shared" si="962"/>
        <v>0</v>
      </c>
      <c r="BK1095" s="5">
        <f t="shared" si="962"/>
        <v>0</v>
      </c>
      <c r="BL1095" s="5">
        <f t="shared" si="962"/>
        <v>0</v>
      </c>
      <c r="BM1095" s="5">
        <f t="shared" si="962"/>
        <v>0</v>
      </c>
      <c r="BN1095" s="5">
        <f t="shared" si="952"/>
        <v>0</v>
      </c>
      <c r="BO1095" s="5">
        <f t="shared" si="952"/>
        <v>0</v>
      </c>
      <c r="BP1095" s="5">
        <f t="shared" si="952"/>
        <v>0</v>
      </c>
      <c r="BQ1095" s="5">
        <f t="shared" si="952"/>
        <v>0</v>
      </c>
      <c r="BR1095" s="5">
        <f t="shared" si="952"/>
        <v>0</v>
      </c>
      <c r="BS1095" s="5">
        <f t="shared" si="952"/>
        <v>0</v>
      </c>
      <c r="BT1095" s="5">
        <f t="shared" si="952"/>
        <v>0</v>
      </c>
      <c r="BU1095" s="5">
        <f t="shared" si="952"/>
        <v>0</v>
      </c>
      <c r="BV1095" s="5">
        <f t="shared" si="952"/>
        <v>0</v>
      </c>
      <c r="BW1095" s="5">
        <f t="shared" si="952"/>
        <v>0</v>
      </c>
      <c r="BX1095" s="5">
        <f t="shared" si="952"/>
        <v>0</v>
      </c>
      <c r="BY1095" s="5">
        <f t="shared" si="952"/>
        <v>0</v>
      </c>
      <c r="BZ1095" s="5">
        <f t="shared" si="952"/>
        <v>0</v>
      </c>
      <c r="CA1095" s="5">
        <f t="shared" si="952"/>
        <v>1</v>
      </c>
      <c r="CB1095" s="5">
        <f t="shared" si="952"/>
        <v>0</v>
      </c>
      <c r="CC1095" s="5">
        <f t="shared" si="953"/>
        <v>0</v>
      </c>
      <c r="CD1095" s="5">
        <f t="shared" si="942"/>
        <v>0</v>
      </c>
      <c r="CE1095" s="5">
        <f t="shared" si="942"/>
        <v>0</v>
      </c>
    </row>
    <row r="1096" spans="1:83" x14ac:dyDescent="0.2">
      <c r="A1096" s="11"/>
      <c r="B1096" s="11"/>
      <c r="C1096" s="1">
        <f>Growth!D1101</f>
        <v>3.2258064516129031E-2</v>
      </c>
      <c r="D1096" s="5" t="b">
        <f t="shared" si="944"/>
        <v>0</v>
      </c>
      <c r="E1096" s="5">
        <v>2011</v>
      </c>
      <c r="F1096" s="5">
        <f ca="1">LOOKUP($E1096,frequence!$A$2:$A$35,frequence!L$2:L$35)</f>
        <v>33.053542446246631</v>
      </c>
      <c r="G1096" s="5">
        <f ca="1">LOOKUP($E1096,frequence!$A$2:$A$35,frequence!K$2:K$35)</f>
        <v>2.1388579511305732</v>
      </c>
      <c r="H1096" s="5">
        <f ca="1">LOOKUP($E1096,frequence!$A$2:$A$35,frequence!M$2:M$35)</f>
        <v>182.11948132765423</v>
      </c>
      <c r="I1096" s="16">
        <v>2005</v>
      </c>
      <c r="J1096" s="7">
        <f>LOOKUP(I1096,CPI!A$69:A$103,CPI!O$69:O$103)</f>
        <v>1.1165181771633383</v>
      </c>
      <c r="K1096" s="16">
        <v>2015</v>
      </c>
      <c r="L1096" s="7">
        <f t="shared" ca="1" si="954"/>
        <v>1</v>
      </c>
      <c r="M1096" s="7">
        <f t="shared" si="933"/>
        <v>0.16451612903225804</v>
      </c>
      <c r="N1096" s="14">
        <f t="shared" si="963"/>
        <v>3.2258064516129031E-2</v>
      </c>
      <c r="O1096" s="1">
        <f ca="1">P1096*J1096*(1+Growth!G$6)^(2010-K1096)</f>
        <v>101.37301448240191</v>
      </c>
      <c r="P1096" s="24">
        <v>97.87</v>
      </c>
      <c r="Q1096" s="2">
        <f t="shared" si="955"/>
        <v>97.87</v>
      </c>
      <c r="R1096" s="21">
        <f t="shared" ca="1" si="956"/>
        <v>10276.488065249268</v>
      </c>
      <c r="U1096" s="11"/>
      <c r="V1096" s="11"/>
      <c r="W1096" s="11"/>
      <c r="X1096" s="11"/>
      <c r="Y1096" s="11"/>
      <c r="Z1096" s="11"/>
      <c r="AA1096" s="11"/>
      <c r="AB1096" s="11"/>
      <c r="AC1096" s="1">
        <f t="shared" si="957"/>
        <v>5.0999999999999996</v>
      </c>
      <c r="AD1096" s="5">
        <v>0</v>
      </c>
      <c r="AE1096" s="5">
        <v>0</v>
      </c>
      <c r="AF1096" s="5">
        <v>1</v>
      </c>
      <c r="AG1096" s="5">
        <v>0</v>
      </c>
      <c r="AH1096" s="5">
        <v>1</v>
      </c>
      <c r="AI1096" s="3">
        <f t="shared" si="958"/>
        <v>3.1</v>
      </c>
      <c r="AJ1096" s="5">
        <f t="shared" si="913"/>
        <v>0</v>
      </c>
      <c r="AK1096" s="5">
        <f t="shared" si="959"/>
        <v>0</v>
      </c>
      <c r="AL1096" s="5">
        <f t="shared" si="960"/>
        <v>1</v>
      </c>
      <c r="AM1096" s="5">
        <f t="shared" si="920"/>
        <v>0</v>
      </c>
      <c r="AN1096" s="5">
        <f t="shared" si="961"/>
        <v>0</v>
      </c>
      <c r="AO1096" s="5">
        <f t="shared" si="921"/>
        <v>0</v>
      </c>
      <c r="AP1096" s="11" t="s">
        <v>42</v>
      </c>
      <c r="AQ1096" s="11">
        <v>1.5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1</v>
      </c>
      <c r="AY1096" s="1">
        <f t="shared" si="948"/>
        <v>0</v>
      </c>
      <c r="AZ1096" s="1">
        <f t="shared" si="949"/>
        <v>0</v>
      </c>
      <c r="BA1096" s="1">
        <f t="shared" si="950"/>
        <v>0</v>
      </c>
      <c r="BB1096" s="5">
        <v>0</v>
      </c>
      <c r="BC1096" s="5">
        <v>1</v>
      </c>
      <c r="BD1096" s="5">
        <v>0</v>
      </c>
      <c r="BE1096" s="5">
        <f t="shared" si="951"/>
        <v>0</v>
      </c>
      <c r="BF1096" s="5">
        <v>1</v>
      </c>
      <c r="BG1096" s="5">
        <f t="shared" si="962"/>
        <v>0</v>
      </c>
      <c r="BH1096" s="5">
        <f t="shared" si="962"/>
        <v>0</v>
      </c>
      <c r="BI1096" s="5">
        <f t="shared" si="962"/>
        <v>0</v>
      </c>
      <c r="BJ1096" s="5">
        <f t="shared" si="962"/>
        <v>0</v>
      </c>
      <c r="BK1096" s="5">
        <f t="shared" si="962"/>
        <v>0</v>
      </c>
      <c r="BL1096" s="5">
        <f t="shared" si="962"/>
        <v>0</v>
      </c>
      <c r="BM1096" s="5">
        <f t="shared" si="962"/>
        <v>0</v>
      </c>
      <c r="BN1096" s="5">
        <f t="shared" si="952"/>
        <v>0</v>
      </c>
      <c r="BO1096" s="5">
        <f t="shared" si="952"/>
        <v>0</v>
      </c>
      <c r="BP1096" s="5">
        <f t="shared" si="952"/>
        <v>0</v>
      </c>
      <c r="BQ1096" s="5">
        <f t="shared" si="952"/>
        <v>0</v>
      </c>
      <c r="BR1096" s="5">
        <f t="shared" si="952"/>
        <v>0</v>
      </c>
      <c r="BS1096" s="5">
        <f t="shared" si="952"/>
        <v>0</v>
      </c>
      <c r="BT1096" s="5">
        <f t="shared" si="952"/>
        <v>0</v>
      </c>
      <c r="BU1096" s="5">
        <f t="shared" si="952"/>
        <v>0</v>
      </c>
      <c r="BV1096" s="5">
        <f t="shared" si="952"/>
        <v>0</v>
      </c>
      <c r="BW1096" s="5">
        <f t="shared" si="952"/>
        <v>0</v>
      </c>
      <c r="BX1096" s="5">
        <f t="shared" si="952"/>
        <v>0</v>
      </c>
      <c r="BY1096" s="5">
        <f t="shared" si="952"/>
        <v>0</v>
      </c>
      <c r="BZ1096" s="5">
        <f t="shared" si="952"/>
        <v>0</v>
      </c>
      <c r="CA1096" s="5">
        <f t="shared" si="952"/>
        <v>1</v>
      </c>
      <c r="CB1096" s="5">
        <f t="shared" si="952"/>
        <v>0</v>
      </c>
      <c r="CC1096" s="5">
        <f t="shared" si="953"/>
        <v>0</v>
      </c>
      <c r="CD1096" s="5">
        <f t="shared" si="942"/>
        <v>0</v>
      </c>
      <c r="CE1096" s="5">
        <f t="shared" si="942"/>
        <v>0</v>
      </c>
    </row>
    <row r="1097" spans="1:83" x14ac:dyDescent="0.2">
      <c r="A1097" s="11"/>
      <c r="B1097" s="11"/>
      <c r="C1097" s="1">
        <f>Growth!D1102</f>
        <v>3.2258064516129031E-2</v>
      </c>
      <c r="D1097" s="5" t="b">
        <f t="shared" si="944"/>
        <v>0</v>
      </c>
      <c r="E1097" s="5">
        <v>2011</v>
      </c>
      <c r="F1097" s="5">
        <f ca="1">LOOKUP($E1097,frequence!$A$2:$A$35,frequence!L$2:L$35)</f>
        <v>33.053542446246631</v>
      </c>
      <c r="G1097" s="5">
        <f ca="1">LOOKUP($E1097,frequence!$A$2:$A$35,frequence!K$2:K$35)</f>
        <v>2.1388579511305732</v>
      </c>
      <c r="H1097" s="5">
        <f ca="1">LOOKUP($E1097,frequence!$A$2:$A$35,frequence!M$2:M$35)</f>
        <v>182.11948132765423</v>
      </c>
      <c r="I1097" s="16">
        <v>2005</v>
      </c>
      <c r="J1097" s="7">
        <f>LOOKUP(I1097,CPI!A$69:A$103,CPI!O$69:O$103)</f>
        <v>1.1165181771633383</v>
      </c>
      <c r="K1097" s="16">
        <v>2015</v>
      </c>
      <c r="L1097" s="7">
        <f t="shared" ca="1" si="954"/>
        <v>1</v>
      </c>
      <c r="M1097" s="7">
        <f t="shared" si="933"/>
        <v>0.16451612903225804</v>
      </c>
      <c r="N1097" s="14">
        <f t="shared" si="963"/>
        <v>3.2258064516129031E-2</v>
      </c>
      <c r="O1097" s="1">
        <f ca="1">P1097*J1097*(1+Growth!G$6)^(2010-K1097)</f>
        <v>129.32905474887812</v>
      </c>
      <c r="P1097" s="24">
        <v>124.86</v>
      </c>
      <c r="Q1097" s="2">
        <f t="shared" si="955"/>
        <v>124.86</v>
      </c>
      <c r="R1097" s="21">
        <f t="shared" ca="1" si="956"/>
        <v>16726.004402238315</v>
      </c>
      <c r="U1097" s="11"/>
      <c r="V1097" s="11"/>
      <c r="W1097" s="11"/>
      <c r="X1097" s="11"/>
      <c r="Y1097" s="11"/>
      <c r="Z1097" s="11"/>
      <c r="AA1097" s="11"/>
      <c r="AB1097" s="11"/>
      <c r="AC1097" s="1">
        <f t="shared" si="957"/>
        <v>5.0999999999999996</v>
      </c>
      <c r="AD1097" s="5">
        <v>0</v>
      </c>
      <c r="AE1097" s="5">
        <v>0</v>
      </c>
      <c r="AF1097" s="5">
        <v>1</v>
      </c>
      <c r="AG1097" s="5">
        <v>0</v>
      </c>
      <c r="AH1097" s="5">
        <v>1</v>
      </c>
      <c r="AI1097" s="3">
        <f t="shared" si="958"/>
        <v>3.1</v>
      </c>
      <c r="AJ1097" s="5">
        <f t="shared" si="913"/>
        <v>0</v>
      </c>
      <c r="AK1097" s="5">
        <f t="shared" si="959"/>
        <v>0</v>
      </c>
      <c r="AL1097" s="5">
        <f t="shared" si="960"/>
        <v>1</v>
      </c>
      <c r="AM1097" s="5">
        <f t="shared" si="920"/>
        <v>0</v>
      </c>
      <c r="AN1097" s="5">
        <f t="shared" si="961"/>
        <v>0</v>
      </c>
      <c r="AO1097" s="5">
        <f t="shared" si="921"/>
        <v>0</v>
      </c>
      <c r="AP1097" s="11" t="s">
        <v>42</v>
      </c>
      <c r="AQ1097" s="11">
        <v>1.5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1</v>
      </c>
      <c r="AY1097" s="1">
        <f t="shared" si="948"/>
        <v>0</v>
      </c>
      <c r="AZ1097" s="1">
        <f t="shared" si="949"/>
        <v>0</v>
      </c>
      <c r="BA1097" s="1">
        <f t="shared" si="950"/>
        <v>0</v>
      </c>
      <c r="BB1097" s="5">
        <v>0</v>
      </c>
      <c r="BC1097" s="5">
        <v>1</v>
      </c>
      <c r="BD1097" s="5">
        <v>0</v>
      </c>
      <c r="BE1097" s="5">
        <f t="shared" si="951"/>
        <v>0</v>
      </c>
      <c r="BF1097" s="5">
        <v>1</v>
      </c>
      <c r="BG1097" s="5">
        <f t="shared" si="962"/>
        <v>0</v>
      </c>
      <c r="BH1097" s="5">
        <f t="shared" si="962"/>
        <v>0</v>
      </c>
      <c r="BI1097" s="5">
        <f t="shared" si="962"/>
        <v>0</v>
      </c>
      <c r="BJ1097" s="5">
        <f t="shared" si="962"/>
        <v>0</v>
      </c>
      <c r="BK1097" s="5">
        <f t="shared" si="962"/>
        <v>0</v>
      </c>
      <c r="BL1097" s="5">
        <f t="shared" si="962"/>
        <v>0</v>
      </c>
      <c r="BM1097" s="5">
        <f t="shared" si="962"/>
        <v>0</v>
      </c>
      <c r="BN1097" s="5">
        <f t="shared" si="952"/>
        <v>0</v>
      </c>
      <c r="BO1097" s="5">
        <f t="shared" si="952"/>
        <v>0</v>
      </c>
      <c r="BP1097" s="5">
        <f t="shared" si="952"/>
        <v>0</v>
      </c>
      <c r="BQ1097" s="5">
        <f t="shared" si="952"/>
        <v>0</v>
      </c>
      <c r="BR1097" s="5">
        <f t="shared" si="952"/>
        <v>0</v>
      </c>
      <c r="BS1097" s="5">
        <f t="shared" si="952"/>
        <v>0</v>
      </c>
      <c r="BT1097" s="5">
        <f t="shared" si="952"/>
        <v>0</v>
      </c>
      <c r="BU1097" s="5">
        <f t="shared" si="952"/>
        <v>0</v>
      </c>
      <c r="BV1097" s="5">
        <f t="shared" si="952"/>
        <v>0</v>
      </c>
      <c r="BW1097" s="5">
        <f t="shared" si="952"/>
        <v>0</v>
      </c>
      <c r="BX1097" s="5">
        <f t="shared" si="952"/>
        <v>0</v>
      </c>
      <c r="BY1097" s="5">
        <f t="shared" si="952"/>
        <v>0</v>
      </c>
      <c r="BZ1097" s="5">
        <f t="shared" si="952"/>
        <v>0</v>
      </c>
      <c r="CA1097" s="5">
        <f t="shared" si="952"/>
        <v>1</v>
      </c>
      <c r="CB1097" s="5">
        <f t="shared" si="952"/>
        <v>0</v>
      </c>
      <c r="CC1097" s="5">
        <f t="shared" si="953"/>
        <v>0</v>
      </c>
      <c r="CD1097" s="5">
        <f t="shared" si="942"/>
        <v>0</v>
      </c>
      <c r="CE1097" s="5">
        <f t="shared" si="942"/>
        <v>0</v>
      </c>
    </row>
    <row r="1098" spans="1:83" x14ac:dyDescent="0.2">
      <c r="A1098" s="11"/>
      <c r="B1098" s="11"/>
      <c r="C1098" s="1">
        <f>Growth!D1103</f>
        <v>3.2258064516129031E-2</v>
      </c>
      <c r="D1098" s="5" t="b">
        <f t="shared" si="944"/>
        <v>0</v>
      </c>
      <c r="E1098" s="5">
        <v>2011</v>
      </c>
      <c r="F1098" s="5">
        <f ca="1">LOOKUP($E1098,frequence!$A$2:$A$35,frequence!L$2:L$35)</f>
        <v>33.053542446246631</v>
      </c>
      <c r="G1098" s="5">
        <f ca="1">LOOKUP($E1098,frequence!$A$2:$A$35,frequence!K$2:K$35)</f>
        <v>2.1388579511305732</v>
      </c>
      <c r="H1098" s="5">
        <f ca="1">LOOKUP($E1098,frequence!$A$2:$A$35,frequence!M$2:M$35)</f>
        <v>182.11948132765423</v>
      </c>
      <c r="I1098" s="16">
        <v>2005</v>
      </c>
      <c r="J1098" s="7">
        <f>LOOKUP(I1098,CPI!A$69:A$103,CPI!O$69:O$103)</f>
        <v>1.1165181771633383</v>
      </c>
      <c r="K1098" s="16">
        <v>2015</v>
      </c>
      <c r="L1098" s="7">
        <f t="shared" ca="1" si="954"/>
        <v>0</v>
      </c>
      <c r="M1098" s="7">
        <f t="shared" si="933"/>
        <v>0.16451612903225804</v>
      </c>
      <c r="N1098" s="14">
        <f t="shared" si="963"/>
        <v>3.2258064516129031E-2</v>
      </c>
      <c r="O1098" s="1">
        <f ca="1">P1098*J1098*(1+Growth!G$6)^(2010-K1098)</f>
        <v>9065.256184223781</v>
      </c>
      <c r="P1098" s="24">
        <v>8752</v>
      </c>
      <c r="Q1098" s="2">
        <f t="shared" si="955"/>
        <v>8752</v>
      </c>
      <c r="R1098" s="21">
        <f t="shared" ca="1" si="956"/>
        <v>82178869.685607508</v>
      </c>
      <c r="U1098" s="11"/>
      <c r="V1098" s="11"/>
      <c r="W1098" s="11"/>
      <c r="X1098" s="11"/>
      <c r="Y1098" s="11"/>
      <c r="Z1098" s="11"/>
      <c r="AA1098" s="11"/>
      <c r="AB1098" s="11"/>
      <c r="AC1098" s="1">
        <f t="shared" ref="AC1098:AC1113" si="964">SUM(AD1098:AI1098)</f>
        <v>5.0999999999999996</v>
      </c>
      <c r="AD1098" s="5">
        <v>0</v>
      </c>
      <c r="AE1098" s="5">
        <v>0</v>
      </c>
      <c r="AF1098" s="5">
        <v>1</v>
      </c>
      <c r="AG1098" s="5">
        <v>0</v>
      </c>
      <c r="AH1098" s="5">
        <v>1</v>
      </c>
      <c r="AI1098" s="3">
        <f t="shared" ref="AI1098:AI1113" si="965">(E1098-1980)/10</f>
        <v>3.1</v>
      </c>
      <c r="AJ1098" s="5">
        <f t="shared" si="913"/>
        <v>0</v>
      </c>
      <c r="AK1098" s="5">
        <f t="shared" si="959"/>
        <v>0</v>
      </c>
      <c r="AL1098" s="5">
        <f t="shared" si="960"/>
        <v>0</v>
      </c>
      <c r="AM1098" s="5">
        <f t="shared" si="920"/>
        <v>0</v>
      </c>
      <c r="AN1098" s="5">
        <f t="shared" si="961"/>
        <v>0</v>
      </c>
      <c r="AO1098" s="5">
        <f t="shared" si="921"/>
        <v>1</v>
      </c>
      <c r="AP1098" s="11" t="s">
        <v>42</v>
      </c>
      <c r="AQ1098" s="11">
        <v>0</v>
      </c>
      <c r="AR1098" s="5">
        <v>1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1</v>
      </c>
      <c r="AY1098" s="1">
        <f t="shared" ref="AY1098" si="966">AJ1098*$AD1098*(1-$AV1098)*(1-$AR1098)</f>
        <v>0</v>
      </c>
      <c r="AZ1098" s="1">
        <f t="shared" ref="AZ1098" si="967">AM1098*$AD1098*(1-$AV1098)*(1-$AR1098)</f>
        <v>0</v>
      </c>
      <c r="BA1098" s="1">
        <f t="shared" ref="BA1098" si="968">AO1098*$AD1098*(1-$AV1098)*(1-$AR1098)</f>
        <v>0</v>
      </c>
      <c r="BB1098" s="5">
        <v>0</v>
      </c>
      <c r="BC1098" s="5">
        <v>1</v>
      </c>
      <c r="BD1098" s="5">
        <v>0</v>
      </c>
      <c r="BE1098" s="5">
        <f t="shared" ref="BE1098" si="969">1-SUM(BB1098:BD1098)</f>
        <v>0</v>
      </c>
      <c r="BF1098" s="5">
        <v>0</v>
      </c>
      <c r="BG1098" s="5">
        <f t="shared" si="962"/>
        <v>0</v>
      </c>
      <c r="BH1098" s="5">
        <f t="shared" si="962"/>
        <v>0</v>
      </c>
      <c r="BI1098" s="5">
        <f t="shared" si="962"/>
        <v>0</v>
      </c>
      <c r="BJ1098" s="5">
        <f t="shared" si="962"/>
        <v>0</v>
      </c>
      <c r="BK1098" s="5">
        <f t="shared" si="962"/>
        <v>0</v>
      </c>
      <c r="BL1098" s="5">
        <f t="shared" si="962"/>
        <v>0</v>
      </c>
      <c r="BM1098" s="5">
        <f t="shared" si="962"/>
        <v>0</v>
      </c>
      <c r="BN1098" s="5">
        <f t="shared" si="952"/>
        <v>0</v>
      </c>
      <c r="BO1098" s="5">
        <f t="shared" si="952"/>
        <v>0</v>
      </c>
      <c r="BP1098" s="5">
        <f t="shared" si="952"/>
        <v>0</v>
      </c>
      <c r="BQ1098" s="5">
        <f t="shared" si="952"/>
        <v>0</v>
      </c>
      <c r="BR1098" s="5">
        <f t="shared" si="952"/>
        <v>0</v>
      </c>
      <c r="BS1098" s="5">
        <f t="shared" si="952"/>
        <v>0</v>
      </c>
      <c r="BT1098" s="5">
        <f t="shared" si="952"/>
        <v>0</v>
      </c>
      <c r="BU1098" s="5">
        <f t="shared" si="952"/>
        <v>0</v>
      </c>
      <c r="BV1098" s="5">
        <f t="shared" si="952"/>
        <v>0</v>
      </c>
      <c r="BW1098" s="5">
        <f t="shared" si="952"/>
        <v>0</v>
      </c>
      <c r="BX1098" s="5">
        <f t="shared" si="952"/>
        <v>0</v>
      </c>
      <c r="BY1098" s="5">
        <f t="shared" si="952"/>
        <v>0</v>
      </c>
      <c r="BZ1098" s="5">
        <f t="shared" si="952"/>
        <v>0</v>
      </c>
      <c r="CA1098" s="5">
        <f t="shared" si="952"/>
        <v>1</v>
      </c>
      <c r="CB1098" s="5">
        <f t="shared" si="952"/>
        <v>0</v>
      </c>
      <c r="CC1098" s="5">
        <f t="shared" si="953"/>
        <v>0</v>
      </c>
      <c r="CD1098" s="5">
        <f t="shared" si="942"/>
        <v>0</v>
      </c>
      <c r="CE1098" s="5">
        <f t="shared" si="942"/>
        <v>0</v>
      </c>
    </row>
    <row r="1099" spans="1:83" x14ac:dyDescent="0.2">
      <c r="A1099" s="11"/>
      <c r="B1099" s="11"/>
      <c r="C1099" s="1">
        <f>Growth!D1104</f>
        <v>3.2258064516129031E-2</v>
      </c>
      <c r="D1099" s="5" t="b">
        <f t="shared" si="944"/>
        <v>0</v>
      </c>
      <c r="E1099" s="5">
        <v>2011</v>
      </c>
      <c r="F1099" s="5">
        <f ca="1">LOOKUP($E1099,frequence!$A$2:$A$35,frequence!L$2:L$35)</f>
        <v>33.053542446246631</v>
      </c>
      <c r="G1099" s="5">
        <f ca="1">LOOKUP($E1099,frequence!$A$2:$A$35,frequence!K$2:K$35)</f>
        <v>2.1388579511305732</v>
      </c>
      <c r="H1099" s="5">
        <f ca="1">LOOKUP($E1099,frequence!$A$2:$A$35,frequence!M$2:M$35)</f>
        <v>182.11948132765423</v>
      </c>
      <c r="I1099" s="16">
        <v>2005</v>
      </c>
      <c r="J1099" s="7">
        <f>LOOKUP(I1099,CPI!A$69:A$103,CPI!O$69:O$103)</f>
        <v>1.1165181771633383</v>
      </c>
      <c r="K1099" s="16">
        <v>2015</v>
      </c>
      <c r="L1099" s="7">
        <f t="shared" ca="1" si="954"/>
        <v>1</v>
      </c>
      <c r="M1099" s="7">
        <f t="shared" si="933"/>
        <v>0.16451612903225804</v>
      </c>
      <c r="N1099" s="14">
        <f t="shared" si="963"/>
        <v>3.2258064516129031E-2</v>
      </c>
      <c r="O1099" s="1">
        <f ca="1">P1099*J1099*(1+Growth!G$6)^(2010-K1099)</f>
        <v>970.5375965056769</v>
      </c>
      <c r="P1099" s="24">
        <v>937</v>
      </c>
      <c r="Q1099" s="2">
        <f t="shared" si="955"/>
        <v>937</v>
      </c>
      <c r="R1099" s="21">
        <f t="shared" ca="1" si="956"/>
        <v>941943.2262310161</v>
      </c>
      <c r="U1099" s="11"/>
      <c r="V1099" s="11"/>
      <c r="W1099" s="11"/>
      <c r="X1099" s="11"/>
      <c r="Y1099" s="11"/>
      <c r="Z1099" s="11"/>
      <c r="AA1099" s="11"/>
      <c r="AB1099" s="11"/>
      <c r="AC1099" s="1">
        <f t="shared" si="964"/>
        <v>5.0999999999999996</v>
      </c>
      <c r="AD1099" s="5">
        <v>0</v>
      </c>
      <c r="AE1099" s="5">
        <v>0</v>
      </c>
      <c r="AF1099" s="5">
        <v>1</v>
      </c>
      <c r="AG1099" s="5">
        <v>0</v>
      </c>
      <c r="AH1099" s="5">
        <v>1</v>
      </c>
      <c r="AI1099" s="3">
        <f t="shared" si="965"/>
        <v>3.1</v>
      </c>
      <c r="AJ1099" s="5">
        <f t="shared" si="913"/>
        <v>0</v>
      </c>
      <c r="AK1099" s="5">
        <f t="shared" si="959"/>
        <v>0</v>
      </c>
      <c r="AL1099" s="5">
        <f t="shared" si="960"/>
        <v>0</v>
      </c>
      <c r="AM1099" s="5">
        <f t="shared" si="920"/>
        <v>0</v>
      </c>
      <c r="AN1099" s="5">
        <f t="shared" si="961"/>
        <v>0</v>
      </c>
      <c r="AO1099" s="5">
        <f t="shared" si="921"/>
        <v>1</v>
      </c>
      <c r="AP1099" s="11" t="s">
        <v>42</v>
      </c>
      <c r="AQ1099" s="11">
        <v>0</v>
      </c>
      <c r="AR1099" s="5">
        <v>1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1</v>
      </c>
      <c r="AY1099" s="1">
        <f t="shared" ref="AY1099:AY1113" si="970">AJ1099*$AD1099*(1-$AV1099)*(1-$AR1099)</f>
        <v>0</v>
      </c>
      <c r="AZ1099" s="1">
        <f t="shared" ref="AZ1099:AZ1113" si="971">AM1099*$AD1099*(1-$AV1099)*(1-$AR1099)</f>
        <v>0</v>
      </c>
      <c r="BA1099" s="1">
        <f t="shared" ref="BA1099:BA1113" si="972">AO1099*$AD1099*(1-$AV1099)*(1-$AR1099)</f>
        <v>0</v>
      </c>
      <c r="BB1099" s="5">
        <v>0</v>
      </c>
      <c r="BC1099" s="5">
        <v>1</v>
      </c>
      <c r="BD1099" s="5">
        <v>0</v>
      </c>
      <c r="BE1099" s="5">
        <f t="shared" ref="BE1099:BE1113" si="973">1-SUM(BB1099:BD1099)</f>
        <v>0</v>
      </c>
      <c r="BF1099" s="5">
        <v>0</v>
      </c>
      <c r="BG1099" s="5">
        <f t="shared" si="962"/>
        <v>0</v>
      </c>
      <c r="BH1099" s="5">
        <f t="shared" si="962"/>
        <v>0</v>
      </c>
      <c r="BI1099" s="5">
        <f t="shared" si="962"/>
        <v>0</v>
      </c>
      <c r="BJ1099" s="5">
        <f t="shared" si="962"/>
        <v>0</v>
      </c>
      <c r="BK1099" s="5">
        <f t="shared" si="962"/>
        <v>0</v>
      </c>
      <c r="BL1099" s="5">
        <f t="shared" si="962"/>
        <v>0</v>
      </c>
      <c r="BM1099" s="5">
        <f t="shared" si="962"/>
        <v>0</v>
      </c>
      <c r="BN1099" s="5">
        <f t="shared" si="952"/>
        <v>0</v>
      </c>
      <c r="BO1099" s="5">
        <f t="shared" si="952"/>
        <v>0</v>
      </c>
      <c r="BP1099" s="5">
        <f t="shared" si="952"/>
        <v>0</v>
      </c>
      <c r="BQ1099" s="5">
        <f t="shared" si="952"/>
        <v>0</v>
      </c>
      <c r="BR1099" s="5">
        <f t="shared" si="952"/>
        <v>0</v>
      </c>
      <c r="BS1099" s="5">
        <f t="shared" si="952"/>
        <v>0</v>
      </c>
      <c r="BT1099" s="5">
        <f t="shared" si="952"/>
        <v>0</v>
      </c>
      <c r="BU1099" s="5">
        <f t="shared" si="952"/>
        <v>0</v>
      </c>
      <c r="BV1099" s="5">
        <f t="shared" si="952"/>
        <v>0</v>
      </c>
      <c r="BW1099" s="5">
        <f t="shared" si="952"/>
        <v>0</v>
      </c>
      <c r="BX1099" s="5">
        <f t="shared" si="952"/>
        <v>0</v>
      </c>
      <c r="BY1099" s="5">
        <f t="shared" si="952"/>
        <v>0</v>
      </c>
      <c r="BZ1099" s="5">
        <f t="shared" si="952"/>
        <v>0</v>
      </c>
      <c r="CA1099" s="5">
        <f t="shared" si="952"/>
        <v>1</v>
      </c>
      <c r="CB1099" s="5">
        <f t="shared" si="952"/>
        <v>0</v>
      </c>
      <c r="CC1099" s="5">
        <f t="shared" si="953"/>
        <v>0</v>
      </c>
      <c r="CD1099" s="5">
        <f t="shared" si="942"/>
        <v>0</v>
      </c>
      <c r="CE1099" s="5">
        <f t="shared" si="942"/>
        <v>0</v>
      </c>
    </row>
    <row r="1100" spans="1:83" x14ac:dyDescent="0.2">
      <c r="A1100" s="11"/>
      <c r="B1100" s="11"/>
      <c r="C1100" s="1">
        <f>Growth!D1105</f>
        <v>3.2258064516129031E-2</v>
      </c>
      <c r="D1100" s="5" t="b">
        <f t="shared" si="944"/>
        <v>0</v>
      </c>
      <c r="E1100" s="5">
        <v>2011</v>
      </c>
      <c r="F1100" s="5">
        <f ca="1">LOOKUP($E1100,frequence!$A$2:$A$35,frequence!L$2:L$35)</f>
        <v>33.053542446246631</v>
      </c>
      <c r="G1100" s="5">
        <f ca="1">LOOKUP($E1100,frequence!$A$2:$A$35,frequence!K$2:K$35)</f>
        <v>2.1388579511305732</v>
      </c>
      <c r="H1100" s="5">
        <f ca="1">LOOKUP($E1100,frequence!$A$2:$A$35,frequence!M$2:M$35)</f>
        <v>182.11948132765423</v>
      </c>
      <c r="I1100" s="16">
        <v>2005</v>
      </c>
      <c r="J1100" s="7">
        <f>LOOKUP(I1100,CPI!A$69:A$103,CPI!O$69:O$103)</f>
        <v>1.1165181771633383</v>
      </c>
      <c r="K1100" s="16">
        <v>2015</v>
      </c>
      <c r="L1100" s="7">
        <f t="shared" ca="1" si="954"/>
        <v>1</v>
      </c>
      <c r="M1100" s="7">
        <f t="shared" si="933"/>
        <v>0.16451612903225804</v>
      </c>
      <c r="N1100" s="14">
        <f t="shared" si="963"/>
        <v>3.2258064516129031E-2</v>
      </c>
      <c r="O1100" s="1">
        <f ca="1">P1100*J1100*(1+Growth!G$6)^(2010-K1100)</f>
        <v>162.6194265222959</v>
      </c>
      <c r="P1100" s="24">
        <v>157</v>
      </c>
      <c r="Q1100" s="2">
        <f t="shared" si="955"/>
        <v>157</v>
      </c>
      <c r="R1100" s="21">
        <f t="shared" ca="1" si="956"/>
        <v>26445.077882440393</v>
      </c>
      <c r="U1100" s="11"/>
      <c r="V1100" s="11"/>
      <c r="W1100" s="11"/>
      <c r="X1100" s="11"/>
      <c r="Y1100" s="11"/>
      <c r="Z1100" s="11"/>
      <c r="AA1100" s="11"/>
      <c r="AB1100" s="11"/>
      <c r="AC1100" s="1">
        <f t="shared" si="964"/>
        <v>5.0999999999999996</v>
      </c>
      <c r="AD1100" s="5">
        <v>0</v>
      </c>
      <c r="AE1100" s="5">
        <v>0</v>
      </c>
      <c r="AF1100" s="5">
        <v>1</v>
      </c>
      <c r="AG1100" s="5">
        <v>0</v>
      </c>
      <c r="AH1100" s="5">
        <v>1</v>
      </c>
      <c r="AI1100" s="3">
        <f t="shared" si="965"/>
        <v>3.1</v>
      </c>
      <c r="AJ1100" s="5">
        <f t="shared" si="913"/>
        <v>0</v>
      </c>
      <c r="AK1100" s="5">
        <f t="shared" si="959"/>
        <v>0</v>
      </c>
      <c r="AL1100" s="5">
        <f t="shared" si="960"/>
        <v>0</v>
      </c>
      <c r="AM1100" s="5">
        <f t="shared" si="920"/>
        <v>0</v>
      </c>
      <c r="AN1100" s="5">
        <f t="shared" si="961"/>
        <v>0</v>
      </c>
      <c r="AO1100" s="5">
        <f t="shared" si="921"/>
        <v>1</v>
      </c>
      <c r="AP1100" s="11" t="s">
        <v>42</v>
      </c>
      <c r="AQ1100" s="11">
        <v>0</v>
      </c>
      <c r="AR1100" s="5">
        <v>1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1</v>
      </c>
      <c r="AY1100" s="1">
        <f t="shared" si="970"/>
        <v>0</v>
      </c>
      <c r="AZ1100" s="1">
        <f t="shared" si="971"/>
        <v>0</v>
      </c>
      <c r="BA1100" s="1">
        <f t="shared" si="972"/>
        <v>0</v>
      </c>
      <c r="BB1100" s="5">
        <v>0</v>
      </c>
      <c r="BC1100" s="5">
        <v>1</v>
      </c>
      <c r="BD1100" s="5">
        <v>0</v>
      </c>
      <c r="BE1100" s="5">
        <f t="shared" si="973"/>
        <v>0</v>
      </c>
      <c r="BF1100" s="5">
        <v>0</v>
      </c>
      <c r="BG1100" s="5">
        <f t="shared" si="962"/>
        <v>0</v>
      </c>
      <c r="BH1100" s="5">
        <f t="shared" si="962"/>
        <v>0</v>
      </c>
      <c r="BI1100" s="5">
        <f t="shared" si="962"/>
        <v>0</v>
      </c>
      <c r="BJ1100" s="5">
        <f t="shared" si="962"/>
        <v>0</v>
      </c>
      <c r="BK1100" s="5">
        <f t="shared" si="962"/>
        <v>0</v>
      </c>
      <c r="BL1100" s="5">
        <f t="shared" si="962"/>
        <v>0</v>
      </c>
      <c r="BM1100" s="5">
        <f t="shared" si="962"/>
        <v>0</v>
      </c>
      <c r="BN1100" s="5">
        <f t="shared" si="952"/>
        <v>0</v>
      </c>
      <c r="BO1100" s="5">
        <f t="shared" si="952"/>
        <v>0</v>
      </c>
      <c r="BP1100" s="5">
        <f t="shared" si="952"/>
        <v>0</v>
      </c>
      <c r="BQ1100" s="5">
        <f t="shared" si="952"/>
        <v>0</v>
      </c>
      <c r="BR1100" s="5">
        <f t="shared" si="952"/>
        <v>0</v>
      </c>
      <c r="BS1100" s="5">
        <f t="shared" si="952"/>
        <v>0</v>
      </c>
      <c r="BT1100" s="5">
        <f t="shared" si="952"/>
        <v>0</v>
      </c>
      <c r="BU1100" s="5">
        <f t="shared" si="952"/>
        <v>0</v>
      </c>
      <c r="BV1100" s="5">
        <f t="shared" si="952"/>
        <v>0</v>
      </c>
      <c r="BW1100" s="5">
        <f t="shared" si="952"/>
        <v>0</v>
      </c>
      <c r="BX1100" s="5">
        <f t="shared" si="952"/>
        <v>0</v>
      </c>
      <c r="BY1100" s="5">
        <f t="shared" si="952"/>
        <v>0</v>
      </c>
      <c r="BZ1100" s="5">
        <f t="shared" si="952"/>
        <v>0</v>
      </c>
      <c r="CA1100" s="5">
        <f t="shared" si="952"/>
        <v>1</v>
      </c>
      <c r="CB1100" s="5">
        <f t="shared" si="952"/>
        <v>0</v>
      </c>
      <c r="CC1100" s="5">
        <f t="shared" si="953"/>
        <v>0</v>
      </c>
      <c r="CD1100" s="5">
        <f t="shared" si="942"/>
        <v>0</v>
      </c>
      <c r="CE1100" s="5">
        <f t="shared" si="942"/>
        <v>0</v>
      </c>
    </row>
    <row r="1101" spans="1:83" x14ac:dyDescent="0.2">
      <c r="A1101" s="11"/>
      <c r="B1101" s="11"/>
      <c r="C1101" s="1">
        <f>Growth!D1106</f>
        <v>3.2258064516129031E-2</v>
      </c>
      <c r="D1101" s="5" t="b">
        <f t="shared" si="944"/>
        <v>0</v>
      </c>
      <c r="E1101" s="5">
        <v>2011</v>
      </c>
      <c r="F1101" s="5">
        <f ca="1">LOOKUP($E1101,frequence!$A$2:$A$35,frequence!L$2:L$35)</f>
        <v>33.053542446246631</v>
      </c>
      <c r="G1101" s="5">
        <f ca="1">LOOKUP($E1101,frequence!$A$2:$A$35,frequence!K$2:K$35)</f>
        <v>2.1388579511305732</v>
      </c>
      <c r="H1101" s="5">
        <f ca="1">LOOKUP($E1101,frequence!$A$2:$A$35,frequence!M$2:M$35)</f>
        <v>182.11948132765423</v>
      </c>
      <c r="I1101" s="16">
        <v>2005</v>
      </c>
      <c r="J1101" s="7">
        <f>LOOKUP(I1101,CPI!A$69:A$103,CPI!O$69:O$103)</f>
        <v>1.1165181771633383</v>
      </c>
      <c r="K1101" s="16">
        <v>2015</v>
      </c>
      <c r="L1101" s="7">
        <f t="shared" ca="1" si="954"/>
        <v>1</v>
      </c>
      <c r="M1101" s="7">
        <f t="shared" si="933"/>
        <v>0.16451612903225804</v>
      </c>
      <c r="N1101" s="14">
        <f t="shared" si="963"/>
        <v>3.2258064516129031E-2</v>
      </c>
      <c r="O1101" s="1">
        <f ca="1">P1101*J1101*(1+Growth!G$6)^(2010-K1101)</f>
        <v>78.720231947098654</v>
      </c>
      <c r="P1101" s="24">
        <v>76</v>
      </c>
      <c r="Q1101" s="2">
        <f t="shared" si="955"/>
        <v>76</v>
      </c>
      <c r="R1101" s="21">
        <f t="shared" ca="1" si="956"/>
        <v>6196.8749178050111</v>
      </c>
      <c r="U1101" s="11"/>
      <c r="V1101" s="11"/>
      <c r="W1101" s="11"/>
      <c r="X1101" s="11"/>
      <c r="Y1101" s="11"/>
      <c r="Z1101" s="11"/>
      <c r="AA1101" s="11"/>
      <c r="AB1101" s="11"/>
      <c r="AC1101" s="1">
        <f t="shared" si="964"/>
        <v>5.0999999999999996</v>
      </c>
      <c r="AD1101" s="5">
        <v>0</v>
      </c>
      <c r="AE1101" s="5">
        <v>0</v>
      </c>
      <c r="AF1101" s="5">
        <v>1</v>
      </c>
      <c r="AG1101" s="5">
        <v>0</v>
      </c>
      <c r="AH1101" s="5">
        <v>1</v>
      </c>
      <c r="AI1101" s="3">
        <f t="shared" si="965"/>
        <v>3.1</v>
      </c>
      <c r="AJ1101" s="5">
        <f t="shared" si="913"/>
        <v>0</v>
      </c>
      <c r="AK1101" s="5">
        <f t="shared" si="959"/>
        <v>0</v>
      </c>
      <c r="AL1101" s="5">
        <f t="shared" si="960"/>
        <v>0</v>
      </c>
      <c r="AM1101" s="5">
        <f t="shared" si="920"/>
        <v>0</v>
      </c>
      <c r="AN1101" s="5">
        <f t="shared" si="961"/>
        <v>0</v>
      </c>
      <c r="AO1101" s="5">
        <f t="shared" si="921"/>
        <v>1</v>
      </c>
      <c r="AP1101" s="11" t="s">
        <v>42</v>
      </c>
      <c r="AQ1101" s="11">
        <v>0</v>
      </c>
      <c r="AR1101" s="5">
        <v>1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1</v>
      </c>
      <c r="AY1101" s="1">
        <f t="shared" si="970"/>
        <v>0</v>
      </c>
      <c r="AZ1101" s="1">
        <f t="shared" si="971"/>
        <v>0</v>
      </c>
      <c r="BA1101" s="1">
        <f t="shared" si="972"/>
        <v>0</v>
      </c>
      <c r="BB1101" s="5">
        <v>0</v>
      </c>
      <c r="BC1101" s="5">
        <v>1</v>
      </c>
      <c r="BD1101" s="5">
        <v>0</v>
      </c>
      <c r="BE1101" s="5">
        <f t="shared" si="973"/>
        <v>0</v>
      </c>
      <c r="BF1101" s="5">
        <v>0</v>
      </c>
      <c r="BG1101" s="5">
        <f t="shared" si="962"/>
        <v>0</v>
      </c>
      <c r="BH1101" s="5">
        <f t="shared" si="962"/>
        <v>0</v>
      </c>
      <c r="BI1101" s="5">
        <f t="shared" si="962"/>
        <v>0</v>
      </c>
      <c r="BJ1101" s="5">
        <f t="shared" si="962"/>
        <v>0</v>
      </c>
      <c r="BK1101" s="5">
        <f t="shared" si="962"/>
        <v>0</v>
      </c>
      <c r="BL1101" s="5">
        <f t="shared" si="962"/>
        <v>0</v>
      </c>
      <c r="BM1101" s="5">
        <f t="shared" si="962"/>
        <v>0</v>
      </c>
      <c r="BN1101" s="5">
        <f t="shared" si="952"/>
        <v>0</v>
      </c>
      <c r="BO1101" s="5">
        <f t="shared" si="952"/>
        <v>0</v>
      </c>
      <c r="BP1101" s="5">
        <f t="shared" si="952"/>
        <v>0</v>
      </c>
      <c r="BQ1101" s="5">
        <f t="shared" si="952"/>
        <v>0</v>
      </c>
      <c r="BR1101" s="5">
        <f t="shared" si="952"/>
        <v>0</v>
      </c>
      <c r="BS1101" s="5">
        <f t="shared" si="952"/>
        <v>0</v>
      </c>
      <c r="BT1101" s="5">
        <f t="shared" si="952"/>
        <v>0</v>
      </c>
      <c r="BU1101" s="5">
        <f t="shared" si="952"/>
        <v>0</v>
      </c>
      <c r="BV1101" s="5">
        <f t="shared" si="952"/>
        <v>0</v>
      </c>
      <c r="BW1101" s="5">
        <f t="shared" si="952"/>
        <v>0</v>
      </c>
      <c r="BX1101" s="5">
        <f t="shared" si="952"/>
        <v>0</v>
      </c>
      <c r="BY1101" s="5">
        <f t="shared" si="952"/>
        <v>0</v>
      </c>
      <c r="BZ1101" s="5">
        <f t="shared" si="952"/>
        <v>0</v>
      </c>
      <c r="CA1101" s="5">
        <f t="shared" si="952"/>
        <v>1</v>
      </c>
      <c r="CB1101" s="5">
        <f t="shared" si="952"/>
        <v>0</v>
      </c>
      <c r="CC1101" s="5">
        <f t="shared" si="953"/>
        <v>0</v>
      </c>
      <c r="CD1101" s="5">
        <f t="shared" si="942"/>
        <v>0</v>
      </c>
      <c r="CE1101" s="5">
        <f t="shared" si="942"/>
        <v>0</v>
      </c>
    </row>
    <row r="1102" spans="1:83" x14ac:dyDescent="0.2">
      <c r="A1102" s="11"/>
      <c r="B1102" s="11"/>
      <c r="C1102" s="1">
        <f>Growth!D1107</f>
        <v>3.2258064516129031E-2</v>
      </c>
      <c r="D1102" s="5" t="b">
        <f t="shared" si="944"/>
        <v>0</v>
      </c>
      <c r="E1102" s="5">
        <v>2011</v>
      </c>
      <c r="F1102" s="5">
        <f ca="1">LOOKUP($E1102,frequence!$A$2:$A$35,frequence!L$2:L$35)</f>
        <v>33.053542446246631</v>
      </c>
      <c r="G1102" s="5">
        <f ca="1">LOOKUP($E1102,frequence!$A$2:$A$35,frequence!K$2:K$35)</f>
        <v>2.1388579511305732</v>
      </c>
      <c r="H1102" s="5">
        <f ca="1">LOOKUP($E1102,frequence!$A$2:$A$35,frequence!M$2:M$35)</f>
        <v>182.11948132765423</v>
      </c>
      <c r="I1102" s="16">
        <v>2005</v>
      </c>
      <c r="J1102" s="7">
        <f>LOOKUP(I1102,CPI!A$69:A$103,CPI!O$69:O$103)</f>
        <v>1.1165181771633383</v>
      </c>
      <c r="K1102" s="16">
        <v>2015</v>
      </c>
      <c r="L1102" s="7">
        <f t="shared" ca="1" si="954"/>
        <v>0.96747516548766044</v>
      </c>
      <c r="M1102" s="7">
        <f t="shared" si="933"/>
        <v>0.16451612903225804</v>
      </c>
      <c r="N1102" s="14">
        <f t="shared" si="963"/>
        <v>3.2258064516129031E-2</v>
      </c>
      <c r="O1102" s="1">
        <f ca="1">P1102*J1102*(1+Growth!G$6)^(2010-K1102)</f>
        <v>1351.7092459337332</v>
      </c>
      <c r="P1102" s="24">
        <v>1305</v>
      </c>
      <c r="Q1102" s="2">
        <f t="shared" si="955"/>
        <v>1305</v>
      </c>
      <c r="R1102" s="21">
        <f t="shared" ca="1" si="956"/>
        <v>1827117.8855427415</v>
      </c>
      <c r="U1102" s="11"/>
      <c r="V1102" s="11"/>
      <c r="W1102" s="11"/>
      <c r="X1102" s="11"/>
      <c r="Y1102" s="11"/>
      <c r="Z1102" s="11"/>
      <c r="AA1102" s="11"/>
      <c r="AB1102" s="11"/>
      <c r="AC1102" s="1">
        <f t="shared" si="964"/>
        <v>5.0999999999999996</v>
      </c>
      <c r="AD1102" s="5">
        <v>0</v>
      </c>
      <c r="AE1102" s="5">
        <v>0</v>
      </c>
      <c r="AF1102" s="5">
        <v>1</v>
      </c>
      <c r="AG1102" s="5">
        <v>0</v>
      </c>
      <c r="AH1102" s="5">
        <v>1</v>
      </c>
      <c r="AI1102" s="3">
        <f t="shared" si="965"/>
        <v>3.1</v>
      </c>
      <c r="AJ1102" s="5">
        <f t="shared" si="913"/>
        <v>0</v>
      </c>
      <c r="AK1102" s="5">
        <f t="shared" si="959"/>
        <v>0</v>
      </c>
      <c r="AL1102" s="5">
        <f t="shared" si="960"/>
        <v>0</v>
      </c>
      <c r="AM1102" s="5">
        <f t="shared" si="920"/>
        <v>1</v>
      </c>
      <c r="AN1102" s="5">
        <f t="shared" si="961"/>
        <v>0</v>
      </c>
      <c r="AO1102" s="5">
        <f t="shared" si="921"/>
        <v>0</v>
      </c>
      <c r="AP1102" s="11" t="s">
        <v>42</v>
      </c>
      <c r="AQ1102" s="11">
        <v>1</v>
      </c>
      <c r="AR1102" s="5">
        <v>1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1</v>
      </c>
      <c r="AY1102" s="1">
        <f t="shared" si="970"/>
        <v>0</v>
      </c>
      <c r="AZ1102" s="1">
        <f t="shared" si="971"/>
        <v>0</v>
      </c>
      <c r="BA1102" s="1">
        <f t="shared" si="972"/>
        <v>0</v>
      </c>
      <c r="BB1102" s="5">
        <v>0</v>
      </c>
      <c r="BC1102" s="5">
        <v>1</v>
      </c>
      <c r="BD1102" s="5">
        <v>0</v>
      </c>
      <c r="BE1102" s="5">
        <f t="shared" si="973"/>
        <v>0</v>
      </c>
      <c r="BF1102" s="5">
        <v>0</v>
      </c>
      <c r="BG1102" s="5">
        <f t="shared" si="962"/>
        <v>0</v>
      </c>
      <c r="BH1102" s="5">
        <f t="shared" si="962"/>
        <v>0</v>
      </c>
      <c r="BI1102" s="5">
        <f t="shared" si="962"/>
        <v>0</v>
      </c>
      <c r="BJ1102" s="5">
        <f t="shared" si="962"/>
        <v>0</v>
      </c>
      <c r="BK1102" s="5">
        <f t="shared" si="962"/>
        <v>0</v>
      </c>
      <c r="BL1102" s="5">
        <f t="shared" si="962"/>
        <v>0</v>
      </c>
      <c r="BM1102" s="5">
        <f t="shared" si="962"/>
        <v>0</v>
      </c>
      <c r="BN1102" s="5">
        <f t="shared" si="952"/>
        <v>0</v>
      </c>
      <c r="BO1102" s="5">
        <f t="shared" si="952"/>
        <v>0</v>
      </c>
      <c r="BP1102" s="5">
        <f t="shared" si="952"/>
        <v>0</v>
      </c>
      <c r="BQ1102" s="5">
        <f t="shared" si="952"/>
        <v>0</v>
      </c>
      <c r="BR1102" s="5">
        <f t="shared" si="952"/>
        <v>0</v>
      </c>
      <c r="BS1102" s="5">
        <f t="shared" si="952"/>
        <v>0</v>
      </c>
      <c r="BT1102" s="5">
        <f t="shared" si="952"/>
        <v>0</v>
      </c>
      <c r="BU1102" s="5">
        <f t="shared" si="952"/>
        <v>0</v>
      </c>
      <c r="BV1102" s="5">
        <f t="shared" si="952"/>
        <v>0</v>
      </c>
      <c r="BW1102" s="5">
        <f t="shared" si="952"/>
        <v>0</v>
      </c>
      <c r="BX1102" s="5">
        <f t="shared" si="952"/>
        <v>0</v>
      </c>
      <c r="BY1102" s="5">
        <f t="shared" si="952"/>
        <v>0</v>
      </c>
      <c r="BZ1102" s="5">
        <f t="shared" si="952"/>
        <v>0</v>
      </c>
      <c r="CA1102" s="5">
        <f t="shared" si="952"/>
        <v>1</v>
      </c>
      <c r="CB1102" s="5">
        <f t="shared" si="952"/>
        <v>0</v>
      </c>
      <c r="CC1102" s="5">
        <f t="shared" si="953"/>
        <v>0</v>
      </c>
      <c r="CD1102" s="5">
        <f t="shared" si="942"/>
        <v>0</v>
      </c>
      <c r="CE1102" s="5">
        <f t="shared" si="942"/>
        <v>0</v>
      </c>
    </row>
    <row r="1103" spans="1:83" x14ac:dyDescent="0.2">
      <c r="A1103" s="11"/>
      <c r="B1103" s="11"/>
      <c r="C1103" s="1">
        <f>Growth!D1108</f>
        <v>3.2258064516129031E-2</v>
      </c>
      <c r="D1103" s="5" t="b">
        <f t="shared" si="944"/>
        <v>0</v>
      </c>
      <c r="E1103" s="5">
        <v>2011</v>
      </c>
      <c r="F1103" s="5">
        <f ca="1">LOOKUP($E1103,frequence!$A$2:$A$35,frequence!L$2:L$35)</f>
        <v>33.053542446246631</v>
      </c>
      <c r="G1103" s="5">
        <f ca="1">LOOKUP($E1103,frequence!$A$2:$A$35,frequence!K$2:K$35)</f>
        <v>2.1388579511305732</v>
      </c>
      <c r="H1103" s="5">
        <f ca="1">LOOKUP($E1103,frequence!$A$2:$A$35,frequence!M$2:M$35)</f>
        <v>182.11948132765423</v>
      </c>
      <c r="I1103" s="16">
        <v>2005</v>
      </c>
      <c r="J1103" s="7">
        <f>LOOKUP(I1103,CPI!A$69:A$103,CPI!O$69:O$103)</f>
        <v>1.1165181771633383</v>
      </c>
      <c r="K1103" s="16">
        <v>2015</v>
      </c>
      <c r="L1103" s="7">
        <f t="shared" ca="1" si="954"/>
        <v>1</v>
      </c>
      <c r="M1103" s="7">
        <f t="shared" si="933"/>
        <v>0.16451612903225804</v>
      </c>
      <c r="N1103" s="14">
        <f t="shared" si="963"/>
        <v>3.2258064516129031E-2</v>
      </c>
      <c r="O1103" s="1">
        <f ca="1">P1103*J1103*(1+Growth!G$6)^(2010-K1103)</f>
        <v>213.37326027766213</v>
      </c>
      <c r="P1103" s="24">
        <v>206</v>
      </c>
      <c r="Q1103" s="2">
        <f t="shared" si="955"/>
        <v>206</v>
      </c>
      <c r="R1103" s="21">
        <f t="shared" ca="1" si="956"/>
        <v>45528.148201518947</v>
      </c>
      <c r="U1103" s="11"/>
      <c r="V1103" s="11"/>
      <c r="W1103" s="11"/>
      <c r="X1103" s="11"/>
      <c r="Y1103" s="11"/>
      <c r="Z1103" s="11"/>
      <c r="AA1103" s="11"/>
      <c r="AB1103" s="11"/>
      <c r="AC1103" s="1">
        <f t="shared" si="964"/>
        <v>5.0999999999999996</v>
      </c>
      <c r="AD1103" s="5">
        <v>0</v>
      </c>
      <c r="AE1103" s="5">
        <v>0</v>
      </c>
      <c r="AF1103" s="5">
        <v>1</v>
      </c>
      <c r="AG1103" s="5">
        <v>0</v>
      </c>
      <c r="AH1103" s="5">
        <v>1</v>
      </c>
      <c r="AI1103" s="3">
        <f t="shared" si="965"/>
        <v>3.1</v>
      </c>
      <c r="AJ1103" s="5">
        <f t="shared" si="913"/>
        <v>0</v>
      </c>
      <c r="AK1103" s="5">
        <f t="shared" si="959"/>
        <v>0</v>
      </c>
      <c r="AL1103" s="5">
        <f t="shared" si="960"/>
        <v>0</v>
      </c>
      <c r="AM1103" s="5">
        <f t="shared" si="920"/>
        <v>1</v>
      </c>
      <c r="AN1103" s="5">
        <f t="shared" si="961"/>
        <v>0</v>
      </c>
      <c r="AO1103" s="5">
        <f t="shared" si="921"/>
        <v>0</v>
      </c>
      <c r="AP1103" s="11" t="s">
        <v>42</v>
      </c>
      <c r="AQ1103" s="11">
        <v>1</v>
      </c>
      <c r="AR1103" s="5">
        <v>1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1</v>
      </c>
      <c r="AY1103" s="1">
        <f t="shared" si="970"/>
        <v>0</v>
      </c>
      <c r="AZ1103" s="1">
        <f t="shared" si="971"/>
        <v>0</v>
      </c>
      <c r="BA1103" s="1">
        <f t="shared" si="972"/>
        <v>0</v>
      </c>
      <c r="BB1103" s="5">
        <v>0</v>
      </c>
      <c r="BC1103" s="5">
        <v>1</v>
      </c>
      <c r="BD1103" s="5">
        <v>0</v>
      </c>
      <c r="BE1103" s="5">
        <f t="shared" si="973"/>
        <v>0</v>
      </c>
      <c r="BF1103" s="5">
        <v>0</v>
      </c>
      <c r="BG1103" s="5">
        <f t="shared" si="962"/>
        <v>0</v>
      </c>
      <c r="BH1103" s="5">
        <f t="shared" si="962"/>
        <v>0</v>
      </c>
      <c r="BI1103" s="5">
        <f t="shared" si="962"/>
        <v>0</v>
      </c>
      <c r="BJ1103" s="5">
        <f t="shared" si="962"/>
        <v>0</v>
      </c>
      <c r="BK1103" s="5">
        <f t="shared" si="962"/>
        <v>0</v>
      </c>
      <c r="BL1103" s="5">
        <f t="shared" si="962"/>
        <v>0</v>
      </c>
      <c r="BM1103" s="5">
        <f t="shared" si="962"/>
        <v>0</v>
      </c>
      <c r="BN1103" s="5">
        <f t="shared" si="952"/>
        <v>0</v>
      </c>
      <c r="BO1103" s="5">
        <f t="shared" si="952"/>
        <v>0</v>
      </c>
      <c r="BP1103" s="5">
        <f t="shared" si="952"/>
        <v>0</v>
      </c>
      <c r="BQ1103" s="5">
        <f t="shared" si="952"/>
        <v>0</v>
      </c>
      <c r="BR1103" s="5">
        <f t="shared" si="952"/>
        <v>0</v>
      </c>
      <c r="BS1103" s="5">
        <f t="shared" si="952"/>
        <v>0</v>
      </c>
      <c r="BT1103" s="5">
        <f t="shared" si="952"/>
        <v>0</v>
      </c>
      <c r="BU1103" s="5">
        <f t="shared" si="952"/>
        <v>0</v>
      </c>
      <c r="BV1103" s="5">
        <f t="shared" si="952"/>
        <v>0</v>
      </c>
      <c r="BW1103" s="5">
        <f t="shared" si="952"/>
        <v>0</v>
      </c>
      <c r="BX1103" s="5">
        <f t="shared" si="952"/>
        <v>0</v>
      </c>
      <c r="BY1103" s="5">
        <f t="shared" si="952"/>
        <v>0</v>
      </c>
      <c r="BZ1103" s="5">
        <f t="shared" si="952"/>
        <v>0</v>
      </c>
      <c r="CA1103" s="5">
        <f t="shared" si="952"/>
        <v>1</v>
      </c>
      <c r="CB1103" s="5">
        <f t="shared" si="952"/>
        <v>0</v>
      </c>
      <c r="CC1103" s="5">
        <f t="shared" si="953"/>
        <v>0</v>
      </c>
      <c r="CD1103" s="5">
        <f t="shared" si="953"/>
        <v>0</v>
      </c>
      <c r="CE1103" s="5">
        <f t="shared" si="953"/>
        <v>0</v>
      </c>
    </row>
    <row r="1104" spans="1:83" x14ac:dyDescent="0.2">
      <c r="A1104" s="11"/>
      <c r="B1104" s="11"/>
      <c r="C1104" s="1">
        <f>Growth!D1109</f>
        <v>3.2258064516129031E-2</v>
      </c>
      <c r="D1104" s="5" t="b">
        <f t="shared" si="944"/>
        <v>0</v>
      </c>
      <c r="E1104" s="5">
        <v>2011</v>
      </c>
      <c r="F1104" s="5">
        <f ca="1">LOOKUP($E1104,frequence!$A$2:$A$35,frequence!L$2:L$35)</f>
        <v>33.053542446246631</v>
      </c>
      <c r="G1104" s="5">
        <f ca="1">LOOKUP($E1104,frequence!$A$2:$A$35,frequence!K$2:K$35)</f>
        <v>2.1388579511305732</v>
      </c>
      <c r="H1104" s="5">
        <f ca="1">LOOKUP($E1104,frequence!$A$2:$A$35,frequence!M$2:M$35)</f>
        <v>182.11948132765423</v>
      </c>
      <c r="I1104" s="16">
        <v>2005</v>
      </c>
      <c r="J1104" s="7">
        <f>LOOKUP(I1104,CPI!A$69:A$103,CPI!O$69:O$103)</f>
        <v>1.1165181771633383</v>
      </c>
      <c r="K1104" s="16">
        <v>2015</v>
      </c>
      <c r="L1104" s="7">
        <f t="shared" ca="1" si="954"/>
        <v>1</v>
      </c>
      <c r="M1104" s="7">
        <f t="shared" si="933"/>
        <v>0.16451612903225804</v>
      </c>
      <c r="N1104" s="14">
        <f t="shared" si="963"/>
        <v>3.2258064516129031E-2</v>
      </c>
      <c r="O1104" s="1">
        <f ca="1">P1104*J1104*(1+Growth!G$6)^(2010-K1104)</f>
        <v>77.684439421478942</v>
      </c>
      <c r="P1104" s="24">
        <v>75</v>
      </c>
      <c r="Q1104" s="2">
        <f t="shared" si="955"/>
        <v>75</v>
      </c>
      <c r="R1104" s="21">
        <f t="shared" ca="1" si="956"/>
        <v>6034.8721282294318</v>
      </c>
      <c r="U1104" s="11"/>
      <c r="V1104" s="11"/>
      <c r="W1104" s="11"/>
      <c r="X1104" s="11"/>
      <c r="Y1104" s="11"/>
      <c r="Z1104" s="11"/>
      <c r="AA1104" s="11"/>
      <c r="AB1104" s="11"/>
      <c r="AC1104" s="1">
        <f t="shared" si="964"/>
        <v>5.0999999999999996</v>
      </c>
      <c r="AD1104" s="5">
        <v>0</v>
      </c>
      <c r="AE1104" s="5">
        <v>0</v>
      </c>
      <c r="AF1104" s="5">
        <v>1</v>
      </c>
      <c r="AG1104" s="5">
        <v>0</v>
      </c>
      <c r="AH1104" s="5">
        <v>1</v>
      </c>
      <c r="AI1104" s="3">
        <f t="shared" si="965"/>
        <v>3.1</v>
      </c>
      <c r="AJ1104" s="5">
        <f t="shared" si="913"/>
        <v>0</v>
      </c>
      <c r="AK1104" s="5">
        <f t="shared" si="959"/>
        <v>0</v>
      </c>
      <c r="AL1104" s="5">
        <f t="shared" si="960"/>
        <v>0</v>
      </c>
      <c r="AM1104" s="5">
        <f t="shared" si="920"/>
        <v>1</v>
      </c>
      <c r="AN1104" s="5">
        <f t="shared" si="961"/>
        <v>0</v>
      </c>
      <c r="AO1104" s="5">
        <f t="shared" si="921"/>
        <v>0</v>
      </c>
      <c r="AP1104" s="11" t="s">
        <v>42</v>
      </c>
      <c r="AQ1104" s="11">
        <v>1</v>
      </c>
      <c r="AR1104" s="5">
        <v>1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1</v>
      </c>
      <c r="AY1104" s="1">
        <f t="shared" si="970"/>
        <v>0</v>
      </c>
      <c r="AZ1104" s="1">
        <f t="shared" si="971"/>
        <v>0</v>
      </c>
      <c r="BA1104" s="1">
        <f t="shared" si="972"/>
        <v>0</v>
      </c>
      <c r="BB1104" s="5">
        <v>0</v>
      </c>
      <c r="BC1104" s="5">
        <v>1</v>
      </c>
      <c r="BD1104" s="5">
        <v>0</v>
      </c>
      <c r="BE1104" s="5">
        <f t="shared" si="973"/>
        <v>0</v>
      </c>
      <c r="BF1104" s="5">
        <v>0</v>
      </c>
      <c r="BG1104" s="5">
        <f t="shared" si="962"/>
        <v>0</v>
      </c>
      <c r="BH1104" s="5">
        <f t="shared" si="962"/>
        <v>0</v>
      </c>
      <c r="BI1104" s="5">
        <f t="shared" si="962"/>
        <v>0</v>
      </c>
      <c r="BJ1104" s="5">
        <f t="shared" si="962"/>
        <v>0</v>
      </c>
      <c r="BK1104" s="5">
        <f t="shared" si="962"/>
        <v>0</v>
      </c>
      <c r="BL1104" s="5">
        <f t="shared" si="962"/>
        <v>0</v>
      </c>
      <c r="BM1104" s="5">
        <f t="shared" si="962"/>
        <v>0</v>
      </c>
      <c r="BN1104" s="5">
        <f t="shared" si="952"/>
        <v>0</v>
      </c>
      <c r="BO1104" s="5">
        <f t="shared" si="952"/>
        <v>0</v>
      </c>
      <c r="BP1104" s="5">
        <f t="shared" si="952"/>
        <v>0</v>
      </c>
      <c r="BQ1104" s="5">
        <f t="shared" si="952"/>
        <v>0</v>
      </c>
      <c r="BR1104" s="5">
        <f t="shared" si="952"/>
        <v>0</v>
      </c>
      <c r="BS1104" s="5">
        <f t="shared" si="952"/>
        <v>0</v>
      </c>
      <c r="BT1104" s="5">
        <f t="shared" si="952"/>
        <v>0</v>
      </c>
      <c r="BU1104" s="5">
        <f t="shared" si="952"/>
        <v>0</v>
      </c>
      <c r="BV1104" s="5">
        <f t="shared" si="952"/>
        <v>0</v>
      </c>
      <c r="BW1104" s="5">
        <f t="shared" si="952"/>
        <v>0</v>
      </c>
      <c r="BX1104" s="5">
        <f t="shared" si="952"/>
        <v>0</v>
      </c>
      <c r="BY1104" s="5">
        <f t="shared" si="952"/>
        <v>0</v>
      </c>
      <c r="BZ1104" s="5">
        <f t="shared" si="952"/>
        <v>0</v>
      </c>
      <c r="CA1104" s="5">
        <f t="shared" si="952"/>
        <v>1</v>
      </c>
      <c r="CB1104" s="5">
        <f t="shared" si="952"/>
        <v>0</v>
      </c>
      <c r="CC1104" s="5">
        <f t="shared" si="953"/>
        <v>0</v>
      </c>
      <c r="CD1104" s="5">
        <f t="shared" si="953"/>
        <v>0</v>
      </c>
      <c r="CE1104" s="5">
        <f t="shared" si="953"/>
        <v>0</v>
      </c>
    </row>
    <row r="1105" spans="1:83" x14ac:dyDescent="0.2">
      <c r="A1105" s="11"/>
      <c r="B1105" s="11"/>
      <c r="C1105" s="1">
        <f>Growth!D1110</f>
        <v>3.2258064516129031E-2</v>
      </c>
      <c r="D1105" s="5" t="b">
        <f t="shared" si="944"/>
        <v>0</v>
      </c>
      <c r="E1105" s="5">
        <v>2011</v>
      </c>
      <c r="F1105" s="5">
        <f ca="1">LOOKUP($E1105,frequence!$A$2:$A$35,frequence!L$2:L$35)</f>
        <v>33.053542446246631</v>
      </c>
      <c r="G1105" s="5">
        <f ca="1">LOOKUP($E1105,frequence!$A$2:$A$35,frequence!K$2:K$35)</f>
        <v>2.1388579511305732</v>
      </c>
      <c r="H1105" s="5">
        <f ca="1">LOOKUP($E1105,frequence!$A$2:$A$35,frequence!M$2:M$35)</f>
        <v>182.11948132765423</v>
      </c>
      <c r="I1105" s="16">
        <v>2005</v>
      </c>
      <c r="J1105" s="7">
        <f>LOOKUP(I1105,CPI!A$69:A$103,CPI!O$69:O$103)</f>
        <v>1.1165181771633383</v>
      </c>
      <c r="K1105" s="16">
        <v>2015</v>
      </c>
      <c r="L1105" s="7">
        <f t="shared" ca="1" si="954"/>
        <v>1</v>
      </c>
      <c r="M1105" s="7">
        <f t="shared" si="933"/>
        <v>0.16451612903225804</v>
      </c>
      <c r="N1105" s="14">
        <f t="shared" si="963"/>
        <v>3.2258064516129031E-2</v>
      </c>
      <c r="O1105" s="1">
        <f ca="1">P1105*J1105*(1+Growth!G$6)^(2010-K1105)</f>
        <v>31.07377576859157</v>
      </c>
      <c r="P1105" s="24">
        <v>30</v>
      </c>
      <c r="Q1105" s="2">
        <f t="shared" si="955"/>
        <v>30</v>
      </c>
      <c r="R1105" s="21">
        <f t="shared" ca="1" si="956"/>
        <v>965.57954051670868</v>
      </c>
      <c r="U1105" s="11"/>
      <c r="V1105" s="11"/>
      <c r="W1105" s="11"/>
      <c r="X1105" s="11"/>
      <c r="Y1105" s="11"/>
      <c r="Z1105" s="11"/>
      <c r="AA1105" s="11"/>
      <c r="AB1105" s="11"/>
      <c r="AC1105" s="1">
        <f t="shared" si="964"/>
        <v>5.0999999999999996</v>
      </c>
      <c r="AD1105" s="5">
        <v>0</v>
      </c>
      <c r="AE1105" s="5">
        <v>0</v>
      </c>
      <c r="AF1105" s="5">
        <v>1</v>
      </c>
      <c r="AG1105" s="5">
        <v>0</v>
      </c>
      <c r="AH1105" s="5">
        <v>1</v>
      </c>
      <c r="AI1105" s="3">
        <f t="shared" si="965"/>
        <v>3.1</v>
      </c>
      <c r="AJ1105" s="5">
        <f t="shared" si="913"/>
        <v>0</v>
      </c>
      <c r="AK1105" s="5">
        <f t="shared" si="959"/>
        <v>0</v>
      </c>
      <c r="AL1105" s="5">
        <f t="shared" si="960"/>
        <v>0</v>
      </c>
      <c r="AM1105" s="5">
        <f t="shared" si="920"/>
        <v>1</v>
      </c>
      <c r="AN1105" s="5">
        <f t="shared" si="961"/>
        <v>0</v>
      </c>
      <c r="AO1105" s="5">
        <f t="shared" si="921"/>
        <v>0</v>
      </c>
      <c r="AP1105" s="11" t="s">
        <v>42</v>
      </c>
      <c r="AQ1105" s="11">
        <v>1</v>
      </c>
      <c r="AR1105" s="5">
        <v>1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1</v>
      </c>
      <c r="AY1105" s="1">
        <f t="shared" si="970"/>
        <v>0</v>
      </c>
      <c r="AZ1105" s="1">
        <f t="shared" si="971"/>
        <v>0</v>
      </c>
      <c r="BA1105" s="1">
        <f t="shared" si="972"/>
        <v>0</v>
      </c>
      <c r="BB1105" s="5">
        <v>0</v>
      </c>
      <c r="BC1105" s="5">
        <v>1</v>
      </c>
      <c r="BD1105" s="5">
        <v>0</v>
      </c>
      <c r="BE1105" s="5">
        <f t="shared" si="973"/>
        <v>0</v>
      </c>
      <c r="BF1105" s="5">
        <v>0</v>
      </c>
      <c r="BG1105" s="5">
        <f t="shared" si="962"/>
        <v>0</v>
      </c>
      <c r="BH1105" s="5">
        <f t="shared" si="962"/>
        <v>0</v>
      </c>
      <c r="BI1105" s="5">
        <f t="shared" si="962"/>
        <v>0</v>
      </c>
      <c r="BJ1105" s="5">
        <f t="shared" si="962"/>
        <v>0</v>
      </c>
      <c r="BK1105" s="5">
        <f t="shared" si="962"/>
        <v>0</v>
      </c>
      <c r="BL1105" s="5">
        <f t="shared" si="962"/>
        <v>0</v>
      </c>
      <c r="BM1105" s="5">
        <f t="shared" si="962"/>
        <v>0</v>
      </c>
      <c r="BN1105" s="5">
        <f t="shared" si="952"/>
        <v>0</v>
      </c>
      <c r="BO1105" s="5">
        <f t="shared" si="952"/>
        <v>0</v>
      </c>
      <c r="BP1105" s="5">
        <f t="shared" si="952"/>
        <v>0</v>
      </c>
      <c r="BQ1105" s="5">
        <f t="shared" si="952"/>
        <v>0</v>
      </c>
      <c r="BR1105" s="5">
        <f t="shared" si="952"/>
        <v>0</v>
      </c>
      <c r="BS1105" s="5">
        <f t="shared" si="952"/>
        <v>0</v>
      </c>
      <c r="BT1105" s="5">
        <f t="shared" si="952"/>
        <v>0</v>
      </c>
      <c r="BU1105" s="5">
        <f t="shared" si="952"/>
        <v>0</v>
      </c>
      <c r="BV1105" s="5">
        <f t="shared" si="952"/>
        <v>0</v>
      </c>
      <c r="BW1105" s="5">
        <f t="shared" si="952"/>
        <v>0</v>
      </c>
      <c r="BX1105" s="5">
        <f t="shared" si="952"/>
        <v>0</v>
      </c>
      <c r="BY1105" s="5">
        <f t="shared" si="952"/>
        <v>0</v>
      </c>
      <c r="BZ1105" s="5">
        <f t="shared" si="952"/>
        <v>0</v>
      </c>
      <c r="CA1105" s="5">
        <f t="shared" si="952"/>
        <v>1</v>
      </c>
      <c r="CB1105" s="5">
        <f t="shared" si="952"/>
        <v>0</v>
      </c>
      <c r="CC1105" s="5">
        <f t="shared" si="953"/>
        <v>0</v>
      </c>
      <c r="CD1105" s="5">
        <f t="shared" si="953"/>
        <v>0</v>
      </c>
      <c r="CE1105" s="5">
        <f t="shared" si="953"/>
        <v>0</v>
      </c>
    </row>
    <row r="1106" spans="1:83" x14ac:dyDescent="0.2">
      <c r="A1106" s="11"/>
      <c r="B1106" s="11"/>
      <c r="C1106" s="1">
        <f>Growth!D1111</f>
        <v>3.2258064516129031E-2</v>
      </c>
      <c r="D1106" s="5" t="b">
        <f t="shared" si="944"/>
        <v>0</v>
      </c>
      <c r="E1106" s="5">
        <v>2011</v>
      </c>
      <c r="F1106" s="5">
        <f ca="1">LOOKUP($E1106,frequence!$A$2:$A$35,frequence!L$2:L$35)</f>
        <v>33.053542446246631</v>
      </c>
      <c r="G1106" s="5">
        <f ca="1">LOOKUP($E1106,frequence!$A$2:$A$35,frequence!K$2:K$35)</f>
        <v>2.1388579511305732</v>
      </c>
      <c r="H1106" s="5">
        <f ca="1">LOOKUP($E1106,frequence!$A$2:$A$35,frequence!M$2:M$35)</f>
        <v>182.11948132765423</v>
      </c>
      <c r="I1106" s="16">
        <v>2005</v>
      </c>
      <c r="J1106" s="7">
        <f>LOOKUP(I1106,CPI!A$69:A$103,CPI!O$69:O$103)</f>
        <v>1.1165181771633383</v>
      </c>
      <c r="K1106" s="16">
        <v>2015</v>
      </c>
      <c r="L1106" s="7">
        <f t="shared" ca="1" si="954"/>
        <v>1</v>
      </c>
      <c r="M1106" s="7">
        <f t="shared" si="933"/>
        <v>0.16451612903225804</v>
      </c>
      <c r="N1106" s="14">
        <f t="shared" si="963"/>
        <v>3.2258064516129031E-2</v>
      </c>
      <c r="O1106" s="1">
        <f ca="1">P1106*J1106*(1+Growth!G$6)^(2010-K1106)</f>
        <v>641.15557335860603</v>
      </c>
      <c r="P1106" s="24">
        <v>619</v>
      </c>
      <c r="Q1106" s="2">
        <f t="shared" si="955"/>
        <v>619</v>
      </c>
      <c r="R1106" s="21">
        <f t="shared" ca="1" si="956"/>
        <v>411080.46924880287</v>
      </c>
      <c r="U1106" s="11"/>
      <c r="V1106" s="11"/>
      <c r="W1106" s="11"/>
      <c r="X1106" s="11"/>
      <c r="Y1106" s="11"/>
      <c r="Z1106" s="11"/>
      <c r="AA1106" s="11"/>
      <c r="AB1106" s="11"/>
      <c r="AC1106" s="1">
        <f t="shared" si="964"/>
        <v>5.0999999999999996</v>
      </c>
      <c r="AD1106" s="5">
        <v>0</v>
      </c>
      <c r="AE1106" s="5">
        <v>0</v>
      </c>
      <c r="AF1106" s="5">
        <v>1</v>
      </c>
      <c r="AG1106" s="5">
        <v>0</v>
      </c>
      <c r="AH1106" s="5">
        <v>1</v>
      </c>
      <c r="AI1106" s="3">
        <f t="shared" si="965"/>
        <v>3.1</v>
      </c>
      <c r="AJ1106" s="5">
        <f t="shared" si="913"/>
        <v>0</v>
      </c>
      <c r="AK1106" s="5">
        <f t="shared" si="959"/>
        <v>0</v>
      </c>
      <c r="AL1106" s="5">
        <f t="shared" si="960"/>
        <v>1</v>
      </c>
      <c r="AM1106" s="5">
        <f t="shared" si="920"/>
        <v>0</v>
      </c>
      <c r="AN1106" s="5">
        <f t="shared" si="961"/>
        <v>0</v>
      </c>
      <c r="AO1106" s="5">
        <f t="shared" si="921"/>
        <v>0</v>
      </c>
      <c r="AP1106" s="11" t="s">
        <v>42</v>
      </c>
      <c r="AQ1106" s="11">
        <v>1.5</v>
      </c>
      <c r="AR1106" s="5">
        <v>1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1</v>
      </c>
      <c r="AY1106" s="1">
        <f t="shared" si="970"/>
        <v>0</v>
      </c>
      <c r="AZ1106" s="1">
        <f t="shared" si="971"/>
        <v>0</v>
      </c>
      <c r="BA1106" s="1">
        <f t="shared" si="972"/>
        <v>0</v>
      </c>
      <c r="BB1106" s="5">
        <v>0</v>
      </c>
      <c r="BC1106" s="5">
        <v>1</v>
      </c>
      <c r="BD1106" s="5">
        <v>0</v>
      </c>
      <c r="BE1106" s="5">
        <f t="shared" si="973"/>
        <v>0</v>
      </c>
      <c r="BF1106" s="5">
        <v>0</v>
      </c>
      <c r="BG1106" s="5">
        <f t="shared" si="962"/>
        <v>0</v>
      </c>
      <c r="BH1106" s="5">
        <f t="shared" si="962"/>
        <v>0</v>
      </c>
      <c r="BI1106" s="5">
        <f t="shared" si="962"/>
        <v>0</v>
      </c>
      <c r="BJ1106" s="5">
        <f t="shared" si="962"/>
        <v>0</v>
      </c>
      <c r="BK1106" s="5">
        <f t="shared" si="962"/>
        <v>0</v>
      </c>
      <c r="BL1106" s="5">
        <f t="shared" si="962"/>
        <v>0</v>
      </c>
      <c r="BM1106" s="5">
        <f t="shared" si="962"/>
        <v>0</v>
      </c>
      <c r="BN1106" s="5">
        <f t="shared" si="952"/>
        <v>0</v>
      </c>
      <c r="BO1106" s="5">
        <f t="shared" si="952"/>
        <v>0</v>
      </c>
      <c r="BP1106" s="5">
        <f t="shared" si="952"/>
        <v>0</v>
      </c>
      <c r="BQ1106" s="5">
        <f t="shared" si="952"/>
        <v>0</v>
      </c>
      <c r="BR1106" s="5">
        <f t="shared" si="952"/>
        <v>0</v>
      </c>
      <c r="BS1106" s="5">
        <f t="shared" si="952"/>
        <v>0</v>
      </c>
      <c r="BT1106" s="5">
        <f t="shared" si="952"/>
        <v>0</v>
      </c>
      <c r="BU1106" s="5">
        <f t="shared" si="952"/>
        <v>0</v>
      </c>
      <c r="BV1106" s="5">
        <f t="shared" si="952"/>
        <v>0</v>
      </c>
      <c r="BW1106" s="5">
        <f t="shared" si="952"/>
        <v>0</v>
      </c>
      <c r="BX1106" s="5">
        <f t="shared" si="952"/>
        <v>0</v>
      </c>
      <c r="BY1106" s="5">
        <f t="shared" si="952"/>
        <v>0</v>
      </c>
      <c r="BZ1106" s="5">
        <f t="shared" si="952"/>
        <v>0</v>
      </c>
      <c r="CA1106" s="5">
        <f t="shared" si="952"/>
        <v>1</v>
      </c>
      <c r="CB1106" s="5">
        <f t="shared" si="952"/>
        <v>0</v>
      </c>
      <c r="CC1106" s="5">
        <f t="shared" si="953"/>
        <v>0</v>
      </c>
      <c r="CD1106" s="5">
        <f t="shared" si="953"/>
        <v>0</v>
      </c>
      <c r="CE1106" s="5">
        <f t="shared" si="953"/>
        <v>0</v>
      </c>
    </row>
    <row r="1107" spans="1:83" x14ac:dyDescent="0.2">
      <c r="A1107" s="11"/>
      <c r="B1107" s="11"/>
      <c r="C1107" s="1">
        <f>Growth!D1112</f>
        <v>3.2258064516129031E-2</v>
      </c>
      <c r="D1107" s="5" t="b">
        <f t="shared" si="944"/>
        <v>0</v>
      </c>
      <c r="E1107" s="5">
        <v>2011</v>
      </c>
      <c r="F1107" s="5">
        <f ca="1">LOOKUP($E1107,frequence!$A$2:$A$35,frequence!L$2:L$35)</f>
        <v>33.053542446246631</v>
      </c>
      <c r="G1107" s="5">
        <f ca="1">LOOKUP($E1107,frequence!$A$2:$A$35,frequence!K$2:K$35)</f>
        <v>2.1388579511305732</v>
      </c>
      <c r="H1107" s="5">
        <f ca="1">LOOKUP($E1107,frequence!$A$2:$A$35,frequence!M$2:M$35)</f>
        <v>182.11948132765423</v>
      </c>
      <c r="I1107" s="16">
        <v>2005</v>
      </c>
      <c r="J1107" s="7">
        <f>LOOKUP(I1107,CPI!A$69:A$103,CPI!O$69:O$103)</f>
        <v>1.1165181771633383</v>
      </c>
      <c r="K1107" s="16">
        <v>2015</v>
      </c>
      <c r="L1107" s="7">
        <f t="shared" ca="1" si="954"/>
        <v>1</v>
      </c>
      <c r="M1107" s="7">
        <f t="shared" si="933"/>
        <v>0.16451612903225804</v>
      </c>
      <c r="N1107" s="14">
        <f t="shared" si="963"/>
        <v>3.2258064516129031E-2</v>
      </c>
      <c r="O1107" s="1">
        <f ca="1">P1107*J1107*(1+Growth!G$6)^(2010-K1107)</f>
        <v>123.25931054874657</v>
      </c>
      <c r="P1107" s="24">
        <v>119</v>
      </c>
      <c r="Q1107" s="2">
        <f t="shared" si="955"/>
        <v>119</v>
      </c>
      <c r="R1107" s="21">
        <f t="shared" ca="1" si="956"/>
        <v>15192.857636952347</v>
      </c>
      <c r="U1107" s="11"/>
      <c r="V1107" s="11"/>
      <c r="W1107" s="11"/>
      <c r="X1107" s="11"/>
      <c r="Y1107" s="11"/>
      <c r="Z1107" s="11"/>
      <c r="AA1107" s="11"/>
      <c r="AB1107" s="11"/>
      <c r="AC1107" s="1">
        <f t="shared" si="964"/>
        <v>5.0999999999999996</v>
      </c>
      <c r="AD1107" s="5">
        <v>0</v>
      </c>
      <c r="AE1107" s="5">
        <v>0</v>
      </c>
      <c r="AF1107" s="5">
        <v>1</v>
      </c>
      <c r="AG1107" s="5">
        <v>0</v>
      </c>
      <c r="AH1107" s="5">
        <v>1</v>
      </c>
      <c r="AI1107" s="3">
        <f t="shared" si="965"/>
        <v>3.1</v>
      </c>
      <c r="AJ1107" s="5">
        <f t="shared" si="913"/>
        <v>0</v>
      </c>
      <c r="AK1107" s="5">
        <f t="shared" si="959"/>
        <v>0</v>
      </c>
      <c r="AL1107" s="5">
        <f t="shared" si="960"/>
        <v>1</v>
      </c>
      <c r="AM1107" s="5">
        <f t="shared" si="920"/>
        <v>0</v>
      </c>
      <c r="AN1107" s="5">
        <f t="shared" si="961"/>
        <v>0</v>
      </c>
      <c r="AO1107" s="5">
        <f t="shared" si="921"/>
        <v>0</v>
      </c>
      <c r="AP1107" s="11" t="s">
        <v>42</v>
      </c>
      <c r="AQ1107" s="11">
        <v>1.5</v>
      </c>
      <c r="AR1107" s="5">
        <v>1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1</v>
      </c>
      <c r="AY1107" s="1">
        <f t="shared" si="970"/>
        <v>0</v>
      </c>
      <c r="AZ1107" s="1">
        <f t="shared" si="971"/>
        <v>0</v>
      </c>
      <c r="BA1107" s="1">
        <f t="shared" si="972"/>
        <v>0</v>
      </c>
      <c r="BB1107" s="5">
        <v>0</v>
      </c>
      <c r="BC1107" s="5">
        <v>1</v>
      </c>
      <c r="BD1107" s="5">
        <v>0</v>
      </c>
      <c r="BE1107" s="5">
        <f t="shared" si="973"/>
        <v>0</v>
      </c>
      <c r="BF1107" s="5">
        <v>0</v>
      </c>
      <c r="BG1107" s="5">
        <f t="shared" si="962"/>
        <v>0</v>
      </c>
      <c r="BH1107" s="5">
        <f t="shared" si="962"/>
        <v>0</v>
      </c>
      <c r="BI1107" s="5">
        <f t="shared" si="962"/>
        <v>0</v>
      </c>
      <c r="BJ1107" s="5">
        <f t="shared" si="962"/>
        <v>0</v>
      </c>
      <c r="BK1107" s="5">
        <f t="shared" si="962"/>
        <v>0</v>
      </c>
      <c r="BL1107" s="5">
        <f t="shared" si="962"/>
        <v>0</v>
      </c>
      <c r="BM1107" s="5">
        <f t="shared" si="962"/>
        <v>0</v>
      </c>
      <c r="BN1107" s="5">
        <f t="shared" si="952"/>
        <v>0</v>
      </c>
      <c r="BO1107" s="5">
        <f t="shared" si="952"/>
        <v>0</v>
      </c>
      <c r="BP1107" s="5">
        <f t="shared" si="952"/>
        <v>0</v>
      </c>
      <c r="BQ1107" s="5">
        <f t="shared" si="952"/>
        <v>0</v>
      </c>
      <c r="BR1107" s="5">
        <f t="shared" si="952"/>
        <v>0</v>
      </c>
      <c r="BS1107" s="5">
        <f t="shared" si="952"/>
        <v>0</v>
      </c>
      <c r="BT1107" s="5">
        <f t="shared" si="952"/>
        <v>0</v>
      </c>
      <c r="BU1107" s="5">
        <f t="shared" si="952"/>
        <v>0</v>
      </c>
      <c r="BV1107" s="5">
        <f t="shared" si="952"/>
        <v>0</v>
      </c>
      <c r="BW1107" s="5">
        <f t="shared" si="952"/>
        <v>0</v>
      </c>
      <c r="BX1107" s="5">
        <f t="shared" si="952"/>
        <v>0</v>
      </c>
      <c r="BY1107" s="5">
        <f t="shared" si="952"/>
        <v>0</v>
      </c>
      <c r="BZ1107" s="5">
        <f t="shared" si="952"/>
        <v>0</v>
      </c>
      <c r="CA1107" s="5">
        <f t="shared" si="952"/>
        <v>1</v>
      </c>
      <c r="CB1107" s="5">
        <f t="shared" ref="CB1107:CE1126" si="974">IF($E1107=CB$2,1,0)</f>
        <v>0</v>
      </c>
      <c r="CC1107" s="5">
        <f t="shared" si="953"/>
        <v>0</v>
      </c>
      <c r="CD1107" s="5">
        <f t="shared" si="953"/>
        <v>0</v>
      </c>
      <c r="CE1107" s="5">
        <f t="shared" si="953"/>
        <v>0</v>
      </c>
    </row>
    <row r="1108" spans="1:83" x14ac:dyDescent="0.2">
      <c r="A1108" s="11"/>
      <c r="B1108" s="11"/>
      <c r="C1108" s="1">
        <f>Growth!D1113</f>
        <v>3.2258064516129031E-2</v>
      </c>
      <c r="D1108" s="5" t="b">
        <f t="shared" si="944"/>
        <v>0</v>
      </c>
      <c r="E1108" s="5">
        <v>2011</v>
      </c>
      <c r="F1108" s="5">
        <f ca="1">LOOKUP($E1108,frequence!$A$2:$A$35,frequence!L$2:L$35)</f>
        <v>33.053542446246631</v>
      </c>
      <c r="G1108" s="5">
        <f ca="1">LOOKUP($E1108,frequence!$A$2:$A$35,frequence!K$2:K$35)</f>
        <v>2.1388579511305732</v>
      </c>
      <c r="H1108" s="5">
        <f ca="1">LOOKUP($E1108,frequence!$A$2:$A$35,frequence!M$2:M$35)</f>
        <v>182.11948132765423</v>
      </c>
      <c r="I1108" s="16">
        <v>2005</v>
      </c>
      <c r="J1108" s="7">
        <f>LOOKUP(I1108,CPI!A$69:A$103,CPI!O$69:O$103)</f>
        <v>1.1165181771633383</v>
      </c>
      <c r="K1108" s="16">
        <v>2015</v>
      </c>
      <c r="L1108" s="7">
        <f t="shared" ca="1" si="954"/>
        <v>1</v>
      </c>
      <c r="M1108" s="7">
        <f t="shared" si="933"/>
        <v>0.16451612903225804</v>
      </c>
      <c r="N1108" s="14">
        <f t="shared" si="963"/>
        <v>3.2258064516129031E-2</v>
      </c>
      <c r="O1108" s="1">
        <f ca="1">P1108*J1108*(1+Growth!G$6)^(2010-K1108)</f>
        <v>49.718041229746518</v>
      </c>
      <c r="P1108" s="24">
        <v>48</v>
      </c>
      <c r="Q1108" s="2">
        <f t="shared" si="955"/>
        <v>48</v>
      </c>
      <c r="R1108" s="21">
        <f t="shared" ca="1" si="956"/>
        <v>2471.8836237227747</v>
      </c>
      <c r="U1108" s="11"/>
      <c r="V1108" s="11"/>
      <c r="W1108" s="11"/>
      <c r="X1108" s="11"/>
      <c r="Y1108" s="11"/>
      <c r="Z1108" s="11"/>
      <c r="AA1108" s="11"/>
      <c r="AB1108" s="11"/>
      <c r="AC1108" s="1">
        <f t="shared" si="964"/>
        <v>5.0999999999999996</v>
      </c>
      <c r="AD1108" s="5">
        <v>0</v>
      </c>
      <c r="AE1108" s="5">
        <v>0</v>
      </c>
      <c r="AF1108" s="5">
        <v>1</v>
      </c>
      <c r="AG1108" s="5">
        <v>0</v>
      </c>
      <c r="AH1108" s="5">
        <v>1</v>
      </c>
      <c r="AI1108" s="3">
        <f t="shared" si="965"/>
        <v>3.1</v>
      </c>
      <c r="AJ1108" s="5">
        <f t="shared" si="913"/>
        <v>0</v>
      </c>
      <c r="AK1108" s="5">
        <f t="shared" si="959"/>
        <v>0</v>
      </c>
      <c r="AL1108" s="5">
        <f t="shared" si="960"/>
        <v>1</v>
      </c>
      <c r="AM1108" s="5">
        <f t="shared" si="920"/>
        <v>0</v>
      </c>
      <c r="AN1108" s="5">
        <f t="shared" si="961"/>
        <v>0</v>
      </c>
      <c r="AO1108" s="5">
        <f t="shared" si="921"/>
        <v>0</v>
      </c>
      <c r="AP1108" s="11" t="s">
        <v>42</v>
      </c>
      <c r="AQ1108" s="11">
        <v>1.5</v>
      </c>
      <c r="AR1108" s="5">
        <v>1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1</v>
      </c>
      <c r="AY1108" s="1">
        <f t="shared" si="970"/>
        <v>0</v>
      </c>
      <c r="AZ1108" s="1">
        <f t="shared" si="971"/>
        <v>0</v>
      </c>
      <c r="BA1108" s="1">
        <f t="shared" si="972"/>
        <v>0</v>
      </c>
      <c r="BB1108" s="5">
        <v>0</v>
      </c>
      <c r="BC1108" s="5">
        <v>1</v>
      </c>
      <c r="BD1108" s="5">
        <v>0</v>
      </c>
      <c r="BE1108" s="5">
        <f t="shared" si="973"/>
        <v>0</v>
      </c>
      <c r="BF1108" s="5">
        <v>0</v>
      </c>
      <c r="BG1108" s="5">
        <f t="shared" si="962"/>
        <v>0</v>
      </c>
      <c r="BH1108" s="5">
        <f t="shared" si="962"/>
        <v>0</v>
      </c>
      <c r="BI1108" s="5">
        <f t="shared" si="962"/>
        <v>0</v>
      </c>
      <c r="BJ1108" s="5">
        <f t="shared" si="962"/>
        <v>0</v>
      </c>
      <c r="BK1108" s="5">
        <f t="shared" si="962"/>
        <v>0</v>
      </c>
      <c r="BL1108" s="5">
        <f t="shared" si="962"/>
        <v>0</v>
      </c>
      <c r="BM1108" s="5">
        <f t="shared" si="962"/>
        <v>0</v>
      </c>
      <c r="BN1108" s="5">
        <f t="shared" si="962"/>
        <v>0</v>
      </c>
      <c r="BO1108" s="5">
        <f t="shared" ref="BO1108:CA1123" si="975">IF($E1108=BO$2,1,0)</f>
        <v>0</v>
      </c>
      <c r="BP1108" s="5">
        <f t="shared" si="975"/>
        <v>0</v>
      </c>
      <c r="BQ1108" s="5">
        <f t="shared" si="975"/>
        <v>0</v>
      </c>
      <c r="BR1108" s="5">
        <f t="shared" si="975"/>
        <v>0</v>
      </c>
      <c r="BS1108" s="5">
        <f t="shared" si="975"/>
        <v>0</v>
      </c>
      <c r="BT1108" s="5">
        <f t="shared" si="975"/>
        <v>0</v>
      </c>
      <c r="BU1108" s="5">
        <f t="shared" si="975"/>
        <v>0</v>
      </c>
      <c r="BV1108" s="5">
        <f t="shared" si="975"/>
        <v>0</v>
      </c>
      <c r="BW1108" s="5">
        <f t="shared" si="975"/>
        <v>0</v>
      </c>
      <c r="BX1108" s="5">
        <f t="shared" si="975"/>
        <v>0</v>
      </c>
      <c r="BY1108" s="5">
        <f t="shared" si="975"/>
        <v>0</v>
      </c>
      <c r="BZ1108" s="5">
        <f t="shared" si="975"/>
        <v>0</v>
      </c>
      <c r="CA1108" s="5">
        <f t="shared" si="975"/>
        <v>1</v>
      </c>
      <c r="CB1108" s="5">
        <f t="shared" si="974"/>
        <v>0</v>
      </c>
      <c r="CC1108" s="5">
        <f t="shared" si="953"/>
        <v>0</v>
      </c>
      <c r="CD1108" s="5">
        <f t="shared" si="953"/>
        <v>0</v>
      </c>
      <c r="CE1108" s="5">
        <f t="shared" si="953"/>
        <v>0</v>
      </c>
    </row>
    <row r="1109" spans="1:83" x14ac:dyDescent="0.2">
      <c r="A1109" s="11"/>
      <c r="B1109" s="11"/>
      <c r="C1109" s="1">
        <f>Growth!D1114</f>
        <v>3.2258064516129031E-2</v>
      </c>
      <c r="D1109" s="5" t="b">
        <f t="shared" si="944"/>
        <v>0</v>
      </c>
      <c r="E1109" s="5">
        <v>2011</v>
      </c>
      <c r="F1109" s="5">
        <f ca="1">LOOKUP($E1109,frequence!$A$2:$A$35,frequence!L$2:L$35)</f>
        <v>33.053542446246631</v>
      </c>
      <c r="G1109" s="5">
        <f ca="1">LOOKUP($E1109,frequence!$A$2:$A$35,frequence!K$2:K$35)</f>
        <v>2.1388579511305732</v>
      </c>
      <c r="H1109" s="5">
        <f ca="1">LOOKUP($E1109,frequence!$A$2:$A$35,frequence!M$2:M$35)</f>
        <v>182.11948132765423</v>
      </c>
      <c r="I1109" s="16">
        <v>2005</v>
      </c>
      <c r="J1109" s="7">
        <f>LOOKUP(I1109,CPI!A$69:A$103,CPI!O$69:O$103)</f>
        <v>1.1165181771633383</v>
      </c>
      <c r="K1109" s="16">
        <v>2015</v>
      </c>
      <c r="L1109" s="7">
        <f t="shared" ca="1" si="954"/>
        <v>1</v>
      </c>
      <c r="M1109" s="7">
        <f t="shared" si="933"/>
        <v>0.16451612903225804</v>
      </c>
      <c r="N1109" s="14">
        <f t="shared" si="963"/>
        <v>3.2258064516129031E-2</v>
      </c>
      <c r="O1109" s="1">
        <f ca="1">P1109*J1109*(1+Growth!G$6)^(2010-K1109)</f>
        <v>22.787435563633817</v>
      </c>
      <c r="P1109" s="24">
        <v>22</v>
      </c>
      <c r="Q1109" s="2">
        <f t="shared" si="955"/>
        <v>22</v>
      </c>
      <c r="R1109" s="21">
        <f t="shared" ca="1" si="956"/>
        <v>519.26721956676329</v>
      </c>
      <c r="U1109" s="11"/>
      <c r="V1109" s="11"/>
      <c r="W1109" s="11"/>
      <c r="X1109" s="11"/>
      <c r="Y1109" s="11"/>
      <c r="Z1109" s="11"/>
      <c r="AA1109" s="11"/>
      <c r="AB1109" s="11"/>
      <c r="AC1109" s="1">
        <f t="shared" si="964"/>
        <v>5.0999999999999996</v>
      </c>
      <c r="AD1109" s="5">
        <v>0</v>
      </c>
      <c r="AE1109" s="5">
        <v>0</v>
      </c>
      <c r="AF1109" s="5">
        <v>1</v>
      </c>
      <c r="AG1109" s="5">
        <v>0</v>
      </c>
      <c r="AH1109" s="5">
        <v>1</v>
      </c>
      <c r="AI1109" s="3">
        <f t="shared" si="965"/>
        <v>3.1</v>
      </c>
      <c r="AJ1109" s="5">
        <f t="shared" si="913"/>
        <v>0</v>
      </c>
      <c r="AK1109" s="5">
        <f t="shared" si="959"/>
        <v>0</v>
      </c>
      <c r="AL1109" s="5">
        <f t="shared" si="960"/>
        <v>1</v>
      </c>
      <c r="AM1109" s="5">
        <f t="shared" si="920"/>
        <v>0</v>
      </c>
      <c r="AN1109" s="5">
        <f t="shared" si="961"/>
        <v>0</v>
      </c>
      <c r="AO1109" s="5">
        <f t="shared" si="921"/>
        <v>0</v>
      </c>
      <c r="AP1109" s="11" t="s">
        <v>42</v>
      </c>
      <c r="AQ1109" s="11">
        <v>1.5</v>
      </c>
      <c r="AR1109" s="5">
        <v>1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1</v>
      </c>
      <c r="AY1109" s="1">
        <f t="shared" si="970"/>
        <v>0</v>
      </c>
      <c r="AZ1109" s="1">
        <f t="shared" si="971"/>
        <v>0</v>
      </c>
      <c r="BA1109" s="1">
        <f t="shared" si="972"/>
        <v>0</v>
      </c>
      <c r="BB1109" s="5">
        <v>0</v>
      </c>
      <c r="BC1109" s="5">
        <v>1</v>
      </c>
      <c r="BD1109" s="5">
        <v>0</v>
      </c>
      <c r="BE1109" s="5">
        <f t="shared" si="973"/>
        <v>0</v>
      </c>
      <c r="BF1109" s="5">
        <v>0</v>
      </c>
      <c r="BG1109" s="5">
        <f t="shared" ref="BG1109:BN1124" si="976">IF($E1109=BG$2,1,0)</f>
        <v>0</v>
      </c>
      <c r="BH1109" s="5">
        <f t="shared" si="976"/>
        <v>0</v>
      </c>
      <c r="BI1109" s="5">
        <f t="shared" si="976"/>
        <v>0</v>
      </c>
      <c r="BJ1109" s="5">
        <f t="shared" si="976"/>
        <v>0</v>
      </c>
      <c r="BK1109" s="5">
        <f t="shared" si="976"/>
        <v>0</v>
      </c>
      <c r="BL1109" s="5">
        <f t="shared" si="976"/>
        <v>0</v>
      </c>
      <c r="BM1109" s="5">
        <f t="shared" si="976"/>
        <v>0</v>
      </c>
      <c r="BN1109" s="5">
        <f t="shared" si="976"/>
        <v>0</v>
      </c>
      <c r="BO1109" s="5">
        <f t="shared" si="975"/>
        <v>0</v>
      </c>
      <c r="BP1109" s="5">
        <f t="shared" si="975"/>
        <v>0</v>
      </c>
      <c r="BQ1109" s="5">
        <f t="shared" si="975"/>
        <v>0</v>
      </c>
      <c r="BR1109" s="5">
        <f t="shared" si="975"/>
        <v>0</v>
      </c>
      <c r="BS1109" s="5">
        <f t="shared" si="975"/>
        <v>0</v>
      </c>
      <c r="BT1109" s="5">
        <f t="shared" si="975"/>
        <v>0</v>
      </c>
      <c r="BU1109" s="5">
        <f t="shared" si="975"/>
        <v>0</v>
      </c>
      <c r="BV1109" s="5">
        <f t="shared" si="975"/>
        <v>0</v>
      </c>
      <c r="BW1109" s="5">
        <f t="shared" si="975"/>
        <v>0</v>
      </c>
      <c r="BX1109" s="5">
        <f t="shared" si="975"/>
        <v>0</v>
      </c>
      <c r="BY1109" s="5">
        <f t="shared" si="975"/>
        <v>0</v>
      </c>
      <c r="BZ1109" s="5">
        <f t="shared" si="975"/>
        <v>0</v>
      </c>
      <c r="CA1109" s="5">
        <f t="shared" si="975"/>
        <v>1</v>
      </c>
      <c r="CB1109" s="5">
        <f t="shared" si="974"/>
        <v>0</v>
      </c>
      <c r="CC1109" s="5">
        <f t="shared" si="953"/>
        <v>0</v>
      </c>
      <c r="CD1109" s="5">
        <f t="shared" si="953"/>
        <v>0</v>
      </c>
      <c r="CE1109" s="5">
        <f t="shared" si="953"/>
        <v>0</v>
      </c>
    </row>
    <row r="1110" spans="1:83" x14ac:dyDescent="0.2">
      <c r="A1110" s="11"/>
      <c r="B1110" s="11"/>
      <c r="C1110" s="1">
        <f>Growth!D1115</f>
        <v>3.2258064516129031E-2</v>
      </c>
      <c r="D1110" s="5" t="b">
        <f t="shared" si="944"/>
        <v>0</v>
      </c>
      <c r="E1110" s="5">
        <v>2011</v>
      </c>
      <c r="F1110" s="5">
        <f ca="1">LOOKUP($E1110,frequence!$A$2:$A$35,frequence!L$2:L$35)</f>
        <v>33.053542446246631</v>
      </c>
      <c r="G1110" s="5">
        <f ca="1">LOOKUP($E1110,frequence!$A$2:$A$35,frequence!K$2:K$35)</f>
        <v>2.1388579511305732</v>
      </c>
      <c r="H1110" s="5">
        <f ca="1">LOOKUP($E1110,frequence!$A$2:$A$35,frequence!M$2:M$35)</f>
        <v>182.11948132765423</v>
      </c>
      <c r="I1110" s="16">
        <v>2005</v>
      </c>
      <c r="J1110" s="7">
        <f>LOOKUP(I1110,CPI!A$69:A$103,CPI!O$69:O$103)</f>
        <v>1.1165181771633383</v>
      </c>
      <c r="K1110" s="16">
        <v>2015</v>
      </c>
      <c r="L1110" s="7">
        <f t="shared" ca="1" si="954"/>
        <v>1</v>
      </c>
      <c r="M1110" s="7">
        <f t="shared" si="933"/>
        <v>0.16451612903225804</v>
      </c>
      <c r="N1110" s="14">
        <f t="shared" si="963"/>
        <v>3.2258064516129031E-2</v>
      </c>
      <c r="O1110" s="1">
        <f ca="1">P1110*J1110*(1+Growth!G$6)^(2010-K1110)</f>
        <v>130.5098582280846</v>
      </c>
      <c r="P1110" s="24">
        <v>126</v>
      </c>
      <c r="Q1110" s="2">
        <f t="shared" si="955"/>
        <v>126</v>
      </c>
      <c r="R1110" s="21">
        <f t="shared" ca="1" si="956"/>
        <v>17032.823094714742</v>
      </c>
      <c r="U1110" s="11"/>
      <c r="V1110" s="11"/>
      <c r="W1110" s="11"/>
      <c r="X1110" s="11"/>
      <c r="Y1110" s="11"/>
      <c r="Z1110" s="11"/>
      <c r="AA1110" s="11"/>
      <c r="AB1110" s="11"/>
      <c r="AC1110" s="1">
        <f t="shared" si="964"/>
        <v>5.0999999999999996</v>
      </c>
      <c r="AD1110" s="5">
        <v>0</v>
      </c>
      <c r="AE1110" s="5">
        <v>0</v>
      </c>
      <c r="AF1110" s="5">
        <v>1</v>
      </c>
      <c r="AG1110" s="5">
        <v>0</v>
      </c>
      <c r="AH1110" s="5">
        <v>1</v>
      </c>
      <c r="AI1110" s="3">
        <f t="shared" si="965"/>
        <v>3.1</v>
      </c>
      <c r="AJ1110" s="5">
        <f t="shared" si="913"/>
        <v>1</v>
      </c>
      <c r="AK1110" s="5">
        <f t="shared" si="959"/>
        <v>0</v>
      </c>
      <c r="AL1110" s="5">
        <f t="shared" si="960"/>
        <v>0</v>
      </c>
      <c r="AM1110" s="5">
        <f t="shared" si="920"/>
        <v>0</v>
      </c>
      <c r="AN1110" s="5">
        <f t="shared" si="961"/>
        <v>0</v>
      </c>
      <c r="AO1110" s="5">
        <f t="shared" si="921"/>
        <v>0</v>
      </c>
      <c r="AP1110" s="11" t="s">
        <v>42</v>
      </c>
      <c r="AQ1110" s="11">
        <v>3</v>
      </c>
      <c r="AR1110" s="5">
        <v>1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1</v>
      </c>
      <c r="AY1110" s="1">
        <f t="shared" si="970"/>
        <v>0</v>
      </c>
      <c r="AZ1110" s="1">
        <f t="shared" si="971"/>
        <v>0</v>
      </c>
      <c r="BA1110" s="1">
        <f t="shared" si="972"/>
        <v>0</v>
      </c>
      <c r="BB1110" s="5">
        <v>0</v>
      </c>
      <c r="BC1110" s="5">
        <v>1</v>
      </c>
      <c r="BD1110" s="5">
        <v>0</v>
      </c>
      <c r="BE1110" s="5">
        <f t="shared" si="973"/>
        <v>0</v>
      </c>
      <c r="BF1110" s="5">
        <v>0</v>
      </c>
      <c r="BG1110" s="5">
        <f t="shared" si="976"/>
        <v>0</v>
      </c>
      <c r="BH1110" s="5">
        <f t="shared" si="976"/>
        <v>0</v>
      </c>
      <c r="BI1110" s="5">
        <f t="shared" si="976"/>
        <v>0</v>
      </c>
      <c r="BJ1110" s="5">
        <f t="shared" si="976"/>
        <v>0</v>
      </c>
      <c r="BK1110" s="5">
        <f t="shared" si="976"/>
        <v>0</v>
      </c>
      <c r="BL1110" s="5">
        <f t="shared" si="976"/>
        <v>0</v>
      </c>
      <c r="BM1110" s="5">
        <f t="shared" si="976"/>
        <v>0</v>
      </c>
      <c r="BN1110" s="5">
        <f t="shared" si="976"/>
        <v>0</v>
      </c>
      <c r="BO1110" s="5">
        <f t="shared" si="975"/>
        <v>0</v>
      </c>
      <c r="BP1110" s="5">
        <f t="shared" si="975"/>
        <v>0</v>
      </c>
      <c r="BQ1110" s="5">
        <f t="shared" si="975"/>
        <v>0</v>
      </c>
      <c r="BR1110" s="5">
        <f t="shared" si="975"/>
        <v>0</v>
      </c>
      <c r="BS1110" s="5">
        <f t="shared" si="975"/>
        <v>0</v>
      </c>
      <c r="BT1110" s="5">
        <f t="shared" si="975"/>
        <v>0</v>
      </c>
      <c r="BU1110" s="5">
        <f t="shared" si="975"/>
        <v>0</v>
      </c>
      <c r="BV1110" s="5">
        <f t="shared" si="975"/>
        <v>0</v>
      </c>
      <c r="BW1110" s="5">
        <f t="shared" si="975"/>
        <v>0</v>
      </c>
      <c r="BX1110" s="5">
        <f t="shared" si="975"/>
        <v>0</v>
      </c>
      <c r="BY1110" s="5">
        <f t="shared" si="975"/>
        <v>0</v>
      </c>
      <c r="BZ1110" s="5">
        <f t="shared" si="975"/>
        <v>0</v>
      </c>
      <c r="CA1110" s="5">
        <f t="shared" si="975"/>
        <v>1</v>
      </c>
      <c r="CB1110" s="5">
        <f t="shared" si="974"/>
        <v>0</v>
      </c>
      <c r="CC1110" s="5">
        <f t="shared" si="953"/>
        <v>0</v>
      </c>
      <c r="CD1110" s="5">
        <f t="shared" si="953"/>
        <v>0</v>
      </c>
      <c r="CE1110" s="5">
        <f t="shared" si="953"/>
        <v>0</v>
      </c>
    </row>
    <row r="1111" spans="1:83" x14ac:dyDescent="0.2">
      <c r="A1111" s="11"/>
      <c r="B1111" s="11"/>
      <c r="C1111" s="1">
        <f>Growth!D1116</f>
        <v>3.2258064516129031E-2</v>
      </c>
      <c r="D1111" s="5" t="b">
        <f t="shared" si="944"/>
        <v>0</v>
      </c>
      <c r="E1111" s="5">
        <v>2011</v>
      </c>
      <c r="F1111" s="5">
        <f ca="1">LOOKUP($E1111,frequence!$A$2:$A$35,frequence!L$2:L$35)</f>
        <v>33.053542446246631</v>
      </c>
      <c r="G1111" s="5">
        <f ca="1">LOOKUP($E1111,frequence!$A$2:$A$35,frequence!K$2:K$35)</f>
        <v>2.1388579511305732</v>
      </c>
      <c r="H1111" s="5">
        <f ca="1">LOOKUP($E1111,frequence!$A$2:$A$35,frequence!M$2:M$35)</f>
        <v>182.11948132765423</v>
      </c>
      <c r="I1111" s="16">
        <v>2005</v>
      </c>
      <c r="J1111" s="7">
        <f>LOOKUP(I1111,CPI!A$69:A$103,CPI!O$69:O$103)</f>
        <v>1.1165181771633383</v>
      </c>
      <c r="K1111" s="16">
        <v>2015</v>
      </c>
      <c r="L1111" s="7">
        <f t="shared" ca="1" si="954"/>
        <v>1</v>
      </c>
      <c r="M1111" s="7">
        <f t="shared" si="933"/>
        <v>0.16451612903225804</v>
      </c>
      <c r="N1111" s="14">
        <f t="shared" si="963"/>
        <v>3.2258064516129031E-2</v>
      </c>
      <c r="O1111" s="1">
        <f ca="1">P1111*J1111*(1+Growth!G$6)^(2010-K1111)</f>
        <v>38.324323447929608</v>
      </c>
      <c r="P1111" s="24">
        <v>37</v>
      </c>
      <c r="Q1111" s="2">
        <f t="shared" si="955"/>
        <v>37</v>
      </c>
      <c r="R1111" s="21">
        <f t="shared" ca="1" si="956"/>
        <v>1468.7537677415271</v>
      </c>
      <c r="U1111" s="11"/>
      <c r="V1111" s="11"/>
      <c r="W1111" s="11"/>
      <c r="X1111" s="11"/>
      <c r="Y1111" s="11"/>
      <c r="Z1111" s="11"/>
      <c r="AA1111" s="11"/>
      <c r="AB1111" s="11"/>
      <c r="AC1111" s="1">
        <f t="shared" si="964"/>
        <v>5.0999999999999996</v>
      </c>
      <c r="AD1111" s="5">
        <v>0</v>
      </c>
      <c r="AE1111" s="5">
        <v>0</v>
      </c>
      <c r="AF1111" s="5">
        <v>1</v>
      </c>
      <c r="AG1111" s="5">
        <v>0</v>
      </c>
      <c r="AH1111" s="5">
        <v>1</v>
      </c>
      <c r="AI1111" s="3">
        <f t="shared" si="965"/>
        <v>3.1</v>
      </c>
      <c r="AJ1111" s="5">
        <f t="shared" ref="AJ1111:AJ1174" si="977">IF($AQ1111=3,1,0)</f>
        <v>1</v>
      </c>
      <c r="AK1111" s="5">
        <f t="shared" si="959"/>
        <v>0</v>
      </c>
      <c r="AL1111" s="5">
        <f t="shared" si="960"/>
        <v>0</v>
      </c>
      <c r="AM1111" s="5">
        <f t="shared" si="920"/>
        <v>0</v>
      </c>
      <c r="AN1111" s="5">
        <f t="shared" si="961"/>
        <v>0</v>
      </c>
      <c r="AO1111" s="5">
        <f t="shared" si="921"/>
        <v>0</v>
      </c>
      <c r="AP1111" s="11" t="s">
        <v>42</v>
      </c>
      <c r="AQ1111" s="11">
        <v>3</v>
      </c>
      <c r="AR1111" s="5">
        <v>1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1</v>
      </c>
      <c r="AY1111" s="1">
        <f t="shared" si="970"/>
        <v>0</v>
      </c>
      <c r="AZ1111" s="1">
        <f t="shared" si="971"/>
        <v>0</v>
      </c>
      <c r="BA1111" s="1">
        <f t="shared" si="972"/>
        <v>0</v>
      </c>
      <c r="BB1111" s="5">
        <v>0</v>
      </c>
      <c r="BC1111" s="5">
        <v>1</v>
      </c>
      <c r="BD1111" s="5">
        <v>0</v>
      </c>
      <c r="BE1111" s="5">
        <f t="shared" si="973"/>
        <v>0</v>
      </c>
      <c r="BF1111" s="5">
        <v>0</v>
      </c>
      <c r="BG1111" s="5">
        <f t="shared" si="976"/>
        <v>0</v>
      </c>
      <c r="BH1111" s="5">
        <f t="shared" si="976"/>
        <v>0</v>
      </c>
      <c r="BI1111" s="5">
        <f t="shared" si="976"/>
        <v>0</v>
      </c>
      <c r="BJ1111" s="5">
        <f t="shared" si="976"/>
        <v>0</v>
      </c>
      <c r="BK1111" s="5">
        <f t="shared" si="976"/>
        <v>0</v>
      </c>
      <c r="BL1111" s="5">
        <f t="shared" si="976"/>
        <v>0</v>
      </c>
      <c r="BM1111" s="5">
        <f t="shared" si="976"/>
        <v>0</v>
      </c>
      <c r="BN1111" s="5">
        <f t="shared" si="976"/>
        <v>0</v>
      </c>
      <c r="BO1111" s="5">
        <f t="shared" si="975"/>
        <v>0</v>
      </c>
      <c r="BP1111" s="5">
        <f t="shared" si="975"/>
        <v>0</v>
      </c>
      <c r="BQ1111" s="5">
        <f t="shared" si="975"/>
        <v>0</v>
      </c>
      <c r="BR1111" s="5">
        <f t="shared" si="975"/>
        <v>0</v>
      </c>
      <c r="BS1111" s="5">
        <f t="shared" si="975"/>
        <v>0</v>
      </c>
      <c r="BT1111" s="5">
        <f t="shared" si="975"/>
        <v>0</v>
      </c>
      <c r="BU1111" s="5">
        <f t="shared" si="975"/>
        <v>0</v>
      </c>
      <c r="BV1111" s="5">
        <f t="shared" si="975"/>
        <v>0</v>
      </c>
      <c r="BW1111" s="5">
        <f t="shared" si="975"/>
        <v>0</v>
      </c>
      <c r="BX1111" s="5">
        <f t="shared" si="975"/>
        <v>0</v>
      </c>
      <c r="BY1111" s="5">
        <f t="shared" si="975"/>
        <v>0</v>
      </c>
      <c r="BZ1111" s="5">
        <f t="shared" si="975"/>
        <v>0</v>
      </c>
      <c r="CA1111" s="5">
        <f t="shared" si="975"/>
        <v>1</v>
      </c>
      <c r="CB1111" s="5">
        <f t="shared" si="974"/>
        <v>0</v>
      </c>
      <c r="CC1111" s="5">
        <f t="shared" si="953"/>
        <v>0</v>
      </c>
      <c r="CD1111" s="5">
        <f t="shared" si="953"/>
        <v>0</v>
      </c>
      <c r="CE1111" s="5">
        <f t="shared" si="953"/>
        <v>0</v>
      </c>
    </row>
    <row r="1112" spans="1:83" x14ac:dyDescent="0.2">
      <c r="A1112" s="11"/>
      <c r="B1112" s="11"/>
      <c r="C1112" s="1">
        <f>Growth!D1117</f>
        <v>3.2258064516129031E-2</v>
      </c>
      <c r="D1112" s="5" t="b">
        <f t="shared" si="944"/>
        <v>0</v>
      </c>
      <c r="E1112" s="5">
        <v>2011</v>
      </c>
      <c r="F1112" s="5">
        <f ca="1">LOOKUP($E1112,frequence!$A$2:$A$35,frequence!L$2:L$35)</f>
        <v>33.053542446246631</v>
      </c>
      <c r="G1112" s="5">
        <f ca="1">LOOKUP($E1112,frequence!$A$2:$A$35,frequence!K$2:K$35)</f>
        <v>2.1388579511305732</v>
      </c>
      <c r="H1112" s="5">
        <f ca="1">LOOKUP($E1112,frequence!$A$2:$A$35,frequence!M$2:M$35)</f>
        <v>182.11948132765423</v>
      </c>
      <c r="I1112" s="16">
        <v>2005</v>
      </c>
      <c r="J1112" s="7">
        <f>LOOKUP(I1112,CPI!A$69:A$103,CPI!O$69:O$103)</f>
        <v>1.1165181771633383</v>
      </c>
      <c r="K1112" s="16">
        <v>2015</v>
      </c>
      <c r="L1112" s="7">
        <f t="shared" ca="1" si="954"/>
        <v>1</v>
      </c>
      <c r="M1112" s="7">
        <f t="shared" si="933"/>
        <v>0.16451612903225804</v>
      </c>
      <c r="N1112" s="14">
        <f t="shared" si="963"/>
        <v>3.2258064516129031E-2</v>
      </c>
      <c r="O1112" s="1">
        <f ca="1">P1112*J1112*(1+Growth!G$6)^(2010-K1112)</f>
        <v>19.680057986774663</v>
      </c>
      <c r="P1112" s="24">
        <v>19</v>
      </c>
      <c r="Q1112" s="2">
        <f t="shared" si="955"/>
        <v>19</v>
      </c>
      <c r="R1112" s="21">
        <f t="shared" ca="1" si="956"/>
        <v>387.3046823628132</v>
      </c>
      <c r="U1112" s="11"/>
      <c r="V1112" s="11"/>
      <c r="W1112" s="11"/>
      <c r="X1112" s="11"/>
      <c r="Y1112" s="11"/>
      <c r="Z1112" s="11"/>
      <c r="AA1112" s="11"/>
      <c r="AB1112" s="11"/>
      <c r="AC1112" s="1">
        <f t="shared" si="964"/>
        <v>5.0999999999999996</v>
      </c>
      <c r="AD1112" s="5">
        <v>0</v>
      </c>
      <c r="AE1112" s="5">
        <v>0</v>
      </c>
      <c r="AF1112" s="5">
        <v>1</v>
      </c>
      <c r="AG1112" s="5">
        <v>0</v>
      </c>
      <c r="AH1112" s="5">
        <v>1</v>
      </c>
      <c r="AI1112" s="3">
        <f t="shared" si="965"/>
        <v>3.1</v>
      </c>
      <c r="AJ1112" s="5">
        <f t="shared" si="977"/>
        <v>1</v>
      </c>
      <c r="AK1112" s="5">
        <f t="shared" si="959"/>
        <v>0</v>
      </c>
      <c r="AL1112" s="5">
        <f t="shared" si="960"/>
        <v>0</v>
      </c>
      <c r="AM1112" s="5">
        <f t="shared" si="920"/>
        <v>0</v>
      </c>
      <c r="AN1112" s="5">
        <f t="shared" si="961"/>
        <v>0</v>
      </c>
      <c r="AO1112" s="5">
        <f t="shared" si="921"/>
        <v>0</v>
      </c>
      <c r="AP1112" s="11" t="s">
        <v>42</v>
      </c>
      <c r="AQ1112" s="11">
        <v>3</v>
      </c>
      <c r="AR1112" s="5">
        <v>1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1</v>
      </c>
      <c r="AY1112" s="1">
        <f t="shared" si="970"/>
        <v>0</v>
      </c>
      <c r="AZ1112" s="1">
        <f t="shared" si="971"/>
        <v>0</v>
      </c>
      <c r="BA1112" s="1">
        <f t="shared" si="972"/>
        <v>0</v>
      </c>
      <c r="BB1112" s="5">
        <v>0</v>
      </c>
      <c r="BC1112" s="5">
        <v>1</v>
      </c>
      <c r="BD1112" s="5">
        <v>0</v>
      </c>
      <c r="BE1112" s="5">
        <f t="shared" si="973"/>
        <v>0</v>
      </c>
      <c r="BF1112" s="5">
        <v>0</v>
      </c>
      <c r="BG1112" s="5">
        <f t="shared" si="976"/>
        <v>0</v>
      </c>
      <c r="BH1112" s="5">
        <f t="shared" si="976"/>
        <v>0</v>
      </c>
      <c r="BI1112" s="5">
        <f t="shared" si="976"/>
        <v>0</v>
      </c>
      <c r="BJ1112" s="5">
        <f t="shared" si="976"/>
        <v>0</v>
      </c>
      <c r="BK1112" s="5">
        <f t="shared" si="976"/>
        <v>0</v>
      </c>
      <c r="BL1112" s="5">
        <f t="shared" si="976"/>
        <v>0</v>
      </c>
      <c r="BM1112" s="5">
        <f t="shared" si="976"/>
        <v>0</v>
      </c>
      <c r="BN1112" s="5">
        <f t="shared" si="976"/>
        <v>0</v>
      </c>
      <c r="BO1112" s="5">
        <f t="shared" si="975"/>
        <v>0</v>
      </c>
      <c r="BP1112" s="5">
        <f t="shared" si="975"/>
        <v>0</v>
      </c>
      <c r="BQ1112" s="5">
        <f t="shared" si="975"/>
        <v>0</v>
      </c>
      <c r="BR1112" s="5">
        <f t="shared" si="975"/>
        <v>0</v>
      </c>
      <c r="BS1112" s="5">
        <f t="shared" si="975"/>
        <v>0</v>
      </c>
      <c r="BT1112" s="5">
        <f t="shared" si="975"/>
        <v>0</v>
      </c>
      <c r="BU1112" s="5">
        <f t="shared" si="975"/>
        <v>0</v>
      </c>
      <c r="BV1112" s="5">
        <f t="shared" si="975"/>
        <v>0</v>
      </c>
      <c r="BW1112" s="5">
        <f t="shared" si="975"/>
        <v>0</v>
      </c>
      <c r="BX1112" s="5">
        <f t="shared" si="975"/>
        <v>0</v>
      </c>
      <c r="BY1112" s="5">
        <f t="shared" si="975"/>
        <v>0</v>
      </c>
      <c r="BZ1112" s="5">
        <f t="shared" si="975"/>
        <v>0</v>
      </c>
      <c r="CA1112" s="5">
        <f t="shared" si="975"/>
        <v>1</v>
      </c>
      <c r="CB1112" s="5">
        <f t="shared" si="974"/>
        <v>0</v>
      </c>
      <c r="CC1112" s="5">
        <f t="shared" si="974"/>
        <v>0</v>
      </c>
      <c r="CD1112" s="5">
        <f t="shared" si="974"/>
        <v>0</v>
      </c>
      <c r="CE1112" s="5">
        <f t="shared" si="974"/>
        <v>0</v>
      </c>
    </row>
    <row r="1113" spans="1:83" x14ac:dyDescent="0.2">
      <c r="A1113" s="11"/>
      <c r="B1113" s="11"/>
      <c r="C1113" s="1">
        <f>Growth!D1118</f>
        <v>3.2258064516129031E-2</v>
      </c>
      <c r="D1113" s="5" t="b">
        <f t="shared" si="944"/>
        <v>0</v>
      </c>
      <c r="E1113" s="5">
        <v>2011</v>
      </c>
      <c r="F1113" s="5">
        <f ca="1">LOOKUP($E1113,frequence!$A$2:$A$35,frequence!L$2:L$35)</f>
        <v>33.053542446246631</v>
      </c>
      <c r="G1113" s="5">
        <f ca="1">LOOKUP($E1113,frequence!$A$2:$A$35,frequence!K$2:K$35)</f>
        <v>2.1388579511305732</v>
      </c>
      <c r="H1113" s="5">
        <f ca="1">LOOKUP($E1113,frequence!$A$2:$A$35,frequence!M$2:M$35)</f>
        <v>182.11948132765423</v>
      </c>
      <c r="I1113" s="16">
        <v>2005</v>
      </c>
      <c r="J1113" s="7">
        <f>LOOKUP(I1113,CPI!A$69:A$103,CPI!O$69:O$103)</f>
        <v>1.1165181771633383</v>
      </c>
      <c r="K1113" s="16">
        <v>2015</v>
      </c>
      <c r="L1113" s="7">
        <f t="shared" ca="1" si="954"/>
        <v>1</v>
      </c>
      <c r="M1113" s="7">
        <f t="shared" si="933"/>
        <v>0.16451612903225804</v>
      </c>
      <c r="N1113" s="14">
        <f t="shared" si="963"/>
        <v>3.2258064516129031E-2</v>
      </c>
      <c r="O1113" s="1">
        <f ca="1">P1113*J1113*(1+Growth!G$6)^(2010-K1113)</f>
        <v>10.357925256197191</v>
      </c>
      <c r="P1113" s="24">
        <v>10</v>
      </c>
      <c r="Q1113" s="2">
        <f t="shared" si="955"/>
        <v>10</v>
      </c>
      <c r="R1113" s="21">
        <f t="shared" ca="1" si="956"/>
        <v>107.28661561296765</v>
      </c>
      <c r="U1113" s="11"/>
      <c r="V1113" s="11"/>
      <c r="W1113" s="11"/>
      <c r="X1113" s="11"/>
      <c r="Y1113" s="11"/>
      <c r="Z1113" s="11"/>
      <c r="AA1113" s="11"/>
      <c r="AB1113" s="11"/>
      <c r="AC1113" s="1">
        <f t="shared" si="964"/>
        <v>5.0999999999999996</v>
      </c>
      <c r="AD1113" s="5">
        <v>0</v>
      </c>
      <c r="AE1113" s="5">
        <v>0</v>
      </c>
      <c r="AF1113" s="5">
        <v>1</v>
      </c>
      <c r="AG1113" s="5">
        <v>0</v>
      </c>
      <c r="AH1113" s="5">
        <v>1</v>
      </c>
      <c r="AI1113" s="3">
        <f t="shared" si="965"/>
        <v>3.1</v>
      </c>
      <c r="AJ1113" s="5">
        <f t="shared" si="977"/>
        <v>1</v>
      </c>
      <c r="AK1113" s="5">
        <f t="shared" si="959"/>
        <v>0</v>
      </c>
      <c r="AL1113" s="5">
        <f t="shared" si="960"/>
        <v>0</v>
      </c>
      <c r="AM1113" s="5">
        <f t="shared" si="920"/>
        <v>0</v>
      </c>
      <c r="AN1113" s="5">
        <f t="shared" si="961"/>
        <v>0</v>
      </c>
      <c r="AO1113" s="5">
        <f t="shared" si="921"/>
        <v>0</v>
      </c>
      <c r="AP1113" s="11" t="s">
        <v>42</v>
      </c>
      <c r="AQ1113" s="11">
        <v>3</v>
      </c>
      <c r="AR1113" s="5">
        <v>1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1</v>
      </c>
      <c r="AY1113" s="1">
        <f t="shared" si="970"/>
        <v>0</v>
      </c>
      <c r="AZ1113" s="1">
        <f t="shared" si="971"/>
        <v>0</v>
      </c>
      <c r="BA1113" s="1">
        <f t="shared" si="972"/>
        <v>0</v>
      </c>
      <c r="BB1113" s="5">
        <v>0</v>
      </c>
      <c r="BC1113" s="5">
        <v>1</v>
      </c>
      <c r="BD1113" s="5">
        <v>0</v>
      </c>
      <c r="BE1113" s="5">
        <f t="shared" si="973"/>
        <v>0</v>
      </c>
      <c r="BF1113" s="5">
        <v>0</v>
      </c>
      <c r="BG1113" s="5">
        <f t="shared" si="976"/>
        <v>0</v>
      </c>
      <c r="BH1113" s="5">
        <f t="shared" si="976"/>
        <v>0</v>
      </c>
      <c r="BI1113" s="5">
        <f t="shared" si="976"/>
        <v>0</v>
      </c>
      <c r="BJ1113" s="5">
        <f t="shared" si="976"/>
        <v>0</v>
      </c>
      <c r="BK1113" s="5">
        <f t="shared" si="976"/>
        <v>0</v>
      </c>
      <c r="BL1113" s="5">
        <f t="shared" si="976"/>
        <v>0</v>
      </c>
      <c r="BM1113" s="5">
        <f t="shared" si="976"/>
        <v>0</v>
      </c>
      <c r="BN1113" s="5">
        <f t="shared" si="976"/>
        <v>0</v>
      </c>
      <c r="BO1113" s="5">
        <f t="shared" si="975"/>
        <v>0</v>
      </c>
      <c r="BP1113" s="5">
        <f t="shared" si="975"/>
        <v>0</v>
      </c>
      <c r="BQ1113" s="5">
        <f t="shared" si="975"/>
        <v>0</v>
      </c>
      <c r="BR1113" s="5">
        <f t="shared" si="975"/>
        <v>0</v>
      </c>
      <c r="BS1113" s="5">
        <f t="shared" si="975"/>
        <v>0</v>
      </c>
      <c r="BT1113" s="5">
        <f t="shared" si="975"/>
        <v>0</v>
      </c>
      <c r="BU1113" s="5">
        <f t="shared" si="975"/>
        <v>0</v>
      </c>
      <c r="BV1113" s="5">
        <f t="shared" si="975"/>
        <v>0</v>
      </c>
      <c r="BW1113" s="5">
        <f t="shared" si="975"/>
        <v>0</v>
      </c>
      <c r="BX1113" s="5">
        <f t="shared" si="975"/>
        <v>0</v>
      </c>
      <c r="BY1113" s="5">
        <f t="shared" si="975"/>
        <v>0</v>
      </c>
      <c r="BZ1113" s="5">
        <f t="shared" si="975"/>
        <v>0</v>
      </c>
      <c r="CA1113" s="5">
        <f t="shared" si="975"/>
        <v>1</v>
      </c>
      <c r="CB1113" s="5">
        <f t="shared" si="974"/>
        <v>0</v>
      </c>
      <c r="CC1113" s="5">
        <f t="shared" si="974"/>
        <v>0</v>
      </c>
      <c r="CD1113" s="5">
        <f t="shared" si="974"/>
        <v>0</v>
      </c>
      <c r="CE1113" s="5">
        <f t="shared" si="974"/>
        <v>0</v>
      </c>
    </row>
    <row r="1114" spans="1:83" x14ac:dyDescent="0.2">
      <c r="A1114" s="11"/>
      <c r="B1114" s="11"/>
      <c r="C1114" s="1">
        <f>Growth!D1119</f>
        <v>3.2258064516129031E-2</v>
      </c>
      <c r="D1114" s="5" t="b">
        <f t="shared" si="944"/>
        <v>0</v>
      </c>
      <c r="E1114" s="5">
        <v>2011</v>
      </c>
      <c r="F1114" s="5">
        <f ca="1">LOOKUP($E1114,frequence!$A$2:$A$35,frequence!L$2:L$35)</f>
        <v>33.053542446246631</v>
      </c>
      <c r="G1114" s="5">
        <f ca="1">LOOKUP($E1114,frequence!$A$2:$A$35,frequence!K$2:K$35)</f>
        <v>2.1388579511305732</v>
      </c>
      <c r="H1114" s="5">
        <f ca="1">LOOKUP($E1114,frequence!$A$2:$A$35,frequence!M$2:M$35)</f>
        <v>182.11948132765423</v>
      </c>
      <c r="I1114" s="16">
        <v>2005</v>
      </c>
      <c r="J1114" s="7">
        <f>LOOKUP(I1114,CPI!A$69:A$103,CPI!O$69:O$103)</f>
        <v>1.1165181771633383</v>
      </c>
      <c r="K1114" s="16">
        <v>2015</v>
      </c>
      <c r="L1114" s="7">
        <f t="shared" ca="1" si="954"/>
        <v>1</v>
      </c>
      <c r="M1114" s="7">
        <f t="shared" si="933"/>
        <v>0.16451612903225804</v>
      </c>
      <c r="N1114" s="14">
        <f t="shared" si="963"/>
        <v>3.2258064516129031E-2</v>
      </c>
      <c r="O1114" s="1">
        <f ca="1">P1114*J1114*(1+Growth!G$6)^(2010-K1114)</f>
        <v>20.715850512394383</v>
      </c>
      <c r="P1114" s="24">
        <v>20</v>
      </c>
      <c r="Q1114" s="2">
        <f t="shared" si="955"/>
        <v>20</v>
      </c>
      <c r="R1114" s="21">
        <f t="shared" ca="1" si="956"/>
        <v>429.1464624518706</v>
      </c>
      <c r="U1114" s="11"/>
      <c r="V1114" s="11"/>
      <c r="W1114" s="11"/>
      <c r="X1114" s="11"/>
      <c r="Y1114" s="11"/>
      <c r="Z1114" s="11"/>
      <c r="AA1114" s="11"/>
      <c r="AB1114" s="11"/>
      <c r="AC1114" s="1">
        <f t="shared" ref="AC1114:AC1117" si="978">SUM(AD1114:AI1114)</f>
        <v>5.0999999999999996</v>
      </c>
      <c r="AD1114" s="5">
        <v>0</v>
      </c>
      <c r="AE1114" s="5">
        <v>0</v>
      </c>
      <c r="AF1114" s="5">
        <v>1</v>
      </c>
      <c r="AG1114" s="5">
        <v>0</v>
      </c>
      <c r="AH1114" s="5">
        <v>1</v>
      </c>
      <c r="AI1114" s="3">
        <f t="shared" ref="AI1114:AI1117" si="979">(E1114-1980)/10</f>
        <v>3.1</v>
      </c>
      <c r="AJ1114" s="5">
        <f t="shared" si="977"/>
        <v>0</v>
      </c>
      <c r="AK1114" s="5">
        <f t="shared" si="959"/>
        <v>0</v>
      </c>
      <c r="AL1114" s="5">
        <f t="shared" si="960"/>
        <v>0</v>
      </c>
      <c r="AM1114" s="5">
        <f t="shared" ref="AM1114:AM1177" si="980">IF($AQ1114=1,1,0)</f>
        <v>0</v>
      </c>
      <c r="AN1114" s="5">
        <f t="shared" si="961"/>
        <v>0</v>
      </c>
      <c r="AO1114" s="5">
        <f t="shared" ref="AO1114:AO1177" si="981">IF($AQ1114=0,1,0)</f>
        <v>0</v>
      </c>
      <c r="AP1114" s="11">
        <v>5</v>
      </c>
      <c r="AQ1114" s="11" t="s">
        <v>42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1</v>
      </c>
      <c r="AY1114" s="1">
        <f t="shared" ref="AY1114:AY1117" si="982">AJ1114*$AD1114*(1-$AV1114)*(1-$AR1114)</f>
        <v>0</v>
      </c>
      <c r="AZ1114" s="1">
        <f t="shared" ref="AZ1114:AZ1117" si="983">AM1114*$AD1114*(1-$AV1114)*(1-$AR1114)</f>
        <v>0</v>
      </c>
      <c r="BA1114" s="1">
        <f t="shared" ref="BA1114:BA1117" si="984">AO1114*$AD1114*(1-$AV1114)*(1-$AR1114)</f>
        <v>0</v>
      </c>
      <c r="BB1114" s="5">
        <v>0</v>
      </c>
      <c r="BC1114" s="5">
        <v>1</v>
      </c>
      <c r="BD1114" s="5">
        <v>0</v>
      </c>
      <c r="BE1114" s="5">
        <f t="shared" ref="BE1114:BE1117" si="985">1-SUM(BB1114:BD1114)</f>
        <v>0</v>
      </c>
      <c r="BF1114" s="5">
        <v>0</v>
      </c>
      <c r="BG1114" s="5">
        <f t="shared" si="976"/>
        <v>0</v>
      </c>
      <c r="BH1114" s="5">
        <f t="shared" si="976"/>
        <v>0</v>
      </c>
      <c r="BI1114" s="5">
        <f t="shared" si="976"/>
        <v>0</v>
      </c>
      <c r="BJ1114" s="5">
        <f t="shared" si="976"/>
        <v>0</v>
      </c>
      <c r="BK1114" s="5">
        <f t="shared" si="976"/>
        <v>0</v>
      </c>
      <c r="BL1114" s="5">
        <f t="shared" si="976"/>
        <v>0</v>
      </c>
      <c r="BM1114" s="5">
        <f t="shared" si="976"/>
        <v>0</v>
      </c>
      <c r="BN1114" s="5">
        <f t="shared" si="976"/>
        <v>0</v>
      </c>
      <c r="BO1114" s="5">
        <f t="shared" si="975"/>
        <v>0</v>
      </c>
      <c r="BP1114" s="5">
        <f t="shared" si="975"/>
        <v>0</v>
      </c>
      <c r="BQ1114" s="5">
        <f t="shared" si="975"/>
        <v>0</v>
      </c>
      <c r="BR1114" s="5">
        <f t="shared" si="975"/>
        <v>0</v>
      </c>
      <c r="BS1114" s="5">
        <f t="shared" si="975"/>
        <v>0</v>
      </c>
      <c r="BT1114" s="5">
        <f t="shared" si="975"/>
        <v>0</v>
      </c>
      <c r="BU1114" s="5">
        <f t="shared" si="975"/>
        <v>0</v>
      </c>
      <c r="BV1114" s="5">
        <f t="shared" si="975"/>
        <v>0</v>
      </c>
      <c r="BW1114" s="5">
        <f t="shared" si="975"/>
        <v>0</v>
      </c>
      <c r="BX1114" s="5">
        <f t="shared" si="975"/>
        <v>0</v>
      </c>
      <c r="BY1114" s="5">
        <f t="shared" si="975"/>
        <v>0</v>
      </c>
      <c r="BZ1114" s="5">
        <f t="shared" si="975"/>
        <v>0</v>
      </c>
      <c r="CA1114" s="5">
        <f t="shared" si="975"/>
        <v>1</v>
      </c>
      <c r="CB1114" s="5">
        <f t="shared" si="974"/>
        <v>0</v>
      </c>
      <c r="CC1114" s="5">
        <f t="shared" si="974"/>
        <v>0</v>
      </c>
      <c r="CD1114" s="5">
        <f t="shared" si="974"/>
        <v>0</v>
      </c>
      <c r="CE1114" s="5">
        <f t="shared" si="974"/>
        <v>0</v>
      </c>
    </row>
    <row r="1115" spans="1:83" x14ac:dyDescent="0.2">
      <c r="A1115" s="11"/>
      <c r="B1115" s="11"/>
      <c r="C1115" s="1">
        <f>Growth!D1120</f>
        <v>3.2258064516129031E-2</v>
      </c>
      <c r="D1115" s="5" t="b">
        <f t="shared" si="944"/>
        <v>0</v>
      </c>
      <c r="E1115" s="5">
        <v>2011</v>
      </c>
      <c r="F1115" s="5">
        <f ca="1">LOOKUP($E1115,frequence!$A$2:$A$35,frequence!L$2:L$35)</f>
        <v>33.053542446246631</v>
      </c>
      <c r="G1115" s="5">
        <f ca="1">LOOKUP($E1115,frequence!$A$2:$A$35,frequence!K$2:K$35)</f>
        <v>2.1388579511305732</v>
      </c>
      <c r="H1115" s="5">
        <f ca="1">LOOKUP($E1115,frequence!$A$2:$A$35,frequence!M$2:M$35)</f>
        <v>182.11948132765423</v>
      </c>
      <c r="I1115" s="16">
        <v>2005</v>
      </c>
      <c r="J1115" s="7">
        <f>LOOKUP(I1115,CPI!A$69:A$103,CPI!O$69:O$103)</f>
        <v>1.1165181771633383</v>
      </c>
      <c r="K1115" s="16">
        <v>2015</v>
      </c>
      <c r="L1115" s="7">
        <f t="shared" ca="1" si="954"/>
        <v>1</v>
      </c>
      <c r="M1115" s="7">
        <f t="shared" si="933"/>
        <v>0.16451612903225804</v>
      </c>
      <c r="N1115" s="14">
        <f t="shared" si="963"/>
        <v>3.2258064516129031E-2</v>
      </c>
      <c r="O1115" s="1">
        <f ca="1">P1115*J1115*(1+Growth!G$6)^(2010-K1115)</f>
        <v>42.467493550408477</v>
      </c>
      <c r="P1115" s="24">
        <v>41</v>
      </c>
      <c r="Q1115" s="2">
        <f t="shared" si="955"/>
        <v>41</v>
      </c>
      <c r="R1115" s="21">
        <f t="shared" ca="1" si="956"/>
        <v>1803.4880084539857</v>
      </c>
      <c r="U1115" s="11"/>
      <c r="V1115" s="11"/>
      <c r="W1115" s="11"/>
      <c r="X1115" s="11"/>
      <c r="Y1115" s="11"/>
      <c r="Z1115" s="11"/>
      <c r="AA1115" s="11"/>
      <c r="AB1115" s="11"/>
      <c r="AC1115" s="1">
        <f t="shared" si="978"/>
        <v>5.0999999999999996</v>
      </c>
      <c r="AD1115" s="5">
        <v>0</v>
      </c>
      <c r="AE1115" s="5">
        <v>0</v>
      </c>
      <c r="AF1115" s="5">
        <v>1</v>
      </c>
      <c r="AG1115" s="5">
        <v>0</v>
      </c>
      <c r="AH1115" s="5">
        <v>1</v>
      </c>
      <c r="AI1115" s="3">
        <f t="shared" si="979"/>
        <v>3.1</v>
      </c>
      <c r="AJ1115" s="5">
        <f t="shared" si="977"/>
        <v>0</v>
      </c>
      <c r="AK1115" s="5">
        <f t="shared" si="959"/>
        <v>0</v>
      </c>
      <c r="AL1115" s="5">
        <f t="shared" si="960"/>
        <v>0</v>
      </c>
      <c r="AM1115" s="5">
        <f t="shared" si="980"/>
        <v>0</v>
      </c>
      <c r="AN1115" s="5">
        <f t="shared" si="961"/>
        <v>0</v>
      </c>
      <c r="AO1115" s="5">
        <f t="shared" si="981"/>
        <v>0</v>
      </c>
      <c r="AP1115" s="11">
        <v>4</v>
      </c>
      <c r="AQ1115" s="11" t="s">
        <v>42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1</v>
      </c>
      <c r="AY1115" s="1">
        <f t="shared" si="982"/>
        <v>0</v>
      </c>
      <c r="AZ1115" s="1">
        <f t="shared" si="983"/>
        <v>0</v>
      </c>
      <c r="BA1115" s="1">
        <f t="shared" si="984"/>
        <v>0</v>
      </c>
      <c r="BB1115" s="5">
        <v>0</v>
      </c>
      <c r="BC1115" s="5">
        <v>1</v>
      </c>
      <c r="BD1115" s="5">
        <v>0</v>
      </c>
      <c r="BE1115" s="5">
        <f t="shared" si="985"/>
        <v>0</v>
      </c>
      <c r="BF1115" s="5">
        <v>0</v>
      </c>
      <c r="BG1115" s="5">
        <f t="shared" si="976"/>
        <v>0</v>
      </c>
      <c r="BH1115" s="5">
        <f t="shared" si="976"/>
        <v>0</v>
      </c>
      <c r="BI1115" s="5">
        <f t="shared" si="976"/>
        <v>0</v>
      </c>
      <c r="BJ1115" s="5">
        <f t="shared" si="976"/>
        <v>0</v>
      </c>
      <c r="BK1115" s="5">
        <f t="shared" si="976"/>
        <v>0</v>
      </c>
      <c r="BL1115" s="5">
        <f t="shared" si="976"/>
        <v>0</v>
      </c>
      <c r="BM1115" s="5">
        <f t="shared" si="976"/>
        <v>0</v>
      </c>
      <c r="BN1115" s="5">
        <f t="shared" si="976"/>
        <v>0</v>
      </c>
      <c r="BO1115" s="5">
        <f t="shared" si="975"/>
        <v>0</v>
      </c>
      <c r="BP1115" s="5">
        <f t="shared" si="975"/>
        <v>0</v>
      </c>
      <c r="BQ1115" s="5">
        <f t="shared" si="975"/>
        <v>0</v>
      </c>
      <c r="BR1115" s="5">
        <f t="shared" si="975"/>
        <v>0</v>
      </c>
      <c r="BS1115" s="5">
        <f t="shared" si="975"/>
        <v>0</v>
      </c>
      <c r="BT1115" s="5">
        <f t="shared" si="975"/>
        <v>0</v>
      </c>
      <c r="BU1115" s="5">
        <f t="shared" si="975"/>
        <v>0</v>
      </c>
      <c r="BV1115" s="5">
        <f t="shared" si="975"/>
        <v>0</v>
      </c>
      <c r="BW1115" s="5">
        <f t="shared" si="975"/>
        <v>0</v>
      </c>
      <c r="BX1115" s="5">
        <f t="shared" si="975"/>
        <v>0</v>
      </c>
      <c r="BY1115" s="5">
        <f t="shared" si="975"/>
        <v>0</v>
      </c>
      <c r="BZ1115" s="5">
        <f t="shared" si="975"/>
        <v>0</v>
      </c>
      <c r="CA1115" s="5">
        <f t="shared" si="975"/>
        <v>1</v>
      </c>
      <c r="CB1115" s="5">
        <f t="shared" si="974"/>
        <v>0</v>
      </c>
      <c r="CC1115" s="5">
        <f t="shared" si="974"/>
        <v>0</v>
      </c>
      <c r="CD1115" s="5">
        <f t="shared" si="974"/>
        <v>0</v>
      </c>
      <c r="CE1115" s="5">
        <f t="shared" si="974"/>
        <v>0</v>
      </c>
    </row>
    <row r="1116" spans="1:83" x14ac:dyDescent="0.2">
      <c r="A1116" s="11"/>
      <c r="B1116" s="11"/>
      <c r="C1116" s="1">
        <f>Growth!D1121</f>
        <v>3.2258064516129031E-2</v>
      </c>
      <c r="D1116" s="5" t="b">
        <f t="shared" si="944"/>
        <v>0</v>
      </c>
      <c r="E1116" s="5">
        <v>2011</v>
      </c>
      <c r="F1116" s="5">
        <f ca="1">LOOKUP($E1116,frequence!$A$2:$A$35,frequence!L$2:L$35)</f>
        <v>33.053542446246631</v>
      </c>
      <c r="G1116" s="5">
        <f ca="1">LOOKUP($E1116,frequence!$A$2:$A$35,frequence!K$2:K$35)</f>
        <v>2.1388579511305732</v>
      </c>
      <c r="H1116" s="5">
        <f ca="1">LOOKUP($E1116,frequence!$A$2:$A$35,frequence!M$2:M$35)</f>
        <v>182.11948132765423</v>
      </c>
      <c r="I1116" s="16">
        <v>2005</v>
      </c>
      <c r="J1116" s="7">
        <f>LOOKUP(I1116,CPI!A$69:A$103,CPI!O$69:O$103)</f>
        <v>1.1165181771633383</v>
      </c>
      <c r="K1116" s="16">
        <v>2015</v>
      </c>
      <c r="L1116" s="7">
        <f t="shared" ca="1" si="954"/>
        <v>1</v>
      </c>
      <c r="M1116" s="7">
        <f t="shared" si="933"/>
        <v>0.16451612903225804</v>
      </c>
      <c r="N1116" s="14">
        <f t="shared" si="963"/>
        <v>3.2258064516129031E-2</v>
      </c>
      <c r="O1116" s="1">
        <f ca="1">P1116*J1116*(1+Growth!G$6)^(2010-K1116)</f>
        <v>85.970779626436681</v>
      </c>
      <c r="P1116" s="24">
        <v>83</v>
      </c>
      <c r="Q1116" s="2">
        <f t="shared" si="955"/>
        <v>83</v>
      </c>
      <c r="R1116" s="21">
        <f t="shared" ca="1" si="956"/>
        <v>7390.9749495773403</v>
      </c>
      <c r="U1116" s="11"/>
      <c r="V1116" s="11"/>
      <c r="W1116" s="11"/>
      <c r="X1116" s="11"/>
      <c r="Y1116" s="11"/>
      <c r="Z1116" s="11"/>
      <c r="AA1116" s="11"/>
      <c r="AB1116" s="11"/>
      <c r="AC1116" s="1">
        <f t="shared" si="978"/>
        <v>5.0999999999999996</v>
      </c>
      <c r="AD1116" s="5">
        <v>0</v>
      </c>
      <c r="AE1116" s="5">
        <v>0</v>
      </c>
      <c r="AF1116" s="5">
        <v>1</v>
      </c>
      <c r="AG1116" s="5">
        <v>0</v>
      </c>
      <c r="AH1116" s="5">
        <v>1</v>
      </c>
      <c r="AI1116" s="3">
        <f t="shared" si="979"/>
        <v>3.1</v>
      </c>
      <c r="AJ1116" s="5">
        <f t="shared" si="977"/>
        <v>0</v>
      </c>
      <c r="AK1116" s="5">
        <f t="shared" si="959"/>
        <v>0</v>
      </c>
      <c r="AL1116" s="5">
        <f t="shared" si="960"/>
        <v>0</v>
      </c>
      <c r="AM1116" s="5">
        <f t="shared" si="980"/>
        <v>0</v>
      </c>
      <c r="AN1116" s="5">
        <f t="shared" si="961"/>
        <v>0</v>
      </c>
      <c r="AO1116" s="5">
        <f t="shared" si="981"/>
        <v>0</v>
      </c>
      <c r="AP1116" s="11">
        <v>3</v>
      </c>
      <c r="AQ1116" s="11" t="s">
        <v>42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1</v>
      </c>
      <c r="AY1116" s="1">
        <f t="shared" si="982"/>
        <v>0</v>
      </c>
      <c r="AZ1116" s="1">
        <f t="shared" si="983"/>
        <v>0</v>
      </c>
      <c r="BA1116" s="1">
        <f t="shared" si="984"/>
        <v>0</v>
      </c>
      <c r="BB1116" s="5">
        <v>0</v>
      </c>
      <c r="BC1116" s="5">
        <v>1</v>
      </c>
      <c r="BD1116" s="5">
        <v>0</v>
      </c>
      <c r="BE1116" s="5">
        <f t="shared" si="985"/>
        <v>0</v>
      </c>
      <c r="BF1116" s="5">
        <v>0</v>
      </c>
      <c r="BG1116" s="5">
        <f t="shared" si="976"/>
        <v>0</v>
      </c>
      <c r="BH1116" s="5">
        <f t="shared" si="976"/>
        <v>0</v>
      </c>
      <c r="BI1116" s="5">
        <f t="shared" si="976"/>
        <v>0</v>
      </c>
      <c r="BJ1116" s="5">
        <f t="shared" si="976"/>
        <v>0</v>
      </c>
      <c r="BK1116" s="5">
        <f t="shared" si="976"/>
        <v>0</v>
      </c>
      <c r="BL1116" s="5">
        <f t="shared" si="976"/>
        <v>0</v>
      </c>
      <c r="BM1116" s="5">
        <f t="shared" si="976"/>
        <v>0</v>
      </c>
      <c r="BN1116" s="5">
        <f t="shared" si="976"/>
        <v>0</v>
      </c>
      <c r="BO1116" s="5">
        <f t="shared" si="975"/>
        <v>0</v>
      </c>
      <c r="BP1116" s="5">
        <f t="shared" si="975"/>
        <v>0</v>
      </c>
      <c r="BQ1116" s="5">
        <f t="shared" si="975"/>
        <v>0</v>
      </c>
      <c r="BR1116" s="5">
        <f t="shared" si="975"/>
        <v>0</v>
      </c>
      <c r="BS1116" s="5">
        <f t="shared" si="975"/>
        <v>0</v>
      </c>
      <c r="BT1116" s="5">
        <f t="shared" si="975"/>
        <v>0</v>
      </c>
      <c r="BU1116" s="5">
        <f t="shared" si="975"/>
        <v>0</v>
      </c>
      <c r="BV1116" s="5">
        <f t="shared" si="975"/>
        <v>0</v>
      </c>
      <c r="BW1116" s="5">
        <f t="shared" si="975"/>
        <v>0</v>
      </c>
      <c r="BX1116" s="5">
        <f t="shared" si="975"/>
        <v>0</v>
      </c>
      <c r="BY1116" s="5">
        <f t="shared" si="975"/>
        <v>0</v>
      </c>
      <c r="BZ1116" s="5">
        <f t="shared" si="975"/>
        <v>0</v>
      </c>
      <c r="CA1116" s="5">
        <f t="shared" si="975"/>
        <v>1</v>
      </c>
      <c r="CB1116" s="5">
        <f t="shared" si="974"/>
        <v>0</v>
      </c>
      <c r="CC1116" s="5">
        <f t="shared" si="974"/>
        <v>0</v>
      </c>
      <c r="CD1116" s="5">
        <f t="shared" si="974"/>
        <v>0</v>
      </c>
      <c r="CE1116" s="5">
        <f t="shared" si="974"/>
        <v>0</v>
      </c>
    </row>
    <row r="1117" spans="1:83" x14ac:dyDescent="0.2">
      <c r="A1117" s="11"/>
      <c r="B1117" s="11"/>
      <c r="C1117" s="1">
        <f>Growth!D1122</f>
        <v>3.2258064516129031E-2</v>
      </c>
      <c r="D1117" s="5" t="b">
        <f t="shared" si="944"/>
        <v>0</v>
      </c>
      <c r="E1117" s="5">
        <v>2011</v>
      </c>
      <c r="F1117" s="5">
        <f ca="1">LOOKUP($E1117,frequence!$A$2:$A$35,frequence!L$2:L$35)</f>
        <v>33.053542446246631</v>
      </c>
      <c r="G1117" s="5">
        <f ca="1">LOOKUP($E1117,frequence!$A$2:$A$35,frequence!K$2:K$35)</f>
        <v>2.1388579511305732</v>
      </c>
      <c r="H1117" s="5">
        <f ca="1">LOOKUP($E1117,frequence!$A$2:$A$35,frequence!M$2:M$35)</f>
        <v>182.11948132765423</v>
      </c>
      <c r="I1117" s="16">
        <v>2005</v>
      </c>
      <c r="J1117" s="7">
        <f>LOOKUP(I1117,CPI!A$69:A$103,CPI!O$69:O$103)</f>
        <v>1.1165181771633383</v>
      </c>
      <c r="K1117" s="16">
        <v>2015</v>
      </c>
      <c r="L1117" s="7">
        <f t="shared" ca="1" si="954"/>
        <v>1</v>
      </c>
      <c r="M1117" s="7">
        <f t="shared" si="933"/>
        <v>0.16451612903225804</v>
      </c>
      <c r="N1117" s="14">
        <f t="shared" si="963"/>
        <v>3.2258064516129031E-2</v>
      </c>
      <c r="O1117" s="1">
        <f ca="1">P1117*J1117*(1+Growth!G$6)^(2010-K1117)</f>
        <v>138.79619843304235</v>
      </c>
      <c r="P1117" s="24">
        <v>134</v>
      </c>
      <c r="Q1117" s="2">
        <f t="shared" si="955"/>
        <v>134</v>
      </c>
      <c r="R1117" s="21">
        <f t="shared" ca="1" si="956"/>
        <v>19264.384699464466</v>
      </c>
      <c r="U1117" s="11"/>
      <c r="V1117" s="11"/>
      <c r="W1117" s="11"/>
      <c r="X1117" s="11"/>
      <c r="Y1117" s="11"/>
      <c r="Z1117" s="11"/>
      <c r="AA1117" s="11"/>
      <c r="AB1117" s="11"/>
      <c r="AC1117" s="1">
        <f t="shared" si="978"/>
        <v>5.0999999999999996</v>
      </c>
      <c r="AD1117" s="5">
        <v>0</v>
      </c>
      <c r="AE1117" s="5">
        <v>0</v>
      </c>
      <c r="AF1117" s="5">
        <v>1</v>
      </c>
      <c r="AG1117" s="5">
        <v>0</v>
      </c>
      <c r="AH1117" s="5">
        <v>1</v>
      </c>
      <c r="AI1117" s="3">
        <f t="shared" si="979"/>
        <v>3.1</v>
      </c>
      <c r="AJ1117" s="5">
        <f t="shared" si="977"/>
        <v>0</v>
      </c>
      <c r="AK1117" s="5">
        <f t="shared" si="959"/>
        <v>0</v>
      </c>
      <c r="AL1117" s="5">
        <f t="shared" si="960"/>
        <v>0</v>
      </c>
      <c r="AM1117" s="5">
        <f t="shared" si="980"/>
        <v>0</v>
      </c>
      <c r="AN1117" s="5">
        <f t="shared" si="961"/>
        <v>0</v>
      </c>
      <c r="AO1117" s="5">
        <f t="shared" si="981"/>
        <v>0</v>
      </c>
      <c r="AP1117" s="11">
        <v>2.5</v>
      </c>
      <c r="AQ1117" s="11" t="s">
        <v>42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1</v>
      </c>
      <c r="AY1117" s="1">
        <f t="shared" si="982"/>
        <v>0</v>
      </c>
      <c r="AZ1117" s="1">
        <f t="shared" si="983"/>
        <v>0</v>
      </c>
      <c r="BA1117" s="1">
        <f t="shared" si="984"/>
        <v>0</v>
      </c>
      <c r="BB1117" s="5">
        <v>0</v>
      </c>
      <c r="BC1117" s="5">
        <v>1</v>
      </c>
      <c r="BD1117" s="5">
        <v>0</v>
      </c>
      <c r="BE1117" s="5">
        <f t="shared" si="985"/>
        <v>0</v>
      </c>
      <c r="BF1117" s="5">
        <v>0</v>
      </c>
      <c r="BG1117" s="5">
        <f t="shared" si="976"/>
        <v>0</v>
      </c>
      <c r="BH1117" s="5">
        <f t="shared" si="976"/>
        <v>0</v>
      </c>
      <c r="BI1117" s="5">
        <f t="shared" si="976"/>
        <v>0</v>
      </c>
      <c r="BJ1117" s="5">
        <f t="shared" si="976"/>
        <v>0</v>
      </c>
      <c r="BK1117" s="5">
        <f t="shared" si="976"/>
        <v>0</v>
      </c>
      <c r="BL1117" s="5">
        <f t="shared" si="976"/>
        <v>0</v>
      </c>
      <c r="BM1117" s="5">
        <f t="shared" si="976"/>
        <v>0</v>
      </c>
      <c r="BN1117" s="5">
        <f t="shared" si="976"/>
        <v>0</v>
      </c>
      <c r="BO1117" s="5">
        <f t="shared" si="975"/>
        <v>0</v>
      </c>
      <c r="BP1117" s="5">
        <f t="shared" si="975"/>
        <v>0</v>
      </c>
      <c r="BQ1117" s="5">
        <f t="shared" si="975"/>
        <v>0</v>
      </c>
      <c r="BR1117" s="5">
        <f t="shared" si="975"/>
        <v>0</v>
      </c>
      <c r="BS1117" s="5">
        <f t="shared" si="975"/>
        <v>0</v>
      </c>
      <c r="BT1117" s="5">
        <f t="shared" si="975"/>
        <v>0</v>
      </c>
      <c r="BU1117" s="5">
        <f t="shared" si="975"/>
        <v>0</v>
      </c>
      <c r="BV1117" s="5">
        <f t="shared" si="975"/>
        <v>0</v>
      </c>
      <c r="BW1117" s="5">
        <f t="shared" si="975"/>
        <v>0</v>
      </c>
      <c r="BX1117" s="5">
        <f t="shared" si="975"/>
        <v>0</v>
      </c>
      <c r="BY1117" s="5">
        <f t="shared" si="975"/>
        <v>0</v>
      </c>
      <c r="BZ1117" s="5">
        <f t="shared" si="975"/>
        <v>0</v>
      </c>
      <c r="CA1117" s="5">
        <f t="shared" si="975"/>
        <v>1</v>
      </c>
      <c r="CB1117" s="5">
        <f t="shared" si="974"/>
        <v>0</v>
      </c>
      <c r="CC1117" s="5">
        <f t="shared" si="974"/>
        <v>0</v>
      </c>
      <c r="CD1117" s="5">
        <f t="shared" si="974"/>
        <v>0</v>
      </c>
      <c r="CE1117" s="5">
        <f t="shared" si="974"/>
        <v>0</v>
      </c>
    </row>
    <row r="1118" spans="1:83" x14ac:dyDescent="0.2">
      <c r="A1118" s="11" t="s">
        <v>217</v>
      </c>
      <c r="B1118" s="11" t="s">
        <v>197</v>
      </c>
      <c r="C1118" s="1">
        <f>Growth!D1123</f>
        <v>5.2631578947368418E-2</v>
      </c>
      <c r="D1118" s="5">
        <f t="shared" ref="D1118:D1125" si="986">IF(B1118&gt;0,E1118)</f>
        <v>2014</v>
      </c>
      <c r="E1118" s="5">
        <v>2014</v>
      </c>
      <c r="F1118" s="5">
        <f ca="1">LOOKUP($E1118,frequence!$A$2:$A$35,frequence!L$2:L$35)</f>
        <v>50.75383375536623</v>
      </c>
      <c r="G1118" s="5">
        <f ca="1">LOOKUP($E1118,frequence!$A$2:$A$35,frequence!K$2:K$35)</f>
        <v>9.9751715831189358</v>
      </c>
      <c r="H1118" s="5">
        <f ca="1">LOOKUP($E1118,frequence!$A$2:$A$35,frequence!M$2:M$35)</f>
        <v>236.05429056976001</v>
      </c>
      <c r="I1118" s="16">
        <v>2005</v>
      </c>
      <c r="J1118" s="7">
        <f>LOOKUP(I1118,CPI!A$69:A$103,CPI!O$69:O$103)</f>
        <v>1.1165181771633383</v>
      </c>
      <c r="K1118" s="16">
        <v>2015</v>
      </c>
      <c r="L1118" s="7">
        <f t="shared" ca="1" si="954"/>
        <v>1</v>
      </c>
      <c r="M1118" s="7">
        <f t="shared" si="933"/>
        <v>0.33684210526315789</v>
      </c>
      <c r="N1118" s="14">
        <f>1/19</f>
        <v>5.2631578947368418E-2</v>
      </c>
      <c r="O1118" s="1">
        <f ca="1">P1118*J1118*(1+Growth!G$6)^(2010-K1118)</f>
        <v>37.979059272723035</v>
      </c>
      <c r="P1118" s="24">
        <f>10*44/12</f>
        <v>36.666666666666664</v>
      </c>
      <c r="Q1118" s="2">
        <f t="shared" ref="Q1118:Q1125" si="987">P1118</f>
        <v>36.666666666666664</v>
      </c>
      <c r="R1118" s="21">
        <f t="shared" ref="R1118:R1151" ca="1" si="988">O1118*O1118</f>
        <v>1442.4089432410096</v>
      </c>
      <c r="U1118" s="11"/>
      <c r="V1118" s="11"/>
      <c r="W1118" s="11"/>
      <c r="X1118" s="11"/>
      <c r="Y1118" s="11"/>
      <c r="Z1118" s="11"/>
      <c r="AA1118" s="11"/>
      <c r="AB1118" s="11"/>
      <c r="AC1118" s="1">
        <f t="shared" ref="AC1118:AC1125" si="989">SUM(AD1118:AI1118)</f>
        <v>6.4</v>
      </c>
      <c r="AD1118" s="5">
        <v>1</v>
      </c>
      <c r="AE1118" s="5">
        <v>0</v>
      </c>
      <c r="AF1118" s="5">
        <v>1</v>
      </c>
      <c r="AG1118" s="5">
        <v>0</v>
      </c>
      <c r="AH1118" s="5">
        <v>1</v>
      </c>
      <c r="AI1118" s="3">
        <f t="shared" ref="AI1118:AI1126" si="990">(E1118-1980)/10</f>
        <v>3.4</v>
      </c>
      <c r="AJ1118" s="5">
        <f t="shared" si="977"/>
        <v>0</v>
      </c>
      <c r="AK1118" s="5">
        <f t="shared" si="959"/>
        <v>0</v>
      </c>
      <c r="AL1118" s="5">
        <f t="shared" si="960"/>
        <v>1</v>
      </c>
      <c r="AM1118" s="5">
        <f t="shared" si="980"/>
        <v>0</v>
      </c>
      <c r="AN1118" s="5">
        <f t="shared" si="961"/>
        <v>0</v>
      </c>
      <c r="AO1118" s="5">
        <f t="shared" si="981"/>
        <v>0</v>
      </c>
      <c r="AP1118" s="11" t="s">
        <v>42</v>
      </c>
      <c r="AQ1118" s="11">
        <v>1.5</v>
      </c>
      <c r="AR1118" s="5">
        <v>0</v>
      </c>
      <c r="AS1118" s="5">
        <v>0</v>
      </c>
      <c r="AT1118" s="5">
        <v>1</v>
      </c>
      <c r="AU1118" s="5">
        <v>0</v>
      </c>
      <c r="AV1118" s="5">
        <v>0</v>
      </c>
      <c r="AW1118" s="5">
        <v>0</v>
      </c>
      <c r="AX1118" s="5">
        <v>1</v>
      </c>
      <c r="AY1118" s="1">
        <f t="shared" ref="AY1118" si="991">AJ1118*$AD1118*(1-$AV1118)*(1-$AR1118)</f>
        <v>0</v>
      </c>
      <c r="AZ1118" s="1">
        <f t="shared" ref="AZ1118" si="992">AM1118*$AD1118*(1-$AV1118)*(1-$AR1118)</f>
        <v>0</v>
      </c>
      <c r="BA1118" s="1">
        <f t="shared" ref="BA1118" si="993">AO1118*$AD1118*(1-$AV1118)*(1-$AR1118)</f>
        <v>0</v>
      </c>
      <c r="BB1118" s="5">
        <v>0</v>
      </c>
      <c r="BC1118" s="5">
        <v>1</v>
      </c>
      <c r="BD1118" s="5">
        <v>0</v>
      </c>
      <c r="BE1118" s="5">
        <f t="shared" ref="BE1118" si="994">1-SUM(BB1118:BD1118)</f>
        <v>0</v>
      </c>
      <c r="BF1118" s="5">
        <v>1</v>
      </c>
      <c r="BG1118" s="5">
        <f t="shared" si="976"/>
        <v>0</v>
      </c>
      <c r="BH1118" s="5">
        <f t="shared" si="976"/>
        <v>0</v>
      </c>
      <c r="BI1118" s="5">
        <f t="shared" si="976"/>
        <v>0</v>
      </c>
      <c r="BJ1118" s="5">
        <f t="shared" si="976"/>
        <v>0</v>
      </c>
      <c r="BK1118" s="5">
        <f t="shared" si="976"/>
        <v>0</v>
      </c>
      <c r="BL1118" s="5">
        <f t="shared" si="976"/>
        <v>0</v>
      </c>
      <c r="BM1118" s="5">
        <f t="shared" si="976"/>
        <v>0</v>
      </c>
      <c r="BN1118" s="5">
        <f t="shared" si="976"/>
        <v>0</v>
      </c>
      <c r="BO1118" s="5">
        <f t="shared" si="975"/>
        <v>0</v>
      </c>
      <c r="BP1118" s="5">
        <f t="shared" si="975"/>
        <v>0</v>
      </c>
      <c r="BQ1118" s="5">
        <f t="shared" si="975"/>
        <v>0</v>
      </c>
      <c r="BR1118" s="5">
        <f t="shared" si="975"/>
        <v>0</v>
      </c>
      <c r="BS1118" s="5">
        <f t="shared" si="975"/>
        <v>0</v>
      </c>
      <c r="BT1118" s="5">
        <f t="shared" si="975"/>
        <v>0</v>
      </c>
      <c r="BU1118" s="5">
        <f t="shared" si="975"/>
        <v>0</v>
      </c>
      <c r="BV1118" s="5">
        <f t="shared" si="975"/>
        <v>0</v>
      </c>
      <c r="BW1118" s="5">
        <f t="shared" si="975"/>
        <v>0</v>
      </c>
      <c r="BX1118" s="5">
        <f t="shared" si="975"/>
        <v>0</v>
      </c>
      <c r="BY1118" s="5">
        <f t="shared" si="975"/>
        <v>0</v>
      </c>
      <c r="BZ1118" s="5">
        <f t="shared" si="975"/>
        <v>0</v>
      </c>
      <c r="CA1118" s="5">
        <f t="shared" si="975"/>
        <v>0</v>
      </c>
      <c r="CB1118" s="5">
        <f t="shared" si="974"/>
        <v>0</v>
      </c>
      <c r="CC1118" s="5">
        <f t="shared" si="974"/>
        <v>0</v>
      </c>
      <c r="CD1118" s="5">
        <f t="shared" si="974"/>
        <v>1</v>
      </c>
      <c r="CE1118" s="5">
        <f t="shared" si="974"/>
        <v>0</v>
      </c>
    </row>
    <row r="1119" spans="1:83" x14ac:dyDescent="0.2">
      <c r="A1119" s="11"/>
      <c r="B1119" s="11"/>
      <c r="C1119" s="1">
        <f>Growth!D1124</f>
        <v>0.10526315789473684</v>
      </c>
      <c r="D1119" s="5" t="b">
        <f t="shared" si="986"/>
        <v>0</v>
      </c>
      <c r="E1119" s="5">
        <v>2014</v>
      </c>
      <c r="F1119" s="5">
        <f ca="1">LOOKUP($E1119,frequence!$A$2:$A$35,frequence!L$2:L$35)</f>
        <v>50.75383375536623</v>
      </c>
      <c r="G1119" s="5">
        <f ca="1">LOOKUP($E1119,frequence!$A$2:$A$35,frequence!K$2:K$35)</f>
        <v>9.9751715831189358</v>
      </c>
      <c r="H1119" s="5">
        <f ca="1">LOOKUP($E1119,frequence!$A$2:$A$35,frequence!M$2:M$35)</f>
        <v>236.05429056976001</v>
      </c>
      <c r="I1119" s="16">
        <v>2005</v>
      </c>
      <c r="J1119" s="7">
        <f>LOOKUP(I1119,CPI!A$69:A$103,CPI!O$69:O$103)</f>
        <v>1.1165181771633383</v>
      </c>
      <c r="K1119" s="16">
        <v>2015</v>
      </c>
      <c r="L1119" s="7">
        <f t="shared" ca="1" si="954"/>
        <v>1</v>
      </c>
      <c r="M1119" s="7">
        <f t="shared" si="933"/>
        <v>0.67368421052631577</v>
      </c>
      <c r="N1119" s="14">
        <f>2/19</f>
        <v>0.10526315789473684</v>
      </c>
      <c r="O1119" s="1">
        <f ca="1">P1119*J1119*(1+Growth!G$6)^(2010-K1119)</f>
        <v>51.271730018176093</v>
      </c>
      <c r="P1119" s="24">
        <f>13.5*44/12</f>
        <v>49.5</v>
      </c>
      <c r="Q1119" s="2">
        <f t="shared" si="987"/>
        <v>49.5</v>
      </c>
      <c r="R1119" s="21">
        <f t="shared" ca="1" si="988"/>
        <v>2628.7902990567395</v>
      </c>
      <c r="U1119" s="11"/>
      <c r="V1119" s="11"/>
      <c r="W1119" s="11"/>
      <c r="X1119" s="11"/>
      <c r="Y1119" s="11"/>
      <c r="Z1119" s="11"/>
      <c r="AA1119" s="11"/>
      <c r="AB1119" s="11"/>
      <c r="AC1119" s="1">
        <f t="shared" si="989"/>
        <v>6.4</v>
      </c>
      <c r="AD1119" s="5">
        <v>1</v>
      </c>
      <c r="AE1119" s="5">
        <v>0</v>
      </c>
      <c r="AF1119" s="5">
        <v>1</v>
      </c>
      <c r="AG1119" s="5">
        <v>0</v>
      </c>
      <c r="AH1119" s="5">
        <v>1</v>
      </c>
      <c r="AI1119" s="3">
        <f t="shared" si="990"/>
        <v>3.4</v>
      </c>
      <c r="AJ1119" s="5">
        <f t="shared" si="977"/>
        <v>0</v>
      </c>
      <c r="AK1119" s="5">
        <f t="shared" si="959"/>
        <v>0</v>
      </c>
      <c r="AL1119" s="5">
        <f t="shared" si="960"/>
        <v>1</v>
      </c>
      <c r="AM1119" s="5">
        <f t="shared" si="980"/>
        <v>0</v>
      </c>
      <c r="AN1119" s="5">
        <f t="shared" si="961"/>
        <v>0</v>
      </c>
      <c r="AO1119" s="5">
        <f t="shared" si="981"/>
        <v>0</v>
      </c>
      <c r="AP1119" s="11" t="s">
        <v>42</v>
      </c>
      <c r="AQ1119" s="11">
        <v>1.5</v>
      </c>
      <c r="AR1119" s="5">
        <v>0</v>
      </c>
      <c r="AS1119" s="5">
        <v>0</v>
      </c>
      <c r="AT1119" s="5">
        <v>1</v>
      </c>
      <c r="AU1119" s="5">
        <v>0</v>
      </c>
      <c r="AV1119" s="5">
        <v>0</v>
      </c>
      <c r="AW1119" s="5">
        <v>0</v>
      </c>
      <c r="AX1119" s="5">
        <v>1</v>
      </c>
      <c r="AY1119" s="1">
        <f t="shared" ref="AY1119:AY1125" si="995">AJ1119*$AD1119*(1-$AV1119)*(1-$AR1119)</f>
        <v>0</v>
      </c>
      <c r="AZ1119" s="1">
        <f t="shared" ref="AZ1119:AZ1125" si="996">AM1119*$AD1119*(1-$AV1119)*(1-$AR1119)</f>
        <v>0</v>
      </c>
      <c r="BA1119" s="1">
        <f t="shared" ref="BA1119:BA1125" si="997">AO1119*$AD1119*(1-$AV1119)*(1-$AR1119)</f>
        <v>0</v>
      </c>
      <c r="BB1119" s="5">
        <v>0</v>
      </c>
      <c r="BC1119" s="5">
        <v>1</v>
      </c>
      <c r="BD1119" s="5">
        <v>0</v>
      </c>
      <c r="BE1119" s="5">
        <f t="shared" ref="BE1119:BE1125" si="998">1-SUM(BB1119:BD1119)</f>
        <v>0</v>
      </c>
      <c r="BF1119" s="5">
        <v>1</v>
      </c>
      <c r="BG1119" s="5">
        <f t="shared" si="976"/>
        <v>0</v>
      </c>
      <c r="BH1119" s="5">
        <f t="shared" si="976"/>
        <v>0</v>
      </c>
      <c r="BI1119" s="5">
        <f t="shared" si="976"/>
        <v>0</v>
      </c>
      <c r="BJ1119" s="5">
        <f t="shared" si="976"/>
        <v>0</v>
      </c>
      <c r="BK1119" s="5">
        <f t="shared" si="976"/>
        <v>0</v>
      </c>
      <c r="BL1119" s="5">
        <f t="shared" si="976"/>
        <v>0</v>
      </c>
      <c r="BM1119" s="5">
        <f t="shared" si="976"/>
        <v>0</v>
      </c>
      <c r="BN1119" s="5">
        <f t="shared" si="976"/>
        <v>0</v>
      </c>
      <c r="BO1119" s="5">
        <f t="shared" si="975"/>
        <v>0</v>
      </c>
      <c r="BP1119" s="5">
        <f t="shared" si="975"/>
        <v>0</v>
      </c>
      <c r="BQ1119" s="5">
        <f t="shared" si="975"/>
        <v>0</v>
      </c>
      <c r="BR1119" s="5">
        <f t="shared" si="975"/>
        <v>0</v>
      </c>
      <c r="BS1119" s="5">
        <f t="shared" si="975"/>
        <v>0</v>
      </c>
      <c r="BT1119" s="5">
        <f t="shared" si="975"/>
        <v>0</v>
      </c>
      <c r="BU1119" s="5">
        <f t="shared" si="975"/>
        <v>0</v>
      </c>
      <c r="BV1119" s="5">
        <f t="shared" si="975"/>
        <v>0</v>
      </c>
      <c r="BW1119" s="5">
        <f t="shared" si="975"/>
        <v>0</v>
      </c>
      <c r="BX1119" s="5">
        <f t="shared" si="975"/>
        <v>0</v>
      </c>
      <c r="BY1119" s="5">
        <f t="shared" si="975"/>
        <v>0</v>
      </c>
      <c r="BZ1119" s="5">
        <f t="shared" si="975"/>
        <v>0</v>
      </c>
      <c r="CA1119" s="5">
        <f t="shared" si="975"/>
        <v>0</v>
      </c>
      <c r="CB1119" s="5">
        <f t="shared" si="974"/>
        <v>0</v>
      </c>
      <c r="CC1119" s="5">
        <f t="shared" si="974"/>
        <v>0</v>
      </c>
      <c r="CD1119" s="5">
        <f t="shared" si="974"/>
        <v>1</v>
      </c>
      <c r="CE1119" s="5">
        <f t="shared" si="974"/>
        <v>0</v>
      </c>
    </row>
    <row r="1120" spans="1:83" x14ac:dyDescent="0.2">
      <c r="A1120" s="11"/>
      <c r="B1120" s="11"/>
      <c r="C1120" s="1">
        <f>Growth!D1125</f>
        <v>0.10526315789473684</v>
      </c>
      <c r="D1120" s="5" t="b">
        <f t="shared" si="986"/>
        <v>0</v>
      </c>
      <c r="E1120" s="5">
        <v>2014</v>
      </c>
      <c r="F1120" s="5">
        <f ca="1">LOOKUP($E1120,frequence!$A$2:$A$35,frequence!L$2:L$35)</f>
        <v>50.75383375536623</v>
      </c>
      <c r="G1120" s="5">
        <f ca="1">LOOKUP($E1120,frequence!$A$2:$A$35,frequence!K$2:K$35)</f>
        <v>9.9751715831189358</v>
      </c>
      <c r="H1120" s="5">
        <f ca="1">LOOKUP($E1120,frequence!$A$2:$A$35,frequence!M$2:M$35)</f>
        <v>236.05429056976001</v>
      </c>
      <c r="I1120" s="16">
        <v>2005</v>
      </c>
      <c r="J1120" s="7">
        <f>LOOKUP(I1120,CPI!A$69:A$103,CPI!O$69:O$103)</f>
        <v>1.1165181771633383</v>
      </c>
      <c r="K1120" s="16">
        <v>2015</v>
      </c>
      <c r="L1120" s="7">
        <f t="shared" ca="1" si="954"/>
        <v>1</v>
      </c>
      <c r="M1120" s="7">
        <f t="shared" si="933"/>
        <v>0.67368421052631577</v>
      </c>
      <c r="N1120" s="14">
        <f t="shared" ref="N1120:N1123" si="999">2/19</f>
        <v>0.10526315789473684</v>
      </c>
      <c r="O1120" s="1">
        <f ca="1">P1120*J1120*(1+Growth!G$6)^(2010-K1120)</f>
        <v>53.170682981812249</v>
      </c>
      <c r="P1120" s="24">
        <f>14*44/12</f>
        <v>51.333333333333336</v>
      </c>
      <c r="Q1120" s="2">
        <f t="shared" si="987"/>
        <v>51.333333333333336</v>
      </c>
      <c r="R1120" s="21">
        <f t="shared" ca="1" si="988"/>
        <v>2827.1215287523787</v>
      </c>
      <c r="U1120" s="11"/>
      <c r="V1120" s="11"/>
      <c r="W1120" s="11"/>
      <c r="X1120" s="11"/>
      <c r="Y1120" s="11"/>
      <c r="Z1120" s="11"/>
      <c r="AA1120" s="11"/>
      <c r="AB1120" s="11"/>
      <c r="AC1120" s="1">
        <f t="shared" si="989"/>
        <v>6.4</v>
      </c>
      <c r="AD1120" s="5">
        <v>1</v>
      </c>
      <c r="AE1120" s="5">
        <v>0</v>
      </c>
      <c r="AF1120" s="5">
        <v>1</v>
      </c>
      <c r="AG1120" s="5">
        <v>0</v>
      </c>
      <c r="AH1120" s="5">
        <v>1</v>
      </c>
      <c r="AI1120" s="3">
        <f t="shared" si="990"/>
        <v>3.4</v>
      </c>
      <c r="AJ1120" s="5">
        <f t="shared" si="977"/>
        <v>0</v>
      </c>
      <c r="AK1120" s="5">
        <f t="shared" si="959"/>
        <v>0</v>
      </c>
      <c r="AL1120" s="5">
        <f t="shared" si="960"/>
        <v>1</v>
      </c>
      <c r="AM1120" s="5">
        <f t="shared" si="980"/>
        <v>0</v>
      </c>
      <c r="AN1120" s="5">
        <f t="shared" si="961"/>
        <v>0</v>
      </c>
      <c r="AO1120" s="5">
        <f t="shared" si="981"/>
        <v>0</v>
      </c>
      <c r="AP1120" s="11" t="s">
        <v>42</v>
      </c>
      <c r="AQ1120" s="11">
        <v>1.5</v>
      </c>
      <c r="AR1120" s="5">
        <v>0</v>
      </c>
      <c r="AS1120" s="5">
        <v>0</v>
      </c>
      <c r="AT1120" s="5">
        <v>1</v>
      </c>
      <c r="AU1120" s="5">
        <v>0</v>
      </c>
      <c r="AV1120" s="5">
        <v>0</v>
      </c>
      <c r="AW1120" s="5">
        <v>0</v>
      </c>
      <c r="AX1120" s="5">
        <v>1</v>
      </c>
      <c r="AY1120" s="1">
        <f t="shared" si="995"/>
        <v>0</v>
      </c>
      <c r="AZ1120" s="1">
        <f t="shared" si="996"/>
        <v>0</v>
      </c>
      <c r="BA1120" s="1">
        <f t="shared" si="997"/>
        <v>0</v>
      </c>
      <c r="BB1120" s="5">
        <v>0</v>
      </c>
      <c r="BC1120" s="5">
        <v>1</v>
      </c>
      <c r="BD1120" s="5">
        <v>0</v>
      </c>
      <c r="BE1120" s="5">
        <f t="shared" si="998"/>
        <v>0</v>
      </c>
      <c r="BF1120" s="5">
        <v>1</v>
      </c>
      <c r="BG1120" s="5">
        <f t="shared" si="976"/>
        <v>0</v>
      </c>
      <c r="BH1120" s="5">
        <f t="shared" si="976"/>
        <v>0</v>
      </c>
      <c r="BI1120" s="5">
        <f t="shared" si="976"/>
        <v>0</v>
      </c>
      <c r="BJ1120" s="5">
        <f t="shared" si="976"/>
        <v>0</v>
      </c>
      <c r="BK1120" s="5">
        <f t="shared" si="976"/>
        <v>0</v>
      </c>
      <c r="BL1120" s="5">
        <f t="shared" si="976"/>
        <v>0</v>
      </c>
      <c r="BM1120" s="5">
        <f t="shared" si="976"/>
        <v>0</v>
      </c>
      <c r="BN1120" s="5">
        <f t="shared" si="976"/>
        <v>0</v>
      </c>
      <c r="BO1120" s="5">
        <f t="shared" si="975"/>
        <v>0</v>
      </c>
      <c r="BP1120" s="5">
        <f t="shared" si="975"/>
        <v>0</v>
      </c>
      <c r="BQ1120" s="5">
        <f t="shared" si="975"/>
        <v>0</v>
      </c>
      <c r="BR1120" s="5">
        <f t="shared" si="975"/>
        <v>0</v>
      </c>
      <c r="BS1120" s="5">
        <f t="shared" si="975"/>
        <v>0</v>
      </c>
      <c r="BT1120" s="5">
        <f t="shared" si="975"/>
        <v>0</v>
      </c>
      <c r="BU1120" s="5">
        <f t="shared" si="975"/>
        <v>0</v>
      </c>
      <c r="BV1120" s="5">
        <f t="shared" si="975"/>
        <v>0</v>
      </c>
      <c r="BW1120" s="5">
        <f t="shared" si="975"/>
        <v>0</v>
      </c>
      <c r="BX1120" s="5">
        <f t="shared" si="975"/>
        <v>0</v>
      </c>
      <c r="BY1120" s="5">
        <f t="shared" si="975"/>
        <v>0</v>
      </c>
      <c r="BZ1120" s="5">
        <f t="shared" si="975"/>
        <v>0</v>
      </c>
      <c r="CA1120" s="5">
        <f t="shared" si="975"/>
        <v>0</v>
      </c>
      <c r="CB1120" s="5">
        <f t="shared" si="974"/>
        <v>0</v>
      </c>
      <c r="CC1120" s="5">
        <f t="shared" si="974"/>
        <v>0</v>
      </c>
      <c r="CD1120" s="5">
        <f t="shared" si="974"/>
        <v>1</v>
      </c>
      <c r="CE1120" s="5">
        <f t="shared" si="974"/>
        <v>0</v>
      </c>
    </row>
    <row r="1121" spans="1:83" x14ac:dyDescent="0.2">
      <c r="A1121" s="11"/>
      <c r="B1121" s="11"/>
      <c r="C1121" s="1">
        <f>Growth!D1126</f>
        <v>0.10526315789473684</v>
      </c>
      <c r="D1121" s="5" t="b">
        <f t="shared" si="986"/>
        <v>0</v>
      </c>
      <c r="E1121" s="5">
        <v>2014</v>
      </c>
      <c r="F1121" s="5">
        <f ca="1">LOOKUP($E1121,frequence!$A$2:$A$35,frequence!L$2:L$35)</f>
        <v>50.75383375536623</v>
      </c>
      <c r="G1121" s="5">
        <f ca="1">LOOKUP($E1121,frequence!$A$2:$A$35,frequence!K$2:K$35)</f>
        <v>9.9751715831189358</v>
      </c>
      <c r="H1121" s="5">
        <f ca="1">LOOKUP($E1121,frequence!$A$2:$A$35,frequence!M$2:M$35)</f>
        <v>236.05429056976001</v>
      </c>
      <c r="I1121" s="16">
        <v>2005</v>
      </c>
      <c r="J1121" s="7">
        <f>LOOKUP(I1121,CPI!A$69:A$103,CPI!O$69:O$103)</f>
        <v>1.1165181771633383</v>
      </c>
      <c r="K1121" s="16">
        <v>2015</v>
      </c>
      <c r="L1121" s="7">
        <f t="shared" ca="1" si="954"/>
        <v>1</v>
      </c>
      <c r="M1121" s="7">
        <f t="shared" si="933"/>
        <v>0.67368421052631577</v>
      </c>
      <c r="N1121" s="14">
        <f t="shared" si="999"/>
        <v>0.10526315789473684</v>
      </c>
      <c r="O1121" s="1">
        <f ca="1">P1121*J1121*(1+Growth!G$6)^(2010-K1121)</f>
        <v>62.665447799993011</v>
      </c>
      <c r="P1121" s="24">
        <f>16.5*44/12</f>
        <v>60.5</v>
      </c>
      <c r="Q1121" s="2">
        <f t="shared" si="987"/>
        <v>60.5</v>
      </c>
      <c r="R1121" s="21">
        <f t="shared" ca="1" si="988"/>
        <v>3926.9583479736489</v>
      </c>
      <c r="U1121" s="11"/>
      <c r="V1121" s="11"/>
      <c r="W1121" s="11"/>
      <c r="X1121" s="11"/>
      <c r="Y1121" s="11"/>
      <c r="Z1121" s="11"/>
      <c r="AA1121" s="11"/>
      <c r="AB1121" s="11"/>
      <c r="AC1121" s="1">
        <f t="shared" si="989"/>
        <v>6.4</v>
      </c>
      <c r="AD1121" s="5">
        <v>1</v>
      </c>
      <c r="AE1121" s="5">
        <v>0</v>
      </c>
      <c r="AF1121" s="5">
        <v>1</v>
      </c>
      <c r="AG1121" s="5">
        <v>0</v>
      </c>
      <c r="AH1121" s="5">
        <v>1</v>
      </c>
      <c r="AI1121" s="3">
        <f t="shared" si="990"/>
        <v>3.4</v>
      </c>
      <c r="AJ1121" s="5">
        <f t="shared" si="977"/>
        <v>0</v>
      </c>
      <c r="AK1121" s="5">
        <f t="shared" si="959"/>
        <v>0</v>
      </c>
      <c r="AL1121" s="5">
        <f t="shared" si="960"/>
        <v>1</v>
      </c>
      <c r="AM1121" s="5">
        <f t="shared" si="980"/>
        <v>0</v>
      </c>
      <c r="AN1121" s="5">
        <f t="shared" si="961"/>
        <v>0</v>
      </c>
      <c r="AO1121" s="5">
        <f t="shared" si="981"/>
        <v>0</v>
      </c>
      <c r="AP1121" s="11" t="s">
        <v>42</v>
      </c>
      <c r="AQ1121" s="11">
        <v>1.5</v>
      </c>
      <c r="AR1121" s="5">
        <v>0</v>
      </c>
      <c r="AS1121" s="5">
        <v>0</v>
      </c>
      <c r="AT1121" s="5">
        <v>1</v>
      </c>
      <c r="AU1121" s="5">
        <v>0</v>
      </c>
      <c r="AV1121" s="5">
        <v>0</v>
      </c>
      <c r="AW1121" s="5">
        <v>0</v>
      </c>
      <c r="AX1121" s="5">
        <v>1</v>
      </c>
      <c r="AY1121" s="1">
        <f t="shared" si="995"/>
        <v>0</v>
      </c>
      <c r="AZ1121" s="1">
        <f t="shared" si="996"/>
        <v>0</v>
      </c>
      <c r="BA1121" s="1">
        <f t="shared" si="997"/>
        <v>0</v>
      </c>
      <c r="BB1121" s="5">
        <v>0</v>
      </c>
      <c r="BC1121" s="5">
        <v>1</v>
      </c>
      <c r="BD1121" s="5">
        <v>0</v>
      </c>
      <c r="BE1121" s="5">
        <f t="shared" si="998"/>
        <v>0</v>
      </c>
      <c r="BF1121" s="5">
        <v>1</v>
      </c>
      <c r="BG1121" s="5">
        <f t="shared" si="976"/>
        <v>0</v>
      </c>
      <c r="BH1121" s="5">
        <f t="shared" si="976"/>
        <v>0</v>
      </c>
      <c r="BI1121" s="5">
        <f t="shared" si="976"/>
        <v>0</v>
      </c>
      <c r="BJ1121" s="5">
        <f t="shared" si="976"/>
        <v>0</v>
      </c>
      <c r="BK1121" s="5">
        <f t="shared" si="976"/>
        <v>0</v>
      </c>
      <c r="BL1121" s="5">
        <f t="shared" si="976"/>
        <v>0</v>
      </c>
      <c r="BM1121" s="5">
        <f t="shared" si="976"/>
        <v>0</v>
      </c>
      <c r="BN1121" s="5">
        <f t="shared" si="976"/>
        <v>0</v>
      </c>
      <c r="BO1121" s="5">
        <f t="shared" si="975"/>
        <v>0</v>
      </c>
      <c r="BP1121" s="5">
        <f t="shared" si="975"/>
        <v>0</v>
      </c>
      <c r="BQ1121" s="5">
        <f t="shared" si="975"/>
        <v>0</v>
      </c>
      <c r="BR1121" s="5">
        <f t="shared" si="975"/>
        <v>0</v>
      </c>
      <c r="BS1121" s="5">
        <f t="shared" si="975"/>
        <v>0</v>
      </c>
      <c r="BT1121" s="5">
        <f t="shared" si="975"/>
        <v>0</v>
      </c>
      <c r="BU1121" s="5">
        <f t="shared" si="975"/>
        <v>0</v>
      </c>
      <c r="BV1121" s="5">
        <f t="shared" si="975"/>
        <v>0</v>
      </c>
      <c r="BW1121" s="5">
        <f t="shared" si="975"/>
        <v>0</v>
      </c>
      <c r="BX1121" s="5">
        <f t="shared" si="975"/>
        <v>0</v>
      </c>
      <c r="BY1121" s="5">
        <f t="shared" si="975"/>
        <v>0</v>
      </c>
      <c r="BZ1121" s="5">
        <f t="shared" si="975"/>
        <v>0</v>
      </c>
      <c r="CA1121" s="5">
        <f t="shared" si="975"/>
        <v>0</v>
      </c>
      <c r="CB1121" s="5">
        <f t="shared" si="974"/>
        <v>0</v>
      </c>
      <c r="CC1121" s="5">
        <f t="shared" si="974"/>
        <v>0</v>
      </c>
      <c r="CD1121" s="5">
        <f t="shared" si="974"/>
        <v>1</v>
      </c>
      <c r="CE1121" s="5">
        <f t="shared" si="974"/>
        <v>0</v>
      </c>
    </row>
    <row r="1122" spans="1:83" x14ac:dyDescent="0.2">
      <c r="A1122" s="11"/>
      <c r="B1122" s="11"/>
      <c r="C1122" s="1">
        <f>Growth!D1127</f>
        <v>0.10526315789473684</v>
      </c>
      <c r="D1122" s="5" t="b">
        <f t="shared" si="986"/>
        <v>0</v>
      </c>
      <c r="E1122" s="5">
        <v>2014</v>
      </c>
      <c r="F1122" s="5">
        <f ca="1">LOOKUP($E1122,frequence!$A$2:$A$35,frequence!L$2:L$35)</f>
        <v>50.75383375536623</v>
      </c>
      <c r="G1122" s="5">
        <f ca="1">LOOKUP($E1122,frequence!$A$2:$A$35,frequence!K$2:K$35)</f>
        <v>9.9751715831189358</v>
      </c>
      <c r="H1122" s="5">
        <f ca="1">LOOKUP($E1122,frequence!$A$2:$A$35,frequence!M$2:M$35)</f>
        <v>236.05429056976001</v>
      </c>
      <c r="I1122" s="16">
        <v>2005</v>
      </c>
      <c r="J1122" s="7">
        <f>LOOKUP(I1122,CPI!A$69:A$103,CPI!O$69:O$103)</f>
        <v>1.1165181771633383</v>
      </c>
      <c r="K1122" s="16">
        <v>2015</v>
      </c>
      <c r="L1122" s="7">
        <f t="shared" ca="1" si="954"/>
        <v>1</v>
      </c>
      <c r="M1122" s="7">
        <f t="shared" si="933"/>
        <v>0.67368421052631577</v>
      </c>
      <c r="N1122" s="14">
        <f t="shared" si="999"/>
        <v>0.10526315789473684</v>
      </c>
      <c r="O1122" s="1">
        <f ca="1">P1122*J1122*(1+Growth!G$6)^(2010-K1122)</f>
        <v>56.968588909084552</v>
      </c>
      <c r="P1122" s="24">
        <f>15*44/12</f>
        <v>55</v>
      </c>
      <c r="Q1122" s="2">
        <f t="shared" si="987"/>
        <v>55</v>
      </c>
      <c r="R1122" s="21">
        <f t="shared" ca="1" si="988"/>
        <v>3245.4201222922716</v>
      </c>
      <c r="U1122" s="11"/>
      <c r="V1122" s="11"/>
      <c r="W1122" s="11"/>
      <c r="X1122" s="11"/>
      <c r="Y1122" s="11"/>
      <c r="Z1122" s="11"/>
      <c r="AA1122" s="11"/>
      <c r="AB1122" s="11"/>
      <c r="AC1122" s="1">
        <f t="shared" si="989"/>
        <v>6.4</v>
      </c>
      <c r="AD1122" s="5">
        <v>1</v>
      </c>
      <c r="AE1122" s="5">
        <v>0</v>
      </c>
      <c r="AF1122" s="5">
        <v>1</v>
      </c>
      <c r="AG1122" s="5">
        <v>0</v>
      </c>
      <c r="AH1122" s="5">
        <v>1</v>
      </c>
      <c r="AI1122" s="3">
        <f t="shared" si="990"/>
        <v>3.4</v>
      </c>
      <c r="AJ1122" s="5">
        <f t="shared" si="977"/>
        <v>0</v>
      </c>
      <c r="AK1122" s="5">
        <f t="shared" si="959"/>
        <v>0</v>
      </c>
      <c r="AL1122" s="5">
        <f t="shared" si="960"/>
        <v>1</v>
      </c>
      <c r="AM1122" s="5">
        <f t="shared" si="980"/>
        <v>0</v>
      </c>
      <c r="AN1122" s="5">
        <f t="shared" si="961"/>
        <v>0</v>
      </c>
      <c r="AO1122" s="5">
        <f t="shared" si="981"/>
        <v>0</v>
      </c>
      <c r="AP1122" s="11" t="s">
        <v>42</v>
      </c>
      <c r="AQ1122" s="11">
        <v>1.5</v>
      </c>
      <c r="AR1122" s="5">
        <v>0</v>
      </c>
      <c r="AS1122" s="5">
        <v>0</v>
      </c>
      <c r="AT1122" s="5">
        <v>1</v>
      </c>
      <c r="AU1122" s="5">
        <v>0</v>
      </c>
      <c r="AV1122" s="5">
        <v>0</v>
      </c>
      <c r="AW1122" s="5">
        <v>0</v>
      </c>
      <c r="AX1122" s="5">
        <v>1</v>
      </c>
      <c r="AY1122" s="1">
        <f t="shared" si="995"/>
        <v>0</v>
      </c>
      <c r="AZ1122" s="1">
        <f t="shared" si="996"/>
        <v>0</v>
      </c>
      <c r="BA1122" s="1">
        <f t="shared" si="997"/>
        <v>0</v>
      </c>
      <c r="BB1122" s="5">
        <v>0</v>
      </c>
      <c r="BC1122" s="5">
        <v>1</v>
      </c>
      <c r="BD1122" s="5">
        <v>0</v>
      </c>
      <c r="BE1122" s="5">
        <f t="shared" si="998"/>
        <v>0</v>
      </c>
      <c r="BF1122" s="5">
        <v>1</v>
      </c>
      <c r="BG1122" s="5">
        <f t="shared" si="976"/>
        <v>0</v>
      </c>
      <c r="BH1122" s="5">
        <f t="shared" si="976"/>
        <v>0</v>
      </c>
      <c r="BI1122" s="5">
        <f t="shared" si="976"/>
        <v>0</v>
      </c>
      <c r="BJ1122" s="5">
        <f t="shared" si="976"/>
        <v>0</v>
      </c>
      <c r="BK1122" s="5">
        <f t="shared" si="976"/>
        <v>0</v>
      </c>
      <c r="BL1122" s="5">
        <f t="shared" si="976"/>
        <v>0</v>
      </c>
      <c r="BM1122" s="5">
        <f t="shared" si="976"/>
        <v>0</v>
      </c>
      <c r="BN1122" s="5">
        <f t="shared" si="976"/>
        <v>0</v>
      </c>
      <c r="BO1122" s="5">
        <f t="shared" si="975"/>
        <v>0</v>
      </c>
      <c r="BP1122" s="5">
        <f t="shared" si="975"/>
        <v>0</v>
      </c>
      <c r="BQ1122" s="5">
        <f t="shared" si="975"/>
        <v>0</v>
      </c>
      <c r="BR1122" s="5">
        <f t="shared" si="975"/>
        <v>0</v>
      </c>
      <c r="BS1122" s="5">
        <f t="shared" si="975"/>
        <v>0</v>
      </c>
      <c r="BT1122" s="5">
        <f t="shared" si="975"/>
        <v>0</v>
      </c>
      <c r="BU1122" s="5">
        <f t="shared" si="975"/>
        <v>0</v>
      </c>
      <c r="BV1122" s="5">
        <f t="shared" si="975"/>
        <v>0</v>
      </c>
      <c r="BW1122" s="5">
        <f t="shared" si="975"/>
        <v>0</v>
      </c>
      <c r="BX1122" s="5">
        <f t="shared" si="975"/>
        <v>0</v>
      </c>
      <c r="BY1122" s="5">
        <f t="shared" si="975"/>
        <v>0</v>
      </c>
      <c r="BZ1122" s="5">
        <f t="shared" si="975"/>
        <v>0</v>
      </c>
      <c r="CA1122" s="5">
        <f t="shared" si="975"/>
        <v>0</v>
      </c>
      <c r="CB1122" s="5">
        <f t="shared" si="974"/>
        <v>0</v>
      </c>
      <c r="CC1122" s="5">
        <f t="shared" si="974"/>
        <v>0</v>
      </c>
      <c r="CD1122" s="5">
        <f t="shared" si="974"/>
        <v>1</v>
      </c>
      <c r="CE1122" s="5">
        <f t="shared" si="974"/>
        <v>0</v>
      </c>
    </row>
    <row r="1123" spans="1:83" x14ac:dyDescent="0.2">
      <c r="A1123" s="11"/>
      <c r="B1123" s="11"/>
      <c r="C1123" s="1">
        <f>Growth!D1128</f>
        <v>0.10526315789473684</v>
      </c>
      <c r="D1123" s="5" t="b">
        <f t="shared" si="986"/>
        <v>0</v>
      </c>
      <c r="E1123" s="5">
        <v>2014</v>
      </c>
      <c r="F1123" s="5">
        <f ca="1">LOOKUP($E1123,frequence!$A$2:$A$35,frequence!L$2:L$35)</f>
        <v>50.75383375536623</v>
      </c>
      <c r="G1123" s="5">
        <f ca="1">LOOKUP($E1123,frequence!$A$2:$A$35,frequence!K$2:K$35)</f>
        <v>9.9751715831189358</v>
      </c>
      <c r="H1123" s="5">
        <f ca="1">LOOKUP($E1123,frequence!$A$2:$A$35,frequence!M$2:M$35)</f>
        <v>236.05429056976001</v>
      </c>
      <c r="I1123" s="16">
        <v>2005</v>
      </c>
      <c r="J1123" s="7">
        <f>LOOKUP(I1123,CPI!A$69:A$103,CPI!O$69:O$103)</f>
        <v>1.1165181771633383</v>
      </c>
      <c r="K1123" s="16">
        <v>2015</v>
      </c>
      <c r="L1123" s="7">
        <f t="shared" ca="1" si="954"/>
        <v>1</v>
      </c>
      <c r="M1123" s="7">
        <f t="shared" si="933"/>
        <v>0.67368421052631577</v>
      </c>
      <c r="N1123" s="14">
        <f t="shared" si="999"/>
        <v>0.10526315789473684</v>
      </c>
      <c r="O1123" s="1">
        <f ca="1">P1123*J1123*(1+Growth!G$6)^(2010-K1123)</f>
        <v>53.170682981812249</v>
      </c>
      <c r="P1123" s="24">
        <f>14*44/12</f>
        <v>51.333333333333336</v>
      </c>
      <c r="Q1123" s="2">
        <f t="shared" si="987"/>
        <v>51.333333333333336</v>
      </c>
      <c r="R1123" s="21">
        <f t="shared" ca="1" si="988"/>
        <v>2827.1215287523787</v>
      </c>
      <c r="U1123" s="11"/>
      <c r="V1123" s="11"/>
      <c r="W1123" s="11"/>
      <c r="X1123" s="11"/>
      <c r="Y1123" s="11"/>
      <c r="Z1123" s="11"/>
      <c r="AA1123" s="11"/>
      <c r="AB1123" s="11"/>
      <c r="AC1123" s="1">
        <f t="shared" si="989"/>
        <v>6.4</v>
      </c>
      <c r="AD1123" s="5">
        <v>1</v>
      </c>
      <c r="AE1123" s="5">
        <v>0</v>
      </c>
      <c r="AF1123" s="5">
        <v>1</v>
      </c>
      <c r="AG1123" s="5">
        <v>0</v>
      </c>
      <c r="AH1123" s="5">
        <v>1</v>
      </c>
      <c r="AI1123" s="3">
        <f t="shared" si="990"/>
        <v>3.4</v>
      </c>
      <c r="AJ1123" s="5">
        <f t="shared" si="977"/>
        <v>0</v>
      </c>
      <c r="AK1123" s="5">
        <f t="shared" si="959"/>
        <v>0</v>
      </c>
      <c r="AL1123" s="5">
        <f t="shared" si="960"/>
        <v>1</v>
      </c>
      <c r="AM1123" s="5">
        <f t="shared" si="980"/>
        <v>0</v>
      </c>
      <c r="AN1123" s="5">
        <f t="shared" si="961"/>
        <v>0</v>
      </c>
      <c r="AO1123" s="5">
        <f t="shared" si="981"/>
        <v>0</v>
      </c>
      <c r="AP1123" s="11" t="s">
        <v>42</v>
      </c>
      <c r="AQ1123" s="11">
        <v>1.5</v>
      </c>
      <c r="AR1123" s="5">
        <v>0</v>
      </c>
      <c r="AS1123" s="5">
        <v>0</v>
      </c>
      <c r="AT1123" s="5">
        <v>1</v>
      </c>
      <c r="AU1123" s="5">
        <v>0</v>
      </c>
      <c r="AV1123" s="5">
        <v>0</v>
      </c>
      <c r="AW1123" s="5">
        <v>0</v>
      </c>
      <c r="AX1123" s="5">
        <v>1</v>
      </c>
      <c r="AY1123" s="1">
        <f t="shared" si="995"/>
        <v>0</v>
      </c>
      <c r="AZ1123" s="1">
        <f t="shared" si="996"/>
        <v>0</v>
      </c>
      <c r="BA1123" s="1">
        <f t="shared" si="997"/>
        <v>0</v>
      </c>
      <c r="BB1123" s="5">
        <v>0</v>
      </c>
      <c r="BC1123" s="5">
        <v>1</v>
      </c>
      <c r="BD1123" s="5">
        <v>0</v>
      </c>
      <c r="BE1123" s="5">
        <f t="shared" si="998"/>
        <v>0</v>
      </c>
      <c r="BF1123" s="5">
        <v>1</v>
      </c>
      <c r="BG1123" s="5">
        <f t="shared" si="976"/>
        <v>0</v>
      </c>
      <c r="BH1123" s="5">
        <f t="shared" si="976"/>
        <v>0</v>
      </c>
      <c r="BI1123" s="5">
        <f t="shared" si="976"/>
        <v>0</v>
      </c>
      <c r="BJ1123" s="5">
        <f t="shared" si="976"/>
        <v>0</v>
      </c>
      <c r="BK1123" s="5">
        <f t="shared" si="976"/>
        <v>0</v>
      </c>
      <c r="BL1123" s="5">
        <f t="shared" si="976"/>
        <v>0</v>
      </c>
      <c r="BM1123" s="5">
        <f t="shared" si="976"/>
        <v>0</v>
      </c>
      <c r="BN1123" s="5">
        <f t="shared" si="976"/>
        <v>0</v>
      </c>
      <c r="BO1123" s="5">
        <f t="shared" si="975"/>
        <v>0</v>
      </c>
      <c r="BP1123" s="5">
        <f t="shared" si="975"/>
        <v>0</v>
      </c>
      <c r="BQ1123" s="5">
        <f t="shared" si="975"/>
        <v>0</v>
      </c>
      <c r="BR1123" s="5">
        <f t="shared" si="975"/>
        <v>0</v>
      </c>
      <c r="BS1123" s="5">
        <f t="shared" si="975"/>
        <v>0</v>
      </c>
      <c r="BT1123" s="5">
        <f t="shared" si="975"/>
        <v>0</v>
      </c>
      <c r="BU1123" s="5">
        <f t="shared" si="975"/>
        <v>0</v>
      </c>
      <c r="BV1123" s="5">
        <f t="shared" si="975"/>
        <v>0</v>
      </c>
      <c r="BW1123" s="5">
        <f t="shared" si="975"/>
        <v>0</v>
      </c>
      <c r="BX1123" s="5">
        <f t="shared" si="975"/>
        <v>0</v>
      </c>
      <c r="BY1123" s="5">
        <f t="shared" si="975"/>
        <v>0</v>
      </c>
      <c r="BZ1123" s="5">
        <f t="shared" si="975"/>
        <v>0</v>
      </c>
      <c r="CA1123" s="5">
        <f t="shared" si="975"/>
        <v>0</v>
      </c>
      <c r="CB1123" s="5">
        <f t="shared" si="974"/>
        <v>0</v>
      </c>
      <c r="CC1123" s="5">
        <f t="shared" si="974"/>
        <v>0</v>
      </c>
      <c r="CD1123" s="5">
        <f t="shared" si="974"/>
        <v>1</v>
      </c>
      <c r="CE1123" s="5">
        <f t="shared" si="974"/>
        <v>0</v>
      </c>
    </row>
    <row r="1124" spans="1:83" x14ac:dyDescent="0.2">
      <c r="A1124" s="11"/>
      <c r="B1124" s="11"/>
      <c r="C1124" s="1">
        <f>Growth!D1129</f>
        <v>0.21052631578947367</v>
      </c>
      <c r="D1124" s="5" t="b">
        <f t="shared" si="986"/>
        <v>0</v>
      </c>
      <c r="E1124" s="5">
        <v>2014</v>
      </c>
      <c r="F1124" s="5">
        <f ca="1">LOOKUP($E1124,frequence!$A$2:$A$35,frequence!L$2:L$35)</f>
        <v>50.75383375536623</v>
      </c>
      <c r="G1124" s="5">
        <f ca="1">LOOKUP($E1124,frequence!$A$2:$A$35,frequence!K$2:K$35)</f>
        <v>9.9751715831189358</v>
      </c>
      <c r="H1124" s="5">
        <f ca="1">LOOKUP($E1124,frequence!$A$2:$A$35,frequence!M$2:M$35)</f>
        <v>236.05429056976001</v>
      </c>
      <c r="I1124" s="16">
        <v>2005</v>
      </c>
      <c r="J1124" s="7">
        <f>LOOKUP(I1124,CPI!A$69:A$103,CPI!O$69:O$103)</f>
        <v>1.1165181771633383</v>
      </c>
      <c r="K1124" s="16">
        <v>2015</v>
      </c>
      <c r="L1124" s="7">
        <f t="shared" ca="1" si="954"/>
        <v>1</v>
      </c>
      <c r="M1124" s="7">
        <f t="shared" si="933"/>
        <v>1.3473684210526315</v>
      </c>
      <c r="N1124" s="14">
        <f>4/19</f>
        <v>0.21052631578947367</v>
      </c>
      <c r="O1124" s="1">
        <f ca="1">P1124*J1124*(1+Growth!G$6)^(2010-K1124)</f>
        <v>45.574871127267635</v>
      </c>
      <c r="P1124" s="24">
        <f>12*44/12</f>
        <v>44</v>
      </c>
      <c r="Q1124" s="2">
        <f t="shared" si="987"/>
        <v>44</v>
      </c>
      <c r="R1124" s="21">
        <f t="shared" ca="1" si="988"/>
        <v>2077.0688782670532</v>
      </c>
      <c r="U1124" s="11"/>
      <c r="V1124" s="11"/>
      <c r="W1124" s="11"/>
      <c r="X1124" s="11"/>
      <c r="Y1124" s="11"/>
      <c r="Z1124" s="11"/>
      <c r="AA1124" s="11"/>
      <c r="AB1124" s="11"/>
      <c r="AC1124" s="1">
        <f t="shared" si="989"/>
        <v>6.4</v>
      </c>
      <c r="AD1124" s="5">
        <v>1</v>
      </c>
      <c r="AE1124" s="5">
        <v>0</v>
      </c>
      <c r="AF1124" s="5">
        <v>1</v>
      </c>
      <c r="AG1124" s="5">
        <v>0</v>
      </c>
      <c r="AH1124" s="5">
        <v>1</v>
      </c>
      <c r="AI1124" s="3">
        <f t="shared" si="990"/>
        <v>3.4</v>
      </c>
      <c r="AJ1124" s="5">
        <f t="shared" si="977"/>
        <v>0</v>
      </c>
      <c r="AK1124" s="5">
        <f t="shared" si="959"/>
        <v>0</v>
      </c>
      <c r="AL1124" s="5">
        <f t="shared" si="960"/>
        <v>1</v>
      </c>
      <c r="AM1124" s="5">
        <f t="shared" si="980"/>
        <v>0</v>
      </c>
      <c r="AN1124" s="5">
        <f t="shared" si="961"/>
        <v>0</v>
      </c>
      <c r="AO1124" s="5">
        <f t="shared" si="981"/>
        <v>0</v>
      </c>
      <c r="AP1124" s="11" t="s">
        <v>42</v>
      </c>
      <c r="AQ1124" s="11">
        <v>1.5</v>
      </c>
      <c r="AR1124" s="5">
        <v>0</v>
      </c>
      <c r="AS1124" s="5">
        <v>0</v>
      </c>
      <c r="AT1124" s="5">
        <v>1</v>
      </c>
      <c r="AU1124" s="5">
        <v>0</v>
      </c>
      <c r="AV1124" s="5">
        <v>0</v>
      </c>
      <c r="AW1124" s="5">
        <v>0</v>
      </c>
      <c r="AX1124" s="5">
        <v>1</v>
      </c>
      <c r="AY1124" s="1">
        <f t="shared" si="995"/>
        <v>0</v>
      </c>
      <c r="AZ1124" s="1">
        <f t="shared" si="996"/>
        <v>0</v>
      </c>
      <c r="BA1124" s="1">
        <f t="shared" si="997"/>
        <v>0</v>
      </c>
      <c r="BB1124" s="5">
        <v>0</v>
      </c>
      <c r="BC1124" s="5">
        <v>1</v>
      </c>
      <c r="BD1124" s="5">
        <v>0</v>
      </c>
      <c r="BE1124" s="5">
        <f t="shared" si="998"/>
        <v>0</v>
      </c>
      <c r="BF1124" s="5">
        <v>1</v>
      </c>
      <c r="BG1124" s="5">
        <f t="shared" si="976"/>
        <v>0</v>
      </c>
      <c r="BH1124" s="5">
        <f t="shared" si="976"/>
        <v>0</v>
      </c>
      <c r="BI1124" s="5">
        <f t="shared" si="976"/>
        <v>0</v>
      </c>
      <c r="BJ1124" s="5">
        <f t="shared" si="976"/>
        <v>0</v>
      </c>
      <c r="BK1124" s="5">
        <f t="shared" si="976"/>
        <v>0</v>
      </c>
      <c r="BL1124" s="5">
        <f t="shared" si="976"/>
        <v>0</v>
      </c>
      <c r="BM1124" s="5">
        <f t="shared" si="976"/>
        <v>0</v>
      </c>
      <c r="BN1124" s="5">
        <f t="shared" ref="BN1124:CB1139" si="1000">IF($E1124=BN$2,1,0)</f>
        <v>0</v>
      </c>
      <c r="BO1124" s="5">
        <f t="shared" si="1000"/>
        <v>0</v>
      </c>
      <c r="BP1124" s="5">
        <f t="shared" si="1000"/>
        <v>0</v>
      </c>
      <c r="BQ1124" s="5">
        <f t="shared" si="1000"/>
        <v>0</v>
      </c>
      <c r="BR1124" s="5">
        <f t="shared" si="1000"/>
        <v>0</v>
      </c>
      <c r="BS1124" s="5">
        <f t="shared" si="1000"/>
        <v>0</v>
      </c>
      <c r="BT1124" s="5">
        <f t="shared" si="1000"/>
        <v>0</v>
      </c>
      <c r="BU1124" s="5">
        <f t="shared" si="1000"/>
        <v>0</v>
      </c>
      <c r="BV1124" s="5">
        <f t="shared" si="1000"/>
        <v>0</v>
      </c>
      <c r="BW1124" s="5">
        <f t="shared" si="1000"/>
        <v>0</v>
      </c>
      <c r="BX1124" s="5">
        <f t="shared" si="1000"/>
        <v>0</v>
      </c>
      <c r="BY1124" s="5">
        <f t="shared" si="1000"/>
        <v>0</v>
      </c>
      <c r="BZ1124" s="5">
        <f t="shared" si="1000"/>
        <v>0</v>
      </c>
      <c r="CA1124" s="5">
        <f t="shared" si="1000"/>
        <v>0</v>
      </c>
      <c r="CB1124" s="5">
        <f t="shared" si="974"/>
        <v>0</v>
      </c>
      <c r="CC1124" s="5">
        <f t="shared" si="974"/>
        <v>0</v>
      </c>
      <c r="CD1124" s="5">
        <f t="shared" si="974"/>
        <v>1</v>
      </c>
      <c r="CE1124" s="5">
        <f t="shared" si="974"/>
        <v>0</v>
      </c>
    </row>
    <row r="1125" spans="1:83" x14ac:dyDescent="0.2">
      <c r="A1125" s="11"/>
      <c r="B1125" s="11"/>
      <c r="C1125" s="1">
        <f>Growth!D1130</f>
        <v>0.21052631578947367</v>
      </c>
      <c r="D1125" s="5" t="b">
        <f t="shared" si="986"/>
        <v>0</v>
      </c>
      <c r="E1125" s="5">
        <v>2014</v>
      </c>
      <c r="F1125" s="5">
        <f ca="1">LOOKUP($E1125,frequence!$A$2:$A$35,frequence!L$2:L$35)</f>
        <v>50.75383375536623</v>
      </c>
      <c r="G1125" s="5">
        <f ca="1">LOOKUP($E1125,frequence!$A$2:$A$35,frequence!K$2:K$35)</f>
        <v>9.9751715831189358</v>
      </c>
      <c r="H1125" s="5">
        <f ca="1">LOOKUP($E1125,frequence!$A$2:$A$35,frequence!M$2:M$35)</f>
        <v>236.05429056976001</v>
      </c>
      <c r="I1125" s="16">
        <v>2005</v>
      </c>
      <c r="J1125" s="7">
        <f>LOOKUP(I1125,CPI!A$69:A$103,CPI!O$69:O$103)</f>
        <v>1.1165181771633383</v>
      </c>
      <c r="K1125" s="16">
        <v>2015</v>
      </c>
      <c r="L1125" s="7">
        <f t="shared" ca="1" si="954"/>
        <v>1</v>
      </c>
      <c r="M1125" s="7">
        <f t="shared" si="933"/>
        <v>1.3473684210526315</v>
      </c>
      <c r="N1125" s="14">
        <f>4/19</f>
        <v>0.21052631578947367</v>
      </c>
      <c r="O1125" s="1">
        <f ca="1">P1125*J1125*(1+Growth!G$6)^(2010-K1125)</f>
        <v>45.574871127267635</v>
      </c>
      <c r="P1125" s="24">
        <f>12*44/12</f>
        <v>44</v>
      </c>
      <c r="Q1125" s="2">
        <f t="shared" si="987"/>
        <v>44</v>
      </c>
      <c r="R1125" s="21">
        <f t="shared" ca="1" si="988"/>
        <v>2077.0688782670532</v>
      </c>
      <c r="U1125" s="11"/>
      <c r="V1125" s="11"/>
      <c r="W1125" s="11"/>
      <c r="X1125" s="11"/>
      <c r="Y1125" s="11"/>
      <c r="Z1125" s="11"/>
      <c r="AA1125" s="11"/>
      <c r="AB1125" s="11"/>
      <c r="AC1125" s="1">
        <f t="shared" si="989"/>
        <v>6.4</v>
      </c>
      <c r="AD1125" s="5">
        <v>1</v>
      </c>
      <c r="AE1125" s="5">
        <v>0</v>
      </c>
      <c r="AF1125" s="5">
        <v>1</v>
      </c>
      <c r="AG1125" s="5">
        <v>0</v>
      </c>
      <c r="AH1125" s="5">
        <v>1</v>
      </c>
      <c r="AI1125" s="3">
        <f t="shared" si="990"/>
        <v>3.4</v>
      </c>
      <c r="AJ1125" s="5">
        <f t="shared" si="977"/>
        <v>0</v>
      </c>
      <c r="AK1125" s="5">
        <f t="shared" si="959"/>
        <v>0</v>
      </c>
      <c r="AL1125" s="5">
        <f t="shared" si="960"/>
        <v>1</v>
      </c>
      <c r="AM1125" s="5">
        <f t="shared" si="980"/>
        <v>0</v>
      </c>
      <c r="AN1125" s="5">
        <f t="shared" si="961"/>
        <v>0</v>
      </c>
      <c r="AO1125" s="5">
        <f t="shared" si="981"/>
        <v>0</v>
      </c>
      <c r="AP1125" s="11" t="s">
        <v>42</v>
      </c>
      <c r="AQ1125" s="11">
        <v>1.5</v>
      </c>
      <c r="AR1125" s="5">
        <v>0</v>
      </c>
      <c r="AS1125" s="5">
        <v>0</v>
      </c>
      <c r="AT1125" s="5">
        <v>1</v>
      </c>
      <c r="AU1125" s="5">
        <v>0</v>
      </c>
      <c r="AV1125" s="5">
        <v>0</v>
      </c>
      <c r="AW1125" s="5">
        <v>0</v>
      </c>
      <c r="AX1125" s="5">
        <v>1</v>
      </c>
      <c r="AY1125" s="1">
        <f t="shared" si="995"/>
        <v>0</v>
      </c>
      <c r="AZ1125" s="1">
        <f t="shared" si="996"/>
        <v>0</v>
      </c>
      <c r="BA1125" s="1">
        <f t="shared" si="997"/>
        <v>0</v>
      </c>
      <c r="BB1125" s="5">
        <v>0</v>
      </c>
      <c r="BC1125" s="5">
        <v>1</v>
      </c>
      <c r="BD1125" s="5">
        <v>0</v>
      </c>
      <c r="BE1125" s="5">
        <f t="shared" si="998"/>
        <v>0</v>
      </c>
      <c r="BF1125" s="5">
        <v>1</v>
      </c>
      <c r="BG1125" s="5">
        <f t="shared" ref="BG1125:BN1140" si="1001">IF($E1125=BG$2,1,0)</f>
        <v>0</v>
      </c>
      <c r="BH1125" s="5">
        <f t="shared" si="1001"/>
        <v>0</v>
      </c>
      <c r="BI1125" s="5">
        <f t="shared" si="1001"/>
        <v>0</v>
      </c>
      <c r="BJ1125" s="5">
        <f t="shared" si="1001"/>
        <v>0</v>
      </c>
      <c r="BK1125" s="5">
        <f t="shared" si="1001"/>
        <v>0</v>
      </c>
      <c r="BL1125" s="5">
        <f t="shared" si="1001"/>
        <v>0</v>
      </c>
      <c r="BM1125" s="5">
        <f t="shared" si="1001"/>
        <v>0</v>
      </c>
      <c r="BN1125" s="5">
        <f t="shared" si="1000"/>
        <v>0</v>
      </c>
      <c r="BO1125" s="5">
        <f t="shared" si="1000"/>
        <v>0</v>
      </c>
      <c r="BP1125" s="5">
        <f t="shared" si="1000"/>
        <v>0</v>
      </c>
      <c r="BQ1125" s="5">
        <f t="shared" si="1000"/>
        <v>0</v>
      </c>
      <c r="BR1125" s="5">
        <f t="shared" si="1000"/>
        <v>0</v>
      </c>
      <c r="BS1125" s="5">
        <f t="shared" si="1000"/>
        <v>0</v>
      </c>
      <c r="BT1125" s="5">
        <f t="shared" si="1000"/>
        <v>0</v>
      </c>
      <c r="BU1125" s="5">
        <f t="shared" si="1000"/>
        <v>0</v>
      </c>
      <c r="BV1125" s="5">
        <f t="shared" si="1000"/>
        <v>0</v>
      </c>
      <c r="BW1125" s="5">
        <f t="shared" si="1000"/>
        <v>0</v>
      </c>
      <c r="BX1125" s="5">
        <f t="shared" si="1000"/>
        <v>0</v>
      </c>
      <c r="BY1125" s="5">
        <f t="shared" si="1000"/>
        <v>0</v>
      </c>
      <c r="BZ1125" s="5">
        <f t="shared" si="1000"/>
        <v>0</v>
      </c>
      <c r="CA1125" s="5">
        <f t="shared" si="1000"/>
        <v>0</v>
      </c>
      <c r="CB1125" s="5">
        <f t="shared" si="974"/>
        <v>0</v>
      </c>
      <c r="CC1125" s="5">
        <f t="shared" si="974"/>
        <v>0</v>
      </c>
      <c r="CD1125" s="5">
        <f t="shared" si="974"/>
        <v>1</v>
      </c>
      <c r="CE1125" s="5">
        <f t="shared" si="974"/>
        <v>0</v>
      </c>
    </row>
    <row r="1126" spans="1:83" x14ac:dyDescent="0.2">
      <c r="A1126" s="11" t="s">
        <v>218</v>
      </c>
      <c r="B1126" s="11" t="s">
        <v>197</v>
      </c>
      <c r="C1126" s="1">
        <f>Growth!D1131</f>
        <v>1.5384615384615385E-2</v>
      </c>
      <c r="D1126" s="5">
        <f t="shared" ref="D1126:D1144" si="1002">IF(B1126&gt;0,E1126)</f>
        <v>2015</v>
      </c>
      <c r="E1126" s="5">
        <v>2015</v>
      </c>
      <c r="F1126" s="5">
        <f ca="1">LOOKUP($E1126,frequence!$A$2:$A$35,frequence!L$2:L$35)</f>
        <v>59.915964498406019</v>
      </c>
      <c r="G1126" s="5">
        <f ca="1">LOOKUP($E1126,frequence!$A$2:$A$35,frequence!K$2:K$35)</f>
        <v>12.697082100333608</v>
      </c>
      <c r="H1126" s="5">
        <f ca="1">LOOKUP($E1126,frequence!$A$2:$A$35,frequence!M$2:M$35)</f>
        <v>262.07305844619424</v>
      </c>
      <c r="I1126" s="16">
        <v>2005</v>
      </c>
      <c r="J1126" s="7">
        <f>LOOKUP(I1126,CPI!A$69:A$103,CPI!O$69:O$103)</f>
        <v>1.1165181771633383</v>
      </c>
      <c r="K1126" s="16">
        <v>2015</v>
      </c>
      <c r="L1126" s="7">
        <f t="shared" ca="1" si="954"/>
        <v>1</v>
      </c>
      <c r="M1126" s="7">
        <f t="shared" si="933"/>
        <v>8.461538461538462E-2</v>
      </c>
      <c r="N1126" s="14">
        <f>1/65</f>
        <v>1.5384615384615385E-2</v>
      </c>
      <c r="O1126" s="1">
        <f ca="1">P1126*J1126*(1+Growth!G$6)^(2010-K1126)</f>
        <v>30.567785942451401</v>
      </c>
      <c r="P1126" s="25">
        <f>Q1126</f>
        <v>29.511495001532825</v>
      </c>
      <c r="Q1126" s="1">
        <f>44/12*8.04858954587259</f>
        <v>29.511495001532825</v>
      </c>
      <c r="R1126" s="21">
        <f t="shared" ca="1" si="988"/>
        <v>934.38953742352953</v>
      </c>
      <c r="U1126" s="11"/>
      <c r="V1126" s="11"/>
      <c r="W1126" s="11"/>
      <c r="X1126" s="11"/>
      <c r="Y1126" s="11"/>
      <c r="Z1126" s="11"/>
      <c r="AA1126" s="11"/>
      <c r="AB1126" s="11"/>
      <c r="AC1126" s="1">
        <f t="shared" ref="AC1126" si="1003">SUM(AD1126:AI1126)</f>
        <v>5.5</v>
      </c>
      <c r="AD1126" s="5">
        <v>0</v>
      </c>
      <c r="AE1126" s="5">
        <v>0</v>
      </c>
      <c r="AF1126" s="5">
        <v>1</v>
      </c>
      <c r="AG1126" s="5">
        <v>0</v>
      </c>
      <c r="AH1126" s="5">
        <v>1</v>
      </c>
      <c r="AI1126" s="3">
        <f t="shared" si="990"/>
        <v>3.5</v>
      </c>
      <c r="AJ1126" s="5">
        <f t="shared" si="977"/>
        <v>0</v>
      </c>
      <c r="AK1126" s="5">
        <f t="shared" si="959"/>
        <v>0</v>
      </c>
      <c r="AL1126" s="5">
        <f t="shared" si="960"/>
        <v>1</v>
      </c>
      <c r="AM1126" s="5">
        <f t="shared" si="980"/>
        <v>0</v>
      </c>
      <c r="AN1126" s="5">
        <f t="shared" si="961"/>
        <v>0</v>
      </c>
      <c r="AO1126" s="5">
        <f t="shared" si="981"/>
        <v>0</v>
      </c>
      <c r="AP1126" s="11" t="s">
        <v>42</v>
      </c>
      <c r="AQ1126" s="11">
        <v>1.5</v>
      </c>
      <c r="AR1126" s="5">
        <v>0</v>
      </c>
      <c r="AS1126" s="5">
        <v>0</v>
      </c>
      <c r="AT1126" s="5">
        <v>1</v>
      </c>
      <c r="AU1126" s="5">
        <v>0</v>
      </c>
      <c r="AV1126" s="5">
        <v>0</v>
      </c>
      <c r="AW1126" s="5">
        <v>0</v>
      </c>
      <c r="AX1126" s="5">
        <v>1</v>
      </c>
      <c r="AY1126" s="1">
        <f t="shared" ref="AY1126:AY1144" si="1004">AJ1126*$AD1126*(1-$AV1126)*(1-$AR1126)</f>
        <v>0</v>
      </c>
      <c r="AZ1126" s="1">
        <f t="shared" ref="AZ1126:AZ1144" si="1005">AM1126*$AD1126*(1-$AV1126)*(1-$AR1126)</f>
        <v>0</v>
      </c>
      <c r="BA1126" s="1">
        <f t="shared" ref="BA1126:BA1144" si="1006">AO1126*$AD1126*(1-$AV1126)*(1-$AR1126)</f>
        <v>0</v>
      </c>
      <c r="BB1126" s="5">
        <v>0</v>
      </c>
      <c r="BC1126" s="5">
        <v>1</v>
      </c>
      <c r="BD1126" s="5">
        <v>0</v>
      </c>
      <c r="BE1126" s="5">
        <f t="shared" ref="BE1126:BE1144" si="1007">1-SUM(BB1126:BD1126)</f>
        <v>0</v>
      </c>
      <c r="BF1126" s="5">
        <v>1</v>
      </c>
      <c r="BG1126" s="5">
        <f t="shared" si="1001"/>
        <v>0</v>
      </c>
      <c r="BH1126" s="5">
        <f t="shared" si="1001"/>
        <v>0</v>
      </c>
      <c r="BI1126" s="5">
        <f t="shared" si="1001"/>
        <v>0</v>
      </c>
      <c r="BJ1126" s="5">
        <f t="shared" si="1001"/>
        <v>0</v>
      </c>
      <c r="BK1126" s="5">
        <f t="shared" si="1001"/>
        <v>0</v>
      </c>
      <c r="BL1126" s="5">
        <f t="shared" si="1001"/>
        <v>0</v>
      </c>
      <c r="BM1126" s="5">
        <f t="shared" si="1001"/>
        <v>0</v>
      </c>
      <c r="BN1126" s="5">
        <f t="shared" si="1000"/>
        <v>0</v>
      </c>
      <c r="BO1126" s="5">
        <f t="shared" si="1000"/>
        <v>0</v>
      </c>
      <c r="BP1126" s="5">
        <f t="shared" si="1000"/>
        <v>0</v>
      </c>
      <c r="BQ1126" s="5">
        <f t="shared" si="1000"/>
        <v>0</v>
      </c>
      <c r="BR1126" s="5">
        <f t="shared" si="1000"/>
        <v>0</v>
      </c>
      <c r="BS1126" s="5">
        <f t="shared" si="1000"/>
        <v>0</v>
      </c>
      <c r="BT1126" s="5">
        <f t="shared" si="1000"/>
        <v>0</v>
      </c>
      <c r="BU1126" s="5">
        <f t="shared" si="1000"/>
        <v>0</v>
      </c>
      <c r="BV1126" s="5">
        <f t="shared" si="1000"/>
        <v>0</v>
      </c>
      <c r="BW1126" s="5">
        <f t="shared" si="1000"/>
        <v>0</v>
      </c>
      <c r="BX1126" s="5">
        <f t="shared" si="1000"/>
        <v>0</v>
      </c>
      <c r="BY1126" s="5">
        <f t="shared" si="1000"/>
        <v>0</v>
      </c>
      <c r="BZ1126" s="5">
        <f t="shared" si="1000"/>
        <v>0</v>
      </c>
      <c r="CA1126" s="5">
        <f t="shared" si="1000"/>
        <v>0</v>
      </c>
      <c r="CB1126" s="5">
        <f t="shared" si="974"/>
        <v>0</v>
      </c>
      <c r="CC1126" s="5">
        <f t="shared" si="974"/>
        <v>0</v>
      </c>
      <c r="CD1126" s="5">
        <f t="shared" si="974"/>
        <v>0</v>
      </c>
      <c r="CE1126" s="5">
        <f t="shared" si="974"/>
        <v>1</v>
      </c>
    </row>
    <row r="1127" spans="1:83" x14ac:dyDescent="0.2">
      <c r="A1127" s="11"/>
      <c r="B1127" s="11"/>
      <c r="C1127" s="1">
        <f>Growth!D1132</f>
        <v>1.5384615384615385E-2</v>
      </c>
      <c r="D1127" s="5" t="b">
        <f t="shared" si="1002"/>
        <v>0</v>
      </c>
      <c r="E1127" s="5">
        <v>2015</v>
      </c>
      <c r="F1127" s="5">
        <f ca="1">LOOKUP($E1127,frequence!$A$2:$A$35,frequence!L$2:L$35)</f>
        <v>59.915964498406019</v>
      </c>
      <c r="G1127" s="5">
        <f ca="1">LOOKUP($E1127,frequence!$A$2:$A$35,frequence!K$2:K$35)</f>
        <v>12.697082100333608</v>
      </c>
      <c r="H1127" s="5">
        <f ca="1">LOOKUP($E1127,frequence!$A$2:$A$35,frequence!M$2:M$35)</f>
        <v>262.07305844619424</v>
      </c>
      <c r="I1127" s="16">
        <v>2005</v>
      </c>
      <c r="J1127" s="7">
        <f>LOOKUP(I1127,CPI!A$69:A$103,CPI!O$69:O$103)</f>
        <v>1.1165181771633383</v>
      </c>
      <c r="K1127" s="16">
        <v>2015</v>
      </c>
      <c r="L1127" s="7">
        <f t="shared" ca="1" si="954"/>
        <v>1</v>
      </c>
      <c r="M1127" s="7">
        <f t="shared" si="933"/>
        <v>8.461538461538462E-2</v>
      </c>
      <c r="N1127" s="14">
        <f>1/65</f>
        <v>1.5384615384615385E-2</v>
      </c>
      <c r="O1127" s="1">
        <f ca="1">P1127*J1127*(1+Growth!G$6)^(2010-K1127)</f>
        <v>32.159303245521834</v>
      </c>
      <c r="P1127" s="25">
        <f t="shared" ref="P1127:P1144" si="1008">Q1127</f>
        <v>31.048016325741283</v>
      </c>
      <c r="Q1127" s="1">
        <f>44/12*8.46764081611126</f>
        <v>31.048016325741283</v>
      </c>
      <c r="R1127" s="21">
        <f t="shared" ca="1" si="988"/>
        <v>1034.2207852374311</v>
      </c>
      <c r="U1127" s="11"/>
      <c r="V1127" s="11"/>
      <c r="W1127" s="11"/>
      <c r="X1127" s="11"/>
      <c r="Y1127" s="11"/>
      <c r="Z1127" s="11"/>
      <c r="AA1127" s="11"/>
      <c r="AB1127" s="11"/>
      <c r="AC1127" s="1">
        <f t="shared" ref="AC1127:AC1144" si="1009">SUM(AD1127:AI1127)</f>
        <v>5.5</v>
      </c>
      <c r="AD1127" s="5">
        <v>0</v>
      </c>
      <c r="AE1127" s="5">
        <v>0</v>
      </c>
      <c r="AF1127" s="5">
        <v>1</v>
      </c>
      <c r="AG1127" s="5">
        <v>0</v>
      </c>
      <c r="AH1127" s="5">
        <v>1</v>
      </c>
      <c r="AI1127" s="3">
        <f t="shared" ref="AI1127:AI1144" si="1010">(E1127-1980)/10</f>
        <v>3.5</v>
      </c>
      <c r="AJ1127" s="5">
        <f t="shared" si="977"/>
        <v>0</v>
      </c>
      <c r="AK1127" s="5">
        <f t="shared" si="959"/>
        <v>0</v>
      </c>
      <c r="AL1127" s="5">
        <f t="shared" si="960"/>
        <v>1</v>
      </c>
      <c r="AM1127" s="5">
        <f t="shared" si="980"/>
        <v>0</v>
      </c>
      <c r="AN1127" s="5">
        <f t="shared" si="961"/>
        <v>0</v>
      </c>
      <c r="AO1127" s="5">
        <f t="shared" si="981"/>
        <v>0</v>
      </c>
      <c r="AP1127" s="11" t="s">
        <v>42</v>
      </c>
      <c r="AQ1127" s="11">
        <v>1.5</v>
      </c>
      <c r="AR1127" s="5">
        <v>0</v>
      </c>
      <c r="AS1127" s="5">
        <v>0</v>
      </c>
      <c r="AT1127" s="5">
        <v>1</v>
      </c>
      <c r="AU1127" s="5">
        <v>0</v>
      </c>
      <c r="AV1127" s="5">
        <v>0</v>
      </c>
      <c r="AW1127" s="5">
        <v>0</v>
      </c>
      <c r="AX1127" s="5">
        <v>1</v>
      </c>
      <c r="AY1127" s="1">
        <f t="shared" si="1004"/>
        <v>0</v>
      </c>
      <c r="AZ1127" s="1">
        <f t="shared" si="1005"/>
        <v>0</v>
      </c>
      <c r="BA1127" s="1">
        <f t="shared" si="1006"/>
        <v>0</v>
      </c>
      <c r="BB1127" s="5">
        <v>0</v>
      </c>
      <c r="BC1127" s="5">
        <v>1</v>
      </c>
      <c r="BD1127" s="5">
        <v>0</v>
      </c>
      <c r="BE1127" s="5">
        <f t="shared" si="1007"/>
        <v>0</v>
      </c>
      <c r="BF1127" s="5">
        <v>1</v>
      </c>
      <c r="BG1127" s="5">
        <f t="shared" si="1001"/>
        <v>0</v>
      </c>
      <c r="BH1127" s="5">
        <f t="shared" si="1001"/>
        <v>0</v>
      </c>
      <c r="BI1127" s="5">
        <f t="shared" si="1001"/>
        <v>0</v>
      </c>
      <c r="BJ1127" s="5">
        <f t="shared" si="1001"/>
        <v>0</v>
      </c>
      <c r="BK1127" s="5">
        <f t="shared" si="1001"/>
        <v>0</v>
      </c>
      <c r="BL1127" s="5">
        <f t="shared" si="1001"/>
        <v>0</v>
      </c>
      <c r="BM1127" s="5">
        <f t="shared" si="1001"/>
        <v>0</v>
      </c>
      <c r="BN1127" s="5">
        <f t="shared" si="1000"/>
        <v>0</v>
      </c>
      <c r="BO1127" s="5">
        <f t="shared" si="1000"/>
        <v>0</v>
      </c>
      <c r="BP1127" s="5">
        <f t="shared" si="1000"/>
        <v>0</v>
      </c>
      <c r="BQ1127" s="5">
        <f t="shared" si="1000"/>
        <v>0</v>
      </c>
      <c r="BR1127" s="5">
        <f t="shared" si="1000"/>
        <v>0</v>
      </c>
      <c r="BS1127" s="5">
        <f t="shared" si="1000"/>
        <v>0</v>
      </c>
      <c r="BT1127" s="5">
        <f t="shared" si="1000"/>
        <v>0</v>
      </c>
      <c r="BU1127" s="5">
        <f t="shared" si="1000"/>
        <v>0</v>
      </c>
      <c r="BV1127" s="5">
        <f t="shared" si="1000"/>
        <v>0</v>
      </c>
      <c r="BW1127" s="5">
        <f t="shared" si="1000"/>
        <v>0</v>
      </c>
      <c r="BX1127" s="5">
        <f t="shared" si="1000"/>
        <v>0</v>
      </c>
      <c r="BY1127" s="5">
        <f t="shared" si="1000"/>
        <v>0</v>
      </c>
      <c r="BZ1127" s="5">
        <f t="shared" si="1000"/>
        <v>0</v>
      </c>
      <c r="CA1127" s="5">
        <f t="shared" si="1000"/>
        <v>0</v>
      </c>
      <c r="CB1127" s="5">
        <f t="shared" si="1000"/>
        <v>0</v>
      </c>
      <c r="CC1127" s="5">
        <f t="shared" ref="CC1127:CE1146" si="1011">IF($E1127=CC$2,1,0)</f>
        <v>0</v>
      </c>
      <c r="CD1127" s="5">
        <f t="shared" si="1011"/>
        <v>0</v>
      </c>
      <c r="CE1127" s="5">
        <f t="shared" si="1011"/>
        <v>1</v>
      </c>
    </row>
    <row r="1128" spans="1:83" x14ac:dyDescent="0.2">
      <c r="A1128" s="11"/>
      <c r="B1128" s="11"/>
      <c r="C1128" s="1">
        <f>Growth!D1133</f>
        <v>4.6153846153846156E-2</v>
      </c>
      <c r="D1128" s="5" t="b">
        <f t="shared" si="1002"/>
        <v>0</v>
      </c>
      <c r="E1128" s="5">
        <v>2015</v>
      </c>
      <c r="F1128" s="5">
        <f ca="1">LOOKUP($E1128,frequence!$A$2:$A$35,frequence!L$2:L$35)</f>
        <v>59.915964498406019</v>
      </c>
      <c r="G1128" s="5">
        <f ca="1">LOOKUP($E1128,frequence!$A$2:$A$35,frequence!K$2:K$35)</f>
        <v>12.697082100333608</v>
      </c>
      <c r="H1128" s="5">
        <f ca="1">LOOKUP($E1128,frequence!$A$2:$A$35,frequence!M$2:M$35)</f>
        <v>262.07305844619424</v>
      </c>
      <c r="I1128" s="16">
        <v>2005</v>
      </c>
      <c r="J1128" s="7">
        <f>LOOKUP(I1128,CPI!A$69:A$103,CPI!O$69:O$103)</f>
        <v>1.1165181771633383</v>
      </c>
      <c r="K1128" s="16">
        <v>2015</v>
      </c>
      <c r="L1128" s="7">
        <f t="shared" ca="1" si="954"/>
        <v>1</v>
      </c>
      <c r="M1128" s="7">
        <f t="shared" si="933"/>
        <v>0.25384615384615383</v>
      </c>
      <c r="N1128" s="14">
        <f>3/65</f>
        <v>4.6153846153846156E-2</v>
      </c>
      <c r="O1128" s="1">
        <f ca="1">P1128*J1128*(1+Growth!G$6)^(2010-K1128)</f>
        <v>36.03790474920428</v>
      </c>
      <c r="P1128" s="25">
        <f t="shared" si="1008"/>
        <v>34.792590077479701</v>
      </c>
      <c r="Q1128" s="1">
        <f>44/12*9.48888820294901</f>
        <v>34.792590077479701</v>
      </c>
      <c r="R1128" s="21">
        <f t="shared" ca="1" si="988"/>
        <v>1298.7305787127204</v>
      </c>
      <c r="U1128" s="11"/>
      <c r="V1128" s="11"/>
      <c r="W1128" s="11"/>
      <c r="X1128" s="11"/>
      <c r="Y1128" s="11"/>
      <c r="Z1128" s="11"/>
      <c r="AA1128" s="11"/>
      <c r="AB1128" s="11"/>
      <c r="AC1128" s="1">
        <f t="shared" si="1009"/>
        <v>5.5</v>
      </c>
      <c r="AD1128" s="5">
        <v>0</v>
      </c>
      <c r="AE1128" s="5">
        <v>0</v>
      </c>
      <c r="AF1128" s="5">
        <v>1</v>
      </c>
      <c r="AG1128" s="5">
        <v>0</v>
      </c>
      <c r="AH1128" s="5">
        <v>1</v>
      </c>
      <c r="AI1128" s="3">
        <f t="shared" si="1010"/>
        <v>3.5</v>
      </c>
      <c r="AJ1128" s="5">
        <f t="shared" si="977"/>
        <v>0</v>
      </c>
      <c r="AK1128" s="5">
        <f t="shared" si="959"/>
        <v>0</v>
      </c>
      <c r="AL1128" s="5">
        <f t="shared" si="960"/>
        <v>1</v>
      </c>
      <c r="AM1128" s="5">
        <f t="shared" si="980"/>
        <v>0</v>
      </c>
      <c r="AN1128" s="5">
        <f t="shared" si="961"/>
        <v>0</v>
      </c>
      <c r="AO1128" s="5">
        <f t="shared" si="981"/>
        <v>0</v>
      </c>
      <c r="AP1128" s="11" t="s">
        <v>42</v>
      </c>
      <c r="AQ1128" s="11">
        <v>1.5</v>
      </c>
      <c r="AR1128" s="5">
        <v>0</v>
      </c>
      <c r="AS1128" s="5">
        <v>0</v>
      </c>
      <c r="AT1128" s="5">
        <v>1</v>
      </c>
      <c r="AU1128" s="5">
        <v>0</v>
      </c>
      <c r="AV1128" s="5">
        <v>0</v>
      </c>
      <c r="AW1128" s="5">
        <v>0</v>
      </c>
      <c r="AX1128" s="5">
        <v>1</v>
      </c>
      <c r="AY1128" s="1">
        <f t="shared" si="1004"/>
        <v>0</v>
      </c>
      <c r="AZ1128" s="1">
        <f t="shared" si="1005"/>
        <v>0</v>
      </c>
      <c r="BA1128" s="1">
        <f t="shared" si="1006"/>
        <v>0</v>
      </c>
      <c r="BB1128" s="5">
        <v>0</v>
      </c>
      <c r="BC1128" s="5">
        <v>1</v>
      </c>
      <c r="BD1128" s="5">
        <v>0</v>
      </c>
      <c r="BE1128" s="5">
        <f t="shared" si="1007"/>
        <v>0</v>
      </c>
      <c r="BF1128" s="5">
        <v>1</v>
      </c>
      <c r="BG1128" s="5">
        <f t="shared" si="1001"/>
        <v>0</v>
      </c>
      <c r="BH1128" s="5">
        <f t="shared" si="1001"/>
        <v>0</v>
      </c>
      <c r="BI1128" s="5">
        <f t="shared" si="1001"/>
        <v>0</v>
      </c>
      <c r="BJ1128" s="5">
        <f t="shared" si="1001"/>
        <v>0</v>
      </c>
      <c r="BK1128" s="5">
        <f t="shared" si="1001"/>
        <v>0</v>
      </c>
      <c r="BL1128" s="5">
        <f t="shared" si="1001"/>
        <v>0</v>
      </c>
      <c r="BM1128" s="5">
        <f t="shared" si="1001"/>
        <v>0</v>
      </c>
      <c r="BN1128" s="5">
        <f t="shared" si="1000"/>
        <v>0</v>
      </c>
      <c r="BO1128" s="5">
        <f t="shared" si="1000"/>
        <v>0</v>
      </c>
      <c r="BP1128" s="5">
        <f t="shared" si="1000"/>
        <v>0</v>
      </c>
      <c r="BQ1128" s="5">
        <f t="shared" si="1000"/>
        <v>0</v>
      </c>
      <c r="BR1128" s="5">
        <f t="shared" si="1000"/>
        <v>0</v>
      </c>
      <c r="BS1128" s="5">
        <f t="shared" si="1000"/>
        <v>0</v>
      </c>
      <c r="BT1128" s="5">
        <f t="shared" si="1000"/>
        <v>0</v>
      </c>
      <c r="BU1128" s="5">
        <f t="shared" si="1000"/>
        <v>0</v>
      </c>
      <c r="BV1128" s="5">
        <f t="shared" si="1000"/>
        <v>0</v>
      </c>
      <c r="BW1128" s="5">
        <f t="shared" si="1000"/>
        <v>0</v>
      </c>
      <c r="BX1128" s="5">
        <f t="shared" si="1000"/>
        <v>0</v>
      </c>
      <c r="BY1128" s="5">
        <f t="shared" si="1000"/>
        <v>0</v>
      </c>
      <c r="BZ1128" s="5">
        <f t="shared" si="1000"/>
        <v>0</v>
      </c>
      <c r="CA1128" s="5">
        <f t="shared" si="1000"/>
        <v>0</v>
      </c>
      <c r="CB1128" s="5">
        <f t="shared" si="1000"/>
        <v>0</v>
      </c>
      <c r="CC1128" s="5">
        <f t="shared" si="1011"/>
        <v>0</v>
      </c>
      <c r="CD1128" s="5">
        <f t="shared" si="1011"/>
        <v>0</v>
      </c>
      <c r="CE1128" s="5">
        <f t="shared" si="1011"/>
        <v>1</v>
      </c>
    </row>
    <row r="1129" spans="1:83" x14ac:dyDescent="0.2">
      <c r="A1129" s="11"/>
      <c r="B1129" s="11"/>
      <c r="C1129" s="1">
        <f>Growth!D1134</f>
        <v>6.1538461538461542E-2</v>
      </c>
      <c r="D1129" s="5" t="b">
        <f t="shared" si="1002"/>
        <v>0</v>
      </c>
      <c r="E1129" s="5">
        <v>2015</v>
      </c>
      <c r="F1129" s="5">
        <f ca="1">LOOKUP($E1129,frequence!$A$2:$A$35,frequence!L$2:L$35)</f>
        <v>59.915964498406019</v>
      </c>
      <c r="G1129" s="5">
        <f ca="1">LOOKUP($E1129,frequence!$A$2:$A$35,frequence!K$2:K$35)</f>
        <v>12.697082100333608</v>
      </c>
      <c r="H1129" s="5">
        <f ca="1">LOOKUP($E1129,frequence!$A$2:$A$35,frequence!M$2:M$35)</f>
        <v>262.07305844619424</v>
      </c>
      <c r="I1129" s="16">
        <v>2005</v>
      </c>
      <c r="J1129" s="7">
        <f>LOOKUP(I1129,CPI!A$69:A$103,CPI!O$69:O$103)</f>
        <v>1.1165181771633383</v>
      </c>
      <c r="K1129" s="16">
        <v>2015</v>
      </c>
      <c r="L1129" s="7">
        <f t="shared" ca="1" si="954"/>
        <v>1</v>
      </c>
      <c r="M1129" s="7">
        <f t="shared" si="933"/>
        <v>0.33846153846153848</v>
      </c>
      <c r="N1129" s="14">
        <f>4/65</f>
        <v>6.1538461538461542E-2</v>
      </c>
      <c r="O1129" s="1">
        <f ca="1">P1129*J1129*(1+Growth!G$6)^(2010-K1129)</f>
        <v>45.03305091810256</v>
      </c>
      <c r="P1129" s="25">
        <f t="shared" si="1008"/>
        <v>43.476902762123231</v>
      </c>
      <c r="Q1129" s="1">
        <f>44/12*11.8573371169427</f>
        <v>43.476902762123231</v>
      </c>
      <c r="R1129" s="21">
        <f t="shared" ca="1" si="988"/>
        <v>2027.9756749924179</v>
      </c>
      <c r="U1129" s="11"/>
      <c r="V1129" s="11"/>
      <c r="W1129" s="11"/>
      <c r="X1129" s="11"/>
      <c r="Y1129" s="11"/>
      <c r="Z1129" s="11"/>
      <c r="AA1129" s="11"/>
      <c r="AB1129" s="11"/>
      <c r="AC1129" s="1">
        <f t="shared" si="1009"/>
        <v>5.5</v>
      </c>
      <c r="AD1129" s="5">
        <v>0</v>
      </c>
      <c r="AE1129" s="5">
        <v>0</v>
      </c>
      <c r="AF1129" s="5">
        <v>1</v>
      </c>
      <c r="AG1129" s="5">
        <v>0</v>
      </c>
      <c r="AH1129" s="5">
        <v>1</v>
      </c>
      <c r="AI1129" s="3">
        <f t="shared" si="1010"/>
        <v>3.5</v>
      </c>
      <c r="AJ1129" s="5">
        <f t="shared" si="977"/>
        <v>0</v>
      </c>
      <c r="AK1129" s="5">
        <f t="shared" si="959"/>
        <v>0</v>
      </c>
      <c r="AL1129" s="5">
        <f t="shared" si="960"/>
        <v>1</v>
      </c>
      <c r="AM1129" s="5">
        <f t="shared" si="980"/>
        <v>0</v>
      </c>
      <c r="AN1129" s="5">
        <f t="shared" si="961"/>
        <v>0</v>
      </c>
      <c r="AO1129" s="5">
        <f t="shared" si="981"/>
        <v>0</v>
      </c>
      <c r="AP1129" s="11" t="s">
        <v>42</v>
      </c>
      <c r="AQ1129" s="11">
        <v>1.5</v>
      </c>
      <c r="AR1129" s="5">
        <v>0</v>
      </c>
      <c r="AS1129" s="5">
        <v>0</v>
      </c>
      <c r="AT1129" s="5">
        <v>1</v>
      </c>
      <c r="AU1129" s="5">
        <v>0</v>
      </c>
      <c r="AV1129" s="5">
        <v>0</v>
      </c>
      <c r="AW1129" s="5">
        <v>0</v>
      </c>
      <c r="AX1129" s="5">
        <v>1</v>
      </c>
      <c r="AY1129" s="1">
        <f t="shared" si="1004"/>
        <v>0</v>
      </c>
      <c r="AZ1129" s="1">
        <f t="shared" si="1005"/>
        <v>0</v>
      </c>
      <c r="BA1129" s="1">
        <f t="shared" si="1006"/>
        <v>0</v>
      </c>
      <c r="BB1129" s="5">
        <v>0</v>
      </c>
      <c r="BC1129" s="5">
        <v>1</v>
      </c>
      <c r="BD1129" s="5">
        <v>0</v>
      </c>
      <c r="BE1129" s="5">
        <f t="shared" si="1007"/>
        <v>0</v>
      </c>
      <c r="BF1129" s="5">
        <v>1</v>
      </c>
      <c r="BG1129" s="5">
        <f t="shared" si="1001"/>
        <v>0</v>
      </c>
      <c r="BH1129" s="5">
        <f t="shared" si="1001"/>
        <v>0</v>
      </c>
      <c r="BI1129" s="5">
        <f t="shared" si="1001"/>
        <v>0</v>
      </c>
      <c r="BJ1129" s="5">
        <f t="shared" si="1001"/>
        <v>0</v>
      </c>
      <c r="BK1129" s="5">
        <f t="shared" si="1001"/>
        <v>0</v>
      </c>
      <c r="BL1129" s="5">
        <f t="shared" si="1001"/>
        <v>0</v>
      </c>
      <c r="BM1129" s="5">
        <f t="shared" si="1001"/>
        <v>0</v>
      </c>
      <c r="BN1129" s="5">
        <f t="shared" si="1000"/>
        <v>0</v>
      </c>
      <c r="BO1129" s="5">
        <f t="shared" si="1000"/>
        <v>0</v>
      </c>
      <c r="BP1129" s="5">
        <f t="shared" si="1000"/>
        <v>0</v>
      </c>
      <c r="BQ1129" s="5">
        <f t="shared" si="1000"/>
        <v>0</v>
      </c>
      <c r="BR1129" s="5">
        <f t="shared" si="1000"/>
        <v>0</v>
      </c>
      <c r="BS1129" s="5">
        <f t="shared" si="1000"/>
        <v>0</v>
      </c>
      <c r="BT1129" s="5">
        <f t="shared" si="1000"/>
        <v>0</v>
      </c>
      <c r="BU1129" s="5">
        <f t="shared" si="1000"/>
        <v>0</v>
      </c>
      <c r="BV1129" s="5">
        <f t="shared" si="1000"/>
        <v>0</v>
      </c>
      <c r="BW1129" s="5">
        <f t="shared" si="1000"/>
        <v>0</v>
      </c>
      <c r="BX1129" s="5">
        <f t="shared" si="1000"/>
        <v>0</v>
      </c>
      <c r="BY1129" s="5">
        <f t="shared" si="1000"/>
        <v>0</v>
      </c>
      <c r="BZ1129" s="5">
        <f t="shared" si="1000"/>
        <v>0</v>
      </c>
      <c r="CA1129" s="5">
        <f t="shared" si="1000"/>
        <v>0</v>
      </c>
      <c r="CB1129" s="5">
        <f t="shared" si="1000"/>
        <v>0</v>
      </c>
      <c r="CC1129" s="5">
        <f t="shared" si="1011"/>
        <v>0</v>
      </c>
      <c r="CD1129" s="5">
        <f t="shared" si="1011"/>
        <v>0</v>
      </c>
      <c r="CE1129" s="5">
        <f t="shared" si="1011"/>
        <v>1</v>
      </c>
    </row>
    <row r="1130" spans="1:83" x14ac:dyDescent="0.2">
      <c r="A1130" s="11"/>
      <c r="B1130" s="11"/>
      <c r="C1130" s="1">
        <f>Growth!D1135</f>
        <v>7.6923076923076927E-2</v>
      </c>
      <c r="D1130" s="5" t="b">
        <f t="shared" si="1002"/>
        <v>0</v>
      </c>
      <c r="E1130" s="5">
        <v>2015</v>
      </c>
      <c r="F1130" s="5">
        <f ca="1">LOOKUP($E1130,frequence!$A$2:$A$35,frequence!L$2:L$35)</f>
        <v>59.915964498406019</v>
      </c>
      <c r="G1130" s="5">
        <f ca="1">LOOKUP($E1130,frequence!$A$2:$A$35,frequence!K$2:K$35)</f>
        <v>12.697082100333608</v>
      </c>
      <c r="H1130" s="5">
        <f ca="1">LOOKUP($E1130,frequence!$A$2:$A$35,frequence!M$2:M$35)</f>
        <v>262.07305844619424</v>
      </c>
      <c r="I1130" s="16">
        <v>2005</v>
      </c>
      <c r="J1130" s="7">
        <f>LOOKUP(I1130,CPI!A$69:A$103,CPI!O$69:O$103)</f>
        <v>1.1165181771633383</v>
      </c>
      <c r="K1130" s="16">
        <v>2015</v>
      </c>
      <c r="L1130" s="7">
        <f t="shared" ca="1" si="954"/>
        <v>1</v>
      </c>
      <c r="M1130" s="7">
        <f t="shared" si="933"/>
        <v>0.42307692307692313</v>
      </c>
      <c r="N1130" s="14">
        <f>5/65</f>
        <v>7.6923076923076927E-2</v>
      </c>
      <c r="O1130" s="1">
        <f ca="1">P1130*J1130*(1+Growth!G$6)^(2010-K1130)</f>
        <v>64.106427612455406</v>
      </c>
      <c r="P1130" s="25">
        <f t="shared" si="1008"/>
        <v>61.891185760488334</v>
      </c>
      <c r="Q1130" s="1">
        <f>44/12*16.879414298315</f>
        <v>61.891185760488334</v>
      </c>
      <c r="R1130" s="21">
        <f t="shared" ca="1" si="988"/>
        <v>4109.634061230985</v>
      </c>
      <c r="U1130" s="11"/>
      <c r="V1130" s="11"/>
      <c r="W1130" s="11"/>
      <c r="X1130" s="11"/>
      <c r="Y1130" s="11"/>
      <c r="Z1130" s="11"/>
      <c r="AA1130" s="11"/>
      <c r="AB1130" s="11"/>
      <c r="AC1130" s="1">
        <f t="shared" si="1009"/>
        <v>5.5</v>
      </c>
      <c r="AD1130" s="5">
        <v>0</v>
      </c>
      <c r="AE1130" s="5">
        <v>0</v>
      </c>
      <c r="AF1130" s="5">
        <v>1</v>
      </c>
      <c r="AG1130" s="5">
        <v>0</v>
      </c>
      <c r="AH1130" s="5">
        <v>1</v>
      </c>
      <c r="AI1130" s="3">
        <f t="shared" si="1010"/>
        <v>3.5</v>
      </c>
      <c r="AJ1130" s="5">
        <f t="shared" si="977"/>
        <v>0</v>
      </c>
      <c r="AK1130" s="5">
        <f t="shared" si="959"/>
        <v>0</v>
      </c>
      <c r="AL1130" s="5">
        <f t="shared" si="960"/>
        <v>1</v>
      </c>
      <c r="AM1130" s="5">
        <f t="shared" si="980"/>
        <v>0</v>
      </c>
      <c r="AN1130" s="5">
        <f t="shared" si="961"/>
        <v>0</v>
      </c>
      <c r="AO1130" s="5">
        <f t="shared" si="981"/>
        <v>0</v>
      </c>
      <c r="AP1130" s="11" t="s">
        <v>42</v>
      </c>
      <c r="AQ1130" s="11">
        <v>1.5</v>
      </c>
      <c r="AR1130" s="5">
        <v>0</v>
      </c>
      <c r="AS1130" s="5">
        <v>0</v>
      </c>
      <c r="AT1130" s="5">
        <v>1</v>
      </c>
      <c r="AU1130" s="5">
        <v>0</v>
      </c>
      <c r="AV1130" s="5">
        <v>0</v>
      </c>
      <c r="AW1130" s="5">
        <v>0</v>
      </c>
      <c r="AX1130" s="5">
        <v>1</v>
      </c>
      <c r="AY1130" s="1">
        <f t="shared" si="1004"/>
        <v>0</v>
      </c>
      <c r="AZ1130" s="1">
        <f t="shared" si="1005"/>
        <v>0</v>
      </c>
      <c r="BA1130" s="1">
        <f t="shared" si="1006"/>
        <v>0</v>
      </c>
      <c r="BB1130" s="5">
        <v>0</v>
      </c>
      <c r="BC1130" s="5">
        <v>1</v>
      </c>
      <c r="BD1130" s="5">
        <v>0</v>
      </c>
      <c r="BE1130" s="5">
        <f t="shared" si="1007"/>
        <v>0</v>
      </c>
      <c r="BF1130" s="5">
        <v>1</v>
      </c>
      <c r="BG1130" s="5">
        <f t="shared" si="1001"/>
        <v>0</v>
      </c>
      <c r="BH1130" s="5">
        <f t="shared" si="1001"/>
        <v>0</v>
      </c>
      <c r="BI1130" s="5">
        <f t="shared" si="1001"/>
        <v>0</v>
      </c>
      <c r="BJ1130" s="5">
        <f t="shared" si="1001"/>
        <v>0</v>
      </c>
      <c r="BK1130" s="5">
        <f t="shared" si="1001"/>
        <v>0</v>
      </c>
      <c r="BL1130" s="5">
        <f t="shared" si="1001"/>
        <v>0</v>
      </c>
      <c r="BM1130" s="5">
        <f t="shared" si="1001"/>
        <v>0</v>
      </c>
      <c r="BN1130" s="5">
        <f t="shared" si="1000"/>
        <v>0</v>
      </c>
      <c r="BO1130" s="5">
        <f t="shared" si="1000"/>
        <v>0</v>
      </c>
      <c r="BP1130" s="5">
        <f t="shared" si="1000"/>
        <v>0</v>
      </c>
      <c r="BQ1130" s="5">
        <f t="shared" si="1000"/>
        <v>0</v>
      </c>
      <c r="BR1130" s="5">
        <f t="shared" si="1000"/>
        <v>0</v>
      </c>
      <c r="BS1130" s="5">
        <f t="shared" si="1000"/>
        <v>0</v>
      </c>
      <c r="BT1130" s="5">
        <f t="shared" si="1000"/>
        <v>0</v>
      </c>
      <c r="BU1130" s="5">
        <f t="shared" si="1000"/>
        <v>0</v>
      </c>
      <c r="BV1130" s="5">
        <f t="shared" si="1000"/>
        <v>0</v>
      </c>
      <c r="BW1130" s="5">
        <f t="shared" si="1000"/>
        <v>0</v>
      </c>
      <c r="BX1130" s="5">
        <f t="shared" si="1000"/>
        <v>0</v>
      </c>
      <c r="BY1130" s="5">
        <f t="shared" si="1000"/>
        <v>0</v>
      </c>
      <c r="BZ1130" s="5">
        <f t="shared" si="1000"/>
        <v>0</v>
      </c>
      <c r="CA1130" s="5">
        <f t="shared" si="1000"/>
        <v>0</v>
      </c>
      <c r="CB1130" s="5">
        <f t="shared" si="1000"/>
        <v>0</v>
      </c>
      <c r="CC1130" s="5">
        <f t="shared" si="1011"/>
        <v>0</v>
      </c>
      <c r="CD1130" s="5">
        <f t="shared" si="1011"/>
        <v>0</v>
      </c>
      <c r="CE1130" s="5">
        <f t="shared" si="1011"/>
        <v>1</v>
      </c>
    </row>
    <row r="1131" spans="1:83" x14ac:dyDescent="0.2">
      <c r="A1131" s="11"/>
      <c r="B1131" s="11"/>
      <c r="C1131" s="1">
        <f>Growth!D1136</f>
        <v>9.2307692307692313E-2</v>
      </c>
      <c r="D1131" s="5" t="b">
        <f t="shared" si="1002"/>
        <v>0</v>
      </c>
      <c r="E1131" s="5">
        <v>2015</v>
      </c>
      <c r="F1131" s="5">
        <f ca="1">LOOKUP($E1131,frequence!$A$2:$A$35,frequence!L$2:L$35)</f>
        <v>59.915964498406019</v>
      </c>
      <c r="G1131" s="5">
        <f ca="1">LOOKUP($E1131,frequence!$A$2:$A$35,frequence!K$2:K$35)</f>
        <v>12.697082100333608</v>
      </c>
      <c r="H1131" s="5">
        <f ca="1">LOOKUP($E1131,frequence!$A$2:$A$35,frequence!M$2:M$35)</f>
        <v>262.07305844619424</v>
      </c>
      <c r="I1131" s="16">
        <v>2005</v>
      </c>
      <c r="J1131" s="7">
        <f>LOOKUP(I1131,CPI!A$69:A$103,CPI!O$69:O$103)</f>
        <v>1.1165181771633383</v>
      </c>
      <c r="K1131" s="16">
        <v>2015</v>
      </c>
      <c r="L1131" s="7">
        <f t="shared" ca="1" si="954"/>
        <v>1</v>
      </c>
      <c r="M1131" s="7">
        <f t="shared" si="933"/>
        <v>0.50769230769230766</v>
      </c>
      <c r="N1131" s="14">
        <f>6/65</f>
        <v>9.2307692307692313E-2</v>
      </c>
      <c r="O1131" s="1">
        <f ca="1">P1131*J1131*(1+Growth!G$6)^(2010-K1131)</f>
        <v>93.482126523244034</v>
      </c>
      <c r="P1131" s="25">
        <f t="shared" si="1008"/>
        <v>90.251787120507828</v>
      </c>
      <c r="Q1131" s="1">
        <f>44/12*24.6141237601385</f>
        <v>90.251787120507828</v>
      </c>
      <c r="R1131" s="21">
        <f t="shared" ca="1" si="988"/>
        <v>8738.9079793078054</v>
      </c>
      <c r="U1131" s="11"/>
      <c r="V1131" s="11"/>
      <c r="W1131" s="11"/>
      <c r="X1131" s="11"/>
      <c r="Y1131" s="11"/>
      <c r="Z1131" s="11"/>
      <c r="AA1131" s="11"/>
      <c r="AB1131" s="11"/>
      <c r="AC1131" s="1">
        <f t="shared" si="1009"/>
        <v>5.5</v>
      </c>
      <c r="AD1131" s="5">
        <v>0</v>
      </c>
      <c r="AE1131" s="5">
        <v>0</v>
      </c>
      <c r="AF1131" s="5">
        <v>1</v>
      </c>
      <c r="AG1131" s="5">
        <v>0</v>
      </c>
      <c r="AH1131" s="5">
        <v>1</v>
      </c>
      <c r="AI1131" s="3">
        <f t="shared" si="1010"/>
        <v>3.5</v>
      </c>
      <c r="AJ1131" s="5">
        <f t="shared" si="977"/>
        <v>0</v>
      </c>
      <c r="AK1131" s="5">
        <f t="shared" si="959"/>
        <v>0</v>
      </c>
      <c r="AL1131" s="5">
        <f t="shared" si="960"/>
        <v>1</v>
      </c>
      <c r="AM1131" s="5">
        <f t="shared" si="980"/>
        <v>0</v>
      </c>
      <c r="AN1131" s="5">
        <f t="shared" si="961"/>
        <v>0</v>
      </c>
      <c r="AO1131" s="5">
        <f t="shared" si="981"/>
        <v>0</v>
      </c>
      <c r="AP1131" s="11" t="s">
        <v>42</v>
      </c>
      <c r="AQ1131" s="11">
        <v>1.5</v>
      </c>
      <c r="AR1131" s="5">
        <v>0</v>
      </c>
      <c r="AS1131" s="5">
        <v>0</v>
      </c>
      <c r="AT1131" s="5">
        <v>1</v>
      </c>
      <c r="AU1131" s="5">
        <v>0</v>
      </c>
      <c r="AV1131" s="5">
        <v>0</v>
      </c>
      <c r="AW1131" s="5">
        <v>0</v>
      </c>
      <c r="AX1131" s="5">
        <v>1</v>
      </c>
      <c r="AY1131" s="1">
        <f t="shared" si="1004"/>
        <v>0</v>
      </c>
      <c r="AZ1131" s="1">
        <f t="shared" si="1005"/>
        <v>0</v>
      </c>
      <c r="BA1131" s="1">
        <f t="shared" si="1006"/>
        <v>0</v>
      </c>
      <c r="BB1131" s="5">
        <v>0</v>
      </c>
      <c r="BC1131" s="5">
        <v>1</v>
      </c>
      <c r="BD1131" s="5">
        <v>0</v>
      </c>
      <c r="BE1131" s="5">
        <f t="shared" si="1007"/>
        <v>0</v>
      </c>
      <c r="BF1131" s="5">
        <v>1</v>
      </c>
      <c r="BG1131" s="5">
        <f t="shared" si="1001"/>
        <v>0</v>
      </c>
      <c r="BH1131" s="5">
        <f t="shared" si="1001"/>
        <v>0</v>
      </c>
      <c r="BI1131" s="5">
        <f t="shared" si="1001"/>
        <v>0</v>
      </c>
      <c r="BJ1131" s="5">
        <f t="shared" si="1001"/>
        <v>0</v>
      </c>
      <c r="BK1131" s="5">
        <f t="shared" si="1001"/>
        <v>0</v>
      </c>
      <c r="BL1131" s="5">
        <f t="shared" si="1001"/>
        <v>0</v>
      </c>
      <c r="BM1131" s="5">
        <f t="shared" si="1001"/>
        <v>0</v>
      </c>
      <c r="BN1131" s="5">
        <f t="shared" si="1000"/>
        <v>0</v>
      </c>
      <c r="BO1131" s="5">
        <f t="shared" si="1000"/>
        <v>0</v>
      </c>
      <c r="BP1131" s="5">
        <f t="shared" si="1000"/>
        <v>0</v>
      </c>
      <c r="BQ1131" s="5">
        <f t="shared" si="1000"/>
        <v>0</v>
      </c>
      <c r="BR1131" s="5">
        <f t="shared" si="1000"/>
        <v>0</v>
      </c>
      <c r="BS1131" s="5">
        <f t="shared" si="1000"/>
        <v>0</v>
      </c>
      <c r="BT1131" s="5">
        <f t="shared" si="1000"/>
        <v>0</v>
      </c>
      <c r="BU1131" s="5">
        <f t="shared" si="1000"/>
        <v>0</v>
      </c>
      <c r="BV1131" s="5">
        <f t="shared" si="1000"/>
        <v>0</v>
      </c>
      <c r="BW1131" s="5">
        <f t="shared" si="1000"/>
        <v>0</v>
      </c>
      <c r="BX1131" s="5">
        <f t="shared" si="1000"/>
        <v>0</v>
      </c>
      <c r="BY1131" s="5">
        <f t="shared" si="1000"/>
        <v>0</v>
      </c>
      <c r="BZ1131" s="5">
        <f t="shared" si="1000"/>
        <v>0</v>
      </c>
      <c r="CA1131" s="5">
        <f t="shared" si="1000"/>
        <v>0</v>
      </c>
      <c r="CB1131" s="5">
        <f t="shared" si="1000"/>
        <v>0</v>
      </c>
      <c r="CC1131" s="5">
        <f t="shared" si="1011"/>
        <v>0</v>
      </c>
      <c r="CD1131" s="5">
        <f t="shared" si="1011"/>
        <v>0</v>
      </c>
      <c r="CE1131" s="5">
        <f t="shared" si="1011"/>
        <v>1</v>
      </c>
    </row>
    <row r="1132" spans="1:83" x14ac:dyDescent="0.2">
      <c r="A1132" s="11"/>
      <c r="B1132" s="11"/>
      <c r="C1132" s="1">
        <f>Growth!D1137</f>
        <v>7.6923076923076927E-2</v>
      </c>
      <c r="D1132" s="5" t="b">
        <f t="shared" si="1002"/>
        <v>0</v>
      </c>
      <c r="E1132" s="5">
        <v>2015</v>
      </c>
      <c r="F1132" s="5">
        <f ca="1">LOOKUP($E1132,frequence!$A$2:$A$35,frequence!L$2:L$35)</f>
        <v>59.915964498406019</v>
      </c>
      <c r="G1132" s="5">
        <f ca="1">LOOKUP($E1132,frequence!$A$2:$A$35,frequence!K$2:K$35)</f>
        <v>12.697082100333608</v>
      </c>
      <c r="H1132" s="5">
        <f ca="1">LOOKUP($E1132,frequence!$A$2:$A$35,frequence!M$2:M$35)</f>
        <v>262.07305844619424</v>
      </c>
      <c r="I1132" s="16">
        <v>2005</v>
      </c>
      <c r="J1132" s="7">
        <f>LOOKUP(I1132,CPI!A$69:A$103,CPI!O$69:O$103)</f>
        <v>1.1165181771633383</v>
      </c>
      <c r="K1132" s="16">
        <v>2015</v>
      </c>
      <c r="L1132" s="7">
        <f t="shared" ca="1" si="954"/>
        <v>1</v>
      </c>
      <c r="M1132" s="7">
        <f t="shared" si="933"/>
        <v>0.42307692307692313</v>
      </c>
      <c r="N1132" s="14">
        <f>5/65</f>
        <v>7.6923076923076927E-2</v>
      </c>
      <c r="O1132" s="1">
        <f ca="1">P1132*J1132*(1+Growth!G$6)^(2010-K1132)</f>
        <v>295.90626443171953</v>
      </c>
      <c r="P1132" s="25">
        <f t="shared" si="1008"/>
        <v>285.68101923179796</v>
      </c>
      <c r="Q1132" s="1">
        <f>44/12*77.9130052450358</f>
        <v>285.68101923179796</v>
      </c>
      <c r="R1132" s="21">
        <f t="shared" ca="1" si="988"/>
        <v>87560.517329934723</v>
      </c>
      <c r="U1132" s="11"/>
      <c r="V1132" s="11"/>
      <c r="W1132" s="11"/>
      <c r="X1132" s="11"/>
      <c r="Y1132" s="11"/>
      <c r="Z1132" s="11"/>
      <c r="AA1132" s="11"/>
      <c r="AB1132" s="11"/>
      <c r="AC1132" s="1">
        <f t="shared" si="1009"/>
        <v>5.5</v>
      </c>
      <c r="AD1132" s="5">
        <v>0</v>
      </c>
      <c r="AE1132" s="5">
        <v>0</v>
      </c>
      <c r="AF1132" s="5">
        <v>1</v>
      </c>
      <c r="AG1132" s="5">
        <v>0</v>
      </c>
      <c r="AH1132" s="5">
        <v>1</v>
      </c>
      <c r="AI1132" s="3">
        <f t="shared" si="1010"/>
        <v>3.5</v>
      </c>
      <c r="AJ1132" s="5">
        <f t="shared" si="977"/>
        <v>0</v>
      </c>
      <c r="AK1132" s="5">
        <f t="shared" si="959"/>
        <v>0</v>
      </c>
      <c r="AL1132" s="5">
        <f t="shared" si="960"/>
        <v>1</v>
      </c>
      <c r="AM1132" s="5">
        <f t="shared" si="980"/>
        <v>0</v>
      </c>
      <c r="AN1132" s="5">
        <f t="shared" si="961"/>
        <v>0</v>
      </c>
      <c r="AO1132" s="5">
        <f t="shared" si="981"/>
        <v>0</v>
      </c>
      <c r="AP1132" s="11" t="s">
        <v>42</v>
      </c>
      <c r="AQ1132" s="11">
        <v>1.5</v>
      </c>
      <c r="AR1132" s="5">
        <v>0</v>
      </c>
      <c r="AS1132" s="5">
        <v>0</v>
      </c>
      <c r="AT1132" s="5">
        <v>1</v>
      </c>
      <c r="AU1132" s="5">
        <v>0</v>
      </c>
      <c r="AV1132" s="5">
        <v>0</v>
      </c>
      <c r="AW1132" s="5">
        <v>0</v>
      </c>
      <c r="AX1132" s="5">
        <v>1</v>
      </c>
      <c r="AY1132" s="1">
        <f t="shared" si="1004"/>
        <v>0</v>
      </c>
      <c r="AZ1132" s="1">
        <f t="shared" si="1005"/>
        <v>0</v>
      </c>
      <c r="BA1132" s="1">
        <f t="shared" si="1006"/>
        <v>0</v>
      </c>
      <c r="BB1132" s="5">
        <v>0</v>
      </c>
      <c r="BC1132" s="5">
        <v>1</v>
      </c>
      <c r="BD1132" s="5">
        <v>0</v>
      </c>
      <c r="BE1132" s="5">
        <f t="shared" si="1007"/>
        <v>0</v>
      </c>
      <c r="BF1132" s="5">
        <v>1</v>
      </c>
      <c r="BG1132" s="5">
        <f t="shared" si="1001"/>
        <v>0</v>
      </c>
      <c r="BH1132" s="5">
        <f t="shared" si="1001"/>
        <v>0</v>
      </c>
      <c r="BI1132" s="5">
        <f t="shared" si="1001"/>
        <v>0</v>
      </c>
      <c r="BJ1132" s="5">
        <f t="shared" si="1001"/>
        <v>0</v>
      </c>
      <c r="BK1132" s="5">
        <f t="shared" si="1001"/>
        <v>0</v>
      </c>
      <c r="BL1132" s="5">
        <f t="shared" si="1001"/>
        <v>0</v>
      </c>
      <c r="BM1132" s="5">
        <f t="shared" si="1001"/>
        <v>0</v>
      </c>
      <c r="BN1132" s="5">
        <f t="shared" si="1000"/>
        <v>0</v>
      </c>
      <c r="BO1132" s="5">
        <f t="shared" si="1000"/>
        <v>0</v>
      </c>
      <c r="BP1132" s="5">
        <f t="shared" si="1000"/>
        <v>0</v>
      </c>
      <c r="BQ1132" s="5">
        <f t="shared" si="1000"/>
        <v>0</v>
      </c>
      <c r="BR1132" s="5">
        <f t="shared" si="1000"/>
        <v>0</v>
      </c>
      <c r="BS1132" s="5">
        <f t="shared" si="1000"/>
        <v>0</v>
      </c>
      <c r="BT1132" s="5">
        <f t="shared" si="1000"/>
        <v>0</v>
      </c>
      <c r="BU1132" s="5">
        <f t="shared" si="1000"/>
        <v>0</v>
      </c>
      <c r="BV1132" s="5">
        <f t="shared" si="1000"/>
        <v>0</v>
      </c>
      <c r="BW1132" s="5">
        <f t="shared" si="1000"/>
        <v>0</v>
      </c>
      <c r="BX1132" s="5">
        <f t="shared" si="1000"/>
        <v>0</v>
      </c>
      <c r="BY1132" s="5">
        <f t="shared" si="1000"/>
        <v>0</v>
      </c>
      <c r="BZ1132" s="5">
        <f t="shared" si="1000"/>
        <v>0</v>
      </c>
      <c r="CA1132" s="5">
        <f t="shared" si="1000"/>
        <v>0</v>
      </c>
      <c r="CB1132" s="5">
        <f t="shared" si="1000"/>
        <v>0</v>
      </c>
      <c r="CC1132" s="5">
        <f t="shared" si="1011"/>
        <v>0</v>
      </c>
      <c r="CD1132" s="5">
        <f t="shared" si="1011"/>
        <v>0</v>
      </c>
      <c r="CE1132" s="5">
        <f t="shared" si="1011"/>
        <v>1</v>
      </c>
    </row>
    <row r="1133" spans="1:83" x14ac:dyDescent="0.2">
      <c r="A1133" s="11"/>
      <c r="B1133" s="11"/>
      <c r="C1133" s="1">
        <f>Growth!D1138</f>
        <v>1.5384615384615385E-2</v>
      </c>
      <c r="D1133" s="5" t="b">
        <f t="shared" si="1002"/>
        <v>0</v>
      </c>
      <c r="E1133" s="5">
        <v>2015</v>
      </c>
      <c r="F1133" s="5">
        <f ca="1">LOOKUP($E1133,frequence!$A$2:$A$35,frequence!L$2:L$35)</f>
        <v>59.915964498406019</v>
      </c>
      <c r="G1133" s="5">
        <f ca="1">LOOKUP($E1133,frequence!$A$2:$A$35,frequence!K$2:K$35)</f>
        <v>12.697082100333608</v>
      </c>
      <c r="H1133" s="5">
        <f ca="1">LOOKUP($E1133,frequence!$A$2:$A$35,frequence!M$2:M$35)</f>
        <v>262.07305844619424</v>
      </c>
      <c r="I1133" s="16">
        <v>2005</v>
      </c>
      <c r="J1133" s="7">
        <f>LOOKUP(I1133,CPI!A$69:A$103,CPI!O$69:O$103)</f>
        <v>1.1165181771633383</v>
      </c>
      <c r="K1133" s="16">
        <v>2015</v>
      </c>
      <c r="L1133" s="7">
        <f t="shared" ca="1" si="954"/>
        <v>1</v>
      </c>
      <c r="M1133" s="7">
        <f t="shared" si="933"/>
        <v>8.461538461538462E-2</v>
      </c>
      <c r="N1133" s="14">
        <f>1/65</f>
        <v>1.5384615384615385E-2</v>
      </c>
      <c r="O1133" s="1">
        <f ca="1">P1133*J1133*(1+Growth!G$6)^(2010-K1133)</f>
        <v>73.633775992432902</v>
      </c>
      <c r="P1133" s="25">
        <f t="shared" si="1008"/>
        <v>71.089310041484893</v>
      </c>
      <c r="Q1133" s="1">
        <f>44/12*19.3879936476777</f>
        <v>71.089310041484893</v>
      </c>
      <c r="R1133" s="21">
        <f t="shared" ca="1" si="988"/>
        <v>5421.9329669037879</v>
      </c>
      <c r="U1133" s="11"/>
      <c r="V1133" s="11"/>
      <c r="W1133" s="11"/>
      <c r="X1133" s="11"/>
      <c r="Y1133" s="11"/>
      <c r="Z1133" s="11"/>
      <c r="AA1133" s="11"/>
      <c r="AB1133" s="11"/>
      <c r="AC1133" s="1">
        <f t="shared" si="1009"/>
        <v>5.5</v>
      </c>
      <c r="AD1133" s="5">
        <v>0</v>
      </c>
      <c r="AE1133" s="5">
        <v>0</v>
      </c>
      <c r="AF1133" s="5">
        <v>1</v>
      </c>
      <c r="AG1133" s="5">
        <v>0</v>
      </c>
      <c r="AH1133" s="5">
        <v>1</v>
      </c>
      <c r="AI1133" s="3">
        <f t="shared" si="1010"/>
        <v>3.5</v>
      </c>
      <c r="AJ1133" s="5">
        <f t="shared" si="977"/>
        <v>0</v>
      </c>
      <c r="AK1133" s="5">
        <f t="shared" si="959"/>
        <v>0</v>
      </c>
      <c r="AL1133" s="5">
        <f t="shared" si="960"/>
        <v>1</v>
      </c>
      <c r="AM1133" s="5">
        <f t="shared" si="980"/>
        <v>0</v>
      </c>
      <c r="AN1133" s="5">
        <f t="shared" si="961"/>
        <v>0</v>
      </c>
      <c r="AO1133" s="5">
        <f t="shared" si="981"/>
        <v>0</v>
      </c>
      <c r="AP1133" s="11" t="s">
        <v>42</v>
      </c>
      <c r="AQ1133" s="11">
        <v>1.5</v>
      </c>
      <c r="AR1133" s="5">
        <v>0</v>
      </c>
      <c r="AS1133" s="5">
        <v>0</v>
      </c>
      <c r="AT1133" s="5">
        <v>1</v>
      </c>
      <c r="AU1133" s="5">
        <v>0</v>
      </c>
      <c r="AV1133" s="5">
        <v>0</v>
      </c>
      <c r="AW1133" s="5">
        <v>0</v>
      </c>
      <c r="AX1133" s="5">
        <v>1</v>
      </c>
      <c r="AY1133" s="1">
        <f t="shared" si="1004"/>
        <v>0</v>
      </c>
      <c r="AZ1133" s="1">
        <f t="shared" si="1005"/>
        <v>0</v>
      </c>
      <c r="BA1133" s="1">
        <f t="shared" si="1006"/>
        <v>0</v>
      </c>
      <c r="BB1133" s="5">
        <v>0</v>
      </c>
      <c r="BC1133" s="5">
        <v>1</v>
      </c>
      <c r="BD1133" s="5">
        <v>0</v>
      </c>
      <c r="BE1133" s="5">
        <f t="shared" si="1007"/>
        <v>0</v>
      </c>
      <c r="BF1133" s="5">
        <v>1</v>
      </c>
      <c r="BG1133" s="5">
        <f t="shared" si="1001"/>
        <v>0</v>
      </c>
      <c r="BH1133" s="5">
        <f t="shared" si="1001"/>
        <v>0</v>
      </c>
      <c r="BI1133" s="5">
        <f t="shared" si="1001"/>
        <v>0</v>
      </c>
      <c r="BJ1133" s="5">
        <f t="shared" si="1001"/>
        <v>0</v>
      </c>
      <c r="BK1133" s="5">
        <f t="shared" si="1001"/>
        <v>0</v>
      </c>
      <c r="BL1133" s="5">
        <f t="shared" si="1001"/>
        <v>0</v>
      </c>
      <c r="BM1133" s="5">
        <f t="shared" si="1001"/>
        <v>0</v>
      </c>
      <c r="BN1133" s="5">
        <f t="shared" si="1000"/>
        <v>0</v>
      </c>
      <c r="BO1133" s="5">
        <f t="shared" si="1000"/>
        <v>0</v>
      </c>
      <c r="BP1133" s="5">
        <f t="shared" si="1000"/>
        <v>0</v>
      </c>
      <c r="BQ1133" s="5">
        <f t="shared" si="1000"/>
        <v>0</v>
      </c>
      <c r="BR1133" s="5">
        <f t="shared" si="1000"/>
        <v>0</v>
      </c>
      <c r="BS1133" s="5">
        <f t="shared" si="1000"/>
        <v>0</v>
      </c>
      <c r="BT1133" s="5">
        <f t="shared" si="1000"/>
        <v>0</v>
      </c>
      <c r="BU1133" s="5">
        <f t="shared" si="1000"/>
        <v>0</v>
      </c>
      <c r="BV1133" s="5">
        <f t="shared" si="1000"/>
        <v>0</v>
      </c>
      <c r="BW1133" s="5">
        <f t="shared" si="1000"/>
        <v>0</v>
      </c>
      <c r="BX1133" s="5">
        <f t="shared" si="1000"/>
        <v>0</v>
      </c>
      <c r="BY1133" s="5">
        <f t="shared" si="1000"/>
        <v>0</v>
      </c>
      <c r="BZ1133" s="5">
        <f t="shared" si="1000"/>
        <v>0</v>
      </c>
      <c r="CA1133" s="5">
        <f t="shared" si="1000"/>
        <v>0</v>
      </c>
      <c r="CB1133" s="5">
        <f t="shared" si="1000"/>
        <v>0</v>
      </c>
      <c r="CC1133" s="5">
        <f t="shared" si="1011"/>
        <v>0</v>
      </c>
      <c r="CD1133" s="5">
        <f t="shared" si="1011"/>
        <v>0</v>
      </c>
      <c r="CE1133" s="5">
        <f t="shared" si="1011"/>
        <v>1</v>
      </c>
    </row>
    <row r="1134" spans="1:83" x14ac:dyDescent="0.2">
      <c r="A1134" s="11"/>
      <c r="B1134" s="11"/>
      <c r="C1134" s="1">
        <f>Growth!D1139</f>
        <v>4.6153846153846156E-2</v>
      </c>
      <c r="D1134" s="5" t="b">
        <f t="shared" si="1002"/>
        <v>0</v>
      </c>
      <c r="E1134" s="5">
        <v>2015</v>
      </c>
      <c r="F1134" s="5">
        <f ca="1">LOOKUP($E1134,frequence!$A$2:$A$35,frequence!L$2:L$35)</f>
        <v>59.915964498406019</v>
      </c>
      <c r="G1134" s="5">
        <f ca="1">LOOKUP($E1134,frequence!$A$2:$A$35,frequence!K$2:K$35)</f>
        <v>12.697082100333608</v>
      </c>
      <c r="H1134" s="5">
        <f ca="1">LOOKUP($E1134,frequence!$A$2:$A$35,frequence!M$2:M$35)</f>
        <v>262.07305844619424</v>
      </c>
      <c r="I1134" s="16">
        <v>2005</v>
      </c>
      <c r="J1134" s="7">
        <f>LOOKUP(I1134,CPI!A$69:A$103,CPI!O$69:O$103)</f>
        <v>1.1165181771633383</v>
      </c>
      <c r="K1134" s="16">
        <v>2015</v>
      </c>
      <c r="L1134" s="7">
        <f t="shared" ca="1" si="954"/>
        <v>1</v>
      </c>
      <c r="M1134" s="7">
        <f t="shared" si="933"/>
        <v>0.25384615384615383</v>
      </c>
      <c r="N1134" s="14">
        <f>3/65</f>
        <v>4.6153846153846156E-2</v>
      </c>
      <c r="O1134" s="1">
        <f ca="1">P1134*J1134*(1+Growth!G$6)^(2010-K1134)</f>
        <v>74.620195069784401</v>
      </c>
      <c r="P1134" s="25">
        <f t="shared" si="1008"/>
        <v>72.041642726798798</v>
      </c>
      <c r="Q1134" s="1">
        <f>44/12*19.6477207436724</f>
        <v>72.041642726798798</v>
      </c>
      <c r="R1134" s="21">
        <f t="shared" ca="1" si="988"/>
        <v>5568.1735122526761</v>
      </c>
      <c r="U1134" s="11"/>
      <c r="V1134" s="11"/>
      <c r="W1134" s="11"/>
      <c r="X1134" s="11"/>
      <c r="Y1134" s="11"/>
      <c r="Z1134" s="11"/>
      <c r="AA1134" s="11"/>
      <c r="AB1134" s="11"/>
      <c r="AC1134" s="1">
        <f t="shared" si="1009"/>
        <v>5.5</v>
      </c>
      <c r="AD1134" s="5">
        <v>0</v>
      </c>
      <c r="AE1134" s="5">
        <v>0</v>
      </c>
      <c r="AF1134" s="5">
        <v>1</v>
      </c>
      <c r="AG1134" s="5">
        <v>0</v>
      </c>
      <c r="AH1134" s="5">
        <v>1</v>
      </c>
      <c r="AI1134" s="3">
        <f t="shared" si="1010"/>
        <v>3.5</v>
      </c>
      <c r="AJ1134" s="5">
        <f t="shared" si="977"/>
        <v>0</v>
      </c>
      <c r="AK1134" s="5">
        <f t="shared" si="959"/>
        <v>0</v>
      </c>
      <c r="AL1134" s="5">
        <f t="shared" si="960"/>
        <v>1</v>
      </c>
      <c r="AM1134" s="5">
        <f t="shared" si="980"/>
        <v>0</v>
      </c>
      <c r="AN1134" s="5">
        <f t="shared" si="961"/>
        <v>0</v>
      </c>
      <c r="AO1134" s="5">
        <f t="shared" si="981"/>
        <v>0</v>
      </c>
      <c r="AP1134" s="11" t="s">
        <v>42</v>
      </c>
      <c r="AQ1134" s="11">
        <v>1.5</v>
      </c>
      <c r="AR1134" s="5">
        <v>0</v>
      </c>
      <c r="AS1134" s="5">
        <v>0</v>
      </c>
      <c r="AT1134" s="5">
        <v>1</v>
      </c>
      <c r="AU1134" s="5">
        <v>0</v>
      </c>
      <c r="AV1134" s="5">
        <v>0</v>
      </c>
      <c r="AW1134" s="5">
        <v>0</v>
      </c>
      <c r="AX1134" s="5">
        <v>1</v>
      </c>
      <c r="AY1134" s="1">
        <f t="shared" si="1004"/>
        <v>0</v>
      </c>
      <c r="AZ1134" s="1">
        <f t="shared" si="1005"/>
        <v>0</v>
      </c>
      <c r="BA1134" s="1">
        <f t="shared" si="1006"/>
        <v>0</v>
      </c>
      <c r="BB1134" s="5">
        <v>0</v>
      </c>
      <c r="BC1134" s="5">
        <v>1</v>
      </c>
      <c r="BD1134" s="5">
        <v>0</v>
      </c>
      <c r="BE1134" s="5">
        <f t="shared" si="1007"/>
        <v>0</v>
      </c>
      <c r="BF1134" s="5">
        <v>1</v>
      </c>
      <c r="BG1134" s="5">
        <f t="shared" si="1001"/>
        <v>0</v>
      </c>
      <c r="BH1134" s="5">
        <f t="shared" si="1001"/>
        <v>0</v>
      </c>
      <c r="BI1134" s="5">
        <f t="shared" si="1001"/>
        <v>0</v>
      </c>
      <c r="BJ1134" s="5">
        <f t="shared" si="1001"/>
        <v>0</v>
      </c>
      <c r="BK1134" s="5">
        <f t="shared" si="1001"/>
        <v>0</v>
      </c>
      <c r="BL1134" s="5">
        <f t="shared" si="1001"/>
        <v>0</v>
      </c>
      <c r="BM1134" s="5">
        <f t="shared" si="1001"/>
        <v>0</v>
      </c>
      <c r="BN1134" s="5">
        <f t="shared" si="1000"/>
        <v>0</v>
      </c>
      <c r="BO1134" s="5">
        <f t="shared" si="1000"/>
        <v>0</v>
      </c>
      <c r="BP1134" s="5">
        <f t="shared" si="1000"/>
        <v>0</v>
      </c>
      <c r="BQ1134" s="5">
        <f t="shared" si="1000"/>
        <v>0</v>
      </c>
      <c r="BR1134" s="5">
        <f t="shared" si="1000"/>
        <v>0</v>
      </c>
      <c r="BS1134" s="5">
        <f t="shared" si="1000"/>
        <v>0</v>
      </c>
      <c r="BT1134" s="5">
        <f t="shared" si="1000"/>
        <v>0</v>
      </c>
      <c r="BU1134" s="5">
        <f t="shared" si="1000"/>
        <v>0</v>
      </c>
      <c r="BV1134" s="5">
        <f t="shared" si="1000"/>
        <v>0</v>
      </c>
      <c r="BW1134" s="5">
        <f t="shared" si="1000"/>
        <v>0</v>
      </c>
      <c r="BX1134" s="5">
        <f t="shared" si="1000"/>
        <v>0</v>
      </c>
      <c r="BY1134" s="5">
        <f t="shared" si="1000"/>
        <v>0</v>
      </c>
      <c r="BZ1134" s="5">
        <f t="shared" si="1000"/>
        <v>0</v>
      </c>
      <c r="CA1134" s="5">
        <f t="shared" si="1000"/>
        <v>0</v>
      </c>
      <c r="CB1134" s="5">
        <f t="shared" si="1000"/>
        <v>0</v>
      </c>
      <c r="CC1134" s="5">
        <f t="shared" si="1011"/>
        <v>0</v>
      </c>
      <c r="CD1134" s="5">
        <f t="shared" si="1011"/>
        <v>0</v>
      </c>
      <c r="CE1134" s="5">
        <f t="shared" si="1011"/>
        <v>1</v>
      </c>
    </row>
    <row r="1135" spans="1:83" x14ac:dyDescent="0.2">
      <c r="A1135" s="11"/>
      <c r="B1135" s="11"/>
      <c r="C1135" s="1">
        <f>Growth!D1140</f>
        <v>9.2307692307692313E-2</v>
      </c>
      <c r="D1135" s="5" t="b">
        <f t="shared" si="1002"/>
        <v>0</v>
      </c>
      <c r="E1135" s="5">
        <v>2015</v>
      </c>
      <c r="F1135" s="5">
        <f ca="1">LOOKUP($E1135,frequence!$A$2:$A$35,frequence!L$2:L$35)</f>
        <v>59.915964498406019</v>
      </c>
      <c r="G1135" s="5">
        <f ca="1">LOOKUP($E1135,frequence!$A$2:$A$35,frequence!K$2:K$35)</f>
        <v>12.697082100333608</v>
      </c>
      <c r="H1135" s="5">
        <f ca="1">LOOKUP($E1135,frequence!$A$2:$A$35,frequence!M$2:M$35)</f>
        <v>262.07305844619424</v>
      </c>
      <c r="I1135" s="16">
        <v>2005</v>
      </c>
      <c r="J1135" s="7">
        <f>LOOKUP(I1135,CPI!A$69:A$103,CPI!O$69:O$103)</f>
        <v>1.1165181771633383</v>
      </c>
      <c r="K1135" s="16">
        <v>2015</v>
      </c>
      <c r="L1135" s="7">
        <f t="shared" ca="1" si="954"/>
        <v>1</v>
      </c>
      <c r="M1135" s="7">
        <f t="shared" si="933"/>
        <v>0.50769230769230766</v>
      </c>
      <c r="N1135" s="14">
        <f>6/65</f>
        <v>9.2307692307692313E-2</v>
      </c>
      <c r="O1135" s="1">
        <f ca="1">P1135*J1135*(1+Growth!G$6)^(2010-K1135)</f>
        <v>94.824423931068154</v>
      </c>
      <c r="P1135" s="25">
        <f t="shared" si="1008"/>
        <v>91.54770051496007</v>
      </c>
      <c r="Q1135" s="1">
        <f>44/12*24.9675546858982</f>
        <v>91.54770051496007</v>
      </c>
      <c r="R1135" s="21">
        <f t="shared" ca="1" si="988"/>
        <v>8991.6713738589315</v>
      </c>
      <c r="U1135" s="11"/>
      <c r="V1135" s="11"/>
      <c r="W1135" s="11"/>
      <c r="X1135" s="11"/>
      <c r="Y1135" s="11"/>
      <c r="Z1135" s="11"/>
      <c r="AA1135" s="11"/>
      <c r="AB1135" s="11"/>
      <c r="AC1135" s="1">
        <f t="shared" si="1009"/>
        <v>5.5</v>
      </c>
      <c r="AD1135" s="5">
        <v>0</v>
      </c>
      <c r="AE1135" s="5">
        <v>0</v>
      </c>
      <c r="AF1135" s="5">
        <v>1</v>
      </c>
      <c r="AG1135" s="5">
        <v>0</v>
      </c>
      <c r="AH1135" s="5">
        <v>1</v>
      </c>
      <c r="AI1135" s="3">
        <f t="shared" si="1010"/>
        <v>3.5</v>
      </c>
      <c r="AJ1135" s="5">
        <f t="shared" si="977"/>
        <v>0</v>
      </c>
      <c r="AK1135" s="5">
        <f t="shared" si="959"/>
        <v>0</v>
      </c>
      <c r="AL1135" s="5">
        <f t="shared" si="960"/>
        <v>1</v>
      </c>
      <c r="AM1135" s="5">
        <f t="shared" si="980"/>
        <v>0</v>
      </c>
      <c r="AN1135" s="5">
        <f t="shared" si="961"/>
        <v>0</v>
      </c>
      <c r="AO1135" s="5">
        <f t="shared" si="981"/>
        <v>0</v>
      </c>
      <c r="AP1135" s="11" t="s">
        <v>42</v>
      </c>
      <c r="AQ1135" s="11">
        <v>1.5</v>
      </c>
      <c r="AR1135" s="5">
        <v>0</v>
      </c>
      <c r="AS1135" s="5">
        <v>0</v>
      </c>
      <c r="AT1135" s="5">
        <v>1</v>
      </c>
      <c r="AU1135" s="5">
        <v>0</v>
      </c>
      <c r="AV1135" s="5">
        <v>0</v>
      </c>
      <c r="AW1135" s="5">
        <v>0</v>
      </c>
      <c r="AX1135" s="5">
        <v>1</v>
      </c>
      <c r="AY1135" s="1">
        <f t="shared" si="1004"/>
        <v>0</v>
      </c>
      <c r="AZ1135" s="1">
        <f t="shared" si="1005"/>
        <v>0</v>
      </c>
      <c r="BA1135" s="1">
        <f t="shared" si="1006"/>
        <v>0</v>
      </c>
      <c r="BB1135" s="5">
        <v>0</v>
      </c>
      <c r="BC1135" s="5">
        <v>1</v>
      </c>
      <c r="BD1135" s="5">
        <v>0</v>
      </c>
      <c r="BE1135" s="5">
        <f t="shared" si="1007"/>
        <v>0</v>
      </c>
      <c r="BF1135" s="5">
        <v>1</v>
      </c>
      <c r="BG1135" s="5">
        <f t="shared" si="1001"/>
        <v>0</v>
      </c>
      <c r="BH1135" s="5">
        <f t="shared" si="1001"/>
        <v>0</v>
      </c>
      <c r="BI1135" s="5">
        <f t="shared" si="1001"/>
        <v>0</v>
      </c>
      <c r="BJ1135" s="5">
        <f t="shared" si="1001"/>
        <v>0</v>
      </c>
      <c r="BK1135" s="5">
        <f t="shared" si="1001"/>
        <v>0</v>
      </c>
      <c r="BL1135" s="5">
        <f t="shared" si="1001"/>
        <v>0</v>
      </c>
      <c r="BM1135" s="5">
        <f t="shared" si="1001"/>
        <v>0</v>
      </c>
      <c r="BN1135" s="5">
        <f t="shared" si="1000"/>
        <v>0</v>
      </c>
      <c r="BO1135" s="5">
        <f t="shared" si="1000"/>
        <v>0</v>
      </c>
      <c r="BP1135" s="5">
        <f t="shared" si="1000"/>
        <v>0</v>
      </c>
      <c r="BQ1135" s="5">
        <f t="shared" si="1000"/>
        <v>0</v>
      </c>
      <c r="BR1135" s="5">
        <f t="shared" si="1000"/>
        <v>0</v>
      </c>
      <c r="BS1135" s="5">
        <f t="shared" si="1000"/>
        <v>0</v>
      </c>
      <c r="BT1135" s="5">
        <f t="shared" si="1000"/>
        <v>0</v>
      </c>
      <c r="BU1135" s="5">
        <f t="shared" si="1000"/>
        <v>0</v>
      </c>
      <c r="BV1135" s="5">
        <f t="shared" si="1000"/>
        <v>0</v>
      </c>
      <c r="BW1135" s="5">
        <f t="shared" si="1000"/>
        <v>0</v>
      </c>
      <c r="BX1135" s="5">
        <f t="shared" si="1000"/>
        <v>0</v>
      </c>
      <c r="BY1135" s="5">
        <f t="shared" si="1000"/>
        <v>0</v>
      </c>
      <c r="BZ1135" s="5">
        <f t="shared" si="1000"/>
        <v>0</v>
      </c>
      <c r="CA1135" s="5">
        <f t="shared" si="1000"/>
        <v>0</v>
      </c>
      <c r="CB1135" s="5">
        <f t="shared" si="1000"/>
        <v>0</v>
      </c>
      <c r="CC1135" s="5">
        <f t="shared" si="1011"/>
        <v>0</v>
      </c>
      <c r="CD1135" s="5">
        <f t="shared" si="1011"/>
        <v>0</v>
      </c>
      <c r="CE1135" s="5">
        <f t="shared" si="1011"/>
        <v>1</v>
      </c>
    </row>
    <row r="1136" spans="1:83" x14ac:dyDescent="0.2">
      <c r="A1136" s="11"/>
      <c r="B1136" s="11"/>
      <c r="C1136" s="1">
        <f>Growth!D1141</f>
        <v>4.6153846153846156E-2</v>
      </c>
      <c r="D1136" s="5" t="b">
        <f t="shared" si="1002"/>
        <v>0</v>
      </c>
      <c r="E1136" s="5">
        <v>2015</v>
      </c>
      <c r="F1136" s="5">
        <f ca="1">LOOKUP($E1136,frequence!$A$2:$A$35,frequence!L$2:L$35)</f>
        <v>59.915964498406019</v>
      </c>
      <c r="G1136" s="5">
        <f ca="1">LOOKUP($E1136,frequence!$A$2:$A$35,frequence!K$2:K$35)</f>
        <v>12.697082100333608</v>
      </c>
      <c r="H1136" s="5">
        <f ca="1">LOOKUP($E1136,frequence!$A$2:$A$35,frequence!M$2:M$35)</f>
        <v>262.07305844619424</v>
      </c>
      <c r="I1136" s="16">
        <v>2005</v>
      </c>
      <c r="J1136" s="7">
        <f>LOOKUP(I1136,CPI!A$69:A$103,CPI!O$69:O$103)</f>
        <v>1.1165181771633383</v>
      </c>
      <c r="K1136" s="16">
        <v>2015</v>
      </c>
      <c r="L1136" s="7">
        <f t="shared" ca="1" si="954"/>
        <v>1</v>
      </c>
      <c r="M1136" s="7">
        <f t="shared" si="933"/>
        <v>0.25384615384615383</v>
      </c>
      <c r="N1136" s="14">
        <f>3/65</f>
        <v>4.6153846153846156E-2</v>
      </c>
      <c r="O1136" s="1">
        <f ca="1">P1136*J1136*(1+Growth!G$6)^(2010-K1136)</f>
        <v>145.16745498291255</v>
      </c>
      <c r="P1136" s="25">
        <f t="shared" si="1008"/>
        <v>140.15109338239165</v>
      </c>
      <c r="Q1136" s="1">
        <f>44/12*38.223025467925</f>
        <v>140.15109338239165</v>
      </c>
      <c r="R1136" s="21">
        <f t="shared" ca="1" si="988"/>
        <v>21073.589986215942</v>
      </c>
      <c r="U1136" s="11"/>
      <c r="V1136" s="11"/>
      <c r="W1136" s="11"/>
      <c r="X1136" s="11"/>
      <c r="Y1136" s="11"/>
      <c r="Z1136" s="11"/>
      <c r="AA1136" s="11"/>
      <c r="AB1136" s="11"/>
      <c r="AC1136" s="1">
        <f t="shared" si="1009"/>
        <v>5.5</v>
      </c>
      <c r="AD1136" s="5">
        <v>0</v>
      </c>
      <c r="AE1136" s="5">
        <v>0</v>
      </c>
      <c r="AF1136" s="5">
        <v>1</v>
      </c>
      <c r="AG1136" s="5">
        <v>0</v>
      </c>
      <c r="AH1136" s="5">
        <v>1</v>
      </c>
      <c r="AI1136" s="3">
        <f t="shared" si="1010"/>
        <v>3.5</v>
      </c>
      <c r="AJ1136" s="5">
        <f t="shared" si="977"/>
        <v>0</v>
      </c>
      <c r="AK1136" s="5">
        <f t="shared" si="959"/>
        <v>0</v>
      </c>
      <c r="AL1136" s="5">
        <f t="shared" si="960"/>
        <v>1</v>
      </c>
      <c r="AM1136" s="5">
        <f t="shared" si="980"/>
        <v>0</v>
      </c>
      <c r="AN1136" s="5">
        <f t="shared" si="961"/>
        <v>0</v>
      </c>
      <c r="AO1136" s="5">
        <f t="shared" si="981"/>
        <v>0</v>
      </c>
      <c r="AP1136" s="11" t="s">
        <v>42</v>
      </c>
      <c r="AQ1136" s="11">
        <v>1.5</v>
      </c>
      <c r="AR1136" s="5">
        <v>0</v>
      </c>
      <c r="AS1136" s="5">
        <v>0</v>
      </c>
      <c r="AT1136" s="5">
        <v>1</v>
      </c>
      <c r="AU1136" s="5">
        <v>0</v>
      </c>
      <c r="AV1136" s="5">
        <v>0</v>
      </c>
      <c r="AW1136" s="5">
        <v>0</v>
      </c>
      <c r="AX1136" s="5">
        <v>1</v>
      </c>
      <c r="AY1136" s="1">
        <f t="shared" si="1004"/>
        <v>0</v>
      </c>
      <c r="AZ1136" s="1">
        <f t="shared" si="1005"/>
        <v>0</v>
      </c>
      <c r="BA1136" s="1">
        <f t="shared" si="1006"/>
        <v>0</v>
      </c>
      <c r="BB1136" s="5">
        <v>0</v>
      </c>
      <c r="BC1136" s="5">
        <v>1</v>
      </c>
      <c r="BD1136" s="5">
        <v>0</v>
      </c>
      <c r="BE1136" s="5">
        <f t="shared" si="1007"/>
        <v>0</v>
      </c>
      <c r="BF1136" s="5">
        <v>1</v>
      </c>
      <c r="BG1136" s="5">
        <f t="shared" si="1001"/>
        <v>0</v>
      </c>
      <c r="BH1136" s="5">
        <f t="shared" si="1001"/>
        <v>0</v>
      </c>
      <c r="BI1136" s="5">
        <f t="shared" si="1001"/>
        <v>0</v>
      </c>
      <c r="BJ1136" s="5">
        <f t="shared" si="1001"/>
        <v>0</v>
      </c>
      <c r="BK1136" s="5">
        <f t="shared" si="1001"/>
        <v>0</v>
      </c>
      <c r="BL1136" s="5">
        <f t="shared" si="1001"/>
        <v>0</v>
      </c>
      <c r="BM1136" s="5">
        <f t="shared" si="1001"/>
        <v>0</v>
      </c>
      <c r="BN1136" s="5">
        <f t="shared" si="1000"/>
        <v>0</v>
      </c>
      <c r="BO1136" s="5">
        <f t="shared" si="1000"/>
        <v>0</v>
      </c>
      <c r="BP1136" s="5">
        <f t="shared" si="1000"/>
        <v>0</v>
      </c>
      <c r="BQ1136" s="5">
        <f t="shared" si="1000"/>
        <v>0</v>
      </c>
      <c r="BR1136" s="5">
        <f t="shared" si="1000"/>
        <v>0</v>
      </c>
      <c r="BS1136" s="5">
        <f t="shared" si="1000"/>
        <v>0</v>
      </c>
      <c r="BT1136" s="5">
        <f t="shared" si="1000"/>
        <v>0</v>
      </c>
      <c r="BU1136" s="5">
        <f t="shared" si="1000"/>
        <v>0</v>
      </c>
      <c r="BV1136" s="5">
        <f t="shared" si="1000"/>
        <v>0</v>
      </c>
      <c r="BW1136" s="5">
        <f t="shared" si="1000"/>
        <v>0</v>
      </c>
      <c r="BX1136" s="5">
        <f t="shared" si="1000"/>
        <v>0</v>
      </c>
      <c r="BY1136" s="5">
        <f t="shared" si="1000"/>
        <v>0</v>
      </c>
      <c r="BZ1136" s="5">
        <f t="shared" si="1000"/>
        <v>0</v>
      </c>
      <c r="CA1136" s="5">
        <f t="shared" si="1000"/>
        <v>0</v>
      </c>
      <c r="CB1136" s="5">
        <f t="shared" si="1000"/>
        <v>0</v>
      </c>
      <c r="CC1136" s="5">
        <f t="shared" si="1011"/>
        <v>0</v>
      </c>
      <c r="CD1136" s="5">
        <f t="shared" si="1011"/>
        <v>0</v>
      </c>
      <c r="CE1136" s="5">
        <f t="shared" si="1011"/>
        <v>1</v>
      </c>
    </row>
    <row r="1137" spans="1:83" x14ac:dyDescent="0.2">
      <c r="A1137" s="11"/>
      <c r="B1137" s="11"/>
      <c r="C1137" s="1">
        <f>Growth!D1142</f>
        <v>3.0769230769230771E-2</v>
      </c>
      <c r="D1137" s="5" t="b">
        <f t="shared" si="1002"/>
        <v>0</v>
      </c>
      <c r="E1137" s="5">
        <v>2015</v>
      </c>
      <c r="F1137" s="5">
        <f ca="1">LOOKUP($E1137,frequence!$A$2:$A$35,frequence!L$2:L$35)</f>
        <v>59.915964498406019</v>
      </c>
      <c r="G1137" s="5">
        <f ca="1">LOOKUP($E1137,frequence!$A$2:$A$35,frequence!K$2:K$35)</f>
        <v>12.697082100333608</v>
      </c>
      <c r="H1137" s="5">
        <f ca="1">LOOKUP($E1137,frequence!$A$2:$A$35,frequence!M$2:M$35)</f>
        <v>262.07305844619424</v>
      </c>
      <c r="I1137" s="16">
        <v>2005</v>
      </c>
      <c r="J1137" s="7">
        <f>LOOKUP(I1137,CPI!A$69:A$103,CPI!O$69:O$103)</f>
        <v>1.1165181771633383</v>
      </c>
      <c r="K1137" s="16">
        <v>2015</v>
      </c>
      <c r="L1137" s="7">
        <f t="shared" ca="1" si="954"/>
        <v>1</v>
      </c>
      <c r="M1137" s="7">
        <f t="shared" si="933"/>
        <v>0.16923076923076924</v>
      </c>
      <c r="N1137" s="14">
        <f>2/65</f>
        <v>3.0769230769230771E-2</v>
      </c>
      <c r="O1137" s="1">
        <f ca="1">P1137*J1137*(1+Growth!G$6)^(2010-K1137)</f>
        <v>197.82786155225671</v>
      </c>
      <c r="P1137" s="25">
        <f t="shared" si="1008"/>
        <v>190.99178325687902</v>
      </c>
      <c r="Q1137" s="1">
        <f>44/12*52.088668160967</f>
        <v>190.99178325687902</v>
      </c>
      <c r="R1137" s="21">
        <f t="shared" ca="1" si="988"/>
        <v>39135.862806338846</v>
      </c>
      <c r="U1137" s="11"/>
      <c r="V1137" s="11"/>
      <c r="W1137" s="11"/>
      <c r="X1137" s="11"/>
      <c r="Y1137" s="11"/>
      <c r="Z1137" s="11"/>
      <c r="AA1137" s="11"/>
      <c r="AB1137" s="11"/>
      <c r="AC1137" s="1">
        <f t="shared" si="1009"/>
        <v>5.5</v>
      </c>
      <c r="AD1137" s="5">
        <v>0</v>
      </c>
      <c r="AE1137" s="5">
        <v>0</v>
      </c>
      <c r="AF1137" s="5">
        <v>1</v>
      </c>
      <c r="AG1137" s="5">
        <v>0</v>
      </c>
      <c r="AH1137" s="5">
        <v>1</v>
      </c>
      <c r="AI1137" s="3">
        <f t="shared" si="1010"/>
        <v>3.5</v>
      </c>
      <c r="AJ1137" s="5">
        <f t="shared" si="977"/>
        <v>0</v>
      </c>
      <c r="AK1137" s="5">
        <f t="shared" si="959"/>
        <v>0</v>
      </c>
      <c r="AL1137" s="5">
        <f t="shared" si="960"/>
        <v>1</v>
      </c>
      <c r="AM1137" s="5">
        <f t="shared" si="980"/>
        <v>0</v>
      </c>
      <c r="AN1137" s="5">
        <f t="shared" si="961"/>
        <v>0</v>
      </c>
      <c r="AO1137" s="5">
        <f t="shared" si="981"/>
        <v>0</v>
      </c>
      <c r="AP1137" s="11" t="s">
        <v>42</v>
      </c>
      <c r="AQ1137" s="11">
        <v>1.5</v>
      </c>
      <c r="AR1137" s="5">
        <v>0</v>
      </c>
      <c r="AS1137" s="5">
        <v>0</v>
      </c>
      <c r="AT1137" s="5">
        <v>1</v>
      </c>
      <c r="AU1137" s="5">
        <v>0</v>
      </c>
      <c r="AV1137" s="5">
        <v>0</v>
      </c>
      <c r="AW1137" s="5">
        <v>0</v>
      </c>
      <c r="AX1137" s="5">
        <v>1</v>
      </c>
      <c r="AY1137" s="1">
        <f t="shared" si="1004"/>
        <v>0</v>
      </c>
      <c r="AZ1137" s="1">
        <f t="shared" si="1005"/>
        <v>0</v>
      </c>
      <c r="BA1137" s="1">
        <f t="shared" si="1006"/>
        <v>0</v>
      </c>
      <c r="BB1137" s="5">
        <v>0</v>
      </c>
      <c r="BC1137" s="5">
        <v>1</v>
      </c>
      <c r="BD1137" s="5">
        <v>0</v>
      </c>
      <c r="BE1137" s="5">
        <f t="shared" si="1007"/>
        <v>0</v>
      </c>
      <c r="BF1137" s="5">
        <v>1</v>
      </c>
      <c r="BG1137" s="5">
        <f t="shared" si="1001"/>
        <v>0</v>
      </c>
      <c r="BH1137" s="5">
        <f t="shared" si="1001"/>
        <v>0</v>
      </c>
      <c r="BI1137" s="5">
        <f t="shared" si="1001"/>
        <v>0</v>
      </c>
      <c r="BJ1137" s="5">
        <f t="shared" si="1001"/>
        <v>0</v>
      </c>
      <c r="BK1137" s="5">
        <f t="shared" si="1001"/>
        <v>0</v>
      </c>
      <c r="BL1137" s="5">
        <f t="shared" si="1001"/>
        <v>0</v>
      </c>
      <c r="BM1137" s="5">
        <f t="shared" si="1001"/>
        <v>0</v>
      </c>
      <c r="BN1137" s="5">
        <f t="shared" si="1000"/>
        <v>0</v>
      </c>
      <c r="BO1137" s="5">
        <f t="shared" si="1000"/>
        <v>0</v>
      </c>
      <c r="BP1137" s="5">
        <f t="shared" si="1000"/>
        <v>0</v>
      </c>
      <c r="BQ1137" s="5">
        <f t="shared" si="1000"/>
        <v>0</v>
      </c>
      <c r="BR1137" s="5">
        <f t="shared" si="1000"/>
        <v>0</v>
      </c>
      <c r="BS1137" s="5">
        <f t="shared" si="1000"/>
        <v>0</v>
      </c>
      <c r="BT1137" s="5">
        <f t="shared" si="1000"/>
        <v>0</v>
      </c>
      <c r="BU1137" s="5">
        <f t="shared" si="1000"/>
        <v>0</v>
      </c>
      <c r="BV1137" s="5">
        <f t="shared" si="1000"/>
        <v>0</v>
      </c>
      <c r="BW1137" s="5">
        <f t="shared" si="1000"/>
        <v>0</v>
      </c>
      <c r="BX1137" s="5">
        <f t="shared" si="1000"/>
        <v>0</v>
      </c>
      <c r="BY1137" s="5">
        <f t="shared" si="1000"/>
        <v>0</v>
      </c>
      <c r="BZ1137" s="5">
        <f t="shared" si="1000"/>
        <v>0</v>
      </c>
      <c r="CA1137" s="5">
        <f t="shared" si="1000"/>
        <v>0</v>
      </c>
      <c r="CB1137" s="5">
        <f t="shared" si="1000"/>
        <v>0</v>
      </c>
      <c r="CC1137" s="5">
        <f t="shared" si="1011"/>
        <v>0</v>
      </c>
      <c r="CD1137" s="5">
        <f t="shared" si="1011"/>
        <v>0</v>
      </c>
      <c r="CE1137" s="5">
        <f t="shared" si="1011"/>
        <v>1</v>
      </c>
    </row>
    <row r="1138" spans="1:83" x14ac:dyDescent="0.2">
      <c r="A1138" s="11"/>
      <c r="B1138" s="11"/>
      <c r="C1138" s="1">
        <f>Growth!D1143</f>
        <v>1.5384615384615385E-2</v>
      </c>
      <c r="D1138" s="5" t="b">
        <f t="shared" si="1002"/>
        <v>0</v>
      </c>
      <c r="E1138" s="5">
        <v>2015</v>
      </c>
      <c r="F1138" s="5">
        <f ca="1">LOOKUP($E1138,frequence!$A$2:$A$35,frequence!L$2:L$35)</f>
        <v>59.915964498406019</v>
      </c>
      <c r="G1138" s="5">
        <f ca="1">LOOKUP($E1138,frequence!$A$2:$A$35,frequence!K$2:K$35)</f>
        <v>12.697082100333608</v>
      </c>
      <c r="H1138" s="5">
        <f ca="1">LOOKUP($E1138,frequence!$A$2:$A$35,frequence!M$2:M$35)</f>
        <v>262.07305844619424</v>
      </c>
      <c r="I1138" s="16">
        <v>2005</v>
      </c>
      <c r="J1138" s="7">
        <f>LOOKUP(I1138,CPI!A$69:A$103,CPI!O$69:O$103)</f>
        <v>1.1165181771633383</v>
      </c>
      <c r="K1138" s="16">
        <v>2015</v>
      </c>
      <c r="L1138" s="7">
        <f t="shared" ca="1" si="954"/>
        <v>1</v>
      </c>
      <c r="M1138" s="7">
        <f t="shared" si="933"/>
        <v>8.461538461538462E-2</v>
      </c>
      <c r="N1138" s="14">
        <f>1/65</f>
        <v>1.5384615384615385E-2</v>
      </c>
      <c r="O1138" s="1">
        <f ca="1">P1138*J1138*(1+Growth!G$6)^(2010-K1138)</f>
        <v>333.13945021069708</v>
      </c>
      <c r="P1138" s="25">
        <f t="shared" si="1008"/>
        <v>321.62758657809229</v>
      </c>
      <c r="Q1138" s="1">
        <f>44/12*87.7166145212979</f>
        <v>321.62758657809229</v>
      </c>
      <c r="R1138" s="21">
        <f t="shared" ca="1" si="988"/>
        <v>110981.89328668552</v>
      </c>
      <c r="U1138" s="11"/>
      <c r="V1138" s="11"/>
      <c r="W1138" s="11"/>
      <c r="X1138" s="11"/>
      <c r="Y1138" s="11"/>
      <c r="Z1138" s="11"/>
      <c r="AA1138" s="11"/>
      <c r="AB1138" s="11"/>
      <c r="AC1138" s="1">
        <f t="shared" si="1009"/>
        <v>5.5</v>
      </c>
      <c r="AD1138" s="5">
        <v>0</v>
      </c>
      <c r="AE1138" s="5">
        <v>0</v>
      </c>
      <c r="AF1138" s="5">
        <v>1</v>
      </c>
      <c r="AG1138" s="5">
        <v>0</v>
      </c>
      <c r="AH1138" s="5">
        <v>1</v>
      </c>
      <c r="AI1138" s="3">
        <f t="shared" si="1010"/>
        <v>3.5</v>
      </c>
      <c r="AJ1138" s="5">
        <f t="shared" si="977"/>
        <v>0</v>
      </c>
      <c r="AK1138" s="5">
        <f t="shared" si="959"/>
        <v>0</v>
      </c>
      <c r="AL1138" s="5">
        <f t="shared" si="960"/>
        <v>1</v>
      </c>
      <c r="AM1138" s="5">
        <f t="shared" si="980"/>
        <v>0</v>
      </c>
      <c r="AN1138" s="5">
        <f t="shared" si="961"/>
        <v>0</v>
      </c>
      <c r="AO1138" s="5">
        <f t="shared" si="981"/>
        <v>0</v>
      </c>
      <c r="AP1138" s="11" t="s">
        <v>42</v>
      </c>
      <c r="AQ1138" s="11">
        <v>1.5</v>
      </c>
      <c r="AR1138" s="5">
        <v>0</v>
      </c>
      <c r="AS1138" s="5">
        <v>0</v>
      </c>
      <c r="AT1138" s="5">
        <v>1</v>
      </c>
      <c r="AU1138" s="5">
        <v>0</v>
      </c>
      <c r="AV1138" s="5">
        <v>0</v>
      </c>
      <c r="AW1138" s="5">
        <v>0</v>
      </c>
      <c r="AX1138" s="5">
        <v>1</v>
      </c>
      <c r="AY1138" s="1">
        <f t="shared" si="1004"/>
        <v>0</v>
      </c>
      <c r="AZ1138" s="1">
        <f t="shared" si="1005"/>
        <v>0</v>
      </c>
      <c r="BA1138" s="1">
        <f t="shared" si="1006"/>
        <v>0</v>
      </c>
      <c r="BB1138" s="5">
        <v>0</v>
      </c>
      <c r="BC1138" s="5">
        <v>1</v>
      </c>
      <c r="BD1138" s="5">
        <v>0</v>
      </c>
      <c r="BE1138" s="5">
        <f t="shared" si="1007"/>
        <v>0</v>
      </c>
      <c r="BF1138" s="5">
        <v>1</v>
      </c>
      <c r="BG1138" s="5">
        <f t="shared" si="1001"/>
        <v>0</v>
      </c>
      <c r="BH1138" s="5">
        <f t="shared" si="1001"/>
        <v>0</v>
      </c>
      <c r="BI1138" s="5">
        <f t="shared" si="1001"/>
        <v>0</v>
      </c>
      <c r="BJ1138" s="5">
        <f t="shared" si="1001"/>
        <v>0</v>
      </c>
      <c r="BK1138" s="5">
        <f t="shared" si="1001"/>
        <v>0</v>
      </c>
      <c r="BL1138" s="5">
        <f t="shared" si="1001"/>
        <v>0</v>
      </c>
      <c r="BM1138" s="5">
        <f t="shared" si="1001"/>
        <v>0</v>
      </c>
      <c r="BN1138" s="5">
        <f t="shared" si="1000"/>
        <v>0</v>
      </c>
      <c r="BO1138" s="5">
        <f t="shared" si="1000"/>
        <v>0</v>
      </c>
      <c r="BP1138" s="5">
        <f t="shared" si="1000"/>
        <v>0</v>
      </c>
      <c r="BQ1138" s="5">
        <f t="shared" si="1000"/>
        <v>0</v>
      </c>
      <c r="BR1138" s="5">
        <f t="shared" si="1000"/>
        <v>0</v>
      </c>
      <c r="BS1138" s="5">
        <f t="shared" si="1000"/>
        <v>0</v>
      </c>
      <c r="BT1138" s="5">
        <f t="shared" si="1000"/>
        <v>0</v>
      </c>
      <c r="BU1138" s="5">
        <f t="shared" si="1000"/>
        <v>0</v>
      </c>
      <c r="BV1138" s="5">
        <f t="shared" si="1000"/>
        <v>0</v>
      </c>
      <c r="BW1138" s="5">
        <f t="shared" si="1000"/>
        <v>0</v>
      </c>
      <c r="BX1138" s="5">
        <f t="shared" si="1000"/>
        <v>0</v>
      </c>
      <c r="BY1138" s="5">
        <f t="shared" si="1000"/>
        <v>0</v>
      </c>
      <c r="BZ1138" s="5">
        <f t="shared" si="1000"/>
        <v>0</v>
      </c>
      <c r="CA1138" s="5">
        <f t="shared" si="1000"/>
        <v>0</v>
      </c>
      <c r="CB1138" s="5">
        <f t="shared" si="1000"/>
        <v>0</v>
      </c>
      <c r="CC1138" s="5">
        <f t="shared" si="1011"/>
        <v>0</v>
      </c>
      <c r="CD1138" s="5">
        <f t="shared" si="1011"/>
        <v>0</v>
      </c>
      <c r="CE1138" s="5">
        <f t="shared" si="1011"/>
        <v>1</v>
      </c>
    </row>
    <row r="1139" spans="1:83" x14ac:dyDescent="0.2">
      <c r="A1139" s="11"/>
      <c r="B1139" s="11"/>
      <c r="C1139" s="1">
        <f>Growth!D1144</f>
        <v>1.5384615384615385E-2</v>
      </c>
      <c r="D1139" s="5" t="b">
        <f t="shared" si="1002"/>
        <v>0</v>
      </c>
      <c r="E1139" s="5">
        <v>2015</v>
      </c>
      <c r="F1139" s="5">
        <f ca="1">LOOKUP($E1139,frequence!$A$2:$A$35,frequence!L$2:L$35)</f>
        <v>59.915964498406019</v>
      </c>
      <c r="G1139" s="5">
        <f ca="1">LOOKUP($E1139,frequence!$A$2:$A$35,frequence!K$2:K$35)</f>
        <v>12.697082100333608</v>
      </c>
      <c r="H1139" s="5">
        <f ca="1">LOOKUP($E1139,frequence!$A$2:$A$35,frequence!M$2:M$35)</f>
        <v>262.07305844619424</v>
      </c>
      <c r="I1139" s="16">
        <v>2005</v>
      </c>
      <c r="J1139" s="7">
        <f>LOOKUP(I1139,CPI!A$69:A$103,CPI!O$69:O$103)</f>
        <v>1.1165181771633383</v>
      </c>
      <c r="K1139" s="16">
        <v>2015</v>
      </c>
      <c r="L1139" s="7">
        <f t="shared" ca="1" si="954"/>
        <v>1</v>
      </c>
      <c r="M1139" s="7">
        <f t="shared" si="933"/>
        <v>8.461538461538462E-2</v>
      </c>
      <c r="N1139" s="14">
        <f>1/65</f>
        <v>1.5384615384615385E-2</v>
      </c>
      <c r="O1139" s="1">
        <f ca="1">P1139*J1139*(1+Growth!G$6)^(2010-K1139)</f>
        <v>0.51596967628142287</v>
      </c>
      <c r="P1139" s="25">
        <f t="shared" si="1008"/>
        <v>0.49813998799877035</v>
      </c>
      <c r="Q1139" s="1">
        <f>44/12*0.135856360363301</f>
        <v>0.49813998799877035</v>
      </c>
      <c r="R1139" s="21">
        <f t="shared" ca="1" si="988"/>
        <v>0.26622470684195632</v>
      </c>
      <c r="U1139" s="11"/>
      <c r="V1139" s="11"/>
      <c r="W1139" s="11"/>
      <c r="X1139" s="11"/>
      <c r="Y1139" s="11"/>
      <c r="Z1139" s="11"/>
      <c r="AA1139" s="11"/>
      <c r="AB1139" s="11"/>
      <c r="AC1139" s="1">
        <f t="shared" si="1009"/>
        <v>5.5</v>
      </c>
      <c r="AD1139" s="5">
        <v>0</v>
      </c>
      <c r="AE1139" s="5">
        <v>0</v>
      </c>
      <c r="AF1139" s="5">
        <v>1</v>
      </c>
      <c r="AG1139" s="5">
        <v>0</v>
      </c>
      <c r="AH1139" s="5">
        <v>1</v>
      </c>
      <c r="AI1139" s="3">
        <f t="shared" si="1010"/>
        <v>3.5</v>
      </c>
      <c r="AJ1139" s="5">
        <f t="shared" si="977"/>
        <v>0</v>
      </c>
      <c r="AK1139" s="5">
        <f t="shared" si="959"/>
        <v>0</v>
      </c>
      <c r="AL1139" s="5">
        <f t="shared" si="960"/>
        <v>1</v>
      </c>
      <c r="AM1139" s="5">
        <f t="shared" si="980"/>
        <v>0</v>
      </c>
      <c r="AN1139" s="5">
        <f t="shared" si="961"/>
        <v>0</v>
      </c>
      <c r="AO1139" s="5">
        <f t="shared" si="981"/>
        <v>0</v>
      </c>
      <c r="AP1139" s="11" t="s">
        <v>42</v>
      </c>
      <c r="AQ1139" s="11">
        <v>1.5</v>
      </c>
      <c r="AR1139" s="5">
        <v>0</v>
      </c>
      <c r="AS1139" s="5">
        <v>0</v>
      </c>
      <c r="AT1139" s="5">
        <v>1</v>
      </c>
      <c r="AU1139" s="5">
        <v>0</v>
      </c>
      <c r="AV1139" s="5">
        <v>0</v>
      </c>
      <c r="AW1139" s="5">
        <v>0</v>
      </c>
      <c r="AX1139" s="5">
        <v>1</v>
      </c>
      <c r="AY1139" s="1">
        <f t="shared" si="1004"/>
        <v>0</v>
      </c>
      <c r="AZ1139" s="1">
        <f t="shared" si="1005"/>
        <v>0</v>
      </c>
      <c r="BA1139" s="1">
        <f t="shared" si="1006"/>
        <v>0</v>
      </c>
      <c r="BB1139" s="5">
        <v>0</v>
      </c>
      <c r="BC1139" s="5">
        <v>1</v>
      </c>
      <c r="BD1139" s="5">
        <v>0</v>
      </c>
      <c r="BE1139" s="5">
        <f t="shared" si="1007"/>
        <v>0</v>
      </c>
      <c r="BF1139" s="5">
        <v>1</v>
      </c>
      <c r="BG1139" s="5">
        <f t="shared" si="1001"/>
        <v>0</v>
      </c>
      <c r="BH1139" s="5">
        <f t="shared" si="1001"/>
        <v>0</v>
      </c>
      <c r="BI1139" s="5">
        <f t="shared" si="1001"/>
        <v>0</v>
      </c>
      <c r="BJ1139" s="5">
        <f t="shared" si="1001"/>
        <v>0</v>
      </c>
      <c r="BK1139" s="5">
        <f t="shared" si="1001"/>
        <v>0</v>
      </c>
      <c r="BL1139" s="5">
        <f t="shared" si="1001"/>
        <v>0</v>
      </c>
      <c r="BM1139" s="5">
        <f t="shared" si="1001"/>
        <v>0</v>
      </c>
      <c r="BN1139" s="5">
        <f t="shared" si="1000"/>
        <v>0</v>
      </c>
      <c r="BO1139" s="5">
        <f t="shared" si="1000"/>
        <v>0</v>
      </c>
      <c r="BP1139" s="5">
        <f t="shared" si="1000"/>
        <v>0</v>
      </c>
      <c r="BQ1139" s="5">
        <f t="shared" si="1000"/>
        <v>0</v>
      </c>
      <c r="BR1139" s="5">
        <f t="shared" si="1000"/>
        <v>0</v>
      </c>
      <c r="BS1139" s="5">
        <f t="shared" si="1000"/>
        <v>0</v>
      </c>
      <c r="BT1139" s="5">
        <f t="shared" si="1000"/>
        <v>0</v>
      </c>
      <c r="BU1139" s="5">
        <f t="shared" si="1000"/>
        <v>0</v>
      </c>
      <c r="BV1139" s="5">
        <f t="shared" si="1000"/>
        <v>0</v>
      </c>
      <c r="BW1139" s="5">
        <f t="shared" si="1000"/>
        <v>0</v>
      </c>
      <c r="BX1139" s="5">
        <f t="shared" si="1000"/>
        <v>0</v>
      </c>
      <c r="BY1139" s="5">
        <f t="shared" si="1000"/>
        <v>0</v>
      </c>
      <c r="BZ1139" s="5">
        <f t="shared" si="1000"/>
        <v>0</v>
      </c>
      <c r="CA1139" s="5">
        <f t="shared" si="1000"/>
        <v>0</v>
      </c>
      <c r="CB1139" s="5">
        <f t="shared" si="1000"/>
        <v>0</v>
      </c>
      <c r="CC1139" s="5">
        <f t="shared" si="1011"/>
        <v>0</v>
      </c>
      <c r="CD1139" s="5">
        <f t="shared" si="1011"/>
        <v>0</v>
      </c>
      <c r="CE1139" s="5">
        <f t="shared" si="1011"/>
        <v>1</v>
      </c>
    </row>
    <row r="1140" spans="1:83" x14ac:dyDescent="0.2">
      <c r="A1140" s="11"/>
      <c r="B1140" s="11"/>
      <c r="C1140" s="1">
        <f>Growth!D1145</f>
        <v>4.6153846153846156E-2</v>
      </c>
      <c r="D1140" s="5" t="b">
        <f t="shared" si="1002"/>
        <v>0</v>
      </c>
      <c r="E1140" s="5">
        <v>2015</v>
      </c>
      <c r="F1140" s="5">
        <f ca="1">LOOKUP($E1140,frequence!$A$2:$A$35,frequence!L$2:L$35)</f>
        <v>59.915964498406019</v>
      </c>
      <c r="G1140" s="5">
        <f ca="1">LOOKUP($E1140,frequence!$A$2:$A$35,frequence!K$2:K$35)</f>
        <v>12.697082100333608</v>
      </c>
      <c r="H1140" s="5">
        <f ca="1">LOOKUP($E1140,frequence!$A$2:$A$35,frequence!M$2:M$35)</f>
        <v>262.07305844619424</v>
      </c>
      <c r="I1140" s="16">
        <v>2005</v>
      </c>
      <c r="J1140" s="7">
        <f>LOOKUP(I1140,CPI!A$69:A$103,CPI!O$69:O$103)</f>
        <v>1.1165181771633383</v>
      </c>
      <c r="K1140" s="16">
        <v>2015</v>
      </c>
      <c r="L1140" s="7">
        <f t="shared" ca="1" si="954"/>
        <v>1</v>
      </c>
      <c r="M1140" s="7">
        <f t="shared" si="933"/>
        <v>0.25384615384615383</v>
      </c>
      <c r="N1140" s="14">
        <f>3/65</f>
        <v>4.6153846153846156E-2</v>
      </c>
      <c r="O1140" s="1">
        <f ca="1">P1140*J1140*(1+Growth!G$6)^(2010-K1140)</f>
        <v>0.74594453898196278</v>
      </c>
      <c r="P1140" s="25">
        <f t="shared" si="1008"/>
        <v>0.720167910591613</v>
      </c>
      <c r="Q1140" s="1">
        <f>44/12*0.196409430161349</f>
        <v>0.720167910591613</v>
      </c>
      <c r="R1140" s="21">
        <f t="shared" ca="1" si="988"/>
        <v>0.55643325523701304</v>
      </c>
      <c r="U1140" s="11"/>
      <c r="V1140" s="11"/>
      <c r="W1140" s="11"/>
      <c r="X1140" s="11"/>
      <c r="Y1140" s="11"/>
      <c r="Z1140" s="11"/>
      <c r="AA1140" s="11"/>
      <c r="AB1140" s="11"/>
      <c r="AC1140" s="1">
        <f t="shared" si="1009"/>
        <v>5.5</v>
      </c>
      <c r="AD1140" s="5">
        <v>0</v>
      </c>
      <c r="AE1140" s="5">
        <v>0</v>
      </c>
      <c r="AF1140" s="5">
        <v>1</v>
      </c>
      <c r="AG1140" s="5">
        <v>0</v>
      </c>
      <c r="AH1140" s="5">
        <v>1</v>
      </c>
      <c r="AI1140" s="3">
        <f t="shared" si="1010"/>
        <v>3.5</v>
      </c>
      <c r="AJ1140" s="5">
        <f t="shared" si="977"/>
        <v>0</v>
      </c>
      <c r="AK1140" s="5">
        <f t="shared" si="959"/>
        <v>0</v>
      </c>
      <c r="AL1140" s="5">
        <f t="shared" si="960"/>
        <v>1</v>
      </c>
      <c r="AM1140" s="5">
        <f t="shared" si="980"/>
        <v>0</v>
      </c>
      <c r="AN1140" s="5">
        <f t="shared" si="961"/>
        <v>0</v>
      </c>
      <c r="AO1140" s="5">
        <f t="shared" si="981"/>
        <v>0</v>
      </c>
      <c r="AP1140" s="11" t="s">
        <v>42</v>
      </c>
      <c r="AQ1140" s="11">
        <v>1.5</v>
      </c>
      <c r="AR1140" s="5">
        <v>0</v>
      </c>
      <c r="AS1140" s="5">
        <v>0</v>
      </c>
      <c r="AT1140" s="5">
        <v>1</v>
      </c>
      <c r="AU1140" s="5">
        <v>0</v>
      </c>
      <c r="AV1140" s="5">
        <v>0</v>
      </c>
      <c r="AW1140" s="5">
        <v>0</v>
      </c>
      <c r="AX1140" s="5">
        <v>1</v>
      </c>
      <c r="AY1140" s="1">
        <f t="shared" si="1004"/>
        <v>0</v>
      </c>
      <c r="AZ1140" s="1">
        <f t="shared" si="1005"/>
        <v>0</v>
      </c>
      <c r="BA1140" s="1">
        <f t="shared" si="1006"/>
        <v>0</v>
      </c>
      <c r="BB1140" s="5">
        <v>0</v>
      </c>
      <c r="BC1140" s="5">
        <v>1</v>
      </c>
      <c r="BD1140" s="5">
        <v>0</v>
      </c>
      <c r="BE1140" s="5">
        <f t="shared" si="1007"/>
        <v>0</v>
      </c>
      <c r="BF1140" s="5">
        <v>1</v>
      </c>
      <c r="BG1140" s="5">
        <f t="shared" si="1001"/>
        <v>0</v>
      </c>
      <c r="BH1140" s="5">
        <f t="shared" si="1001"/>
        <v>0</v>
      </c>
      <c r="BI1140" s="5">
        <f t="shared" si="1001"/>
        <v>0</v>
      </c>
      <c r="BJ1140" s="5">
        <f t="shared" si="1001"/>
        <v>0</v>
      </c>
      <c r="BK1140" s="5">
        <f t="shared" si="1001"/>
        <v>0</v>
      </c>
      <c r="BL1140" s="5">
        <f t="shared" si="1001"/>
        <v>0</v>
      </c>
      <c r="BM1140" s="5">
        <f t="shared" si="1001"/>
        <v>0</v>
      </c>
      <c r="BN1140" s="5">
        <f t="shared" si="1001"/>
        <v>0</v>
      </c>
      <c r="BO1140" s="5">
        <f t="shared" ref="BO1140:CC1155" si="1012">IF($E1140=BO$2,1,0)</f>
        <v>0</v>
      </c>
      <c r="BP1140" s="5">
        <f t="shared" si="1012"/>
        <v>0</v>
      </c>
      <c r="BQ1140" s="5">
        <f t="shared" si="1012"/>
        <v>0</v>
      </c>
      <c r="BR1140" s="5">
        <f t="shared" si="1012"/>
        <v>0</v>
      </c>
      <c r="BS1140" s="5">
        <f t="shared" si="1012"/>
        <v>0</v>
      </c>
      <c r="BT1140" s="5">
        <f t="shared" si="1012"/>
        <v>0</v>
      </c>
      <c r="BU1140" s="5">
        <f t="shared" si="1012"/>
        <v>0</v>
      </c>
      <c r="BV1140" s="5">
        <f t="shared" si="1012"/>
        <v>0</v>
      </c>
      <c r="BW1140" s="5">
        <f t="shared" si="1012"/>
        <v>0</v>
      </c>
      <c r="BX1140" s="5">
        <f t="shared" si="1012"/>
        <v>0</v>
      </c>
      <c r="BY1140" s="5">
        <f t="shared" si="1012"/>
        <v>0</v>
      </c>
      <c r="BZ1140" s="5">
        <f t="shared" si="1012"/>
        <v>0</v>
      </c>
      <c r="CA1140" s="5">
        <f t="shared" si="1012"/>
        <v>0</v>
      </c>
      <c r="CB1140" s="5">
        <f t="shared" si="1012"/>
        <v>0</v>
      </c>
      <c r="CC1140" s="5">
        <f t="shared" si="1011"/>
        <v>0</v>
      </c>
      <c r="CD1140" s="5">
        <f t="shared" si="1011"/>
        <v>0</v>
      </c>
      <c r="CE1140" s="5">
        <f t="shared" si="1011"/>
        <v>1</v>
      </c>
    </row>
    <row r="1141" spans="1:83" x14ac:dyDescent="0.2">
      <c r="A1141" s="11"/>
      <c r="B1141" s="11"/>
      <c r="C1141" s="1">
        <f>Growth!D1146</f>
        <v>6.1538461538461542E-2</v>
      </c>
      <c r="D1141" s="5" t="b">
        <f t="shared" si="1002"/>
        <v>0</v>
      </c>
      <c r="E1141" s="5">
        <v>2015</v>
      </c>
      <c r="F1141" s="5">
        <f ca="1">LOOKUP($E1141,frequence!$A$2:$A$35,frequence!L$2:L$35)</f>
        <v>59.915964498406019</v>
      </c>
      <c r="G1141" s="5">
        <f ca="1">LOOKUP($E1141,frequence!$A$2:$A$35,frequence!K$2:K$35)</f>
        <v>12.697082100333608</v>
      </c>
      <c r="H1141" s="5">
        <f ca="1">LOOKUP($E1141,frequence!$A$2:$A$35,frequence!M$2:M$35)</f>
        <v>262.07305844619424</v>
      </c>
      <c r="I1141" s="16">
        <v>2005</v>
      </c>
      <c r="J1141" s="7">
        <f>LOOKUP(I1141,CPI!A$69:A$103,CPI!O$69:O$103)</f>
        <v>1.1165181771633383</v>
      </c>
      <c r="K1141" s="16">
        <v>2015</v>
      </c>
      <c r="L1141" s="7">
        <f t="shared" ca="1" si="954"/>
        <v>1</v>
      </c>
      <c r="M1141" s="7">
        <f t="shared" ref="M1141:M1151" si="1013">N1141*AC1141</f>
        <v>0.33846153846153848</v>
      </c>
      <c r="N1141" s="14">
        <f>4/65</f>
        <v>6.1538461538461542E-2</v>
      </c>
      <c r="O1141" s="1">
        <f ca="1">P1141*J1141*(1+Growth!G$6)^(2010-K1141)</f>
        <v>1.85188437004198</v>
      </c>
      <c r="P1141" s="25">
        <f t="shared" si="1008"/>
        <v>1.7878912274772303</v>
      </c>
      <c r="Q1141" s="1">
        <f>44/12*0.487606698402881</f>
        <v>1.7878912274772303</v>
      </c>
      <c r="R1141" s="21">
        <f t="shared" ca="1" si="988"/>
        <v>3.4294757200057813</v>
      </c>
      <c r="U1141" s="11"/>
      <c r="V1141" s="11"/>
      <c r="W1141" s="11"/>
      <c r="X1141" s="11"/>
      <c r="Y1141" s="11"/>
      <c r="Z1141" s="11"/>
      <c r="AA1141" s="11"/>
      <c r="AB1141" s="11"/>
      <c r="AC1141" s="1">
        <f t="shared" si="1009"/>
        <v>5.5</v>
      </c>
      <c r="AD1141" s="5">
        <v>0</v>
      </c>
      <c r="AE1141" s="5">
        <v>0</v>
      </c>
      <c r="AF1141" s="5">
        <v>1</v>
      </c>
      <c r="AG1141" s="5">
        <v>0</v>
      </c>
      <c r="AH1141" s="5">
        <v>1</v>
      </c>
      <c r="AI1141" s="3">
        <f t="shared" si="1010"/>
        <v>3.5</v>
      </c>
      <c r="AJ1141" s="5">
        <f t="shared" si="977"/>
        <v>0</v>
      </c>
      <c r="AK1141" s="5">
        <f t="shared" si="959"/>
        <v>0</v>
      </c>
      <c r="AL1141" s="5">
        <f t="shared" si="960"/>
        <v>1</v>
      </c>
      <c r="AM1141" s="5">
        <f t="shared" si="980"/>
        <v>0</v>
      </c>
      <c r="AN1141" s="5">
        <f t="shared" si="961"/>
        <v>0</v>
      </c>
      <c r="AO1141" s="5">
        <f t="shared" si="981"/>
        <v>0</v>
      </c>
      <c r="AP1141" s="11" t="s">
        <v>42</v>
      </c>
      <c r="AQ1141" s="11">
        <v>1.5</v>
      </c>
      <c r="AR1141" s="5">
        <v>0</v>
      </c>
      <c r="AS1141" s="5">
        <v>0</v>
      </c>
      <c r="AT1141" s="5">
        <v>1</v>
      </c>
      <c r="AU1141" s="5">
        <v>0</v>
      </c>
      <c r="AV1141" s="5">
        <v>0</v>
      </c>
      <c r="AW1141" s="5">
        <v>0</v>
      </c>
      <c r="AX1141" s="5">
        <v>1</v>
      </c>
      <c r="AY1141" s="1">
        <f t="shared" si="1004"/>
        <v>0</v>
      </c>
      <c r="AZ1141" s="1">
        <f t="shared" si="1005"/>
        <v>0</v>
      </c>
      <c r="BA1141" s="1">
        <f t="shared" si="1006"/>
        <v>0</v>
      </c>
      <c r="BB1141" s="5">
        <v>0</v>
      </c>
      <c r="BC1141" s="5">
        <v>1</v>
      </c>
      <c r="BD1141" s="5">
        <v>0</v>
      </c>
      <c r="BE1141" s="5">
        <f t="shared" si="1007"/>
        <v>0</v>
      </c>
      <c r="BF1141" s="5">
        <v>1</v>
      </c>
      <c r="BG1141" s="5">
        <f t="shared" ref="BG1141:BN1156" si="1014">IF($E1141=BG$2,1,0)</f>
        <v>0</v>
      </c>
      <c r="BH1141" s="5">
        <f t="shared" si="1014"/>
        <v>0</v>
      </c>
      <c r="BI1141" s="5">
        <f t="shared" si="1014"/>
        <v>0</v>
      </c>
      <c r="BJ1141" s="5">
        <f t="shared" si="1014"/>
        <v>0</v>
      </c>
      <c r="BK1141" s="5">
        <f t="shared" si="1014"/>
        <v>0</v>
      </c>
      <c r="BL1141" s="5">
        <f t="shared" si="1014"/>
        <v>0</v>
      </c>
      <c r="BM1141" s="5">
        <f t="shared" si="1014"/>
        <v>0</v>
      </c>
      <c r="BN1141" s="5">
        <f t="shared" si="1014"/>
        <v>0</v>
      </c>
      <c r="BO1141" s="5">
        <f t="shared" si="1012"/>
        <v>0</v>
      </c>
      <c r="BP1141" s="5">
        <f t="shared" si="1012"/>
        <v>0</v>
      </c>
      <c r="BQ1141" s="5">
        <f t="shared" si="1012"/>
        <v>0</v>
      </c>
      <c r="BR1141" s="5">
        <f t="shared" si="1012"/>
        <v>0</v>
      </c>
      <c r="BS1141" s="5">
        <f t="shared" si="1012"/>
        <v>0</v>
      </c>
      <c r="BT1141" s="5">
        <f t="shared" si="1012"/>
        <v>0</v>
      </c>
      <c r="BU1141" s="5">
        <f t="shared" si="1012"/>
        <v>0</v>
      </c>
      <c r="BV1141" s="5">
        <f t="shared" si="1012"/>
        <v>0</v>
      </c>
      <c r="BW1141" s="5">
        <f t="shared" si="1012"/>
        <v>0</v>
      </c>
      <c r="BX1141" s="5">
        <f t="shared" si="1012"/>
        <v>0</v>
      </c>
      <c r="BY1141" s="5">
        <f t="shared" si="1012"/>
        <v>0</v>
      </c>
      <c r="BZ1141" s="5">
        <f t="shared" si="1012"/>
        <v>0</v>
      </c>
      <c r="CA1141" s="5">
        <f t="shared" si="1012"/>
        <v>0</v>
      </c>
      <c r="CB1141" s="5">
        <f t="shared" si="1012"/>
        <v>0</v>
      </c>
      <c r="CC1141" s="5">
        <f t="shared" si="1011"/>
        <v>0</v>
      </c>
      <c r="CD1141" s="5">
        <f t="shared" si="1011"/>
        <v>0</v>
      </c>
      <c r="CE1141" s="5">
        <f t="shared" si="1011"/>
        <v>1</v>
      </c>
    </row>
    <row r="1142" spans="1:83" x14ac:dyDescent="0.2">
      <c r="A1142" s="11"/>
      <c r="B1142" s="11"/>
      <c r="C1142" s="1">
        <f>Growth!D1147</f>
        <v>7.6923076923076927E-2</v>
      </c>
      <c r="D1142" s="5" t="b">
        <f t="shared" si="1002"/>
        <v>0</v>
      </c>
      <c r="E1142" s="5">
        <v>2015</v>
      </c>
      <c r="F1142" s="5">
        <f ca="1">LOOKUP($E1142,frequence!$A$2:$A$35,frequence!L$2:L$35)</f>
        <v>59.915964498406019</v>
      </c>
      <c r="G1142" s="5">
        <f ca="1">LOOKUP($E1142,frequence!$A$2:$A$35,frequence!K$2:K$35)</f>
        <v>12.697082100333608</v>
      </c>
      <c r="H1142" s="5">
        <f ca="1">LOOKUP($E1142,frequence!$A$2:$A$35,frequence!M$2:M$35)</f>
        <v>262.07305844619424</v>
      </c>
      <c r="I1142" s="16">
        <v>2005</v>
      </c>
      <c r="J1142" s="7">
        <f>LOOKUP(I1142,CPI!A$69:A$103,CPI!O$69:O$103)</f>
        <v>1.1165181771633383</v>
      </c>
      <c r="K1142" s="16">
        <v>2015</v>
      </c>
      <c r="L1142" s="7">
        <f t="shared" ca="1" si="954"/>
        <v>1</v>
      </c>
      <c r="M1142" s="7">
        <f t="shared" si="1013"/>
        <v>0.42307692307692313</v>
      </c>
      <c r="N1142" s="14">
        <f>5/65</f>
        <v>7.6923076923076927E-2</v>
      </c>
      <c r="O1142" s="1">
        <f ca="1">P1142*J1142*(1+Growth!G$6)^(2010-K1142)</f>
        <v>9.856368625662542</v>
      </c>
      <c r="P1142" s="25">
        <f t="shared" si="1008"/>
        <v>9.5157750050044374</v>
      </c>
      <c r="Q1142" s="1">
        <f>44/12*2.59521136500121</f>
        <v>9.5157750050044374</v>
      </c>
      <c r="R1142" s="21">
        <f t="shared" ca="1" si="988"/>
        <v>97.148002484944911</v>
      </c>
      <c r="U1142" s="11"/>
      <c r="V1142" s="11"/>
      <c r="W1142" s="11"/>
      <c r="X1142" s="11"/>
      <c r="Y1142" s="11"/>
      <c r="Z1142" s="11"/>
      <c r="AA1142" s="11"/>
      <c r="AB1142" s="11"/>
      <c r="AC1142" s="1">
        <f t="shared" si="1009"/>
        <v>5.5</v>
      </c>
      <c r="AD1142" s="5">
        <v>0</v>
      </c>
      <c r="AE1142" s="5">
        <v>0</v>
      </c>
      <c r="AF1142" s="5">
        <v>1</v>
      </c>
      <c r="AG1142" s="5">
        <v>0</v>
      </c>
      <c r="AH1142" s="5">
        <v>1</v>
      </c>
      <c r="AI1142" s="3">
        <f t="shared" si="1010"/>
        <v>3.5</v>
      </c>
      <c r="AJ1142" s="5">
        <f t="shared" si="977"/>
        <v>0</v>
      </c>
      <c r="AK1142" s="5">
        <f t="shared" si="959"/>
        <v>0</v>
      </c>
      <c r="AL1142" s="5">
        <f t="shared" si="960"/>
        <v>1</v>
      </c>
      <c r="AM1142" s="5">
        <f t="shared" si="980"/>
        <v>0</v>
      </c>
      <c r="AN1142" s="5">
        <f t="shared" si="961"/>
        <v>0</v>
      </c>
      <c r="AO1142" s="5">
        <f t="shared" si="981"/>
        <v>0</v>
      </c>
      <c r="AP1142" s="11" t="s">
        <v>42</v>
      </c>
      <c r="AQ1142" s="11">
        <v>1.5</v>
      </c>
      <c r="AR1142" s="5">
        <v>0</v>
      </c>
      <c r="AS1142" s="5">
        <v>0</v>
      </c>
      <c r="AT1142" s="5">
        <v>1</v>
      </c>
      <c r="AU1142" s="5">
        <v>0</v>
      </c>
      <c r="AV1142" s="5">
        <v>0</v>
      </c>
      <c r="AW1142" s="5">
        <v>0</v>
      </c>
      <c r="AX1142" s="5">
        <v>1</v>
      </c>
      <c r="AY1142" s="1">
        <f t="shared" si="1004"/>
        <v>0</v>
      </c>
      <c r="AZ1142" s="1">
        <f t="shared" si="1005"/>
        <v>0</v>
      </c>
      <c r="BA1142" s="1">
        <f t="shared" si="1006"/>
        <v>0</v>
      </c>
      <c r="BB1142" s="5">
        <v>0</v>
      </c>
      <c r="BC1142" s="5">
        <v>1</v>
      </c>
      <c r="BD1142" s="5">
        <v>0</v>
      </c>
      <c r="BE1142" s="5">
        <f t="shared" si="1007"/>
        <v>0</v>
      </c>
      <c r="BF1142" s="5">
        <v>1</v>
      </c>
      <c r="BG1142" s="5">
        <f t="shared" si="1014"/>
        <v>0</v>
      </c>
      <c r="BH1142" s="5">
        <f t="shared" si="1014"/>
        <v>0</v>
      </c>
      <c r="BI1142" s="5">
        <f t="shared" si="1014"/>
        <v>0</v>
      </c>
      <c r="BJ1142" s="5">
        <f t="shared" si="1014"/>
        <v>0</v>
      </c>
      <c r="BK1142" s="5">
        <f t="shared" si="1014"/>
        <v>0</v>
      </c>
      <c r="BL1142" s="5">
        <f t="shared" si="1014"/>
        <v>0</v>
      </c>
      <c r="BM1142" s="5">
        <f t="shared" si="1014"/>
        <v>0</v>
      </c>
      <c r="BN1142" s="5">
        <f t="shared" si="1014"/>
        <v>0</v>
      </c>
      <c r="BO1142" s="5">
        <f t="shared" si="1012"/>
        <v>0</v>
      </c>
      <c r="BP1142" s="5">
        <f t="shared" si="1012"/>
        <v>0</v>
      </c>
      <c r="BQ1142" s="5">
        <f t="shared" si="1012"/>
        <v>0</v>
      </c>
      <c r="BR1142" s="5">
        <f t="shared" si="1012"/>
        <v>0</v>
      </c>
      <c r="BS1142" s="5">
        <f t="shared" si="1012"/>
        <v>0</v>
      </c>
      <c r="BT1142" s="5">
        <f t="shared" si="1012"/>
        <v>0</v>
      </c>
      <c r="BU1142" s="5">
        <f t="shared" si="1012"/>
        <v>0</v>
      </c>
      <c r="BV1142" s="5">
        <f t="shared" si="1012"/>
        <v>0</v>
      </c>
      <c r="BW1142" s="5">
        <f t="shared" si="1012"/>
        <v>0</v>
      </c>
      <c r="BX1142" s="5">
        <f t="shared" si="1012"/>
        <v>0</v>
      </c>
      <c r="BY1142" s="5">
        <f t="shared" si="1012"/>
        <v>0</v>
      </c>
      <c r="BZ1142" s="5">
        <f t="shared" si="1012"/>
        <v>0</v>
      </c>
      <c r="CA1142" s="5">
        <f t="shared" si="1012"/>
        <v>0</v>
      </c>
      <c r="CB1142" s="5">
        <f t="shared" si="1012"/>
        <v>0</v>
      </c>
      <c r="CC1142" s="5">
        <f t="shared" si="1011"/>
        <v>0</v>
      </c>
      <c r="CD1142" s="5">
        <f t="shared" si="1011"/>
        <v>0</v>
      </c>
      <c r="CE1142" s="5">
        <f t="shared" si="1011"/>
        <v>1</v>
      </c>
    </row>
    <row r="1143" spans="1:83" x14ac:dyDescent="0.2">
      <c r="A1143" s="11"/>
      <c r="B1143" s="11"/>
      <c r="C1143" s="1">
        <f>Growth!D1148</f>
        <v>9.2307692307692313E-2</v>
      </c>
      <c r="D1143" s="5" t="b">
        <f t="shared" si="1002"/>
        <v>0</v>
      </c>
      <c r="E1143" s="5">
        <v>2015</v>
      </c>
      <c r="F1143" s="5">
        <f ca="1">LOOKUP($E1143,frequence!$A$2:$A$35,frequence!L$2:L$35)</f>
        <v>59.915964498406019</v>
      </c>
      <c r="G1143" s="5">
        <f ca="1">LOOKUP($E1143,frequence!$A$2:$A$35,frequence!K$2:K$35)</f>
        <v>12.697082100333608</v>
      </c>
      <c r="H1143" s="5">
        <f ca="1">LOOKUP($E1143,frequence!$A$2:$A$35,frequence!M$2:M$35)</f>
        <v>262.07305844619424</v>
      </c>
      <c r="I1143" s="16">
        <v>2005</v>
      </c>
      <c r="J1143" s="7">
        <f>LOOKUP(I1143,CPI!A$69:A$103,CPI!O$69:O$103)</f>
        <v>1.1165181771633383</v>
      </c>
      <c r="K1143" s="16">
        <v>2015</v>
      </c>
      <c r="L1143" s="7">
        <f t="shared" ca="1" si="954"/>
        <v>1</v>
      </c>
      <c r="M1143" s="7">
        <f t="shared" si="1013"/>
        <v>0.50769230769230766</v>
      </c>
      <c r="N1143" s="14">
        <f>6/65</f>
        <v>9.2307692307692313E-2</v>
      </c>
      <c r="O1143" s="1">
        <f ca="1">P1143*J1143*(1+Growth!G$6)^(2010-K1143)</f>
        <v>84.789971164778507</v>
      </c>
      <c r="P1143" s="25">
        <f t="shared" si="1008"/>
        <v>81.859995189720365</v>
      </c>
      <c r="Q1143" s="1">
        <f>44/12*22.3254532335601</f>
        <v>81.859995189720365</v>
      </c>
      <c r="R1143" s="21">
        <f t="shared" ca="1" si="988"/>
        <v>7189.3392101239706</v>
      </c>
      <c r="U1143" s="11"/>
      <c r="V1143" s="11"/>
      <c r="W1143" s="11"/>
      <c r="X1143" s="11"/>
      <c r="Y1143" s="11"/>
      <c r="Z1143" s="11"/>
      <c r="AA1143" s="11"/>
      <c r="AB1143" s="11"/>
      <c r="AC1143" s="1">
        <f t="shared" si="1009"/>
        <v>5.5</v>
      </c>
      <c r="AD1143" s="5">
        <v>0</v>
      </c>
      <c r="AE1143" s="5">
        <v>0</v>
      </c>
      <c r="AF1143" s="5">
        <v>1</v>
      </c>
      <c r="AG1143" s="5">
        <v>0</v>
      </c>
      <c r="AH1143" s="5">
        <v>1</v>
      </c>
      <c r="AI1143" s="3">
        <f t="shared" si="1010"/>
        <v>3.5</v>
      </c>
      <c r="AJ1143" s="5">
        <f t="shared" si="977"/>
        <v>0</v>
      </c>
      <c r="AK1143" s="5">
        <f t="shared" si="959"/>
        <v>0</v>
      </c>
      <c r="AL1143" s="5">
        <f t="shared" si="960"/>
        <v>1</v>
      </c>
      <c r="AM1143" s="5">
        <f t="shared" si="980"/>
        <v>0</v>
      </c>
      <c r="AN1143" s="5">
        <f t="shared" si="961"/>
        <v>0</v>
      </c>
      <c r="AO1143" s="5">
        <f t="shared" si="981"/>
        <v>0</v>
      </c>
      <c r="AP1143" s="11" t="s">
        <v>42</v>
      </c>
      <c r="AQ1143" s="11">
        <v>1.5</v>
      </c>
      <c r="AR1143" s="5">
        <v>0</v>
      </c>
      <c r="AS1143" s="5">
        <v>0</v>
      </c>
      <c r="AT1143" s="5">
        <v>1</v>
      </c>
      <c r="AU1143" s="5">
        <v>0</v>
      </c>
      <c r="AV1143" s="5">
        <v>0</v>
      </c>
      <c r="AW1143" s="5">
        <v>0</v>
      </c>
      <c r="AX1143" s="5">
        <v>1</v>
      </c>
      <c r="AY1143" s="1">
        <f t="shared" si="1004"/>
        <v>0</v>
      </c>
      <c r="AZ1143" s="1">
        <f t="shared" si="1005"/>
        <v>0</v>
      </c>
      <c r="BA1143" s="1">
        <f t="shared" si="1006"/>
        <v>0</v>
      </c>
      <c r="BB1143" s="5">
        <v>0</v>
      </c>
      <c r="BC1143" s="5">
        <v>1</v>
      </c>
      <c r="BD1143" s="5">
        <v>0</v>
      </c>
      <c r="BE1143" s="5">
        <f t="shared" si="1007"/>
        <v>0</v>
      </c>
      <c r="BF1143" s="5">
        <v>1</v>
      </c>
      <c r="BG1143" s="5">
        <f t="shared" si="1014"/>
        <v>0</v>
      </c>
      <c r="BH1143" s="5">
        <f t="shared" si="1014"/>
        <v>0</v>
      </c>
      <c r="BI1143" s="5">
        <f t="shared" si="1014"/>
        <v>0</v>
      </c>
      <c r="BJ1143" s="5">
        <f t="shared" si="1014"/>
        <v>0</v>
      </c>
      <c r="BK1143" s="5">
        <f t="shared" si="1014"/>
        <v>0</v>
      </c>
      <c r="BL1143" s="5">
        <f t="shared" si="1014"/>
        <v>0</v>
      </c>
      <c r="BM1143" s="5">
        <f t="shared" si="1014"/>
        <v>0</v>
      </c>
      <c r="BN1143" s="5">
        <f t="shared" si="1014"/>
        <v>0</v>
      </c>
      <c r="BO1143" s="5">
        <f t="shared" si="1012"/>
        <v>0</v>
      </c>
      <c r="BP1143" s="5">
        <f t="shared" si="1012"/>
        <v>0</v>
      </c>
      <c r="BQ1143" s="5">
        <f t="shared" si="1012"/>
        <v>0</v>
      </c>
      <c r="BR1143" s="5">
        <f t="shared" si="1012"/>
        <v>0</v>
      </c>
      <c r="BS1143" s="5">
        <f t="shared" si="1012"/>
        <v>0</v>
      </c>
      <c r="BT1143" s="5">
        <f t="shared" si="1012"/>
        <v>0</v>
      </c>
      <c r="BU1143" s="5">
        <f t="shared" si="1012"/>
        <v>0</v>
      </c>
      <c r="BV1143" s="5">
        <f t="shared" si="1012"/>
        <v>0</v>
      </c>
      <c r="BW1143" s="5">
        <f t="shared" si="1012"/>
        <v>0</v>
      </c>
      <c r="BX1143" s="5">
        <f t="shared" si="1012"/>
        <v>0</v>
      </c>
      <c r="BY1143" s="5">
        <f t="shared" si="1012"/>
        <v>0</v>
      </c>
      <c r="BZ1143" s="5">
        <f t="shared" si="1012"/>
        <v>0</v>
      </c>
      <c r="CA1143" s="5">
        <f t="shared" si="1012"/>
        <v>0</v>
      </c>
      <c r="CB1143" s="5">
        <f t="shared" si="1012"/>
        <v>0</v>
      </c>
      <c r="CC1143" s="5">
        <f t="shared" si="1011"/>
        <v>0</v>
      </c>
      <c r="CD1143" s="5">
        <f t="shared" si="1011"/>
        <v>0</v>
      </c>
      <c r="CE1143" s="5">
        <f t="shared" si="1011"/>
        <v>1</v>
      </c>
    </row>
    <row r="1144" spans="1:83" x14ac:dyDescent="0.2">
      <c r="A1144" s="11"/>
      <c r="B1144" s="11"/>
      <c r="C1144" s="1">
        <f>Growth!D1149</f>
        <v>7.6923076923076927E-2</v>
      </c>
      <c r="D1144" s="5" t="b">
        <f t="shared" si="1002"/>
        <v>0</v>
      </c>
      <c r="E1144" s="5">
        <v>2015</v>
      </c>
      <c r="F1144" s="5">
        <f ca="1">LOOKUP($E1144,frequence!$A$2:$A$35,frequence!L$2:L$35)</f>
        <v>59.915964498406019</v>
      </c>
      <c r="G1144" s="5">
        <f ca="1">LOOKUP($E1144,frequence!$A$2:$A$35,frequence!K$2:K$35)</f>
        <v>12.697082100333608</v>
      </c>
      <c r="H1144" s="5">
        <f ca="1">LOOKUP($E1144,frequence!$A$2:$A$35,frequence!M$2:M$35)</f>
        <v>262.07305844619424</v>
      </c>
      <c r="I1144" s="16">
        <v>2005</v>
      </c>
      <c r="J1144" s="7">
        <f>LOOKUP(I1144,CPI!A$69:A$103,CPI!O$69:O$103)</f>
        <v>1.1165181771633383</v>
      </c>
      <c r="K1144" s="16">
        <v>2015</v>
      </c>
      <c r="L1144" s="7">
        <f t="shared" ca="1" si="954"/>
        <v>1</v>
      </c>
      <c r="M1144" s="7">
        <f t="shared" si="1013"/>
        <v>0.42307692307692313</v>
      </c>
      <c r="N1144" s="14">
        <f>5/65</f>
        <v>7.6923076923076927E-2</v>
      </c>
      <c r="O1144" s="1">
        <f ca="1">P1144*J1144*(1+Growth!G$6)^(2010-K1144)</f>
        <v>237.91468314653727</v>
      </c>
      <c r="P1144" s="25">
        <f t="shared" si="1008"/>
        <v>229.69337706331865</v>
      </c>
      <c r="Q1144" s="1">
        <f>44/12*62.643648289996</f>
        <v>229.69337706331865</v>
      </c>
      <c r="R1144" s="21">
        <f t="shared" ca="1" si="988"/>
        <v>56603.396456717222</v>
      </c>
      <c r="U1144" s="11"/>
      <c r="V1144" s="11"/>
      <c r="W1144" s="11"/>
      <c r="X1144" s="11"/>
      <c r="Y1144" s="11"/>
      <c r="Z1144" s="11"/>
      <c r="AA1144" s="11"/>
      <c r="AB1144" s="11"/>
      <c r="AC1144" s="1">
        <f t="shared" si="1009"/>
        <v>5.5</v>
      </c>
      <c r="AD1144" s="5">
        <v>0</v>
      </c>
      <c r="AE1144" s="5">
        <v>0</v>
      </c>
      <c r="AF1144" s="5">
        <v>1</v>
      </c>
      <c r="AG1144" s="5">
        <v>0</v>
      </c>
      <c r="AH1144" s="5">
        <v>1</v>
      </c>
      <c r="AI1144" s="3">
        <f t="shared" si="1010"/>
        <v>3.5</v>
      </c>
      <c r="AJ1144" s="5">
        <f t="shared" si="977"/>
        <v>0</v>
      </c>
      <c r="AK1144" s="5">
        <f t="shared" si="959"/>
        <v>0</v>
      </c>
      <c r="AL1144" s="5">
        <f t="shared" si="960"/>
        <v>1</v>
      </c>
      <c r="AM1144" s="5">
        <f t="shared" si="980"/>
        <v>0</v>
      </c>
      <c r="AN1144" s="5">
        <f t="shared" si="961"/>
        <v>0</v>
      </c>
      <c r="AO1144" s="5">
        <f t="shared" si="981"/>
        <v>0</v>
      </c>
      <c r="AP1144" s="11" t="s">
        <v>42</v>
      </c>
      <c r="AQ1144" s="11">
        <v>1.5</v>
      </c>
      <c r="AR1144" s="5">
        <v>0</v>
      </c>
      <c r="AS1144" s="5">
        <v>0</v>
      </c>
      <c r="AT1144" s="5">
        <v>1</v>
      </c>
      <c r="AU1144" s="5">
        <v>0</v>
      </c>
      <c r="AV1144" s="5">
        <v>0</v>
      </c>
      <c r="AW1144" s="5">
        <v>0</v>
      </c>
      <c r="AX1144" s="5">
        <v>1</v>
      </c>
      <c r="AY1144" s="1">
        <f t="shared" si="1004"/>
        <v>0</v>
      </c>
      <c r="AZ1144" s="1">
        <f t="shared" si="1005"/>
        <v>0</v>
      </c>
      <c r="BA1144" s="1">
        <f t="shared" si="1006"/>
        <v>0</v>
      </c>
      <c r="BB1144" s="5">
        <v>0</v>
      </c>
      <c r="BC1144" s="5">
        <v>1</v>
      </c>
      <c r="BD1144" s="5">
        <v>0</v>
      </c>
      <c r="BE1144" s="5">
        <f t="shared" si="1007"/>
        <v>0</v>
      </c>
      <c r="BF1144" s="5">
        <v>1</v>
      </c>
      <c r="BG1144" s="5">
        <f t="shared" si="1014"/>
        <v>0</v>
      </c>
      <c r="BH1144" s="5">
        <f t="shared" si="1014"/>
        <v>0</v>
      </c>
      <c r="BI1144" s="5">
        <f t="shared" si="1014"/>
        <v>0</v>
      </c>
      <c r="BJ1144" s="5">
        <f t="shared" si="1014"/>
        <v>0</v>
      </c>
      <c r="BK1144" s="5">
        <f t="shared" si="1014"/>
        <v>0</v>
      </c>
      <c r="BL1144" s="5">
        <f t="shared" si="1014"/>
        <v>0</v>
      </c>
      <c r="BM1144" s="5">
        <f t="shared" si="1014"/>
        <v>0</v>
      </c>
      <c r="BN1144" s="5">
        <f t="shared" si="1014"/>
        <v>0</v>
      </c>
      <c r="BO1144" s="5">
        <f t="shared" si="1012"/>
        <v>0</v>
      </c>
      <c r="BP1144" s="5">
        <f t="shared" si="1012"/>
        <v>0</v>
      </c>
      <c r="BQ1144" s="5">
        <f t="shared" si="1012"/>
        <v>0</v>
      </c>
      <c r="BR1144" s="5">
        <f t="shared" si="1012"/>
        <v>0</v>
      </c>
      <c r="BS1144" s="5">
        <f t="shared" si="1012"/>
        <v>0</v>
      </c>
      <c r="BT1144" s="5">
        <f t="shared" si="1012"/>
        <v>0</v>
      </c>
      <c r="BU1144" s="5">
        <f t="shared" si="1012"/>
        <v>0</v>
      </c>
      <c r="BV1144" s="5">
        <f t="shared" si="1012"/>
        <v>0</v>
      </c>
      <c r="BW1144" s="5">
        <f t="shared" si="1012"/>
        <v>0</v>
      </c>
      <c r="BX1144" s="5">
        <f t="shared" si="1012"/>
        <v>0</v>
      </c>
      <c r="BY1144" s="5">
        <f t="shared" si="1012"/>
        <v>0</v>
      </c>
      <c r="BZ1144" s="5">
        <f t="shared" si="1012"/>
        <v>0</v>
      </c>
      <c r="CA1144" s="5">
        <f t="shared" si="1012"/>
        <v>0</v>
      </c>
      <c r="CB1144" s="5">
        <f t="shared" si="1012"/>
        <v>0</v>
      </c>
      <c r="CC1144" s="5">
        <f t="shared" si="1011"/>
        <v>0</v>
      </c>
      <c r="CD1144" s="5">
        <f t="shared" si="1011"/>
        <v>0</v>
      </c>
      <c r="CE1144" s="5">
        <f t="shared" si="1011"/>
        <v>1</v>
      </c>
    </row>
    <row r="1145" spans="1:83" x14ac:dyDescent="0.2">
      <c r="A1145" s="11" t="s">
        <v>219</v>
      </c>
      <c r="B1145" s="11" t="s">
        <v>197</v>
      </c>
      <c r="C1145" s="1">
        <f>Growth!D1150</f>
        <v>0.36363636363636365</v>
      </c>
      <c r="D1145" s="5">
        <f t="shared" ref="D1145:D1152" si="1015">IF(B1145&gt;0,E1145)</f>
        <v>2014</v>
      </c>
      <c r="E1145" s="5">
        <v>2014</v>
      </c>
      <c r="F1145" s="5">
        <f ca="1">LOOKUP($E1145,frequence!$A$2:$A$35,frequence!L$2:L$35)</f>
        <v>50.75383375536623</v>
      </c>
      <c r="G1145" s="5">
        <f ca="1">LOOKUP($E1145,frequence!$A$2:$A$35,frequence!K$2:K$35)</f>
        <v>9.9751715831189358</v>
      </c>
      <c r="H1145" s="5">
        <f ca="1">LOOKUP($E1145,frequence!$A$2:$A$35,frequence!M$2:M$35)</f>
        <v>236.05429056976001</v>
      </c>
      <c r="I1145" s="18">
        <v>2010</v>
      </c>
      <c r="J1145" s="7">
        <f>LOOKUP(I1145,CPI!A$69:A$103,CPI!O$69:O$103)</f>
        <v>1</v>
      </c>
      <c r="K1145" s="16">
        <v>2015</v>
      </c>
      <c r="L1145" s="7">
        <f t="shared" ca="1" si="954"/>
        <v>1</v>
      </c>
      <c r="M1145" s="7">
        <f t="shared" si="1013"/>
        <v>1.9636363636363638</v>
      </c>
      <c r="N1145" s="14">
        <f>4/11</f>
        <v>0.36363636363636365</v>
      </c>
      <c r="O1145" s="1">
        <f ca="1">P1145*J1145*(1+Growth!G$6)^(2010-K1145)</f>
        <v>75.16215332823262</v>
      </c>
      <c r="P1145" s="26">
        <v>81.02</v>
      </c>
      <c r="Q1145" s="2">
        <f t="shared" ref="Q1145:Q1151" si="1016">P1145</f>
        <v>81.02</v>
      </c>
      <c r="R1145" s="21">
        <f t="shared" ca="1" si="988"/>
        <v>5649.3492929367503</v>
      </c>
      <c r="U1145" s="11"/>
      <c r="V1145" s="11"/>
      <c r="W1145" s="11"/>
      <c r="X1145" s="11"/>
      <c r="Y1145" s="11"/>
      <c r="Z1145" s="11"/>
      <c r="AA1145" s="11"/>
      <c r="AB1145" s="11"/>
      <c r="AC1145" s="1">
        <f t="shared" ref="AC1145:AC1151" si="1017">SUM(AD1145:AI1145)</f>
        <v>5.4</v>
      </c>
      <c r="AD1145" s="5">
        <v>0</v>
      </c>
      <c r="AE1145" s="5">
        <v>0</v>
      </c>
      <c r="AF1145" s="5">
        <v>1</v>
      </c>
      <c r="AG1145" s="5">
        <v>0</v>
      </c>
      <c r="AH1145" s="5">
        <v>1</v>
      </c>
      <c r="AI1145" s="3">
        <f t="shared" ref="AI1145:AI1151" si="1018">(E1145-1980)/10</f>
        <v>3.4</v>
      </c>
      <c r="AJ1145" s="5">
        <f t="shared" si="977"/>
        <v>0</v>
      </c>
      <c r="AK1145" s="5">
        <f t="shared" si="959"/>
        <v>0</v>
      </c>
      <c r="AL1145" s="5">
        <f t="shared" si="960"/>
        <v>0</v>
      </c>
      <c r="AM1145" s="5">
        <f t="shared" si="980"/>
        <v>0</v>
      </c>
      <c r="AN1145" s="5">
        <f t="shared" si="961"/>
        <v>0</v>
      </c>
      <c r="AO1145" s="5">
        <f t="shared" si="981"/>
        <v>0</v>
      </c>
      <c r="AP1145" s="11" t="s">
        <v>42</v>
      </c>
      <c r="AQ1145" s="11">
        <v>0.96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1</v>
      </c>
      <c r="AY1145" s="1">
        <f t="shared" ref="AY1145" si="1019">AJ1145*$AD1145*(1-$AV1145)*(1-$AR1145)</f>
        <v>0</v>
      </c>
      <c r="AZ1145" s="1">
        <f t="shared" ref="AZ1145" si="1020">AM1145*$AD1145*(1-$AV1145)*(1-$AR1145)</f>
        <v>0</v>
      </c>
      <c r="BA1145" s="1">
        <f t="shared" ref="BA1145" si="1021">AO1145*$AD1145*(1-$AV1145)*(1-$AR1145)</f>
        <v>0</v>
      </c>
      <c r="BB1145" s="5">
        <v>0</v>
      </c>
      <c r="BC1145" s="5">
        <v>0</v>
      </c>
      <c r="BD1145" s="5">
        <v>0</v>
      </c>
      <c r="BE1145" s="5">
        <f t="shared" ref="BE1145" si="1022">1-SUM(BB1145:BD1145)</f>
        <v>1</v>
      </c>
      <c r="BF1145" s="5">
        <v>1</v>
      </c>
      <c r="BG1145" s="5">
        <f t="shared" si="1014"/>
        <v>0</v>
      </c>
      <c r="BH1145" s="5">
        <f t="shared" si="1014"/>
        <v>0</v>
      </c>
      <c r="BI1145" s="5">
        <f t="shared" si="1014"/>
        <v>0</v>
      </c>
      <c r="BJ1145" s="5">
        <f t="shared" si="1014"/>
        <v>0</v>
      </c>
      <c r="BK1145" s="5">
        <f t="shared" si="1014"/>
        <v>0</v>
      </c>
      <c r="BL1145" s="5">
        <f t="shared" si="1014"/>
        <v>0</v>
      </c>
      <c r="BM1145" s="5">
        <f t="shared" si="1014"/>
        <v>0</v>
      </c>
      <c r="BN1145" s="5">
        <f t="shared" si="1014"/>
        <v>0</v>
      </c>
      <c r="BO1145" s="5">
        <f t="shared" si="1012"/>
        <v>0</v>
      </c>
      <c r="BP1145" s="5">
        <f t="shared" si="1012"/>
        <v>0</v>
      </c>
      <c r="BQ1145" s="5">
        <f t="shared" si="1012"/>
        <v>0</v>
      </c>
      <c r="BR1145" s="5">
        <f t="shared" si="1012"/>
        <v>0</v>
      </c>
      <c r="BS1145" s="5">
        <f t="shared" si="1012"/>
        <v>0</v>
      </c>
      <c r="BT1145" s="5">
        <f t="shared" si="1012"/>
        <v>0</v>
      </c>
      <c r="BU1145" s="5">
        <f t="shared" si="1012"/>
        <v>0</v>
      </c>
      <c r="BV1145" s="5">
        <f t="shared" si="1012"/>
        <v>0</v>
      </c>
      <c r="BW1145" s="5">
        <f t="shared" si="1012"/>
        <v>0</v>
      </c>
      <c r="BX1145" s="5">
        <f t="shared" si="1012"/>
        <v>0</v>
      </c>
      <c r="BY1145" s="5">
        <f t="shared" si="1012"/>
        <v>0</v>
      </c>
      <c r="BZ1145" s="5">
        <f t="shared" si="1012"/>
        <v>0</v>
      </c>
      <c r="CA1145" s="5">
        <f t="shared" si="1012"/>
        <v>0</v>
      </c>
      <c r="CB1145" s="5">
        <f t="shared" si="1012"/>
        <v>0</v>
      </c>
      <c r="CC1145" s="5">
        <f t="shared" si="1011"/>
        <v>0</v>
      </c>
      <c r="CD1145" s="5">
        <f t="shared" si="1011"/>
        <v>1</v>
      </c>
      <c r="CE1145" s="5">
        <f t="shared" si="1011"/>
        <v>0</v>
      </c>
    </row>
    <row r="1146" spans="1:83" x14ac:dyDescent="0.2">
      <c r="A1146" s="11"/>
      <c r="B1146" s="11"/>
      <c r="C1146" s="1">
        <f>Growth!D1151</f>
        <v>9.0909090909090912E-2</v>
      </c>
      <c r="D1146" s="5" t="b">
        <f t="shared" si="1015"/>
        <v>0</v>
      </c>
      <c r="E1146" s="5">
        <v>2014</v>
      </c>
      <c r="F1146" s="5">
        <f ca="1">LOOKUP($E1146,frequence!$A$2:$A$35,frequence!L$2:L$35)</f>
        <v>50.75383375536623</v>
      </c>
      <c r="G1146" s="5">
        <f ca="1">LOOKUP($E1146,frequence!$A$2:$A$35,frequence!K$2:K$35)</f>
        <v>9.9751715831189358</v>
      </c>
      <c r="H1146" s="5">
        <f ca="1">LOOKUP($E1146,frequence!$A$2:$A$35,frequence!M$2:M$35)</f>
        <v>236.05429056976001</v>
      </c>
      <c r="I1146" s="18">
        <v>2010</v>
      </c>
      <c r="J1146" s="7">
        <f>LOOKUP(I1146,CPI!A$69:A$103,CPI!O$69:O$103)</f>
        <v>1</v>
      </c>
      <c r="K1146" s="16">
        <v>2015</v>
      </c>
      <c r="L1146" s="7">
        <f t="shared" ca="1" si="954"/>
        <v>1</v>
      </c>
      <c r="M1146" s="7">
        <f t="shared" si="1013"/>
        <v>0.49090909090909096</v>
      </c>
      <c r="N1146" s="14">
        <f>1/11</f>
        <v>9.0909090909090912E-2</v>
      </c>
      <c r="O1146" s="1">
        <f ca="1">P1146*J1146*(1+Growth!G$6)^(2010-K1146)</f>
        <v>0.48240335387164857</v>
      </c>
      <c r="P1146" s="26">
        <v>0.52</v>
      </c>
      <c r="Q1146" s="2">
        <f t="shared" si="1016"/>
        <v>0.52</v>
      </c>
      <c r="R1146" s="21">
        <f t="shared" ca="1" si="988"/>
        <v>0.232712995826615</v>
      </c>
      <c r="U1146" s="11"/>
      <c r="V1146" s="11"/>
      <c r="W1146" s="11"/>
      <c r="X1146" s="11"/>
      <c r="Y1146" s="11"/>
      <c r="Z1146" s="11"/>
      <c r="AA1146" s="11"/>
      <c r="AB1146" s="11"/>
      <c r="AC1146" s="1">
        <f t="shared" si="1017"/>
        <v>5.4</v>
      </c>
      <c r="AD1146" s="5">
        <v>0</v>
      </c>
      <c r="AE1146" s="5">
        <v>0</v>
      </c>
      <c r="AF1146" s="5">
        <v>1</v>
      </c>
      <c r="AG1146" s="5">
        <v>0</v>
      </c>
      <c r="AH1146" s="5">
        <v>1</v>
      </c>
      <c r="AI1146" s="3">
        <f t="shared" si="1018"/>
        <v>3.4</v>
      </c>
      <c r="AJ1146" s="5">
        <f t="shared" si="977"/>
        <v>0</v>
      </c>
      <c r="AK1146" s="5">
        <f t="shared" si="959"/>
        <v>0</v>
      </c>
      <c r="AL1146" s="5">
        <f t="shared" si="960"/>
        <v>0</v>
      </c>
      <c r="AM1146" s="5">
        <f t="shared" si="980"/>
        <v>0</v>
      </c>
      <c r="AN1146" s="5">
        <f t="shared" si="961"/>
        <v>0</v>
      </c>
      <c r="AO1146" s="5">
        <f t="shared" si="981"/>
        <v>0</v>
      </c>
      <c r="AP1146" s="11" t="s">
        <v>42</v>
      </c>
      <c r="AQ1146" s="11">
        <v>0.96</v>
      </c>
      <c r="AR1146" s="5">
        <v>0</v>
      </c>
      <c r="AS1146" s="5">
        <v>0</v>
      </c>
      <c r="AT1146" s="5">
        <v>0</v>
      </c>
      <c r="AU1146" s="5">
        <v>0</v>
      </c>
      <c r="AV1146" s="5">
        <v>0</v>
      </c>
      <c r="AW1146" s="5">
        <v>0</v>
      </c>
      <c r="AX1146" s="5">
        <v>1</v>
      </c>
      <c r="AY1146" s="1">
        <f t="shared" ref="AY1146:AY1151" si="1023">AJ1146*$AD1146*(1-$AV1146)*(1-$AR1146)</f>
        <v>0</v>
      </c>
      <c r="AZ1146" s="1">
        <f t="shared" ref="AZ1146:AZ1151" si="1024">AM1146*$AD1146*(1-$AV1146)*(1-$AR1146)</f>
        <v>0</v>
      </c>
      <c r="BA1146" s="1">
        <f t="shared" ref="BA1146:BA1151" si="1025">AO1146*$AD1146*(1-$AV1146)*(1-$AR1146)</f>
        <v>0</v>
      </c>
      <c r="BB1146" s="5">
        <v>0</v>
      </c>
      <c r="BC1146" s="5">
        <v>0</v>
      </c>
      <c r="BD1146" s="5">
        <v>0</v>
      </c>
      <c r="BE1146" s="5">
        <f t="shared" ref="BE1146:BE1151" si="1026">1-SUM(BB1146:BD1146)</f>
        <v>1</v>
      </c>
      <c r="BF1146" s="5">
        <v>1</v>
      </c>
      <c r="BG1146" s="5">
        <f t="shared" si="1014"/>
        <v>0</v>
      </c>
      <c r="BH1146" s="5">
        <f t="shared" si="1014"/>
        <v>0</v>
      </c>
      <c r="BI1146" s="5">
        <f t="shared" si="1014"/>
        <v>0</v>
      </c>
      <c r="BJ1146" s="5">
        <f t="shared" si="1014"/>
        <v>0</v>
      </c>
      <c r="BK1146" s="5">
        <f t="shared" si="1014"/>
        <v>0</v>
      </c>
      <c r="BL1146" s="5">
        <f t="shared" si="1014"/>
        <v>0</v>
      </c>
      <c r="BM1146" s="5">
        <f t="shared" si="1014"/>
        <v>0</v>
      </c>
      <c r="BN1146" s="5">
        <f t="shared" si="1014"/>
        <v>0</v>
      </c>
      <c r="BO1146" s="5">
        <f t="shared" si="1012"/>
        <v>0</v>
      </c>
      <c r="BP1146" s="5">
        <f t="shared" si="1012"/>
        <v>0</v>
      </c>
      <c r="BQ1146" s="5">
        <f t="shared" si="1012"/>
        <v>0</v>
      </c>
      <c r="BR1146" s="5">
        <f t="shared" si="1012"/>
        <v>0</v>
      </c>
      <c r="BS1146" s="5">
        <f t="shared" si="1012"/>
        <v>0</v>
      </c>
      <c r="BT1146" s="5">
        <f t="shared" si="1012"/>
        <v>0</v>
      </c>
      <c r="BU1146" s="5">
        <f t="shared" si="1012"/>
        <v>0</v>
      </c>
      <c r="BV1146" s="5">
        <f t="shared" si="1012"/>
        <v>0</v>
      </c>
      <c r="BW1146" s="5">
        <f t="shared" si="1012"/>
        <v>0</v>
      </c>
      <c r="BX1146" s="5">
        <f t="shared" si="1012"/>
        <v>0</v>
      </c>
      <c r="BY1146" s="5">
        <f t="shared" si="1012"/>
        <v>0</v>
      </c>
      <c r="BZ1146" s="5">
        <f t="shared" si="1012"/>
        <v>0</v>
      </c>
      <c r="CA1146" s="5">
        <f t="shared" si="1012"/>
        <v>0</v>
      </c>
      <c r="CB1146" s="5">
        <f t="shared" si="1012"/>
        <v>0</v>
      </c>
      <c r="CC1146" s="5">
        <f t="shared" si="1011"/>
        <v>0</v>
      </c>
      <c r="CD1146" s="5">
        <f t="shared" si="1011"/>
        <v>1</v>
      </c>
      <c r="CE1146" s="5">
        <f t="shared" si="1011"/>
        <v>0</v>
      </c>
    </row>
    <row r="1147" spans="1:83" x14ac:dyDescent="0.2">
      <c r="A1147" s="11"/>
      <c r="B1147" s="11"/>
      <c r="C1147" s="1">
        <f>Growth!D1152</f>
        <v>9.0909090909090912E-2</v>
      </c>
      <c r="D1147" s="5" t="b">
        <f t="shared" si="1015"/>
        <v>0</v>
      </c>
      <c r="E1147" s="5">
        <v>2014</v>
      </c>
      <c r="F1147" s="5">
        <f ca="1">LOOKUP($E1147,frequence!$A$2:$A$35,frequence!L$2:L$35)</f>
        <v>50.75383375536623</v>
      </c>
      <c r="G1147" s="5">
        <f ca="1">LOOKUP($E1147,frequence!$A$2:$A$35,frequence!K$2:K$35)</f>
        <v>9.9751715831189358</v>
      </c>
      <c r="H1147" s="5">
        <f ca="1">LOOKUP($E1147,frequence!$A$2:$A$35,frequence!M$2:M$35)</f>
        <v>236.05429056976001</v>
      </c>
      <c r="I1147" s="18">
        <v>2010</v>
      </c>
      <c r="J1147" s="7">
        <f>LOOKUP(I1147,CPI!A$69:A$103,CPI!O$69:O$103)</f>
        <v>1</v>
      </c>
      <c r="K1147" s="16">
        <v>2015</v>
      </c>
      <c r="L1147" s="7">
        <f t="shared" ca="1" si="954"/>
        <v>1</v>
      </c>
      <c r="M1147" s="7">
        <f t="shared" si="1013"/>
        <v>0.49090909090909096</v>
      </c>
      <c r="N1147" s="14">
        <f t="shared" ref="N1147:N1152" si="1027">1/11</f>
        <v>9.0909090909090912E-2</v>
      </c>
      <c r="O1147" s="1">
        <f ca="1">P1147*J1147*(1+Growth!G$6)^(2010-K1147)</f>
        <v>69.698007646878764</v>
      </c>
      <c r="P1147" s="26">
        <v>75.13</v>
      </c>
      <c r="Q1147" s="2">
        <f t="shared" si="1016"/>
        <v>75.13</v>
      </c>
      <c r="R1147" s="21">
        <f t="shared" ca="1" si="988"/>
        <v>4857.8122699443711</v>
      </c>
      <c r="U1147" s="11"/>
      <c r="V1147" s="11"/>
      <c r="W1147" s="11"/>
      <c r="X1147" s="11"/>
      <c r="Y1147" s="11"/>
      <c r="Z1147" s="11"/>
      <c r="AA1147" s="11"/>
      <c r="AB1147" s="11"/>
      <c r="AC1147" s="1">
        <f t="shared" si="1017"/>
        <v>5.4</v>
      </c>
      <c r="AD1147" s="5">
        <v>0</v>
      </c>
      <c r="AE1147" s="5">
        <v>0</v>
      </c>
      <c r="AF1147" s="5">
        <v>1</v>
      </c>
      <c r="AG1147" s="5">
        <v>0</v>
      </c>
      <c r="AH1147" s="5">
        <v>1</v>
      </c>
      <c r="AI1147" s="3">
        <f t="shared" si="1018"/>
        <v>3.4</v>
      </c>
      <c r="AJ1147" s="5">
        <f t="shared" si="977"/>
        <v>0</v>
      </c>
      <c r="AK1147" s="5">
        <f t="shared" si="959"/>
        <v>0</v>
      </c>
      <c r="AL1147" s="5">
        <f t="shared" si="960"/>
        <v>0</v>
      </c>
      <c r="AM1147" s="5">
        <f t="shared" si="980"/>
        <v>0</v>
      </c>
      <c r="AN1147" s="5">
        <f t="shared" si="961"/>
        <v>0</v>
      </c>
      <c r="AO1147" s="5">
        <f t="shared" si="981"/>
        <v>0</v>
      </c>
      <c r="AP1147" s="11" t="s">
        <v>42</v>
      </c>
      <c r="AQ1147" s="11">
        <v>0.96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1</v>
      </c>
      <c r="AY1147" s="1">
        <f t="shared" si="1023"/>
        <v>0</v>
      </c>
      <c r="AZ1147" s="1">
        <f t="shared" si="1024"/>
        <v>0</v>
      </c>
      <c r="BA1147" s="1">
        <f t="shared" si="1025"/>
        <v>0</v>
      </c>
      <c r="BB1147" s="5">
        <v>0</v>
      </c>
      <c r="BC1147" s="5">
        <v>0</v>
      </c>
      <c r="BD1147" s="5">
        <v>0</v>
      </c>
      <c r="BE1147" s="5">
        <f t="shared" si="1026"/>
        <v>1</v>
      </c>
      <c r="BF1147" s="5">
        <v>1</v>
      </c>
      <c r="BG1147" s="5">
        <f t="shared" si="1014"/>
        <v>0</v>
      </c>
      <c r="BH1147" s="5">
        <f t="shared" si="1014"/>
        <v>0</v>
      </c>
      <c r="BI1147" s="5">
        <f t="shared" si="1014"/>
        <v>0</v>
      </c>
      <c r="BJ1147" s="5">
        <f t="shared" si="1014"/>
        <v>0</v>
      </c>
      <c r="BK1147" s="5">
        <f t="shared" si="1014"/>
        <v>0</v>
      </c>
      <c r="BL1147" s="5">
        <f t="shared" si="1014"/>
        <v>0</v>
      </c>
      <c r="BM1147" s="5">
        <f t="shared" si="1014"/>
        <v>0</v>
      </c>
      <c r="BN1147" s="5">
        <f t="shared" si="1014"/>
        <v>0</v>
      </c>
      <c r="BO1147" s="5">
        <f t="shared" si="1012"/>
        <v>0</v>
      </c>
      <c r="BP1147" s="5">
        <f t="shared" si="1012"/>
        <v>0</v>
      </c>
      <c r="BQ1147" s="5">
        <f t="shared" si="1012"/>
        <v>0</v>
      </c>
      <c r="BR1147" s="5">
        <f t="shared" si="1012"/>
        <v>0</v>
      </c>
      <c r="BS1147" s="5">
        <f t="shared" si="1012"/>
        <v>0</v>
      </c>
      <c r="BT1147" s="5">
        <f t="shared" si="1012"/>
        <v>0</v>
      </c>
      <c r="BU1147" s="5">
        <f t="shared" si="1012"/>
        <v>0</v>
      </c>
      <c r="BV1147" s="5">
        <f t="shared" si="1012"/>
        <v>0</v>
      </c>
      <c r="BW1147" s="5">
        <f t="shared" si="1012"/>
        <v>0</v>
      </c>
      <c r="BX1147" s="5">
        <f t="shared" si="1012"/>
        <v>0</v>
      </c>
      <c r="BY1147" s="5">
        <f t="shared" si="1012"/>
        <v>0</v>
      </c>
      <c r="BZ1147" s="5">
        <f t="shared" si="1012"/>
        <v>0</v>
      </c>
      <c r="CA1147" s="5">
        <f t="shared" si="1012"/>
        <v>0</v>
      </c>
      <c r="CB1147" s="5">
        <f t="shared" si="1012"/>
        <v>0</v>
      </c>
      <c r="CC1147" s="5">
        <f t="shared" si="1012"/>
        <v>0</v>
      </c>
      <c r="CD1147" s="5">
        <f t="shared" ref="CD1147:CE1166" si="1028">IF($E1147=CD$2,1,0)</f>
        <v>1</v>
      </c>
      <c r="CE1147" s="5">
        <f t="shared" si="1028"/>
        <v>0</v>
      </c>
    </row>
    <row r="1148" spans="1:83" x14ac:dyDescent="0.2">
      <c r="A1148" s="11"/>
      <c r="B1148" s="11"/>
      <c r="C1148" s="1">
        <f>Growth!D1153</f>
        <v>9.0909090909090912E-2</v>
      </c>
      <c r="D1148" s="5" t="b">
        <f t="shared" si="1015"/>
        <v>0</v>
      </c>
      <c r="E1148" s="5">
        <v>2014</v>
      </c>
      <c r="F1148" s="5">
        <f ca="1">LOOKUP($E1148,frequence!$A$2:$A$35,frequence!L$2:L$35)</f>
        <v>50.75383375536623</v>
      </c>
      <c r="G1148" s="5">
        <f ca="1">LOOKUP($E1148,frequence!$A$2:$A$35,frequence!K$2:K$35)</f>
        <v>9.9751715831189358</v>
      </c>
      <c r="H1148" s="5">
        <f ca="1">LOOKUP($E1148,frequence!$A$2:$A$35,frequence!M$2:M$35)</f>
        <v>236.05429056976001</v>
      </c>
      <c r="I1148" s="18">
        <v>2010</v>
      </c>
      <c r="J1148" s="7">
        <f>LOOKUP(I1148,CPI!A$69:A$103,CPI!O$69:O$103)</f>
        <v>1</v>
      </c>
      <c r="K1148" s="16">
        <v>2015</v>
      </c>
      <c r="L1148" s="7">
        <f t="shared" ca="1" si="954"/>
        <v>1</v>
      </c>
      <c r="M1148" s="7">
        <f t="shared" si="1013"/>
        <v>0.49090909090909096</v>
      </c>
      <c r="N1148" s="14">
        <f t="shared" si="1027"/>
        <v>9.0909090909090912E-2</v>
      </c>
      <c r="O1148" s="1">
        <f ca="1">P1148*J1148*(1+Growth!G$6)^(2010-K1148)</f>
        <v>67.156113051478158</v>
      </c>
      <c r="P1148" s="26">
        <v>72.39</v>
      </c>
      <c r="Q1148" s="2">
        <f t="shared" si="1016"/>
        <v>72.39</v>
      </c>
      <c r="R1148" s="21">
        <f t="shared" ca="1" si="988"/>
        <v>4509.9435201829147</v>
      </c>
      <c r="U1148" s="11"/>
      <c r="V1148" s="11"/>
      <c r="W1148" s="11"/>
      <c r="X1148" s="11"/>
      <c r="Y1148" s="11"/>
      <c r="Z1148" s="11"/>
      <c r="AA1148" s="11"/>
      <c r="AB1148" s="11"/>
      <c r="AC1148" s="1">
        <f t="shared" si="1017"/>
        <v>5.4</v>
      </c>
      <c r="AD1148" s="5">
        <v>0</v>
      </c>
      <c r="AE1148" s="5">
        <v>0</v>
      </c>
      <c r="AF1148" s="5">
        <v>1</v>
      </c>
      <c r="AG1148" s="5">
        <v>0</v>
      </c>
      <c r="AH1148" s="5">
        <v>1</v>
      </c>
      <c r="AI1148" s="3">
        <f t="shared" si="1018"/>
        <v>3.4</v>
      </c>
      <c r="AJ1148" s="5">
        <f t="shared" si="977"/>
        <v>0</v>
      </c>
      <c r="AK1148" s="5">
        <f t="shared" si="959"/>
        <v>0</v>
      </c>
      <c r="AL1148" s="5">
        <f t="shared" si="960"/>
        <v>0</v>
      </c>
      <c r="AM1148" s="5">
        <f t="shared" si="980"/>
        <v>0</v>
      </c>
      <c r="AN1148" s="5">
        <f t="shared" si="961"/>
        <v>0</v>
      </c>
      <c r="AO1148" s="5">
        <f t="shared" si="981"/>
        <v>0</v>
      </c>
      <c r="AP1148" s="11" t="s">
        <v>42</v>
      </c>
      <c r="AQ1148" s="11">
        <v>0.96</v>
      </c>
      <c r="AR1148" s="5">
        <v>0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5">
        <v>1</v>
      </c>
      <c r="AY1148" s="1">
        <f t="shared" si="1023"/>
        <v>0</v>
      </c>
      <c r="AZ1148" s="1">
        <f t="shared" si="1024"/>
        <v>0</v>
      </c>
      <c r="BA1148" s="1">
        <f t="shared" si="1025"/>
        <v>0</v>
      </c>
      <c r="BB1148" s="5">
        <v>0</v>
      </c>
      <c r="BC1148" s="5">
        <v>0</v>
      </c>
      <c r="BD1148" s="5">
        <v>0</v>
      </c>
      <c r="BE1148" s="5">
        <f t="shared" si="1026"/>
        <v>1</v>
      </c>
      <c r="BF1148" s="5">
        <v>1</v>
      </c>
      <c r="BG1148" s="5">
        <f t="shared" si="1014"/>
        <v>0</v>
      </c>
      <c r="BH1148" s="5">
        <f t="shared" si="1014"/>
        <v>0</v>
      </c>
      <c r="BI1148" s="5">
        <f t="shared" si="1014"/>
        <v>0</v>
      </c>
      <c r="BJ1148" s="5">
        <f t="shared" si="1014"/>
        <v>0</v>
      </c>
      <c r="BK1148" s="5">
        <f t="shared" si="1014"/>
        <v>0</v>
      </c>
      <c r="BL1148" s="5">
        <f t="shared" si="1014"/>
        <v>0</v>
      </c>
      <c r="BM1148" s="5">
        <f t="shared" si="1014"/>
        <v>0</v>
      </c>
      <c r="BN1148" s="5">
        <f t="shared" si="1014"/>
        <v>0</v>
      </c>
      <c r="BO1148" s="5">
        <f t="shared" si="1012"/>
        <v>0</v>
      </c>
      <c r="BP1148" s="5">
        <f t="shared" si="1012"/>
        <v>0</v>
      </c>
      <c r="BQ1148" s="5">
        <f t="shared" si="1012"/>
        <v>0</v>
      </c>
      <c r="BR1148" s="5">
        <f t="shared" si="1012"/>
        <v>0</v>
      </c>
      <c r="BS1148" s="5">
        <f t="shared" si="1012"/>
        <v>0</v>
      </c>
      <c r="BT1148" s="5">
        <f t="shared" si="1012"/>
        <v>0</v>
      </c>
      <c r="BU1148" s="5">
        <f t="shared" si="1012"/>
        <v>0</v>
      </c>
      <c r="BV1148" s="5">
        <f t="shared" si="1012"/>
        <v>0</v>
      </c>
      <c r="BW1148" s="5">
        <f t="shared" si="1012"/>
        <v>0</v>
      </c>
      <c r="BX1148" s="5">
        <f t="shared" si="1012"/>
        <v>0</v>
      </c>
      <c r="BY1148" s="5">
        <f t="shared" si="1012"/>
        <v>0</v>
      </c>
      <c r="BZ1148" s="5">
        <f t="shared" si="1012"/>
        <v>0</v>
      </c>
      <c r="CA1148" s="5">
        <f t="shared" si="1012"/>
        <v>0</v>
      </c>
      <c r="CB1148" s="5">
        <f t="shared" si="1012"/>
        <v>0</v>
      </c>
      <c r="CC1148" s="5">
        <f t="shared" si="1012"/>
        <v>0</v>
      </c>
      <c r="CD1148" s="5">
        <f t="shared" si="1028"/>
        <v>1</v>
      </c>
      <c r="CE1148" s="5">
        <f t="shared" si="1028"/>
        <v>0</v>
      </c>
    </row>
    <row r="1149" spans="1:83" x14ac:dyDescent="0.2">
      <c r="A1149" s="11"/>
      <c r="B1149" s="11"/>
      <c r="C1149" s="1">
        <f>Growth!D1154</f>
        <v>9.0909090909090912E-2</v>
      </c>
      <c r="D1149" s="5" t="b">
        <f t="shared" si="1015"/>
        <v>0</v>
      </c>
      <c r="E1149" s="5">
        <v>2014</v>
      </c>
      <c r="F1149" s="5">
        <f ca="1">LOOKUP($E1149,frequence!$A$2:$A$35,frequence!L$2:L$35)</f>
        <v>50.75383375536623</v>
      </c>
      <c r="G1149" s="5">
        <f ca="1">LOOKUP($E1149,frequence!$A$2:$A$35,frequence!K$2:K$35)</f>
        <v>9.9751715831189358</v>
      </c>
      <c r="H1149" s="5">
        <f ca="1">LOOKUP($E1149,frequence!$A$2:$A$35,frequence!M$2:M$35)</f>
        <v>236.05429056976001</v>
      </c>
      <c r="I1149" s="18">
        <v>2010</v>
      </c>
      <c r="J1149" s="7">
        <f>LOOKUP(I1149,CPI!A$69:A$103,CPI!O$69:O$103)</f>
        <v>1</v>
      </c>
      <c r="K1149" s="16">
        <v>2015</v>
      </c>
      <c r="L1149" s="7">
        <f t="shared" ca="1" si="954"/>
        <v>1</v>
      </c>
      <c r="M1149" s="7">
        <f t="shared" si="1013"/>
        <v>0.49090909090909096</v>
      </c>
      <c r="N1149" s="14">
        <f t="shared" si="1027"/>
        <v>9.0909090909090912E-2</v>
      </c>
      <c r="O1149" s="1">
        <f ca="1">P1149*J1149*(1+Growth!G$6)^(2010-K1149)</f>
        <v>70.505105565856326</v>
      </c>
      <c r="P1149" s="26">
        <v>76</v>
      </c>
      <c r="Q1149" s="2">
        <f t="shared" si="1016"/>
        <v>76</v>
      </c>
      <c r="R1149" s="21">
        <f t="shared" ca="1" si="988"/>
        <v>4970.9699108525447</v>
      </c>
      <c r="U1149" s="11"/>
      <c r="V1149" s="11"/>
      <c r="W1149" s="11"/>
      <c r="X1149" s="11"/>
      <c r="Y1149" s="11"/>
      <c r="Z1149" s="11"/>
      <c r="AA1149" s="11"/>
      <c r="AB1149" s="11"/>
      <c r="AC1149" s="1">
        <f t="shared" si="1017"/>
        <v>5.4</v>
      </c>
      <c r="AD1149" s="5">
        <v>0</v>
      </c>
      <c r="AE1149" s="5">
        <v>0</v>
      </c>
      <c r="AF1149" s="5">
        <v>1</v>
      </c>
      <c r="AG1149" s="5">
        <v>0</v>
      </c>
      <c r="AH1149" s="5">
        <v>1</v>
      </c>
      <c r="AI1149" s="3">
        <f t="shared" si="1018"/>
        <v>3.4</v>
      </c>
      <c r="AJ1149" s="5">
        <f t="shared" si="977"/>
        <v>0</v>
      </c>
      <c r="AK1149" s="5">
        <f t="shared" si="959"/>
        <v>0</v>
      </c>
      <c r="AL1149" s="5">
        <f t="shared" si="960"/>
        <v>0</v>
      </c>
      <c r="AM1149" s="5">
        <f t="shared" si="980"/>
        <v>0</v>
      </c>
      <c r="AN1149" s="5">
        <f t="shared" si="961"/>
        <v>0</v>
      </c>
      <c r="AO1149" s="5">
        <f t="shared" si="981"/>
        <v>0</v>
      </c>
      <c r="AP1149" s="11" t="s">
        <v>42</v>
      </c>
      <c r="AQ1149" s="11">
        <v>0.96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1</v>
      </c>
      <c r="AY1149" s="1">
        <f t="shared" si="1023"/>
        <v>0</v>
      </c>
      <c r="AZ1149" s="1">
        <f t="shared" si="1024"/>
        <v>0</v>
      </c>
      <c r="BA1149" s="1">
        <f t="shared" si="1025"/>
        <v>0</v>
      </c>
      <c r="BB1149" s="5">
        <v>0</v>
      </c>
      <c r="BC1149" s="5">
        <v>0</v>
      </c>
      <c r="BD1149" s="5">
        <v>0</v>
      </c>
      <c r="BE1149" s="5">
        <f t="shared" si="1026"/>
        <v>1</v>
      </c>
      <c r="BF1149" s="5">
        <v>1</v>
      </c>
      <c r="BG1149" s="5">
        <f t="shared" si="1014"/>
        <v>0</v>
      </c>
      <c r="BH1149" s="5">
        <f t="shared" si="1014"/>
        <v>0</v>
      </c>
      <c r="BI1149" s="5">
        <f t="shared" si="1014"/>
        <v>0</v>
      </c>
      <c r="BJ1149" s="5">
        <f t="shared" si="1014"/>
        <v>0</v>
      </c>
      <c r="BK1149" s="5">
        <f t="shared" si="1014"/>
        <v>0</v>
      </c>
      <c r="BL1149" s="5">
        <f t="shared" si="1014"/>
        <v>0</v>
      </c>
      <c r="BM1149" s="5">
        <f t="shared" si="1014"/>
        <v>0</v>
      </c>
      <c r="BN1149" s="5">
        <f t="shared" si="1014"/>
        <v>0</v>
      </c>
      <c r="BO1149" s="5">
        <f t="shared" si="1012"/>
        <v>0</v>
      </c>
      <c r="BP1149" s="5">
        <f t="shared" si="1012"/>
        <v>0</v>
      </c>
      <c r="BQ1149" s="5">
        <f t="shared" si="1012"/>
        <v>0</v>
      </c>
      <c r="BR1149" s="5">
        <f t="shared" si="1012"/>
        <v>0</v>
      </c>
      <c r="BS1149" s="5">
        <f t="shared" si="1012"/>
        <v>0</v>
      </c>
      <c r="BT1149" s="5">
        <f t="shared" si="1012"/>
        <v>0</v>
      </c>
      <c r="BU1149" s="5">
        <f t="shared" si="1012"/>
        <v>0</v>
      </c>
      <c r="BV1149" s="5">
        <f t="shared" si="1012"/>
        <v>0</v>
      </c>
      <c r="BW1149" s="5">
        <f t="shared" si="1012"/>
        <v>0</v>
      </c>
      <c r="BX1149" s="5">
        <f t="shared" si="1012"/>
        <v>0</v>
      </c>
      <c r="BY1149" s="5">
        <f t="shared" si="1012"/>
        <v>0</v>
      </c>
      <c r="BZ1149" s="5">
        <f t="shared" si="1012"/>
        <v>0</v>
      </c>
      <c r="CA1149" s="5">
        <f t="shared" si="1012"/>
        <v>0</v>
      </c>
      <c r="CB1149" s="5">
        <f t="shared" si="1012"/>
        <v>0</v>
      </c>
      <c r="CC1149" s="5">
        <f t="shared" si="1012"/>
        <v>0</v>
      </c>
      <c r="CD1149" s="5">
        <f t="shared" si="1028"/>
        <v>1</v>
      </c>
      <c r="CE1149" s="5">
        <f t="shared" si="1028"/>
        <v>0</v>
      </c>
    </row>
    <row r="1150" spans="1:83" x14ac:dyDescent="0.2">
      <c r="A1150" s="11"/>
      <c r="B1150" s="11"/>
      <c r="C1150" s="1">
        <f>Growth!D1155</f>
        <v>9.0909090909090912E-2</v>
      </c>
      <c r="D1150" s="5" t="b">
        <f t="shared" si="1015"/>
        <v>0</v>
      </c>
      <c r="E1150" s="5">
        <v>2014</v>
      </c>
      <c r="F1150" s="5">
        <f ca="1">LOOKUP($E1150,frequence!$A$2:$A$35,frequence!L$2:L$35)</f>
        <v>50.75383375536623</v>
      </c>
      <c r="G1150" s="5">
        <f ca="1">LOOKUP($E1150,frequence!$A$2:$A$35,frequence!K$2:K$35)</f>
        <v>9.9751715831189358</v>
      </c>
      <c r="H1150" s="5">
        <f ca="1">LOOKUP($E1150,frequence!$A$2:$A$35,frequence!M$2:M$35)</f>
        <v>236.05429056976001</v>
      </c>
      <c r="I1150" s="18">
        <v>2010</v>
      </c>
      <c r="J1150" s="7">
        <f>LOOKUP(I1150,CPI!A$69:A$103,CPI!O$69:O$103)</f>
        <v>1</v>
      </c>
      <c r="K1150" s="16">
        <v>2015</v>
      </c>
      <c r="L1150" s="7">
        <f t="shared" ca="1" si="954"/>
        <v>1</v>
      </c>
      <c r="M1150" s="7">
        <f t="shared" si="1013"/>
        <v>0.49090909090909096</v>
      </c>
      <c r="N1150" s="14">
        <f t="shared" si="1027"/>
        <v>9.0909090909090912E-2</v>
      </c>
      <c r="O1150" s="1">
        <f ca="1">P1150*J1150*(1+Growth!G$6)^(2010-K1150)</f>
        <v>140.68551656660674</v>
      </c>
      <c r="P1150" s="26">
        <v>151.65</v>
      </c>
      <c r="Q1150" s="2">
        <f t="shared" si="1016"/>
        <v>151.65</v>
      </c>
      <c r="R1150" s="21">
        <f t="shared" ca="1" si="988"/>
        <v>19792.414571612979</v>
      </c>
      <c r="U1150" s="11"/>
      <c r="V1150" s="11"/>
      <c r="W1150" s="11"/>
      <c r="X1150" s="11"/>
      <c r="Y1150" s="11"/>
      <c r="Z1150" s="11"/>
      <c r="AA1150" s="11"/>
      <c r="AB1150" s="11"/>
      <c r="AC1150" s="1">
        <f t="shared" si="1017"/>
        <v>5.4</v>
      </c>
      <c r="AD1150" s="5">
        <v>0</v>
      </c>
      <c r="AE1150" s="5">
        <v>0</v>
      </c>
      <c r="AF1150" s="5">
        <v>1</v>
      </c>
      <c r="AG1150" s="5">
        <v>0</v>
      </c>
      <c r="AH1150" s="5">
        <v>1</v>
      </c>
      <c r="AI1150" s="3">
        <f t="shared" si="1018"/>
        <v>3.4</v>
      </c>
      <c r="AJ1150" s="5">
        <f t="shared" si="977"/>
        <v>0</v>
      </c>
      <c r="AK1150" s="5">
        <f t="shared" si="959"/>
        <v>0</v>
      </c>
      <c r="AL1150" s="5">
        <f t="shared" si="960"/>
        <v>0</v>
      </c>
      <c r="AM1150" s="5">
        <f t="shared" si="980"/>
        <v>0</v>
      </c>
      <c r="AN1150" s="5">
        <f t="shared" si="961"/>
        <v>0</v>
      </c>
      <c r="AO1150" s="5">
        <f t="shared" si="981"/>
        <v>0</v>
      </c>
      <c r="AP1150" s="11" t="s">
        <v>42</v>
      </c>
      <c r="AQ1150" s="11">
        <v>0.96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1</v>
      </c>
      <c r="AY1150" s="1">
        <f t="shared" si="1023"/>
        <v>0</v>
      </c>
      <c r="AZ1150" s="1">
        <f t="shared" si="1024"/>
        <v>0</v>
      </c>
      <c r="BA1150" s="1">
        <f t="shared" si="1025"/>
        <v>0</v>
      </c>
      <c r="BB1150" s="5">
        <v>0</v>
      </c>
      <c r="BC1150" s="5">
        <v>0</v>
      </c>
      <c r="BD1150" s="5">
        <v>0</v>
      </c>
      <c r="BE1150" s="5">
        <f t="shared" si="1026"/>
        <v>1</v>
      </c>
      <c r="BF1150" s="5">
        <v>1</v>
      </c>
      <c r="BG1150" s="5">
        <f t="shared" si="1014"/>
        <v>0</v>
      </c>
      <c r="BH1150" s="5">
        <f t="shared" si="1014"/>
        <v>0</v>
      </c>
      <c r="BI1150" s="5">
        <f t="shared" si="1014"/>
        <v>0</v>
      </c>
      <c r="BJ1150" s="5">
        <f t="shared" si="1014"/>
        <v>0</v>
      </c>
      <c r="BK1150" s="5">
        <f t="shared" si="1014"/>
        <v>0</v>
      </c>
      <c r="BL1150" s="5">
        <f t="shared" si="1014"/>
        <v>0</v>
      </c>
      <c r="BM1150" s="5">
        <f t="shared" si="1014"/>
        <v>0</v>
      </c>
      <c r="BN1150" s="5">
        <f t="shared" si="1014"/>
        <v>0</v>
      </c>
      <c r="BO1150" s="5">
        <f t="shared" si="1012"/>
        <v>0</v>
      </c>
      <c r="BP1150" s="5">
        <f t="shared" si="1012"/>
        <v>0</v>
      </c>
      <c r="BQ1150" s="5">
        <f t="shared" si="1012"/>
        <v>0</v>
      </c>
      <c r="BR1150" s="5">
        <f t="shared" si="1012"/>
        <v>0</v>
      </c>
      <c r="BS1150" s="5">
        <f t="shared" si="1012"/>
        <v>0</v>
      </c>
      <c r="BT1150" s="5">
        <f t="shared" si="1012"/>
        <v>0</v>
      </c>
      <c r="BU1150" s="5">
        <f t="shared" si="1012"/>
        <v>0</v>
      </c>
      <c r="BV1150" s="5">
        <f t="shared" si="1012"/>
        <v>0</v>
      </c>
      <c r="BW1150" s="5">
        <f t="shared" si="1012"/>
        <v>0</v>
      </c>
      <c r="BX1150" s="5">
        <f t="shared" si="1012"/>
        <v>0</v>
      </c>
      <c r="BY1150" s="5">
        <f t="shared" si="1012"/>
        <v>0</v>
      </c>
      <c r="BZ1150" s="5">
        <f t="shared" si="1012"/>
        <v>0</v>
      </c>
      <c r="CA1150" s="5">
        <f t="shared" si="1012"/>
        <v>0</v>
      </c>
      <c r="CB1150" s="5">
        <f t="shared" si="1012"/>
        <v>0</v>
      </c>
      <c r="CC1150" s="5">
        <f t="shared" si="1012"/>
        <v>0</v>
      </c>
      <c r="CD1150" s="5">
        <f t="shared" si="1028"/>
        <v>1</v>
      </c>
      <c r="CE1150" s="5">
        <f t="shared" si="1028"/>
        <v>0</v>
      </c>
    </row>
    <row r="1151" spans="1:83" x14ac:dyDescent="0.2">
      <c r="A1151" s="11"/>
      <c r="B1151" s="11"/>
      <c r="C1151" s="1">
        <f>Growth!D1156</f>
        <v>9.0909090909090912E-2</v>
      </c>
      <c r="D1151" s="5" t="b">
        <f t="shared" si="1015"/>
        <v>0</v>
      </c>
      <c r="E1151" s="5">
        <v>2014</v>
      </c>
      <c r="F1151" s="5">
        <f ca="1">LOOKUP($E1151,frequence!$A$2:$A$35,frequence!L$2:L$35)</f>
        <v>50.75383375536623</v>
      </c>
      <c r="G1151" s="5">
        <f ca="1">LOOKUP($E1151,frequence!$A$2:$A$35,frequence!K$2:K$35)</f>
        <v>9.9751715831189358</v>
      </c>
      <c r="H1151" s="5">
        <f ca="1">LOOKUP($E1151,frequence!$A$2:$A$35,frequence!M$2:M$35)</f>
        <v>236.05429056976001</v>
      </c>
      <c r="I1151" s="18">
        <v>2010</v>
      </c>
      <c r="J1151" s="7">
        <f>LOOKUP(I1151,CPI!A$69:A$103,CPI!O$69:O$103)</f>
        <v>1</v>
      </c>
      <c r="K1151" s="16">
        <v>2015</v>
      </c>
      <c r="L1151" s="7">
        <f t="shared" ca="1" si="954"/>
        <v>1</v>
      </c>
      <c r="M1151" s="7">
        <f t="shared" si="1013"/>
        <v>0.49090909090909096</v>
      </c>
      <c r="N1151" s="14">
        <f t="shared" si="1027"/>
        <v>9.0909090909090912E-2</v>
      </c>
      <c r="O1151" s="1">
        <f ca="1">P1151*J1151*(1+Growth!G$6)^(2010-K1151)</f>
        <v>73.464464602107398</v>
      </c>
      <c r="P1151" s="26">
        <v>79.19</v>
      </c>
      <c r="Q1151" s="2">
        <f t="shared" si="1016"/>
        <v>79.19</v>
      </c>
      <c r="R1151" s="21">
        <f t="shared" ca="1" si="988"/>
        <v>5397.027559274291</v>
      </c>
      <c r="U1151" s="11"/>
      <c r="V1151" s="11"/>
      <c r="W1151" s="11"/>
      <c r="X1151" s="11"/>
      <c r="Y1151" s="11"/>
      <c r="Z1151" s="11"/>
      <c r="AA1151" s="11"/>
      <c r="AB1151" s="11"/>
      <c r="AC1151" s="1">
        <f t="shared" si="1017"/>
        <v>5.4</v>
      </c>
      <c r="AD1151" s="5">
        <v>0</v>
      </c>
      <c r="AE1151" s="5">
        <v>0</v>
      </c>
      <c r="AF1151" s="5">
        <v>1</v>
      </c>
      <c r="AG1151" s="5">
        <v>0</v>
      </c>
      <c r="AH1151" s="5">
        <v>1</v>
      </c>
      <c r="AI1151" s="3">
        <f t="shared" si="1018"/>
        <v>3.4</v>
      </c>
      <c r="AJ1151" s="5">
        <f t="shared" si="977"/>
        <v>0</v>
      </c>
      <c r="AK1151" s="5">
        <f t="shared" si="959"/>
        <v>0</v>
      </c>
      <c r="AL1151" s="5">
        <f t="shared" si="960"/>
        <v>0</v>
      </c>
      <c r="AM1151" s="5">
        <f t="shared" si="980"/>
        <v>0</v>
      </c>
      <c r="AN1151" s="5">
        <f t="shared" si="961"/>
        <v>0</v>
      </c>
      <c r="AO1151" s="5">
        <f t="shared" si="981"/>
        <v>0</v>
      </c>
      <c r="AP1151" s="11" t="s">
        <v>42</v>
      </c>
      <c r="AQ1151" s="11">
        <v>0.96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1</v>
      </c>
      <c r="AY1151" s="1">
        <f t="shared" si="1023"/>
        <v>0</v>
      </c>
      <c r="AZ1151" s="1">
        <f t="shared" si="1024"/>
        <v>0</v>
      </c>
      <c r="BA1151" s="1">
        <f t="shared" si="1025"/>
        <v>0</v>
      </c>
      <c r="BB1151" s="5">
        <v>0</v>
      </c>
      <c r="BC1151" s="5">
        <v>0</v>
      </c>
      <c r="BD1151" s="5">
        <v>0</v>
      </c>
      <c r="BE1151" s="5">
        <f t="shared" si="1026"/>
        <v>1</v>
      </c>
      <c r="BF1151" s="5">
        <v>1</v>
      </c>
      <c r="BG1151" s="5">
        <f t="shared" si="1014"/>
        <v>0</v>
      </c>
      <c r="BH1151" s="5">
        <f t="shared" si="1014"/>
        <v>0</v>
      </c>
      <c r="BI1151" s="5">
        <f t="shared" si="1014"/>
        <v>0</v>
      </c>
      <c r="BJ1151" s="5">
        <f t="shared" si="1014"/>
        <v>0</v>
      </c>
      <c r="BK1151" s="5">
        <f t="shared" si="1014"/>
        <v>0</v>
      </c>
      <c r="BL1151" s="5">
        <f t="shared" si="1014"/>
        <v>0</v>
      </c>
      <c r="BM1151" s="5">
        <f t="shared" si="1014"/>
        <v>0</v>
      </c>
      <c r="BN1151" s="5">
        <f t="shared" si="1014"/>
        <v>0</v>
      </c>
      <c r="BO1151" s="5">
        <f t="shared" si="1012"/>
        <v>0</v>
      </c>
      <c r="BP1151" s="5">
        <f t="shared" si="1012"/>
        <v>0</v>
      </c>
      <c r="BQ1151" s="5">
        <f t="shared" si="1012"/>
        <v>0</v>
      </c>
      <c r="BR1151" s="5">
        <f t="shared" si="1012"/>
        <v>0</v>
      </c>
      <c r="BS1151" s="5">
        <f t="shared" si="1012"/>
        <v>0</v>
      </c>
      <c r="BT1151" s="5">
        <f t="shared" si="1012"/>
        <v>0</v>
      </c>
      <c r="BU1151" s="5">
        <f t="shared" si="1012"/>
        <v>0</v>
      </c>
      <c r="BV1151" s="5">
        <f t="shared" si="1012"/>
        <v>0</v>
      </c>
      <c r="BW1151" s="5">
        <f t="shared" si="1012"/>
        <v>0</v>
      </c>
      <c r="BX1151" s="5">
        <f t="shared" si="1012"/>
        <v>0</v>
      </c>
      <c r="BY1151" s="5">
        <f t="shared" si="1012"/>
        <v>0</v>
      </c>
      <c r="BZ1151" s="5">
        <f t="shared" si="1012"/>
        <v>0</v>
      </c>
      <c r="CA1151" s="5">
        <f t="shared" si="1012"/>
        <v>0</v>
      </c>
      <c r="CB1151" s="5">
        <f t="shared" si="1012"/>
        <v>0</v>
      </c>
      <c r="CC1151" s="5">
        <f t="shared" si="1012"/>
        <v>0</v>
      </c>
      <c r="CD1151" s="5">
        <f t="shared" si="1028"/>
        <v>1</v>
      </c>
      <c r="CE1151" s="5">
        <f t="shared" si="1028"/>
        <v>0</v>
      </c>
    </row>
    <row r="1152" spans="1:83" x14ac:dyDescent="0.2">
      <c r="A1152" s="11"/>
      <c r="B1152" s="11"/>
      <c r="C1152" s="1">
        <f>Growth!D1157</f>
        <v>9.0909090909090912E-2</v>
      </c>
      <c r="D1152" s="5" t="b">
        <f t="shared" si="1015"/>
        <v>0</v>
      </c>
      <c r="E1152" s="5">
        <v>2014</v>
      </c>
      <c r="F1152" s="5">
        <f ca="1">LOOKUP($E1152,frequence!$A$2:$A$35,frequence!L$2:L$35)</f>
        <v>50.75383375536623</v>
      </c>
      <c r="G1152" s="5">
        <f ca="1">LOOKUP($E1152,frequence!$A$2:$A$35,frequence!K$2:K$35)</f>
        <v>9.9751715831189358</v>
      </c>
      <c r="H1152" s="5">
        <f ca="1">LOOKUP($E1152,frequence!$A$2:$A$35,frequence!M$2:M$35)</f>
        <v>236.05429056976001</v>
      </c>
      <c r="I1152" s="18">
        <v>2010</v>
      </c>
      <c r="J1152" s="7">
        <f>LOOKUP(I1152,CPI!A$69:A$103,CPI!O$69:O$103)</f>
        <v>1</v>
      </c>
      <c r="K1152" s="16">
        <v>2015</v>
      </c>
      <c r="L1152" s="7">
        <f t="shared" ca="1" si="954"/>
        <v>1</v>
      </c>
      <c r="M1152" s="7">
        <f t="shared" ref="M1152:M1153" si="1029">N1152*AC1152</f>
        <v>0.49090909090909096</v>
      </c>
      <c r="N1152" s="14">
        <f t="shared" si="1027"/>
        <v>9.0909090909090912E-2</v>
      </c>
      <c r="O1152" s="1">
        <f ca="1">P1152*J1152*(1+Growth!G$6)^(2010-K1152)</f>
        <v>39.427197191432818</v>
      </c>
      <c r="P1152" s="26">
        <v>42.5</v>
      </c>
      <c r="Q1152" s="2">
        <f t="shared" ref="Q1152" si="1030">P1152</f>
        <v>42.5</v>
      </c>
      <c r="R1152" s="21">
        <f t="shared" ref="R1152" ca="1" si="1031">O1152*O1152</f>
        <v>1554.5038783721279</v>
      </c>
      <c r="U1152" s="11"/>
      <c r="V1152" s="11"/>
      <c r="W1152" s="11"/>
      <c r="X1152" s="11"/>
      <c r="Y1152" s="11"/>
      <c r="Z1152" s="11"/>
      <c r="AA1152" s="11"/>
      <c r="AB1152" s="11"/>
      <c r="AC1152" s="1">
        <f t="shared" ref="AC1152" si="1032">SUM(AD1152:AI1152)</f>
        <v>5.4</v>
      </c>
      <c r="AD1152" s="5">
        <v>0</v>
      </c>
      <c r="AE1152" s="5">
        <v>0</v>
      </c>
      <c r="AF1152" s="5">
        <v>1</v>
      </c>
      <c r="AG1152" s="5">
        <v>0</v>
      </c>
      <c r="AH1152" s="5">
        <v>1</v>
      </c>
      <c r="AI1152" s="3">
        <f t="shared" ref="AI1152" si="1033">(E1152-1980)/10</f>
        <v>3.4</v>
      </c>
      <c r="AJ1152" s="5">
        <f t="shared" si="977"/>
        <v>0</v>
      </c>
      <c r="AK1152" s="5">
        <f t="shared" si="959"/>
        <v>0</v>
      </c>
      <c r="AL1152" s="5">
        <f t="shared" si="960"/>
        <v>0</v>
      </c>
      <c r="AM1152" s="5">
        <f t="shared" si="980"/>
        <v>0</v>
      </c>
      <c r="AN1152" s="5">
        <f t="shared" si="961"/>
        <v>0</v>
      </c>
      <c r="AO1152" s="5">
        <f t="shared" si="981"/>
        <v>0</v>
      </c>
      <c r="AP1152" s="11" t="s">
        <v>42</v>
      </c>
      <c r="AQ1152" s="11">
        <v>0.96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1</v>
      </c>
      <c r="AY1152" s="1">
        <f t="shared" ref="AY1152" si="1034">AJ1152*$AD1152*(1-$AV1152)*(1-$AR1152)</f>
        <v>0</v>
      </c>
      <c r="AZ1152" s="1">
        <f t="shared" ref="AZ1152" si="1035">AM1152*$AD1152*(1-$AV1152)*(1-$AR1152)</f>
        <v>0</v>
      </c>
      <c r="BA1152" s="1">
        <f t="shared" ref="BA1152" si="1036">AO1152*$AD1152*(1-$AV1152)*(1-$AR1152)</f>
        <v>0</v>
      </c>
      <c r="BB1152" s="5">
        <v>0</v>
      </c>
      <c r="BC1152" s="5">
        <v>0</v>
      </c>
      <c r="BD1152" s="5">
        <v>0</v>
      </c>
      <c r="BE1152" s="5">
        <f t="shared" ref="BE1152" si="1037">1-SUM(BB1152:BD1152)</f>
        <v>1</v>
      </c>
      <c r="BF1152" s="5">
        <v>1</v>
      </c>
      <c r="BG1152" s="5">
        <f t="shared" si="1014"/>
        <v>0</v>
      </c>
      <c r="BH1152" s="5">
        <f t="shared" si="1014"/>
        <v>0</v>
      </c>
      <c r="BI1152" s="5">
        <f t="shared" si="1014"/>
        <v>0</v>
      </c>
      <c r="BJ1152" s="5">
        <f t="shared" si="1014"/>
        <v>0</v>
      </c>
      <c r="BK1152" s="5">
        <f t="shared" si="1014"/>
        <v>0</v>
      </c>
      <c r="BL1152" s="5">
        <f t="shared" si="1014"/>
        <v>0</v>
      </c>
      <c r="BM1152" s="5">
        <f t="shared" si="1014"/>
        <v>0</v>
      </c>
      <c r="BN1152" s="5">
        <f t="shared" si="1014"/>
        <v>0</v>
      </c>
      <c r="BO1152" s="5">
        <f t="shared" si="1012"/>
        <v>0</v>
      </c>
      <c r="BP1152" s="5">
        <f t="shared" si="1012"/>
        <v>0</v>
      </c>
      <c r="BQ1152" s="5">
        <f t="shared" si="1012"/>
        <v>0</v>
      </c>
      <c r="BR1152" s="5">
        <f t="shared" si="1012"/>
        <v>0</v>
      </c>
      <c r="BS1152" s="5">
        <f t="shared" si="1012"/>
        <v>0</v>
      </c>
      <c r="BT1152" s="5">
        <f t="shared" si="1012"/>
        <v>0</v>
      </c>
      <c r="BU1152" s="5">
        <f t="shared" si="1012"/>
        <v>0</v>
      </c>
      <c r="BV1152" s="5">
        <f t="shared" si="1012"/>
        <v>0</v>
      </c>
      <c r="BW1152" s="5">
        <f t="shared" si="1012"/>
        <v>0</v>
      </c>
      <c r="BX1152" s="5">
        <f t="shared" si="1012"/>
        <v>0</v>
      </c>
      <c r="BY1152" s="5">
        <f t="shared" si="1012"/>
        <v>0</v>
      </c>
      <c r="BZ1152" s="5">
        <f t="shared" si="1012"/>
        <v>0</v>
      </c>
      <c r="CA1152" s="5">
        <f t="shared" si="1012"/>
        <v>0</v>
      </c>
      <c r="CB1152" s="5">
        <f t="shared" si="1012"/>
        <v>0</v>
      </c>
      <c r="CC1152" s="5">
        <f t="shared" si="1012"/>
        <v>0</v>
      </c>
      <c r="CD1152" s="5">
        <f t="shared" si="1028"/>
        <v>1</v>
      </c>
      <c r="CE1152" s="5">
        <f t="shared" si="1028"/>
        <v>0</v>
      </c>
    </row>
    <row r="1153" spans="1:83" x14ac:dyDescent="0.2">
      <c r="A1153" s="11" t="s">
        <v>220</v>
      </c>
      <c r="B1153" s="11" t="s">
        <v>197</v>
      </c>
      <c r="C1153" s="1">
        <f>Growth!D1158</f>
        <v>3.2679738562091504E-3</v>
      </c>
      <c r="D1153" s="5">
        <f t="shared" ref="D1153:D1215" si="1038">IF(B1153&gt;0,E1153)</f>
        <v>2014</v>
      </c>
      <c r="E1153" s="5">
        <v>2014</v>
      </c>
      <c r="F1153" s="5">
        <f ca="1">LOOKUP($E1153,frequence!$A$2:$A$35,frequence!L$2:L$35)</f>
        <v>50.75383375536623</v>
      </c>
      <c r="G1153" s="5">
        <f ca="1">LOOKUP($E1153,frequence!$A$2:$A$35,frequence!K$2:K$35)</f>
        <v>9.9751715831189358</v>
      </c>
      <c r="H1153" s="5">
        <f ca="1">LOOKUP($E1153,frequence!$A$2:$A$35,frequence!M$2:M$35)</f>
        <v>236.05429056976001</v>
      </c>
      <c r="I1153" s="16">
        <v>2007</v>
      </c>
      <c r="J1153" s="7">
        <f>LOOKUP(I1153,CPI!A$69:A$103,CPI!O$69:O$103)</f>
        <v>1.0516730811895323</v>
      </c>
      <c r="K1153" s="16">
        <v>2015</v>
      </c>
      <c r="L1153" s="7">
        <f t="shared" ca="1" si="954"/>
        <v>1</v>
      </c>
      <c r="M1153" s="7">
        <f t="shared" si="1029"/>
        <v>2.0915032679738564E-2</v>
      </c>
      <c r="N1153" s="14">
        <v>3.2679738562091504E-3</v>
      </c>
      <c r="O1153" s="1">
        <f ca="1">P1153*J1153*(1+Growth!G$6)^(2010-K1153)</f>
        <v>116.40344499579349</v>
      </c>
      <c r="P1153">
        <v>119.31034482758599</v>
      </c>
      <c r="Q1153" s="2">
        <f t="shared" ref="Q1153:Q1215" si="1039">P1153</f>
        <v>119.31034482758599</v>
      </c>
      <c r="R1153" s="21">
        <f t="shared" ref="R1153:R1215" ca="1" si="1040">O1153*O1153</f>
        <v>13549.762006888721</v>
      </c>
      <c r="U1153" s="11"/>
      <c r="V1153" s="11"/>
      <c r="W1153" s="11"/>
      <c r="X1153" s="11"/>
      <c r="Y1153" s="11"/>
      <c r="Z1153" s="11"/>
      <c r="AA1153" s="11"/>
      <c r="AB1153" s="11"/>
      <c r="AC1153" s="1">
        <f t="shared" ref="AC1153" si="1041">SUM(AD1153:AI1153)</f>
        <v>6.4</v>
      </c>
      <c r="AD1153" s="5">
        <v>1</v>
      </c>
      <c r="AE1153" s="5">
        <v>0</v>
      </c>
      <c r="AF1153" s="5">
        <v>1</v>
      </c>
      <c r="AG1153" s="5">
        <v>0</v>
      </c>
      <c r="AH1153" s="5">
        <v>1</v>
      </c>
      <c r="AI1153" s="3">
        <f t="shared" ref="AI1153" si="1042">(E1153-1980)/10</f>
        <v>3.4</v>
      </c>
      <c r="AJ1153" s="5">
        <f t="shared" si="977"/>
        <v>0</v>
      </c>
      <c r="AK1153" s="5">
        <f t="shared" si="959"/>
        <v>0</v>
      </c>
      <c r="AL1153" s="5">
        <f t="shared" si="960"/>
        <v>0</v>
      </c>
      <c r="AM1153" s="5">
        <f t="shared" si="980"/>
        <v>0</v>
      </c>
      <c r="AN1153" s="5">
        <f t="shared" si="961"/>
        <v>1</v>
      </c>
      <c r="AO1153" s="5">
        <f t="shared" si="981"/>
        <v>0</v>
      </c>
      <c r="AP1153" s="11" t="s">
        <v>42</v>
      </c>
      <c r="AQ1153" s="11">
        <v>0.1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1</v>
      </c>
      <c r="AY1153" s="1">
        <f t="shared" ref="AY1153" si="1043">AJ1153*$AD1153*(1-$AV1153)*(1-$AR1153)</f>
        <v>0</v>
      </c>
      <c r="AZ1153" s="1">
        <f t="shared" ref="AZ1153" si="1044">AM1153*$AD1153*(1-$AV1153)*(1-$AR1153)</f>
        <v>0</v>
      </c>
      <c r="BA1153" s="1">
        <f t="shared" ref="BA1153" si="1045">AO1153*$AD1153*(1-$AV1153)*(1-$AR1153)</f>
        <v>0</v>
      </c>
      <c r="BB1153" s="5">
        <v>0</v>
      </c>
      <c r="BC1153" s="5">
        <v>0</v>
      </c>
      <c r="BD1153" s="5">
        <v>0</v>
      </c>
      <c r="BE1153" s="5">
        <f t="shared" ref="BE1153" si="1046">1-SUM(BB1153:BD1153)</f>
        <v>1</v>
      </c>
      <c r="BF1153" s="5">
        <v>1</v>
      </c>
      <c r="BG1153" s="5">
        <f t="shared" si="1014"/>
        <v>0</v>
      </c>
      <c r="BH1153" s="5">
        <f t="shared" si="1014"/>
        <v>0</v>
      </c>
      <c r="BI1153" s="5">
        <f t="shared" si="1014"/>
        <v>0</v>
      </c>
      <c r="BJ1153" s="5">
        <f t="shared" si="1014"/>
        <v>0</v>
      </c>
      <c r="BK1153" s="5">
        <f t="shared" si="1014"/>
        <v>0</v>
      </c>
      <c r="BL1153" s="5">
        <f t="shared" si="1014"/>
        <v>0</v>
      </c>
      <c r="BM1153" s="5">
        <f t="shared" si="1014"/>
        <v>0</v>
      </c>
      <c r="BN1153" s="5">
        <f t="shared" si="1014"/>
        <v>0</v>
      </c>
      <c r="BO1153" s="5">
        <f t="shared" si="1012"/>
        <v>0</v>
      </c>
      <c r="BP1153" s="5">
        <f t="shared" si="1012"/>
        <v>0</v>
      </c>
      <c r="BQ1153" s="5">
        <f t="shared" si="1012"/>
        <v>0</v>
      </c>
      <c r="BR1153" s="5">
        <f t="shared" si="1012"/>
        <v>0</v>
      </c>
      <c r="BS1153" s="5">
        <f t="shared" si="1012"/>
        <v>0</v>
      </c>
      <c r="BT1153" s="5">
        <f t="shared" si="1012"/>
        <v>0</v>
      </c>
      <c r="BU1153" s="5">
        <f t="shared" si="1012"/>
        <v>0</v>
      </c>
      <c r="BV1153" s="5">
        <f t="shared" si="1012"/>
        <v>0</v>
      </c>
      <c r="BW1153" s="5">
        <f t="shared" si="1012"/>
        <v>0</v>
      </c>
      <c r="BX1153" s="5">
        <f t="shared" si="1012"/>
        <v>0</v>
      </c>
      <c r="BY1153" s="5">
        <f t="shared" si="1012"/>
        <v>0</v>
      </c>
      <c r="BZ1153" s="5">
        <f t="shared" si="1012"/>
        <v>0</v>
      </c>
      <c r="CA1153" s="5">
        <f t="shared" si="1012"/>
        <v>0</v>
      </c>
      <c r="CB1153" s="5">
        <f t="shared" si="1012"/>
        <v>0</v>
      </c>
      <c r="CC1153" s="5">
        <f t="shared" si="1012"/>
        <v>0</v>
      </c>
      <c r="CD1153" s="5">
        <f t="shared" si="1028"/>
        <v>1</v>
      </c>
      <c r="CE1153" s="5">
        <f t="shared" si="1028"/>
        <v>0</v>
      </c>
    </row>
    <row r="1154" spans="1:83" x14ac:dyDescent="0.2">
      <c r="A1154" s="11"/>
      <c r="B1154" s="11"/>
      <c r="C1154" s="1">
        <f>Growth!D1159</f>
        <v>4.2483660130718959E-3</v>
      </c>
      <c r="D1154" s="5" t="b">
        <f t="shared" si="1038"/>
        <v>0</v>
      </c>
      <c r="E1154" s="5">
        <v>2014</v>
      </c>
      <c r="F1154" s="5">
        <f ca="1">LOOKUP($E1154,frequence!$A$2:$A$35,frequence!L$2:L$35)</f>
        <v>50.75383375536623</v>
      </c>
      <c r="G1154" s="5">
        <f ca="1">LOOKUP($E1154,frequence!$A$2:$A$35,frequence!K$2:K$35)</f>
        <v>9.9751715831189358</v>
      </c>
      <c r="H1154" s="5">
        <f ca="1">LOOKUP($E1154,frequence!$A$2:$A$35,frequence!M$2:M$35)</f>
        <v>236.05429056976001</v>
      </c>
      <c r="I1154" s="16">
        <v>2007</v>
      </c>
      <c r="J1154" s="7">
        <f>LOOKUP(I1154,CPI!A$69:A$103,CPI!O$69:O$103)</f>
        <v>1.0516730811895323</v>
      </c>
      <c r="K1154" s="16">
        <v>2015</v>
      </c>
      <c r="L1154" s="7">
        <f t="shared" ca="1" si="954"/>
        <v>1</v>
      </c>
      <c r="M1154" s="7">
        <f t="shared" ref="M1154:M1215" si="1047">N1154*AC1154</f>
        <v>2.7189542483660137E-2</v>
      </c>
      <c r="N1154" s="14">
        <v>4.2483660130718959E-3</v>
      </c>
      <c r="O1154" s="1">
        <f ca="1">P1154*J1154*(1+Growth!G$6)^(2010-K1154)</f>
        <v>94.382824817924146</v>
      </c>
      <c r="P1154">
        <v>96.739811912225704</v>
      </c>
      <c r="Q1154" s="2">
        <f t="shared" si="1039"/>
        <v>96.739811912225704</v>
      </c>
      <c r="R1154" s="21">
        <f t="shared" ca="1" si="1040"/>
        <v>8908.1176206109576</v>
      </c>
      <c r="U1154" s="11"/>
      <c r="V1154" s="11"/>
      <c r="W1154" s="11"/>
      <c r="X1154" s="11"/>
      <c r="Y1154" s="11"/>
      <c r="Z1154" s="11"/>
      <c r="AA1154" s="11"/>
      <c r="AB1154" s="11"/>
      <c r="AC1154" s="1">
        <f t="shared" ref="AC1154:AC1215" si="1048">SUM(AD1154:AI1154)</f>
        <v>6.4</v>
      </c>
      <c r="AD1154" s="5">
        <v>1</v>
      </c>
      <c r="AE1154" s="5">
        <v>0</v>
      </c>
      <c r="AF1154" s="5">
        <v>1</v>
      </c>
      <c r="AG1154" s="5">
        <v>0</v>
      </c>
      <c r="AH1154" s="5">
        <v>1</v>
      </c>
      <c r="AI1154" s="3">
        <f t="shared" ref="AI1154:AI1215" si="1049">(E1154-1980)/10</f>
        <v>3.4</v>
      </c>
      <c r="AJ1154" s="5">
        <f t="shared" si="977"/>
        <v>0</v>
      </c>
      <c r="AK1154" s="5">
        <f t="shared" si="959"/>
        <v>0</v>
      </c>
      <c r="AL1154" s="5">
        <f t="shared" si="960"/>
        <v>0</v>
      </c>
      <c r="AM1154" s="5">
        <f t="shared" si="980"/>
        <v>0</v>
      </c>
      <c r="AN1154" s="5">
        <f t="shared" si="961"/>
        <v>1</v>
      </c>
      <c r="AO1154" s="5">
        <f t="shared" si="981"/>
        <v>0</v>
      </c>
      <c r="AP1154" s="11" t="s">
        <v>42</v>
      </c>
      <c r="AQ1154" s="11">
        <v>0.1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1</v>
      </c>
      <c r="AY1154" s="1">
        <f t="shared" ref="AY1154:AY1215" si="1050">AJ1154*$AD1154*(1-$AV1154)*(1-$AR1154)</f>
        <v>0</v>
      </c>
      <c r="AZ1154" s="1">
        <f t="shared" ref="AZ1154:AZ1215" si="1051">AM1154*$AD1154*(1-$AV1154)*(1-$AR1154)</f>
        <v>0</v>
      </c>
      <c r="BA1154" s="1">
        <f t="shared" ref="BA1154:BA1215" si="1052">AO1154*$AD1154*(1-$AV1154)*(1-$AR1154)</f>
        <v>0</v>
      </c>
      <c r="BB1154" s="5">
        <v>0</v>
      </c>
      <c r="BC1154" s="5">
        <v>0</v>
      </c>
      <c r="BD1154" s="5">
        <v>0</v>
      </c>
      <c r="BE1154" s="5">
        <f t="shared" ref="BE1154:BE1215" si="1053">1-SUM(BB1154:BD1154)</f>
        <v>1</v>
      </c>
      <c r="BF1154" s="5">
        <v>1</v>
      </c>
      <c r="BG1154" s="5">
        <f t="shared" si="1014"/>
        <v>0</v>
      </c>
      <c r="BH1154" s="5">
        <f t="shared" si="1014"/>
        <v>0</v>
      </c>
      <c r="BI1154" s="5">
        <f t="shared" si="1014"/>
        <v>0</v>
      </c>
      <c r="BJ1154" s="5">
        <f t="shared" si="1014"/>
        <v>0</v>
      </c>
      <c r="BK1154" s="5">
        <f t="shared" si="1014"/>
        <v>0</v>
      </c>
      <c r="BL1154" s="5">
        <f t="shared" si="1014"/>
        <v>0</v>
      </c>
      <c r="BM1154" s="5">
        <f t="shared" si="1014"/>
        <v>0</v>
      </c>
      <c r="BN1154" s="5">
        <f t="shared" si="1014"/>
        <v>0</v>
      </c>
      <c r="BO1154" s="5">
        <f t="shared" si="1012"/>
        <v>0</v>
      </c>
      <c r="BP1154" s="5">
        <f t="shared" si="1012"/>
        <v>0</v>
      </c>
      <c r="BQ1154" s="5">
        <f t="shared" si="1012"/>
        <v>0</v>
      </c>
      <c r="BR1154" s="5">
        <f t="shared" si="1012"/>
        <v>0</v>
      </c>
      <c r="BS1154" s="5">
        <f t="shared" si="1012"/>
        <v>0</v>
      </c>
      <c r="BT1154" s="5">
        <f t="shared" si="1012"/>
        <v>0</v>
      </c>
      <c r="BU1154" s="5">
        <f t="shared" si="1012"/>
        <v>0</v>
      </c>
      <c r="BV1154" s="5">
        <f t="shared" si="1012"/>
        <v>0</v>
      </c>
      <c r="BW1154" s="5">
        <f t="shared" si="1012"/>
        <v>0</v>
      </c>
      <c r="BX1154" s="5">
        <f t="shared" si="1012"/>
        <v>0</v>
      </c>
      <c r="BY1154" s="5">
        <f t="shared" si="1012"/>
        <v>0</v>
      </c>
      <c r="BZ1154" s="5">
        <f t="shared" si="1012"/>
        <v>0</v>
      </c>
      <c r="CA1154" s="5">
        <f t="shared" si="1012"/>
        <v>0</v>
      </c>
      <c r="CB1154" s="5">
        <f t="shared" si="1012"/>
        <v>0</v>
      </c>
      <c r="CC1154" s="5">
        <f t="shared" si="1012"/>
        <v>0</v>
      </c>
      <c r="CD1154" s="5">
        <f t="shared" si="1028"/>
        <v>1</v>
      </c>
      <c r="CE1154" s="5">
        <f t="shared" si="1028"/>
        <v>0</v>
      </c>
    </row>
    <row r="1155" spans="1:83" x14ac:dyDescent="0.2">
      <c r="A1155" s="11"/>
      <c r="B1155" s="11"/>
      <c r="C1155" s="1">
        <f>Growth!D1160</f>
        <v>5.228758169934641E-3</v>
      </c>
      <c r="D1155" s="5" t="b">
        <f t="shared" si="1038"/>
        <v>0</v>
      </c>
      <c r="E1155" s="5">
        <v>2014</v>
      </c>
      <c r="F1155" s="5">
        <f ca="1">LOOKUP($E1155,frequence!$A$2:$A$35,frequence!L$2:L$35)</f>
        <v>50.75383375536623</v>
      </c>
      <c r="G1155" s="5">
        <f ca="1">LOOKUP($E1155,frequence!$A$2:$A$35,frequence!K$2:K$35)</f>
        <v>9.9751715831189358</v>
      </c>
      <c r="H1155" s="5">
        <f ca="1">LOOKUP($E1155,frequence!$A$2:$A$35,frequence!M$2:M$35)</f>
        <v>236.05429056976001</v>
      </c>
      <c r="I1155" s="16">
        <v>2007</v>
      </c>
      <c r="J1155" s="7">
        <f>LOOKUP(I1155,CPI!A$69:A$103,CPI!O$69:O$103)</f>
        <v>1.0516730811895323</v>
      </c>
      <c r="K1155" s="16">
        <v>2015</v>
      </c>
      <c r="L1155" s="7">
        <f t="shared" ca="1" si="954"/>
        <v>1</v>
      </c>
      <c r="M1155" s="7">
        <f t="shared" si="1047"/>
        <v>3.3464052287581703E-2</v>
      </c>
      <c r="N1155" s="14">
        <v>5.228758169934641E-3</v>
      </c>
      <c r="O1155" s="1">
        <f ca="1">P1155*J1155*(1+Growth!G$6)^(2010-K1155)</f>
        <v>77.011002233160355</v>
      </c>
      <c r="P1155">
        <v>78.934169278996805</v>
      </c>
      <c r="Q1155" s="2">
        <f t="shared" si="1039"/>
        <v>78.934169278996805</v>
      </c>
      <c r="R1155" s="21">
        <f t="shared" ca="1" si="1040"/>
        <v>5930.6944649558291</v>
      </c>
      <c r="U1155" s="11"/>
      <c r="V1155" s="11"/>
      <c r="W1155" s="11"/>
      <c r="X1155" s="11"/>
      <c r="Y1155" s="11"/>
      <c r="Z1155" s="11"/>
      <c r="AA1155" s="11"/>
      <c r="AB1155" s="11"/>
      <c r="AC1155" s="1">
        <f t="shared" si="1048"/>
        <v>6.4</v>
      </c>
      <c r="AD1155" s="5">
        <v>1</v>
      </c>
      <c r="AE1155" s="5">
        <v>0</v>
      </c>
      <c r="AF1155" s="5">
        <v>1</v>
      </c>
      <c r="AG1155" s="5">
        <v>0</v>
      </c>
      <c r="AH1155" s="5">
        <v>1</v>
      </c>
      <c r="AI1155" s="3">
        <f t="shared" si="1049"/>
        <v>3.4</v>
      </c>
      <c r="AJ1155" s="5">
        <f t="shared" si="977"/>
        <v>0</v>
      </c>
      <c r="AK1155" s="5">
        <f t="shared" si="959"/>
        <v>0</v>
      </c>
      <c r="AL1155" s="5">
        <f t="shared" si="960"/>
        <v>0</v>
      </c>
      <c r="AM1155" s="5">
        <f t="shared" si="980"/>
        <v>0</v>
      </c>
      <c r="AN1155" s="5">
        <f t="shared" si="961"/>
        <v>1</v>
      </c>
      <c r="AO1155" s="5">
        <f t="shared" si="981"/>
        <v>0</v>
      </c>
      <c r="AP1155" s="11" t="s">
        <v>42</v>
      </c>
      <c r="AQ1155" s="11">
        <v>0.1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1</v>
      </c>
      <c r="AY1155" s="1">
        <f t="shared" si="1050"/>
        <v>0</v>
      </c>
      <c r="AZ1155" s="1">
        <f t="shared" si="1051"/>
        <v>0</v>
      </c>
      <c r="BA1155" s="1">
        <f t="shared" si="1052"/>
        <v>0</v>
      </c>
      <c r="BB1155" s="5">
        <v>0</v>
      </c>
      <c r="BC1155" s="5">
        <v>0</v>
      </c>
      <c r="BD1155" s="5">
        <v>0</v>
      </c>
      <c r="BE1155" s="5">
        <f t="shared" si="1053"/>
        <v>1</v>
      </c>
      <c r="BF1155" s="5">
        <v>1</v>
      </c>
      <c r="BG1155" s="5">
        <f t="shared" si="1014"/>
        <v>0</v>
      </c>
      <c r="BH1155" s="5">
        <f t="shared" si="1014"/>
        <v>0</v>
      </c>
      <c r="BI1155" s="5">
        <f t="shared" si="1014"/>
        <v>0</v>
      </c>
      <c r="BJ1155" s="5">
        <f t="shared" si="1014"/>
        <v>0</v>
      </c>
      <c r="BK1155" s="5">
        <f t="shared" si="1014"/>
        <v>0</v>
      </c>
      <c r="BL1155" s="5">
        <f t="shared" si="1014"/>
        <v>0</v>
      </c>
      <c r="BM1155" s="5">
        <f t="shared" si="1014"/>
        <v>0</v>
      </c>
      <c r="BN1155" s="5">
        <f t="shared" si="1014"/>
        <v>0</v>
      </c>
      <c r="BO1155" s="5">
        <f t="shared" si="1012"/>
        <v>0</v>
      </c>
      <c r="BP1155" s="5">
        <f t="shared" si="1012"/>
        <v>0</v>
      </c>
      <c r="BQ1155" s="5">
        <f t="shared" si="1012"/>
        <v>0</v>
      </c>
      <c r="BR1155" s="5">
        <f t="shared" si="1012"/>
        <v>0</v>
      </c>
      <c r="BS1155" s="5">
        <f t="shared" si="1012"/>
        <v>0</v>
      </c>
      <c r="BT1155" s="5">
        <f t="shared" si="1012"/>
        <v>0</v>
      </c>
      <c r="BU1155" s="5">
        <f t="shared" si="1012"/>
        <v>0</v>
      </c>
      <c r="BV1155" s="5">
        <f t="shared" si="1012"/>
        <v>0</v>
      </c>
      <c r="BW1155" s="5">
        <f t="shared" si="1012"/>
        <v>0</v>
      </c>
      <c r="BX1155" s="5">
        <f t="shared" si="1012"/>
        <v>0</v>
      </c>
      <c r="BY1155" s="5">
        <f t="shared" si="1012"/>
        <v>0</v>
      </c>
      <c r="BZ1155" s="5">
        <f t="shared" si="1012"/>
        <v>0</v>
      </c>
      <c r="CA1155" s="5">
        <f t="shared" si="1012"/>
        <v>0</v>
      </c>
      <c r="CB1155" s="5">
        <f t="shared" si="1012"/>
        <v>0</v>
      </c>
      <c r="CC1155" s="5">
        <f t="shared" si="1012"/>
        <v>0</v>
      </c>
      <c r="CD1155" s="5">
        <f t="shared" si="1028"/>
        <v>1</v>
      </c>
      <c r="CE1155" s="5">
        <f t="shared" si="1028"/>
        <v>0</v>
      </c>
    </row>
    <row r="1156" spans="1:83" x14ac:dyDescent="0.2">
      <c r="A1156" s="11"/>
      <c r="B1156" s="11"/>
      <c r="C1156" s="1">
        <f>Growth!D1161</f>
        <v>6.2091503267973861E-3</v>
      </c>
      <c r="D1156" s="5" t="b">
        <f t="shared" si="1038"/>
        <v>0</v>
      </c>
      <c r="E1156" s="5">
        <v>2014</v>
      </c>
      <c r="F1156" s="5">
        <f ca="1">LOOKUP($E1156,frequence!$A$2:$A$35,frequence!L$2:L$35)</f>
        <v>50.75383375536623</v>
      </c>
      <c r="G1156" s="5">
        <f ca="1">LOOKUP($E1156,frequence!$A$2:$A$35,frequence!K$2:K$35)</f>
        <v>9.9751715831189358</v>
      </c>
      <c r="H1156" s="5">
        <f ca="1">LOOKUP($E1156,frequence!$A$2:$A$35,frequence!M$2:M$35)</f>
        <v>236.05429056976001</v>
      </c>
      <c r="I1156" s="16">
        <v>2007</v>
      </c>
      <c r="J1156" s="7">
        <f>LOOKUP(I1156,CPI!A$69:A$103,CPI!O$69:O$103)</f>
        <v>1.0516730811895323</v>
      </c>
      <c r="K1156" s="16">
        <v>2015</v>
      </c>
      <c r="L1156" s="7">
        <f t="shared" ca="1" si="954"/>
        <v>1</v>
      </c>
      <c r="M1156" s="7">
        <f t="shared" si="1047"/>
        <v>3.9738562091503275E-2</v>
      </c>
      <c r="N1156" s="14">
        <v>6.2091503267973861E-3</v>
      </c>
      <c r="O1156" s="1">
        <f ca="1">P1156*J1156*(1+Growth!G$6)^(2010-K1156)</f>
        <v>63.309283011374873</v>
      </c>
      <c r="P1156">
        <v>64.890282131661394</v>
      </c>
      <c r="Q1156" s="2">
        <f t="shared" si="1039"/>
        <v>64.890282131661394</v>
      </c>
      <c r="R1156" s="21">
        <f t="shared" ca="1" si="1040"/>
        <v>4008.0653154143592</v>
      </c>
      <c r="U1156" s="11"/>
      <c r="V1156" s="11"/>
      <c r="W1156" s="11"/>
      <c r="X1156" s="11"/>
      <c r="Y1156" s="11"/>
      <c r="Z1156" s="11"/>
      <c r="AA1156" s="11"/>
      <c r="AB1156" s="11"/>
      <c r="AC1156" s="1">
        <f t="shared" si="1048"/>
        <v>6.4</v>
      </c>
      <c r="AD1156" s="5">
        <v>1</v>
      </c>
      <c r="AE1156" s="5">
        <v>0</v>
      </c>
      <c r="AF1156" s="5">
        <v>1</v>
      </c>
      <c r="AG1156" s="5">
        <v>0</v>
      </c>
      <c r="AH1156" s="5">
        <v>1</v>
      </c>
      <c r="AI1156" s="3">
        <f t="shared" si="1049"/>
        <v>3.4</v>
      </c>
      <c r="AJ1156" s="5">
        <f t="shared" si="977"/>
        <v>0</v>
      </c>
      <c r="AK1156" s="5">
        <f t="shared" si="959"/>
        <v>0</v>
      </c>
      <c r="AL1156" s="5">
        <f t="shared" si="960"/>
        <v>0</v>
      </c>
      <c r="AM1156" s="5">
        <f t="shared" si="980"/>
        <v>0</v>
      </c>
      <c r="AN1156" s="5">
        <f t="shared" si="961"/>
        <v>1</v>
      </c>
      <c r="AO1156" s="5">
        <f t="shared" si="981"/>
        <v>0</v>
      </c>
      <c r="AP1156" s="11" t="s">
        <v>42</v>
      </c>
      <c r="AQ1156" s="11">
        <v>0.1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1</v>
      </c>
      <c r="AY1156" s="1">
        <f t="shared" si="1050"/>
        <v>0</v>
      </c>
      <c r="AZ1156" s="1">
        <f t="shared" si="1051"/>
        <v>0</v>
      </c>
      <c r="BA1156" s="1">
        <f t="shared" si="1052"/>
        <v>0</v>
      </c>
      <c r="BB1156" s="5">
        <v>0</v>
      </c>
      <c r="BC1156" s="5">
        <v>0</v>
      </c>
      <c r="BD1156" s="5">
        <v>0</v>
      </c>
      <c r="BE1156" s="5">
        <f t="shared" si="1053"/>
        <v>1</v>
      </c>
      <c r="BF1156" s="5">
        <v>1</v>
      </c>
      <c r="BG1156" s="5">
        <f t="shared" si="1014"/>
        <v>0</v>
      </c>
      <c r="BH1156" s="5">
        <f t="shared" si="1014"/>
        <v>0</v>
      </c>
      <c r="BI1156" s="5">
        <f t="shared" si="1014"/>
        <v>0</v>
      </c>
      <c r="BJ1156" s="5">
        <f t="shared" si="1014"/>
        <v>0</v>
      </c>
      <c r="BK1156" s="5">
        <f t="shared" si="1014"/>
        <v>0</v>
      </c>
      <c r="BL1156" s="5">
        <f t="shared" si="1014"/>
        <v>0</v>
      </c>
      <c r="BM1156" s="5">
        <f t="shared" si="1014"/>
        <v>0</v>
      </c>
      <c r="BN1156" s="5">
        <f t="shared" ref="BN1156:CB1171" si="1054">IF($E1156=BN$2,1,0)</f>
        <v>0</v>
      </c>
      <c r="BO1156" s="5">
        <f t="shared" si="1054"/>
        <v>0</v>
      </c>
      <c r="BP1156" s="5">
        <f t="shared" si="1054"/>
        <v>0</v>
      </c>
      <c r="BQ1156" s="5">
        <f t="shared" si="1054"/>
        <v>0</v>
      </c>
      <c r="BR1156" s="5">
        <f t="shared" si="1054"/>
        <v>0</v>
      </c>
      <c r="BS1156" s="5">
        <f t="shared" si="1054"/>
        <v>0</v>
      </c>
      <c r="BT1156" s="5">
        <f t="shared" si="1054"/>
        <v>0</v>
      </c>
      <c r="BU1156" s="5">
        <f t="shared" si="1054"/>
        <v>0</v>
      </c>
      <c r="BV1156" s="5">
        <f t="shared" si="1054"/>
        <v>0</v>
      </c>
      <c r="BW1156" s="5">
        <f t="shared" si="1054"/>
        <v>0</v>
      </c>
      <c r="BX1156" s="5">
        <f t="shared" si="1054"/>
        <v>0</v>
      </c>
      <c r="BY1156" s="5">
        <f t="shared" si="1054"/>
        <v>0</v>
      </c>
      <c r="BZ1156" s="5">
        <f t="shared" si="1054"/>
        <v>0</v>
      </c>
      <c r="CA1156" s="5">
        <f t="shared" si="1054"/>
        <v>0</v>
      </c>
      <c r="CB1156" s="5">
        <f t="shared" si="1054"/>
        <v>0</v>
      </c>
      <c r="CC1156" s="5">
        <f t="shared" ref="CC1156:CE1175" si="1055">IF($E1156=CC$2,1,0)</f>
        <v>0</v>
      </c>
      <c r="CD1156" s="5">
        <f t="shared" si="1028"/>
        <v>1</v>
      </c>
      <c r="CE1156" s="5">
        <f t="shared" si="1028"/>
        <v>0</v>
      </c>
    </row>
    <row r="1157" spans="1:83" x14ac:dyDescent="0.2">
      <c r="A1157" s="11"/>
      <c r="B1157" s="11"/>
      <c r="C1157" s="1">
        <f>Growth!D1162</f>
        <v>7.1895424836601312E-3</v>
      </c>
      <c r="D1157" s="5" t="b">
        <f t="shared" si="1038"/>
        <v>0</v>
      </c>
      <c r="E1157" s="5">
        <v>2014</v>
      </c>
      <c r="F1157" s="5">
        <f ca="1">LOOKUP($E1157,frequence!$A$2:$A$35,frequence!L$2:L$35)</f>
        <v>50.75383375536623</v>
      </c>
      <c r="G1157" s="5">
        <f ca="1">LOOKUP($E1157,frequence!$A$2:$A$35,frequence!K$2:K$35)</f>
        <v>9.9751715831189358</v>
      </c>
      <c r="H1157" s="5">
        <f ca="1">LOOKUP($E1157,frequence!$A$2:$A$35,frequence!M$2:M$35)</f>
        <v>236.05429056976001</v>
      </c>
      <c r="I1157" s="16">
        <v>2007</v>
      </c>
      <c r="J1157" s="7">
        <f>LOOKUP(I1157,CPI!A$69:A$103,CPI!O$69:O$103)</f>
        <v>1.0516730811895323</v>
      </c>
      <c r="K1157" s="16">
        <v>2015</v>
      </c>
      <c r="L1157" s="7">
        <f t="shared" ref="L1157:L1216" ca="1" si="1056">IF(O1157&lt;L$1,1,IF(O1157&gt;L$2,0,1-(O1157-L$1)/(L$2-L$1)))</f>
        <v>1</v>
      </c>
      <c r="M1157" s="7">
        <f t="shared" si="1047"/>
        <v>4.6013071895424841E-2</v>
      </c>
      <c r="N1157" s="14">
        <v>7.1895424836601312E-3</v>
      </c>
      <c r="O1157" s="1">
        <f ca="1">P1157*J1157*(1+Growth!G$6)^(2010-K1157)</f>
        <v>52.054299364908239</v>
      </c>
      <c r="P1157">
        <v>53.354231974921603</v>
      </c>
      <c r="Q1157" s="2">
        <f t="shared" si="1039"/>
        <v>53.354231974921603</v>
      </c>
      <c r="R1157" s="21">
        <f t="shared" ca="1" si="1040"/>
        <v>2709.6500823714864</v>
      </c>
      <c r="U1157" s="11"/>
      <c r="V1157" s="11"/>
      <c r="W1157" s="11"/>
      <c r="X1157" s="11"/>
      <c r="Y1157" s="11"/>
      <c r="Z1157" s="11"/>
      <c r="AA1157" s="11"/>
      <c r="AB1157" s="11"/>
      <c r="AC1157" s="1">
        <f t="shared" si="1048"/>
        <v>6.4</v>
      </c>
      <c r="AD1157" s="5">
        <v>1</v>
      </c>
      <c r="AE1157" s="5">
        <v>0</v>
      </c>
      <c r="AF1157" s="5">
        <v>1</v>
      </c>
      <c r="AG1157" s="5">
        <v>0</v>
      </c>
      <c r="AH1157" s="5">
        <v>1</v>
      </c>
      <c r="AI1157" s="3">
        <f t="shared" si="1049"/>
        <v>3.4</v>
      </c>
      <c r="AJ1157" s="5">
        <f t="shared" si="977"/>
        <v>0</v>
      </c>
      <c r="AK1157" s="5">
        <f t="shared" ref="AK1157:AK1216" si="1057">IF($AQ1157=2,1,0)</f>
        <v>0</v>
      </c>
      <c r="AL1157" s="5">
        <f t="shared" ref="AL1157:AL1216" si="1058">IF($AQ1157=1.5,1,0)</f>
        <v>0</v>
      </c>
      <c r="AM1157" s="5">
        <f t="shared" si="980"/>
        <v>0</v>
      </c>
      <c r="AN1157" s="5">
        <f t="shared" ref="AN1157:AN1216" si="1059">IF($AQ1157=0.1,1,0)</f>
        <v>1</v>
      </c>
      <c r="AO1157" s="5">
        <f t="shared" si="981"/>
        <v>0</v>
      </c>
      <c r="AP1157" s="11" t="s">
        <v>42</v>
      </c>
      <c r="AQ1157" s="11">
        <v>0.1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1</v>
      </c>
      <c r="AY1157" s="1">
        <f t="shared" si="1050"/>
        <v>0</v>
      </c>
      <c r="AZ1157" s="1">
        <f t="shared" si="1051"/>
        <v>0</v>
      </c>
      <c r="BA1157" s="1">
        <f t="shared" si="1052"/>
        <v>0</v>
      </c>
      <c r="BB1157" s="5">
        <v>0</v>
      </c>
      <c r="BC1157" s="5">
        <v>0</v>
      </c>
      <c r="BD1157" s="5">
        <v>0</v>
      </c>
      <c r="BE1157" s="5">
        <f t="shared" si="1053"/>
        <v>1</v>
      </c>
      <c r="BF1157" s="5">
        <v>1</v>
      </c>
      <c r="BG1157" s="5">
        <f t="shared" ref="BG1157:BN1172" si="1060">IF($E1157=BG$2,1,0)</f>
        <v>0</v>
      </c>
      <c r="BH1157" s="5">
        <f t="shared" si="1060"/>
        <v>0</v>
      </c>
      <c r="BI1157" s="5">
        <f t="shared" si="1060"/>
        <v>0</v>
      </c>
      <c r="BJ1157" s="5">
        <f t="shared" si="1060"/>
        <v>0</v>
      </c>
      <c r="BK1157" s="5">
        <f t="shared" si="1060"/>
        <v>0</v>
      </c>
      <c r="BL1157" s="5">
        <f t="shared" si="1060"/>
        <v>0</v>
      </c>
      <c r="BM1157" s="5">
        <f t="shared" si="1060"/>
        <v>0</v>
      </c>
      <c r="BN1157" s="5">
        <f t="shared" si="1054"/>
        <v>0</v>
      </c>
      <c r="BO1157" s="5">
        <f t="shared" si="1054"/>
        <v>0</v>
      </c>
      <c r="BP1157" s="5">
        <f t="shared" si="1054"/>
        <v>0</v>
      </c>
      <c r="BQ1157" s="5">
        <f t="shared" si="1054"/>
        <v>0</v>
      </c>
      <c r="BR1157" s="5">
        <f t="shared" si="1054"/>
        <v>0</v>
      </c>
      <c r="BS1157" s="5">
        <f t="shared" si="1054"/>
        <v>0</v>
      </c>
      <c r="BT1157" s="5">
        <f t="shared" si="1054"/>
        <v>0</v>
      </c>
      <c r="BU1157" s="5">
        <f t="shared" si="1054"/>
        <v>0</v>
      </c>
      <c r="BV1157" s="5">
        <f t="shared" si="1054"/>
        <v>0</v>
      </c>
      <c r="BW1157" s="5">
        <f t="shared" si="1054"/>
        <v>0</v>
      </c>
      <c r="BX1157" s="5">
        <f t="shared" si="1054"/>
        <v>0</v>
      </c>
      <c r="BY1157" s="5">
        <f t="shared" si="1054"/>
        <v>0</v>
      </c>
      <c r="BZ1157" s="5">
        <f t="shared" si="1054"/>
        <v>0</v>
      </c>
      <c r="CA1157" s="5">
        <f t="shared" si="1054"/>
        <v>0</v>
      </c>
      <c r="CB1157" s="5">
        <f t="shared" si="1054"/>
        <v>0</v>
      </c>
      <c r="CC1157" s="5">
        <f t="shared" si="1055"/>
        <v>0</v>
      </c>
      <c r="CD1157" s="5">
        <f t="shared" si="1028"/>
        <v>1</v>
      </c>
      <c r="CE1157" s="5">
        <f t="shared" si="1028"/>
        <v>0</v>
      </c>
    </row>
    <row r="1158" spans="1:83" x14ac:dyDescent="0.2">
      <c r="A1158" s="11"/>
      <c r="B1158" s="11"/>
      <c r="C1158" s="1">
        <f>Growth!D1163</f>
        <v>8.1699346405228763E-3</v>
      </c>
      <c r="D1158" s="5" t="b">
        <f t="shared" si="1038"/>
        <v>0</v>
      </c>
      <c r="E1158" s="5">
        <v>2014</v>
      </c>
      <c r="F1158" s="5">
        <f ca="1">LOOKUP($E1158,frequence!$A$2:$A$35,frequence!L$2:L$35)</f>
        <v>50.75383375536623</v>
      </c>
      <c r="G1158" s="5">
        <f ca="1">LOOKUP($E1158,frequence!$A$2:$A$35,frequence!K$2:K$35)</f>
        <v>9.9751715831189358</v>
      </c>
      <c r="H1158" s="5">
        <f ca="1">LOOKUP($E1158,frequence!$A$2:$A$35,frequence!M$2:M$35)</f>
        <v>236.05429056976001</v>
      </c>
      <c r="I1158" s="16">
        <v>2007</v>
      </c>
      <c r="J1158" s="7">
        <f>LOOKUP(I1158,CPI!A$69:A$103,CPI!O$69:O$103)</f>
        <v>1.0516730811895323</v>
      </c>
      <c r="K1158" s="16">
        <v>2015</v>
      </c>
      <c r="L1158" s="7">
        <f t="shared" ca="1" si="1056"/>
        <v>1</v>
      </c>
      <c r="M1158" s="7">
        <f t="shared" si="1047"/>
        <v>5.2287581699346414E-2</v>
      </c>
      <c r="N1158" s="14">
        <v>8.1699346405228763E-3</v>
      </c>
      <c r="O1158" s="1">
        <f ca="1">P1158*J1158*(1+Growth!G$6)^(2010-K1158)</f>
        <v>43.490724851292249</v>
      </c>
      <c r="P1158">
        <v>44.576802507836902</v>
      </c>
      <c r="Q1158" s="2">
        <f t="shared" si="1039"/>
        <v>44.576802507836902</v>
      </c>
      <c r="R1158" s="21">
        <f t="shared" ca="1" si="1040"/>
        <v>1891.4431480908092</v>
      </c>
      <c r="U1158" s="11"/>
      <c r="V1158" s="11"/>
      <c r="W1158" s="11"/>
      <c r="X1158" s="11"/>
      <c r="Y1158" s="11"/>
      <c r="Z1158" s="11"/>
      <c r="AA1158" s="11"/>
      <c r="AB1158" s="11"/>
      <c r="AC1158" s="1">
        <f t="shared" si="1048"/>
        <v>6.4</v>
      </c>
      <c r="AD1158" s="5">
        <v>1</v>
      </c>
      <c r="AE1158" s="5">
        <v>0</v>
      </c>
      <c r="AF1158" s="5">
        <v>1</v>
      </c>
      <c r="AG1158" s="5">
        <v>0</v>
      </c>
      <c r="AH1158" s="5">
        <v>1</v>
      </c>
      <c r="AI1158" s="3">
        <f t="shared" si="1049"/>
        <v>3.4</v>
      </c>
      <c r="AJ1158" s="5">
        <f t="shared" si="977"/>
        <v>0</v>
      </c>
      <c r="AK1158" s="5">
        <f t="shared" si="1057"/>
        <v>0</v>
      </c>
      <c r="AL1158" s="5">
        <f t="shared" si="1058"/>
        <v>0</v>
      </c>
      <c r="AM1158" s="5">
        <f t="shared" si="980"/>
        <v>0</v>
      </c>
      <c r="AN1158" s="5">
        <f t="shared" si="1059"/>
        <v>1</v>
      </c>
      <c r="AO1158" s="5">
        <f t="shared" si="981"/>
        <v>0</v>
      </c>
      <c r="AP1158" s="11" t="s">
        <v>42</v>
      </c>
      <c r="AQ1158" s="11">
        <v>0.1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1</v>
      </c>
      <c r="AY1158" s="1">
        <f t="shared" si="1050"/>
        <v>0</v>
      </c>
      <c r="AZ1158" s="1">
        <f t="shared" si="1051"/>
        <v>0</v>
      </c>
      <c r="BA1158" s="1">
        <f t="shared" si="1052"/>
        <v>0</v>
      </c>
      <c r="BB1158" s="5">
        <v>0</v>
      </c>
      <c r="BC1158" s="5">
        <v>0</v>
      </c>
      <c r="BD1158" s="5">
        <v>0</v>
      </c>
      <c r="BE1158" s="5">
        <f t="shared" si="1053"/>
        <v>1</v>
      </c>
      <c r="BF1158" s="5">
        <v>1</v>
      </c>
      <c r="BG1158" s="5">
        <f t="shared" si="1060"/>
        <v>0</v>
      </c>
      <c r="BH1158" s="5">
        <f t="shared" si="1060"/>
        <v>0</v>
      </c>
      <c r="BI1158" s="5">
        <f t="shared" si="1060"/>
        <v>0</v>
      </c>
      <c r="BJ1158" s="5">
        <f t="shared" si="1060"/>
        <v>0</v>
      </c>
      <c r="BK1158" s="5">
        <f t="shared" si="1060"/>
        <v>0</v>
      </c>
      <c r="BL1158" s="5">
        <f t="shared" si="1060"/>
        <v>0</v>
      </c>
      <c r="BM1158" s="5">
        <f t="shared" si="1060"/>
        <v>0</v>
      </c>
      <c r="BN1158" s="5">
        <f t="shared" si="1054"/>
        <v>0</v>
      </c>
      <c r="BO1158" s="5">
        <f t="shared" si="1054"/>
        <v>0</v>
      </c>
      <c r="BP1158" s="5">
        <f t="shared" si="1054"/>
        <v>0</v>
      </c>
      <c r="BQ1158" s="5">
        <f t="shared" si="1054"/>
        <v>0</v>
      </c>
      <c r="BR1158" s="5">
        <f t="shared" si="1054"/>
        <v>0</v>
      </c>
      <c r="BS1158" s="5">
        <f t="shared" si="1054"/>
        <v>0</v>
      </c>
      <c r="BT1158" s="5">
        <f t="shared" si="1054"/>
        <v>0</v>
      </c>
      <c r="BU1158" s="5">
        <f t="shared" si="1054"/>
        <v>0</v>
      </c>
      <c r="BV1158" s="5">
        <f t="shared" si="1054"/>
        <v>0</v>
      </c>
      <c r="BW1158" s="5">
        <f t="shared" si="1054"/>
        <v>0</v>
      </c>
      <c r="BX1158" s="5">
        <f t="shared" si="1054"/>
        <v>0</v>
      </c>
      <c r="BY1158" s="5">
        <f t="shared" si="1054"/>
        <v>0</v>
      </c>
      <c r="BZ1158" s="5">
        <f t="shared" si="1054"/>
        <v>0</v>
      </c>
      <c r="CA1158" s="5">
        <f t="shared" si="1054"/>
        <v>0</v>
      </c>
      <c r="CB1158" s="5">
        <f t="shared" si="1054"/>
        <v>0</v>
      </c>
      <c r="CC1158" s="5">
        <f t="shared" si="1055"/>
        <v>0</v>
      </c>
      <c r="CD1158" s="5">
        <f t="shared" si="1028"/>
        <v>1</v>
      </c>
      <c r="CE1158" s="5">
        <f t="shared" si="1028"/>
        <v>0</v>
      </c>
    </row>
    <row r="1159" spans="1:83" x14ac:dyDescent="0.2">
      <c r="A1159" s="11"/>
      <c r="B1159" s="11"/>
      <c r="C1159" s="1">
        <f>Growth!D1164</f>
        <v>9.1503267973856196E-3</v>
      </c>
      <c r="D1159" s="5" t="b">
        <f t="shared" si="1038"/>
        <v>0</v>
      </c>
      <c r="E1159" s="5">
        <v>2014</v>
      </c>
      <c r="F1159" s="5">
        <f ca="1">LOOKUP($E1159,frequence!$A$2:$A$35,frequence!L$2:L$35)</f>
        <v>50.75383375536623</v>
      </c>
      <c r="G1159" s="5">
        <f ca="1">LOOKUP($E1159,frequence!$A$2:$A$35,frequence!K$2:K$35)</f>
        <v>9.9751715831189358</v>
      </c>
      <c r="H1159" s="5">
        <f ca="1">LOOKUP($E1159,frequence!$A$2:$A$35,frequence!M$2:M$35)</f>
        <v>236.05429056976001</v>
      </c>
      <c r="I1159" s="16">
        <v>2007</v>
      </c>
      <c r="J1159" s="7">
        <f>LOOKUP(I1159,CPI!A$69:A$103,CPI!O$69:O$103)</f>
        <v>1.0516730811895323</v>
      </c>
      <c r="K1159" s="16">
        <v>2015</v>
      </c>
      <c r="L1159" s="7">
        <f t="shared" ca="1" si="1056"/>
        <v>1</v>
      </c>
      <c r="M1159" s="7">
        <f t="shared" si="1047"/>
        <v>5.8562091503267966E-2</v>
      </c>
      <c r="N1159" s="14">
        <v>9.1503267973856196E-3</v>
      </c>
      <c r="O1159" s="1">
        <f ca="1">P1159*J1159*(1+Growth!G$6)^(2010-K1159)</f>
        <v>36.639865240399509</v>
      </c>
      <c r="P1159">
        <v>37.554858934169197</v>
      </c>
      <c r="Q1159" s="2">
        <f t="shared" si="1039"/>
        <v>37.554858934169197</v>
      </c>
      <c r="R1159" s="21">
        <f t="shared" ca="1" si="1040"/>
        <v>1342.479724834636</v>
      </c>
      <c r="U1159" s="11"/>
      <c r="V1159" s="11"/>
      <c r="W1159" s="11"/>
      <c r="X1159" s="11"/>
      <c r="Y1159" s="11"/>
      <c r="Z1159" s="11"/>
      <c r="AA1159" s="11"/>
      <c r="AB1159" s="11"/>
      <c r="AC1159" s="1">
        <f t="shared" si="1048"/>
        <v>6.4</v>
      </c>
      <c r="AD1159" s="5">
        <v>1</v>
      </c>
      <c r="AE1159" s="5">
        <v>0</v>
      </c>
      <c r="AF1159" s="5">
        <v>1</v>
      </c>
      <c r="AG1159" s="5">
        <v>0</v>
      </c>
      <c r="AH1159" s="5">
        <v>1</v>
      </c>
      <c r="AI1159" s="3">
        <f t="shared" si="1049"/>
        <v>3.4</v>
      </c>
      <c r="AJ1159" s="5">
        <f t="shared" si="977"/>
        <v>0</v>
      </c>
      <c r="AK1159" s="5">
        <f t="shared" si="1057"/>
        <v>0</v>
      </c>
      <c r="AL1159" s="5">
        <f t="shared" si="1058"/>
        <v>0</v>
      </c>
      <c r="AM1159" s="5">
        <f t="shared" si="980"/>
        <v>0</v>
      </c>
      <c r="AN1159" s="5">
        <f t="shared" si="1059"/>
        <v>1</v>
      </c>
      <c r="AO1159" s="5">
        <f t="shared" si="981"/>
        <v>0</v>
      </c>
      <c r="AP1159" s="11" t="s">
        <v>42</v>
      </c>
      <c r="AQ1159" s="11">
        <v>0.1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1</v>
      </c>
      <c r="AY1159" s="1">
        <f t="shared" si="1050"/>
        <v>0</v>
      </c>
      <c r="AZ1159" s="1">
        <f t="shared" si="1051"/>
        <v>0</v>
      </c>
      <c r="BA1159" s="1">
        <f t="shared" si="1052"/>
        <v>0</v>
      </c>
      <c r="BB1159" s="5">
        <v>0</v>
      </c>
      <c r="BC1159" s="5">
        <v>0</v>
      </c>
      <c r="BD1159" s="5">
        <v>0</v>
      </c>
      <c r="BE1159" s="5">
        <f t="shared" si="1053"/>
        <v>1</v>
      </c>
      <c r="BF1159" s="5">
        <v>1</v>
      </c>
      <c r="BG1159" s="5">
        <f t="shared" si="1060"/>
        <v>0</v>
      </c>
      <c r="BH1159" s="5">
        <f t="shared" si="1060"/>
        <v>0</v>
      </c>
      <c r="BI1159" s="5">
        <f t="shared" si="1060"/>
        <v>0</v>
      </c>
      <c r="BJ1159" s="5">
        <f t="shared" si="1060"/>
        <v>0</v>
      </c>
      <c r="BK1159" s="5">
        <f t="shared" si="1060"/>
        <v>0</v>
      </c>
      <c r="BL1159" s="5">
        <f t="shared" si="1060"/>
        <v>0</v>
      </c>
      <c r="BM1159" s="5">
        <f t="shared" si="1060"/>
        <v>0</v>
      </c>
      <c r="BN1159" s="5">
        <f t="shared" si="1054"/>
        <v>0</v>
      </c>
      <c r="BO1159" s="5">
        <f t="shared" si="1054"/>
        <v>0</v>
      </c>
      <c r="BP1159" s="5">
        <f t="shared" si="1054"/>
        <v>0</v>
      </c>
      <c r="BQ1159" s="5">
        <f t="shared" si="1054"/>
        <v>0</v>
      </c>
      <c r="BR1159" s="5">
        <f t="shared" si="1054"/>
        <v>0</v>
      </c>
      <c r="BS1159" s="5">
        <f t="shared" si="1054"/>
        <v>0</v>
      </c>
      <c r="BT1159" s="5">
        <f t="shared" si="1054"/>
        <v>0</v>
      </c>
      <c r="BU1159" s="5">
        <f t="shared" si="1054"/>
        <v>0</v>
      </c>
      <c r="BV1159" s="5">
        <f t="shared" si="1054"/>
        <v>0</v>
      </c>
      <c r="BW1159" s="5">
        <f t="shared" si="1054"/>
        <v>0</v>
      </c>
      <c r="BX1159" s="5">
        <f t="shared" si="1054"/>
        <v>0</v>
      </c>
      <c r="BY1159" s="5">
        <f t="shared" si="1054"/>
        <v>0</v>
      </c>
      <c r="BZ1159" s="5">
        <f t="shared" si="1054"/>
        <v>0</v>
      </c>
      <c r="CA1159" s="5">
        <f t="shared" si="1054"/>
        <v>0</v>
      </c>
      <c r="CB1159" s="5">
        <f t="shared" si="1054"/>
        <v>0</v>
      </c>
      <c r="CC1159" s="5">
        <f t="shared" si="1055"/>
        <v>0</v>
      </c>
      <c r="CD1159" s="5">
        <f t="shared" si="1028"/>
        <v>1</v>
      </c>
      <c r="CE1159" s="5">
        <f t="shared" si="1028"/>
        <v>0</v>
      </c>
    </row>
    <row r="1160" spans="1:83" x14ac:dyDescent="0.2">
      <c r="A1160" s="11"/>
      <c r="B1160" s="11"/>
      <c r="C1160" s="1">
        <f>Growth!D1165</f>
        <v>1.0130718954248365E-2</v>
      </c>
      <c r="D1160" s="5" t="b">
        <f t="shared" si="1038"/>
        <v>0</v>
      </c>
      <c r="E1160" s="5">
        <v>2014</v>
      </c>
      <c r="F1160" s="5">
        <f ca="1">LOOKUP($E1160,frequence!$A$2:$A$35,frequence!L$2:L$35)</f>
        <v>50.75383375536623</v>
      </c>
      <c r="G1160" s="5">
        <f ca="1">LOOKUP($E1160,frequence!$A$2:$A$35,frequence!K$2:K$35)</f>
        <v>9.9751715831189358</v>
      </c>
      <c r="H1160" s="5">
        <f ca="1">LOOKUP($E1160,frequence!$A$2:$A$35,frequence!M$2:M$35)</f>
        <v>236.05429056976001</v>
      </c>
      <c r="I1160" s="16">
        <v>2007</v>
      </c>
      <c r="J1160" s="7">
        <f>LOOKUP(I1160,CPI!A$69:A$103,CPI!O$69:O$103)</f>
        <v>1.0516730811895323</v>
      </c>
      <c r="K1160" s="16">
        <v>2015</v>
      </c>
      <c r="L1160" s="7">
        <f t="shared" ca="1" si="1056"/>
        <v>1</v>
      </c>
      <c r="M1160" s="7">
        <f t="shared" si="1047"/>
        <v>6.4836601307189531E-2</v>
      </c>
      <c r="N1160" s="14">
        <v>1.0130718954248365E-2</v>
      </c>
      <c r="O1160" s="1">
        <f ca="1">P1160*J1160*(1+Growth!G$6)^(2010-K1160)</f>
        <v>30.767699859634373</v>
      </c>
      <c r="P1160">
        <v>31.536050156739801</v>
      </c>
      <c r="Q1160" s="2">
        <f t="shared" si="1039"/>
        <v>31.536050156739801</v>
      </c>
      <c r="R1160" s="21">
        <f t="shared" ca="1" si="1040"/>
        <v>946.65135465254502</v>
      </c>
      <c r="U1160" s="11"/>
      <c r="V1160" s="11"/>
      <c r="W1160" s="11"/>
      <c r="X1160" s="11"/>
      <c r="Y1160" s="11"/>
      <c r="Z1160" s="11"/>
      <c r="AA1160" s="11"/>
      <c r="AB1160" s="11"/>
      <c r="AC1160" s="1">
        <f t="shared" si="1048"/>
        <v>6.4</v>
      </c>
      <c r="AD1160" s="5">
        <v>1</v>
      </c>
      <c r="AE1160" s="5">
        <v>0</v>
      </c>
      <c r="AF1160" s="5">
        <v>1</v>
      </c>
      <c r="AG1160" s="5">
        <v>0</v>
      </c>
      <c r="AH1160" s="5">
        <v>1</v>
      </c>
      <c r="AI1160" s="3">
        <f t="shared" si="1049"/>
        <v>3.4</v>
      </c>
      <c r="AJ1160" s="5">
        <f t="shared" si="977"/>
        <v>0</v>
      </c>
      <c r="AK1160" s="5">
        <f t="shared" si="1057"/>
        <v>0</v>
      </c>
      <c r="AL1160" s="5">
        <f t="shared" si="1058"/>
        <v>0</v>
      </c>
      <c r="AM1160" s="5">
        <f t="shared" si="980"/>
        <v>0</v>
      </c>
      <c r="AN1160" s="5">
        <f t="shared" si="1059"/>
        <v>1</v>
      </c>
      <c r="AO1160" s="5">
        <f t="shared" si="981"/>
        <v>0</v>
      </c>
      <c r="AP1160" s="11" t="s">
        <v>42</v>
      </c>
      <c r="AQ1160" s="11">
        <v>0.1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1</v>
      </c>
      <c r="AY1160" s="1">
        <f t="shared" si="1050"/>
        <v>0</v>
      </c>
      <c r="AZ1160" s="1">
        <f t="shared" si="1051"/>
        <v>0</v>
      </c>
      <c r="BA1160" s="1">
        <f t="shared" si="1052"/>
        <v>0</v>
      </c>
      <c r="BB1160" s="5">
        <v>0</v>
      </c>
      <c r="BC1160" s="5">
        <v>0</v>
      </c>
      <c r="BD1160" s="5">
        <v>0</v>
      </c>
      <c r="BE1160" s="5">
        <f t="shared" si="1053"/>
        <v>1</v>
      </c>
      <c r="BF1160" s="5">
        <v>1</v>
      </c>
      <c r="BG1160" s="5">
        <f t="shared" si="1060"/>
        <v>0</v>
      </c>
      <c r="BH1160" s="5">
        <f t="shared" si="1060"/>
        <v>0</v>
      </c>
      <c r="BI1160" s="5">
        <f t="shared" si="1060"/>
        <v>0</v>
      </c>
      <c r="BJ1160" s="5">
        <f t="shared" si="1060"/>
        <v>0</v>
      </c>
      <c r="BK1160" s="5">
        <f t="shared" si="1060"/>
        <v>0</v>
      </c>
      <c r="BL1160" s="5">
        <f t="shared" si="1060"/>
        <v>0</v>
      </c>
      <c r="BM1160" s="5">
        <f t="shared" si="1060"/>
        <v>0</v>
      </c>
      <c r="BN1160" s="5">
        <f t="shared" si="1054"/>
        <v>0</v>
      </c>
      <c r="BO1160" s="5">
        <f t="shared" si="1054"/>
        <v>0</v>
      </c>
      <c r="BP1160" s="5">
        <f t="shared" si="1054"/>
        <v>0</v>
      </c>
      <c r="BQ1160" s="5">
        <f t="shared" si="1054"/>
        <v>0</v>
      </c>
      <c r="BR1160" s="5">
        <f t="shared" si="1054"/>
        <v>0</v>
      </c>
      <c r="BS1160" s="5">
        <f t="shared" si="1054"/>
        <v>0</v>
      </c>
      <c r="BT1160" s="5">
        <f t="shared" si="1054"/>
        <v>0</v>
      </c>
      <c r="BU1160" s="5">
        <f t="shared" si="1054"/>
        <v>0</v>
      </c>
      <c r="BV1160" s="5">
        <f t="shared" si="1054"/>
        <v>0</v>
      </c>
      <c r="BW1160" s="5">
        <f t="shared" si="1054"/>
        <v>0</v>
      </c>
      <c r="BX1160" s="5">
        <f t="shared" si="1054"/>
        <v>0</v>
      </c>
      <c r="BY1160" s="5">
        <f t="shared" si="1054"/>
        <v>0</v>
      </c>
      <c r="BZ1160" s="5">
        <f t="shared" si="1054"/>
        <v>0</v>
      </c>
      <c r="CA1160" s="5">
        <f t="shared" si="1054"/>
        <v>0</v>
      </c>
      <c r="CB1160" s="5">
        <f t="shared" si="1054"/>
        <v>0</v>
      </c>
      <c r="CC1160" s="5">
        <f t="shared" si="1055"/>
        <v>0</v>
      </c>
      <c r="CD1160" s="5">
        <f t="shared" si="1028"/>
        <v>1</v>
      </c>
      <c r="CE1160" s="5">
        <f t="shared" si="1028"/>
        <v>0</v>
      </c>
    </row>
    <row r="1161" spans="1:83" x14ac:dyDescent="0.2">
      <c r="A1161" s="11"/>
      <c r="B1161" s="11"/>
      <c r="C1161" s="1">
        <f>Growth!D1166</f>
        <v>1.111111111111111E-2</v>
      </c>
      <c r="D1161" s="5" t="b">
        <f t="shared" si="1038"/>
        <v>0</v>
      </c>
      <c r="E1161" s="5">
        <v>2014</v>
      </c>
      <c r="F1161" s="5">
        <f ca="1">LOOKUP($E1161,frequence!$A$2:$A$35,frequence!L$2:L$35)</f>
        <v>50.75383375536623</v>
      </c>
      <c r="G1161" s="5">
        <f ca="1">LOOKUP($E1161,frequence!$A$2:$A$35,frequence!K$2:K$35)</f>
        <v>9.9751715831189358</v>
      </c>
      <c r="H1161" s="5">
        <f ca="1">LOOKUP($E1161,frequence!$A$2:$A$35,frequence!M$2:M$35)</f>
        <v>236.05429056976001</v>
      </c>
      <c r="I1161" s="16">
        <v>2007</v>
      </c>
      <c r="J1161" s="7">
        <f>LOOKUP(I1161,CPI!A$69:A$103,CPI!O$69:O$103)</f>
        <v>1.0516730811895323</v>
      </c>
      <c r="K1161" s="16">
        <v>2015</v>
      </c>
      <c r="L1161" s="7">
        <f t="shared" ca="1" si="1056"/>
        <v>1</v>
      </c>
      <c r="M1161" s="7">
        <f t="shared" si="1047"/>
        <v>7.1111111111111111E-2</v>
      </c>
      <c r="N1161" s="14">
        <v>1.111111111111111E-2</v>
      </c>
      <c r="O1161" s="1">
        <f ca="1">P1161*J1161*(1+Growth!G$6)^(2010-K1161)</f>
        <v>26.608249381592287</v>
      </c>
      <c r="P1161">
        <v>27.272727272727199</v>
      </c>
      <c r="Q1161" s="2">
        <f t="shared" si="1039"/>
        <v>27.272727272727199</v>
      </c>
      <c r="R1161" s="21">
        <f t="shared" ca="1" si="1040"/>
        <v>707.9989351530063</v>
      </c>
      <c r="U1161" s="11"/>
      <c r="V1161" s="11"/>
      <c r="W1161" s="11"/>
      <c r="X1161" s="11"/>
      <c r="Y1161" s="11"/>
      <c r="Z1161" s="11"/>
      <c r="AA1161" s="11"/>
      <c r="AB1161" s="11"/>
      <c r="AC1161" s="1">
        <f t="shared" si="1048"/>
        <v>6.4</v>
      </c>
      <c r="AD1161" s="5">
        <v>1</v>
      </c>
      <c r="AE1161" s="5">
        <v>0</v>
      </c>
      <c r="AF1161" s="5">
        <v>1</v>
      </c>
      <c r="AG1161" s="5">
        <v>0</v>
      </c>
      <c r="AH1161" s="5">
        <v>1</v>
      </c>
      <c r="AI1161" s="3">
        <f t="shared" si="1049"/>
        <v>3.4</v>
      </c>
      <c r="AJ1161" s="5">
        <f t="shared" si="977"/>
        <v>0</v>
      </c>
      <c r="AK1161" s="5">
        <f t="shared" si="1057"/>
        <v>0</v>
      </c>
      <c r="AL1161" s="5">
        <f t="shared" si="1058"/>
        <v>0</v>
      </c>
      <c r="AM1161" s="5">
        <f t="shared" si="980"/>
        <v>0</v>
      </c>
      <c r="AN1161" s="5">
        <f t="shared" si="1059"/>
        <v>1</v>
      </c>
      <c r="AO1161" s="5">
        <f t="shared" si="981"/>
        <v>0</v>
      </c>
      <c r="AP1161" s="11" t="s">
        <v>42</v>
      </c>
      <c r="AQ1161" s="11">
        <v>0.1</v>
      </c>
      <c r="AR1161" s="5">
        <v>0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1</v>
      </c>
      <c r="AY1161" s="1">
        <f t="shared" si="1050"/>
        <v>0</v>
      </c>
      <c r="AZ1161" s="1">
        <f t="shared" si="1051"/>
        <v>0</v>
      </c>
      <c r="BA1161" s="1">
        <f t="shared" si="1052"/>
        <v>0</v>
      </c>
      <c r="BB1161" s="5">
        <v>0</v>
      </c>
      <c r="BC1161" s="5">
        <v>0</v>
      </c>
      <c r="BD1161" s="5">
        <v>0</v>
      </c>
      <c r="BE1161" s="5">
        <f t="shared" si="1053"/>
        <v>1</v>
      </c>
      <c r="BF1161" s="5">
        <v>1</v>
      </c>
      <c r="BG1161" s="5">
        <f t="shared" si="1060"/>
        <v>0</v>
      </c>
      <c r="BH1161" s="5">
        <f t="shared" si="1060"/>
        <v>0</v>
      </c>
      <c r="BI1161" s="5">
        <f t="shared" si="1060"/>
        <v>0</v>
      </c>
      <c r="BJ1161" s="5">
        <f t="shared" si="1060"/>
        <v>0</v>
      </c>
      <c r="BK1161" s="5">
        <f t="shared" si="1060"/>
        <v>0</v>
      </c>
      <c r="BL1161" s="5">
        <f t="shared" si="1060"/>
        <v>0</v>
      </c>
      <c r="BM1161" s="5">
        <f t="shared" si="1060"/>
        <v>0</v>
      </c>
      <c r="BN1161" s="5">
        <f t="shared" si="1054"/>
        <v>0</v>
      </c>
      <c r="BO1161" s="5">
        <f t="shared" si="1054"/>
        <v>0</v>
      </c>
      <c r="BP1161" s="5">
        <f t="shared" si="1054"/>
        <v>0</v>
      </c>
      <c r="BQ1161" s="5">
        <f t="shared" si="1054"/>
        <v>0</v>
      </c>
      <c r="BR1161" s="5">
        <f t="shared" si="1054"/>
        <v>0</v>
      </c>
      <c r="BS1161" s="5">
        <f t="shared" si="1054"/>
        <v>0</v>
      </c>
      <c r="BT1161" s="5">
        <f t="shared" si="1054"/>
        <v>0</v>
      </c>
      <c r="BU1161" s="5">
        <f t="shared" si="1054"/>
        <v>0</v>
      </c>
      <c r="BV1161" s="5">
        <f t="shared" si="1054"/>
        <v>0</v>
      </c>
      <c r="BW1161" s="5">
        <f t="shared" si="1054"/>
        <v>0</v>
      </c>
      <c r="BX1161" s="5">
        <f t="shared" si="1054"/>
        <v>0</v>
      </c>
      <c r="BY1161" s="5">
        <f t="shared" si="1054"/>
        <v>0</v>
      </c>
      <c r="BZ1161" s="5">
        <f t="shared" si="1054"/>
        <v>0</v>
      </c>
      <c r="CA1161" s="5">
        <f t="shared" si="1054"/>
        <v>0</v>
      </c>
      <c r="CB1161" s="5">
        <f t="shared" si="1054"/>
        <v>0</v>
      </c>
      <c r="CC1161" s="5">
        <f t="shared" si="1055"/>
        <v>0</v>
      </c>
      <c r="CD1161" s="5">
        <f t="shared" si="1028"/>
        <v>1</v>
      </c>
      <c r="CE1161" s="5">
        <f t="shared" si="1028"/>
        <v>0</v>
      </c>
    </row>
    <row r="1162" spans="1:83" x14ac:dyDescent="0.2">
      <c r="A1162" s="11"/>
      <c r="B1162" s="11"/>
      <c r="C1162" s="1">
        <f>Growth!D1167</f>
        <v>1.2091503267973853E-2</v>
      </c>
      <c r="D1162" s="5" t="b">
        <f t="shared" si="1038"/>
        <v>0</v>
      </c>
      <c r="E1162" s="5">
        <v>2014</v>
      </c>
      <c r="F1162" s="5">
        <f ca="1">LOOKUP($E1162,frequence!$A$2:$A$35,frequence!L$2:L$35)</f>
        <v>50.75383375536623</v>
      </c>
      <c r="G1162" s="5">
        <f ca="1">LOOKUP($E1162,frequence!$A$2:$A$35,frequence!K$2:K$35)</f>
        <v>9.9751715831189358</v>
      </c>
      <c r="H1162" s="5">
        <f ca="1">LOOKUP($E1162,frequence!$A$2:$A$35,frequence!M$2:M$35)</f>
        <v>236.05429056976001</v>
      </c>
      <c r="I1162" s="16">
        <v>2007</v>
      </c>
      <c r="J1162" s="7">
        <f>LOOKUP(I1162,CPI!A$69:A$103,CPI!O$69:O$103)</f>
        <v>1.0516730811895323</v>
      </c>
      <c r="K1162" s="16">
        <v>2015</v>
      </c>
      <c r="L1162" s="7">
        <f t="shared" ca="1" si="1056"/>
        <v>1</v>
      </c>
      <c r="M1162" s="7">
        <f t="shared" si="1047"/>
        <v>7.7385620915032663E-2</v>
      </c>
      <c r="N1162" s="14">
        <v>1.2091503267973853E-2</v>
      </c>
      <c r="O1162" s="1">
        <f ca="1">P1162*J1162*(1+Growth!G$6)^(2010-K1162)</f>
        <v>22.693472461082123</v>
      </c>
      <c r="P1162">
        <v>23.2601880877742</v>
      </c>
      <c r="Q1162" s="2">
        <f t="shared" si="1039"/>
        <v>23.2601880877742</v>
      </c>
      <c r="R1162" s="21">
        <f t="shared" ca="1" si="1040"/>
        <v>514.99369234189271</v>
      </c>
      <c r="U1162" s="11"/>
      <c r="V1162" s="11"/>
      <c r="W1162" s="11"/>
      <c r="X1162" s="11"/>
      <c r="Y1162" s="11"/>
      <c r="Z1162" s="11"/>
      <c r="AA1162" s="11"/>
      <c r="AB1162" s="11"/>
      <c r="AC1162" s="1">
        <f t="shared" si="1048"/>
        <v>6.4</v>
      </c>
      <c r="AD1162" s="5">
        <v>1</v>
      </c>
      <c r="AE1162" s="5">
        <v>0</v>
      </c>
      <c r="AF1162" s="5">
        <v>1</v>
      </c>
      <c r="AG1162" s="5">
        <v>0</v>
      </c>
      <c r="AH1162" s="5">
        <v>1</v>
      </c>
      <c r="AI1162" s="3">
        <f t="shared" si="1049"/>
        <v>3.4</v>
      </c>
      <c r="AJ1162" s="5">
        <f t="shared" si="977"/>
        <v>0</v>
      </c>
      <c r="AK1162" s="5">
        <f t="shared" si="1057"/>
        <v>0</v>
      </c>
      <c r="AL1162" s="5">
        <f t="shared" si="1058"/>
        <v>0</v>
      </c>
      <c r="AM1162" s="5">
        <f t="shared" si="980"/>
        <v>0</v>
      </c>
      <c r="AN1162" s="5">
        <f t="shared" si="1059"/>
        <v>1</v>
      </c>
      <c r="AO1162" s="5">
        <f t="shared" si="981"/>
        <v>0</v>
      </c>
      <c r="AP1162" s="11" t="s">
        <v>42</v>
      </c>
      <c r="AQ1162" s="11">
        <v>0.1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1</v>
      </c>
      <c r="AY1162" s="1">
        <f t="shared" si="1050"/>
        <v>0</v>
      </c>
      <c r="AZ1162" s="1">
        <f t="shared" si="1051"/>
        <v>0</v>
      </c>
      <c r="BA1162" s="1">
        <f t="shared" si="1052"/>
        <v>0</v>
      </c>
      <c r="BB1162" s="5">
        <v>0</v>
      </c>
      <c r="BC1162" s="5">
        <v>0</v>
      </c>
      <c r="BD1162" s="5">
        <v>0</v>
      </c>
      <c r="BE1162" s="5">
        <f t="shared" si="1053"/>
        <v>1</v>
      </c>
      <c r="BF1162" s="5">
        <v>1</v>
      </c>
      <c r="BG1162" s="5">
        <f t="shared" si="1060"/>
        <v>0</v>
      </c>
      <c r="BH1162" s="5">
        <f t="shared" si="1060"/>
        <v>0</v>
      </c>
      <c r="BI1162" s="5">
        <f t="shared" si="1060"/>
        <v>0</v>
      </c>
      <c r="BJ1162" s="5">
        <f t="shared" si="1060"/>
        <v>0</v>
      </c>
      <c r="BK1162" s="5">
        <f t="shared" si="1060"/>
        <v>0</v>
      </c>
      <c r="BL1162" s="5">
        <f t="shared" si="1060"/>
        <v>0</v>
      </c>
      <c r="BM1162" s="5">
        <f t="shared" si="1060"/>
        <v>0</v>
      </c>
      <c r="BN1162" s="5">
        <f t="shared" si="1054"/>
        <v>0</v>
      </c>
      <c r="BO1162" s="5">
        <f t="shared" si="1054"/>
        <v>0</v>
      </c>
      <c r="BP1162" s="5">
        <f t="shared" si="1054"/>
        <v>0</v>
      </c>
      <c r="BQ1162" s="5">
        <f t="shared" si="1054"/>
        <v>0</v>
      </c>
      <c r="BR1162" s="5">
        <f t="shared" si="1054"/>
        <v>0</v>
      </c>
      <c r="BS1162" s="5">
        <f t="shared" si="1054"/>
        <v>0</v>
      </c>
      <c r="BT1162" s="5">
        <f t="shared" si="1054"/>
        <v>0</v>
      </c>
      <c r="BU1162" s="5">
        <f t="shared" si="1054"/>
        <v>0</v>
      </c>
      <c r="BV1162" s="5">
        <f t="shared" si="1054"/>
        <v>0</v>
      </c>
      <c r="BW1162" s="5">
        <f t="shared" si="1054"/>
        <v>0</v>
      </c>
      <c r="BX1162" s="5">
        <f t="shared" si="1054"/>
        <v>0</v>
      </c>
      <c r="BY1162" s="5">
        <f t="shared" si="1054"/>
        <v>0</v>
      </c>
      <c r="BZ1162" s="5">
        <f t="shared" si="1054"/>
        <v>0</v>
      </c>
      <c r="CA1162" s="5">
        <f t="shared" si="1054"/>
        <v>0</v>
      </c>
      <c r="CB1162" s="5">
        <f t="shared" si="1054"/>
        <v>0</v>
      </c>
      <c r="CC1162" s="5">
        <f t="shared" si="1055"/>
        <v>0</v>
      </c>
      <c r="CD1162" s="5">
        <f t="shared" si="1028"/>
        <v>1</v>
      </c>
      <c r="CE1162" s="5">
        <f t="shared" si="1028"/>
        <v>0</v>
      </c>
    </row>
    <row r="1163" spans="1:83" x14ac:dyDescent="0.2">
      <c r="A1163" s="11"/>
      <c r="B1163" s="11"/>
      <c r="C1163" s="1">
        <f>Growth!D1168</f>
        <v>1.3071895424836602E-2</v>
      </c>
      <c r="D1163" s="5" t="b">
        <f t="shared" si="1038"/>
        <v>0</v>
      </c>
      <c r="E1163" s="5">
        <v>2014</v>
      </c>
      <c r="F1163" s="5">
        <f ca="1">LOOKUP($E1163,frequence!$A$2:$A$35,frequence!L$2:L$35)</f>
        <v>50.75383375536623</v>
      </c>
      <c r="G1163" s="5">
        <f ca="1">LOOKUP($E1163,frequence!$A$2:$A$35,frequence!K$2:K$35)</f>
        <v>9.9751715831189358</v>
      </c>
      <c r="H1163" s="5">
        <f ca="1">LOOKUP($E1163,frequence!$A$2:$A$35,frequence!M$2:M$35)</f>
        <v>236.05429056976001</v>
      </c>
      <c r="I1163" s="16">
        <v>2007</v>
      </c>
      <c r="J1163" s="7">
        <f>LOOKUP(I1163,CPI!A$69:A$103,CPI!O$69:O$103)</f>
        <v>1.0516730811895323</v>
      </c>
      <c r="K1163" s="16">
        <v>2015</v>
      </c>
      <c r="L1163" s="7">
        <f t="shared" ca="1" si="1056"/>
        <v>1</v>
      </c>
      <c r="M1163" s="7">
        <f t="shared" si="1047"/>
        <v>8.3660130718954256E-2</v>
      </c>
      <c r="N1163" s="14">
        <v>1.3071895424836602E-2</v>
      </c>
      <c r="O1163" s="1">
        <f ca="1">P1163*J1163*(1+Growth!G$6)^(2010-K1163)</f>
        <v>19.757389770699554</v>
      </c>
      <c r="P1163">
        <v>20.2507836990595</v>
      </c>
      <c r="Q1163" s="2">
        <f t="shared" si="1039"/>
        <v>20.2507836990595</v>
      </c>
      <c r="R1163" s="21">
        <f t="shared" ca="1" si="1040"/>
        <v>390.35445055134335</v>
      </c>
      <c r="U1163" s="11"/>
      <c r="V1163" s="11"/>
      <c r="W1163" s="11"/>
      <c r="X1163" s="11"/>
      <c r="Y1163" s="11"/>
      <c r="Z1163" s="11"/>
      <c r="AA1163" s="11"/>
      <c r="AB1163" s="11"/>
      <c r="AC1163" s="1">
        <f t="shared" si="1048"/>
        <v>6.4</v>
      </c>
      <c r="AD1163" s="5">
        <v>1</v>
      </c>
      <c r="AE1163" s="5">
        <v>0</v>
      </c>
      <c r="AF1163" s="5">
        <v>1</v>
      </c>
      <c r="AG1163" s="5">
        <v>0</v>
      </c>
      <c r="AH1163" s="5">
        <v>1</v>
      </c>
      <c r="AI1163" s="3">
        <f t="shared" si="1049"/>
        <v>3.4</v>
      </c>
      <c r="AJ1163" s="5">
        <f t="shared" si="977"/>
        <v>0</v>
      </c>
      <c r="AK1163" s="5">
        <f t="shared" si="1057"/>
        <v>0</v>
      </c>
      <c r="AL1163" s="5">
        <f t="shared" si="1058"/>
        <v>0</v>
      </c>
      <c r="AM1163" s="5">
        <f t="shared" si="980"/>
        <v>0</v>
      </c>
      <c r="AN1163" s="5">
        <f t="shared" si="1059"/>
        <v>1</v>
      </c>
      <c r="AO1163" s="5">
        <f t="shared" si="981"/>
        <v>0</v>
      </c>
      <c r="AP1163" s="11" t="s">
        <v>42</v>
      </c>
      <c r="AQ1163" s="11">
        <v>0.1</v>
      </c>
      <c r="AR1163" s="5">
        <v>0</v>
      </c>
      <c r="AS1163" s="5">
        <v>0</v>
      </c>
      <c r="AT1163" s="5">
        <v>0</v>
      </c>
      <c r="AU1163" s="5">
        <v>0</v>
      </c>
      <c r="AV1163" s="5">
        <v>0</v>
      </c>
      <c r="AW1163" s="5">
        <v>0</v>
      </c>
      <c r="AX1163" s="5">
        <v>1</v>
      </c>
      <c r="AY1163" s="1">
        <f t="shared" si="1050"/>
        <v>0</v>
      </c>
      <c r="AZ1163" s="1">
        <f t="shared" si="1051"/>
        <v>0</v>
      </c>
      <c r="BA1163" s="1">
        <f t="shared" si="1052"/>
        <v>0</v>
      </c>
      <c r="BB1163" s="5">
        <v>0</v>
      </c>
      <c r="BC1163" s="5">
        <v>0</v>
      </c>
      <c r="BD1163" s="5">
        <v>0</v>
      </c>
      <c r="BE1163" s="5">
        <f t="shared" si="1053"/>
        <v>1</v>
      </c>
      <c r="BF1163" s="5">
        <v>1</v>
      </c>
      <c r="BG1163" s="5">
        <f t="shared" si="1060"/>
        <v>0</v>
      </c>
      <c r="BH1163" s="5">
        <f t="shared" si="1060"/>
        <v>0</v>
      </c>
      <c r="BI1163" s="5">
        <f t="shared" si="1060"/>
        <v>0</v>
      </c>
      <c r="BJ1163" s="5">
        <f t="shared" si="1060"/>
        <v>0</v>
      </c>
      <c r="BK1163" s="5">
        <f t="shared" si="1060"/>
        <v>0</v>
      </c>
      <c r="BL1163" s="5">
        <f t="shared" si="1060"/>
        <v>0</v>
      </c>
      <c r="BM1163" s="5">
        <f t="shared" si="1060"/>
        <v>0</v>
      </c>
      <c r="BN1163" s="5">
        <f t="shared" si="1054"/>
        <v>0</v>
      </c>
      <c r="BO1163" s="5">
        <f t="shared" si="1054"/>
        <v>0</v>
      </c>
      <c r="BP1163" s="5">
        <f t="shared" si="1054"/>
        <v>0</v>
      </c>
      <c r="BQ1163" s="5">
        <f t="shared" si="1054"/>
        <v>0</v>
      </c>
      <c r="BR1163" s="5">
        <f t="shared" si="1054"/>
        <v>0</v>
      </c>
      <c r="BS1163" s="5">
        <f t="shared" si="1054"/>
        <v>0</v>
      </c>
      <c r="BT1163" s="5">
        <f t="shared" si="1054"/>
        <v>0</v>
      </c>
      <c r="BU1163" s="5">
        <f t="shared" si="1054"/>
        <v>0</v>
      </c>
      <c r="BV1163" s="5">
        <f t="shared" si="1054"/>
        <v>0</v>
      </c>
      <c r="BW1163" s="5">
        <f t="shared" si="1054"/>
        <v>0</v>
      </c>
      <c r="BX1163" s="5">
        <f t="shared" si="1054"/>
        <v>0</v>
      </c>
      <c r="BY1163" s="5">
        <f t="shared" si="1054"/>
        <v>0</v>
      </c>
      <c r="BZ1163" s="5">
        <f t="shared" si="1054"/>
        <v>0</v>
      </c>
      <c r="CA1163" s="5">
        <f t="shared" si="1054"/>
        <v>0</v>
      </c>
      <c r="CB1163" s="5">
        <f t="shared" si="1054"/>
        <v>0</v>
      </c>
      <c r="CC1163" s="5">
        <f t="shared" si="1055"/>
        <v>0</v>
      </c>
      <c r="CD1163" s="5">
        <f t="shared" si="1028"/>
        <v>1</v>
      </c>
      <c r="CE1163" s="5">
        <f t="shared" si="1028"/>
        <v>0</v>
      </c>
    </row>
    <row r="1164" spans="1:83" x14ac:dyDescent="0.2">
      <c r="A1164" s="11"/>
      <c r="B1164" s="11"/>
      <c r="C1164" s="1">
        <f>Growth!D1169</f>
        <v>1.2091503267973857E-2</v>
      </c>
      <c r="D1164" s="5" t="b">
        <f t="shared" si="1038"/>
        <v>0</v>
      </c>
      <c r="E1164" s="5">
        <v>2014</v>
      </c>
      <c r="F1164" s="5">
        <f ca="1">LOOKUP($E1164,frequence!$A$2:$A$35,frequence!L$2:L$35)</f>
        <v>50.75383375536623</v>
      </c>
      <c r="G1164" s="5">
        <f ca="1">LOOKUP($E1164,frequence!$A$2:$A$35,frequence!K$2:K$35)</f>
        <v>9.9751715831189358</v>
      </c>
      <c r="H1164" s="5">
        <f ca="1">LOOKUP($E1164,frequence!$A$2:$A$35,frequence!M$2:M$35)</f>
        <v>236.05429056976001</v>
      </c>
      <c r="I1164" s="16">
        <v>2007</v>
      </c>
      <c r="J1164" s="7">
        <f>LOOKUP(I1164,CPI!A$69:A$103,CPI!O$69:O$103)</f>
        <v>1.0516730811895323</v>
      </c>
      <c r="K1164" s="16">
        <v>2015</v>
      </c>
      <c r="L1164" s="7">
        <f t="shared" ca="1" si="1056"/>
        <v>1</v>
      </c>
      <c r="M1164" s="7">
        <f t="shared" si="1047"/>
        <v>7.7385620915032691E-2</v>
      </c>
      <c r="N1164" s="14">
        <v>1.2091503267973857E-2</v>
      </c>
      <c r="O1164" s="1">
        <f ca="1">P1164*J1164*(1+Growth!G$6)^(2010-K1164)</f>
        <v>17.55532775291265</v>
      </c>
      <c r="P1164">
        <v>17.993730407523501</v>
      </c>
      <c r="Q1164" s="2">
        <f t="shared" si="1039"/>
        <v>17.993730407523501</v>
      </c>
      <c r="R1164" s="21">
        <f t="shared" ca="1" si="1040"/>
        <v>308.18953251218511</v>
      </c>
      <c r="U1164" s="11"/>
      <c r="V1164" s="11"/>
      <c r="W1164" s="11"/>
      <c r="X1164" s="11"/>
      <c r="Y1164" s="11"/>
      <c r="Z1164" s="11"/>
      <c r="AA1164" s="11"/>
      <c r="AB1164" s="11"/>
      <c r="AC1164" s="1">
        <f t="shared" si="1048"/>
        <v>6.4</v>
      </c>
      <c r="AD1164" s="5">
        <v>1</v>
      </c>
      <c r="AE1164" s="5">
        <v>0</v>
      </c>
      <c r="AF1164" s="5">
        <v>1</v>
      </c>
      <c r="AG1164" s="5">
        <v>0</v>
      </c>
      <c r="AH1164" s="5">
        <v>1</v>
      </c>
      <c r="AI1164" s="3">
        <f t="shared" si="1049"/>
        <v>3.4</v>
      </c>
      <c r="AJ1164" s="5">
        <f t="shared" si="977"/>
        <v>0</v>
      </c>
      <c r="AK1164" s="5">
        <f t="shared" si="1057"/>
        <v>0</v>
      </c>
      <c r="AL1164" s="5">
        <f t="shared" si="1058"/>
        <v>0</v>
      </c>
      <c r="AM1164" s="5">
        <f t="shared" si="980"/>
        <v>0</v>
      </c>
      <c r="AN1164" s="5">
        <f t="shared" si="1059"/>
        <v>1</v>
      </c>
      <c r="AO1164" s="5">
        <f t="shared" si="981"/>
        <v>0</v>
      </c>
      <c r="AP1164" s="11" t="s">
        <v>42</v>
      </c>
      <c r="AQ1164" s="11">
        <v>0.1</v>
      </c>
      <c r="AR1164" s="5">
        <v>0</v>
      </c>
      <c r="AS1164" s="5">
        <v>0</v>
      </c>
      <c r="AT1164" s="5">
        <v>0</v>
      </c>
      <c r="AU1164" s="5">
        <v>0</v>
      </c>
      <c r="AV1164" s="5">
        <v>0</v>
      </c>
      <c r="AW1164" s="5">
        <v>0</v>
      </c>
      <c r="AX1164" s="5">
        <v>1</v>
      </c>
      <c r="AY1164" s="1">
        <f t="shared" si="1050"/>
        <v>0</v>
      </c>
      <c r="AZ1164" s="1">
        <f t="shared" si="1051"/>
        <v>0</v>
      </c>
      <c r="BA1164" s="1">
        <f t="shared" si="1052"/>
        <v>0</v>
      </c>
      <c r="BB1164" s="5">
        <v>0</v>
      </c>
      <c r="BC1164" s="5">
        <v>0</v>
      </c>
      <c r="BD1164" s="5">
        <v>0</v>
      </c>
      <c r="BE1164" s="5">
        <f t="shared" si="1053"/>
        <v>1</v>
      </c>
      <c r="BF1164" s="5">
        <v>1</v>
      </c>
      <c r="BG1164" s="5">
        <f t="shared" si="1060"/>
        <v>0</v>
      </c>
      <c r="BH1164" s="5">
        <f t="shared" si="1060"/>
        <v>0</v>
      </c>
      <c r="BI1164" s="5">
        <f t="shared" si="1060"/>
        <v>0</v>
      </c>
      <c r="BJ1164" s="5">
        <f t="shared" si="1060"/>
        <v>0</v>
      </c>
      <c r="BK1164" s="5">
        <f t="shared" si="1060"/>
        <v>0</v>
      </c>
      <c r="BL1164" s="5">
        <f t="shared" si="1060"/>
        <v>0</v>
      </c>
      <c r="BM1164" s="5">
        <f t="shared" si="1060"/>
        <v>0</v>
      </c>
      <c r="BN1164" s="5">
        <f t="shared" si="1054"/>
        <v>0</v>
      </c>
      <c r="BO1164" s="5">
        <f t="shared" si="1054"/>
        <v>0</v>
      </c>
      <c r="BP1164" s="5">
        <f t="shared" si="1054"/>
        <v>0</v>
      </c>
      <c r="BQ1164" s="5">
        <f t="shared" si="1054"/>
        <v>0</v>
      </c>
      <c r="BR1164" s="5">
        <f t="shared" si="1054"/>
        <v>0</v>
      </c>
      <c r="BS1164" s="5">
        <f t="shared" si="1054"/>
        <v>0</v>
      </c>
      <c r="BT1164" s="5">
        <f t="shared" si="1054"/>
        <v>0</v>
      </c>
      <c r="BU1164" s="5">
        <f t="shared" si="1054"/>
        <v>0</v>
      </c>
      <c r="BV1164" s="5">
        <f t="shared" si="1054"/>
        <v>0</v>
      </c>
      <c r="BW1164" s="5">
        <f t="shared" si="1054"/>
        <v>0</v>
      </c>
      <c r="BX1164" s="5">
        <f t="shared" si="1054"/>
        <v>0</v>
      </c>
      <c r="BY1164" s="5">
        <f t="shared" si="1054"/>
        <v>0</v>
      </c>
      <c r="BZ1164" s="5">
        <f t="shared" si="1054"/>
        <v>0</v>
      </c>
      <c r="CA1164" s="5">
        <f t="shared" si="1054"/>
        <v>0</v>
      </c>
      <c r="CB1164" s="5">
        <f t="shared" si="1054"/>
        <v>0</v>
      </c>
      <c r="CC1164" s="5">
        <f t="shared" si="1055"/>
        <v>0</v>
      </c>
      <c r="CD1164" s="5">
        <f t="shared" si="1028"/>
        <v>1</v>
      </c>
      <c r="CE1164" s="5">
        <f t="shared" si="1028"/>
        <v>0</v>
      </c>
    </row>
    <row r="1165" spans="1:83" x14ac:dyDescent="0.2">
      <c r="A1165" s="11"/>
      <c r="B1165" s="11"/>
      <c r="C1165" s="1">
        <f>Growth!D1170</f>
        <v>1.1111111111111112E-2</v>
      </c>
      <c r="D1165" s="5" t="b">
        <f t="shared" si="1038"/>
        <v>0</v>
      </c>
      <c r="E1165" s="5">
        <v>2014</v>
      </c>
      <c r="F1165" s="5">
        <f ca="1">LOOKUP($E1165,frequence!$A$2:$A$35,frequence!L$2:L$35)</f>
        <v>50.75383375536623</v>
      </c>
      <c r="G1165" s="5">
        <f ca="1">LOOKUP($E1165,frequence!$A$2:$A$35,frequence!K$2:K$35)</f>
        <v>9.9751715831189358</v>
      </c>
      <c r="H1165" s="5">
        <f ca="1">LOOKUP($E1165,frequence!$A$2:$A$35,frequence!M$2:M$35)</f>
        <v>236.05429056976001</v>
      </c>
      <c r="I1165" s="16">
        <v>2007</v>
      </c>
      <c r="J1165" s="7">
        <f>LOOKUP(I1165,CPI!A$69:A$103,CPI!O$69:O$103)</f>
        <v>1.0516730811895323</v>
      </c>
      <c r="K1165" s="16">
        <v>2015</v>
      </c>
      <c r="L1165" s="7">
        <f t="shared" ca="1" si="1056"/>
        <v>1</v>
      </c>
      <c r="M1165" s="7">
        <f t="shared" si="1047"/>
        <v>7.1111111111111111E-2</v>
      </c>
      <c r="N1165" s="14">
        <v>1.1111111111111112E-2</v>
      </c>
      <c r="O1165" s="1">
        <f ca="1">P1165*J1165*(1+Growth!G$6)^(2010-K1165)</f>
        <v>15.353265735125644</v>
      </c>
      <c r="P1165">
        <v>15.736677115987399</v>
      </c>
      <c r="Q1165" s="2">
        <f t="shared" si="1039"/>
        <v>15.736677115987399</v>
      </c>
      <c r="R1165" s="21">
        <f t="shared" ca="1" si="1040"/>
        <v>235.72276873338319</v>
      </c>
      <c r="U1165" s="11"/>
      <c r="V1165" s="11"/>
      <c r="W1165" s="11"/>
      <c r="X1165" s="11"/>
      <c r="Y1165" s="11"/>
      <c r="Z1165" s="11"/>
      <c r="AA1165" s="11"/>
      <c r="AB1165" s="11"/>
      <c r="AC1165" s="1">
        <f t="shared" si="1048"/>
        <v>6.4</v>
      </c>
      <c r="AD1165" s="5">
        <v>1</v>
      </c>
      <c r="AE1165" s="5">
        <v>0</v>
      </c>
      <c r="AF1165" s="5">
        <v>1</v>
      </c>
      <c r="AG1165" s="5">
        <v>0</v>
      </c>
      <c r="AH1165" s="5">
        <v>1</v>
      </c>
      <c r="AI1165" s="3">
        <f t="shared" si="1049"/>
        <v>3.4</v>
      </c>
      <c r="AJ1165" s="5">
        <f t="shared" si="977"/>
        <v>0</v>
      </c>
      <c r="AK1165" s="5">
        <f t="shared" si="1057"/>
        <v>0</v>
      </c>
      <c r="AL1165" s="5">
        <f t="shared" si="1058"/>
        <v>0</v>
      </c>
      <c r="AM1165" s="5">
        <f t="shared" si="980"/>
        <v>0</v>
      </c>
      <c r="AN1165" s="5">
        <f t="shared" si="1059"/>
        <v>1</v>
      </c>
      <c r="AO1165" s="5">
        <f t="shared" si="981"/>
        <v>0</v>
      </c>
      <c r="AP1165" s="11" t="s">
        <v>42</v>
      </c>
      <c r="AQ1165" s="11">
        <v>0.1</v>
      </c>
      <c r="AR1165" s="5">
        <v>0</v>
      </c>
      <c r="AS1165" s="5">
        <v>0</v>
      </c>
      <c r="AT1165" s="5">
        <v>0</v>
      </c>
      <c r="AU1165" s="5">
        <v>0</v>
      </c>
      <c r="AV1165" s="5">
        <v>0</v>
      </c>
      <c r="AW1165" s="5">
        <v>0</v>
      </c>
      <c r="AX1165" s="5">
        <v>1</v>
      </c>
      <c r="AY1165" s="1">
        <f t="shared" si="1050"/>
        <v>0</v>
      </c>
      <c r="AZ1165" s="1">
        <f t="shared" si="1051"/>
        <v>0</v>
      </c>
      <c r="BA1165" s="1">
        <f t="shared" si="1052"/>
        <v>0</v>
      </c>
      <c r="BB1165" s="5">
        <v>0</v>
      </c>
      <c r="BC1165" s="5">
        <v>0</v>
      </c>
      <c r="BD1165" s="5">
        <v>0</v>
      </c>
      <c r="BE1165" s="5">
        <f t="shared" si="1053"/>
        <v>1</v>
      </c>
      <c r="BF1165" s="5">
        <v>1</v>
      </c>
      <c r="BG1165" s="5">
        <f t="shared" si="1060"/>
        <v>0</v>
      </c>
      <c r="BH1165" s="5">
        <f t="shared" si="1060"/>
        <v>0</v>
      </c>
      <c r="BI1165" s="5">
        <f t="shared" si="1060"/>
        <v>0</v>
      </c>
      <c r="BJ1165" s="5">
        <f t="shared" si="1060"/>
        <v>0</v>
      </c>
      <c r="BK1165" s="5">
        <f t="shared" si="1060"/>
        <v>0</v>
      </c>
      <c r="BL1165" s="5">
        <f t="shared" si="1060"/>
        <v>0</v>
      </c>
      <c r="BM1165" s="5">
        <f t="shared" si="1060"/>
        <v>0</v>
      </c>
      <c r="BN1165" s="5">
        <f t="shared" si="1054"/>
        <v>0</v>
      </c>
      <c r="BO1165" s="5">
        <f t="shared" si="1054"/>
        <v>0</v>
      </c>
      <c r="BP1165" s="5">
        <f t="shared" si="1054"/>
        <v>0</v>
      </c>
      <c r="BQ1165" s="5">
        <f t="shared" si="1054"/>
        <v>0</v>
      </c>
      <c r="BR1165" s="5">
        <f t="shared" si="1054"/>
        <v>0</v>
      </c>
      <c r="BS1165" s="5">
        <f t="shared" si="1054"/>
        <v>0</v>
      </c>
      <c r="BT1165" s="5">
        <f t="shared" si="1054"/>
        <v>0</v>
      </c>
      <c r="BU1165" s="5">
        <f t="shared" si="1054"/>
        <v>0</v>
      </c>
      <c r="BV1165" s="5">
        <f t="shared" si="1054"/>
        <v>0</v>
      </c>
      <c r="BW1165" s="5">
        <f t="shared" si="1054"/>
        <v>0</v>
      </c>
      <c r="BX1165" s="5">
        <f t="shared" si="1054"/>
        <v>0</v>
      </c>
      <c r="BY1165" s="5">
        <f t="shared" si="1054"/>
        <v>0</v>
      </c>
      <c r="BZ1165" s="5">
        <f t="shared" si="1054"/>
        <v>0</v>
      </c>
      <c r="CA1165" s="5">
        <f t="shared" si="1054"/>
        <v>0</v>
      </c>
      <c r="CB1165" s="5">
        <f t="shared" si="1054"/>
        <v>0</v>
      </c>
      <c r="CC1165" s="5">
        <f t="shared" si="1055"/>
        <v>0</v>
      </c>
      <c r="CD1165" s="5">
        <f t="shared" si="1028"/>
        <v>1</v>
      </c>
      <c r="CE1165" s="5">
        <f t="shared" si="1028"/>
        <v>0</v>
      </c>
    </row>
    <row r="1166" spans="1:83" x14ac:dyDescent="0.2">
      <c r="A1166" s="11"/>
      <c r="B1166" s="11"/>
      <c r="C1166" s="1">
        <f>Growth!D1171</f>
        <v>1.0130718954248368E-2</v>
      </c>
      <c r="D1166" s="5" t="b">
        <f t="shared" si="1038"/>
        <v>0</v>
      </c>
      <c r="E1166" s="5">
        <v>2014</v>
      </c>
      <c r="F1166" s="5">
        <f ca="1">LOOKUP($E1166,frequence!$A$2:$A$35,frequence!L$2:L$35)</f>
        <v>50.75383375536623</v>
      </c>
      <c r="G1166" s="5">
        <f ca="1">LOOKUP($E1166,frequence!$A$2:$A$35,frequence!K$2:K$35)</f>
        <v>9.9751715831189358</v>
      </c>
      <c r="H1166" s="5">
        <f ca="1">LOOKUP($E1166,frequence!$A$2:$A$35,frequence!M$2:M$35)</f>
        <v>236.05429056976001</v>
      </c>
      <c r="I1166" s="16">
        <v>2007</v>
      </c>
      <c r="J1166" s="7">
        <f>LOOKUP(I1166,CPI!A$69:A$103,CPI!O$69:O$103)</f>
        <v>1.0516730811895323</v>
      </c>
      <c r="K1166" s="16">
        <v>2015</v>
      </c>
      <c r="L1166" s="7">
        <f t="shared" ca="1" si="1056"/>
        <v>1</v>
      </c>
      <c r="M1166" s="7">
        <f t="shared" si="1047"/>
        <v>6.4836601307189559E-2</v>
      </c>
      <c r="N1166" s="14">
        <v>1.0130718954248368E-2</v>
      </c>
      <c r="O1166" s="1">
        <f ca="1">P1166*J1166*(1+Growth!G$6)^(2010-K1166)</f>
        <v>13.640550832402486</v>
      </c>
      <c r="P1166">
        <v>13.9811912225705</v>
      </c>
      <c r="Q1166" s="2">
        <f t="shared" si="1039"/>
        <v>13.9811912225705</v>
      </c>
      <c r="R1166" s="21">
        <f t="shared" ca="1" si="1040"/>
        <v>186.06462701135615</v>
      </c>
      <c r="U1166" s="11"/>
      <c r="V1166" s="11"/>
      <c r="W1166" s="11"/>
      <c r="X1166" s="11"/>
      <c r="Y1166" s="11"/>
      <c r="Z1166" s="11"/>
      <c r="AA1166" s="11"/>
      <c r="AB1166" s="11"/>
      <c r="AC1166" s="1">
        <f t="shared" si="1048"/>
        <v>6.4</v>
      </c>
      <c r="AD1166" s="5">
        <v>1</v>
      </c>
      <c r="AE1166" s="5">
        <v>0</v>
      </c>
      <c r="AF1166" s="5">
        <v>1</v>
      </c>
      <c r="AG1166" s="5">
        <v>0</v>
      </c>
      <c r="AH1166" s="5">
        <v>1</v>
      </c>
      <c r="AI1166" s="3">
        <f t="shared" si="1049"/>
        <v>3.4</v>
      </c>
      <c r="AJ1166" s="5">
        <f t="shared" si="977"/>
        <v>0</v>
      </c>
      <c r="AK1166" s="5">
        <f t="shared" si="1057"/>
        <v>0</v>
      </c>
      <c r="AL1166" s="5">
        <f t="shared" si="1058"/>
        <v>0</v>
      </c>
      <c r="AM1166" s="5">
        <f t="shared" si="980"/>
        <v>0</v>
      </c>
      <c r="AN1166" s="5">
        <f t="shared" si="1059"/>
        <v>1</v>
      </c>
      <c r="AO1166" s="5">
        <f t="shared" si="981"/>
        <v>0</v>
      </c>
      <c r="AP1166" s="11" t="s">
        <v>42</v>
      </c>
      <c r="AQ1166" s="11">
        <v>0.1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1</v>
      </c>
      <c r="AY1166" s="1">
        <f t="shared" si="1050"/>
        <v>0</v>
      </c>
      <c r="AZ1166" s="1">
        <f t="shared" si="1051"/>
        <v>0</v>
      </c>
      <c r="BA1166" s="1">
        <f t="shared" si="1052"/>
        <v>0</v>
      </c>
      <c r="BB1166" s="5">
        <v>0</v>
      </c>
      <c r="BC1166" s="5">
        <v>0</v>
      </c>
      <c r="BD1166" s="5">
        <v>0</v>
      </c>
      <c r="BE1166" s="5">
        <f t="shared" si="1053"/>
        <v>1</v>
      </c>
      <c r="BF1166" s="5">
        <v>1</v>
      </c>
      <c r="BG1166" s="5">
        <f t="shared" si="1060"/>
        <v>0</v>
      </c>
      <c r="BH1166" s="5">
        <f t="shared" si="1060"/>
        <v>0</v>
      </c>
      <c r="BI1166" s="5">
        <f t="shared" si="1060"/>
        <v>0</v>
      </c>
      <c r="BJ1166" s="5">
        <f t="shared" si="1060"/>
        <v>0</v>
      </c>
      <c r="BK1166" s="5">
        <f t="shared" si="1060"/>
        <v>0</v>
      </c>
      <c r="BL1166" s="5">
        <f t="shared" si="1060"/>
        <v>0</v>
      </c>
      <c r="BM1166" s="5">
        <f t="shared" si="1060"/>
        <v>0</v>
      </c>
      <c r="BN1166" s="5">
        <f t="shared" si="1054"/>
        <v>0</v>
      </c>
      <c r="BO1166" s="5">
        <f t="shared" si="1054"/>
        <v>0</v>
      </c>
      <c r="BP1166" s="5">
        <f t="shared" si="1054"/>
        <v>0</v>
      </c>
      <c r="BQ1166" s="5">
        <f t="shared" si="1054"/>
        <v>0</v>
      </c>
      <c r="BR1166" s="5">
        <f t="shared" si="1054"/>
        <v>0</v>
      </c>
      <c r="BS1166" s="5">
        <f t="shared" si="1054"/>
        <v>0</v>
      </c>
      <c r="BT1166" s="5">
        <f t="shared" si="1054"/>
        <v>0</v>
      </c>
      <c r="BU1166" s="5">
        <f t="shared" si="1054"/>
        <v>0</v>
      </c>
      <c r="BV1166" s="5">
        <f t="shared" si="1054"/>
        <v>0</v>
      </c>
      <c r="BW1166" s="5">
        <f t="shared" si="1054"/>
        <v>0</v>
      </c>
      <c r="BX1166" s="5">
        <f t="shared" si="1054"/>
        <v>0</v>
      </c>
      <c r="BY1166" s="5">
        <f t="shared" si="1054"/>
        <v>0</v>
      </c>
      <c r="BZ1166" s="5">
        <f t="shared" si="1054"/>
        <v>0</v>
      </c>
      <c r="CA1166" s="5">
        <f t="shared" si="1054"/>
        <v>0</v>
      </c>
      <c r="CB1166" s="5">
        <f t="shared" si="1054"/>
        <v>0</v>
      </c>
      <c r="CC1166" s="5">
        <f t="shared" si="1055"/>
        <v>0</v>
      </c>
      <c r="CD1166" s="5">
        <f t="shared" si="1028"/>
        <v>1</v>
      </c>
      <c r="CE1166" s="5">
        <f t="shared" si="1028"/>
        <v>0</v>
      </c>
    </row>
    <row r="1167" spans="1:83" x14ac:dyDescent="0.2">
      <c r="A1167" s="11"/>
      <c r="B1167" s="11"/>
      <c r="C1167" s="1">
        <f>Growth!D1172</f>
        <v>9.1503267973856231E-3</v>
      </c>
      <c r="D1167" s="5" t="b">
        <f t="shared" si="1038"/>
        <v>0</v>
      </c>
      <c r="E1167" s="5">
        <v>2014</v>
      </c>
      <c r="F1167" s="5">
        <f ca="1">LOOKUP($E1167,frequence!$A$2:$A$35,frequence!L$2:L$35)</f>
        <v>50.75383375536623</v>
      </c>
      <c r="G1167" s="5">
        <f ca="1">LOOKUP($E1167,frequence!$A$2:$A$35,frequence!K$2:K$35)</f>
        <v>9.9751715831189358</v>
      </c>
      <c r="H1167" s="5">
        <f ca="1">LOOKUP($E1167,frequence!$A$2:$A$35,frequence!M$2:M$35)</f>
        <v>236.05429056976001</v>
      </c>
      <c r="I1167" s="16">
        <v>2007</v>
      </c>
      <c r="J1167" s="7">
        <f>LOOKUP(I1167,CPI!A$69:A$103,CPI!O$69:O$103)</f>
        <v>1.0516730811895323</v>
      </c>
      <c r="K1167" s="16">
        <v>2015</v>
      </c>
      <c r="L1167" s="7">
        <f t="shared" ca="1" si="1056"/>
        <v>1</v>
      </c>
      <c r="M1167" s="7">
        <f t="shared" si="1047"/>
        <v>5.8562091503267993E-2</v>
      </c>
      <c r="N1167" s="14">
        <v>9.1503267973856231E-3</v>
      </c>
      <c r="O1167" s="1">
        <f ca="1">P1167*J1167*(1+Growth!G$6)^(2010-K1167)</f>
        <v>12.172509487211151</v>
      </c>
      <c r="P1167">
        <v>12.4764890282131</v>
      </c>
      <c r="Q1167" s="2">
        <f t="shared" si="1039"/>
        <v>12.4764890282131</v>
      </c>
      <c r="R1167" s="21">
        <f t="shared" ca="1" si="1040"/>
        <v>148.16998721624549</v>
      </c>
      <c r="U1167" s="11"/>
      <c r="V1167" s="11"/>
      <c r="W1167" s="11"/>
      <c r="X1167" s="11"/>
      <c r="Y1167" s="11"/>
      <c r="Z1167" s="11"/>
      <c r="AA1167" s="11"/>
      <c r="AB1167" s="11"/>
      <c r="AC1167" s="1">
        <f t="shared" si="1048"/>
        <v>6.4</v>
      </c>
      <c r="AD1167" s="5">
        <v>1</v>
      </c>
      <c r="AE1167" s="5">
        <v>0</v>
      </c>
      <c r="AF1167" s="5">
        <v>1</v>
      </c>
      <c r="AG1167" s="5">
        <v>0</v>
      </c>
      <c r="AH1167" s="5">
        <v>1</v>
      </c>
      <c r="AI1167" s="3">
        <f t="shared" si="1049"/>
        <v>3.4</v>
      </c>
      <c r="AJ1167" s="5">
        <f t="shared" si="977"/>
        <v>0</v>
      </c>
      <c r="AK1167" s="5">
        <f t="shared" si="1057"/>
        <v>0</v>
      </c>
      <c r="AL1167" s="5">
        <f t="shared" si="1058"/>
        <v>0</v>
      </c>
      <c r="AM1167" s="5">
        <f t="shared" si="980"/>
        <v>0</v>
      </c>
      <c r="AN1167" s="5">
        <f t="shared" si="1059"/>
        <v>1</v>
      </c>
      <c r="AO1167" s="5">
        <f t="shared" si="981"/>
        <v>0</v>
      </c>
      <c r="AP1167" s="11" t="s">
        <v>42</v>
      </c>
      <c r="AQ1167" s="11">
        <v>0.1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1</v>
      </c>
      <c r="AY1167" s="1">
        <f t="shared" si="1050"/>
        <v>0</v>
      </c>
      <c r="AZ1167" s="1">
        <f t="shared" si="1051"/>
        <v>0</v>
      </c>
      <c r="BA1167" s="1">
        <f t="shared" si="1052"/>
        <v>0</v>
      </c>
      <c r="BB1167" s="5">
        <v>0</v>
      </c>
      <c r="BC1167" s="5">
        <v>0</v>
      </c>
      <c r="BD1167" s="5">
        <v>0</v>
      </c>
      <c r="BE1167" s="5">
        <f t="shared" si="1053"/>
        <v>1</v>
      </c>
      <c r="BF1167" s="5">
        <v>1</v>
      </c>
      <c r="BG1167" s="5">
        <f t="shared" si="1060"/>
        <v>0</v>
      </c>
      <c r="BH1167" s="5">
        <f t="shared" si="1060"/>
        <v>0</v>
      </c>
      <c r="BI1167" s="5">
        <f t="shared" si="1060"/>
        <v>0</v>
      </c>
      <c r="BJ1167" s="5">
        <f t="shared" si="1060"/>
        <v>0</v>
      </c>
      <c r="BK1167" s="5">
        <f t="shared" si="1060"/>
        <v>0</v>
      </c>
      <c r="BL1167" s="5">
        <f t="shared" si="1060"/>
        <v>0</v>
      </c>
      <c r="BM1167" s="5">
        <f t="shared" si="1060"/>
        <v>0</v>
      </c>
      <c r="BN1167" s="5">
        <f t="shared" si="1054"/>
        <v>0</v>
      </c>
      <c r="BO1167" s="5">
        <f t="shared" si="1054"/>
        <v>0</v>
      </c>
      <c r="BP1167" s="5">
        <f t="shared" si="1054"/>
        <v>0</v>
      </c>
      <c r="BQ1167" s="5">
        <f t="shared" si="1054"/>
        <v>0</v>
      </c>
      <c r="BR1167" s="5">
        <f t="shared" si="1054"/>
        <v>0</v>
      </c>
      <c r="BS1167" s="5">
        <f t="shared" si="1054"/>
        <v>0</v>
      </c>
      <c r="BT1167" s="5">
        <f t="shared" si="1054"/>
        <v>0</v>
      </c>
      <c r="BU1167" s="5">
        <f t="shared" si="1054"/>
        <v>0</v>
      </c>
      <c r="BV1167" s="5">
        <f t="shared" si="1054"/>
        <v>0</v>
      </c>
      <c r="BW1167" s="5">
        <f t="shared" si="1054"/>
        <v>0</v>
      </c>
      <c r="BX1167" s="5">
        <f t="shared" si="1054"/>
        <v>0</v>
      </c>
      <c r="BY1167" s="5">
        <f t="shared" si="1054"/>
        <v>0</v>
      </c>
      <c r="BZ1167" s="5">
        <f t="shared" si="1054"/>
        <v>0</v>
      </c>
      <c r="CA1167" s="5">
        <f t="shared" si="1054"/>
        <v>0</v>
      </c>
      <c r="CB1167" s="5">
        <f t="shared" si="1054"/>
        <v>0</v>
      </c>
      <c r="CC1167" s="5">
        <f t="shared" si="1055"/>
        <v>0</v>
      </c>
      <c r="CD1167" s="5">
        <f t="shared" si="1055"/>
        <v>1</v>
      </c>
      <c r="CE1167" s="5">
        <f t="shared" si="1055"/>
        <v>0</v>
      </c>
    </row>
    <row r="1168" spans="1:83" x14ac:dyDescent="0.2">
      <c r="A1168" s="11"/>
      <c r="B1168" s="11"/>
      <c r="C1168" s="1">
        <f>Growth!D1173</f>
        <v>8.169934640522878E-3</v>
      </c>
      <c r="D1168" s="5" t="b">
        <f t="shared" si="1038"/>
        <v>0</v>
      </c>
      <c r="E1168" s="5">
        <v>2014</v>
      </c>
      <c r="F1168" s="5">
        <f ca="1">LOOKUP($E1168,frequence!$A$2:$A$35,frequence!L$2:L$35)</f>
        <v>50.75383375536623</v>
      </c>
      <c r="G1168" s="5">
        <f ca="1">LOOKUP($E1168,frequence!$A$2:$A$35,frequence!K$2:K$35)</f>
        <v>9.9751715831189358</v>
      </c>
      <c r="H1168" s="5">
        <f ca="1">LOOKUP($E1168,frequence!$A$2:$A$35,frequence!M$2:M$35)</f>
        <v>236.05429056976001</v>
      </c>
      <c r="I1168" s="16">
        <v>2007</v>
      </c>
      <c r="J1168" s="7">
        <f>LOOKUP(I1168,CPI!A$69:A$103,CPI!O$69:O$103)</f>
        <v>1.0516730811895323</v>
      </c>
      <c r="K1168" s="16">
        <v>2015</v>
      </c>
      <c r="L1168" s="7">
        <f t="shared" ca="1" si="1056"/>
        <v>1</v>
      </c>
      <c r="M1168" s="7">
        <f t="shared" si="1047"/>
        <v>5.2287581699346421E-2</v>
      </c>
      <c r="N1168" s="14">
        <v>8.169934640522878E-3</v>
      </c>
      <c r="O1168" s="1">
        <f ca="1">P1168*J1168*(1+Growth!G$6)^(2010-K1168)</f>
        <v>10.704468142019817</v>
      </c>
      <c r="P1168">
        <v>10.971786833855701</v>
      </c>
      <c r="Q1168" s="2">
        <f t="shared" si="1039"/>
        <v>10.971786833855701</v>
      </c>
      <c r="R1168" s="21">
        <f t="shared" ca="1" si="1040"/>
        <v>114.58563820351719</v>
      </c>
      <c r="U1168" s="11"/>
      <c r="V1168" s="11"/>
      <c r="W1168" s="11"/>
      <c r="X1168" s="11"/>
      <c r="Y1168" s="11"/>
      <c r="Z1168" s="11"/>
      <c r="AA1168" s="11"/>
      <c r="AB1168" s="11"/>
      <c r="AC1168" s="1">
        <f t="shared" si="1048"/>
        <v>6.4</v>
      </c>
      <c r="AD1168" s="5">
        <v>1</v>
      </c>
      <c r="AE1168" s="5">
        <v>0</v>
      </c>
      <c r="AF1168" s="5">
        <v>1</v>
      </c>
      <c r="AG1168" s="5">
        <v>0</v>
      </c>
      <c r="AH1168" s="5">
        <v>1</v>
      </c>
      <c r="AI1168" s="3">
        <f t="shared" si="1049"/>
        <v>3.4</v>
      </c>
      <c r="AJ1168" s="5">
        <f t="shared" si="977"/>
        <v>0</v>
      </c>
      <c r="AK1168" s="5">
        <f t="shared" si="1057"/>
        <v>0</v>
      </c>
      <c r="AL1168" s="5">
        <f t="shared" si="1058"/>
        <v>0</v>
      </c>
      <c r="AM1168" s="5">
        <f t="shared" si="980"/>
        <v>0</v>
      </c>
      <c r="AN1168" s="5">
        <f t="shared" si="1059"/>
        <v>1</v>
      </c>
      <c r="AO1168" s="5">
        <f t="shared" si="981"/>
        <v>0</v>
      </c>
      <c r="AP1168" s="11" t="s">
        <v>42</v>
      </c>
      <c r="AQ1168" s="11">
        <v>0.1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1</v>
      </c>
      <c r="AY1168" s="1">
        <f t="shared" si="1050"/>
        <v>0</v>
      </c>
      <c r="AZ1168" s="1">
        <f t="shared" si="1051"/>
        <v>0</v>
      </c>
      <c r="BA1168" s="1">
        <f t="shared" si="1052"/>
        <v>0</v>
      </c>
      <c r="BB1168" s="5">
        <v>0</v>
      </c>
      <c r="BC1168" s="5">
        <v>0</v>
      </c>
      <c r="BD1168" s="5">
        <v>0</v>
      </c>
      <c r="BE1168" s="5">
        <f t="shared" si="1053"/>
        <v>1</v>
      </c>
      <c r="BF1168" s="5">
        <v>1</v>
      </c>
      <c r="BG1168" s="5">
        <f t="shared" si="1060"/>
        <v>0</v>
      </c>
      <c r="BH1168" s="5">
        <f t="shared" si="1060"/>
        <v>0</v>
      </c>
      <c r="BI1168" s="5">
        <f t="shared" si="1060"/>
        <v>0</v>
      </c>
      <c r="BJ1168" s="5">
        <f t="shared" si="1060"/>
        <v>0</v>
      </c>
      <c r="BK1168" s="5">
        <f t="shared" si="1060"/>
        <v>0</v>
      </c>
      <c r="BL1168" s="5">
        <f t="shared" si="1060"/>
        <v>0</v>
      </c>
      <c r="BM1168" s="5">
        <f t="shared" si="1060"/>
        <v>0</v>
      </c>
      <c r="BN1168" s="5">
        <f t="shared" si="1054"/>
        <v>0</v>
      </c>
      <c r="BO1168" s="5">
        <f t="shared" si="1054"/>
        <v>0</v>
      </c>
      <c r="BP1168" s="5">
        <f t="shared" si="1054"/>
        <v>0</v>
      </c>
      <c r="BQ1168" s="5">
        <f t="shared" si="1054"/>
        <v>0</v>
      </c>
      <c r="BR1168" s="5">
        <f t="shared" si="1054"/>
        <v>0</v>
      </c>
      <c r="BS1168" s="5">
        <f t="shared" si="1054"/>
        <v>0</v>
      </c>
      <c r="BT1168" s="5">
        <f t="shared" si="1054"/>
        <v>0</v>
      </c>
      <c r="BU1168" s="5">
        <f t="shared" si="1054"/>
        <v>0</v>
      </c>
      <c r="BV1168" s="5">
        <f t="shared" si="1054"/>
        <v>0</v>
      </c>
      <c r="BW1168" s="5">
        <f t="shared" si="1054"/>
        <v>0</v>
      </c>
      <c r="BX1168" s="5">
        <f t="shared" si="1054"/>
        <v>0</v>
      </c>
      <c r="BY1168" s="5">
        <f t="shared" si="1054"/>
        <v>0</v>
      </c>
      <c r="BZ1168" s="5">
        <f t="shared" si="1054"/>
        <v>0</v>
      </c>
      <c r="CA1168" s="5">
        <f t="shared" si="1054"/>
        <v>0</v>
      </c>
      <c r="CB1168" s="5">
        <f t="shared" si="1054"/>
        <v>0</v>
      </c>
      <c r="CC1168" s="5">
        <f t="shared" si="1055"/>
        <v>0</v>
      </c>
      <c r="CD1168" s="5">
        <f t="shared" si="1055"/>
        <v>1</v>
      </c>
      <c r="CE1168" s="5">
        <f t="shared" si="1055"/>
        <v>0</v>
      </c>
    </row>
    <row r="1169" spans="1:83" x14ac:dyDescent="0.2">
      <c r="A1169" s="11"/>
      <c r="B1169" s="11"/>
      <c r="C1169" s="1">
        <f>Growth!D1174</f>
        <v>7.1895424836601338E-3</v>
      </c>
      <c r="D1169" s="5" t="b">
        <f t="shared" si="1038"/>
        <v>0</v>
      </c>
      <c r="E1169" s="5">
        <v>2014</v>
      </c>
      <c r="F1169" s="5">
        <f ca="1">LOOKUP($E1169,frequence!$A$2:$A$35,frequence!L$2:L$35)</f>
        <v>50.75383375536623</v>
      </c>
      <c r="G1169" s="5">
        <f ca="1">LOOKUP($E1169,frequence!$A$2:$A$35,frequence!K$2:K$35)</f>
        <v>9.9751715831189358</v>
      </c>
      <c r="H1169" s="5">
        <f ca="1">LOOKUP($E1169,frequence!$A$2:$A$35,frequence!M$2:M$35)</f>
        <v>236.05429056976001</v>
      </c>
      <c r="I1169" s="16">
        <v>2007</v>
      </c>
      <c r="J1169" s="7">
        <f>LOOKUP(I1169,CPI!A$69:A$103,CPI!O$69:O$103)</f>
        <v>1.0516730811895323</v>
      </c>
      <c r="K1169" s="16">
        <v>2015</v>
      </c>
      <c r="L1169" s="7">
        <f t="shared" ca="1" si="1056"/>
        <v>1</v>
      </c>
      <c r="M1169" s="7">
        <f t="shared" si="1047"/>
        <v>4.6013071895424862E-2</v>
      </c>
      <c r="N1169" s="14">
        <v>7.1895424836601338E-3</v>
      </c>
      <c r="O1169" s="1">
        <f ca="1">P1169*J1169*(1+Growth!G$6)^(2010-K1169)</f>
        <v>9.4811003543604908</v>
      </c>
      <c r="P1169">
        <v>9.7178683385579898</v>
      </c>
      <c r="Q1169" s="2">
        <f t="shared" si="1039"/>
        <v>9.7178683385579898</v>
      </c>
      <c r="R1169" s="21">
        <f t="shared" ca="1" si="1040"/>
        <v>89.891263929454624</v>
      </c>
      <c r="U1169" s="11"/>
      <c r="V1169" s="11"/>
      <c r="W1169" s="11"/>
      <c r="X1169" s="11"/>
      <c r="Y1169" s="11"/>
      <c r="Z1169" s="11"/>
      <c r="AA1169" s="11"/>
      <c r="AB1169" s="11"/>
      <c r="AC1169" s="1">
        <f t="shared" si="1048"/>
        <v>6.4</v>
      </c>
      <c r="AD1169" s="5">
        <v>1</v>
      </c>
      <c r="AE1169" s="5">
        <v>0</v>
      </c>
      <c r="AF1169" s="5">
        <v>1</v>
      </c>
      <c r="AG1169" s="5">
        <v>0</v>
      </c>
      <c r="AH1169" s="5">
        <v>1</v>
      </c>
      <c r="AI1169" s="3">
        <f t="shared" si="1049"/>
        <v>3.4</v>
      </c>
      <c r="AJ1169" s="5">
        <f t="shared" si="977"/>
        <v>0</v>
      </c>
      <c r="AK1169" s="5">
        <f t="shared" si="1057"/>
        <v>0</v>
      </c>
      <c r="AL1169" s="5">
        <f t="shared" si="1058"/>
        <v>0</v>
      </c>
      <c r="AM1169" s="5">
        <f t="shared" si="980"/>
        <v>0</v>
      </c>
      <c r="AN1169" s="5">
        <f t="shared" si="1059"/>
        <v>1</v>
      </c>
      <c r="AO1169" s="5">
        <f t="shared" si="981"/>
        <v>0</v>
      </c>
      <c r="AP1169" s="11" t="s">
        <v>42</v>
      </c>
      <c r="AQ1169" s="11">
        <v>0.1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1</v>
      </c>
      <c r="AY1169" s="1">
        <f t="shared" si="1050"/>
        <v>0</v>
      </c>
      <c r="AZ1169" s="1">
        <f t="shared" si="1051"/>
        <v>0</v>
      </c>
      <c r="BA1169" s="1">
        <f t="shared" si="1052"/>
        <v>0</v>
      </c>
      <c r="BB1169" s="5">
        <v>0</v>
      </c>
      <c r="BC1169" s="5">
        <v>0</v>
      </c>
      <c r="BD1169" s="5">
        <v>0</v>
      </c>
      <c r="BE1169" s="5">
        <f t="shared" si="1053"/>
        <v>1</v>
      </c>
      <c r="BF1169" s="5">
        <v>1</v>
      </c>
      <c r="BG1169" s="5">
        <f t="shared" si="1060"/>
        <v>0</v>
      </c>
      <c r="BH1169" s="5">
        <f t="shared" si="1060"/>
        <v>0</v>
      </c>
      <c r="BI1169" s="5">
        <f t="shared" si="1060"/>
        <v>0</v>
      </c>
      <c r="BJ1169" s="5">
        <f t="shared" si="1060"/>
        <v>0</v>
      </c>
      <c r="BK1169" s="5">
        <f t="shared" si="1060"/>
        <v>0</v>
      </c>
      <c r="BL1169" s="5">
        <f t="shared" si="1060"/>
        <v>0</v>
      </c>
      <c r="BM1169" s="5">
        <f t="shared" si="1060"/>
        <v>0</v>
      </c>
      <c r="BN1169" s="5">
        <f t="shared" si="1054"/>
        <v>0</v>
      </c>
      <c r="BO1169" s="5">
        <f t="shared" si="1054"/>
        <v>0</v>
      </c>
      <c r="BP1169" s="5">
        <f t="shared" si="1054"/>
        <v>0</v>
      </c>
      <c r="BQ1169" s="5">
        <f t="shared" si="1054"/>
        <v>0</v>
      </c>
      <c r="BR1169" s="5">
        <f t="shared" si="1054"/>
        <v>0</v>
      </c>
      <c r="BS1169" s="5">
        <f t="shared" si="1054"/>
        <v>0</v>
      </c>
      <c r="BT1169" s="5">
        <f t="shared" si="1054"/>
        <v>0</v>
      </c>
      <c r="BU1169" s="5">
        <f t="shared" si="1054"/>
        <v>0</v>
      </c>
      <c r="BV1169" s="5">
        <f t="shared" si="1054"/>
        <v>0</v>
      </c>
      <c r="BW1169" s="5">
        <f t="shared" si="1054"/>
        <v>0</v>
      </c>
      <c r="BX1169" s="5">
        <f t="shared" si="1054"/>
        <v>0</v>
      </c>
      <c r="BY1169" s="5">
        <f t="shared" si="1054"/>
        <v>0</v>
      </c>
      <c r="BZ1169" s="5">
        <f t="shared" si="1054"/>
        <v>0</v>
      </c>
      <c r="CA1169" s="5">
        <f t="shared" si="1054"/>
        <v>0</v>
      </c>
      <c r="CB1169" s="5">
        <f t="shared" si="1054"/>
        <v>0</v>
      </c>
      <c r="CC1169" s="5">
        <f t="shared" si="1055"/>
        <v>0</v>
      </c>
      <c r="CD1169" s="5">
        <f t="shared" si="1055"/>
        <v>1</v>
      </c>
      <c r="CE1169" s="5">
        <f t="shared" si="1055"/>
        <v>0</v>
      </c>
    </row>
    <row r="1170" spans="1:83" x14ac:dyDescent="0.2">
      <c r="A1170" s="11"/>
      <c r="B1170" s="11"/>
      <c r="C1170" s="1">
        <f>Growth!D1175</f>
        <v>6.2091503267973887E-3</v>
      </c>
      <c r="D1170" s="5" t="b">
        <f t="shared" si="1038"/>
        <v>0</v>
      </c>
      <c r="E1170" s="5">
        <v>2014</v>
      </c>
      <c r="F1170" s="5">
        <f ca="1">LOOKUP($E1170,frequence!$A$2:$A$35,frequence!L$2:L$35)</f>
        <v>50.75383375536623</v>
      </c>
      <c r="G1170" s="5">
        <f ca="1">LOOKUP($E1170,frequence!$A$2:$A$35,frequence!K$2:K$35)</f>
        <v>9.9751715831189358</v>
      </c>
      <c r="H1170" s="5">
        <f ca="1">LOOKUP($E1170,frequence!$A$2:$A$35,frequence!M$2:M$35)</f>
        <v>236.05429056976001</v>
      </c>
      <c r="I1170" s="16">
        <v>2007</v>
      </c>
      <c r="J1170" s="7">
        <f>LOOKUP(I1170,CPI!A$69:A$103,CPI!O$69:O$103)</f>
        <v>1.0516730811895323</v>
      </c>
      <c r="K1170" s="16">
        <v>2015</v>
      </c>
      <c r="L1170" s="7">
        <f t="shared" ca="1" si="1056"/>
        <v>1</v>
      </c>
      <c r="M1170" s="7">
        <f t="shared" si="1047"/>
        <v>3.9738562091503289E-2</v>
      </c>
      <c r="N1170" s="14">
        <v>6.2091503267973887E-3</v>
      </c>
      <c r="O1170" s="1">
        <f ca="1">P1170*J1170*(1+Growth!G$6)^(2010-K1170)</f>
        <v>8.9917532392967257</v>
      </c>
      <c r="P1170">
        <v>9.2163009404388703</v>
      </c>
      <c r="Q1170" s="2">
        <f t="shared" si="1039"/>
        <v>9.2163009404388703</v>
      </c>
      <c r="R1170" s="21">
        <f t="shared" ca="1" si="1040"/>
        <v>80.851626316403156</v>
      </c>
      <c r="U1170" s="11"/>
      <c r="V1170" s="11"/>
      <c r="W1170" s="11"/>
      <c r="X1170" s="11"/>
      <c r="Y1170" s="11"/>
      <c r="Z1170" s="11"/>
      <c r="AA1170" s="11"/>
      <c r="AB1170" s="11"/>
      <c r="AC1170" s="1">
        <f t="shared" si="1048"/>
        <v>6.4</v>
      </c>
      <c r="AD1170" s="5">
        <v>1</v>
      </c>
      <c r="AE1170" s="5">
        <v>0</v>
      </c>
      <c r="AF1170" s="5">
        <v>1</v>
      </c>
      <c r="AG1170" s="5">
        <v>0</v>
      </c>
      <c r="AH1170" s="5">
        <v>1</v>
      </c>
      <c r="AI1170" s="3">
        <f t="shared" si="1049"/>
        <v>3.4</v>
      </c>
      <c r="AJ1170" s="5">
        <f t="shared" si="977"/>
        <v>0</v>
      </c>
      <c r="AK1170" s="5">
        <f t="shared" si="1057"/>
        <v>0</v>
      </c>
      <c r="AL1170" s="5">
        <f t="shared" si="1058"/>
        <v>0</v>
      </c>
      <c r="AM1170" s="5">
        <f t="shared" si="980"/>
        <v>0</v>
      </c>
      <c r="AN1170" s="5">
        <f t="shared" si="1059"/>
        <v>1</v>
      </c>
      <c r="AO1170" s="5">
        <f t="shared" si="981"/>
        <v>0</v>
      </c>
      <c r="AP1170" s="11" t="s">
        <v>42</v>
      </c>
      <c r="AQ1170" s="11">
        <v>0.1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1</v>
      </c>
      <c r="AY1170" s="1">
        <f t="shared" si="1050"/>
        <v>0</v>
      </c>
      <c r="AZ1170" s="1">
        <f t="shared" si="1051"/>
        <v>0</v>
      </c>
      <c r="BA1170" s="1">
        <f t="shared" si="1052"/>
        <v>0</v>
      </c>
      <c r="BB1170" s="5">
        <v>0</v>
      </c>
      <c r="BC1170" s="5">
        <v>0</v>
      </c>
      <c r="BD1170" s="5">
        <v>0</v>
      </c>
      <c r="BE1170" s="5">
        <f t="shared" si="1053"/>
        <v>1</v>
      </c>
      <c r="BF1170" s="5">
        <v>1</v>
      </c>
      <c r="BG1170" s="5">
        <f t="shared" si="1060"/>
        <v>0</v>
      </c>
      <c r="BH1170" s="5">
        <f t="shared" si="1060"/>
        <v>0</v>
      </c>
      <c r="BI1170" s="5">
        <f t="shared" si="1060"/>
        <v>0</v>
      </c>
      <c r="BJ1170" s="5">
        <f t="shared" si="1060"/>
        <v>0</v>
      </c>
      <c r="BK1170" s="5">
        <f t="shared" si="1060"/>
        <v>0</v>
      </c>
      <c r="BL1170" s="5">
        <f t="shared" si="1060"/>
        <v>0</v>
      </c>
      <c r="BM1170" s="5">
        <f t="shared" si="1060"/>
        <v>0</v>
      </c>
      <c r="BN1170" s="5">
        <f t="shared" si="1054"/>
        <v>0</v>
      </c>
      <c r="BO1170" s="5">
        <f t="shared" si="1054"/>
        <v>0</v>
      </c>
      <c r="BP1170" s="5">
        <f t="shared" si="1054"/>
        <v>0</v>
      </c>
      <c r="BQ1170" s="5">
        <f t="shared" si="1054"/>
        <v>0</v>
      </c>
      <c r="BR1170" s="5">
        <f t="shared" si="1054"/>
        <v>0</v>
      </c>
      <c r="BS1170" s="5">
        <f t="shared" si="1054"/>
        <v>0</v>
      </c>
      <c r="BT1170" s="5">
        <f t="shared" si="1054"/>
        <v>0</v>
      </c>
      <c r="BU1170" s="5">
        <f t="shared" si="1054"/>
        <v>0</v>
      </c>
      <c r="BV1170" s="5">
        <f t="shared" si="1054"/>
        <v>0</v>
      </c>
      <c r="BW1170" s="5">
        <f t="shared" si="1054"/>
        <v>0</v>
      </c>
      <c r="BX1170" s="5">
        <f t="shared" si="1054"/>
        <v>0</v>
      </c>
      <c r="BY1170" s="5">
        <f t="shared" si="1054"/>
        <v>0</v>
      </c>
      <c r="BZ1170" s="5">
        <f t="shared" si="1054"/>
        <v>0</v>
      </c>
      <c r="CA1170" s="5">
        <f t="shared" si="1054"/>
        <v>0</v>
      </c>
      <c r="CB1170" s="5">
        <f t="shared" si="1054"/>
        <v>0</v>
      </c>
      <c r="CC1170" s="5">
        <f t="shared" si="1055"/>
        <v>0</v>
      </c>
      <c r="CD1170" s="5">
        <f t="shared" si="1055"/>
        <v>1</v>
      </c>
      <c r="CE1170" s="5">
        <f t="shared" si="1055"/>
        <v>0</v>
      </c>
    </row>
    <row r="1171" spans="1:83" x14ac:dyDescent="0.2">
      <c r="A1171" s="11"/>
      <c r="B1171" s="11"/>
      <c r="C1171" s="1">
        <f>Growth!D1176</f>
        <v>5.2287581699346436E-3</v>
      </c>
      <c r="D1171" s="5" t="b">
        <f t="shared" si="1038"/>
        <v>0</v>
      </c>
      <c r="E1171" s="5">
        <v>2014</v>
      </c>
      <c r="F1171" s="5">
        <f ca="1">LOOKUP($E1171,frequence!$A$2:$A$35,frequence!L$2:L$35)</f>
        <v>50.75383375536623</v>
      </c>
      <c r="G1171" s="5">
        <f ca="1">LOOKUP($E1171,frequence!$A$2:$A$35,frequence!K$2:K$35)</f>
        <v>9.9751715831189358</v>
      </c>
      <c r="H1171" s="5">
        <f ca="1">LOOKUP($E1171,frequence!$A$2:$A$35,frequence!M$2:M$35)</f>
        <v>236.05429056976001</v>
      </c>
      <c r="I1171" s="16">
        <v>2007</v>
      </c>
      <c r="J1171" s="7">
        <f>LOOKUP(I1171,CPI!A$69:A$103,CPI!O$69:O$103)</f>
        <v>1.0516730811895323</v>
      </c>
      <c r="K1171" s="16">
        <v>2015</v>
      </c>
      <c r="L1171" s="7">
        <f t="shared" ca="1" si="1056"/>
        <v>1</v>
      </c>
      <c r="M1171" s="7">
        <f t="shared" si="1047"/>
        <v>3.3464052287581723E-2</v>
      </c>
      <c r="N1171" s="14">
        <v>5.2287581699346436E-3</v>
      </c>
      <c r="O1171" s="1">
        <f ca="1">P1171*J1171*(1+Growth!G$6)^(2010-K1171)</f>
        <v>8.0130590091691865</v>
      </c>
      <c r="P1171">
        <v>8.2131661442006205</v>
      </c>
      <c r="Q1171" s="2">
        <f t="shared" si="1039"/>
        <v>8.2131661442006205</v>
      </c>
      <c r="R1171" s="21">
        <f t="shared" ca="1" si="1040"/>
        <v>64.209114684427462</v>
      </c>
      <c r="U1171" s="11"/>
      <c r="V1171" s="11"/>
      <c r="W1171" s="11"/>
      <c r="X1171" s="11"/>
      <c r="Y1171" s="11"/>
      <c r="Z1171" s="11"/>
      <c r="AA1171" s="11"/>
      <c r="AB1171" s="11"/>
      <c r="AC1171" s="1">
        <f t="shared" si="1048"/>
        <v>6.4</v>
      </c>
      <c r="AD1171" s="5">
        <v>1</v>
      </c>
      <c r="AE1171" s="5">
        <v>0</v>
      </c>
      <c r="AF1171" s="5">
        <v>1</v>
      </c>
      <c r="AG1171" s="5">
        <v>0</v>
      </c>
      <c r="AH1171" s="5">
        <v>1</v>
      </c>
      <c r="AI1171" s="3">
        <f t="shared" si="1049"/>
        <v>3.4</v>
      </c>
      <c r="AJ1171" s="5">
        <f t="shared" si="977"/>
        <v>0</v>
      </c>
      <c r="AK1171" s="5">
        <f t="shared" si="1057"/>
        <v>0</v>
      </c>
      <c r="AL1171" s="5">
        <f t="shared" si="1058"/>
        <v>0</v>
      </c>
      <c r="AM1171" s="5">
        <f t="shared" si="980"/>
        <v>0</v>
      </c>
      <c r="AN1171" s="5">
        <f t="shared" si="1059"/>
        <v>1</v>
      </c>
      <c r="AO1171" s="5">
        <f t="shared" si="981"/>
        <v>0</v>
      </c>
      <c r="AP1171" s="11" t="s">
        <v>42</v>
      </c>
      <c r="AQ1171" s="11">
        <v>0.1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1</v>
      </c>
      <c r="AY1171" s="1">
        <f t="shared" si="1050"/>
        <v>0</v>
      </c>
      <c r="AZ1171" s="1">
        <f t="shared" si="1051"/>
        <v>0</v>
      </c>
      <c r="BA1171" s="1">
        <f t="shared" si="1052"/>
        <v>0</v>
      </c>
      <c r="BB1171" s="5">
        <v>0</v>
      </c>
      <c r="BC1171" s="5">
        <v>0</v>
      </c>
      <c r="BD1171" s="5">
        <v>0</v>
      </c>
      <c r="BE1171" s="5">
        <f t="shared" si="1053"/>
        <v>1</v>
      </c>
      <c r="BF1171" s="5">
        <v>1</v>
      </c>
      <c r="BG1171" s="5">
        <f t="shared" si="1060"/>
        <v>0</v>
      </c>
      <c r="BH1171" s="5">
        <f t="shared" si="1060"/>
        <v>0</v>
      </c>
      <c r="BI1171" s="5">
        <f t="shared" si="1060"/>
        <v>0</v>
      </c>
      <c r="BJ1171" s="5">
        <f t="shared" si="1060"/>
        <v>0</v>
      </c>
      <c r="BK1171" s="5">
        <f t="shared" si="1060"/>
        <v>0</v>
      </c>
      <c r="BL1171" s="5">
        <f t="shared" si="1060"/>
        <v>0</v>
      </c>
      <c r="BM1171" s="5">
        <f t="shared" si="1060"/>
        <v>0</v>
      </c>
      <c r="BN1171" s="5">
        <f t="shared" si="1054"/>
        <v>0</v>
      </c>
      <c r="BO1171" s="5">
        <f t="shared" si="1054"/>
        <v>0</v>
      </c>
      <c r="BP1171" s="5">
        <f t="shared" si="1054"/>
        <v>0</v>
      </c>
      <c r="BQ1171" s="5">
        <f t="shared" si="1054"/>
        <v>0</v>
      </c>
      <c r="BR1171" s="5">
        <f t="shared" si="1054"/>
        <v>0</v>
      </c>
      <c r="BS1171" s="5">
        <f t="shared" si="1054"/>
        <v>0</v>
      </c>
      <c r="BT1171" s="5">
        <f t="shared" si="1054"/>
        <v>0</v>
      </c>
      <c r="BU1171" s="5">
        <f t="shared" si="1054"/>
        <v>0</v>
      </c>
      <c r="BV1171" s="5">
        <f t="shared" si="1054"/>
        <v>0</v>
      </c>
      <c r="BW1171" s="5">
        <f t="shared" si="1054"/>
        <v>0</v>
      </c>
      <c r="BX1171" s="5">
        <f t="shared" si="1054"/>
        <v>0</v>
      </c>
      <c r="BY1171" s="5">
        <f t="shared" si="1054"/>
        <v>0</v>
      </c>
      <c r="BZ1171" s="5">
        <f t="shared" si="1054"/>
        <v>0</v>
      </c>
      <c r="CA1171" s="5">
        <f t="shared" si="1054"/>
        <v>0</v>
      </c>
      <c r="CB1171" s="5">
        <f t="shared" ref="CB1171:CE1190" si="1061">IF($E1171=CB$2,1,0)</f>
        <v>0</v>
      </c>
      <c r="CC1171" s="5">
        <f t="shared" si="1055"/>
        <v>0</v>
      </c>
      <c r="CD1171" s="5">
        <f t="shared" si="1055"/>
        <v>1</v>
      </c>
      <c r="CE1171" s="5">
        <f t="shared" si="1055"/>
        <v>0</v>
      </c>
    </row>
    <row r="1172" spans="1:83" x14ac:dyDescent="0.2">
      <c r="A1172" s="11"/>
      <c r="B1172" s="11"/>
      <c r="C1172" s="1">
        <f>Growth!D1177</f>
        <v>4.2483660130718985E-3</v>
      </c>
      <c r="D1172" s="5" t="b">
        <f t="shared" si="1038"/>
        <v>0</v>
      </c>
      <c r="E1172" s="5">
        <v>2014</v>
      </c>
      <c r="F1172" s="5">
        <f ca="1">LOOKUP($E1172,frequence!$A$2:$A$35,frequence!L$2:L$35)</f>
        <v>50.75383375536623</v>
      </c>
      <c r="G1172" s="5">
        <f ca="1">LOOKUP($E1172,frequence!$A$2:$A$35,frequence!K$2:K$35)</f>
        <v>9.9751715831189358</v>
      </c>
      <c r="H1172" s="5">
        <f ca="1">LOOKUP($E1172,frequence!$A$2:$A$35,frequence!M$2:M$35)</f>
        <v>236.05429056976001</v>
      </c>
      <c r="I1172" s="16">
        <v>2007</v>
      </c>
      <c r="J1172" s="7">
        <f>LOOKUP(I1172,CPI!A$69:A$103,CPI!O$69:O$103)</f>
        <v>1.0516730811895323</v>
      </c>
      <c r="K1172" s="16">
        <v>2015</v>
      </c>
      <c r="L1172" s="7">
        <f t="shared" ca="1" si="1056"/>
        <v>1</v>
      </c>
      <c r="M1172" s="7">
        <f t="shared" si="1047"/>
        <v>2.7189542483660151E-2</v>
      </c>
      <c r="N1172" s="14">
        <v>4.2483660130718985E-3</v>
      </c>
      <c r="O1172" s="1">
        <f ca="1">P1172*J1172*(1+Growth!G$6)^(2010-K1172)</f>
        <v>7.2790383365735183</v>
      </c>
      <c r="P1172">
        <v>7.4608150470219199</v>
      </c>
      <c r="Q1172" s="2">
        <f t="shared" si="1039"/>
        <v>7.4608150470219199</v>
      </c>
      <c r="R1172" s="21">
        <f t="shared" ca="1" si="1040"/>
        <v>52.98439910530697</v>
      </c>
      <c r="U1172" s="11"/>
      <c r="V1172" s="11"/>
      <c r="W1172" s="11"/>
      <c r="X1172" s="11"/>
      <c r="Y1172" s="11"/>
      <c r="Z1172" s="11"/>
      <c r="AA1172" s="11"/>
      <c r="AB1172" s="11"/>
      <c r="AC1172" s="1">
        <f t="shared" si="1048"/>
        <v>6.4</v>
      </c>
      <c r="AD1172" s="5">
        <v>1</v>
      </c>
      <c r="AE1172" s="5">
        <v>0</v>
      </c>
      <c r="AF1172" s="5">
        <v>1</v>
      </c>
      <c r="AG1172" s="5">
        <v>0</v>
      </c>
      <c r="AH1172" s="5">
        <v>1</v>
      </c>
      <c r="AI1172" s="3">
        <f t="shared" si="1049"/>
        <v>3.4</v>
      </c>
      <c r="AJ1172" s="5">
        <f t="shared" si="977"/>
        <v>0</v>
      </c>
      <c r="AK1172" s="5">
        <f t="shared" si="1057"/>
        <v>0</v>
      </c>
      <c r="AL1172" s="5">
        <f t="shared" si="1058"/>
        <v>0</v>
      </c>
      <c r="AM1172" s="5">
        <f t="shared" si="980"/>
        <v>0</v>
      </c>
      <c r="AN1172" s="5">
        <f t="shared" si="1059"/>
        <v>1</v>
      </c>
      <c r="AO1172" s="5">
        <f t="shared" si="981"/>
        <v>0</v>
      </c>
      <c r="AP1172" s="11" t="s">
        <v>42</v>
      </c>
      <c r="AQ1172" s="11">
        <v>0.1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1</v>
      </c>
      <c r="AY1172" s="1">
        <f t="shared" si="1050"/>
        <v>0</v>
      </c>
      <c r="AZ1172" s="1">
        <f t="shared" si="1051"/>
        <v>0</v>
      </c>
      <c r="BA1172" s="1">
        <f t="shared" si="1052"/>
        <v>0</v>
      </c>
      <c r="BB1172" s="5">
        <v>0</v>
      </c>
      <c r="BC1172" s="5">
        <v>0</v>
      </c>
      <c r="BD1172" s="5">
        <v>0</v>
      </c>
      <c r="BE1172" s="5">
        <f t="shared" si="1053"/>
        <v>1</v>
      </c>
      <c r="BF1172" s="5">
        <v>1</v>
      </c>
      <c r="BG1172" s="5">
        <f t="shared" si="1060"/>
        <v>0</v>
      </c>
      <c r="BH1172" s="5">
        <f t="shared" si="1060"/>
        <v>0</v>
      </c>
      <c r="BI1172" s="5">
        <f t="shared" si="1060"/>
        <v>0</v>
      </c>
      <c r="BJ1172" s="5">
        <f t="shared" si="1060"/>
        <v>0</v>
      </c>
      <c r="BK1172" s="5">
        <f t="shared" si="1060"/>
        <v>0</v>
      </c>
      <c r="BL1172" s="5">
        <f t="shared" si="1060"/>
        <v>0</v>
      </c>
      <c r="BM1172" s="5">
        <f t="shared" si="1060"/>
        <v>0</v>
      </c>
      <c r="BN1172" s="5">
        <f t="shared" si="1060"/>
        <v>0</v>
      </c>
      <c r="BO1172" s="5">
        <f t="shared" ref="BO1172:CA1187" si="1062">IF($E1172=BO$2,1,0)</f>
        <v>0</v>
      </c>
      <c r="BP1172" s="5">
        <f t="shared" si="1062"/>
        <v>0</v>
      </c>
      <c r="BQ1172" s="5">
        <f t="shared" si="1062"/>
        <v>0</v>
      </c>
      <c r="BR1172" s="5">
        <f t="shared" si="1062"/>
        <v>0</v>
      </c>
      <c r="BS1172" s="5">
        <f t="shared" si="1062"/>
        <v>0</v>
      </c>
      <c r="BT1172" s="5">
        <f t="shared" si="1062"/>
        <v>0</v>
      </c>
      <c r="BU1172" s="5">
        <f t="shared" si="1062"/>
        <v>0</v>
      </c>
      <c r="BV1172" s="5">
        <f t="shared" si="1062"/>
        <v>0</v>
      </c>
      <c r="BW1172" s="5">
        <f t="shared" si="1062"/>
        <v>0</v>
      </c>
      <c r="BX1172" s="5">
        <f t="shared" si="1062"/>
        <v>0</v>
      </c>
      <c r="BY1172" s="5">
        <f t="shared" si="1062"/>
        <v>0</v>
      </c>
      <c r="BZ1172" s="5">
        <f t="shared" si="1062"/>
        <v>0</v>
      </c>
      <c r="CA1172" s="5">
        <f t="shared" si="1062"/>
        <v>0</v>
      </c>
      <c r="CB1172" s="5">
        <f t="shared" si="1061"/>
        <v>0</v>
      </c>
      <c r="CC1172" s="5">
        <f t="shared" si="1055"/>
        <v>0</v>
      </c>
      <c r="CD1172" s="5">
        <f t="shared" si="1055"/>
        <v>1</v>
      </c>
      <c r="CE1172" s="5">
        <f t="shared" si="1055"/>
        <v>0</v>
      </c>
    </row>
    <row r="1173" spans="1:83" x14ac:dyDescent="0.2">
      <c r="A1173" s="11"/>
      <c r="B1173" s="11"/>
      <c r="C1173" s="1">
        <f>Growth!D1178</f>
        <v>3.2679738562091504E-3</v>
      </c>
      <c r="D1173" s="5" t="b">
        <f t="shared" si="1038"/>
        <v>0</v>
      </c>
      <c r="E1173" s="5">
        <v>2014</v>
      </c>
      <c r="F1173" s="5">
        <f ca="1">LOOKUP($E1173,frequence!$A$2:$A$35,frequence!L$2:L$35)</f>
        <v>50.75383375536623</v>
      </c>
      <c r="G1173" s="5">
        <f ca="1">LOOKUP($E1173,frequence!$A$2:$A$35,frequence!K$2:K$35)</f>
        <v>9.9751715831189358</v>
      </c>
      <c r="H1173" s="5">
        <f ca="1">LOOKUP($E1173,frequence!$A$2:$A$35,frequence!M$2:M$35)</f>
        <v>236.05429056976001</v>
      </c>
      <c r="I1173" s="16">
        <v>2007</v>
      </c>
      <c r="J1173" s="7">
        <f>LOOKUP(I1173,CPI!A$69:A$103,CPI!O$69:O$103)</f>
        <v>1.0516730811895323</v>
      </c>
      <c r="K1173" s="16">
        <v>2015</v>
      </c>
      <c r="L1173" s="7">
        <f t="shared" ca="1" si="1056"/>
        <v>1</v>
      </c>
      <c r="M1173" s="7">
        <f t="shared" si="1047"/>
        <v>2.0915032679738564E-2</v>
      </c>
      <c r="N1173" s="14">
        <v>3.2679738562091504E-3</v>
      </c>
      <c r="O1173" s="1">
        <f ca="1">P1173*J1173*(1+Growth!G$6)^(2010-K1173)</f>
        <v>6.7896912215097531</v>
      </c>
      <c r="P1173">
        <v>6.9592476489028003</v>
      </c>
      <c r="Q1173" s="2">
        <f t="shared" si="1039"/>
        <v>6.9592476489028003</v>
      </c>
      <c r="R1173" s="21">
        <f t="shared" ca="1" si="1040"/>
        <v>46.0999068834466</v>
      </c>
      <c r="U1173" s="11"/>
      <c r="V1173" s="11"/>
      <c r="W1173" s="11"/>
      <c r="X1173" s="11"/>
      <c r="Y1173" s="11"/>
      <c r="Z1173" s="11"/>
      <c r="AA1173" s="11"/>
      <c r="AB1173" s="11"/>
      <c r="AC1173" s="1">
        <f t="shared" si="1048"/>
        <v>6.4</v>
      </c>
      <c r="AD1173" s="5">
        <v>1</v>
      </c>
      <c r="AE1173" s="5">
        <v>0</v>
      </c>
      <c r="AF1173" s="5">
        <v>1</v>
      </c>
      <c r="AG1173" s="5">
        <v>0</v>
      </c>
      <c r="AH1173" s="5">
        <v>1</v>
      </c>
      <c r="AI1173" s="3">
        <f t="shared" si="1049"/>
        <v>3.4</v>
      </c>
      <c r="AJ1173" s="5">
        <f t="shared" si="977"/>
        <v>0</v>
      </c>
      <c r="AK1173" s="5">
        <f t="shared" si="1057"/>
        <v>0</v>
      </c>
      <c r="AL1173" s="5">
        <f t="shared" si="1058"/>
        <v>0</v>
      </c>
      <c r="AM1173" s="5">
        <f t="shared" si="980"/>
        <v>0</v>
      </c>
      <c r="AN1173" s="5">
        <f t="shared" si="1059"/>
        <v>1</v>
      </c>
      <c r="AO1173" s="5">
        <f t="shared" si="981"/>
        <v>0</v>
      </c>
      <c r="AP1173" s="11" t="s">
        <v>42</v>
      </c>
      <c r="AQ1173" s="11">
        <v>0.1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1</v>
      </c>
      <c r="AY1173" s="1">
        <f t="shared" si="1050"/>
        <v>0</v>
      </c>
      <c r="AZ1173" s="1">
        <f t="shared" si="1051"/>
        <v>0</v>
      </c>
      <c r="BA1173" s="1">
        <f t="shared" si="1052"/>
        <v>0</v>
      </c>
      <c r="BB1173" s="5">
        <v>0</v>
      </c>
      <c r="BC1173" s="5">
        <v>0</v>
      </c>
      <c r="BD1173" s="5">
        <v>0</v>
      </c>
      <c r="BE1173" s="5">
        <f t="shared" si="1053"/>
        <v>1</v>
      </c>
      <c r="BF1173" s="5">
        <v>1</v>
      </c>
      <c r="BG1173" s="5">
        <f t="shared" ref="BG1173:BN1188" si="1063">IF($E1173=BG$2,1,0)</f>
        <v>0</v>
      </c>
      <c r="BH1173" s="5">
        <f t="shared" si="1063"/>
        <v>0</v>
      </c>
      <c r="BI1173" s="5">
        <f t="shared" si="1063"/>
        <v>0</v>
      </c>
      <c r="BJ1173" s="5">
        <f t="shared" si="1063"/>
        <v>0</v>
      </c>
      <c r="BK1173" s="5">
        <f t="shared" si="1063"/>
        <v>0</v>
      </c>
      <c r="BL1173" s="5">
        <f t="shared" si="1063"/>
        <v>0</v>
      </c>
      <c r="BM1173" s="5">
        <f t="shared" si="1063"/>
        <v>0</v>
      </c>
      <c r="BN1173" s="5">
        <f t="shared" si="1063"/>
        <v>0</v>
      </c>
      <c r="BO1173" s="5">
        <f t="shared" si="1062"/>
        <v>0</v>
      </c>
      <c r="BP1173" s="5">
        <f t="shared" si="1062"/>
        <v>0</v>
      </c>
      <c r="BQ1173" s="5">
        <f t="shared" si="1062"/>
        <v>0</v>
      </c>
      <c r="BR1173" s="5">
        <f t="shared" si="1062"/>
        <v>0</v>
      </c>
      <c r="BS1173" s="5">
        <f t="shared" si="1062"/>
        <v>0</v>
      </c>
      <c r="BT1173" s="5">
        <f t="shared" si="1062"/>
        <v>0</v>
      </c>
      <c r="BU1173" s="5">
        <f t="shared" si="1062"/>
        <v>0</v>
      </c>
      <c r="BV1173" s="5">
        <f t="shared" si="1062"/>
        <v>0</v>
      </c>
      <c r="BW1173" s="5">
        <f t="shared" si="1062"/>
        <v>0</v>
      </c>
      <c r="BX1173" s="5">
        <f t="shared" si="1062"/>
        <v>0</v>
      </c>
      <c r="BY1173" s="5">
        <f t="shared" si="1062"/>
        <v>0</v>
      </c>
      <c r="BZ1173" s="5">
        <f t="shared" si="1062"/>
        <v>0</v>
      </c>
      <c r="CA1173" s="5">
        <f t="shared" si="1062"/>
        <v>0</v>
      </c>
      <c r="CB1173" s="5">
        <f t="shared" si="1061"/>
        <v>0</v>
      </c>
      <c r="CC1173" s="5">
        <f t="shared" si="1055"/>
        <v>0</v>
      </c>
      <c r="CD1173" s="5">
        <f t="shared" si="1055"/>
        <v>1</v>
      </c>
      <c r="CE1173" s="5">
        <f t="shared" si="1055"/>
        <v>0</v>
      </c>
    </row>
    <row r="1174" spans="1:83" x14ac:dyDescent="0.2">
      <c r="A1174" s="11"/>
      <c r="B1174" s="11"/>
      <c r="C1174" s="1">
        <f>Growth!D1179</f>
        <v>1.3071895424836602E-2</v>
      </c>
      <c r="D1174" s="5" t="b">
        <f t="shared" si="1038"/>
        <v>0</v>
      </c>
      <c r="E1174" s="5">
        <v>2014</v>
      </c>
      <c r="F1174" s="5">
        <f ca="1">LOOKUP($E1174,frequence!$A$2:$A$35,frequence!L$2:L$35)</f>
        <v>50.75383375536623</v>
      </c>
      <c r="G1174" s="5">
        <f ca="1">LOOKUP($E1174,frequence!$A$2:$A$35,frequence!K$2:K$35)</f>
        <v>9.9751715831189358</v>
      </c>
      <c r="H1174" s="5">
        <f ca="1">LOOKUP($E1174,frequence!$A$2:$A$35,frequence!M$2:M$35)</f>
        <v>236.05429056976001</v>
      </c>
      <c r="I1174" s="16">
        <v>2007</v>
      </c>
      <c r="J1174" s="7">
        <f>LOOKUP(I1174,CPI!A$69:A$103,CPI!O$69:O$103)</f>
        <v>1.0516730811895323</v>
      </c>
      <c r="K1174" s="16">
        <v>2015</v>
      </c>
      <c r="L1174" s="7">
        <f t="shared" ca="1" si="1056"/>
        <v>1</v>
      </c>
      <c r="M1174" s="7">
        <f t="shared" si="1047"/>
        <v>8.3660130718954256E-2</v>
      </c>
      <c r="N1174" s="14">
        <v>1.3071895424836602E-2</v>
      </c>
      <c r="O1174" s="1">
        <f ca="1">P1174*J1174*(1+Growth!G$6)^(2010-K1174)</f>
        <v>71.383510409927027</v>
      </c>
      <c r="P1174">
        <v>73.166144200626903</v>
      </c>
      <c r="Q1174" s="2">
        <f t="shared" si="1039"/>
        <v>73.166144200626903</v>
      </c>
      <c r="R1174" s="21">
        <f t="shared" ca="1" si="1040"/>
        <v>5095.6055584441601</v>
      </c>
      <c r="U1174" s="11"/>
      <c r="V1174" s="11"/>
      <c r="W1174" s="11"/>
      <c r="X1174" s="11"/>
      <c r="Y1174" s="11"/>
      <c r="Z1174" s="11"/>
      <c r="AA1174" s="11"/>
      <c r="AB1174" s="11"/>
      <c r="AC1174" s="1">
        <f t="shared" si="1048"/>
        <v>6.4</v>
      </c>
      <c r="AD1174" s="5">
        <v>1</v>
      </c>
      <c r="AE1174" s="5">
        <v>0</v>
      </c>
      <c r="AF1174" s="5">
        <v>1</v>
      </c>
      <c r="AG1174" s="5">
        <v>0</v>
      </c>
      <c r="AH1174" s="5">
        <v>1</v>
      </c>
      <c r="AI1174" s="3">
        <f t="shared" si="1049"/>
        <v>3.4</v>
      </c>
      <c r="AJ1174" s="5">
        <f t="shared" si="977"/>
        <v>0</v>
      </c>
      <c r="AK1174" s="5">
        <f t="shared" si="1057"/>
        <v>0</v>
      </c>
      <c r="AL1174" s="5">
        <f t="shared" si="1058"/>
        <v>0</v>
      </c>
      <c r="AM1174" s="5">
        <f t="shared" si="980"/>
        <v>0</v>
      </c>
      <c r="AN1174" s="5">
        <f t="shared" si="1059"/>
        <v>0</v>
      </c>
      <c r="AO1174" s="5">
        <f t="shared" si="981"/>
        <v>0</v>
      </c>
      <c r="AP1174" s="11" t="s">
        <v>42</v>
      </c>
      <c r="AQ1174" s="11" t="s">
        <v>42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1</v>
      </c>
      <c r="AY1174" s="1">
        <f t="shared" si="1050"/>
        <v>0</v>
      </c>
      <c r="AZ1174" s="1">
        <f t="shared" si="1051"/>
        <v>0</v>
      </c>
      <c r="BA1174" s="1">
        <f t="shared" si="1052"/>
        <v>0</v>
      </c>
      <c r="BB1174" s="5">
        <v>0</v>
      </c>
      <c r="BC1174" s="5">
        <v>0</v>
      </c>
      <c r="BD1174" s="5">
        <v>0</v>
      </c>
      <c r="BE1174" s="5">
        <f t="shared" si="1053"/>
        <v>1</v>
      </c>
      <c r="BF1174" s="5">
        <v>1</v>
      </c>
      <c r="BG1174" s="5">
        <f t="shared" si="1063"/>
        <v>0</v>
      </c>
      <c r="BH1174" s="5">
        <f t="shared" si="1063"/>
        <v>0</v>
      </c>
      <c r="BI1174" s="5">
        <f t="shared" si="1063"/>
        <v>0</v>
      </c>
      <c r="BJ1174" s="5">
        <f t="shared" si="1063"/>
        <v>0</v>
      </c>
      <c r="BK1174" s="5">
        <f t="shared" si="1063"/>
        <v>0</v>
      </c>
      <c r="BL1174" s="5">
        <f t="shared" si="1063"/>
        <v>0</v>
      </c>
      <c r="BM1174" s="5">
        <f t="shared" si="1063"/>
        <v>0</v>
      </c>
      <c r="BN1174" s="5">
        <f t="shared" si="1063"/>
        <v>0</v>
      </c>
      <c r="BO1174" s="5">
        <f t="shared" si="1062"/>
        <v>0</v>
      </c>
      <c r="BP1174" s="5">
        <f t="shared" si="1062"/>
        <v>0</v>
      </c>
      <c r="BQ1174" s="5">
        <f t="shared" si="1062"/>
        <v>0</v>
      </c>
      <c r="BR1174" s="5">
        <f t="shared" si="1062"/>
        <v>0</v>
      </c>
      <c r="BS1174" s="5">
        <f t="shared" si="1062"/>
        <v>0</v>
      </c>
      <c r="BT1174" s="5">
        <f t="shared" si="1062"/>
        <v>0</v>
      </c>
      <c r="BU1174" s="5">
        <f t="shared" si="1062"/>
        <v>0</v>
      </c>
      <c r="BV1174" s="5">
        <f t="shared" si="1062"/>
        <v>0</v>
      </c>
      <c r="BW1174" s="5">
        <f t="shared" si="1062"/>
        <v>0</v>
      </c>
      <c r="BX1174" s="5">
        <f t="shared" si="1062"/>
        <v>0</v>
      </c>
      <c r="BY1174" s="5">
        <f t="shared" si="1062"/>
        <v>0</v>
      </c>
      <c r="BZ1174" s="5">
        <f t="shared" si="1062"/>
        <v>0</v>
      </c>
      <c r="CA1174" s="5">
        <f t="shared" si="1062"/>
        <v>0</v>
      </c>
      <c r="CB1174" s="5">
        <f t="shared" si="1061"/>
        <v>0</v>
      </c>
      <c r="CC1174" s="5">
        <f t="shared" si="1055"/>
        <v>0</v>
      </c>
      <c r="CD1174" s="5">
        <f t="shared" si="1055"/>
        <v>1</v>
      </c>
      <c r="CE1174" s="5">
        <f t="shared" si="1055"/>
        <v>0</v>
      </c>
    </row>
    <row r="1175" spans="1:83" x14ac:dyDescent="0.2">
      <c r="A1175" s="11"/>
      <c r="B1175" s="11"/>
      <c r="C1175" s="1">
        <f>Growth!D1180</f>
        <v>1.6993464052287584E-2</v>
      </c>
      <c r="D1175" s="5" t="b">
        <f t="shared" si="1038"/>
        <v>0</v>
      </c>
      <c r="E1175" s="5">
        <v>2014</v>
      </c>
      <c r="F1175" s="5">
        <f ca="1">LOOKUP($E1175,frequence!$A$2:$A$35,frequence!L$2:L$35)</f>
        <v>50.75383375536623</v>
      </c>
      <c r="G1175" s="5">
        <f ca="1">LOOKUP($E1175,frequence!$A$2:$A$35,frequence!K$2:K$35)</f>
        <v>9.9751715831189358</v>
      </c>
      <c r="H1175" s="5">
        <f ca="1">LOOKUP($E1175,frequence!$A$2:$A$35,frequence!M$2:M$35)</f>
        <v>236.05429056976001</v>
      </c>
      <c r="I1175" s="16">
        <v>2007</v>
      </c>
      <c r="J1175" s="7">
        <f>LOOKUP(I1175,CPI!A$69:A$103,CPI!O$69:O$103)</f>
        <v>1.0516730811895323</v>
      </c>
      <c r="K1175" s="16">
        <v>2015</v>
      </c>
      <c r="L1175" s="7">
        <f t="shared" ca="1" si="1056"/>
        <v>1</v>
      </c>
      <c r="M1175" s="7">
        <f t="shared" si="1047"/>
        <v>0.10875816993464055</v>
      </c>
      <c r="N1175" s="14">
        <v>1.6993464052287584E-2</v>
      </c>
      <c r="O1175" s="1">
        <f ca="1">P1175*J1175*(1+Growth!G$6)^(2010-K1175)</f>
        <v>56.947770515545891</v>
      </c>
      <c r="P1175">
        <v>58.369905956112802</v>
      </c>
      <c r="Q1175" s="2">
        <f t="shared" si="1039"/>
        <v>58.369905956112802</v>
      </c>
      <c r="R1175" s="21">
        <f t="shared" ca="1" si="1040"/>
        <v>3243.0485666912778</v>
      </c>
      <c r="U1175" s="11"/>
      <c r="V1175" s="11"/>
      <c r="W1175" s="11"/>
      <c r="X1175" s="11"/>
      <c r="Y1175" s="11"/>
      <c r="Z1175" s="11"/>
      <c r="AA1175" s="11"/>
      <c r="AB1175" s="11"/>
      <c r="AC1175" s="1">
        <f t="shared" si="1048"/>
        <v>6.4</v>
      </c>
      <c r="AD1175" s="5">
        <v>1</v>
      </c>
      <c r="AE1175" s="5">
        <v>0</v>
      </c>
      <c r="AF1175" s="5">
        <v>1</v>
      </c>
      <c r="AG1175" s="5">
        <v>0</v>
      </c>
      <c r="AH1175" s="5">
        <v>1</v>
      </c>
      <c r="AI1175" s="3">
        <f t="shared" si="1049"/>
        <v>3.4</v>
      </c>
      <c r="AJ1175" s="5">
        <f t="shared" ref="AJ1175:AJ1216" si="1064">IF($AQ1175=3,1,0)</f>
        <v>0</v>
      </c>
      <c r="AK1175" s="5">
        <f t="shared" si="1057"/>
        <v>0</v>
      </c>
      <c r="AL1175" s="5">
        <f t="shared" si="1058"/>
        <v>0</v>
      </c>
      <c r="AM1175" s="5">
        <f t="shared" si="980"/>
        <v>0</v>
      </c>
      <c r="AN1175" s="5">
        <f t="shared" si="1059"/>
        <v>0</v>
      </c>
      <c r="AO1175" s="5">
        <f t="shared" si="981"/>
        <v>0</v>
      </c>
      <c r="AP1175" s="11" t="s">
        <v>42</v>
      </c>
      <c r="AQ1175" s="11" t="s">
        <v>42</v>
      </c>
      <c r="AR1175" s="5">
        <v>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1</v>
      </c>
      <c r="AY1175" s="1">
        <f t="shared" si="1050"/>
        <v>0</v>
      </c>
      <c r="AZ1175" s="1">
        <f t="shared" si="1051"/>
        <v>0</v>
      </c>
      <c r="BA1175" s="1">
        <f t="shared" si="1052"/>
        <v>0</v>
      </c>
      <c r="BB1175" s="5">
        <v>0</v>
      </c>
      <c r="BC1175" s="5">
        <v>0</v>
      </c>
      <c r="BD1175" s="5">
        <v>0</v>
      </c>
      <c r="BE1175" s="5">
        <f t="shared" si="1053"/>
        <v>1</v>
      </c>
      <c r="BF1175" s="5">
        <v>1</v>
      </c>
      <c r="BG1175" s="5">
        <f t="shared" si="1063"/>
        <v>0</v>
      </c>
      <c r="BH1175" s="5">
        <f t="shared" si="1063"/>
        <v>0</v>
      </c>
      <c r="BI1175" s="5">
        <f t="shared" si="1063"/>
        <v>0</v>
      </c>
      <c r="BJ1175" s="5">
        <f t="shared" si="1063"/>
        <v>0</v>
      </c>
      <c r="BK1175" s="5">
        <f t="shared" si="1063"/>
        <v>0</v>
      </c>
      <c r="BL1175" s="5">
        <f t="shared" si="1063"/>
        <v>0</v>
      </c>
      <c r="BM1175" s="5">
        <f t="shared" si="1063"/>
        <v>0</v>
      </c>
      <c r="BN1175" s="5">
        <f t="shared" si="1063"/>
        <v>0</v>
      </c>
      <c r="BO1175" s="5">
        <f t="shared" si="1062"/>
        <v>0</v>
      </c>
      <c r="BP1175" s="5">
        <f t="shared" si="1062"/>
        <v>0</v>
      </c>
      <c r="BQ1175" s="5">
        <f t="shared" si="1062"/>
        <v>0</v>
      </c>
      <c r="BR1175" s="5">
        <f t="shared" si="1062"/>
        <v>0</v>
      </c>
      <c r="BS1175" s="5">
        <f t="shared" si="1062"/>
        <v>0</v>
      </c>
      <c r="BT1175" s="5">
        <f t="shared" si="1062"/>
        <v>0</v>
      </c>
      <c r="BU1175" s="5">
        <f t="shared" si="1062"/>
        <v>0</v>
      </c>
      <c r="BV1175" s="5">
        <f t="shared" si="1062"/>
        <v>0</v>
      </c>
      <c r="BW1175" s="5">
        <f t="shared" si="1062"/>
        <v>0</v>
      </c>
      <c r="BX1175" s="5">
        <f t="shared" si="1062"/>
        <v>0</v>
      </c>
      <c r="BY1175" s="5">
        <f t="shared" si="1062"/>
        <v>0</v>
      </c>
      <c r="BZ1175" s="5">
        <f t="shared" si="1062"/>
        <v>0</v>
      </c>
      <c r="CA1175" s="5">
        <f t="shared" si="1062"/>
        <v>0</v>
      </c>
      <c r="CB1175" s="5">
        <f t="shared" si="1061"/>
        <v>0</v>
      </c>
      <c r="CC1175" s="5">
        <f t="shared" si="1055"/>
        <v>0</v>
      </c>
      <c r="CD1175" s="5">
        <f t="shared" si="1055"/>
        <v>1</v>
      </c>
      <c r="CE1175" s="5">
        <f t="shared" si="1055"/>
        <v>0</v>
      </c>
    </row>
    <row r="1176" spans="1:83" x14ac:dyDescent="0.2">
      <c r="A1176" s="11"/>
      <c r="B1176" s="11"/>
      <c r="C1176" s="1">
        <f>Growth!D1181</f>
        <v>2.0915032679738564E-2</v>
      </c>
      <c r="D1176" s="5" t="b">
        <f t="shared" si="1038"/>
        <v>0</v>
      </c>
      <c r="E1176" s="5">
        <v>2014</v>
      </c>
      <c r="F1176" s="5">
        <f ca="1">LOOKUP($E1176,frequence!$A$2:$A$35,frequence!L$2:L$35)</f>
        <v>50.75383375536623</v>
      </c>
      <c r="G1176" s="5">
        <f ca="1">LOOKUP($E1176,frequence!$A$2:$A$35,frequence!K$2:K$35)</f>
        <v>9.9751715831189358</v>
      </c>
      <c r="H1176" s="5">
        <f ca="1">LOOKUP($E1176,frequence!$A$2:$A$35,frequence!M$2:M$35)</f>
        <v>236.05429056976001</v>
      </c>
      <c r="I1176" s="16">
        <v>2007</v>
      </c>
      <c r="J1176" s="7">
        <f>LOOKUP(I1176,CPI!A$69:A$103,CPI!O$69:O$103)</f>
        <v>1.0516730811895323</v>
      </c>
      <c r="K1176" s="16">
        <v>2015</v>
      </c>
      <c r="L1176" s="7">
        <f t="shared" ca="1" si="1056"/>
        <v>1</v>
      </c>
      <c r="M1176" s="7">
        <f t="shared" si="1047"/>
        <v>0.13385620915032681</v>
      </c>
      <c r="N1176" s="14">
        <v>2.0915032679738564E-2</v>
      </c>
      <c r="O1176" s="1">
        <f ca="1">P1176*J1176*(1+Growth!G$6)^(2010-K1176)</f>
        <v>46.182133984142993</v>
      </c>
      <c r="P1176">
        <v>47.335423197492098</v>
      </c>
      <c r="Q1176" s="2">
        <f t="shared" si="1039"/>
        <v>47.335423197492098</v>
      </c>
      <c r="R1176" s="21">
        <f t="shared" ca="1" si="1040"/>
        <v>2132.7894993293353</v>
      </c>
      <c r="U1176" s="11"/>
      <c r="V1176" s="11"/>
      <c r="W1176" s="11"/>
      <c r="X1176" s="11"/>
      <c r="Y1176" s="11"/>
      <c r="Z1176" s="11"/>
      <c r="AA1176" s="11"/>
      <c r="AB1176" s="11"/>
      <c r="AC1176" s="1">
        <f t="shared" si="1048"/>
        <v>6.4</v>
      </c>
      <c r="AD1176" s="5">
        <v>1</v>
      </c>
      <c r="AE1176" s="5">
        <v>0</v>
      </c>
      <c r="AF1176" s="5">
        <v>1</v>
      </c>
      <c r="AG1176" s="5">
        <v>0</v>
      </c>
      <c r="AH1176" s="5">
        <v>1</v>
      </c>
      <c r="AI1176" s="3">
        <f t="shared" si="1049"/>
        <v>3.4</v>
      </c>
      <c r="AJ1176" s="5">
        <f t="shared" si="1064"/>
        <v>0</v>
      </c>
      <c r="AK1176" s="5">
        <f t="shared" si="1057"/>
        <v>0</v>
      </c>
      <c r="AL1176" s="5">
        <f t="shared" si="1058"/>
        <v>0</v>
      </c>
      <c r="AM1176" s="5">
        <f t="shared" si="980"/>
        <v>0</v>
      </c>
      <c r="AN1176" s="5">
        <f t="shared" si="1059"/>
        <v>0</v>
      </c>
      <c r="AO1176" s="5">
        <f t="shared" si="981"/>
        <v>0</v>
      </c>
      <c r="AP1176" s="11" t="s">
        <v>42</v>
      </c>
      <c r="AQ1176" s="11" t="s">
        <v>42</v>
      </c>
      <c r="AR1176" s="5">
        <v>0</v>
      </c>
      <c r="AS1176" s="5">
        <v>0</v>
      </c>
      <c r="AT1176" s="5">
        <v>0</v>
      </c>
      <c r="AU1176" s="5">
        <v>0</v>
      </c>
      <c r="AV1176" s="5">
        <v>0</v>
      </c>
      <c r="AW1176" s="5">
        <v>0</v>
      </c>
      <c r="AX1176" s="5">
        <v>1</v>
      </c>
      <c r="AY1176" s="1">
        <f t="shared" si="1050"/>
        <v>0</v>
      </c>
      <c r="AZ1176" s="1">
        <f t="shared" si="1051"/>
        <v>0</v>
      </c>
      <c r="BA1176" s="1">
        <f t="shared" si="1052"/>
        <v>0</v>
      </c>
      <c r="BB1176" s="5">
        <v>0</v>
      </c>
      <c r="BC1176" s="5">
        <v>0</v>
      </c>
      <c r="BD1176" s="5">
        <v>0</v>
      </c>
      <c r="BE1176" s="5">
        <f t="shared" si="1053"/>
        <v>1</v>
      </c>
      <c r="BF1176" s="5">
        <v>1</v>
      </c>
      <c r="BG1176" s="5">
        <f t="shared" si="1063"/>
        <v>0</v>
      </c>
      <c r="BH1176" s="5">
        <f t="shared" si="1063"/>
        <v>0</v>
      </c>
      <c r="BI1176" s="5">
        <f t="shared" si="1063"/>
        <v>0</v>
      </c>
      <c r="BJ1176" s="5">
        <f t="shared" si="1063"/>
        <v>0</v>
      </c>
      <c r="BK1176" s="5">
        <f t="shared" si="1063"/>
        <v>0</v>
      </c>
      <c r="BL1176" s="5">
        <f t="shared" si="1063"/>
        <v>0</v>
      </c>
      <c r="BM1176" s="5">
        <f t="shared" si="1063"/>
        <v>0</v>
      </c>
      <c r="BN1176" s="5">
        <f t="shared" si="1063"/>
        <v>0</v>
      </c>
      <c r="BO1176" s="5">
        <f t="shared" si="1062"/>
        <v>0</v>
      </c>
      <c r="BP1176" s="5">
        <f t="shared" si="1062"/>
        <v>0</v>
      </c>
      <c r="BQ1176" s="5">
        <f t="shared" si="1062"/>
        <v>0</v>
      </c>
      <c r="BR1176" s="5">
        <f t="shared" si="1062"/>
        <v>0</v>
      </c>
      <c r="BS1176" s="5">
        <f t="shared" si="1062"/>
        <v>0</v>
      </c>
      <c r="BT1176" s="5">
        <f t="shared" si="1062"/>
        <v>0</v>
      </c>
      <c r="BU1176" s="5">
        <f t="shared" si="1062"/>
        <v>0</v>
      </c>
      <c r="BV1176" s="5">
        <f t="shared" si="1062"/>
        <v>0</v>
      </c>
      <c r="BW1176" s="5">
        <f t="shared" si="1062"/>
        <v>0</v>
      </c>
      <c r="BX1176" s="5">
        <f t="shared" si="1062"/>
        <v>0</v>
      </c>
      <c r="BY1176" s="5">
        <f t="shared" si="1062"/>
        <v>0</v>
      </c>
      <c r="BZ1176" s="5">
        <f t="shared" si="1062"/>
        <v>0</v>
      </c>
      <c r="CA1176" s="5">
        <f t="shared" si="1062"/>
        <v>0</v>
      </c>
      <c r="CB1176" s="5">
        <f t="shared" si="1061"/>
        <v>0</v>
      </c>
      <c r="CC1176" s="5">
        <f t="shared" si="1061"/>
        <v>0</v>
      </c>
      <c r="CD1176" s="5">
        <f t="shared" si="1061"/>
        <v>1</v>
      </c>
      <c r="CE1176" s="5">
        <f t="shared" si="1061"/>
        <v>0</v>
      </c>
    </row>
    <row r="1177" spans="1:83" x14ac:dyDescent="0.2">
      <c r="A1177" s="11"/>
      <c r="B1177" s="11"/>
      <c r="C1177" s="1">
        <f>Growth!D1182</f>
        <v>2.4836601307189544E-2</v>
      </c>
      <c r="D1177" s="5" t="b">
        <f t="shared" si="1038"/>
        <v>0</v>
      </c>
      <c r="E1177" s="5">
        <v>2014</v>
      </c>
      <c r="F1177" s="5">
        <f ca="1">LOOKUP($E1177,frequence!$A$2:$A$35,frequence!L$2:L$35)</f>
        <v>50.75383375536623</v>
      </c>
      <c r="G1177" s="5">
        <f ca="1">LOOKUP($E1177,frequence!$A$2:$A$35,frequence!K$2:K$35)</f>
        <v>9.9751715831189358</v>
      </c>
      <c r="H1177" s="5">
        <f ca="1">LOOKUP($E1177,frequence!$A$2:$A$35,frequence!M$2:M$35)</f>
        <v>236.05429056976001</v>
      </c>
      <c r="I1177" s="16">
        <v>2007</v>
      </c>
      <c r="J1177" s="7">
        <f>LOOKUP(I1177,CPI!A$69:A$103,CPI!O$69:O$103)</f>
        <v>1.0516730811895323</v>
      </c>
      <c r="K1177" s="16">
        <v>2015</v>
      </c>
      <c r="L1177" s="7">
        <f t="shared" ca="1" si="1056"/>
        <v>1</v>
      </c>
      <c r="M1177" s="7">
        <f t="shared" si="1047"/>
        <v>0.1589542483660131</v>
      </c>
      <c r="N1177" s="14">
        <v>2.4836601307189544E-2</v>
      </c>
      <c r="O1177" s="1">
        <f ca="1">P1177*J1177*(1+Growth!G$6)^(2010-K1177)</f>
        <v>38.107906585590854</v>
      </c>
      <c r="P1177">
        <v>39.059561128526603</v>
      </c>
      <c r="Q1177" s="2">
        <f t="shared" si="1039"/>
        <v>39.059561128526603</v>
      </c>
      <c r="R1177" s="21">
        <f t="shared" ca="1" si="1040"/>
        <v>1452.2125443361188</v>
      </c>
      <c r="U1177" s="11"/>
      <c r="V1177" s="11"/>
      <c r="W1177" s="11"/>
      <c r="X1177" s="11"/>
      <c r="Y1177" s="11"/>
      <c r="Z1177" s="11"/>
      <c r="AA1177" s="11"/>
      <c r="AB1177" s="11"/>
      <c r="AC1177" s="1">
        <f t="shared" si="1048"/>
        <v>6.4</v>
      </c>
      <c r="AD1177" s="5">
        <v>1</v>
      </c>
      <c r="AE1177" s="5">
        <v>0</v>
      </c>
      <c r="AF1177" s="5">
        <v>1</v>
      </c>
      <c r="AG1177" s="5">
        <v>0</v>
      </c>
      <c r="AH1177" s="5">
        <v>1</v>
      </c>
      <c r="AI1177" s="3">
        <f t="shared" si="1049"/>
        <v>3.4</v>
      </c>
      <c r="AJ1177" s="5">
        <f t="shared" si="1064"/>
        <v>0</v>
      </c>
      <c r="AK1177" s="5">
        <f t="shared" si="1057"/>
        <v>0</v>
      </c>
      <c r="AL1177" s="5">
        <f t="shared" si="1058"/>
        <v>0</v>
      </c>
      <c r="AM1177" s="5">
        <f t="shared" si="980"/>
        <v>0</v>
      </c>
      <c r="AN1177" s="5">
        <f t="shared" si="1059"/>
        <v>0</v>
      </c>
      <c r="AO1177" s="5">
        <f t="shared" si="981"/>
        <v>0</v>
      </c>
      <c r="AP1177" s="11" t="s">
        <v>42</v>
      </c>
      <c r="AQ1177" s="11" t="s">
        <v>42</v>
      </c>
      <c r="AR1177" s="5">
        <v>0</v>
      </c>
      <c r="AS1177" s="5">
        <v>0</v>
      </c>
      <c r="AT1177" s="5">
        <v>0</v>
      </c>
      <c r="AU1177" s="5">
        <v>0</v>
      </c>
      <c r="AV1177" s="5">
        <v>0</v>
      </c>
      <c r="AW1177" s="5">
        <v>0</v>
      </c>
      <c r="AX1177" s="5">
        <v>1</v>
      </c>
      <c r="AY1177" s="1">
        <f t="shared" si="1050"/>
        <v>0</v>
      </c>
      <c r="AZ1177" s="1">
        <f t="shared" si="1051"/>
        <v>0</v>
      </c>
      <c r="BA1177" s="1">
        <f t="shared" si="1052"/>
        <v>0</v>
      </c>
      <c r="BB1177" s="5">
        <v>0</v>
      </c>
      <c r="BC1177" s="5">
        <v>0</v>
      </c>
      <c r="BD1177" s="5">
        <v>0</v>
      </c>
      <c r="BE1177" s="5">
        <f t="shared" si="1053"/>
        <v>1</v>
      </c>
      <c r="BF1177" s="5">
        <v>1</v>
      </c>
      <c r="BG1177" s="5">
        <f t="shared" si="1063"/>
        <v>0</v>
      </c>
      <c r="BH1177" s="5">
        <f t="shared" si="1063"/>
        <v>0</v>
      </c>
      <c r="BI1177" s="5">
        <f t="shared" si="1063"/>
        <v>0</v>
      </c>
      <c r="BJ1177" s="5">
        <f t="shared" si="1063"/>
        <v>0</v>
      </c>
      <c r="BK1177" s="5">
        <f t="shared" si="1063"/>
        <v>0</v>
      </c>
      <c r="BL1177" s="5">
        <f t="shared" si="1063"/>
        <v>0</v>
      </c>
      <c r="BM1177" s="5">
        <f t="shared" si="1063"/>
        <v>0</v>
      </c>
      <c r="BN1177" s="5">
        <f t="shared" si="1063"/>
        <v>0</v>
      </c>
      <c r="BO1177" s="5">
        <f t="shared" si="1062"/>
        <v>0</v>
      </c>
      <c r="BP1177" s="5">
        <f t="shared" si="1062"/>
        <v>0</v>
      </c>
      <c r="BQ1177" s="5">
        <f t="shared" si="1062"/>
        <v>0</v>
      </c>
      <c r="BR1177" s="5">
        <f t="shared" si="1062"/>
        <v>0</v>
      </c>
      <c r="BS1177" s="5">
        <f t="shared" si="1062"/>
        <v>0</v>
      </c>
      <c r="BT1177" s="5">
        <f t="shared" si="1062"/>
        <v>0</v>
      </c>
      <c r="BU1177" s="5">
        <f t="shared" si="1062"/>
        <v>0</v>
      </c>
      <c r="BV1177" s="5">
        <f t="shared" si="1062"/>
        <v>0</v>
      </c>
      <c r="BW1177" s="5">
        <f t="shared" si="1062"/>
        <v>0</v>
      </c>
      <c r="BX1177" s="5">
        <f t="shared" si="1062"/>
        <v>0</v>
      </c>
      <c r="BY1177" s="5">
        <f t="shared" si="1062"/>
        <v>0</v>
      </c>
      <c r="BZ1177" s="5">
        <f t="shared" si="1062"/>
        <v>0</v>
      </c>
      <c r="CA1177" s="5">
        <f t="shared" si="1062"/>
        <v>0</v>
      </c>
      <c r="CB1177" s="5">
        <f t="shared" si="1061"/>
        <v>0</v>
      </c>
      <c r="CC1177" s="5">
        <f t="shared" si="1061"/>
        <v>0</v>
      </c>
      <c r="CD1177" s="5">
        <f t="shared" si="1061"/>
        <v>1</v>
      </c>
      <c r="CE1177" s="5">
        <f t="shared" si="1061"/>
        <v>0</v>
      </c>
    </row>
    <row r="1178" spans="1:83" x14ac:dyDescent="0.2">
      <c r="A1178" s="11"/>
      <c r="B1178" s="11"/>
      <c r="C1178" s="1">
        <f>Growth!D1183</f>
        <v>2.8758169934640525E-2</v>
      </c>
      <c r="D1178" s="5" t="b">
        <f t="shared" si="1038"/>
        <v>0</v>
      </c>
      <c r="E1178" s="5">
        <v>2014</v>
      </c>
      <c r="F1178" s="5">
        <f ca="1">LOOKUP($E1178,frequence!$A$2:$A$35,frequence!L$2:L$35)</f>
        <v>50.75383375536623</v>
      </c>
      <c r="G1178" s="5">
        <f ca="1">LOOKUP($E1178,frequence!$A$2:$A$35,frequence!K$2:K$35)</f>
        <v>9.9751715831189358</v>
      </c>
      <c r="H1178" s="5">
        <f ca="1">LOOKUP($E1178,frequence!$A$2:$A$35,frequence!M$2:M$35)</f>
        <v>236.05429056976001</v>
      </c>
      <c r="I1178" s="16">
        <v>2007</v>
      </c>
      <c r="J1178" s="7">
        <f>LOOKUP(I1178,CPI!A$69:A$103,CPI!O$69:O$103)</f>
        <v>1.0516730811895323</v>
      </c>
      <c r="K1178" s="16">
        <v>2015</v>
      </c>
      <c r="L1178" s="7">
        <f t="shared" ca="1" si="1056"/>
        <v>1</v>
      </c>
      <c r="M1178" s="7">
        <f t="shared" si="1047"/>
        <v>0.18405228758169936</v>
      </c>
      <c r="N1178" s="14">
        <v>2.8758169934640525E-2</v>
      </c>
      <c r="O1178" s="1">
        <f ca="1">P1178*J1178*(1+Growth!G$6)^(2010-K1178)</f>
        <v>31.746394089761857</v>
      </c>
      <c r="P1178">
        <v>32.539184952977998</v>
      </c>
      <c r="Q1178" s="2">
        <f t="shared" si="1039"/>
        <v>32.539184952977998</v>
      </c>
      <c r="R1178" s="21">
        <f t="shared" ca="1" si="1040"/>
        <v>1007.8335377024665</v>
      </c>
      <c r="U1178" s="11"/>
      <c r="V1178" s="11"/>
      <c r="W1178" s="11"/>
      <c r="X1178" s="11"/>
      <c r="Y1178" s="11"/>
      <c r="Z1178" s="11"/>
      <c r="AA1178" s="11"/>
      <c r="AB1178" s="11"/>
      <c r="AC1178" s="1">
        <f t="shared" si="1048"/>
        <v>6.4</v>
      </c>
      <c r="AD1178" s="5">
        <v>1</v>
      </c>
      <c r="AE1178" s="5">
        <v>0</v>
      </c>
      <c r="AF1178" s="5">
        <v>1</v>
      </c>
      <c r="AG1178" s="5">
        <v>0</v>
      </c>
      <c r="AH1178" s="5">
        <v>1</v>
      </c>
      <c r="AI1178" s="3">
        <f t="shared" si="1049"/>
        <v>3.4</v>
      </c>
      <c r="AJ1178" s="5">
        <f t="shared" si="1064"/>
        <v>0</v>
      </c>
      <c r="AK1178" s="5">
        <f t="shared" si="1057"/>
        <v>0</v>
      </c>
      <c r="AL1178" s="5">
        <f t="shared" si="1058"/>
        <v>0</v>
      </c>
      <c r="AM1178" s="5">
        <f t="shared" ref="AM1178:AM1216" si="1065">IF($AQ1178=1,1,0)</f>
        <v>0</v>
      </c>
      <c r="AN1178" s="5">
        <f t="shared" si="1059"/>
        <v>0</v>
      </c>
      <c r="AO1178" s="5">
        <f t="shared" ref="AO1178:AO1216" si="1066">IF($AQ1178=0,1,0)</f>
        <v>0</v>
      </c>
      <c r="AP1178" s="11" t="s">
        <v>42</v>
      </c>
      <c r="AQ1178" s="11" t="s">
        <v>42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1</v>
      </c>
      <c r="AY1178" s="1">
        <f t="shared" si="1050"/>
        <v>0</v>
      </c>
      <c r="AZ1178" s="1">
        <f t="shared" si="1051"/>
        <v>0</v>
      </c>
      <c r="BA1178" s="1">
        <f t="shared" si="1052"/>
        <v>0</v>
      </c>
      <c r="BB1178" s="5">
        <v>0</v>
      </c>
      <c r="BC1178" s="5">
        <v>0</v>
      </c>
      <c r="BD1178" s="5">
        <v>0</v>
      </c>
      <c r="BE1178" s="5">
        <f t="shared" si="1053"/>
        <v>1</v>
      </c>
      <c r="BF1178" s="5">
        <v>1</v>
      </c>
      <c r="BG1178" s="5">
        <f t="shared" si="1063"/>
        <v>0</v>
      </c>
      <c r="BH1178" s="5">
        <f t="shared" si="1063"/>
        <v>0</v>
      </c>
      <c r="BI1178" s="5">
        <f t="shared" si="1063"/>
        <v>0</v>
      </c>
      <c r="BJ1178" s="5">
        <f t="shared" si="1063"/>
        <v>0</v>
      </c>
      <c r="BK1178" s="5">
        <f t="shared" si="1063"/>
        <v>0</v>
      </c>
      <c r="BL1178" s="5">
        <f t="shared" si="1063"/>
        <v>0</v>
      </c>
      <c r="BM1178" s="5">
        <f t="shared" si="1063"/>
        <v>0</v>
      </c>
      <c r="BN1178" s="5">
        <f t="shared" si="1063"/>
        <v>0</v>
      </c>
      <c r="BO1178" s="5">
        <f t="shared" si="1062"/>
        <v>0</v>
      </c>
      <c r="BP1178" s="5">
        <f t="shared" si="1062"/>
        <v>0</v>
      </c>
      <c r="BQ1178" s="5">
        <f t="shared" si="1062"/>
        <v>0</v>
      </c>
      <c r="BR1178" s="5">
        <f t="shared" si="1062"/>
        <v>0</v>
      </c>
      <c r="BS1178" s="5">
        <f t="shared" si="1062"/>
        <v>0</v>
      </c>
      <c r="BT1178" s="5">
        <f t="shared" si="1062"/>
        <v>0</v>
      </c>
      <c r="BU1178" s="5">
        <f t="shared" si="1062"/>
        <v>0</v>
      </c>
      <c r="BV1178" s="5">
        <f t="shared" si="1062"/>
        <v>0</v>
      </c>
      <c r="BW1178" s="5">
        <f t="shared" si="1062"/>
        <v>0</v>
      </c>
      <c r="BX1178" s="5">
        <f t="shared" si="1062"/>
        <v>0</v>
      </c>
      <c r="BY1178" s="5">
        <f t="shared" si="1062"/>
        <v>0</v>
      </c>
      <c r="BZ1178" s="5">
        <f t="shared" si="1062"/>
        <v>0</v>
      </c>
      <c r="CA1178" s="5">
        <f t="shared" si="1062"/>
        <v>0</v>
      </c>
      <c r="CB1178" s="5">
        <f t="shared" si="1061"/>
        <v>0</v>
      </c>
      <c r="CC1178" s="5">
        <f t="shared" si="1061"/>
        <v>0</v>
      </c>
      <c r="CD1178" s="5">
        <f t="shared" si="1061"/>
        <v>1</v>
      </c>
      <c r="CE1178" s="5">
        <f t="shared" si="1061"/>
        <v>0</v>
      </c>
    </row>
    <row r="1179" spans="1:83" x14ac:dyDescent="0.2">
      <c r="A1179" s="11"/>
      <c r="B1179" s="11"/>
      <c r="C1179" s="1">
        <f>Growth!D1184</f>
        <v>3.2679738562091505E-2</v>
      </c>
      <c r="D1179" s="5" t="b">
        <f t="shared" si="1038"/>
        <v>0</v>
      </c>
      <c r="E1179" s="5">
        <v>2014</v>
      </c>
      <c r="F1179" s="5">
        <f ca="1">LOOKUP($E1179,frequence!$A$2:$A$35,frequence!L$2:L$35)</f>
        <v>50.75383375536623</v>
      </c>
      <c r="G1179" s="5">
        <f ca="1">LOOKUP($E1179,frequence!$A$2:$A$35,frequence!K$2:K$35)</f>
        <v>9.9751715831189358</v>
      </c>
      <c r="H1179" s="5">
        <f ca="1">LOOKUP($E1179,frequence!$A$2:$A$35,frequence!M$2:M$35)</f>
        <v>236.05429056976001</v>
      </c>
      <c r="I1179" s="16">
        <v>2007</v>
      </c>
      <c r="J1179" s="7">
        <f>LOOKUP(I1179,CPI!A$69:A$103,CPI!O$69:O$103)</f>
        <v>1.0516730811895323</v>
      </c>
      <c r="K1179" s="16">
        <v>2015</v>
      </c>
      <c r="L1179" s="7">
        <f t="shared" ca="1" si="1056"/>
        <v>1</v>
      </c>
      <c r="M1179" s="7">
        <f t="shared" si="1047"/>
        <v>0.20915032679738566</v>
      </c>
      <c r="N1179" s="14">
        <v>3.2679738562091505E-2</v>
      </c>
      <c r="O1179" s="1">
        <f ca="1">P1179*J1179*(1+Growth!G$6)^(2010-K1179)</f>
        <v>26.363575824060462</v>
      </c>
      <c r="P1179">
        <v>27.021943573667699</v>
      </c>
      <c r="Q1179" s="2">
        <f t="shared" si="1039"/>
        <v>27.021943573667699</v>
      </c>
      <c r="R1179" s="21">
        <f t="shared" ca="1" si="1040"/>
        <v>695.0381302309853</v>
      </c>
      <c r="U1179" s="11"/>
      <c r="V1179" s="11"/>
      <c r="W1179" s="11"/>
      <c r="X1179" s="11"/>
      <c r="Y1179" s="11"/>
      <c r="Z1179" s="11"/>
      <c r="AA1179" s="11"/>
      <c r="AB1179" s="11"/>
      <c r="AC1179" s="1">
        <f t="shared" si="1048"/>
        <v>6.4</v>
      </c>
      <c r="AD1179" s="5">
        <v>1</v>
      </c>
      <c r="AE1179" s="5">
        <v>0</v>
      </c>
      <c r="AF1179" s="5">
        <v>1</v>
      </c>
      <c r="AG1179" s="5">
        <v>0</v>
      </c>
      <c r="AH1179" s="5">
        <v>1</v>
      </c>
      <c r="AI1179" s="3">
        <f t="shared" si="1049"/>
        <v>3.4</v>
      </c>
      <c r="AJ1179" s="5">
        <f t="shared" si="1064"/>
        <v>0</v>
      </c>
      <c r="AK1179" s="5">
        <f t="shared" si="1057"/>
        <v>0</v>
      </c>
      <c r="AL1179" s="5">
        <f t="shared" si="1058"/>
        <v>0</v>
      </c>
      <c r="AM1179" s="5">
        <f t="shared" si="1065"/>
        <v>0</v>
      </c>
      <c r="AN1179" s="5">
        <f t="shared" si="1059"/>
        <v>0</v>
      </c>
      <c r="AO1179" s="5">
        <f t="shared" si="1066"/>
        <v>0</v>
      </c>
      <c r="AP1179" s="11" t="s">
        <v>42</v>
      </c>
      <c r="AQ1179" s="11" t="s">
        <v>42</v>
      </c>
      <c r="AR1179" s="5">
        <v>0</v>
      </c>
      <c r="AS1179" s="5">
        <v>0</v>
      </c>
      <c r="AT1179" s="5">
        <v>0</v>
      </c>
      <c r="AU1179" s="5">
        <v>0</v>
      </c>
      <c r="AV1179" s="5">
        <v>0</v>
      </c>
      <c r="AW1179" s="5">
        <v>0</v>
      </c>
      <c r="AX1179" s="5">
        <v>1</v>
      </c>
      <c r="AY1179" s="1">
        <f t="shared" si="1050"/>
        <v>0</v>
      </c>
      <c r="AZ1179" s="1">
        <f t="shared" si="1051"/>
        <v>0</v>
      </c>
      <c r="BA1179" s="1">
        <f t="shared" si="1052"/>
        <v>0</v>
      </c>
      <c r="BB1179" s="5">
        <v>0</v>
      </c>
      <c r="BC1179" s="5">
        <v>0</v>
      </c>
      <c r="BD1179" s="5">
        <v>0</v>
      </c>
      <c r="BE1179" s="5">
        <f t="shared" si="1053"/>
        <v>1</v>
      </c>
      <c r="BF1179" s="5">
        <v>1</v>
      </c>
      <c r="BG1179" s="5">
        <f t="shared" si="1063"/>
        <v>0</v>
      </c>
      <c r="BH1179" s="5">
        <f t="shared" si="1063"/>
        <v>0</v>
      </c>
      <c r="BI1179" s="5">
        <f t="shared" si="1063"/>
        <v>0</v>
      </c>
      <c r="BJ1179" s="5">
        <f t="shared" si="1063"/>
        <v>0</v>
      </c>
      <c r="BK1179" s="5">
        <f t="shared" si="1063"/>
        <v>0</v>
      </c>
      <c r="BL1179" s="5">
        <f t="shared" si="1063"/>
        <v>0</v>
      </c>
      <c r="BM1179" s="5">
        <f t="shared" si="1063"/>
        <v>0</v>
      </c>
      <c r="BN1179" s="5">
        <f t="shared" si="1063"/>
        <v>0</v>
      </c>
      <c r="BO1179" s="5">
        <f t="shared" si="1062"/>
        <v>0</v>
      </c>
      <c r="BP1179" s="5">
        <f t="shared" si="1062"/>
        <v>0</v>
      </c>
      <c r="BQ1179" s="5">
        <f t="shared" si="1062"/>
        <v>0</v>
      </c>
      <c r="BR1179" s="5">
        <f t="shared" si="1062"/>
        <v>0</v>
      </c>
      <c r="BS1179" s="5">
        <f t="shared" si="1062"/>
        <v>0</v>
      </c>
      <c r="BT1179" s="5">
        <f t="shared" si="1062"/>
        <v>0</v>
      </c>
      <c r="BU1179" s="5">
        <f t="shared" si="1062"/>
        <v>0</v>
      </c>
      <c r="BV1179" s="5">
        <f t="shared" si="1062"/>
        <v>0</v>
      </c>
      <c r="BW1179" s="5">
        <f t="shared" si="1062"/>
        <v>0</v>
      </c>
      <c r="BX1179" s="5">
        <f t="shared" si="1062"/>
        <v>0</v>
      </c>
      <c r="BY1179" s="5">
        <f t="shared" si="1062"/>
        <v>0</v>
      </c>
      <c r="BZ1179" s="5">
        <f t="shared" si="1062"/>
        <v>0</v>
      </c>
      <c r="CA1179" s="5">
        <f t="shared" si="1062"/>
        <v>0</v>
      </c>
      <c r="CB1179" s="5">
        <f t="shared" si="1061"/>
        <v>0</v>
      </c>
      <c r="CC1179" s="5">
        <f t="shared" si="1061"/>
        <v>0</v>
      </c>
      <c r="CD1179" s="5">
        <f t="shared" si="1061"/>
        <v>1</v>
      </c>
      <c r="CE1179" s="5">
        <f t="shared" si="1061"/>
        <v>0</v>
      </c>
    </row>
    <row r="1180" spans="1:83" x14ac:dyDescent="0.2">
      <c r="A1180" s="11"/>
      <c r="B1180" s="11"/>
      <c r="C1180" s="1">
        <f>Growth!D1185</f>
        <v>3.6601307189542479E-2</v>
      </c>
      <c r="D1180" s="5" t="b">
        <f t="shared" si="1038"/>
        <v>0</v>
      </c>
      <c r="E1180" s="5">
        <v>2014</v>
      </c>
      <c r="F1180" s="5">
        <f ca="1">LOOKUP($E1180,frequence!$A$2:$A$35,frequence!L$2:L$35)</f>
        <v>50.75383375536623</v>
      </c>
      <c r="G1180" s="5">
        <f ca="1">LOOKUP($E1180,frequence!$A$2:$A$35,frequence!K$2:K$35)</f>
        <v>9.9751715831189358</v>
      </c>
      <c r="H1180" s="5">
        <f ca="1">LOOKUP($E1180,frequence!$A$2:$A$35,frequence!M$2:M$35)</f>
        <v>236.05429056976001</v>
      </c>
      <c r="I1180" s="16">
        <v>2007</v>
      </c>
      <c r="J1180" s="7">
        <f>LOOKUP(I1180,CPI!A$69:A$103,CPI!O$69:O$103)</f>
        <v>1.0516730811895323</v>
      </c>
      <c r="K1180" s="16">
        <v>2015</v>
      </c>
      <c r="L1180" s="7">
        <f t="shared" ca="1" si="1056"/>
        <v>1</v>
      </c>
      <c r="M1180" s="7">
        <f t="shared" si="1047"/>
        <v>0.23424836601307186</v>
      </c>
      <c r="N1180" s="14">
        <v>3.6601307189542479E-2</v>
      </c>
      <c r="O1180" s="1">
        <f ca="1">P1180*J1180*(1+Growth!G$6)^(2010-K1180)</f>
        <v>22.448798903550298</v>
      </c>
      <c r="P1180">
        <v>23.0094043887147</v>
      </c>
      <c r="Q1180" s="2">
        <f t="shared" si="1039"/>
        <v>23.0094043887147</v>
      </c>
      <c r="R1180" s="21">
        <f t="shared" ca="1" si="1040"/>
        <v>503.94857221204103</v>
      </c>
      <c r="U1180" s="11"/>
      <c r="V1180" s="11"/>
      <c r="W1180" s="11"/>
      <c r="X1180" s="11"/>
      <c r="Y1180" s="11"/>
      <c r="Z1180" s="11"/>
      <c r="AA1180" s="11"/>
      <c r="AB1180" s="11"/>
      <c r="AC1180" s="1">
        <f t="shared" si="1048"/>
        <v>6.4</v>
      </c>
      <c r="AD1180" s="5">
        <v>1</v>
      </c>
      <c r="AE1180" s="5">
        <v>0</v>
      </c>
      <c r="AF1180" s="5">
        <v>1</v>
      </c>
      <c r="AG1180" s="5">
        <v>0</v>
      </c>
      <c r="AH1180" s="5">
        <v>1</v>
      </c>
      <c r="AI1180" s="3">
        <f t="shared" si="1049"/>
        <v>3.4</v>
      </c>
      <c r="AJ1180" s="5">
        <f t="shared" si="1064"/>
        <v>0</v>
      </c>
      <c r="AK1180" s="5">
        <f t="shared" si="1057"/>
        <v>0</v>
      </c>
      <c r="AL1180" s="5">
        <f t="shared" si="1058"/>
        <v>0</v>
      </c>
      <c r="AM1180" s="5">
        <f t="shared" si="1065"/>
        <v>0</v>
      </c>
      <c r="AN1180" s="5">
        <f t="shared" si="1059"/>
        <v>0</v>
      </c>
      <c r="AO1180" s="5">
        <f t="shared" si="1066"/>
        <v>0</v>
      </c>
      <c r="AP1180" s="11" t="s">
        <v>42</v>
      </c>
      <c r="AQ1180" s="11" t="s">
        <v>42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1</v>
      </c>
      <c r="AY1180" s="1">
        <f t="shared" si="1050"/>
        <v>0</v>
      </c>
      <c r="AZ1180" s="1">
        <f t="shared" si="1051"/>
        <v>0</v>
      </c>
      <c r="BA1180" s="1">
        <f t="shared" si="1052"/>
        <v>0</v>
      </c>
      <c r="BB1180" s="5">
        <v>0</v>
      </c>
      <c r="BC1180" s="5">
        <v>0</v>
      </c>
      <c r="BD1180" s="5">
        <v>0</v>
      </c>
      <c r="BE1180" s="5">
        <f t="shared" si="1053"/>
        <v>1</v>
      </c>
      <c r="BF1180" s="5">
        <v>1</v>
      </c>
      <c r="BG1180" s="5">
        <f t="shared" si="1063"/>
        <v>0</v>
      </c>
      <c r="BH1180" s="5">
        <f t="shared" si="1063"/>
        <v>0</v>
      </c>
      <c r="BI1180" s="5">
        <f t="shared" si="1063"/>
        <v>0</v>
      </c>
      <c r="BJ1180" s="5">
        <f t="shared" si="1063"/>
        <v>0</v>
      </c>
      <c r="BK1180" s="5">
        <f t="shared" si="1063"/>
        <v>0</v>
      </c>
      <c r="BL1180" s="5">
        <f t="shared" si="1063"/>
        <v>0</v>
      </c>
      <c r="BM1180" s="5">
        <f t="shared" si="1063"/>
        <v>0</v>
      </c>
      <c r="BN1180" s="5">
        <f t="shared" si="1063"/>
        <v>0</v>
      </c>
      <c r="BO1180" s="5">
        <f t="shared" si="1062"/>
        <v>0</v>
      </c>
      <c r="BP1180" s="5">
        <f t="shared" si="1062"/>
        <v>0</v>
      </c>
      <c r="BQ1180" s="5">
        <f t="shared" si="1062"/>
        <v>0</v>
      </c>
      <c r="BR1180" s="5">
        <f t="shared" si="1062"/>
        <v>0</v>
      </c>
      <c r="BS1180" s="5">
        <f t="shared" si="1062"/>
        <v>0</v>
      </c>
      <c r="BT1180" s="5">
        <f t="shared" si="1062"/>
        <v>0</v>
      </c>
      <c r="BU1180" s="5">
        <f t="shared" si="1062"/>
        <v>0</v>
      </c>
      <c r="BV1180" s="5">
        <f t="shared" si="1062"/>
        <v>0</v>
      </c>
      <c r="BW1180" s="5">
        <f t="shared" si="1062"/>
        <v>0</v>
      </c>
      <c r="BX1180" s="5">
        <f t="shared" si="1062"/>
        <v>0</v>
      </c>
      <c r="BY1180" s="5">
        <f t="shared" si="1062"/>
        <v>0</v>
      </c>
      <c r="BZ1180" s="5">
        <f t="shared" si="1062"/>
        <v>0</v>
      </c>
      <c r="CA1180" s="5">
        <f t="shared" si="1062"/>
        <v>0</v>
      </c>
      <c r="CB1180" s="5">
        <f t="shared" si="1061"/>
        <v>0</v>
      </c>
      <c r="CC1180" s="5">
        <f t="shared" si="1061"/>
        <v>0</v>
      </c>
      <c r="CD1180" s="5">
        <f t="shared" si="1061"/>
        <v>1</v>
      </c>
      <c r="CE1180" s="5">
        <f t="shared" si="1061"/>
        <v>0</v>
      </c>
    </row>
    <row r="1181" spans="1:83" x14ac:dyDescent="0.2">
      <c r="A1181" s="11"/>
      <c r="B1181" s="11"/>
      <c r="C1181" s="1">
        <f>Growth!D1186</f>
        <v>4.0522875816993459E-2</v>
      </c>
      <c r="D1181" s="5" t="b">
        <f t="shared" si="1038"/>
        <v>0</v>
      </c>
      <c r="E1181" s="5">
        <v>2014</v>
      </c>
      <c r="F1181" s="5">
        <f ca="1">LOOKUP($E1181,frequence!$A$2:$A$35,frequence!L$2:L$35)</f>
        <v>50.75383375536623</v>
      </c>
      <c r="G1181" s="5">
        <f ca="1">LOOKUP($E1181,frequence!$A$2:$A$35,frequence!K$2:K$35)</f>
        <v>9.9751715831189358</v>
      </c>
      <c r="H1181" s="5">
        <f ca="1">LOOKUP($E1181,frequence!$A$2:$A$35,frequence!M$2:M$35)</f>
        <v>236.05429056976001</v>
      </c>
      <c r="I1181" s="16">
        <v>2007</v>
      </c>
      <c r="J1181" s="7">
        <f>LOOKUP(I1181,CPI!A$69:A$103,CPI!O$69:O$103)</f>
        <v>1.0516730811895323</v>
      </c>
      <c r="K1181" s="16">
        <v>2015</v>
      </c>
      <c r="L1181" s="7">
        <f t="shared" ca="1" si="1056"/>
        <v>1</v>
      </c>
      <c r="M1181" s="7">
        <f t="shared" si="1047"/>
        <v>0.25934640522875813</v>
      </c>
      <c r="N1181" s="14">
        <v>4.0522875816993459E-2</v>
      </c>
      <c r="O1181" s="1">
        <f ca="1">P1181*J1181*(1+Growth!G$6)^(2010-K1181)</f>
        <v>19.757389770699554</v>
      </c>
      <c r="P1181">
        <v>20.2507836990595</v>
      </c>
      <c r="Q1181" s="2">
        <f t="shared" si="1039"/>
        <v>20.2507836990595</v>
      </c>
      <c r="R1181" s="21">
        <f t="shared" ca="1" si="1040"/>
        <v>390.35445055134335</v>
      </c>
      <c r="U1181" s="11"/>
      <c r="V1181" s="11"/>
      <c r="W1181" s="11"/>
      <c r="X1181" s="11"/>
      <c r="Y1181" s="11"/>
      <c r="Z1181" s="11"/>
      <c r="AA1181" s="11"/>
      <c r="AB1181" s="11"/>
      <c r="AC1181" s="1">
        <f t="shared" si="1048"/>
        <v>6.4</v>
      </c>
      <c r="AD1181" s="5">
        <v>1</v>
      </c>
      <c r="AE1181" s="5">
        <v>0</v>
      </c>
      <c r="AF1181" s="5">
        <v>1</v>
      </c>
      <c r="AG1181" s="5">
        <v>0</v>
      </c>
      <c r="AH1181" s="5">
        <v>1</v>
      </c>
      <c r="AI1181" s="3">
        <f t="shared" si="1049"/>
        <v>3.4</v>
      </c>
      <c r="AJ1181" s="5">
        <f t="shared" si="1064"/>
        <v>0</v>
      </c>
      <c r="AK1181" s="5">
        <f t="shared" si="1057"/>
        <v>0</v>
      </c>
      <c r="AL1181" s="5">
        <f t="shared" si="1058"/>
        <v>0</v>
      </c>
      <c r="AM1181" s="5">
        <f t="shared" si="1065"/>
        <v>0</v>
      </c>
      <c r="AN1181" s="5">
        <f t="shared" si="1059"/>
        <v>0</v>
      </c>
      <c r="AO1181" s="5">
        <f t="shared" si="1066"/>
        <v>0</v>
      </c>
      <c r="AP1181" s="11" t="s">
        <v>42</v>
      </c>
      <c r="AQ1181" s="11" t="s">
        <v>42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1</v>
      </c>
      <c r="AY1181" s="1">
        <f t="shared" si="1050"/>
        <v>0</v>
      </c>
      <c r="AZ1181" s="1">
        <f t="shared" si="1051"/>
        <v>0</v>
      </c>
      <c r="BA1181" s="1">
        <f t="shared" si="1052"/>
        <v>0</v>
      </c>
      <c r="BB1181" s="5">
        <v>0</v>
      </c>
      <c r="BC1181" s="5">
        <v>0</v>
      </c>
      <c r="BD1181" s="5">
        <v>0</v>
      </c>
      <c r="BE1181" s="5">
        <f t="shared" si="1053"/>
        <v>1</v>
      </c>
      <c r="BF1181" s="5">
        <v>1</v>
      </c>
      <c r="BG1181" s="5">
        <f t="shared" si="1063"/>
        <v>0</v>
      </c>
      <c r="BH1181" s="5">
        <f t="shared" si="1063"/>
        <v>0</v>
      </c>
      <c r="BI1181" s="5">
        <f t="shared" si="1063"/>
        <v>0</v>
      </c>
      <c r="BJ1181" s="5">
        <f t="shared" si="1063"/>
        <v>0</v>
      </c>
      <c r="BK1181" s="5">
        <f t="shared" si="1063"/>
        <v>0</v>
      </c>
      <c r="BL1181" s="5">
        <f t="shared" si="1063"/>
        <v>0</v>
      </c>
      <c r="BM1181" s="5">
        <f t="shared" si="1063"/>
        <v>0</v>
      </c>
      <c r="BN1181" s="5">
        <f t="shared" si="1063"/>
        <v>0</v>
      </c>
      <c r="BO1181" s="5">
        <f t="shared" si="1062"/>
        <v>0</v>
      </c>
      <c r="BP1181" s="5">
        <f t="shared" si="1062"/>
        <v>0</v>
      </c>
      <c r="BQ1181" s="5">
        <f t="shared" si="1062"/>
        <v>0</v>
      </c>
      <c r="BR1181" s="5">
        <f t="shared" si="1062"/>
        <v>0</v>
      </c>
      <c r="BS1181" s="5">
        <f t="shared" si="1062"/>
        <v>0</v>
      </c>
      <c r="BT1181" s="5">
        <f t="shared" si="1062"/>
        <v>0</v>
      </c>
      <c r="BU1181" s="5">
        <f t="shared" si="1062"/>
        <v>0</v>
      </c>
      <c r="BV1181" s="5">
        <f t="shared" si="1062"/>
        <v>0</v>
      </c>
      <c r="BW1181" s="5">
        <f t="shared" si="1062"/>
        <v>0</v>
      </c>
      <c r="BX1181" s="5">
        <f t="shared" si="1062"/>
        <v>0</v>
      </c>
      <c r="BY1181" s="5">
        <f t="shared" si="1062"/>
        <v>0</v>
      </c>
      <c r="BZ1181" s="5">
        <f t="shared" si="1062"/>
        <v>0</v>
      </c>
      <c r="CA1181" s="5">
        <f t="shared" si="1062"/>
        <v>0</v>
      </c>
      <c r="CB1181" s="5">
        <f t="shared" si="1061"/>
        <v>0</v>
      </c>
      <c r="CC1181" s="5">
        <f t="shared" si="1061"/>
        <v>0</v>
      </c>
      <c r="CD1181" s="5">
        <f t="shared" si="1061"/>
        <v>1</v>
      </c>
      <c r="CE1181" s="5">
        <f t="shared" si="1061"/>
        <v>0</v>
      </c>
    </row>
    <row r="1182" spans="1:83" x14ac:dyDescent="0.2">
      <c r="A1182" s="11"/>
      <c r="B1182" s="11"/>
      <c r="C1182" s="1">
        <f>Growth!D1187</f>
        <v>4.4444444444444439E-2</v>
      </c>
      <c r="D1182" s="5" t="b">
        <f t="shared" si="1038"/>
        <v>0</v>
      </c>
      <c r="E1182" s="5">
        <v>2014</v>
      </c>
      <c r="F1182" s="5">
        <f ca="1">LOOKUP($E1182,frequence!$A$2:$A$35,frequence!L$2:L$35)</f>
        <v>50.75383375536623</v>
      </c>
      <c r="G1182" s="5">
        <f ca="1">LOOKUP($E1182,frequence!$A$2:$A$35,frequence!K$2:K$35)</f>
        <v>9.9751715831189358</v>
      </c>
      <c r="H1182" s="5">
        <f ca="1">LOOKUP($E1182,frequence!$A$2:$A$35,frequence!M$2:M$35)</f>
        <v>236.05429056976001</v>
      </c>
      <c r="I1182" s="16">
        <v>2007</v>
      </c>
      <c r="J1182" s="7">
        <f>LOOKUP(I1182,CPI!A$69:A$103,CPI!O$69:O$103)</f>
        <v>1.0516730811895323</v>
      </c>
      <c r="K1182" s="16">
        <v>2015</v>
      </c>
      <c r="L1182" s="7">
        <f t="shared" ca="1" si="1056"/>
        <v>1</v>
      </c>
      <c r="M1182" s="7">
        <f t="shared" si="1047"/>
        <v>0.28444444444444444</v>
      </c>
      <c r="N1182" s="14">
        <v>4.4444444444444439E-2</v>
      </c>
      <c r="O1182" s="1">
        <f ca="1">P1182*J1182*(1+Growth!G$6)^(2010-K1182)</f>
        <v>17.065980637848803</v>
      </c>
      <c r="P1182">
        <v>17.492163009404301</v>
      </c>
      <c r="Q1182" s="2">
        <f t="shared" si="1039"/>
        <v>17.492163009404301</v>
      </c>
      <c r="R1182" s="21">
        <f t="shared" ca="1" si="1040"/>
        <v>291.24769513143025</v>
      </c>
      <c r="U1182" s="11"/>
      <c r="V1182" s="11"/>
      <c r="W1182" s="11"/>
      <c r="X1182" s="11"/>
      <c r="Y1182" s="11"/>
      <c r="Z1182" s="11"/>
      <c r="AA1182" s="11"/>
      <c r="AB1182" s="11"/>
      <c r="AC1182" s="1">
        <f t="shared" si="1048"/>
        <v>6.4</v>
      </c>
      <c r="AD1182" s="5">
        <v>1</v>
      </c>
      <c r="AE1182" s="5">
        <v>0</v>
      </c>
      <c r="AF1182" s="5">
        <v>1</v>
      </c>
      <c r="AG1182" s="5">
        <v>0</v>
      </c>
      <c r="AH1182" s="5">
        <v>1</v>
      </c>
      <c r="AI1182" s="3">
        <f t="shared" si="1049"/>
        <v>3.4</v>
      </c>
      <c r="AJ1182" s="5">
        <f t="shared" si="1064"/>
        <v>0</v>
      </c>
      <c r="AK1182" s="5">
        <f t="shared" si="1057"/>
        <v>0</v>
      </c>
      <c r="AL1182" s="5">
        <f t="shared" si="1058"/>
        <v>0</v>
      </c>
      <c r="AM1182" s="5">
        <f t="shared" si="1065"/>
        <v>0</v>
      </c>
      <c r="AN1182" s="5">
        <f t="shared" si="1059"/>
        <v>0</v>
      </c>
      <c r="AO1182" s="5">
        <f t="shared" si="1066"/>
        <v>0</v>
      </c>
      <c r="AP1182" s="11" t="s">
        <v>42</v>
      </c>
      <c r="AQ1182" s="11" t="s">
        <v>42</v>
      </c>
      <c r="AR1182" s="5">
        <v>0</v>
      </c>
      <c r="AS1182" s="5">
        <v>0</v>
      </c>
      <c r="AT1182" s="5">
        <v>0</v>
      </c>
      <c r="AU1182" s="5">
        <v>0</v>
      </c>
      <c r="AV1182" s="5">
        <v>0</v>
      </c>
      <c r="AW1182" s="5">
        <v>0</v>
      </c>
      <c r="AX1182" s="5">
        <v>1</v>
      </c>
      <c r="AY1182" s="1">
        <f t="shared" si="1050"/>
        <v>0</v>
      </c>
      <c r="AZ1182" s="1">
        <f t="shared" si="1051"/>
        <v>0</v>
      </c>
      <c r="BA1182" s="1">
        <f t="shared" si="1052"/>
        <v>0</v>
      </c>
      <c r="BB1182" s="5">
        <v>0</v>
      </c>
      <c r="BC1182" s="5">
        <v>0</v>
      </c>
      <c r="BD1182" s="5">
        <v>0</v>
      </c>
      <c r="BE1182" s="5">
        <f t="shared" si="1053"/>
        <v>1</v>
      </c>
      <c r="BF1182" s="5">
        <v>1</v>
      </c>
      <c r="BG1182" s="5">
        <f t="shared" si="1063"/>
        <v>0</v>
      </c>
      <c r="BH1182" s="5">
        <f t="shared" si="1063"/>
        <v>0</v>
      </c>
      <c r="BI1182" s="5">
        <f t="shared" si="1063"/>
        <v>0</v>
      </c>
      <c r="BJ1182" s="5">
        <f t="shared" si="1063"/>
        <v>0</v>
      </c>
      <c r="BK1182" s="5">
        <f t="shared" si="1063"/>
        <v>0</v>
      </c>
      <c r="BL1182" s="5">
        <f t="shared" si="1063"/>
        <v>0</v>
      </c>
      <c r="BM1182" s="5">
        <f t="shared" si="1063"/>
        <v>0</v>
      </c>
      <c r="BN1182" s="5">
        <f t="shared" si="1063"/>
        <v>0</v>
      </c>
      <c r="BO1182" s="5">
        <f t="shared" si="1062"/>
        <v>0</v>
      </c>
      <c r="BP1182" s="5">
        <f t="shared" si="1062"/>
        <v>0</v>
      </c>
      <c r="BQ1182" s="5">
        <f t="shared" si="1062"/>
        <v>0</v>
      </c>
      <c r="BR1182" s="5">
        <f t="shared" si="1062"/>
        <v>0</v>
      </c>
      <c r="BS1182" s="5">
        <f t="shared" si="1062"/>
        <v>0</v>
      </c>
      <c r="BT1182" s="5">
        <f t="shared" si="1062"/>
        <v>0</v>
      </c>
      <c r="BU1182" s="5">
        <f t="shared" si="1062"/>
        <v>0</v>
      </c>
      <c r="BV1182" s="5">
        <f t="shared" si="1062"/>
        <v>0</v>
      </c>
      <c r="BW1182" s="5">
        <f t="shared" si="1062"/>
        <v>0</v>
      </c>
      <c r="BX1182" s="5">
        <f t="shared" si="1062"/>
        <v>0</v>
      </c>
      <c r="BY1182" s="5">
        <f t="shared" si="1062"/>
        <v>0</v>
      </c>
      <c r="BZ1182" s="5">
        <f t="shared" si="1062"/>
        <v>0</v>
      </c>
      <c r="CA1182" s="5">
        <f t="shared" si="1062"/>
        <v>0</v>
      </c>
      <c r="CB1182" s="5">
        <f t="shared" si="1061"/>
        <v>0</v>
      </c>
      <c r="CC1182" s="5">
        <f t="shared" si="1061"/>
        <v>0</v>
      </c>
      <c r="CD1182" s="5">
        <f t="shared" si="1061"/>
        <v>1</v>
      </c>
      <c r="CE1182" s="5">
        <f t="shared" si="1061"/>
        <v>0</v>
      </c>
    </row>
    <row r="1183" spans="1:83" x14ac:dyDescent="0.2">
      <c r="A1183" s="11"/>
      <c r="B1183" s="11"/>
      <c r="C1183" s="1">
        <f>Growth!D1188</f>
        <v>4.8366013071895413E-2</v>
      </c>
      <c r="D1183" s="5" t="b">
        <f t="shared" si="1038"/>
        <v>0</v>
      </c>
      <c r="E1183" s="5">
        <v>2014</v>
      </c>
      <c r="F1183" s="5">
        <f ca="1">LOOKUP($E1183,frequence!$A$2:$A$35,frequence!L$2:L$35)</f>
        <v>50.75383375536623</v>
      </c>
      <c r="G1183" s="5">
        <f ca="1">LOOKUP($E1183,frequence!$A$2:$A$35,frequence!K$2:K$35)</f>
        <v>9.9751715831189358</v>
      </c>
      <c r="H1183" s="5">
        <f ca="1">LOOKUP($E1183,frequence!$A$2:$A$35,frequence!M$2:M$35)</f>
        <v>236.05429056976001</v>
      </c>
      <c r="I1183" s="16">
        <v>2007</v>
      </c>
      <c r="J1183" s="7">
        <f>LOOKUP(I1183,CPI!A$69:A$103,CPI!O$69:O$103)</f>
        <v>1.0516730811895323</v>
      </c>
      <c r="K1183" s="16">
        <v>2015</v>
      </c>
      <c r="L1183" s="7">
        <f t="shared" ca="1" si="1056"/>
        <v>1</v>
      </c>
      <c r="M1183" s="7">
        <f t="shared" si="1047"/>
        <v>0.30954248366013065</v>
      </c>
      <c r="N1183" s="14">
        <v>4.8366013071895413E-2</v>
      </c>
      <c r="O1183" s="1">
        <f ca="1">P1183*J1183*(1+Growth!G$6)^(2010-K1183)</f>
        <v>14.619245062529977</v>
      </c>
      <c r="P1183">
        <v>14.9843260188087</v>
      </c>
      <c r="Q1183" s="2">
        <f t="shared" si="1039"/>
        <v>14.9843260188087</v>
      </c>
      <c r="R1183" s="21">
        <f t="shared" ca="1" si="1040"/>
        <v>213.72232619830712</v>
      </c>
      <c r="U1183" s="11"/>
      <c r="V1183" s="11"/>
      <c r="W1183" s="11"/>
      <c r="X1183" s="11"/>
      <c r="Y1183" s="11"/>
      <c r="Z1183" s="11"/>
      <c r="AA1183" s="11"/>
      <c r="AB1183" s="11"/>
      <c r="AC1183" s="1">
        <f t="shared" si="1048"/>
        <v>6.4</v>
      </c>
      <c r="AD1183" s="5">
        <v>1</v>
      </c>
      <c r="AE1183" s="5">
        <v>0</v>
      </c>
      <c r="AF1183" s="5">
        <v>1</v>
      </c>
      <c r="AG1183" s="5">
        <v>0</v>
      </c>
      <c r="AH1183" s="5">
        <v>1</v>
      </c>
      <c r="AI1183" s="3">
        <f t="shared" si="1049"/>
        <v>3.4</v>
      </c>
      <c r="AJ1183" s="5">
        <f t="shared" si="1064"/>
        <v>0</v>
      </c>
      <c r="AK1183" s="5">
        <f t="shared" si="1057"/>
        <v>0</v>
      </c>
      <c r="AL1183" s="5">
        <f t="shared" si="1058"/>
        <v>0</v>
      </c>
      <c r="AM1183" s="5">
        <f t="shared" si="1065"/>
        <v>0</v>
      </c>
      <c r="AN1183" s="5">
        <f t="shared" si="1059"/>
        <v>0</v>
      </c>
      <c r="AO1183" s="5">
        <f t="shared" si="1066"/>
        <v>0</v>
      </c>
      <c r="AP1183" s="11" t="s">
        <v>42</v>
      </c>
      <c r="AQ1183" s="11" t="s">
        <v>42</v>
      </c>
      <c r="AR1183" s="5">
        <v>0</v>
      </c>
      <c r="AS1183" s="5">
        <v>0</v>
      </c>
      <c r="AT1183" s="5">
        <v>0</v>
      </c>
      <c r="AU1183" s="5">
        <v>0</v>
      </c>
      <c r="AV1183" s="5">
        <v>0</v>
      </c>
      <c r="AW1183" s="5">
        <v>0</v>
      </c>
      <c r="AX1183" s="5">
        <v>1</v>
      </c>
      <c r="AY1183" s="1">
        <f t="shared" si="1050"/>
        <v>0</v>
      </c>
      <c r="AZ1183" s="1">
        <f t="shared" si="1051"/>
        <v>0</v>
      </c>
      <c r="BA1183" s="1">
        <f t="shared" si="1052"/>
        <v>0</v>
      </c>
      <c r="BB1183" s="5">
        <v>0</v>
      </c>
      <c r="BC1183" s="5">
        <v>0</v>
      </c>
      <c r="BD1183" s="5">
        <v>0</v>
      </c>
      <c r="BE1183" s="5">
        <f t="shared" si="1053"/>
        <v>1</v>
      </c>
      <c r="BF1183" s="5">
        <v>1</v>
      </c>
      <c r="BG1183" s="5">
        <f t="shared" si="1063"/>
        <v>0</v>
      </c>
      <c r="BH1183" s="5">
        <f t="shared" si="1063"/>
        <v>0</v>
      </c>
      <c r="BI1183" s="5">
        <f t="shared" si="1063"/>
        <v>0</v>
      </c>
      <c r="BJ1183" s="5">
        <f t="shared" si="1063"/>
        <v>0</v>
      </c>
      <c r="BK1183" s="5">
        <f t="shared" si="1063"/>
        <v>0</v>
      </c>
      <c r="BL1183" s="5">
        <f t="shared" si="1063"/>
        <v>0</v>
      </c>
      <c r="BM1183" s="5">
        <f t="shared" si="1063"/>
        <v>0</v>
      </c>
      <c r="BN1183" s="5">
        <f t="shared" si="1063"/>
        <v>0</v>
      </c>
      <c r="BO1183" s="5">
        <f t="shared" si="1062"/>
        <v>0</v>
      </c>
      <c r="BP1183" s="5">
        <f t="shared" si="1062"/>
        <v>0</v>
      </c>
      <c r="BQ1183" s="5">
        <f t="shared" si="1062"/>
        <v>0</v>
      </c>
      <c r="BR1183" s="5">
        <f t="shared" si="1062"/>
        <v>0</v>
      </c>
      <c r="BS1183" s="5">
        <f t="shared" si="1062"/>
        <v>0</v>
      </c>
      <c r="BT1183" s="5">
        <f t="shared" si="1062"/>
        <v>0</v>
      </c>
      <c r="BU1183" s="5">
        <f t="shared" si="1062"/>
        <v>0</v>
      </c>
      <c r="BV1183" s="5">
        <f t="shared" si="1062"/>
        <v>0</v>
      </c>
      <c r="BW1183" s="5">
        <f t="shared" si="1062"/>
        <v>0</v>
      </c>
      <c r="BX1183" s="5">
        <f t="shared" si="1062"/>
        <v>0</v>
      </c>
      <c r="BY1183" s="5">
        <f t="shared" si="1062"/>
        <v>0</v>
      </c>
      <c r="BZ1183" s="5">
        <f t="shared" si="1062"/>
        <v>0</v>
      </c>
      <c r="CA1183" s="5">
        <f t="shared" si="1062"/>
        <v>0</v>
      </c>
      <c r="CB1183" s="5">
        <f t="shared" si="1061"/>
        <v>0</v>
      </c>
      <c r="CC1183" s="5">
        <f t="shared" si="1061"/>
        <v>0</v>
      </c>
      <c r="CD1183" s="5">
        <f t="shared" si="1061"/>
        <v>1</v>
      </c>
      <c r="CE1183" s="5">
        <f t="shared" si="1061"/>
        <v>0</v>
      </c>
    </row>
    <row r="1184" spans="1:83" x14ac:dyDescent="0.2">
      <c r="A1184" s="11"/>
      <c r="B1184" s="11"/>
      <c r="C1184" s="1">
        <f>Growth!D1189</f>
        <v>5.2287581699346407E-2</v>
      </c>
      <c r="D1184" s="5" t="b">
        <f t="shared" si="1038"/>
        <v>0</v>
      </c>
      <c r="E1184" s="5">
        <v>2014</v>
      </c>
      <c r="F1184" s="5">
        <f ca="1">LOOKUP($E1184,frequence!$A$2:$A$35,frequence!L$2:L$35)</f>
        <v>50.75383375536623</v>
      </c>
      <c r="G1184" s="5">
        <f ca="1">LOOKUP($E1184,frequence!$A$2:$A$35,frequence!K$2:K$35)</f>
        <v>9.9751715831189358</v>
      </c>
      <c r="H1184" s="5">
        <f ca="1">LOOKUP($E1184,frequence!$A$2:$A$35,frequence!M$2:M$35)</f>
        <v>236.05429056976001</v>
      </c>
      <c r="I1184" s="16">
        <v>2007</v>
      </c>
      <c r="J1184" s="7">
        <f>LOOKUP(I1184,CPI!A$69:A$103,CPI!O$69:O$103)</f>
        <v>1.0516730811895323</v>
      </c>
      <c r="K1184" s="16">
        <v>2015</v>
      </c>
      <c r="L1184" s="7">
        <f t="shared" ca="1" si="1056"/>
        <v>1</v>
      </c>
      <c r="M1184" s="7">
        <f t="shared" si="1047"/>
        <v>0.33464052287581703</v>
      </c>
      <c r="N1184" s="14">
        <v>5.2287581699346407E-2</v>
      </c>
      <c r="O1184" s="1">
        <f ca="1">P1184*J1184*(1+Growth!G$6)^(2010-K1184)</f>
        <v>12.661856602274899</v>
      </c>
      <c r="P1184">
        <v>12.9780564263322</v>
      </c>
      <c r="Q1184" s="2">
        <f t="shared" si="1039"/>
        <v>12.9780564263322</v>
      </c>
      <c r="R1184" s="21">
        <f t="shared" ca="1" si="1040"/>
        <v>160.32261261657243</v>
      </c>
      <c r="U1184" s="11"/>
      <c r="V1184" s="11"/>
      <c r="W1184" s="11"/>
      <c r="X1184" s="11"/>
      <c r="Y1184" s="11"/>
      <c r="Z1184" s="11"/>
      <c r="AA1184" s="11"/>
      <c r="AB1184" s="11"/>
      <c r="AC1184" s="1">
        <f t="shared" si="1048"/>
        <v>6.4</v>
      </c>
      <c r="AD1184" s="5">
        <v>1</v>
      </c>
      <c r="AE1184" s="5">
        <v>0</v>
      </c>
      <c r="AF1184" s="5">
        <v>1</v>
      </c>
      <c r="AG1184" s="5">
        <v>0</v>
      </c>
      <c r="AH1184" s="5">
        <v>1</v>
      </c>
      <c r="AI1184" s="3">
        <f t="shared" si="1049"/>
        <v>3.4</v>
      </c>
      <c r="AJ1184" s="5">
        <f t="shared" si="1064"/>
        <v>0</v>
      </c>
      <c r="AK1184" s="5">
        <f t="shared" si="1057"/>
        <v>0</v>
      </c>
      <c r="AL1184" s="5">
        <f t="shared" si="1058"/>
        <v>0</v>
      </c>
      <c r="AM1184" s="5">
        <f t="shared" si="1065"/>
        <v>0</v>
      </c>
      <c r="AN1184" s="5">
        <f t="shared" si="1059"/>
        <v>0</v>
      </c>
      <c r="AO1184" s="5">
        <f t="shared" si="1066"/>
        <v>0</v>
      </c>
      <c r="AP1184" s="11" t="s">
        <v>42</v>
      </c>
      <c r="AQ1184" s="11" t="s">
        <v>42</v>
      </c>
      <c r="AR1184" s="5">
        <v>0</v>
      </c>
      <c r="AS1184" s="5">
        <v>0</v>
      </c>
      <c r="AT1184" s="5">
        <v>0</v>
      </c>
      <c r="AU1184" s="5">
        <v>0</v>
      </c>
      <c r="AV1184" s="5">
        <v>0</v>
      </c>
      <c r="AW1184" s="5">
        <v>0</v>
      </c>
      <c r="AX1184" s="5">
        <v>1</v>
      </c>
      <c r="AY1184" s="1">
        <f t="shared" si="1050"/>
        <v>0</v>
      </c>
      <c r="AZ1184" s="1">
        <f t="shared" si="1051"/>
        <v>0</v>
      </c>
      <c r="BA1184" s="1">
        <f t="shared" si="1052"/>
        <v>0</v>
      </c>
      <c r="BB1184" s="5">
        <v>0</v>
      </c>
      <c r="BC1184" s="5">
        <v>0</v>
      </c>
      <c r="BD1184" s="5">
        <v>0</v>
      </c>
      <c r="BE1184" s="5">
        <f t="shared" si="1053"/>
        <v>1</v>
      </c>
      <c r="BF1184" s="5">
        <v>1</v>
      </c>
      <c r="BG1184" s="5">
        <f t="shared" si="1063"/>
        <v>0</v>
      </c>
      <c r="BH1184" s="5">
        <f t="shared" si="1063"/>
        <v>0</v>
      </c>
      <c r="BI1184" s="5">
        <f t="shared" si="1063"/>
        <v>0</v>
      </c>
      <c r="BJ1184" s="5">
        <f t="shared" si="1063"/>
        <v>0</v>
      </c>
      <c r="BK1184" s="5">
        <f t="shared" si="1063"/>
        <v>0</v>
      </c>
      <c r="BL1184" s="5">
        <f t="shared" si="1063"/>
        <v>0</v>
      </c>
      <c r="BM1184" s="5">
        <f t="shared" si="1063"/>
        <v>0</v>
      </c>
      <c r="BN1184" s="5">
        <f t="shared" si="1063"/>
        <v>0</v>
      </c>
      <c r="BO1184" s="5">
        <f t="shared" si="1062"/>
        <v>0</v>
      </c>
      <c r="BP1184" s="5">
        <f t="shared" si="1062"/>
        <v>0</v>
      </c>
      <c r="BQ1184" s="5">
        <f t="shared" si="1062"/>
        <v>0</v>
      </c>
      <c r="BR1184" s="5">
        <f t="shared" si="1062"/>
        <v>0</v>
      </c>
      <c r="BS1184" s="5">
        <f t="shared" si="1062"/>
        <v>0</v>
      </c>
      <c r="BT1184" s="5">
        <f t="shared" si="1062"/>
        <v>0</v>
      </c>
      <c r="BU1184" s="5">
        <f t="shared" si="1062"/>
        <v>0</v>
      </c>
      <c r="BV1184" s="5">
        <f t="shared" si="1062"/>
        <v>0</v>
      </c>
      <c r="BW1184" s="5">
        <f t="shared" si="1062"/>
        <v>0</v>
      </c>
      <c r="BX1184" s="5">
        <f t="shared" si="1062"/>
        <v>0</v>
      </c>
      <c r="BY1184" s="5">
        <f t="shared" si="1062"/>
        <v>0</v>
      </c>
      <c r="BZ1184" s="5">
        <f t="shared" si="1062"/>
        <v>0</v>
      </c>
      <c r="CA1184" s="5">
        <f t="shared" si="1062"/>
        <v>0</v>
      </c>
      <c r="CB1184" s="5">
        <f t="shared" si="1061"/>
        <v>0</v>
      </c>
      <c r="CC1184" s="5">
        <f t="shared" si="1061"/>
        <v>0</v>
      </c>
      <c r="CD1184" s="5">
        <f t="shared" si="1061"/>
        <v>1</v>
      </c>
      <c r="CE1184" s="5">
        <f t="shared" si="1061"/>
        <v>0</v>
      </c>
    </row>
    <row r="1185" spans="1:83" x14ac:dyDescent="0.2">
      <c r="A1185" s="11"/>
      <c r="B1185" s="11"/>
      <c r="C1185" s="1">
        <f>Growth!D1190</f>
        <v>4.8366013071895426E-2</v>
      </c>
      <c r="D1185" s="5" t="b">
        <f t="shared" si="1038"/>
        <v>0</v>
      </c>
      <c r="E1185" s="5">
        <v>2014</v>
      </c>
      <c r="F1185" s="5">
        <f ca="1">LOOKUP($E1185,frequence!$A$2:$A$35,frequence!L$2:L$35)</f>
        <v>50.75383375536623</v>
      </c>
      <c r="G1185" s="5">
        <f ca="1">LOOKUP($E1185,frequence!$A$2:$A$35,frequence!K$2:K$35)</f>
        <v>9.9751715831189358</v>
      </c>
      <c r="H1185" s="5">
        <f ca="1">LOOKUP($E1185,frequence!$A$2:$A$35,frequence!M$2:M$35)</f>
        <v>236.05429056976001</v>
      </c>
      <c r="I1185" s="16">
        <v>2007</v>
      </c>
      <c r="J1185" s="7">
        <f>LOOKUP(I1185,CPI!A$69:A$103,CPI!O$69:O$103)</f>
        <v>1.0516730811895323</v>
      </c>
      <c r="K1185" s="16">
        <v>2015</v>
      </c>
      <c r="L1185" s="7">
        <f t="shared" ca="1" si="1056"/>
        <v>1</v>
      </c>
      <c r="M1185" s="7">
        <f t="shared" si="1047"/>
        <v>0.30954248366013076</v>
      </c>
      <c r="N1185" s="14">
        <v>4.8366013071895426E-2</v>
      </c>
      <c r="O1185" s="1">
        <f ca="1">P1185*J1185*(1+Growth!G$6)^(2010-K1185)</f>
        <v>11.683162372147406</v>
      </c>
      <c r="P1185">
        <v>11.974921630094</v>
      </c>
      <c r="Q1185" s="2">
        <f t="shared" si="1039"/>
        <v>11.974921630094</v>
      </c>
      <c r="R1185" s="21">
        <f t="shared" ca="1" si="1040"/>
        <v>136.496283013961</v>
      </c>
      <c r="U1185" s="11"/>
      <c r="V1185" s="11"/>
      <c r="W1185" s="11"/>
      <c r="X1185" s="11"/>
      <c r="Y1185" s="11"/>
      <c r="Z1185" s="11"/>
      <c r="AA1185" s="11"/>
      <c r="AB1185" s="11"/>
      <c r="AC1185" s="1">
        <f t="shared" si="1048"/>
        <v>6.4</v>
      </c>
      <c r="AD1185" s="5">
        <v>1</v>
      </c>
      <c r="AE1185" s="5">
        <v>0</v>
      </c>
      <c r="AF1185" s="5">
        <v>1</v>
      </c>
      <c r="AG1185" s="5">
        <v>0</v>
      </c>
      <c r="AH1185" s="5">
        <v>1</v>
      </c>
      <c r="AI1185" s="3">
        <f t="shared" si="1049"/>
        <v>3.4</v>
      </c>
      <c r="AJ1185" s="5">
        <f t="shared" si="1064"/>
        <v>0</v>
      </c>
      <c r="AK1185" s="5">
        <f t="shared" si="1057"/>
        <v>0</v>
      </c>
      <c r="AL1185" s="5">
        <f t="shared" si="1058"/>
        <v>0</v>
      </c>
      <c r="AM1185" s="5">
        <f t="shared" si="1065"/>
        <v>0</v>
      </c>
      <c r="AN1185" s="5">
        <f t="shared" si="1059"/>
        <v>0</v>
      </c>
      <c r="AO1185" s="5">
        <f t="shared" si="1066"/>
        <v>0</v>
      </c>
      <c r="AP1185" s="11" t="s">
        <v>42</v>
      </c>
      <c r="AQ1185" s="11" t="s">
        <v>42</v>
      </c>
      <c r="AR1185" s="5">
        <v>0</v>
      </c>
      <c r="AS1185" s="5">
        <v>0</v>
      </c>
      <c r="AT1185" s="5">
        <v>0</v>
      </c>
      <c r="AU1185" s="5">
        <v>0</v>
      </c>
      <c r="AV1185" s="5">
        <v>0</v>
      </c>
      <c r="AW1185" s="5">
        <v>0</v>
      </c>
      <c r="AX1185" s="5">
        <v>1</v>
      </c>
      <c r="AY1185" s="1">
        <f t="shared" si="1050"/>
        <v>0</v>
      </c>
      <c r="AZ1185" s="1">
        <f t="shared" si="1051"/>
        <v>0</v>
      </c>
      <c r="BA1185" s="1">
        <f t="shared" si="1052"/>
        <v>0</v>
      </c>
      <c r="BB1185" s="5">
        <v>0</v>
      </c>
      <c r="BC1185" s="5">
        <v>0</v>
      </c>
      <c r="BD1185" s="5">
        <v>0</v>
      </c>
      <c r="BE1185" s="5">
        <f t="shared" si="1053"/>
        <v>1</v>
      </c>
      <c r="BF1185" s="5">
        <v>1</v>
      </c>
      <c r="BG1185" s="5">
        <f t="shared" si="1063"/>
        <v>0</v>
      </c>
      <c r="BH1185" s="5">
        <f t="shared" si="1063"/>
        <v>0</v>
      </c>
      <c r="BI1185" s="5">
        <f t="shared" si="1063"/>
        <v>0</v>
      </c>
      <c r="BJ1185" s="5">
        <f t="shared" si="1063"/>
        <v>0</v>
      </c>
      <c r="BK1185" s="5">
        <f t="shared" si="1063"/>
        <v>0</v>
      </c>
      <c r="BL1185" s="5">
        <f t="shared" si="1063"/>
        <v>0</v>
      </c>
      <c r="BM1185" s="5">
        <f t="shared" si="1063"/>
        <v>0</v>
      </c>
      <c r="BN1185" s="5">
        <f t="shared" si="1063"/>
        <v>0</v>
      </c>
      <c r="BO1185" s="5">
        <f t="shared" si="1062"/>
        <v>0</v>
      </c>
      <c r="BP1185" s="5">
        <f t="shared" si="1062"/>
        <v>0</v>
      </c>
      <c r="BQ1185" s="5">
        <f t="shared" si="1062"/>
        <v>0</v>
      </c>
      <c r="BR1185" s="5">
        <f t="shared" si="1062"/>
        <v>0</v>
      </c>
      <c r="BS1185" s="5">
        <f t="shared" si="1062"/>
        <v>0</v>
      </c>
      <c r="BT1185" s="5">
        <f t="shared" si="1062"/>
        <v>0</v>
      </c>
      <c r="BU1185" s="5">
        <f t="shared" si="1062"/>
        <v>0</v>
      </c>
      <c r="BV1185" s="5">
        <f t="shared" si="1062"/>
        <v>0</v>
      </c>
      <c r="BW1185" s="5">
        <f t="shared" si="1062"/>
        <v>0</v>
      </c>
      <c r="BX1185" s="5">
        <f t="shared" si="1062"/>
        <v>0</v>
      </c>
      <c r="BY1185" s="5">
        <f t="shared" si="1062"/>
        <v>0</v>
      </c>
      <c r="BZ1185" s="5">
        <f t="shared" si="1062"/>
        <v>0</v>
      </c>
      <c r="CA1185" s="5">
        <f t="shared" si="1062"/>
        <v>0</v>
      </c>
      <c r="CB1185" s="5">
        <f t="shared" si="1061"/>
        <v>0</v>
      </c>
      <c r="CC1185" s="5">
        <f t="shared" si="1061"/>
        <v>0</v>
      </c>
      <c r="CD1185" s="5">
        <f t="shared" si="1061"/>
        <v>1</v>
      </c>
      <c r="CE1185" s="5">
        <f t="shared" si="1061"/>
        <v>0</v>
      </c>
    </row>
    <row r="1186" spans="1:83" x14ac:dyDescent="0.2">
      <c r="A1186" s="11"/>
      <c r="B1186" s="11"/>
      <c r="C1186" s="1">
        <f>Growth!D1191</f>
        <v>4.4444444444444446E-2</v>
      </c>
      <c r="D1186" s="5" t="b">
        <f t="shared" si="1038"/>
        <v>0</v>
      </c>
      <c r="E1186" s="5">
        <v>2014</v>
      </c>
      <c r="F1186" s="5">
        <f ca="1">LOOKUP($E1186,frequence!$A$2:$A$35,frequence!L$2:L$35)</f>
        <v>50.75383375536623</v>
      </c>
      <c r="G1186" s="5">
        <f ca="1">LOOKUP($E1186,frequence!$A$2:$A$35,frequence!K$2:K$35)</f>
        <v>9.9751715831189358</v>
      </c>
      <c r="H1186" s="5">
        <f ca="1">LOOKUP($E1186,frequence!$A$2:$A$35,frequence!M$2:M$35)</f>
        <v>236.05429056976001</v>
      </c>
      <c r="I1186" s="16">
        <v>2007</v>
      </c>
      <c r="J1186" s="7">
        <f>LOOKUP(I1186,CPI!A$69:A$103,CPI!O$69:O$103)</f>
        <v>1.0516730811895323</v>
      </c>
      <c r="K1186" s="16">
        <v>2015</v>
      </c>
      <c r="L1186" s="7">
        <f t="shared" ca="1" si="1056"/>
        <v>1</v>
      </c>
      <c r="M1186" s="7">
        <f t="shared" si="1047"/>
        <v>0.28444444444444444</v>
      </c>
      <c r="N1186" s="14">
        <v>4.4444444444444446E-2</v>
      </c>
      <c r="O1186" s="1">
        <f ca="1">P1186*J1186*(1+Growth!G$6)^(2010-K1186)</f>
        <v>10.459794584487993</v>
      </c>
      <c r="P1186">
        <v>10.7210031347962</v>
      </c>
      <c r="Q1186" s="2">
        <f t="shared" si="1039"/>
        <v>10.7210031347962</v>
      </c>
      <c r="R1186" s="21">
        <f t="shared" ca="1" si="1040"/>
        <v>109.40730274968433</v>
      </c>
      <c r="U1186" s="11"/>
      <c r="V1186" s="11"/>
      <c r="W1186" s="11"/>
      <c r="X1186" s="11"/>
      <c r="Y1186" s="11"/>
      <c r="Z1186" s="11"/>
      <c r="AA1186" s="11"/>
      <c r="AB1186" s="11"/>
      <c r="AC1186" s="1">
        <f t="shared" si="1048"/>
        <v>6.4</v>
      </c>
      <c r="AD1186" s="5">
        <v>1</v>
      </c>
      <c r="AE1186" s="5">
        <v>0</v>
      </c>
      <c r="AF1186" s="5">
        <v>1</v>
      </c>
      <c r="AG1186" s="5">
        <v>0</v>
      </c>
      <c r="AH1186" s="5">
        <v>1</v>
      </c>
      <c r="AI1186" s="3">
        <f t="shared" si="1049"/>
        <v>3.4</v>
      </c>
      <c r="AJ1186" s="5">
        <f t="shared" si="1064"/>
        <v>0</v>
      </c>
      <c r="AK1186" s="5">
        <f t="shared" si="1057"/>
        <v>0</v>
      </c>
      <c r="AL1186" s="5">
        <f t="shared" si="1058"/>
        <v>0</v>
      </c>
      <c r="AM1186" s="5">
        <f t="shared" si="1065"/>
        <v>0</v>
      </c>
      <c r="AN1186" s="5">
        <f t="shared" si="1059"/>
        <v>0</v>
      </c>
      <c r="AO1186" s="5">
        <f t="shared" si="1066"/>
        <v>0</v>
      </c>
      <c r="AP1186" s="11" t="s">
        <v>42</v>
      </c>
      <c r="AQ1186" s="11" t="s">
        <v>42</v>
      </c>
      <c r="AR1186" s="5">
        <v>0</v>
      </c>
      <c r="AS1186" s="5">
        <v>0</v>
      </c>
      <c r="AT1186" s="5">
        <v>0</v>
      </c>
      <c r="AU1186" s="5">
        <v>0</v>
      </c>
      <c r="AV1186" s="5">
        <v>0</v>
      </c>
      <c r="AW1186" s="5">
        <v>0</v>
      </c>
      <c r="AX1186" s="5">
        <v>1</v>
      </c>
      <c r="AY1186" s="1">
        <f t="shared" si="1050"/>
        <v>0</v>
      </c>
      <c r="AZ1186" s="1">
        <f t="shared" si="1051"/>
        <v>0</v>
      </c>
      <c r="BA1186" s="1">
        <f t="shared" si="1052"/>
        <v>0</v>
      </c>
      <c r="BB1186" s="5">
        <v>0</v>
      </c>
      <c r="BC1186" s="5">
        <v>0</v>
      </c>
      <c r="BD1186" s="5">
        <v>0</v>
      </c>
      <c r="BE1186" s="5">
        <f t="shared" si="1053"/>
        <v>1</v>
      </c>
      <c r="BF1186" s="5">
        <v>1</v>
      </c>
      <c r="BG1186" s="5">
        <f t="shared" si="1063"/>
        <v>0</v>
      </c>
      <c r="BH1186" s="5">
        <f t="shared" si="1063"/>
        <v>0</v>
      </c>
      <c r="BI1186" s="5">
        <f t="shared" si="1063"/>
        <v>0</v>
      </c>
      <c r="BJ1186" s="5">
        <f t="shared" si="1063"/>
        <v>0</v>
      </c>
      <c r="BK1186" s="5">
        <f t="shared" si="1063"/>
        <v>0</v>
      </c>
      <c r="BL1186" s="5">
        <f t="shared" si="1063"/>
        <v>0</v>
      </c>
      <c r="BM1186" s="5">
        <f t="shared" si="1063"/>
        <v>0</v>
      </c>
      <c r="BN1186" s="5">
        <f t="shared" si="1063"/>
        <v>0</v>
      </c>
      <c r="BO1186" s="5">
        <f t="shared" si="1062"/>
        <v>0</v>
      </c>
      <c r="BP1186" s="5">
        <f t="shared" si="1062"/>
        <v>0</v>
      </c>
      <c r="BQ1186" s="5">
        <f t="shared" si="1062"/>
        <v>0</v>
      </c>
      <c r="BR1186" s="5">
        <f t="shared" si="1062"/>
        <v>0</v>
      </c>
      <c r="BS1186" s="5">
        <f t="shared" si="1062"/>
        <v>0</v>
      </c>
      <c r="BT1186" s="5">
        <f t="shared" si="1062"/>
        <v>0</v>
      </c>
      <c r="BU1186" s="5">
        <f t="shared" si="1062"/>
        <v>0</v>
      </c>
      <c r="BV1186" s="5">
        <f t="shared" si="1062"/>
        <v>0</v>
      </c>
      <c r="BW1186" s="5">
        <f t="shared" si="1062"/>
        <v>0</v>
      </c>
      <c r="BX1186" s="5">
        <f t="shared" si="1062"/>
        <v>0</v>
      </c>
      <c r="BY1186" s="5">
        <f t="shared" si="1062"/>
        <v>0</v>
      </c>
      <c r="BZ1186" s="5">
        <f t="shared" si="1062"/>
        <v>0</v>
      </c>
      <c r="CA1186" s="5">
        <f t="shared" si="1062"/>
        <v>0</v>
      </c>
      <c r="CB1186" s="5">
        <f t="shared" si="1061"/>
        <v>0</v>
      </c>
      <c r="CC1186" s="5">
        <f t="shared" si="1061"/>
        <v>0</v>
      </c>
      <c r="CD1186" s="5">
        <f t="shared" si="1061"/>
        <v>1</v>
      </c>
      <c r="CE1186" s="5">
        <f t="shared" si="1061"/>
        <v>0</v>
      </c>
    </row>
    <row r="1187" spans="1:83" x14ac:dyDescent="0.2">
      <c r="A1187" s="11"/>
      <c r="B1187" s="11"/>
      <c r="C1187" s="1">
        <f>Growth!D1192</f>
        <v>4.0522875816993473E-2</v>
      </c>
      <c r="D1187" s="5" t="b">
        <f t="shared" si="1038"/>
        <v>0</v>
      </c>
      <c r="E1187" s="5">
        <v>2014</v>
      </c>
      <c r="F1187" s="5">
        <f ca="1">LOOKUP($E1187,frequence!$A$2:$A$35,frequence!L$2:L$35)</f>
        <v>50.75383375536623</v>
      </c>
      <c r="G1187" s="5">
        <f ca="1">LOOKUP($E1187,frequence!$A$2:$A$35,frequence!K$2:K$35)</f>
        <v>9.9751715831189358</v>
      </c>
      <c r="H1187" s="5">
        <f ca="1">LOOKUP($E1187,frequence!$A$2:$A$35,frequence!M$2:M$35)</f>
        <v>236.05429056976001</v>
      </c>
      <c r="I1187" s="16">
        <v>2007</v>
      </c>
      <c r="J1187" s="7">
        <f>LOOKUP(I1187,CPI!A$69:A$103,CPI!O$69:O$103)</f>
        <v>1.0516730811895323</v>
      </c>
      <c r="K1187" s="16">
        <v>2015</v>
      </c>
      <c r="L1187" s="7">
        <f t="shared" ca="1" si="1056"/>
        <v>1</v>
      </c>
      <c r="M1187" s="7">
        <f t="shared" si="1047"/>
        <v>0.25934640522875824</v>
      </c>
      <c r="N1187" s="14">
        <v>4.0522875816993473E-2</v>
      </c>
      <c r="O1187" s="1">
        <f ca="1">P1187*J1187*(1+Growth!G$6)^(2010-K1187)</f>
        <v>9.4811003543604908</v>
      </c>
      <c r="P1187">
        <v>9.7178683385579898</v>
      </c>
      <c r="Q1187" s="2">
        <f t="shared" si="1039"/>
        <v>9.7178683385579898</v>
      </c>
      <c r="R1187" s="21">
        <f t="shared" ca="1" si="1040"/>
        <v>89.891263929454624</v>
      </c>
      <c r="U1187" s="11"/>
      <c r="V1187" s="11"/>
      <c r="W1187" s="11"/>
      <c r="X1187" s="11"/>
      <c r="Y1187" s="11"/>
      <c r="Z1187" s="11"/>
      <c r="AA1187" s="11"/>
      <c r="AB1187" s="11"/>
      <c r="AC1187" s="1">
        <f t="shared" si="1048"/>
        <v>6.4</v>
      </c>
      <c r="AD1187" s="5">
        <v>1</v>
      </c>
      <c r="AE1187" s="5">
        <v>0</v>
      </c>
      <c r="AF1187" s="5">
        <v>1</v>
      </c>
      <c r="AG1187" s="5">
        <v>0</v>
      </c>
      <c r="AH1187" s="5">
        <v>1</v>
      </c>
      <c r="AI1187" s="3">
        <f t="shared" si="1049"/>
        <v>3.4</v>
      </c>
      <c r="AJ1187" s="5">
        <f t="shared" si="1064"/>
        <v>0</v>
      </c>
      <c r="AK1187" s="5">
        <f t="shared" si="1057"/>
        <v>0</v>
      </c>
      <c r="AL1187" s="5">
        <f t="shared" si="1058"/>
        <v>0</v>
      </c>
      <c r="AM1187" s="5">
        <f t="shared" si="1065"/>
        <v>0</v>
      </c>
      <c r="AN1187" s="5">
        <f t="shared" si="1059"/>
        <v>0</v>
      </c>
      <c r="AO1187" s="5">
        <f t="shared" si="1066"/>
        <v>0</v>
      </c>
      <c r="AP1187" s="11" t="s">
        <v>42</v>
      </c>
      <c r="AQ1187" s="11" t="s">
        <v>42</v>
      </c>
      <c r="AR1187" s="5">
        <v>0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1</v>
      </c>
      <c r="AY1187" s="1">
        <f t="shared" si="1050"/>
        <v>0</v>
      </c>
      <c r="AZ1187" s="1">
        <f t="shared" si="1051"/>
        <v>0</v>
      </c>
      <c r="BA1187" s="1">
        <f t="shared" si="1052"/>
        <v>0</v>
      </c>
      <c r="BB1187" s="5">
        <v>0</v>
      </c>
      <c r="BC1187" s="5">
        <v>0</v>
      </c>
      <c r="BD1187" s="5">
        <v>0</v>
      </c>
      <c r="BE1187" s="5">
        <f t="shared" si="1053"/>
        <v>1</v>
      </c>
      <c r="BF1187" s="5">
        <v>1</v>
      </c>
      <c r="BG1187" s="5">
        <f t="shared" si="1063"/>
        <v>0</v>
      </c>
      <c r="BH1187" s="5">
        <f t="shared" si="1063"/>
        <v>0</v>
      </c>
      <c r="BI1187" s="5">
        <f t="shared" si="1063"/>
        <v>0</v>
      </c>
      <c r="BJ1187" s="5">
        <f t="shared" si="1063"/>
        <v>0</v>
      </c>
      <c r="BK1187" s="5">
        <f t="shared" si="1063"/>
        <v>0</v>
      </c>
      <c r="BL1187" s="5">
        <f t="shared" si="1063"/>
        <v>0</v>
      </c>
      <c r="BM1187" s="5">
        <f t="shared" si="1063"/>
        <v>0</v>
      </c>
      <c r="BN1187" s="5">
        <f t="shared" si="1063"/>
        <v>0</v>
      </c>
      <c r="BO1187" s="5">
        <f t="shared" si="1062"/>
        <v>0</v>
      </c>
      <c r="BP1187" s="5">
        <f t="shared" si="1062"/>
        <v>0</v>
      </c>
      <c r="BQ1187" s="5">
        <f t="shared" si="1062"/>
        <v>0</v>
      </c>
      <c r="BR1187" s="5">
        <f t="shared" si="1062"/>
        <v>0</v>
      </c>
      <c r="BS1187" s="5">
        <f t="shared" si="1062"/>
        <v>0</v>
      </c>
      <c r="BT1187" s="5">
        <f t="shared" si="1062"/>
        <v>0</v>
      </c>
      <c r="BU1187" s="5">
        <f t="shared" si="1062"/>
        <v>0</v>
      </c>
      <c r="BV1187" s="5">
        <f t="shared" si="1062"/>
        <v>0</v>
      </c>
      <c r="BW1187" s="5">
        <f t="shared" si="1062"/>
        <v>0</v>
      </c>
      <c r="BX1187" s="5">
        <f t="shared" si="1062"/>
        <v>0</v>
      </c>
      <c r="BY1187" s="5">
        <f t="shared" si="1062"/>
        <v>0</v>
      </c>
      <c r="BZ1187" s="5">
        <f t="shared" si="1062"/>
        <v>0</v>
      </c>
      <c r="CA1187" s="5">
        <f t="shared" si="1062"/>
        <v>0</v>
      </c>
      <c r="CB1187" s="5">
        <f t="shared" si="1061"/>
        <v>0</v>
      </c>
      <c r="CC1187" s="5">
        <f t="shared" si="1061"/>
        <v>0</v>
      </c>
      <c r="CD1187" s="5">
        <f t="shared" si="1061"/>
        <v>1</v>
      </c>
      <c r="CE1187" s="5">
        <f t="shared" si="1061"/>
        <v>0</v>
      </c>
    </row>
    <row r="1188" spans="1:83" x14ac:dyDescent="0.2">
      <c r="A1188" s="11"/>
      <c r="B1188" s="11"/>
      <c r="C1188" s="1">
        <f>Growth!D1193</f>
        <v>3.6601307189542492E-2</v>
      </c>
      <c r="D1188" s="5" t="b">
        <f t="shared" si="1038"/>
        <v>0</v>
      </c>
      <c r="E1188" s="5">
        <v>2014</v>
      </c>
      <c r="F1188" s="5">
        <f ca="1">LOOKUP($E1188,frequence!$A$2:$A$35,frequence!L$2:L$35)</f>
        <v>50.75383375536623</v>
      </c>
      <c r="G1188" s="5">
        <f ca="1">LOOKUP($E1188,frequence!$A$2:$A$35,frequence!K$2:K$35)</f>
        <v>9.9751715831189358</v>
      </c>
      <c r="H1188" s="5">
        <f ca="1">LOOKUP($E1188,frequence!$A$2:$A$35,frequence!M$2:M$35)</f>
        <v>236.05429056976001</v>
      </c>
      <c r="I1188" s="16">
        <v>2007</v>
      </c>
      <c r="J1188" s="7">
        <f>LOOKUP(I1188,CPI!A$69:A$103,CPI!O$69:O$103)</f>
        <v>1.0516730811895323</v>
      </c>
      <c r="K1188" s="16">
        <v>2015</v>
      </c>
      <c r="L1188" s="7">
        <f t="shared" ca="1" si="1056"/>
        <v>1</v>
      </c>
      <c r="M1188" s="7">
        <f t="shared" si="1047"/>
        <v>0.23424836601307197</v>
      </c>
      <c r="N1188" s="14">
        <v>3.6601307189542492E-2</v>
      </c>
      <c r="O1188" s="1">
        <f ca="1">P1188*J1188*(1+Growth!G$6)^(2010-K1188)</f>
        <v>8.5024061242329516</v>
      </c>
      <c r="P1188">
        <v>8.7147335423197401</v>
      </c>
      <c r="Q1188" s="2">
        <f t="shared" si="1039"/>
        <v>8.7147335423197401</v>
      </c>
      <c r="R1188" s="21">
        <f t="shared" ca="1" si="1040"/>
        <v>72.290909901394002</v>
      </c>
      <c r="U1188" s="11"/>
      <c r="V1188" s="11"/>
      <c r="W1188" s="11"/>
      <c r="X1188" s="11"/>
      <c r="Y1188" s="11"/>
      <c r="Z1188" s="11"/>
      <c r="AA1188" s="11"/>
      <c r="AB1188" s="11"/>
      <c r="AC1188" s="1">
        <f t="shared" si="1048"/>
        <v>6.4</v>
      </c>
      <c r="AD1188" s="5">
        <v>1</v>
      </c>
      <c r="AE1188" s="5">
        <v>0</v>
      </c>
      <c r="AF1188" s="5">
        <v>1</v>
      </c>
      <c r="AG1188" s="5">
        <v>0</v>
      </c>
      <c r="AH1188" s="5">
        <v>1</v>
      </c>
      <c r="AI1188" s="3">
        <f t="shared" si="1049"/>
        <v>3.4</v>
      </c>
      <c r="AJ1188" s="5">
        <f t="shared" si="1064"/>
        <v>0</v>
      </c>
      <c r="AK1188" s="5">
        <f t="shared" si="1057"/>
        <v>0</v>
      </c>
      <c r="AL1188" s="5">
        <f t="shared" si="1058"/>
        <v>0</v>
      </c>
      <c r="AM1188" s="5">
        <f t="shared" si="1065"/>
        <v>0</v>
      </c>
      <c r="AN1188" s="5">
        <f t="shared" si="1059"/>
        <v>0</v>
      </c>
      <c r="AO1188" s="5">
        <f t="shared" si="1066"/>
        <v>0</v>
      </c>
      <c r="AP1188" s="11" t="s">
        <v>42</v>
      </c>
      <c r="AQ1188" s="11" t="s">
        <v>42</v>
      </c>
      <c r="AR1188" s="5">
        <v>0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1</v>
      </c>
      <c r="AY1188" s="1">
        <f t="shared" si="1050"/>
        <v>0</v>
      </c>
      <c r="AZ1188" s="1">
        <f t="shared" si="1051"/>
        <v>0</v>
      </c>
      <c r="BA1188" s="1">
        <f t="shared" si="1052"/>
        <v>0</v>
      </c>
      <c r="BB1188" s="5">
        <v>0</v>
      </c>
      <c r="BC1188" s="5">
        <v>0</v>
      </c>
      <c r="BD1188" s="5">
        <v>0</v>
      </c>
      <c r="BE1188" s="5">
        <f t="shared" si="1053"/>
        <v>1</v>
      </c>
      <c r="BF1188" s="5">
        <v>1</v>
      </c>
      <c r="BG1188" s="5">
        <f t="shared" si="1063"/>
        <v>0</v>
      </c>
      <c r="BH1188" s="5">
        <f t="shared" si="1063"/>
        <v>0</v>
      </c>
      <c r="BI1188" s="5">
        <f t="shared" si="1063"/>
        <v>0</v>
      </c>
      <c r="BJ1188" s="5">
        <f t="shared" si="1063"/>
        <v>0</v>
      </c>
      <c r="BK1188" s="5">
        <f t="shared" si="1063"/>
        <v>0</v>
      </c>
      <c r="BL1188" s="5">
        <f t="shared" si="1063"/>
        <v>0</v>
      </c>
      <c r="BM1188" s="5">
        <f t="shared" si="1063"/>
        <v>0</v>
      </c>
      <c r="BN1188" s="5">
        <f t="shared" ref="BN1188:CB1203" si="1067">IF($E1188=BN$2,1,0)</f>
        <v>0</v>
      </c>
      <c r="BO1188" s="5">
        <f t="shared" si="1067"/>
        <v>0</v>
      </c>
      <c r="BP1188" s="5">
        <f t="shared" si="1067"/>
        <v>0</v>
      </c>
      <c r="BQ1188" s="5">
        <f t="shared" si="1067"/>
        <v>0</v>
      </c>
      <c r="BR1188" s="5">
        <f t="shared" si="1067"/>
        <v>0</v>
      </c>
      <c r="BS1188" s="5">
        <f t="shared" si="1067"/>
        <v>0</v>
      </c>
      <c r="BT1188" s="5">
        <f t="shared" si="1067"/>
        <v>0</v>
      </c>
      <c r="BU1188" s="5">
        <f t="shared" si="1067"/>
        <v>0</v>
      </c>
      <c r="BV1188" s="5">
        <f t="shared" si="1067"/>
        <v>0</v>
      </c>
      <c r="BW1188" s="5">
        <f t="shared" si="1067"/>
        <v>0</v>
      </c>
      <c r="BX1188" s="5">
        <f t="shared" si="1067"/>
        <v>0</v>
      </c>
      <c r="BY1188" s="5">
        <f t="shared" si="1067"/>
        <v>0</v>
      </c>
      <c r="BZ1188" s="5">
        <f t="shared" si="1067"/>
        <v>0</v>
      </c>
      <c r="CA1188" s="5">
        <f t="shared" si="1067"/>
        <v>0</v>
      </c>
      <c r="CB1188" s="5">
        <f t="shared" si="1061"/>
        <v>0</v>
      </c>
      <c r="CC1188" s="5">
        <f t="shared" si="1061"/>
        <v>0</v>
      </c>
      <c r="CD1188" s="5">
        <f t="shared" si="1061"/>
        <v>1</v>
      </c>
      <c r="CE1188" s="5">
        <f t="shared" si="1061"/>
        <v>0</v>
      </c>
    </row>
    <row r="1189" spans="1:83" x14ac:dyDescent="0.2">
      <c r="A1189" s="11"/>
      <c r="B1189" s="11"/>
      <c r="C1189" s="1">
        <f>Growth!D1194</f>
        <v>3.2679738562091512E-2</v>
      </c>
      <c r="D1189" s="5" t="b">
        <f t="shared" si="1038"/>
        <v>0</v>
      </c>
      <c r="E1189" s="5">
        <v>2014</v>
      </c>
      <c r="F1189" s="5">
        <f ca="1">LOOKUP($E1189,frequence!$A$2:$A$35,frequence!L$2:L$35)</f>
        <v>50.75383375536623</v>
      </c>
      <c r="G1189" s="5">
        <f ca="1">LOOKUP($E1189,frequence!$A$2:$A$35,frequence!K$2:K$35)</f>
        <v>9.9751715831189358</v>
      </c>
      <c r="H1189" s="5">
        <f ca="1">LOOKUP($E1189,frequence!$A$2:$A$35,frequence!M$2:M$35)</f>
        <v>236.05429056976001</v>
      </c>
      <c r="I1189" s="16">
        <v>2007</v>
      </c>
      <c r="J1189" s="7">
        <f>LOOKUP(I1189,CPI!A$69:A$103,CPI!O$69:O$103)</f>
        <v>1.0516730811895323</v>
      </c>
      <c r="K1189" s="16">
        <v>2015</v>
      </c>
      <c r="L1189" s="7">
        <f t="shared" ca="1" si="1056"/>
        <v>1</v>
      </c>
      <c r="M1189" s="7">
        <f t="shared" si="1047"/>
        <v>0.20915032679738568</v>
      </c>
      <c r="N1189" s="14">
        <v>3.2679738562091512E-2</v>
      </c>
      <c r="O1189" s="1">
        <f ca="1">P1189*J1189*(1+Growth!G$6)^(2010-K1189)</f>
        <v>7.5237118941054213</v>
      </c>
      <c r="P1189">
        <v>7.7115987460815001</v>
      </c>
      <c r="Q1189" s="2">
        <f t="shared" si="1039"/>
        <v>7.7115987460815001</v>
      </c>
      <c r="R1189" s="21">
        <f t="shared" ca="1" si="1040"/>
        <v>56.606240665503385</v>
      </c>
      <c r="U1189" s="11"/>
      <c r="V1189" s="11"/>
      <c r="W1189" s="11"/>
      <c r="X1189" s="11"/>
      <c r="Y1189" s="11"/>
      <c r="Z1189" s="11"/>
      <c r="AA1189" s="11"/>
      <c r="AB1189" s="11"/>
      <c r="AC1189" s="1">
        <f t="shared" si="1048"/>
        <v>6.4</v>
      </c>
      <c r="AD1189" s="5">
        <v>1</v>
      </c>
      <c r="AE1189" s="5">
        <v>0</v>
      </c>
      <c r="AF1189" s="5">
        <v>1</v>
      </c>
      <c r="AG1189" s="5">
        <v>0</v>
      </c>
      <c r="AH1189" s="5">
        <v>1</v>
      </c>
      <c r="AI1189" s="3">
        <f t="shared" si="1049"/>
        <v>3.4</v>
      </c>
      <c r="AJ1189" s="5">
        <f t="shared" si="1064"/>
        <v>0</v>
      </c>
      <c r="AK1189" s="5">
        <f t="shared" si="1057"/>
        <v>0</v>
      </c>
      <c r="AL1189" s="5">
        <f t="shared" si="1058"/>
        <v>0</v>
      </c>
      <c r="AM1189" s="5">
        <f t="shared" si="1065"/>
        <v>0</v>
      </c>
      <c r="AN1189" s="5">
        <f t="shared" si="1059"/>
        <v>0</v>
      </c>
      <c r="AO1189" s="5">
        <f t="shared" si="1066"/>
        <v>0</v>
      </c>
      <c r="AP1189" s="11" t="s">
        <v>42</v>
      </c>
      <c r="AQ1189" s="11" t="s">
        <v>42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1</v>
      </c>
      <c r="AY1189" s="1">
        <f t="shared" si="1050"/>
        <v>0</v>
      </c>
      <c r="AZ1189" s="1">
        <f t="shared" si="1051"/>
        <v>0</v>
      </c>
      <c r="BA1189" s="1">
        <f t="shared" si="1052"/>
        <v>0</v>
      </c>
      <c r="BB1189" s="5">
        <v>0</v>
      </c>
      <c r="BC1189" s="5">
        <v>0</v>
      </c>
      <c r="BD1189" s="5">
        <v>0</v>
      </c>
      <c r="BE1189" s="5">
        <f t="shared" si="1053"/>
        <v>1</v>
      </c>
      <c r="BF1189" s="5">
        <v>1</v>
      </c>
      <c r="BG1189" s="5">
        <f t="shared" ref="BG1189:BN1204" si="1068">IF($E1189=BG$2,1,0)</f>
        <v>0</v>
      </c>
      <c r="BH1189" s="5">
        <f t="shared" si="1068"/>
        <v>0</v>
      </c>
      <c r="BI1189" s="5">
        <f t="shared" si="1068"/>
        <v>0</v>
      </c>
      <c r="BJ1189" s="5">
        <f t="shared" si="1068"/>
        <v>0</v>
      </c>
      <c r="BK1189" s="5">
        <f t="shared" si="1068"/>
        <v>0</v>
      </c>
      <c r="BL1189" s="5">
        <f t="shared" si="1068"/>
        <v>0</v>
      </c>
      <c r="BM1189" s="5">
        <f t="shared" si="1068"/>
        <v>0</v>
      </c>
      <c r="BN1189" s="5">
        <f t="shared" si="1067"/>
        <v>0</v>
      </c>
      <c r="BO1189" s="5">
        <f t="shared" si="1067"/>
        <v>0</v>
      </c>
      <c r="BP1189" s="5">
        <f t="shared" si="1067"/>
        <v>0</v>
      </c>
      <c r="BQ1189" s="5">
        <f t="shared" si="1067"/>
        <v>0</v>
      </c>
      <c r="BR1189" s="5">
        <f t="shared" si="1067"/>
        <v>0</v>
      </c>
      <c r="BS1189" s="5">
        <f t="shared" si="1067"/>
        <v>0</v>
      </c>
      <c r="BT1189" s="5">
        <f t="shared" si="1067"/>
        <v>0</v>
      </c>
      <c r="BU1189" s="5">
        <f t="shared" si="1067"/>
        <v>0</v>
      </c>
      <c r="BV1189" s="5">
        <f t="shared" si="1067"/>
        <v>0</v>
      </c>
      <c r="BW1189" s="5">
        <f t="shared" si="1067"/>
        <v>0</v>
      </c>
      <c r="BX1189" s="5">
        <f t="shared" si="1067"/>
        <v>0</v>
      </c>
      <c r="BY1189" s="5">
        <f t="shared" si="1067"/>
        <v>0</v>
      </c>
      <c r="BZ1189" s="5">
        <f t="shared" si="1067"/>
        <v>0</v>
      </c>
      <c r="CA1189" s="5">
        <f t="shared" si="1067"/>
        <v>0</v>
      </c>
      <c r="CB1189" s="5">
        <f t="shared" si="1061"/>
        <v>0</v>
      </c>
      <c r="CC1189" s="5">
        <f t="shared" si="1061"/>
        <v>0</v>
      </c>
      <c r="CD1189" s="5">
        <f t="shared" si="1061"/>
        <v>1</v>
      </c>
      <c r="CE1189" s="5">
        <f t="shared" si="1061"/>
        <v>0</v>
      </c>
    </row>
    <row r="1190" spans="1:83" x14ac:dyDescent="0.2">
      <c r="A1190" s="11"/>
      <c r="B1190" s="11"/>
      <c r="C1190" s="1">
        <f>Growth!D1195</f>
        <v>2.8758169934640535E-2</v>
      </c>
      <c r="D1190" s="5" t="b">
        <f t="shared" si="1038"/>
        <v>0</v>
      </c>
      <c r="E1190" s="5">
        <v>2014</v>
      </c>
      <c r="F1190" s="5">
        <f ca="1">LOOKUP($E1190,frequence!$A$2:$A$35,frequence!L$2:L$35)</f>
        <v>50.75383375536623</v>
      </c>
      <c r="G1190" s="5">
        <f ca="1">LOOKUP($E1190,frequence!$A$2:$A$35,frequence!K$2:K$35)</f>
        <v>9.9751715831189358</v>
      </c>
      <c r="H1190" s="5">
        <f ca="1">LOOKUP($E1190,frequence!$A$2:$A$35,frequence!M$2:M$35)</f>
        <v>236.05429056976001</v>
      </c>
      <c r="I1190" s="16">
        <v>2007</v>
      </c>
      <c r="J1190" s="7">
        <f>LOOKUP(I1190,CPI!A$69:A$103,CPI!O$69:O$103)</f>
        <v>1.0516730811895323</v>
      </c>
      <c r="K1190" s="16">
        <v>2015</v>
      </c>
      <c r="L1190" s="7">
        <f t="shared" ca="1" si="1056"/>
        <v>1</v>
      </c>
      <c r="M1190" s="7">
        <f t="shared" si="1047"/>
        <v>0.18405228758169945</v>
      </c>
      <c r="N1190" s="14">
        <v>2.8758169934640535E-2</v>
      </c>
      <c r="O1190" s="1">
        <f ca="1">P1190*J1190*(1+Growth!G$6)^(2010-K1190)</f>
        <v>7.2790383365735183</v>
      </c>
      <c r="P1190">
        <v>7.4608150470219199</v>
      </c>
      <c r="Q1190" s="2">
        <f t="shared" si="1039"/>
        <v>7.4608150470219199</v>
      </c>
      <c r="R1190" s="21">
        <f t="shared" ca="1" si="1040"/>
        <v>52.98439910530697</v>
      </c>
      <c r="U1190" s="11"/>
      <c r="V1190" s="11"/>
      <c r="W1190" s="11"/>
      <c r="X1190" s="11"/>
      <c r="Y1190" s="11"/>
      <c r="Z1190" s="11"/>
      <c r="AA1190" s="11"/>
      <c r="AB1190" s="11"/>
      <c r="AC1190" s="1">
        <f t="shared" si="1048"/>
        <v>6.4</v>
      </c>
      <c r="AD1190" s="5">
        <v>1</v>
      </c>
      <c r="AE1190" s="5">
        <v>0</v>
      </c>
      <c r="AF1190" s="5">
        <v>1</v>
      </c>
      <c r="AG1190" s="5">
        <v>0</v>
      </c>
      <c r="AH1190" s="5">
        <v>1</v>
      </c>
      <c r="AI1190" s="3">
        <f t="shared" si="1049"/>
        <v>3.4</v>
      </c>
      <c r="AJ1190" s="5">
        <f t="shared" si="1064"/>
        <v>0</v>
      </c>
      <c r="AK1190" s="5">
        <f t="shared" si="1057"/>
        <v>0</v>
      </c>
      <c r="AL1190" s="5">
        <f t="shared" si="1058"/>
        <v>0</v>
      </c>
      <c r="AM1190" s="5">
        <f t="shared" si="1065"/>
        <v>0</v>
      </c>
      <c r="AN1190" s="5">
        <f t="shared" si="1059"/>
        <v>0</v>
      </c>
      <c r="AO1190" s="5">
        <f t="shared" si="1066"/>
        <v>0</v>
      </c>
      <c r="AP1190" s="11" t="s">
        <v>42</v>
      </c>
      <c r="AQ1190" s="11" t="s">
        <v>42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1</v>
      </c>
      <c r="AY1190" s="1">
        <f t="shared" si="1050"/>
        <v>0</v>
      </c>
      <c r="AZ1190" s="1">
        <f t="shared" si="1051"/>
        <v>0</v>
      </c>
      <c r="BA1190" s="1">
        <f t="shared" si="1052"/>
        <v>0</v>
      </c>
      <c r="BB1190" s="5">
        <v>0</v>
      </c>
      <c r="BC1190" s="5">
        <v>0</v>
      </c>
      <c r="BD1190" s="5">
        <v>0</v>
      </c>
      <c r="BE1190" s="5">
        <f t="shared" si="1053"/>
        <v>1</v>
      </c>
      <c r="BF1190" s="5">
        <v>1</v>
      </c>
      <c r="BG1190" s="5">
        <f t="shared" si="1068"/>
        <v>0</v>
      </c>
      <c r="BH1190" s="5">
        <f t="shared" si="1068"/>
        <v>0</v>
      </c>
      <c r="BI1190" s="5">
        <f t="shared" si="1068"/>
        <v>0</v>
      </c>
      <c r="BJ1190" s="5">
        <f t="shared" si="1068"/>
        <v>0</v>
      </c>
      <c r="BK1190" s="5">
        <f t="shared" si="1068"/>
        <v>0</v>
      </c>
      <c r="BL1190" s="5">
        <f t="shared" si="1068"/>
        <v>0</v>
      </c>
      <c r="BM1190" s="5">
        <f t="shared" si="1068"/>
        <v>0</v>
      </c>
      <c r="BN1190" s="5">
        <f t="shared" si="1067"/>
        <v>0</v>
      </c>
      <c r="BO1190" s="5">
        <f t="shared" si="1067"/>
        <v>0</v>
      </c>
      <c r="BP1190" s="5">
        <f t="shared" si="1067"/>
        <v>0</v>
      </c>
      <c r="BQ1190" s="5">
        <f t="shared" si="1067"/>
        <v>0</v>
      </c>
      <c r="BR1190" s="5">
        <f t="shared" si="1067"/>
        <v>0</v>
      </c>
      <c r="BS1190" s="5">
        <f t="shared" si="1067"/>
        <v>0</v>
      </c>
      <c r="BT1190" s="5">
        <f t="shared" si="1067"/>
        <v>0</v>
      </c>
      <c r="BU1190" s="5">
        <f t="shared" si="1067"/>
        <v>0</v>
      </c>
      <c r="BV1190" s="5">
        <f t="shared" si="1067"/>
        <v>0</v>
      </c>
      <c r="BW1190" s="5">
        <f t="shared" si="1067"/>
        <v>0</v>
      </c>
      <c r="BX1190" s="5">
        <f t="shared" si="1067"/>
        <v>0</v>
      </c>
      <c r="BY1190" s="5">
        <f t="shared" si="1067"/>
        <v>0</v>
      </c>
      <c r="BZ1190" s="5">
        <f t="shared" si="1067"/>
        <v>0</v>
      </c>
      <c r="CA1190" s="5">
        <f t="shared" si="1067"/>
        <v>0</v>
      </c>
      <c r="CB1190" s="5">
        <f t="shared" si="1061"/>
        <v>0</v>
      </c>
      <c r="CC1190" s="5">
        <f t="shared" si="1061"/>
        <v>0</v>
      </c>
      <c r="CD1190" s="5">
        <f t="shared" si="1061"/>
        <v>1</v>
      </c>
      <c r="CE1190" s="5">
        <f t="shared" si="1061"/>
        <v>0</v>
      </c>
    </row>
    <row r="1191" spans="1:83" x14ac:dyDescent="0.2">
      <c r="A1191" s="11"/>
      <c r="B1191" s="11"/>
      <c r="C1191" s="1">
        <f>Growth!D1196</f>
        <v>2.4836601307189555E-2</v>
      </c>
      <c r="D1191" s="5" t="b">
        <f t="shared" si="1038"/>
        <v>0</v>
      </c>
      <c r="E1191" s="5">
        <v>2014</v>
      </c>
      <c r="F1191" s="5">
        <f ca="1">LOOKUP($E1191,frequence!$A$2:$A$35,frequence!L$2:L$35)</f>
        <v>50.75383375536623</v>
      </c>
      <c r="G1191" s="5">
        <f ca="1">LOOKUP($E1191,frequence!$A$2:$A$35,frequence!K$2:K$35)</f>
        <v>9.9751715831189358</v>
      </c>
      <c r="H1191" s="5">
        <f ca="1">LOOKUP($E1191,frequence!$A$2:$A$35,frequence!M$2:M$35)</f>
        <v>236.05429056976001</v>
      </c>
      <c r="I1191" s="16">
        <v>2007</v>
      </c>
      <c r="J1191" s="7">
        <f>LOOKUP(I1191,CPI!A$69:A$103,CPI!O$69:O$103)</f>
        <v>1.0516730811895323</v>
      </c>
      <c r="K1191" s="16">
        <v>2015</v>
      </c>
      <c r="L1191" s="7">
        <f t="shared" ca="1" si="1056"/>
        <v>1</v>
      </c>
      <c r="M1191" s="7">
        <f t="shared" si="1047"/>
        <v>0.15895424836601316</v>
      </c>
      <c r="N1191" s="14">
        <v>2.4836601307189555E-2</v>
      </c>
      <c r="O1191" s="1">
        <f ca="1">P1191*J1191*(1+Growth!G$6)^(2010-K1191)</f>
        <v>6.300344106445988</v>
      </c>
      <c r="P1191">
        <v>6.4576802507836799</v>
      </c>
      <c r="Q1191" s="2">
        <f t="shared" si="1039"/>
        <v>6.4576802507836799</v>
      </c>
      <c r="R1191" s="21">
        <f t="shared" ca="1" si="1040"/>
        <v>39.694335859628694</v>
      </c>
      <c r="U1191" s="11"/>
      <c r="V1191" s="11"/>
      <c r="W1191" s="11"/>
      <c r="X1191" s="11"/>
      <c r="Y1191" s="11"/>
      <c r="Z1191" s="11"/>
      <c r="AA1191" s="11"/>
      <c r="AB1191" s="11"/>
      <c r="AC1191" s="1">
        <f t="shared" si="1048"/>
        <v>6.4</v>
      </c>
      <c r="AD1191" s="5">
        <v>1</v>
      </c>
      <c r="AE1191" s="5">
        <v>0</v>
      </c>
      <c r="AF1191" s="5">
        <v>1</v>
      </c>
      <c r="AG1191" s="5">
        <v>0</v>
      </c>
      <c r="AH1191" s="5">
        <v>1</v>
      </c>
      <c r="AI1191" s="3">
        <f t="shared" si="1049"/>
        <v>3.4</v>
      </c>
      <c r="AJ1191" s="5">
        <f t="shared" si="1064"/>
        <v>0</v>
      </c>
      <c r="AK1191" s="5">
        <f t="shared" si="1057"/>
        <v>0</v>
      </c>
      <c r="AL1191" s="5">
        <f t="shared" si="1058"/>
        <v>0</v>
      </c>
      <c r="AM1191" s="5">
        <f t="shared" si="1065"/>
        <v>0</v>
      </c>
      <c r="AN1191" s="5">
        <f t="shared" si="1059"/>
        <v>0</v>
      </c>
      <c r="AO1191" s="5">
        <f t="shared" si="1066"/>
        <v>0</v>
      </c>
      <c r="AP1191" s="11" t="s">
        <v>42</v>
      </c>
      <c r="AQ1191" s="11" t="s">
        <v>42</v>
      </c>
      <c r="AR1191" s="5">
        <v>0</v>
      </c>
      <c r="AS1191" s="5">
        <v>0</v>
      </c>
      <c r="AT1191" s="5">
        <v>0</v>
      </c>
      <c r="AU1191" s="5">
        <v>0</v>
      </c>
      <c r="AV1191" s="5">
        <v>0</v>
      </c>
      <c r="AW1191" s="5">
        <v>0</v>
      </c>
      <c r="AX1191" s="5">
        <v>1</v>
      </c>
      <c r="AY1191" s="1">
        <f t="shared" si="1050"/>
        <v>0</v>
      </c>
      <c r="AZ1191" s="1">
        <f t="shared" si="1051"/>
        <v>0</v>
      </c>
      <c r="BA1191" s="1">
        <f t="shared" si="1052"/>
        <v>0</v>
      </c>
      <c r="BB1191" s="5">
        <v>0</v>
      </c>
      <c r="BC1191" s="5">
        <v>0</v>
      </c>
      <c r="BD1191" s="5">
        <v>0</v>
      </c>
      <c r="BE1191" s="5">
        <f t="shared" si="1053"/>
        <v>1</v>
      </c>
      <c r="BF1191" s="5">
        <v>1</v>
      </c>
      <c r="BG1191" s="5">
        <f t="shared" si="1068"/>
        <v>0</v>
      </c>
      <c r="BH1191" s="5">
        <f t="shared" si="1068"/>
        <v>0</v>
      </c>
      <c r="BI1191" s="5">
        <f t="shared" si="1068"/>
        <v>0</v>
      </c>
      <c r="BJ1191" s="5">
        <f t="shared" si="1068"/>
        <v>0</v>
      </c>
      <c r="BK1191" s="5">
        <f t="shared" si="1068"/>
        <v>0</v>
      </c>
      <c r="BL1191" s="5">
        <f t="shared" si="1068"/>
        <v>0</v>
      </c>
      <c r="BM1191" s="5">
        <f t="shared" si="1068"/>
        <v>0</v>
      </c>
      <c r="BN1191" s="5">
        <f t="shared" si="1067"/>
        <v>0</v>
      </c>
      <c r="BO1191" s="5">
        <f t="shared" si="1067"/>
        <v>0</v>
      </c>
      <c r="BP1191" s="5">
        <f t="shared" si="1067"/>
        <v>0</v>
      </c>
      <c r="BQ1191" s="5">
        <f t="shared" si="1067"/>
        <v>0</v>
      </c>
      <c r="BR1191" s="5">
        <f t="shared" si="1067"/>
        <v>0</v>
      </c>
      <c r="BS1191" s="5">
        <f t="shared" si="1067"/>
        <v>0</v>
      </c>
      <c r="BT1191" s="5">
        <f t="shared" si="1067"/>
        <v>0</v>
      </c>
      <c r="BU1191" s="5">
        <f t="shared" si="1067"/>
        <v>0</v>
      </c>
      <c r="BV1191" s="5">
        <f t="shared" si="1067"/>
        <v>0</v>
      </c>
      <c r="BW1191" s="5">
        <f t="shared" si="1067"/>
        <v>0</v>
      </c>
      <c r="BX1191" s="5">
        <f t="shared" si="1067"/>
        <v>0</v>
      </c>
      <c r="BY1191" s="5">
        <f t="shared" si="1067"/>
        <v>0</v>
      </c>
      <c r="BZ1191" s="5">
        <f t="shared" si="1067"/>
        <v>0</v>
      </c>
      <c r="CA1191" s="5">
        <f t="shared" si="1067"/>
        <v>0</v>
      </c>
      <c r="CB1191" s="5">
        <f t="shared" si="1067"/>
        <v>0</v>
      </c>
      <c r="CC1191" s="5">
        <f t="shared" ref="CC1191:CE1216" si="1069">IF($E1191=CC$2,1,0)</f>
        <v>0</v>
      </c>
      <c r="CD1191" s="5">
        <f t="shared" si="1069"/>
        <v>1</v>
      </c>
      <c r="CE1191" s="5">
        <f t="shared" si="1069"/>
        <v>0</v>
      </c>
    </row>
    <row r="1192" spans="1:83" x14ac:dyDescent="0.2">
      <c r="A1192" s="11"/>
      <c r="B1192" s="11"/>
      <c r="C1192" s="1">
        <f>Growth!D1197</f>
        <v>2.0915032679738575E-2</v>
      </c>
      <c r="D1192" s="5" t="b">
        <f t="shared" si="1038"/>
        <v>0</v>
      </c>
      <c r="E1192" s="5">
        <v>2014</v>
      </c>
      <c r="F1192" s="5">
        <f ca="1">LOOKUP($E1192,frequence!$A$2:$A$35,frequence!L$2:L$35)</f>
        <v>50.75383375536623</v>
      </c>
      <c r="G1192" s="5">
        <f ca="1">LOOKUP($E1192,frequence!$A$2:$A$35,frequence!K$2:K$35)</f>
        <v>9.9751715831189358</v>
      </c>
      <c r="H1192" s="5">
        <f ca="1">LOOKUP($E1192,frequence!$A$2:$A$35,frequence!M$2:M$35)</f>
        <v>236.05429056976001</v>
      </c>
      <c r="I1192" s="16">
        <v>2007</v>
      </c>
      <c r="J1192" s="7">
        <f>LOOKUP(I1192,CPI!A$69:A$103,CPI!O$69:O$103)</f>
        <v>1.0516730811895323</v>
      </c>
      <c r="K1192" s="16">
        <v>2015</v>
      </c>
      <c r="L1192" s="7">
        <f t="shared" ca="1" si="1056"/>
        <v>1</v>
      </c>
      <c r="M1192" s="7">
        <f t="shared" si="1047"/>
        <v>0.13385620915032689</v>
      </c>
      <c r="N1192" s="14">
        <v>2.0915032679738575E-2</v>
      </c>
      <c r="O1192" s="1">
        <f ca="1">P1192*J1192*(1+Growth!G$6)^(2010-K1192)</f>
        <v>5.8109969913822228</v>
      </c>
      <c r="P1192">
        <v>5.9561128526645604</v>
      </c>
      <c r="Q1192" s="2">
        <f t="shared" si="1039"/>
        <v>5.9561128526645604</v>
      </c>
      <c r="R1192" s="21">
        <f t="shared" ca="1" si="1040"/>
        <v>33.767686033853245</v>
      </c>
      <c r="U1192" s="11"/>
      <c r="V1192" s="11"/>
      <c r="W1192" s="11"/>
      <c r="X1192" s="11"/>
      <c r="Y1192" s="11"/>
      <c r="Z1192" s="11"/>
      <c r="AA1192" s="11"/>
      <c r="AB1192" s="11"/>
      <c r="AC1192" s="1">
        <f t="shared" si="1048"/>
        <v>6.4</v>
      </c>
      <c r="AD1192" s="5">
        <v>1</v>
      </c>
      <c r="AE1192" s="5">
        <v>0</v>
      </c>
      <c r="AF1192" s="5">
        <v>1</v>
      </c>
      <c r="AG1192" s="5">
        <v>0</v>
      </c>
      <c r="AH1192" s="5">
        <v>1</v>
      </c>
      <c r="AI1192" s="3">
        <f t="shared" si="1049"/>
        <v>3.4</v>
      </c>
      <c r="AJ1192" s="5">
        <f t="shared" si="1064"/>
        <v>0</v>
      </c>
      <c r="AK1192" s="5">
        <f t="shared" si="1057"/>
        <v>0</v>
      </c>
      <c r="AL1192" s="5">
        <f t="shared" si="1058"/>
        <v>0</v>
      </c>
      <c r="AM1192" s="5">
        <f t="shared" si="1065"/>
        <v>0</v>
      </c>
      <c r="AN1192" s="5">
        <f t="shared" si="1059"/>
        <v>0</v>
      </c>
      <c r="AO1192" s="5">
        <f t="shared" si="1066"/>
        <v>0</v>
      </c>
      <c r="AP1192" s="11" t="s">
        <v>42</v>
      </c>
      <c r="AQ1192" s="11" t="s">
        <v>42</v>
      </c>
      <c r="AR1192" s="5">
        <v>0</v>
      </c>
      <c r="AS1192" s="5">
        <v>0</v>
      </c>
      <c r="AT1192" s="5">
        <v>0</v>
      </c>
      <c r="AU1192" s="5">
        <v>0</v>
      </c>
      <c r="AV1192" s="5">
        <v>0</v>
      </c>
      <c r="AW1192" s="5">
        <v>0</v>
      </c>
      <c r="AX1192" s="5">
        <v>1</v>
      </c>
      <c r="AY1192" s="1">
        <f t="shared" si="1050"/>
        <v>0</v>
      </c>
      <c r="AZ1192" s="1">
        <f t="shared" si="1051"/>
        <v>0</v>
      </c>
      <c r="BA1192" s="1">
        <f t="shared" si="1052"/>
        <v>0</v>
      </c>
      <c r="BB1192" s="5">
        <v>0</v>
      </c>
      <c r="BC1192" s="5">
        <v>0</v>
      </c>
      <c r="BD1192" s="5">
        <v>0</v>
      </c>
      <c r="BE1192" s="5">
        <f t="shared" si="1053"/>
        <v>1</v>
      </c>
      <c r="BF1192" s="5">
        <v>1</v>
      </c>
      <c r="BG1192" s="5">
        <f t="shared" si="1068"/>
        <v>0</v>
      </c>
      <c r="BH1192" s="5">
        <f t="shared" si="1068"/>
        <v>0</v>
      </c>
      <c r="BI1192" s="5">
        <f t="shared" si="1068"/>
        <v>0</v>
      </c>
      <c r="BJ1192" s="5">
        <f t="shared" si="1068"/>
        <v>0</v>
      </c>
      <c r="BK1192" s="5">
        <f t="shared" si="1068"/>
        <v>0</v>
      </c>
      <c r="BL1192" s="5">
        <f t="shared" si="1068"/>
        <v>0</v>
      </c>
      <c r="BM1192" s="5">
        <f t="shared" si="1068"/>
        <v>0</v>
      </c>
      <c r="BN1192" s="5">
        <f t="shared" si="1067"/>
        <v>0</v>
      </c>
      <c r="BO1192" s="5">
        <f t="shared" si="1067"/>
        <v>0</v>
      </c>
      <c r="BP1192" s="5">
        <f t="shared" si="1067"/>
        <v>0</v>
      </c>
      <c r="BQ1192" s="5">
        <f t="shared" si="1067"/>
        <v>0</v>
      </c>
      <c r="BR1192" s="5">
        <f t="shared" si="1067"/>
        <v>0</v>
      </c>
      <c r="BS1192" s="5">
        <f t="shared" si="1067"/>
        <v>0</v>
      </c>
      <c r="BT1192" s="5">
        <f t="shared" si="1067"/>
        <v>0</v>
      </c>
      <c r="BU1192" s="5">
        <f t="shared" si="1067"/>
        <v>0</v>
      </c>
      <c r="BV1192" s="5">
        <f t="shared" si="1067"/>
        <v>0</v>
      </c>
      <c r="BW1192" s="5">
        <f t="shared" si="1067"/>
        <v>0</v>
      </c>
      <c r="BX1192" s="5">
        <f t="shared" si="1067"/>
        <v>0</v>
      </c>
      <c r="BY1192" s="5">
        <f t="shared" si="1067"/>
        <v>0</v>
      </c>
      <c r="BZ1192" s="5">
        <f t="shared" si="1067"/>
        <v>0</v>
      </c>
      <c r="CA1192" s="5">
        <f t="shared" si="1067"/>
        <v>0</v>
      </c>
      <c r="CB1192" s="5">
        <f t="shared" si="1067"/>
        <v>0</v>
      </c>
      <c r="CC1192" s="5">
        <f t="shared" si="1069"/>
        <v>0</v>
      </c>
      <c r="CD1192" s="5">
        <f t="shared" si="1069"/>
        <v>1</v>
      </c>
      <c r="CE1192" s="5">
        <f t="shared" si="1069"/>
        <v>0</v>
      </c>
    </row>
    <row r="1193" spans="1:83" x14ac:dyDescent="0.2">
      <c r="A1193" s="11"/>
      <c r="B1193" s="11"/>
      <c r="C1193" s="1">
        <f>Growth!D1198</f>
        <v>1.6993464052287594E-2</v>
      </c>
      <c r="D1193" s="5" t="b">
        <f t="shared" si="1038"/>
        <v>0</v>
      </c>
      <c r="E1193" s="5">
        <v>2014</v>
      </c>
      <c r="F1193" s="5">
        <f ca="1">LOOKUP($E1193,frequence!$A$2:$A$35,frequence!L$2:L$35)</f>
        <v>50.75383375536623</v>
      </c>
      <c r="G1193" s="5">
        <f ca="1">LOOKUP($E1193,frequence!$A$2:$A$35,frequence!K$2:K$35)</f>
        <v>9.9751715831189358</v>
      </c>
      <c r="H1193" s="5">
        <f ca="1">LOOKUP($E1193,frequence!$A$2:$A$35,frequence!M$2:M$35)</f>
        <v>236.05429056976001</v>
      </c>
      <c r="I1193" s="16">
        <v>2007</v>
      </c>
      <c r="J1193" s="7">
        <f>LOOKUP(I1193,CPI!A$69:A$103,CPI!O$69:O$103)</f>
        <v>1.0516730811895323</v>
      </c>
      <c r="K1193" s="16">
        <v>2015</v>
      </c>
      <c r="L1193" s="7">
        <f t="shared" ca="1" si="1056"/>
        <v>1</v>
      </c>
      <c r="M1193" s="7">
        <f t="shared" si="1047"/>
        <v>0.1087581699346406</v>
      </c>
      <c r="N1193" s="14">
        <v>1.6993464052287594E-2</v>
      </c>
      <c r="O1193" s="1">
        <f ca="1">P1193*J1193*(1+Growth!G$6)^(2010-K1193)</f>
        <v>5.0769763187865742</v>
      </c>
      <c r="P1193">
        <v>5.2037617554858802</v>
      </c>
      <c r="Q1193" s="2">
        <f t="shared" si="1039"/>
        <v>5.2037617554858802</v>
      </c>
      <c r="R1193" s="21">
        <f t="shared" ca="1" si="1040"/>
        <v>25.775688541519674</v>
      </c>
      <c r="U1193" s="11"/>
      <c r="V1193" s="11"/>
      <c r="W1193" s="11"/>
      <c r="X1193" s="11"/>
      <c r="Y1193" s="11"/>
      <c r="Z1193" s="11"/>
      <c r="AA1193" s="11"/>
      <c r="AB1193" s="11"/>
      <c r="AC1193" s="1">
        <f t="shared" si="1048"/>
        <v>6.4</v>
      </c>
      <c r="AD1193" s="5">
        <v>1</v>
      </c>
      <c r="AE1193" s="5">
        <v>0</v>
      </c>
      <c r="AF1193" s="5">
        <v>1</v>
      </c>
      <c r="AG1193" s="5">
        <v>0</v>
      </c>
      <c r="AH1193" s="5">
        <v>1</v>
      </c>
      <c r="AI1193" s="3">
        <f t="shared" si="1049"/>
        <v>3.4</v>
      </c>
      <c r="AJ1193" s="5">
        <f t="shared" si="1064"/>
        <v>0</v>
      </c>
      <c r="AK1193" s="5">
        <f t="shared" si="1057"/>
        <v>0</v>
      </c>
      <c r="AL1193" s="5">
        <f t="shared" si="1058"/>
        <v>0</v>
      </c>
      <c r="AM1193" s="5">
        <f t="shared" si="1065"/>
        <v>0</v>
      </c>
      <c r="AN1193" s="5">
        <f t="shared" si="1059"/>
        <v>0</v>
      </c>
      <c r="AO1193" s="5">
        <f t="shared" si="1066"/>
        <v>0</v>
      </c>
      <c r="AP1193" s="11" t="s">
        <v>42</v>
      </c>
      <c r="AQ1193" s="11" t="s">
        <v>42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1</v>
      </c>
      <c r="AY1193" s="1">
        <f t="shared" si="1050"/>
        <v>0</v>
      </c>
      <c r="AZ1193" s="1">
        <f t="shared" si="1051"/>
        <v>0</v>
      </c>
      <c r="BA1193" s="1">
        <f t="shared" si="1052"/>
        <v>0</v>
      </c>
      <c r="BB1193" s="5">
        <v>0</v>
      </c>
      <c r="BC1193" s="5">
        <v>0</v>
      </c>
      <c r="BD1193" s="5">
        <v>0</v>
      </c>
      <c r="BE1193" s="5">
        <f t="shared" si="1053"/>
        <v>1</v>
      </c>
      <c r="BF1193" s="5">
        <v>1</v>
      </c>
      <c r="BG1193" s="5">
        <f t="shared" si="1068"/>
        <v>0</v>
      </c>
      <c r="BH1193" s="5">
        <f t="shared" si="1068"/>
        <v>0</v>
      </c>
      <c r="BI1193" s="5">
        <f t="shared" si="1068"/>
        <v>0</v>
      </c>
      <c r="BJ1193" s="5">
        <f t="shared" si="1068"/>
        <v>0</v>
      </c>
      <c r="BK1193" s="5">
        <f t="shared" si="1068"/>
        <v>0</v>
      </c>
      <c r="BL1193" s="5">
        <f t="shared" si="1068"/>
        <v>0</v>
      </c>
      <c r="BM1193" s="5">
        <f t="shared" si="1068"/>
        <v>0</v>
      </c>
      <c r="BN1193" s="5">
        <f t="shared" si="1067"/>
        <v>0</v>
      </c>
      <c r="BO1193" s="5">
        <f t="shared" si="1067"/>
        <v>0</v>
      </c>
      <c r="BP1193" s="5">
        <f t="shared" si="1067"/>
        <v>0</v>
      </c>
      <c r="BQ1193" s="5">
        <f t="shared" si="1067"/>
        <v>0</v>
      </c>
      <c r="BR1193" s="5">
        <f t="shared" si="1067"/>
        <v>0</v>
      </c>
      <c r="BS1193" s="5">
        <f t="shared" si="1067"/>
        <v>0</v>
      </c>
      <c r="BT1193" s="5">
        <f t="shared" si="1067"/>
        <v>0</v>
      </c>
      <c r="BU1193" s="5">
        <f t="shared" si="1067"/>
        <v>0</v>
      </c>
      <c r="BV1193" s="5">
        <f t="shared" si="1067"/>
        <v>0</v>
      </c>
      <c r="BW1193" s="5">
        <f t="shared" si="1067"/>
        <v>0</v>
      </c>
      <c r="BX1193" s="5">
        <f t="shared" si="1067"/>
        <v>0</v>
      </c>
      <c r="BY1193" s="5">
        <f t="shared" si="1067"/>
        <v>0</v>
      </c>
      <c r="BZ1193" s="5">
        <f t="shared" si="1067"/>
        <v>0</v>
      </c>
      <c r="CA1193" s="5">
        <f t="shared" si="1067"/>
        <v>0</v>
      </c>
      <c r="CB1193" s="5">
        <f t="shared" si="1067"/>
        <v>0</v>
      </c>
      <c r="CC1193" s="5">
        <f t="shared" si="1069"/>
        <v>0</v>
      </c>
      <c r="CD1193" s="5">
        <f t="shared" si="1069"/>
        <v>1</v>
      </c>
      <c r="CE1193" s="5">
        <f t="shared" si="1069"/>
        <v>0</v>
      </c>
    </row>
    <row r="1194" spans="1:83" x14ac:dyDescent="0.2">
      <c r="A1194" s="11"/>
      <c r="B1194" s="11"/>
      <c r="C1194" s="1">
        <f>Growth!D1199</f>
        <v>1.3071895424836602E-2</v>
      </c>
      <c r="D1194" s="5" t="b">
        <f t="shared" si="1038"/>
        <v>0</v>
      </c>
      <c r="E1194" s="5">
        <v>2014</v>
      </c>
      <c r="F1194" s="5">
        <f ca="1">LOOKUP($E1194,frequence!$A$2:$A$35,frequence!L$2:L$35)</f>
        <v>50.75383375536623</v>
      </c>
      <c r="G1194" s="5">
        <f ca="1">LOOKUP($E1194,frequence!$A$2:$A$35,frequence!K$2:K$35)</f>
        <v>9.9751715831189358</v>
      </c>
      <c r="H1194" s="5">
        <f ca="1">LOOKUP($E1194,frequence!$A$2:$A$35,frequence!M$2:M$35)</f>
        <v>236.05429056976001</v>
      </c>
      <c r="I1194" s="16">
        <v>2007</v>
      </c>
      <c r="J1194" s="7">
        <f>LOOKUP(I1194,CPI!A$69:A$103,CPI!O$69:O$103)</f>
        <v>1.0516730811895323</v>
      </c>
      <c r="K1194" s="16">
        <v>2015</v>
      </c>
      <c r="L1194" s="7">
        <f t="shared" ca="1" si="1056"/>
        <v>1</v>
      </c>
      <c r="M1194" s="7">
        <f t="shared" si="1047"/>
        <v>8.3660130718954256E-2</v>
      </c>
      <c r="N1194" s="14">
        <v>1.3071895424836602E-2</v>
      </c>
      <c r="O1194" s="1">
        <f ca="1">P1194*J1194*(1+Growth!G$6)^(2010-K1194)</f>
        <v>5.3216498763184479</v>
      </c>
      <c r="P1194">
        <v>5.4545454545454302</v>
      </c>
      <c r="Q1194" s="2">
        <f t="shared" si="1039"/>
        <v>5.4545454545454302</v>
      </c>
      <c r="R1194" s="21">
        <f t="shared" ca="1" si="1040"/>
        <v>28.319957406120153</v>
      </c>
      <c r="U1194" s="11"/>
      <c r="V1194" s="11"/>
      <c r="W1194" s="11"/>
      <c r="X1194" s="11"/>
      <c r="Y1194" s="11"/>
      <c r="Z1194" s="11"/>
      <c r="AA1194" s="11"/>
      <c r="AB1194" s="11"/>
      <c r="AC1194" s="1">
        <f t="shared" si="1048"/>
        <v>6.4</v>
      </c>
      <c r="AD1194" s="5">
        <v>1</v>
      </c>
      <c r="AE1194" s="5">
        <v>0</v>
      </c>
      <c r="AF1194" s="5">
        <v>1</v>
      </c>
      <c r="AG1194" s="5">
        <v>0</v>
      </c>
      <c r="AH1194" s="5">
        <v>1</v>
      </c>
      <c r="AI1194" s="3">
        <f t="shared" si="1049"/>
        <v>3.4</v>
      </c>
      <c r="AJ1194" s="5">
        <f t="shared" si="1064"/>
        <v>0</v>
      </c>
      <c r="AK1194" s="5">
        <f t="shared" si="1057"/>
        <v>0</v>
      </c>
      <c r="AL1194" s="5">
        <f t="shared" si="1058"/>
        <v>0</v>
      </c>
      <c r="AM1194" s="5">
        <f t="shared" si="1065"/>
        <v>0</v>
      </c>
      <c r="AN1194" s="5">
        <f t="shared" si="1059"/>
        <v>0</v>
      </c>
      <c r="AO1194" s="5">
        <f t="shared" si="1066"/>
        <v>0</v>
      </c>
      <c r="AP1194" s="11" t="s">
        <v>42</v>
      </c>
      <c r="AQ1194" s="11" t="s">
        <v>42</v>
      </c>
      <c r="AR1194" s="5">
        <v>0</v>
      </c>
      <c r="AS1194" s="5">
        <v>0</v>
      </c>
      <c r="AT1194" s="5">
        <v>0</v>
      </c>
      <c r="AU1194" s="5">
        <v>0</v>
      </c>
      <c r="AV1194" s="5">
        <v>0</v>
      </c>
      <c r="AW1194" s="5">
        <v>0</v>
      </c>
      <c r="AX1194" s="5">
        <v>1</v>
      </c>
      <c r="AY1194" s="1">
        <f t="shared" si="1050"/>
        <v>0</v>
      </c>
      <c r="AZ1194" s="1">
        <f t="shared" si="1051"/>
        <v>0</v>
      </c>
      <c r="BA1194" s="1">
        <f t="shared" si="1052"/>
        <v>0</v>
      </c>
      <c r="BB1194" s="5">
        <v>0</v>
      </c>
      <c r="BC1194" s="5">
        <v>0</v>
      </c>
      <c r="BD1194" s="5">
        <v>0</v>
      </c>
      <c r="BE1194" s="5">
        <f t="shared" si="1053"/>
        <v>1</v>
      </c>
      <c r="BF1194" s="5">
        <v>1</v>
      </c>
      <c r="BG1194" s="5">
        <f t="shared" si="1068"/>
        <v>0</v>
      </c>
      <c r="BH1194" s="5">
        <f t="shared" si="1068"/>
        <v>0</v>
      </c>
      <c r="BI1194" s="5">
        <f t="shared" si="1068"/>
        <v>0</v>
      </c>
      <c r="BJ1194" s="5">
        <f t="shared" si="1068"/>
        <v>0</v>
      </c>
      <c r="BK1194" s="5">
        <f t="shared" si="1068"/>
        <v>0</v>
      </c>
      <c r="BL1194" s="5">
        <f t="shared" si="1068"/>
        <v>0</v>
      </c>
      <c r="BM1194" s="5">
        <f t="shared" si="1068"/>
        <v>0</v>
      </c>
      <c r="BN1194" s="5">
        <f t="shared" si="1067"/>
        <v>0</v>
      </c>
      <c r="BO1194" s="5">
        <f t="shared" si="1067"/>
        <v>0</v>
      </c>
      <c r="BP1194" s="5">
        <f t="shared" si="1067"/>
        <v>0</v>
      </c>
      <c r="BQ1194" s="5">
        <f t="shared" si="1067"/>
        <v>0</v>
      </c>
      <c r="BR1194" s="5">
        <f t="shared" si="1067"/>
        <v>0</v>
      </c>
      <c r="BS1194" s="5">
        <f t="shared" si="1067"/>
        <v>0</v>
      </c>
      <c r="BT1194" s="5">
        <f t="shared" si="1067"/>
        <v>0</v>
      </c>
      <c r="BU1194" s="5">
        <f t="shared" si="1067"/>
        <v>0</v>
      </c>
      <c r="BV1194" s="5">
        <f t="shared" si="1067"/>
        <v>0</v>
      </c>
      <c r="BW1194" s="5">
        <f t="shared" si="1067"/>
        <v>0</v>
      </c>
      <c r="BX1194" s="5">
        <f t="shared" si="1067"/>
        <v>0</v>
      </c>
      <c r="BY1194" s="5">
        <f t="shared" si="1067"/>
        <v>0</v>
      </c>
      <c r="BZ1194" s="5">
        <f t="shared" si="1067"/>
        <v>0</v>
      </c>
      <c r="CA1194" s="5">
        <f t="shared" si="1067"/>
        <v>0</v>
      </c>
      <c r="CB1194" s="5">
        <f t="shared" si="1067"/>
        <v>0</v>
      </c>
      <c r="CC1194" s="5">
        <f t="shared" si="1069"/>
        <v>0</v>
      </c>
      <c r="CD1194" s="5">
        <f t="shared" si="1069"/>
        <v>1</v>
      </c>
      <c r="CE1194" s="5">
        <f t="shared" si="1069"/>
        <v>0</v>
      </c>
    </row>
    <row r="1195" spans="1:83" x14ac:dyDescent="0.2">
      <c r="A1195" s="11"/>
      <c r="B1195" s="11"/>
      <c r="C1195" s="1">
        <f>Growth!D1200</f>
        <v>3.2679738562091504E-3</v>
      </c>
      <c r="D1195" s="5" t="b">
        <f t="shared" si="1038"/>
        <v>0</v>
      </c>
      <c r="E1195" s="5">
        <v>2014</v>
      </c>
      <c r="F1195" s="5">
        <f ca="1">LOOKUP($E1195,frequence!$A$2:$A$35,frequence!L$2:L$35)</f>
        <v>50.75383375536623</v>
      </c>
      <c r="G1195" s="5">
        <f ca="1">LOOKUP($E1195,frequence!$A$2:$A$35,frequence!K$2:K$35)</f>
        <v>9.9751715831189358</v>
      </c>
      <c r="H1195" s="5">
        <f ca="1">LOOKUP($E1195,frequence!$A$2:$A$35,frequence!M$2:M$35)</f>
        <v>236.05429056976001</v>
      </c>
      <c r="I1195" s="16">
        <v>2007</v>
      </c>
      <c r="J1195" s="7">
        <f>LOOKUP(I1195,CPI!A$69:A$103,CPI!O$69:O$103)</f>
        <v>1.0516730811895323</v>
      </c>
      <c r="K1195" s="16">
        <v>2015</v>
      </c>
      <c r="L1195" s="7">
        <f t="shared" ca="1" si="1056"/>
        <v>1</v>
      </c>
      <c r="M1195" s="7">
        <f t="shared" si="1047"/>
        <v>2.0915032679738564E-2</v>
      </c>
      <c r="N1195" s="14">
        <v>3.2679738562091504E-3</v>
      </c>
      <c r="O1195" s="1">
        <f ca="1">P1195*J1195*(1+Growth!G$6)^(2010-K1195)</f>
        <v>25.629555151464793</v>
      </c>
      <c r="P1195">
        <v>26.269592476488999</v>
      </c>
      <c r="Q1195" s="2">
        <f t="shared" si="1039"/>
        <v>26.269592476488999</v>
      </c>
      <c r="R1195" s="21">
        <f t="shared" ca="1" si="1040"/>
        <v>656.87409726197552</v>
      </c>
      <c r="U1195" s="11"/>
      <c r="V1195" s="11"/>
      <c r="W1195" s="11"/>
      <c r="X1195" s="11"/>
      <c r="Y1195" s="11"/>
      <c r="Z1195" s="11"/>
      <c r="AA1195" s="11"/>
      <c r="AB1195" s="11"/>
      <c r="AC1195" s="1">
        <f t="shared" si="1048"/>
        <v>6.4</v>
      </c>
      <c r="AD1195" s="5">
        <v>1</v>
      </c>
      <c r="AE1195" s="5">
        <v>0</v>
      </c>
      <c r="AF1195" s="5">
        <v>1</v>
      </c>
      <c r="AG1195" s="5">
        <v>0</v>
      </c>
      <c r="AH1195" s="5">
        <v>1</v>
      </c>
      <c r="AI1195" s="3">
        <f t="shared" si="1049"/>
        <v>3.4</v>
      </c>
      <c r="AJ1195" s="5">
        <f t="shared" si="1064"/>
        <v>0</v>
      </c>
      <c r="AK1195" s="5">
        <f t="shared" si="1057"/>
        <v>0</v>
      </c>
      <c r="AL1195" s="5">
        <f t="shared" si="1058"/>
        <v>1</v>
      </c>
      <c r="AM1195" s="5">
        <f t="shared" si="1065"/>
        <v>0</v>
      </c>
      <c r="AN1195" s="5">
        <f t="shared" si="1059"/>
        <v>0</v>
      </c>
      <c r="AO1195" s="5">
        <f t="shared" si="1066"/>
        <v>0</v>
      </c>
      <c r="AP1195" s="11" t="s">
        <v>42</v>
      </c>
      <c r="AQ1195" s="11">
        <v>1.5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1</v>
      </c>
      <c r="AY1195" s="1">
        <f t="shared" si="1050"/>
        <v>0</v>
      </c>
      <c r="AZ1195" s="1">
        <f t="shared" si="1051"/>
        <v>0</v>
      </c>
      <c r="BA1195" s="1">
        <f t="shared" si="1052"/>
        <v>0</v>
      </c>
      <c r="BB1195" s="5">
        <v>0</v>
      </c>
      <c r="BC1195" s="5">
        <v>0</v>
      </c>
      <c r="BD1195" s="5">
        <v>0</v>
      </c>
      <c r="BE1195" s="5">
        <f t="shared" si="1053"/>
        <v>1</v>
      </c>
      <c r="BF1195" s="5">
        <v>1</v>
      </c>
      <c r="BG1195" s="5">
        <f t="shared" si="1068"/>
        <v>0</v>
      </c>
      <c r="BH1195" s="5">
        <f t="shared" si="1068"/>
        <v>0</v>
      </c>
      <c r="BI1195" s="5">
        <f t="shared" si="1068"/>
        <v>0</v>
      </c>
      <c r="BJ1195" s="5">
        <f t="shared" si="1068"/>
        <v>0</v>
      </c>
      <c r="BK1195" s="5">
        <f t="shared" si="1068"/>
        <v>0</v>
      </c>
      <c r="BL1195" s="5">
        <f t="shared" si="1068"/>
        <v>0</v>
      </c>
      <c r="BM1195" s="5">
        <f t="shared" si="1068"/>
        <v>0</v>
      </c>
      <c r="BN1195" s="5">
        <f t="shared" si="1067"/>
        <v>0</v>
      </c>
      <c r="BO1195" s="5">
        <f t="shared" si="1067"/>
        <v>0</v>
      </c>
      <c r="BP1195" s="5">
        <f t="shared" si="1067"/>
        <v>0</v>
      </c>
      <c r="BQ1195" s="5">
        <f t="shared" si="1067"/>
        <v>0</v>
      </c>
      <c r="BR1195" s="5">
        <f t="shared" si="1067"/>
        <v>0</v>
      </c>
      <c r="BS1195" s="5">
        <f t="shared" si="1067"/>
        <v>0</v>
      </c>
      <c r="BT1195" s="5">
        <f t="shared" si="1067"/>
        <v>0</v>
      </c>
      <c r="BU1195" s="5">
        <f t="shared" si="1067"/>
        <v>0</v>
      </c>
      <c r="BV1195" s="5">
        <f t="shared" si="1067"/>
        <v>0</v>
      </c>
      <c r="BW1195" s="5">
        <f t="shared" si="1067"/>
        <v>0</v>
      </c>
      <c r="BX1195" s="5">
        <f t="shared" si="1067"/>
        <v>0</v>
      </c>
      <c r="BY1195" s="5">
        <f t="shared" si="1067"/>
        <v>0</v>
      </c>
      <c r="BZ1195" s="5">
        <f t="shared" si="1067"/>
        <v>0</v>
      </c>
      <c r="CA1195" s="5">
        <f t="shared" si="1067"/>
        <v>0</v>
      </c>
      <c r="CB1195" s="5">
        <f t="shared" si="1067"/>
        <v>0</v>
      </c>
      <c r="CC1195" s="5">
        <f t="shared" si="1069"/>
        <v>0</v>
      </c>
      <c r="CD1195" s="5">
        <f t="shared" si="1069"/>
        <v>1</v>
      </c>
      <c r="CE1195" s="5">
        <f t="shared" si="1069"/>
        <v>0</v>
      </c>
    </row>
    <row r="1196" spans="1:83" x14ac:dyDescent="0.2">
      <c r="A1196" s="11"/>
      <c r="B1196" s="11"/>
      <c r="C1196" s="1">
        <f>Growth!D1201</f>
        <v>4.2483660130718959E-3</v>
      </c>
      <c r="D1196" s="5" t="b">
        <f t="shared" si="1038"/>
        <v>0</v>
      </c>
      <c r="E1196" s="5">
        <v>2014</v>
      </c>
      <c r="F1196" s="5">
        <f ca="1">LOOKUP($E1196,frequence!$A$2:$A$35,frequence!L$2:L$35)</f>
        <v>50.75383375536623</v>
      </c>
      <c r="G1196" s="5">
        <f ca="1">LOOKUP($E1196,frequence!$A$2:$A$35,frequence!K$2:K$35)</f>
        <v>9.9751715831189358</v>
      </c>
      <c r="H1196" s="5">
        <f ca="1">LOOKUP($E1196,frequence!$A$2:$A$35,frequence!M$2:M$35)</f>
        <v>236.05429056976001</v>
      </c>
      <c r="I1196" s="16">
        <v>2007</v>
      </c>
      <c r="J1196" s="7">
        <f>LOOKUP(I1196,CPI!A$69:A$103,CPI!O$69:O$103)</f>
        <v>1.0516730811895323</v>
      </c>
      <c r="K1196" s="16">
        <v>2015</v>
      </c>
      <c r="L1196" s="7">
        <f t="shared" ca="1" si="1056"/>
        <v>1</v>
      </c>
      <c r="M1196" s="7">
        <f t="shared" si="1047"/>
        <v>2.7189542483660137E-2</v>
      </c>
      <c r="N1196" s="14">
        <v>4.2483660130718959E-3</v>
      </c>
      <c r="O1196" s="1">
        <f ca="1">P1196*J1196*(1+Growth!G$6)^(2010-K1196)</f>
        <v>22.693472461082123</v>
      </c>
      <c r="P1196">
        <v>23.2601880877742</v>
      </c>
      <c r="Q1196" s="2">
        <f t="shared" si="1039"/>
        <v>23.2601880877742</v>
      </c>
      <c r="R1196" s="21">
        <f t="shared" ca="1" si="1040"/>
        <v>514.99369234189271</v>
      </c>
      <c r="U1196" s="11"/>
      <c r="V1196" s="11"/>
      <c r="W1196" s="11"/>
      <c r="X1196" s="11"/>
      <c r="Y1196" s="11"/>
      <c r="Z1196" s="11"/>
      <c r="AA1196" s="11"/>
      <c r="AB1196" s="11"/>
      <c r="AC1196" s="1">
        <f t="shared" si="1048"/>
        <v>6.4</v>
      </c>
      <c r="AD1196" s="5">
        <v>1</v>
      </c>
      <c r="AE1196" s="5">
        <v>0</v>
      </c>
      <c r="AF1196" s="5">
        <v>1</v>
      </c>
      <c r="AG1196" s="5">
        <v>0</v>
      </c>
      <c r="AH1196" s="5">
        <v>1</v>
      </c>
      <c r="AI1196" s="3">
        <f t="shared" si="1049"/>
        <v>3.4</v>
      </c>
      <c r="AJ1196" s="5">
        <f t="shared" si="1064"/>
        <v>0</v>
      </c>
      <c r="AK1196" s="5">
        <f t="shared" si="1057"/>
        <v>0</v>
      </c>
      <c r="AL1196" s="5">
        <f t="shared" si="1058"/>
        <v>1</v>
      </c>
      <c r="AM1196" s="5">
        <f t="shared" si="1065"/>
        <v>0</v>
      </c>
      <c r="AN1196" s="5">
        <f t="shared" si="1059"/>
        <v>0</v>
      </c>
      <c r="AO1196" s="5">
        <f t="shared" si="1066"/>
        <v>0</v>
      </c>
      <c r="AP1196" s="11" t="s">
        <v>42</v>
      </c>
      <c r="AQ1196" s="11">
        <v>1.5</v>
      </c>
      <c r="AR1196" s="5">
        <v>0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1</v>
      </c>
      <c r="AY1196" s="1">
        <f t="shared" si="1050"/>
        <v>0</v>
      </c>
      <c r="AZ1196" s="1">
        <f t="shared" si="1051"/>
        <v>0</v>
      </c>
      <c r="BA1196" s="1">
        <f t="shared" si="1052"/>
        <v>0</v>
      </c>
      <c r="BB1196" s="5">
        <v>0</v>
      </c>
      <c r="BC1196" s="5">
        <v>0</v>
      </c>
      <c r="BD1196" s="5">
        <v>0</v>
      </c>
      <c r="BE1196" s="5">
        <f t="shared" si="1053"/>
        <v>1</v>
      </c>
      <c r="BF1196" s="5">
        <v>1</v>
      </c>
      <c r="BG1196" s="5">
        <f t="shared" si="1068"/>
        <v>0</v>
      </c>
      <c r="BH1196" s="5">
        <f t="shared" si="1068"/>
        <v>0</v>
      </c>
      <c r="BI1196" s="5">
        <f t="shared" si="1068"/>
        <v>0</v>
      </c>
      <c r="BJ1196" s="5">
        <f t="shared" si="1068"/>
        <v>0</v>
      </c>
      <c r="BK1196" s="5">
        <f t="shared" si="1068"/>
        <v>0</v>
      </c>
      <c r="BL1196" s="5">
        <f t="shared" si="1068"/>
        <v>0</v>
      </c>
      <c r="BM1196" s="5">
        <f t="shared" si="1068"/>
        <v>0</v>
      </c>
      <c r="BN1196" s="5">
        <f t="shared" si="1067"/>
        <v>0</v>
      </c>
      <c r="BO1196" s="5">
        <f t="shared" si="1067"/>
        <v>0</v>
      </c>
      <c r="BP1196" s="5">
        <f t="shared" si="1067"/>
        <v>0</v>
      </c>
      <c r="BQ1196" s="5">
        <f t="shared" si="1067"/>
        <v>0</v>
      </c>
      <c r="BR1196" s="5">
        <f t="shared" si="1067"/>
        <v>0</v>
      </c>
      <c r="BS1196" s="5">
        <f t="shared" si="1067"/>
        <v>0</v>
      </c>
      <c r="BT1196" s="5">
        <f t="shared" si="1067"/>
        <v>0</v>
      </c>
      <c r="BU1196" s="5">
        <f t="shared" si="1067"/>
        <v>0</v>
      </c>
      <c r="BV1196" s="5">
        <f t="shared" si="1067"/>
        <v>0</v>
      </c>
      <c r="BW1196" s="5">
        <f t="shared" si="1067"/>
        <v>0</v>
      </c>
      <c r="BX1196" s="5">
        <f t="shared" si="1067"/>
        <v>0</v>
      </c>
      <c r="BY1196" s="5">
        <f t="shared" si="1067"/>
        <v>0</v>
      </c>
      <c r="BZ1196" s="5">
        <f t="shared" si="1067"/>
        <v>0</v>
      </c>
      <c r="CA1196" s="5">
        <f t="shared" si="1067"/>
        <v>0</v>
      </c>
      <c r="CB1196" s="5">
        <f t="shared" si="1067"/>
        <v>0</v>
      </c>
      <c r="CC1196" s="5">
        <f t="shared" si="1069"/>
        <v>0</v>
      </c>
      <c r="CD1196" s="5">
        <f t="shared" si="1069"/>
        <v>1</v>
      </c>
      <c r="CE1196" s="5">
        <f t="shared" si="1069"/>
        <v>0</v>
      </c>
    </row>
    <row r="1197" spans="1:83" x14ac:dyDescent="0.2">
      <c r="A1197" s="11"/>
      <c r="B1197" s="11"/>
      <c r="C1197" s="1">
        <f>Growth!D1202</f>
        <v>5.228758169934641E-3</v>
      </c>
      <c r="D1197" s="5" t="b">
        <f t="shared" si="1038"/>
        <v>0</v>
      </c>
      <c r="E1197" s="5">
        <v>2014</v>
      </c>
      <c r="F1197" s="5">
        <f ca="1">LOOKUP($E1197,frequence!$A$2:$A$35,frequence!L$2:L$35)</f>
        <v>50.75383375536623</v>
      </c>
      <c r="G1197" s="5">
        <f ca="1">LOOKUP($E1197,frequence!$A$2:$A$35,frequence!K$2:K$35)</f>
        <v>9.9751715831189358</v>
      </c>
      <c r="H1197" s="5">
        <f ca="1">LOOKUP($E1197,frequence!$A$2:$A$35,frequence!M$2:M$35)</f>
        <v>236.05429056976001</v>
      </c>
      <c r="I1197" s="16">
        <v>2007</v>
      </c>
      <c r="J1197" s="7">
        <f>LOOKUP(I1197,CPI!A$69:A$103,CPI!O$69:O$103)</f>
        <v>1.0516730811895323</v>
      </c>
      <c r="K1197" s="16">
        <v>2015</v>
      </c>
      <c r="L1197" s="7">
        <f t="shared" ca="1" si="1056"/>
        <v>1</v>
      </c>
      <c r="M1197" s="7">
        <f t="shared" si="1047"/>
        <v>3.3464052287581703E-2</v>
      </c>
      <c r="N1197" s="14">
        <v>5.228758169934641E-3</v>
      </c>
      <c r="O1197" s="1">
        <f ca="1">P1197*J1197*(1+Growth!G$6)^(2010-K1197)</f>
        <v>19.512716213167728</v>
      </c>
      <c r="P1197">
        <v>20</v>
      </c>
      <c r="Q1197" s="2">
        <f t="shared" si="1039"/>
        <v>20</v>
      </c>
      <c r="R1197" s="21">
        <f t="shared" ca="1" si="1040"/>
        <v>380.74609401561872</v>
      </c>
      <c r="U1197" s="11"/>
      <c r="V1197" s="11"/>
      <c r="W1197" s="11"/>
      <c r="X1197" s="11"/>
      <c r="Y1197" s="11"/>
      <c r="Z1197" s="11"/>
      <c r="AA1197" s="11"/>
      <c r="AB1197" s="11"/>
      <c r="AC1197" s="1">
        <f t="shared" si="1048"/>
        <v>6.4</v>
      </c>
      <c r="AD1197" s="5">
        <v>1</v>
      </c>
      <c r="AE1197" s="5">
        <v>0</v>
      </c>
      <c r="AF1197" s="5">
        <v>1</v>
      </c>
      <c r="AG1197" s="5">
        <v>0</v>
      </c>
      <c r="AH1197" s="5">
        <v>1</v>
      </c>
      <c r="AI1197" s="3">
        <f t="shared" si="1049"/>
        <v>3.4</v>
      </c>
      <c r="AJ1197" s="5">
        <f t="shared" si="1064"/>
        <v>0</v>
      </c>
      <c r="AK1197" s="5">
        <f t="shared" si="1057"/>
        <v>0</v>
      </c>
      <c r="AL1197" s="5">
        <f t="shared" si="1058"/>
        <v>1</v>
      </c>
      <c r="AM1197" s="5">
        <f t="shared" si="1065"/>
        <v>0</v>
      </c>
      <c r="AN1197" s="5">
        <f t="shared" si="1059"/>
        <v>0</v>
      </c>
      <c r="AO1197" s="5">
        <f t="shared" si="1066"/>
        <v>0</v>
      </c>
      <c r="AP1197" s="11" t="s">
        <v>42</v>
      </c>
      <c r="AQ1197" s="11">
        <v>1.5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1</v>
      </c>
      <c r="AY1197" s="1">
        <f t="shared" si="1050"/>
        <v>0</v>
      </c>
      <c r="AZ1197" s="1">
        <f t="shared" si="1051"/>
        <v>0</v>
      </c>
      <c r="BA1197" s="1">
        <f t="shared" si="1052"/>
        <v>0</v>
      </c>
      <c r="BB1197" s="5">
        <v>0</v>
      </c>
      <c r="BC1197" s="5">
        <v>0</v>
      </c>
      <c r="BD1197" s="5">
        <v>0</v>
      </c>
      <c r="BE1197" s="5">
        <f t="shared" si="1053"/>
        <v>1</v>
      </c>
      <c r="BF1197" s="5">
        <v>1</v>
      </c>
      <c r="BG1197" s="5">
        <f t="shared" si="1068"/>
        <v>0</v>
      </c>
      <c r="BH1197" s="5">
        <f t="shared" si="1068"/>
        <v>0</v>
      </c>
      <c r="BI1197" s="5">
        <f t="shared" si="1068"/>
        <v>0</v>
      </c>
      <c r="BJ1197" s="5">
        <f t="shared" si="1068"/>
        <v>0</v>
      </c>
      <c r="BK1197" s="5">
        <f t="shared" si="1068"/>
        <v>0</v>
      </c>
      <c r="BL1197" s="5">
        <f t="shared" si="1068"/>
        <v>0</v>
      </c>
      <c r="BM1197" s="5">
        <f t="shared" si="1068"/>
        <v>0</v>
      </c>
      <c r="BN1197" s="5">
        <f t="shared" si="1067"/>
        <v>0</v>
      </c>
      <c r="BO1197" s="5">
        <f t="shared" si="1067"/>
        <v>0</v>
      </c>
      <c r="BP1197" s="5">
        <f t="shared" si="1067"/>
        <v>0</v>
      </c>
      <c r="BQ1197" s="5">
        <f t="shared" si="1067"/>
        <v>0</v>
      </c>
      <c r="BR1197" s="5">
        <f t="shared" si="1067"/>
        <v>0</v>
      </c>
      <c r="BS1197" s="5">
        <f t="shared" si="1067"/>
        <v>0</v>
      </c>
      <c r="BT1197" s="5">
        <f t="shared" si="1067"/>
        <v>0</v>
      </c>
      <c r="BU1197" s="5">
        <f t="shared" si="1067"/>
        <v>0</v>
      </c>
      <c r="BV1197" s="5">
        <f t="shared" si="1067"/>
        <v>0</v>
      </c>
      <c r="BW1197" s="5">
        <f t="shared" si="1067"/>
        <v>0</v>
      </c>
      <c r="BX1197" s="5">
        <f t="shared" si="1067"/>
        <v>0</v>
      </c>
      <c r="BY1197" s="5">
        <f t="shared" si="1067"/>
        <v>0</v>
      </c>
      <c r="BZ1197" s="5">
        <f t="shared" si="1067"/>
        <v>0</v>
      </c>
      <c r="CA1197" s="5">
        <f t="shared" si="1067"/>
        <v>0</v>
      </c>
      <c r="CB1197" s="5">
        <f t="shared" si="1067"/>
        <v>0</v>
      </c>
      <c r="CC1197" s="5">
        <f t="shared" si="1069"/>
        <v>0</v>
      </c>
      <c r="CD1197" s="5">
        <f t="shared" si="1069"/>
        <v>1</v>
      </c>
      <c r="CE1197" s="5">
        <f t="shared" si="1069"/>
        <v>0</v>
      </c>
    </row>
    <row r="1198" spans="1:83" x14ac:dyDescent="0.2">
      <c r="A1198" s="11"/>
      <c r="B1198" s="11"/>
      <c r="C1198" s="1">
        <f>Growth!D1203</f>
        <v>6.2091503267973861E-3</v>
      </c>
      <c r="D1198" s="5" t="b">
        <f t="shared" si="1038"/>
        <v>0</v>
      </c>
      <c r="E1198" s="5">
        <v>2014</v>
      </c>
      <c r="F1198" s="5">
        <f ca="1">LOOKUP($E1198,frequence!$A$2:$A$35,frequence!L$2:L$35)</f>
        <v>50.75383375536623</v>
      </c>
      <c r="G1198" s="5">
        <f ca="1">LOOKUP($E1198,frequence!$A$2:$A$35,frequence!K$2:K$35)</f>
        <v>9.9751715831189358</v>
      </c>
      <c r="H1198" s="5">
        <f ca="1">LOOKUP($E1198,frequence!$A$2:$A$35,frequence!M$2:M$35)</f>
        <v>236.05429056976001</v>
      </c>
      <c r="I1198" s="16">
        <v>2007</v>
      </c>
      <c r="J1198" s="7">
        <f>LOOKUP(I1198,CPI!A$69:A$103,CPI!O$69:O$103)</f>
        <v>1.0516730811895323</v>
      </c>
      <c r="K1198" s="16">
        <v>2015</v>
      </c>
      <c r="L1198" s="7">
        <f t="shared" ca="1" si="1056"/>
        <v>1</v>
      </c>
      <c r="M1198" s="7">
        <f t="shared" si="1047"/>
        <v>3.9738562091503275E-2</v>
      </c>
      <c r="N1198" s="14">
        <v>6.2091503267973861E-3</v>
      </c>
      <c r="O1198" s="1">
        <f ca="1">P1198*J1198*(1+Growth!G$6)^(2010-K1198)</f>
        <v>17.310654195380728</v>
      </c>
      <c r="P1198">
        <v>17.742946708463901</v>
      </c>
      <c r="Q1198" s="2">
        <f t="shared" si="1039"/>
        <v>17.742946708463901</v>
      </c>
      <c r="R1198" s="21">
        <f t="shared" ca="1" si="1040"/>
        <v>299.65874867205241</v>
      </c>
      <c r="U1198" s="11"/>
      <c r="V1198" s="11"/>
      <c r="W1198" s="11"/>
      <c r="X1198" s="11"/>
      <c r="Y1198" s="11"/>
      <c r="Z1198" s="11"/>
      <c r="AA1198" s="11"/>
      <c r="AB1198" s="11"/>
      <c r="AC1198" s="1">
        <f t="shared" si="1048"/>
        <v>6.4</v>
      </c>
      <c r="AD1198" s="5">
        <v>1</v>
      </c>
      <c r="AE1198" s="5">
        <v>0</v>
      </c>
      <c r="AF1198" s="5">
        <v>1</v>
      </c>
      <c r="AG1198" s="5">
        <v>0</v>
      </c>
      <c r="AH1198" s="5">
        <v>1</v>
      </c>
      <c r="AI1198" s="3">
        <f t="shared" si="1049"/>
        <v>3.4</v>
      </c>
      <c r="AJ1198" s="5">
        <f t="shared" si="1064"/>
        <v>0</v>
      </c>
      <c r="AK1198" s="5">
        <f t="shared" si="1057"/>
        <v>0</v>
      </c>
      <c r="AL1198" s="5">
        <f t="shared" si="1058"/>
        <v>1</v>
      </c>
      <c r="AM1198" s="5">
        <f t="shared" si="1065"/>
        <v>0</v>
      </c>
      <c r="AN1198" s="5">
        <f t="shared" si="1059"/>
        <v>0</v>
      </c>
      <c r="AO1198" s="5">
        <f t="shared" si="1066"/>
        <v>0</v>
      </c>
      <c r="AP1198" s="11" t="s">
        <v>42</v>
      </c>
      <c r="AQ1198" s="11">
        <v>1.5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1</v>
      </c>
      <c r="AY1198" s="1">
        <f t="shared" si="1050"/>
        <v>0</v>
      </c>
      <c r="AZ1198" s="1">
        <f t="shared" si="1051"/>
        <v>0</v>
      </c>
      <c r="BA1198" s="1">
        <f t="shared" si="1052"/>
        <v>0</v>
      </c>
      <c r="BB1198" s="5">
        <v>0</v>
      </c>
      <c r="BC1198" s="5">
        <v>0</v>
      </c>
      <c r="BD1198" s="5">
        <v>0</v>
      </c>
      <c r="BE1198" s="5">
        <f t="shared" si="1053"/>
        <v>1</v>
      </c>
      <c r="BF1198" s="5">
        <v>1</v>
      </c>
      <c r="BG1198" s="5">
        <f t="shared" si="1068"/>
        <v>0</v>
      </c>
      <c r="BH1198" s="5">
        <f t="shared" si="1068"/>
        <v>0</v>
      </c>
      <c r="BI1198" s="5">
        <f t="shared" si="1068"/>
        <v>0</v>
      </c>
      <c r="BJ1198" s="5">
        <f t="shared" si="1068"/>
        <v>0</v>
      </c>
      <c r="BK1198" s="5">
        <f t="shared" si="1068"/>
        <v>0</v>
      </c>
      <c r="BL1198" s="5">
        <f t="shared" si="1068"/>
        <v>0</v>
      </c>
      <c r="BM1198" s="5">
        <f t="shared" si="1068"/>
        <v>0</v>
      </c>
      <c r="BN1198" s="5">
        <f t="shared" si="1067"/>
        <v>0</v>
      </c>
      <c r="BO1198" s="5">
        <f t="shared" si="1067"/>
        <v>0</v>
      </c>
      <c r="BP1198" s="5">
        <f t="shared" si="1067"/>
        <v>0</v>
      </c>
      <c r="BQ1198" s="5">
        <f t="shared" si="1067"/>
        <v>0</v>
      </c>
      <c r="BR1198" s="5">
        <f t="shared" si="1067"/>
        <v>0</v>
      </c>
      <c r="BS1198" s="5">
        <f t="shared" si="1067"/>
        <v>0</v>
      </c>
      <c r="BT1198" s="5">
        <f t="shared" si="1067"/>
        <v>0</v>
      </c>
      <c r="BU1198" s="5">
        <f t="shared" si="1067"/>
        <v>0</v>
      </c>
      <c r="BV1198" s="5">
        <f t="shared" si="1067"/>
        <v>0</v>
      </c>
      <c r="BW1198" s="5">
        <f t="shared" si="1067"/>
        <v>0</v>
      </c>
      <c r="BX1198" s="5">
        <f t="shared" si="1067"/>
        <v>0</v>
      </c>
      <c r="BY1198" s="5">
        <f t="shared" si="1067"/>
        <v>0</v>
      </c>
      <c r="BZ1198" s="5">
        <f t="shared" si="1067"/>
        <v>0</v>
      </c>
      <c r="CA1198" s="5">
        <f t="shared" si="1067"/>
        <v>0</v>
      </c>
      <c r="CB1198" s="5">
        <f t="shared" si="1067"/>
        <v>0</v>
      </c>
      <c r="CC1198" s="5">
        <f t="shared" si="1069"/>
        <v>0</v>
      </c>
      <c r="CD1198" s="5">
        <f t="shared" si="1069"/>
        <v>1</v>
      </c>
      <c r="CE1198" s="5">
        <f t="shared" si="1069"/>
        <v>0</v>
      </c>
    </row>
    <row r="1199" spans="1:83" x14ac:dyDescent="0.2">
      <c r="A1199" s="11"/>
      <c r="B1199" s="11"/>
      <c r="C1199" s="1">
        <f>Growth!D1204</f>
        <v>7.1895424836601312E-3</v>
      </c>
      <c r="D1199" s="5" t="b">
        <f t="shared" si="1038"/>
        <v>0</v>
      </c>
      <c r="E1199" s="5">
        <v>2014</v>
      </c>
      <c r="F1199" s="5">
        <f ca="1">LOOKUP($E1199,frequence!$A$2:$A$35,frequence!L$2:L$35)</f>
        <v>50.75383375536623</v>
      </c>
      <c r="G1199" s="5">
        <f ca="1">LOOKUP($E1199,frequence!$A$2:$A$35,frequence!K$2:K$35)</f>
        <v>9.9751715831189358</v>
      </c>
      <c r="H1199" s="5">
        <f ca="1">LOOKUP($E1199,frequence!$A$2:$A$35,frequence!M$2:M$35)</f>
        <v>236.05429056976001</v>
      </c>
      <c r="I1199" s="16">
        <v>2007</v>
      </c>
      <c r="J1199" s="7">
        <f>LOOKUP(I1199,CPI!A$69:A$103,CPI!O$69:O$103)</f>
        <v>1.0516730811895323</v>
      </c>
      <c r="K1199" s="16">
        <v>2015</v>
      </c>
      <c r="L1199" s="7">
        <f t="shared" ca="1" si="1056"/>
        <v>1</v>
      </c>
      <c r="M1199" s="7">
        <f t="shared" si="1047"/>
        <v>4.6013071895424841E-2</v>
      </c>
      <c r="N1199" s="14">
        <v>7.1895424836601312E-3</v>
      </c>
      <c r="O1199" s="1">
        <f ca="1">P1199*J1199*(1+Growth!G$6)^(2010-K1199)</f>
        <v>15.597939292657568</v>
      </c>
      <c r="P1199">
        <v>15.987460815046999</v>
      </c>
      <c r="Q1199" s="2">
        <f t="shared" si="1039"/>
        <v>15.987460815046999</v>
      </c>
      <c r="R1199" s="21">
        <f t="shared" ca="1" si="1040"/>
        <v>243.29571017743086</v>
      </c>
      <c r="U1199" s="11"/>
      <c r="V1199" s="11"/>
      <c r="W1199" s="11"/>
      <c r="X1199" s="11"/>
      <c r="Y1199" s="11"/>
      <c r="Z1199" s="11"/>
      <c r="AA1199" s="11"/>
      <c r="AB1199" s="11"/>
      <c r="AC1199" s="1">
        <f t="shared" si="1048"/>
        <v>6.4</v>
      </c>
      <c r="AD1199" s="5">
        <v>1</v>
      </c>
      <c r="AE1199" s="5">
        <v>0</v>
      </c>
      <c r="AF1199" s="5">
        <v>1</v>
      </c>
      <c r="AG1199" s="5">
        <v>0</v>
      </c>
      <c r="AH1199" s="5">
        <v>1</v>
      </c>
      <c r="AI1199" s="3">
        <f t="shared" si="1049"/>
        <v>3.4</v>
      </c>
      <c r="AJ1199" s="5">
        <f t="shared" si="1064"/>
        <v>0</v>
      </c>
      <c r="AK1199" s="5">
        <f t="shared" si="1057"/>
        <v>0</v>
      </c>
      <c r="AL1199" s="5">
        <f t="shared" si="1058"/>
        <v>1</v>
      </c>
      <c r="AM1199" s="5">
        <f t="shared" si="1065"/>
        <v>0</v>
      </c>
      <c r="AN1199" s="5">
        <f t="shared" si="1059"/>
        <v>0</v>
      </c>
      <c r="AO1199" s="5">
        <f t="shared" si="1066"/>
        <v>0</v>
      </c>
      <c r="AP1199" s="11" t="s">
        <v>42</v>
      </c>
      <c r="AQ1199" s="11">
        <v>1.5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1</v>
      </c>
      <c r="AY1199" s="1">
        <f t="shared" si="1050"/>
        <v>0</v>
      </c>
      <c r="AZ1199" s="1">
        <f t="shared" si="1051"/>
        <v>0</v>
      </c>
      <c r="BA1199" s="1">
        <f t="shared" si="1052"/>
        <v>0</v>
      </c>
      <c r="BB1199" s="5">
        <v>0</v>
      </c>
      <c r="BC1199" s="5">
        <v>0</v>
      </c>
      <c r="BD1199" s="5">
        <v>0</v>
      </c>
      <c r="BE1199" s="5">
        <f t="shared" si="1053"/>
        <v>1</v>
      </c>
      <c r="BF1199" s="5">
        <v>1</v>
      </c>
      <c r="BG1199" s="5">
        <f t="shared" si="1068"/>
        <v>0</v>
      </c>
      <c r="BH1199" s="5">
        <f t="shared" si="1068"/>
        <v>0</v>
      </c>
      <c r="BI1199" s="5">
        <f t="shared" si="1068"/>
        <v>0</v>
      </c>
      <c r="BJ1199" s="5">
        <f t="shared" si="1068"/>
        <v>0</v>
      </c>
      <c r="BK1199" s="5">
        <f t="shared" si="1068"/>
        <v>0</v>
      </c>
      <c r="BL1199" s="5">
        <f t="shared" si="1068"/>
        <v>0</v>
      </c>
      <c r="BM1199" s="5">
        <f t="shared" si="1068"/>
        <v>0</v>
      </c>
      <c r="BN1199" s="5">
        <f t="shared" si="1067"/>
        <v>0</v>
      </c>
      <c r="BO1199" s="5">
        <f t="shared" si="1067"/>
        <v>0</v>
      </c>
      <c r="BP1199" s="5">
        <f t="shared" si="1067"/>
        <v>0</v>
      </c>
      <c r="BQ1199" s="5">
        <f t="shared" si="1067"/>
        <v>0</v>
      </c>
      <c r="BR1199" s="5">
        <f t="shared" si="1067"/>
        <v>0</v>
      </c>
      <c r="BS1199" s="5">
        <f t="shared" si="1067"/>
        <v>0</v>
      </c>
      <c r="BT1199" s="5">
        <f t="shared" si="1067"/>
        <v>0</v>
      </c>
      <c r="BU1199" s="5">
        <f t="shared" si="1067"/>
        <v>0</v>
      </c>
      <c r="BV1199" s="5">
        <f t="shared" si="1067"/>
        <v>0</v>
      </c>
      <c r="BW1199" s="5">
        <f t="shared" si="1067"/>
        <v>0</v>
      </c>
      <c r="BX1199" s="5">
        <f t="shared" si="1067"/>
        <v>0</v>
      </c>
      <c r="BY1199" s="5">
        <f t="shared" si="1067"/>
        <v>0</v>
      </c>
      <c r="BZ1199" s="5">
        <f t="shared" si="1067"/>
        <v>0</v>
      </c>
      <c r="CA1199" s="5">
        <f t="shared" si="1067"/>
        <v>0</v>
      </c>
      <c r="CB1199" s="5">
        <f t="shared" si="1067"/>
        <v>0</v>
      </c>
      <c r="CC1199" s="5">
        <f t="shared" si="1069"/>
        <v>0</v>
      </c>
      <c r="CD1199" s="5">
        <f t="shared" si="1069"/>
        <v>1</v>
      </c>
      <c r="CE1199" s="5">
        <f t="shared" si="1069"/>
        <v>0</v>
      </c>
    </row>
    <row r="1200" spans="1:83" x14ac:dyDescent="0.2">
      <c r="A1200" s="11"/>
      <c r="B1200" s="11"/>
      <c r="C1200" s="1">
        <f>Growth!D1205</f>
        <v>8.1699346405228763E-3</v>
      </c>
      <c r="D1200" s="5" t="b">
        <f t="shared" si="1038"/>
        <v>0</v>
      </c>
      <c r="E1200" s="5">
        <v>2014</v>
      </c>
      <c r="F1200" s="5">
        <f ca="1">LOOKUP($E1200,frequence!$A$2:$A$35,frequence!L$2:L$35)</f>
        <v>50.75383375536623</v>
      </c>
      <c r="G1200" s="5">
        <f ca="1">LOOKUP($E1200,frequence!$A$2:$A$35,frequence!K$2:K$35)</f>
        <v>9.9751715831189358</v>
      </c>
      <c r="H1200" s="5">
        <f ca="1">LOOKUP($E1200,frequence!$A$2:$A$35,frequence!M$2:M$35)</f>
        <v>236.05429056976001</v>
      </c>
      <c r="I1200" s="16">
        <v>2007</v>
      </c>
      <c r="J1200" s="7">
        <f>LOOKUP(I1200,CPI!A$69:A$103,CPI!O$69:O$103)</f>
        <v>1.0516730811895323</v>
      </c>
      <c r="K1200" s="16">
        <v>2015</v>
      </c>
      <c r="L1200" s="7">
        <f t="shared" ca="1" si="1056"/>
        <v>1</v>
      </c>
      <c r="M1200" s="7">
        <f t="shared" si="1047"/>
        <v>5.2287581699346414E-2</v>
      </c>
      <c r="N1200" s="14">
        <v>8.1699346405228763E-3</v>
      </c>
      <c r="O1200" s="1">
        <f ca="1">P1200*J1200*(1+Growth!G$6)^(2010-K1200)</f>
        <v>13.885224389934312</v>
      </c>
      <c r="P1200">
        <v>14.23197492163</v>
      </c>
      <c r="Q1200" s="2">
        <f t="shared" si="1039"/>
        <v>14.23197492163</v>
      </c>
      <c r="R1200" s="21">
        <f t="shared" ca="1" si="1040"/>
        <v>192.79945635882666</v>
      </c>
      <c r="U1200" s="11"/>
      <c r="V1200" s="11"/>
      <c r="W1200" s="11"/>
      <c r="X1200" s="11"/>
      <c r="Y1200" s="11"/>
      <c r="Z1200" s="11"/>
      <c r="AA1200" s="11"/>
      <c r="AB1200" s="11"/>
      <c r="AC1200" s="1">
        <f t="shared" si="1048"/>
        <v>6.4</v>
      </c>
      <c r="AD1200" s="5">
        <v>1</v>
      </c>
      <c r="AE1200" s="5">
        <v>0</v>
      </c>
      <c r="AF1200" s="5">
        <v>1</v>
      </c>
      <c r="AG1200" s="5">
        <v>0</v>
      </c>
      <c r="AH1200" s="5">
        <v>1</v>
      </c>
      <c r="AI1200" s="3">
        <f t="shared" si="1049"/>
        <v>3.4</v>
      </c>
      <c r="AJ1200" s="5">
        <f t="shared" si="1064"/>
        <v>0</v>
      </c>
      <c r="AK1200" s="5">
        <f t="shared" si="1057"/>
        <v>0</v>
      </c>
      <c r="AL1200" s="5">
        <f t="shared" si="1058"/>
        <v>1</v>
      </c>
      <c r="AM1200" s="5">
        <f t="shared" si="1065"/>
        <v>0</v>
      </c>
      <c r="AN1200" s="5">
        <f t="shared" si="1059"/>
        <v>0</v>
      </c>
      <c r="AO1200" s="5">
        <f t="shared" si="1066"/>
        <v>0</v>
      </c>
      <c r="AP1200" s="11" t="s">
        <v>42</v>
      </c>
      <c r="AQ1200" s="11">
        <v>1.5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1</v>
      </c>
      <c r="AY1200" s="1">
        <f t="shared" si="1050"/>
        <v>0</v>
      </c>
      <c r="AZ1200" s="1">
        <f t="shared" si="1051"/>
        <v>0</v>
      </c>
      <c r="BA1200" s="1">
        <f t="shared" si="1052"/>
        <v>0</v>
      </c>
      <c r="BB1200" s="5">
        <v>0</v>
      </c>
      <c r="BC1200" s="5">
        <v>0</v>
      </c>
      <c r="BD1200" s="5">
        <v>0</v>
      </c>
      <c r="BE1200" s="5">
        <f t="shared" si="1053"/>
        <v>1</v>
      </c>
      <c r="BF1200" s="5">
        <v>1</v>
      </c>
      <c r="BG1200" s="5">
        <f t="shared" si="1068"/>
        <v>0</v>
      </c>
      <c r="BH1200" s="5">
        <f t="shared" si="1068"/>
        <v>0</v>
      </c>
      <c r="BI1200" s="5">
        <f t="shared" si="1068"/>
        <v>0</v>
      </c>
      <c r="BJ1200" s="5">
        <f t="shared" si="1068"/>
        <v>0</v>
      </c>
      <c r="BK1200" s="5">
        <f t="shared" si="1068"/>
        <v>0</v>
      </c>
      <c r="BL1200" s="5">
        <f t="shared" si="1068"/>
        <v>0</v>
      </c>
      <c r="BM1200" s="5">
        <f t="shared" si="1068"/>
        <v>0</v>
      </c>
      <c r="BN1200" s="5">
        <f t="shared" si="1067"/>
        <v>0</v>
      </c>
      <c r="BO1200" s="5">
        <f t="shared" si="1067"/>
        <v>0</v>
      </c>
      <c r="BP1200" s="5">
        <f t="shared" si="1067"/>
        <v>0</v>
      </c>
      <c r="BQ1200" s="5">
        <f t="shared" si="1067"/>
        <v>0</v>
      </c>
      <c r="BR1200" s="5">
        <f t="shared" si="1067"/>
        <v>0</v>
      </c>
      <c r="BS1200" s="5">
        <f t="shared" si="1067"/>
        <v>0</v>
      </c>
      <c r="BT1200" s="5">
        <f t="shared" si="1067"/>
        <v>0</v>
      </c>
      <c r="BU1200" s="5">
        <f t="shared" si="1067"/>
        <v>0</v>
      </c>
      <c r="BV1200" s="5">
        <f t="shared" si="1067"/>
        <v>0</v>
      </c>
      <c r="BW1200" s="5">
        <f t="shared" si="1067"/>
        <v>0</v>
      </c>
      <c r="BX1200" s="5">
        <f t="shared" si="1067"/>
        <v>0</v>
      </c>
      <c r="BY1200" s="5">
        <f t="shared" si="1067"/>
        <v>0</v>
      </c>
      <c r="BZ1200" s="5">
        <f t="shared" si="1067"/>
        <v>0</v>
      </c>
      <c r="CA1200" s="5">
        <f t="shared" si="1067"/>
        <v>0</v>
      </c>
      <c r="CB1200" s="5">
        <f t="shared" si="1067"/>
        <v>0</v>
      </c>
      <c r="CC1200" s="5">
        <f t="shared" si="1069"/>
        <v>0</v>
      </c>
      <c r="CD1200" s="5">
        <f t="shared" si="1069"/>
        <v>1</v>
      </c>
      <c r="CE1200" s="5">
        <f t="shared" si="1069"/>
        <v>0</v>
      </c>
    </row>
    <row r="1201" spans="1:83" x14ac:dyDescent="0.2">
      <c r="A1201" s="11"/>
      <c r="B1201" s="11"/>
      <c r="C1201" s="1">
        <f>Growth!D1206</f>
        <v>9.1503267973856196E-3</v>
      </c>
      <c r="D1201" s="5" t="b">
        <f t="shared" si="1038"/>
        <v>0</v>
      </c>
      <c r="E1201" s="5">
        <v>2014</v>
      </c>
      <c r="F1201" s="5">
        <f ca="1">LOOKUP($E1201,frequence!$A$2:$A$35,frequence!L$2:L$35)</f>
        <v>50.75383375536623</v>
      </c>
      <c r="G1201" s="5">
        <f ca="1">LOOKUP($E1201,frequence!$A$2:$A$35,frequence!K$2:K$35)</f>
        <v>9.9751715831189358</v>
      </c>
      <c r="H1201" s="5">
        <f ca="1">LOOKUP($E1201,frequence!$A$2:$A$35,frequence!M$2:M$35)</f>
        <v>236.05429056976001</v>
      </c>
      <c r="I1201" s="16">
        <v>2007</v>
      </c>
      <c r="J1201" s="7">
        <f>LOOKUP(I1201,CPI!A$69:A$103,CPI!O$69:O$103)</f>
        <v>1.0516730811895323</v>
      </c>
      <c r="K1201" s="16">
        <v>2015</v>
      </c>
      <c r="L1201" s="7">
        <f t="shared" ca="1" si="1056"/>
        <v>1</v>
      </c>
      <c r="M1201" s="7">
        <f t="shared" si="1047"/>
        <v>5.8562091503267966E-2</v>
      </c>
      <c r="N1201" s="14">
        <v>9.1503267973856196E-3</v>
      </c>
      <c r="O1201" s="1">
        <f ca="1">P1201*J1201*(1+Growth!G$6)^(2010-K1201)</f>
        <v>12.172509487211151</v>
      </c>
      <c r="P1201">
        <v>12.4764890282131</v>
      </c>
      <c r="Q1201" s="2">
        <f t="shared" si="1039"/>
        <v>12.4764890282131</v>
      </c>
      <c r="R1201" s="21">
        <f t="shared" ca="1" si="1040"/>
        <v>148.16998721624549</v>
      </c>
      <c r="U1201" s="11"/>
      <c r="V1201" s="11"/>
      <c r="W1201" s="11"/>
      <c r="X1201" s="11"/>
      <c r="Y1201" s="11"/>
      <c r="Z1201" s="11"/>
      <c r="AA1201" s="11"/>
      <c r="AB1201" s="11"/>
      <c r="AC1201" s="1">
        <f t="shared" si="1048"/>
        <v>6.4</v>
      </c>
      <c r="AD1201" s="5">
        <v>1</v>
      </c>
      <c r="AE1201" s="5">
        <v>0</v>
      </c>
      <c r="AF1201" s="5">
        <v>1</v>
      </c>
      <c r="AG1201" s="5">
        <v>0</v>
      </c>
      <c r="AH1201" s="5">
        <v>1</v>
      </c>
      <c r="AI1201" s="3">
        <f t="shared" si="1049"/>
        <v>3.4</v>
      </c>
      <c r="AJ1201" s="5">
        <f t="shared" si="1064"/>
        <v>0</v>
      </c>
      <c r="AK1201" s="5">
        <f t="shared" si="1057"/>
        <v>0</v>
      </c>
      <c r="AL1201" s="5">
        <f t="shared" si="1058"/>
        <v>1</v>
      </c>
      <c r="AM1201" s="5">
        <f t="shared" si="1065"/>
        <v>0</v>
      </c>
      <c r="AN1201" s="5">
        <f t="shared" si="1059"/>
        <v>0</v>
      </c>
      <c r="AO1201" s="5">
        <f t="shared" si="1066"/>
        <v>0</v>
      </c>
      <c r="AP1201" s="11" t="s">
        <v>42</v>
      </c>
      <c r="AQ1201" s="11">
        <v>1.5</v>
      </c>
      <c r="AR1201" s="5">
        <v>0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5">
        <v>1</v>
      </c>
      <c r="AY1201" s="1">
        <f t="shared" si="1050"/>
        <v>0</v>
      </c>
      <c r="AZ1201" s="1">
        <f t="shared" si="1051"/>
        <v>0</v>
      </c>
      <c r="BA1201" s="1">
        <f t="shared" si="1052"/>
        <v>0</v>
      </c>
      <c r="BB1201" s="5">
        <v>0</v>
      </c>
      <c r="BC1201" s="5">
        <v>0</v>
      </c>
      <c r="BD1201" s="5">
        <v>0</v>
      </c>
      <c r="BE1201" s="5">
        <f t="shared" si="1053"/>
        <v>1</v>
      </c>
      <c r="BF1201" s="5">
        <v>1</v>
      </c>
      <c r="BG1201" s="5">
        <f t="shared" si="1068"/>
        <v>0</v>
      </c>
      <c r="BH1201" s="5">
        <f t="shared" si="1068"/>
        <v>0</v>
      </c>
      <c r="BI1201" s="5">
        <f t="shared" si="1068"/>
        <v>0</v>
      </c>
      <c r="BJ1201" s="5">
        <f t="shared" si="1068"/>
        <v>0</v>
      </c>
      <c r="BK1201" s="5">
        <f t="shared" si="1068"/>
        <v>0</v>
      </c>
      <c r="BL1201" s="5">
        <f t="shared" si="1068"/>
        <v>0</v>
      </c>
      <c r="BM1201" s="5">
        <f t="shared" si="1068"/>
        <v>0</v>
      </c>
      <c r="BN1201" s="5">
        <f t="shared" si="1067"/>
        <v>0</v>
      </c>
      <c r="BO1201" s="5">
        <f t="shared" si="1067"/>
        <v>0</v>
      </c>
      <c r="BP1201" s="5">
        <f t="shared" si="1067"/>
        <v>0</v>
      </c>
      <c r="BQ1201" s="5">
        <f t="shared" si="1067"/>
        <v>0</v>
      </c>
      <c r="BR1201" s="5">
        <f t="shared" si="1067"/>
        <v>0</v>
      </c>
      <c r="BS1201" s="5">
        <f t="shared" si="1067"/>
        <v>0</v>
      </c>
      <c r="BT1201" s="5">
        <f t="shared" si="1067"/>
        <v>0</v>
      </c>
      <c r="BU1201" s="5">
        <f t="shared" si="1067"/>
        <v>0</v>
      </c>
      <c r="BV1201" s="5">
        <f t="shared" si="1067"/>
        <v>0</v>
      </c>
      <c r="BW1201" s="5">
        <f t="shared" si="1067"/>
        <v>0</v>
      </c>
      <c r="BX1201" s="5">
        <f t="shared" si="1067"/>
        <v>0</v>
      </c>
      <c r="BY1201" s="5">
        <f t="shared" si="1067"/>
        <v>0</v>
      </c>
      <c r="BZ1201" s="5">
        <f t="shared" si="1067"/>
        <v>0</v>
      </c>
      <c r="CA1201" s="5">
        <f t="shared" si="1067"/>
        <v>0</v>
      </c>
      <c r="CB1201" s="5">
        <f t="shared" si="1067"/>
        <v>0</v>
      </c>
      <c r="CC1201" s="5">
        <f t="shared" si="1069"/>
        <v>0</v>
      </c>
      <c r="CD1201" s="5">
        <f t="shared" si="1069"/>
        <v>1</v>
      </c>
      <c r="CE1201" s="5">
        <f t="shared" si="1069"/>
        <v>0</v>
      </c>
    </row>
    <row r="1202" spans="1:83" x14ac:dyDescent="0.2">
      <c r="A1202" s="11"/>
      <c r="B1202" s="11"/>
      <c r="C1202" s="1">
        <f>Growth!D1207</f>
        <v>1.0130718954248365E-2</v>
      </c>
      <c r="D1202" s="5" t="b">
        <f t="shared" si="1038"/>
        <v>0</v>
      </c>
      <c r="E1202" s="5">
        <v>2014</v>
      </c>
      <c r="F1202" s="5">
        <f ca="1">LOOKUP($E1202,frequence!$A$2:$A$35,frequence!L$2:L$35)</f>
        <v>50.75383375536623</v>
      </c>
      <c r="G1202" s="5">
        <f ca="1">LOOKUP($E1202,frequence!$A$2:$A$35,frequence!K$2:K$35)</f>
        <v>9.9751715831189358</v>
      </c>
      <c r="H1202" s="5">
        <f ca="1">LOOKUP($E1202,frequence!$A$2:$A$35,frequence!M$2:M$35)</f>
        <v>236.05429056976001</v>
      </c>
      <c r="I1202" s="16">
        <v>2007</v>
      </c>
      <c r="J1202" s="7">
        <f>LOOKUP(I1202,CPI!A$69:A$103,CPI!O$69:O$103)</f>
        <v>1.0516730811895323</v>
      </c>
      <c r="K1202" s="16">
        <v>2015</v>
      </c>
      <c r="L1202" s="7">
        <f t="shared" ca="1" si="1056"/>
        <v>1</v>
      </c>
      <c r="M1202" s="7">
        <f t="shared" si="1047"/>
        <v>6.4836601307189531E-2</v>
      </c>
      <c r="N1202" s="14">
        <v>1.0130718954248365E-2</v>
      </c>
      <c r="O1202" s="1">
        <f ca="1">P1202*J1202*(1+Growth!G$6)^(2010-K1202)</f>
        <v>11.193815257083662</v>
      </c>
      <c r="P1202">
        <v>11.4733542319749</v>
      </c>
      <c r="Q1202" s="2">
        <f t="shared" si="1039"/>
        <v>11.4733542319749</v>
      </c>
      <c r="R1202" s="21">
        <f t="shared" ca="1" si="1040"/>
        <v>125.30150000971896</v>
      </c>
      <c r="U1202" s="11"/>
      <c r="V1202" s="11"/>
      <c r="W1202" s="11"/>
      <c r="X1202" s="11"/>
      <c r="Y1202" s="11"/>
      <c r="Z1202" s="11"/>
      <c r="AA1202" s="11"/>
      <c r="AB1202" s="11"/>
      <c r="AC1202" s="1">
        <f t="shared" si="1048"/>
        <v>6.4</v>
      </c>
      <c r="AD1202" s="5">
        <v>1</v>
      </c>
      <c r="AE1202" s="5">
        <v>0</v>
      </c>
      <c r="AF1202" s="5">
        <v>1</v>
      </c>
      <c r="AG1202" s="5">
        <v>0</v>
      </c>
      <c r="AH1202" s="5">
        <v>1</v>
      </c>
      <c r="AI1202" s="3">
        <f t="shared" si="1049"/>
        <v>3.4</v>
      </c>
      <c r="AJ1202" s="5">
        <f t="shared" si="1064"/>
        <v>0</v>
      </c>
      <c r="AK1202" s="5">
        <f t="shared" si="1057"/>
        <v>0</v>
      </c>
      <c r="AL1202" s="5">
        <f t="shared" si="1058"/>
        <v>1</v>
      </c>
      <c r="AM1202" s="5">
        <f t="shared" si="1065"/>
        <v>0</v>
      </c>
      <c r="AN1202" s="5">
        <f t="shared" si="1059"/>
        <v>0</v>
      </c>
      <c r="AO1202" s="5">
        <f t="shared" si="1066"/>
        <v>0</v>
      </c>
      <c r="AP1202" s="11" t="s">
        <v>42</v>
      </c>
      <c r="AQ1202" s="11">
        <v>1.5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1</v>
      </c>
      <c r="AY1202" s="1">
        <f t="shared" si="1050"/>
        <v>0</v>
      </c>
      <c r="AZ1202" s="1">
        <f t="shared" si="1051"/>
        <v>0</v>
      </c>
      <c r="BA1202" s="1">
        <f t="shared" si="1052"/>
        <v>0</v>
      </c>
      <c r="BB1202" s="5">
        <v>0</v>
      </c>
      <c r="BC1202" s="5">
        <v>0</v>
      </c>
      <c r="BD1202" s="5">
        <v>0</v>
      </c>
      <c r="BE1202" s="5">
        <f t="shared" si="1053"/>
        <v>1</v>
      </c>
      <c r="BF1202" s="5">
        <v>1</v>
      </c>
      <c r="BG1202" s="5">
        <f t="shared" si="1068"/>
        <v>0</v>
      </c>
      <c r="BH1202" s="5">
        <f t="shared" si="1068"/>
        <v>0</v>
      </c>
      <c r="BI1202" s="5">
        <f t="shared" si="1068"/>
        <v>0</v>
      </c>
      <c r="BJ1202" s="5">
        <f t="shared" si="1068"/>
        <v>0</v>
      </c>
      <c r="BK1202" s="5">
        <f t="shared" si="1068"/>
        <v>0</v>
      </c>
      <c r="BL1202" s="5">
        <f t="shared" si="1068"/>
        <v>0</v>
      </c>
      <c r="BM1202" s="5">
        <f t="shared" si="1068"/>
        <v>0</v>
      </c>
      <c r="BN1202" s="5">
        <f t="shared" si="1067"/>
        <v>0</v>
      </c>
      <c r="BO1202" s="5">
        <f t="shared" si="1067"/>
        <v>0</v>
      </c>
      <c r="BP1202" s="5">
        <f t="shared" si="1067"/>
        <v>0</v>
      </c>
      <c r="BQ1202" s="5">
        <f t="shared" si="1067"/>
        <v>0</v>
      </c>
      <c r="BR1202" s="5">
        <f t="shared" si="1067"/>
        <v>0</v>
      </c>
      <c r="BS1202" s="5">
        <f t="shared" si="1067"/>
        <v>0</v>
      </c>
      <c r="BT1202" s="5">
        <f t="shared" si="1067"/>
        <v>0</v>
      </c>
      <c r="BU1202" s="5">
        <f t="shared" si="1067"/>
        <v>0</v>
      </c>
      <c r="BV1202" s="5">
        <f t="shared" si="1067"/>
        <v>0</v>
      </c>
      <c r="BW1202" s="5">
        <f t="shared" si="1067"/>
        <v>0</v>
      </c>
      <c r="BX1202" s="5">
        <f t="shared" si="1067"/>
        <v>0</v>
      </c>
      <c r="BY1202" s="5">
        <f t="shared" si="1067"/>
        <v>0</v>
      </c>
      <c r="BZ1202" s="5">
        <f t="shared" si="1067"/>
        <v>0</v>
      </c>
      <c r="CA1202" s="5">
        <f t="shared" si="1067"/>
        <v>0</v>
      </c>
      <c r="CB1202" s="5">
        <f t="shared" si="1067"/>
        <v>0</v>
      </c>
      <c r="CC1202" s="5">
        <f t="shared" si="1069"/>
        <v>0</v>
      </c>
      <c r="CD1202" s="5">
        <f t="shared" si="1069"/>
        <v>1</v>
      </c>
      <c r="CE1202" s="5">
        <f t="shared" si="1069"/>
        <v>0</v>
      </c>
    </row>
    <row r="1203" spans="1:83" x14ac:dyDescent="0.2">
      <c r="A1203" s="11"/>
      <c r="B1203" s="11"/>
      <c r="C1203" s="1">
        <f>Growth!D1208</f>
        <v>1.111111111111111E-2</v>
      </c>
      <c r="D1203" s="5" t="b">
        <f t="shared" si="1038"/>
        <v>0</v>
      </c>
      <c r="E1203" s="5">
        <v>2014</v>
      </c>
      <c r="F1203" s="5">
        <f ca="1">LOOKUP($E1203,frequence!$A$2:$A$35,frequence!L$2:L$35)</f>
        <v>50.75383375536623</v>
      </c>
      <c r="G1203" s="5">
        <f ca="1">LOOKUP($E1203,frequence!$A$2:$A$35,frequence!K$2:K$35)</f>
        <v>9.9751715831189358</v>
      </c>
      <c r="H1203" s="5">
        <f ca="1">LOOKUP($E1203,frequence!$A$2:$A$35,frequence!M$2:M$35)</f>
        <v>236.05429056976001</v>
      </c>
      <c r="I1203" s="16">
        <v>2007</v>
      </c>
      <c r="J1203" s="7">
        <f>LOOKUP(I1203,CPI!A$69:A$103,CPI!O$69:O$103)</f>
        <v>1.0516730811895323</v>
      </c>
      <c r="K1203" s="16">
        <v>2015</v>
      </c>
      <c r="L1203" s="7">
        <f t="shared" ca="1" si="1056"/>
        <v>1</v>
      </c>
      <c r="M1203" s="7">
        <f t="shared" si="1047"/>
        <v>7.1111111111111111E-2</v>
      </c>
      <c r="N1203" s="14">
        <v>1.111111111111111E-2</v>
      </c>
      <c r="O1203" s="1">
        <f ca="1">P1203*J1203*(1+Growth!G$6)^(2010-K1203)</f>
        <v>9.9704474694242471</v>
      </c>
      <c r="P1203">
        <v>10.2194357366771</v>
      </c>
      <c r="Q1203" s="2">
        <f t="shared" si="1039"/>
        <v>10.2194357366771</v>
      </c>
      <c r="R1203" s="21">
        <f t="shared" ca="1" si="1040"/>
        <v>99.409822740548378</v>
      </c>
      <c r="U1203" s="11"/>
      <c r="V1203" s="11"/>
      <c r="W1203" s="11"/>
      <c r="X1203" s="11"/>
      <c r="Y1203" s="11"/>
      <c r="Z1203" s="11"/>
      <c r="AA1203" s="11"/>
      <c r="AB1203" s="11"/>
      <c r="AC1203" s="1">
        <f t="shared" si="1048"/>
        <v>6.4</v>
      </c>
      <c r="AD1203" s="5">
        <v>1</v>
      </c>
      <c r="AE1203" s="5">
        <v>0</v>
      </c>
      <c r="AF1203" s="5">
        <v>1</v>
      </c>
      <c r="AG1203" s="5">
        <v>0</v>
      </c>
      <c r="AH1203" s="5">
        <v>1</v>
      </c>
      <c r="AI1203" s="3">
        <f t="shared" si="1049"/>
        <v>3.4</v>
      </c>
      <c r="AJ1203" s="5">
        <f t="shared" si="1064"/>
        <v>0</v>
      </c>
      <c r="AK1203" s="5">
        <f t="shared" si="1057"/>
        <v>0</v>
      </c>
      <c r="AL1203" s="5">
        <f t="shared" si="1058"/>
        <v>1</v>
      </c>
      <c r="AM1203" s="5">
        <f t="shared" si="1065"/>
        <v>0</v>
      </c>
      <c r="AN1203" s="5">
        <f t="shared" si="1059"/>
        <v>0</v>
      </c>
      <c r="AO1203" s="5">
        <f t="shared" si="1066"/>
        <v>0</v>
      </c>
      <c r="AP1203" s="11" t="s">
        <v>42</v>
      </c>
      <c r="AQ1203" s="11">
        <v>1.5</v>
      </c>
      <c r="AR1203" s="5">
        <v>0</v>
      </c>
      <c r="AS1203" s="5">
        <v>0</v>
      </c>
      <c r="AT1203" s="5">
        <v>0</v>
      </c>
      <c r="AU1203" s="5">
        <v>0</v>
      </c>
      <c r="AV1203" s="5">
        <v>0</v>
      </c>
      <c r="AW1203" s="5">
        <v>0</v>
      </c>
      <c r="AX1203" s="5">
        <v>1</v>
      </c>
      <c r="AY1203" s="1">
        <f t="shared" si="1050"/>
        <v>0</v>
      </c>
      <c r="AZ1203" s="1">
        <f t="shared" si="1051"/>
        <v>0</v>
      </c>
      <c r="BA1203" s="1">
        <f t="shared" si="1052"/>
        <v>0</v>
      </c>
      <c r="BB1203" s="5">
        <v>0</v>
      </c>
      <c r="BC1203" s="5">
        <v>0</v>
      </c>
      <c r="BD1203" s="5">
        <v>0</v>
      </c>
      <c r="BE1203" s="5">
        <f t="shared" si="1053"/>
        <v>1</v>
      </c>
      <c r="BF1203" s="5">
        <v>1</v>
      </c>
      <c r="BG1203" s="5">
        <f t="shared" si="1068"/>
        <v>0</v>
      </c>
      <c r="BH1203" s="5">
        <f t="shared" si="1068"/>
        <v>0</v>
      </c>
      <c r="BI1203" s="5">
        <f t="shared" si="1068"/>
        <v>0</v>
      </c>
      <c r="BJ1203" s="5">
        <f t="shared" si="1068"/>
        <v>0</v>
      </c>
      <c r="BK1203" s="5">
        <f t="shared" si="1068"/>
        <v>0</v>
      </c>
      <c r="BL1203" s="5">
        <f t="shared" si="1068"/>
        <v>0</v>
      </c>
      <c r="BM1203" s="5">
        <f t="shared" si="1068"/>
        <v>0</v>
      </c>
      <c r="BN1203" s="5">
        <f t="shared" si="1067"/>
        <v>0</v>
      </c>
      <c r="BO1203" s="5">
        <f t="shared" si="1067"/>
        <v>0</v>
      </c>
      <c r="BP1203" s="5">
        <f t="shared" si="1067"/>
        <v>0</v>
      </c>
      <c r="BQ1203" s="5">
        <f t="shared" si="1067"/>
        <v>0</v>
      </c>
      <c r="BR1203" s="5">
        <f t="shared" si="1067"/>
        <v>0</v>
      </c>
      <c r="BS1203" s="5">
        <f t="shared" si="1067"/>
        <v>0</v>
      </c>
      <c r="BT1203" s="5">
        <f t="shared" si="1067"/>
        <v>0</v>
      </c>
      <c r="BU1203" s="5">
        <f t="shared" si="1067"/>
        <v>0</v>
      </c>
      <c r="BV1203" s="5">
        <f t="shared" si="1067"/>
        <v>0</v>
      </c>
      <c r="BW1203" s="5">
        <f t="shared" si="1067"/>
        <v>0</v>
      </c>
      <c r="BX1203" s="5">
        <f t="shared" si="1067"/>
        <v>0</v>
      </c>
      <c r="BY1203" s="5">
        <f t="shared" si="1067"/>
        <v>0</v>
      </c>
      <c r="BZ1203" s="5">
        <f t="shared" si="1067"/>
        <v>0</v>
      </c>
      <c r="CA1203" s="5">
        <f t="shared" si="1067"/>
        <v>0</v>
      </c>
      <c r="CB1203" s="5">
        <f t="shared" si="1067"/>
        <v>0</v>
      </c>
      <c r="CC1203" s="5">
        <f t="shared" si="1069"/>
        <v>0</v>
      </c>
      <c r="CD1203" s="5">
        <f t="shared" si="1069"/>
        <v>1</v>
      </c>
      <c r="CE1203" s="5">
        <f t="shared" si="1069"/>
        <v>0</v>
      </c>
    </row>
    <row r="1204" spans="1:83" x14ac:dyDescent="0.2">
      <c r="A1204" s="11"/>
      <c r="B1204" s="11"/>
      <c r="C1204" s="1">
        <f>Growth!D1209</f>
        <v>1.2091503267973853E-2</v>
      </c>
      <c r="D1204" s="5" t="b">
        <f t="shared" si="1038"/>
        <v>0</v>
      </c>
      <c r="E1204" s="5">
        <v>2014</v>
      </c>
      <c r="F1204" s="5">
        <f ca="1">LOOKUP($E1204,frequence!$A$2:$A$35,frequence!L$2:L$35)</f>
        <v>50.75383375536623</v>
      </c>
      <c r="G1204" s="5">
        <f ca="1">LOOKUP($E1204,frequence!$A$2:$A$35,frequence!K$2:K$35)</f>
        <v>9.9751715831189358</v>
      </c>
      <c r="H1204" s="5">
        <f ca="1">LOOKUP($E1204,frequence!$A$2:$A$35,frequence!M$2:M$35)</f>
        <v>236.05429056976001</v>
      </c>
      <c r="I1204" s="16">
        <v>2007</v>
      </c>
      <c r="J1204" s="7">
        <f>LOOKUP(I1204,CPI!A$69:A$103,CPI!O$69:O$103)</f>
        <v>1.0516730811895323</v>
      </c>
      <c r="K1204" s="16">
        <v>2015</v>
      </c>
      <c r="L1204" s="7">
        <f t="shared" ca="1" si="1056"/>
        <v>1</v>
      </c>
      <c r="M1204" s="7">
        <f t="shared" si="1047"/>
        <v>7.7385620915032663E-2</v>
      </c>
      <c r="N1204" s="14">
        <v>1.2091503267973853E-2</v>
      </c>
      <c r="O1204" s="1">
        <f ca="1">P1204*J1204*(1+Growth!G$6)^(2010-K1204)</f>
        <v>8.9917532392967257</v>
      </c>
      <c r="P1204">
        <v>9.2163009404388703</v>
      </c>
      <c r="Q1204" s="2">
        <f t="shared" si="1039"/>
        <v>9.2163009404388703</v>
      </c>
      <c r="R1204" s="21">
        <f t="shared" ca="1" si="1040"/>
        <v>80.851626316403156</v>
      </c>
      <c r="U1204" s="11"/>
      <c r="V1204" s="11"/>
      <c r="W1204" s="11"/>
      <c r="X1204" s="11"/>
      <c r="Y1204" s="11"/>
      <c r="Z1204" s="11"/>
      <c r="AA1204" s="11"/>
      <c r="AB1204" s="11"/>
      <c r="AC1204" s="1">
        <f t="shared" si="1048"/>
        <v>6.4</v>
      </c>
      <c r="AD1204" s="5">
        <v>1</v>
      </c>
      <c r="AE1204" s="5">
        <v>0</v>
      </c>
      <c r="AF1204" s="5">
        <v>1</v>
      </c>
      <c r="AG1204" s="5">
        <v>0</v>
      </c>
      <c r="AH1204" s="5">
        <v>1</v>
      </c>
      <c r="AI1204" s="3">
        <f t="shared" si="1049"/>
        <v>3.4</v>
      </c>
      <c r="AJ1204" s="5">
        <f t="shared" si="1064"/>
        <v>0</v>
      </c>
      <c r="AK1204" s="5">
        <f t="shared" si="1057"/>
        <v>0</v>
      </c>
      <c r="AL1204" s="5">
        <f t="shared" si="1058"/>
        <v>1</v>
      </c>
      <c r="AM1204" s="5">
        <f t="shared" si="1065"/>
        <v>0</v>
      </c>
      <c r="AN1204" s="5">
        <f t="shared" si="1059"/>
        <v>0</v>
      </c>
      <c r="AO1204" s="5">
        <f t="shared" si="1066"/>
        <v>0</v>
      </c>
      <c r="AP1204" s="11" t="s">
        <v>42</v>
      </c>
      <c r="AQ1204" s="11">
        <v>1.5</v>
      </c>
      <c r="AR1204" s="5">
        <v>0</v>
      </c>
      <c r="AS1204" s="5">
        <v>0</v>
      </c>
      <c r="AT1204" s="5">
        <v>0</v>
      </c>
      <c r="AU1204" s="5">
        <v>0</v>
      </c>
      <c r="AV1204" s="5">
        <v>0</v>
      </c>
      <c r="AW1204" s="5">
        <v>0</v>
      </c>
      <c r="AX1204" s="5">
        <v>1</v>
      </c>
      <c r="AY1204" s="1">
        <f t="shared" si="1050"/>
        <v>0</v>
      </c>
      <c r="AZ1204" s="1">
        <f t="shared" si="1051"/>
        <v>0</v>
      </c>
      <c r="BA1204" s="1">
        <f t="shared" si="1052"/>
        <v>0</v>
      </c>
      <c r="BB1204" s="5">
        <v>0</v>
      </c>
      <c r="BC1204" s="5">
        <v>0</v>
      </c>
      <c r="BD1204" s="5">
        <v>0</v>
      </c>
      <c r="BE1204" s="5">
        <f t="shared" si="1053"/>
        <v>1</v>
      </c>
      <c r="BF1204" s="5">
        <v>1</v>
      </c>
      <c r="BG1204" s="5">
        <f t="shared" si="1068"/>
        <v>0</v>
      </c>
      <c r="BH1204" s="5">
        <f t="shared" si="1068"/>
        <v>0</v>
      </c>
      <c r="BI1204" s="5">
        <f t="shared" si="1068"/>
        <v>0</v>
      </c>
      <c r="BJ1204" s="5">
        <f t="shared" si="1068"/>
        <v>0</v>
      </c>
      <c r="BK1204" s="5">
        <f t="shared" si="1068"/>
        <v>0</v>
      </c>
      <c r="BL1204" s="5">
        <f t="shared" si="1068"/>
        <v>0</v>
      </c>
      <c r="BM1204" s="5">
        <f t="shared" si="1068"/>
        <v>0</v>
      </c>
      <c r="BN1204" s="5">
        <f t="shared" si="1068"/>
        <v>0</v>
      </c>
      <c r="BO1204" s="5">
        <f t="shared" ref="BO1204:CB1216" si="1070">IF($E1204=BO$2,1,0)</f>
        <v>0</v>
      </c>
      <c r="BP1204" s="5">
        <f t="shared" si="1070"/>
        <v>0</v>
      </c>
      <c r="BQ1204" s="5">
        <f t="shared" si="1070"/>
        <v>0</v>
      </c>
      <c r="BR1204" s="5">
        <f t="shared" si="1070"/>
        <v>0</v>
      </c>
      <c r="BS1204" s="5">
        <f t="shared" si="1070"/>
        <v>0</v>
      </c>
      <c r="BT1204" s="5">
        <f t="shared" si="1070"/>
        <v>0</v>
      </c>
      <c r="BU1204" s="5">
        <f t="shared" si="1070"/>
        <v>0</v>
      </c>
      <c r="BV1204" s="5">
        <f t="shared" si="1070"/>
        <v>0</v>
      </c>
      <c r="BW1204" s="5">
        <f t="shared" si="1070"/>
        <v>0</v>
      </c>
      <c r="BX1204" s="5">
        <f t="shared" si="1070"/>
        <v>0</v>
      </c>
      <c r="BY1204" s="5">
        <f t="shared" si="1070"/>
        <v>0</v>
      </c>
      <c r="BZ1204" s="5">
        <f t="shared" si="1070"/>
        <v>0</v>
      </c>
      <c r="CA1204" s="5">
        <f t="shared" si="1070"/>
        <v>0</v>
      </c>
      <c r="CB1204" s="5">
        <f t="shared" si="1070"/>
        <v>0</v>
      </c>
      <c r="CC1204" s="5">
        <f t="shared" si="1069"/>
        <v>0</v>
      </c>
      <c r="CD1204" s="5">
        <f t="shared" si="1069"/>
        <v>1</v>
      </c>
      <c r="CE1204" s="5">
        <f t="shared" si="1069"/>
        <v>0</v>
      </c>
    </row>
    <row r="1205" spans="1:83" x14ac:dyDescent="0.2">
      <c r="A1205" s="11"/>
      <c r="B1205" s="11"/>
      <c r="C1205" s="1">
        <f>Growth!D1210</f>
        <v>1.3071895424836602E-2</v>
      </c>
      <c r="D1205" s="5" t="b">
        <f t="shared" si="1038"/>
        <v>0</v>
      </c>
      <c r="E1205" s="5">
        <v>2014</v>
      </c>
      <c r="F1205" s="5">
        <f ca="1">LOOKUP($E1205,frequence!$A$2:$A$35,frequence!L$2:L$35)</f>
        <v>50.75383375536623</v>
      </c>
      <c r="G1205" s="5">
        <f ca="1">LOOKUP($E1205,frequence!$A$2:$A$35,frequence!K$2:K$35)</f>
        <v>9.9751715831189358</v>
      </c>
      <c r="H1205" s="5">
        <f ca="1">LOOKUP($E1205,frequence!$A$2:$A$35,frequence!M$2:M$35)</f>
        <v>236.05429056976001</v>
      </c>
      <c r="I1205" s="16">
        <v>2007</v>
      </c>
      <c r="J1205" s="7">
        <f>LOOKUP(I1205,CPI!A$69:A$103,CPI!O$69:O$103)</f>
        <v>1.0516730811895323</v>
      </c>
      <c r="K1205" s="16">
        <v>2015</v>
      </c>
      <c r="L1205" s="7">
        <f t="shared" ca="1" si="1056"/>
        <v>1</v>
      </c>
      <c r="M1205" s="7">
        <f t="shared" si="1047"/>
        <v>8.3660130718954256E-2</v>
      </c>
      <c r="N1205" s="14">
        <v>1.3071895424836602E-2</v>
      </c>
      <c r="O1205" s="1">
        <f ca="1">P1205*J1205*(1+Growth!G$6)^(2010-K1205)</f>
        <v>8.0130590091691865</v>
      </c>
      <c r="P1205">
        <v>8.2131661442006205</v>
      </c>
      <c r="Q1205" s="2">
        <f t="shared" si="1039"/>
        <v>8.2131661442006205</v>
      </c>
      <c r="R1205" s="21">
        <f t="shared" ca="1" si="1040"/>
        <v>64.209114684427462</v>
      </c>
      <c r="U1205" s="11"/>
      <c r="V1205" s="11"/>
      <c r="W1205" s="11"/>
      <c r="X1205" s="11"/>
      <c r="Y1205" s="11"/>
      <c r="Z1205" s="11"/>
      <c r="AA1205" s="11"/>
      <c r="AB1205" s="11"/>
      <c r="AC1205" s="1">
        <f t="shared" si="1048"/>
        <v>6.4</v>
      </c>
      <c r="AD1205" s="5">
        <v>1</v>
      </c>
      <c r="AE1205" s="5">
        <v>0</v>
      </c>
      <c r="AF1205" s="5">
        <v>1</v>
      </c>
      <c r="AG1205" s="5">
        <v>0</v>
      </c>
      <c r="AH1205" s="5">
        <v>1</v>
      </c>
      <c r="AI1205" s="3">
        <f t="shared" si="1049"/>
        <v>3.4</v>
      </c>
      <c r="AJ1205" s="5">
        <f t="shared" si="1064"/>
        <v>0</v>
      </c>
      <c r="AK1205" s="5">
        <f t="shared" si="1057"/>
        <v>0</v>
      </c>
      <c r="AL1205" s="5">
        <f t="shared" si="1058"/>
        <v>1</v>
      </c>
      <c r="AM1205" s="5">
        <f t="shared" si="1065"/>
        <v>0</v>
      </c>
      <c r="AN1205" s="5">
        <f t="shared" si="1059"/>
        <v>0</v>
      </c>
      <c r="AO1205" s="5">
        <f t="shared" si="1066"/>
        <v>0</v>
      </c>
      <c r="AP1205" s="11" t="s">
        <v>42</v>
      </c>
      <c r="AQ1205" s="11">
        <v>1.5</v>
      </c>
      <c r="AR1205" s="5">
        <v>0</v>
      </c>
      <c r="AS1205" s="5">
        <v>0</v>
      </c>
      <c r="AT1205" s="5">
        <v>0</v>
      </c>
      <c r="AU1205" s="5">
        <v>0</v>
      </c>
      <c r="AV1205" s="5">
        <v>0</v>
      </c>
      <c r="AW1205" s="5">
        <v>0</v>
      </c>
      <c r="AX1205" s="5">
        <v>1</v>
      </c>
      <c r="AY1205" s="1">
        <f t="shared" si="1050"/>
        <v>0</v>
      </c>
      <c r="AZ1205" s="1">
        <f t="shared" si="1051"/>
        <v>0</v>
      </c>
      <c r="BA1205" s="1">
        <f t="shared" si="1052"/>
        <v>0</v>
      </c>
      <c r="BB1205" s="5">
        <v>0</v>
      </c>
      <c r="BC1205" s="5">
        <v>0</v>
      </c>
      <c r="BD1205" s="5">
        <v>0</v>
      </c>
      <c r="BE1205" s="5">
        <f t="shared" si="1053"/>
        <v>1</v>
      </c>
      <c r="BF1205" s="5">
        <v>1</v>
      </c>
      <c r="BG1205" s="5">
        <f t="shared" ref="BG1205:BN1216" si="1071">IF($E1205=BG$2,1,0)</f>
        <v>0</v>
      </c>
      <c r="BH1205" s="5">
        <f t="shared" si="1071"/>
        <v>0</v>
      </c>
      <c r="BI1205" s="5">
        <f t="shared" si="1071"/>
        <v>0</v>
      </c>
      <c r="BJ1205" s="5">
        <f t="shared" si="1071"/>
        <v>0</v>
      </c>
      <c r="BK1205" s="5">
        <f t="shared" si="1071"/>
        <v>0</v>
      </c>
      <c r="BL1205" s="5">
        <f t="shared" si="1071"/>
        <v>0</v>
      </c>
      <c r="BM1205" s="5">
        <f t="shared" si="1071"/>
        <v>0</v>
      </c>
      <c r="BN1205" s="5">
        <f t="shared" si="1071"/>
        <v>0</v>
      </c>
      <c r="BO1205" s="5">
        <f t="shared" si="1070"/>
        <v>0</v>
      </c>
      <c r="BP1205" s="5">
        <f t="shared" si="1070"/>
        <v>0</v>
      </c>
      <c r="BQ1205" s="5">
        <f t="shared" si="1070"/>
        <v>0</v>
      </c>
      <c r="BR1205" s="5">
        <f t="shared" si="1070"/>
        <v>0</v>
      </c>
      <c r="BS1205" s="5">
        <f t="shared" si="1070"/>
        <v>0</v>
      </c>
      <c r="BT1205" s="5">
        <f t="shared" si="1070"/>
        <v>0</v>
      </c>
      <c r="BU1205" s="5">
        <f t="shared" si="1070"/>
        <v>0</v>
      </c>
      <c r="BV1205" s="5">
        <f t="shared" si="1070"/>
        <v>0</v>
      </c>
      <c r="BW1205" s="5">
        <f t="shared" si="1070"/>
        <v>0</v>
      </c>
      <c r="BX1205" s="5">
        <f t="shared" si="1070"/>
        <v>0</v>
      </c>
      <c r="BY1205" s="5">
        <f t="shared" si="1070"/>
        <v>0</v>
      </c>
      <c r="BZ1205" s="5">
        <f t="shared" si="1070"/>
        <v>0</v>
      </c>
      <c r="CA1205" s="5">
        <f t="shared" si="1070"/>
        <v>0</v>
      </c>
      <c r="CB1205" s="5">
        <f t="shared" si="1070"/>
        <v>0</v>
      </c>
      <c r="CC1205" s="5">
        <f t="shared" si="1069"/>
        <v>0</v>
      </c>
      <c r="CD1205" s="5">
        <f t="shared" si="1069"/>
        <v>1</v>
      </c>
      <c r="CE1205" s="5">
        <f t="shared" si="1069"/>
        <v>0</v>
      </c>
    </row>
    <row r="1206" spans="1:83" x14ac:dyDescent="0.2">
      <c r="A1206" s="11"/>
      <c r="B1206" s="11"/>
      <c r="C1206" s="1">
        <f>Growth!D1211</f>
        <v>1.2091503267973857E-2</v>
      </c>
      <c r="D1206" s="5" t="b">
        <f t="shared" si="1038"/>
        <v>0</v>
      </c>
      <c r="E1206" s="5">
        <v>2014</v>
      </c>
      <c r="F1206" s="5">
        <f ca="1">LOOKUP($E1206,frequence!$A$2:$A$35,frequence!L$2:L$35)</f>
        <v>50.75383375536623</v>
      </c>
      <c r="G1206" s="5">
        <f ca="1">LOOKUP($E1206,frequence!$A$2:$A$35,frequence!K$2:K$35)</f>
        <v>9.9751715831189358</v>
      </c>
      <c r="H1206" s="5">
        <f ca="1">LOOKUP($E1206,frequence!$A$2:$A$35,frequence!M$2:M$35)</f>
        <v>236.05429056976001</v>
      </c>
      <c r="I1206" s="16">
        <v>2007</v>
      </c>
      <c r="J1206" s="7">
        <f>LOOKUP(I1206,CPI!A$69:A$103,CPI!O$69:O$103)</f>
        <v>1.0516730811895323</v>
      </c>
      <c r="K1206" s="16">
        <v>2015</v>
      </c>
      <c r="L1206" s="7">
        <f t="shared" ca="1" si="1056"/>
        <v>1</v>
      </c>
      <c r="M1206" s="7">
        <f t="shared" si="1047"/>
        <v>7.7385620915032691E-2</v>
      </c>
      <c r="N1206" s="14">
        <v>1.2091503267973857E-2</v>
      </c>
      <c r="O1206" s="1">
        <f ca="1">P1206*J1206*(1+Growth!G$6)^(2010-K1206)</f>
        <v>7.7683854516372834</v>
      </c>
      <c r="P1206">
        <v>7.9623824451410403</v>
      </c>
      <c r="Q1206" s="2">
        <f t="shared" si="1039"/>
        <v>7.9623824451410403</v>
      </c>
      <c r="R1206" s="21">
        <f t="shared" ca="1" si="1040"/>
        <v>60.347812525209797</v>
      </c>
      <c r="U1206" s="11"/>
      <c r="V1206" s="11"/>
      <c r="W1206" s="11"/>
      <c r="X1206" s="11"/>
      <c r="Y1206" s="11"/>
      <c r="Z1206" s="11"/>
      <c r="AA1206" s="11"/>
      <c r="AB1206" s="11"/>
      <c r="AC1206" s="1">
        <f t="shared" si="1048"/>
        <v>6.4</v>
      </c>
      <c r="AD1206" s="5">
        <v>1</v>
      </c>
      <c r="AE1206" s="5">
        <v>0</v>
      </c>
      <c r="AF1206" s="5">
        <v>1</v>
      </c>
      <c r="AG1206" s="5">
        <v>0</v>
      </c>
      <c r="AH1206" s="5">
        <v>1</v>
      </c>
      <c r="AI1206" s="3">
        <f t="shared" si="1049"/>
        <v>3.4</v>
      </c>
      <c r="AJ1206" s="5">
        <f t="shared" si="1064"/>
        <v>0</v>
      </c>
      <c r="AK1206" s="5">
        <f t="shared" si="1057"/>
        <v>0</v>
      </c>
      <c r="AL1206" s="5">
        <f t="shared" si="1058"/>
        <v>1</v>
      </c>
      <c r="AM1206" s="5">
        <f t="shared" si="1065"/>
        <v>0</v>
      </c>
      <c r="AN1206" s="5">
        <f t="shared" si="1059"/>
        <v>0</v>
      </c>
      <c r="AO1206" s="5">
        <f t="shared" si="1066"/>
        <v>0</v>
      </c>
      <c r="AP1206" s="11" t="s">
        <v>42</v>
      </c>
      <c r="AQ1206" s="11">
        <v>1.5</v>
      </c>
      <c r="AR1206" s="5">
        <v>0</v>
      </c>
      <c r="AS1206" s="5">
        <v>0</v>
      </c>
      <c r="AT1206" s="5">
        <v>0</v>
      </c>
      <c r="AU1206" s="5">
        <v>0</v>
      </c>
      <c r="AV1206" s="5">
        <v>0</v>
      </c>
      <c r="AW1206" s="5">
        <v>0</v>
      </c>
      <c r="AX1206" s="5">
        <v>1</v>
      </c>
      <c r="AY1206" s="1">
        <f t="shared" si="1050"/>
        <v>0</v>
      </c>
      <c r="AZ1206" s="1">
        <f t="shared" si="1051"/>
        <v>0</v>
      </c>
      <c r="BA1206" s="1">
        <f t="shared" si="1052"/>
        <v>0</v>
      </c>
      <c r="BB1206" s="5">
        <v>0</v>
      </c>
      <c r="BC1206" s="5">
        <v>0</v>
      </c>
      <c r="BD1206" s="5">
        <v>0</v>
      </c>
      <c r="BE1206" s="5">
        <f t="shared" si="1053"/>
        <v>1</v>
      </c>
      <c r="BF1206" s="5">
        <v>1</v>
      </c>
      <c r="BG1206" s="5">
        <f t="shared" si="1071"/>
        <v>0</v>
      </c>
      <c r="BH1206" s="5">
        <f t="shared" si="1071"/>
        <v>0</v>
      </c>
      <c r="BI1206" s="5">
        <f t="shared" si="1071"/>
        <v>0</v>
      </c>
      <c r="BJ1206" s="5">
        <f t="shared" si="1071"/>
        <v>0</v>
      </c>
      <c r="BK1206" s="5">
        <f t="shared" si="1071"/>
        <v>0</v>
      </c>
      <c r="BL1206" s="5">
        <f t="shared" si="1071"/>
        <v>0</v>
      </c>
      <c r="BM1206" s="5">
        <f t="shared" si="1071"/>
        <v>0</v>
      </c>
      <c r="BN1206" s="5">
        <f t="shared" si="1071"/>
        <v>0</v>
      </c>
      <c r="BO1206" s="5">
        <f t="shared" si="1070"/>
        <v>0</v>
      </c>
      <c r="BP1206" s="5">
        <f t="shared" si="1070"/>
        <v>0</v>
      </c>
      <c r="BQ1206" s="5">
        <f t="shared" si="1070"/>
        <v>0</v>
      </c>
      <c r="BR1206" s="5">
        <f t="shared" si="1070"/>
        <v>0</v>
      </c>
      <c r="BS1206" s="5">
        <f t="shared" si="1070"/>
        <v>0</v>
      </c>
      <c r="BT1206" s="5">
        <f t="shared" si="1070"/>
        <v>0</v>
      </c>
      <c r="BU1206" s="5">
        <f t="shared" si="1070"/>
        <v>0</v>
      </c>
      <c r="BV1206" s="5">
        <f t="shared" si="1070"/>
        <v>0</v>
      </c>
      <c r="BW1206" s="5">
        <f t="shared" si="1070"/>
        <v>0</v>
      </c>
      <c r="BX1206" s="5">
        <f t="shared" si="1070"/>
        <v>0</v>
      </c>
      <c r="BY1206" s="5">
        <f t="shared" si="1070"/>
        <v>0</v>
      </c>
      <c r="BZ1206" s="5">
        <f t="shared" si="1070"/>
        <v>0</v>
      </c>
      <c r="CA1206" s="5">
        <f t="shared" si="1070"/>
        <v>0</v>
      </c>
      <c r="CB1206" s="5">
        <f t="shared" si="1070"/>
        <v>0</v>
      </c>
      <c r="CC1206" s="5">
        <f t="shared" si="1069"/>
        <v>0</v>
      </c>
      <c r="CD1206" s="5">
        <f t="shared" si="1069"/>
        <v>1</v>
      </c>
      <c r="CE1206" s="5">
        <f t="shared" si="1069"/>
        <v>0</v>
      </c>
    </row>
    <row r="1207" spans="1:83" x14ac:dyDescent="0.2">
      <c r="A1207" s="11"/>
      <c r="B1207" s="11"/>
      <c r="C1207" s="1">
        <f>Growth!D1212</f>
        <v>1.1111111111111112E-2</v>
      </c>
      <c r="D1207" s="5" t="b">
        <f t="shared" si="1038"/>
        <v>0</v>
      </c>
      <c r="E1207" s="5">
        <v>2014</v>
      </c>
      <c r="F1207" s="5">
        <f ca="1">LOOKUP($E1207,frequence!$A$2:$A$35,frequence!L$2:L$35)</f>
        <v>50.75383375536623</v>
      </c>
      <c r="G1207" s="5">
        <f ca="1">LOOKUP($E1207,frequence!$A$2:$A$35,frequence!K$2:K$35)</f>
        <v>9.9751715831189358</v>
      </c>
      <c r="H1207" s="5">
        <f ca="1">LOOKUP($E1207,frequence!$A$2:$A$35,frequence!M$2:M$35)</f>
        <v>236.05429056976001</v>
      </c>
      <c r="I1207" s="16">
        <v>2007</v>
      </c>
      <c r="J1207" s="7">
        <f>LOOKUP(I1207,CPI!A$69:A$103,CPI!O$69:O$103)</f>
        <v>1.0516730811895323</v>
      </c>
      <c r="K1207" s="16">
        <v>2015</v>
      </c>
      <c r="L1207" s="7">
        <f t="shared" ca="1" si="1056"/>
        <v>1</v>
      </c>
      <c r="M1207" s="7">
        <f t="shared" si="1047"/>
        <v>7.1111111111111111E-2</v>
      </c>
      <c r="N1207" s="14">
        <v>1.1111111111111112E-2</v>
      </c>
      <c r="O1207" s="1">
        <f ca="1">P1207*J1207*(1+Growth!G$6)^(2010-K1207)</f>
        <v>7.0343647790416552</v>
      </c>
      <c r="P1207">
        <v>7.2100313479623797</v>
      </c>
      <c r="Q1207" s="2">
        <f t="shared" si="1039"/>
        <v>7.2100313479623797</v>
      </c>
      <c r="R1207" s="21">
        <f t="shared" ca="1" si="1040"/>
        <v>49.482287844621759</v>
      </c>
      <c r="U1207" s="11"/>
      <c r="V1207" s="11"/>
      <c r="W1207" s="11"/>
      <c r="X1207" s="11"/>
      <c r="Y1207" s="11"/>
      <c r="Z1207" s="11"/>
      <c r="AA1207" s="11"/>
      <c r="AB1207" s="11"/>
      <c r="AC1207" s="1">
        <f t="shared" si="1048"/>
        <v>6.4</v>
      </c>
      <c r="AD1207" s="5">
        <v>1</v>
      </c>
      <c r="AE1207" s="5">
        <v>0</v>
      </c>
      <c r="AF1207" s="5">
        <v>1</v>
      </c>
      <c r="AG1207" s="5">
        <v>0</v>
      </c>
      <c r="AH1207" s="5">
        <v>1</v>
      </c>
      <c r="AI1207" s="3">
        <f t="shared" si="1049"/>
        <v>3.4</v>
      </c>
      <c r="AJ1207" s="5">
        <f t="shared" si="1064"/>
        <v>0</v>
      </c>
      <c r="AK1207" s="5">
        <f t="shared" si="1057"/>
        <v>0</v>
      </c>
      <c r="AL1207" s="5">
        <f t="shared" si="1058"/>
        <v>1</v>
      </c>
      <c r="AM1207" s="5">
        <f t="shared" si="1065"/>
        <v>0</v>
      </c>
      <c r="AN1207" s="5">
        <f t="shared" si="1059"/>
        <v>0</v>
      </c>
      <c r="AO1207" s="5">
        <f t="shared" si="1066"/>
        <v>0</v>
      </c>
      <c r="AP1207" s="11" t="s">
        <v>42</v>
      </c>
      <c r="AQ1207" s="11">
        <v>1.5</v>
      </c>
      <c r="AR1207" s="5">
        <v>0</v>
      </c>
      <c r="AS1207" s="5">
        <v>0</v>
      </c>
      <c r="AT1207" s="5">
        <v>0</v>
      </c>
      <c r="AU1207" s="5">
        <v>0</v>
      </c>
      <c r="AV1207" s="5">
        <v>0</v>
      </c>
      <c r="AW1207" s="5">
        <v>0</v>
      </c>
      <c r="AX1207" s="5">
        <v>1</v>
      </c>
      <c r="AY1207" s="1">
        <f t="shared" si="1050"/>
        <v>0</v>
      </c>
      <c r="AZ1207" s="1">
        <f t="shared" si="1051"/>
        <v>0</v>
      </c>
      <c r="BA1207" s="1">
        <f t="shared" si="1052"/>
        <v>0</v>
      </c>
      <c r="BB1207" s="5">
        <v>0</v>
      </c>
      <c r="BC1207" s="5">
        <v>0</v>
      </c>
      <c r="BD1207" s="5">
        <v>0</v>
      </c>
      <c r="BE1207" s="5">
        <f t="shared" si="1053"/>
        <v>1</v>
      </c>
      <c r="BF1207" s="5">
        <v>1</v>
      </c>
      <c r="BG1207" s="5">
        <f t="shared" si="1071"/>
        <v>0</v>
      </c>
      <c r="BH1207" s="5">
        <f t="shared" si="1071"/>
        <v>0</v>
      </c>
      <c r="BI1207" s="5">
        <f t="shared" si="1071"/>
        <v>0</v>
      </c>
      <c r="BJ1207" s="5">
        <f t="shared" si="1071"/>
        <v>0</v>
      </c>
      <c r="BK1207" s="5">
        <f t="shared" si="1071"/>
        <v>0</v>
      </c>
      <c r="BL1207" s="5">
        <f t="shared" si="1071"/>
        <v>0</v>
      </c>
      <c r="BM1207" s="5">
        <f t="shared" si="1071"/>
        <v>0</v>
      </c>
      <c r="BN1207" s="5">
        <f t="shared" si="1071"/>
        <v>0</v>
      </c>
      <c r="BO1207" s="5">
        <f t="shared" si="1070"/>
        <v>0</v>
      </c>
      <c r="BP1207" s="5">
        <f t="shared" si="1070"/>
        <v>0</v>
      </c>
      <c r="BQ1207" s="5">
        <f t="shared" si="1070"/>
        <v>0</v>
      </c>
      <c r="BR1207" s="5">
        <f t="shared" si="1070"/>
        <v>0</v>
      </c>
      <c r="BS1207" s="5">
        <f t="shared" si="1070"/>
        <v>0</v>
      </c>
      <c r="BT1207" s="5">
        <f t="shared" si="1070"/>
        <v>0</v>
      </c>
      <c r="BU1207" s="5">
        <f t="shared" si="1070"/>
        <v>0</v>
      </c>
      <c r="BV1207" s="5">
        <f t="shared" si="1070"/>
        <v>0</v>
      </c>
      <c r="BW1207" s="5">
        <f t="shared" si="1070"/>
        <v>0</v>
      </c>
      <c r="BX1207" s="5">
        <f t="shared" si="1070"/>
        <v>0</v>
      </c>
      <c r="BY1207" s="5">
        <f t="shared" si="1070"/>
        <v>0</v>
      </c>
      <c r="BZ1207" s="5">
        <f t="shared" si="1070"/>
        <v>0</v>
      </c>
      <c r="CA1207" s="5">
        <f t="shared" si="1070"/>
        <v>0</v>
      </c>
      <c r="CB1207" s="5">
        <f t="shared" si="1070"/>
        <v>0</v>
      </c>
      <c r="CC1207" s="5">
        <f t="shared" si="1069"/>
        <v>0</v>
      </c>
      <c r="CD1207" s="5">
        <f t="shared" si="1069"/>
        <v>1</v>
      </c>
      <c r="CE1207" s="5">
        <f t="shared" si="1069"/>
        <v>0</v>
      </c>
    </row>
    <row r="1208" spans="1:83" x14ac:dyDescent="0.2">
      <c r="A1208" s="11"/>
      <c r="B1208" s="11"/>
      <c r="C1208" s="1">
        <f>Growth!D1213</f>
        <v>1.0130718954248368E-2</v>
      </c>
      <c r="D1208" s="5" t="b">
        <f t="shared" si="1038"/>
        <v>0</v>
      </c>
      <c r="E1208" s="5">
        <v>2014</v>
      </c>
      <c r="F1208" s="5">
        <f ca="1">LOOKUP($E1208,frequence!$A$2:$A$35,frequence!L$2:L$35)</f>
        <v>50.75383375536623</v>
      </c>
      <c r="G1208" s="5">
        <f ca="1">LOOKUP($E1208,frequence!$A$2:$A$35,frequence!K$2:K$35)</f>
        <v>9.9751715831189358</v>
      </c>
      <c r="H1208" s="5">
        <f ca="1">LOOKUP($E1208,frequence!$A$2:$A$35,frequence!M$2:M$35)</f>
        <v>236.05429056976001</v>
      </c>
      <c r="I1208" s="16">
        <v>2007</v>
      </c>
      <c r="J1208" s="7">
        <f>LOOKUP(I1208,CPI!A$69:A$103,CPI!O$69:O$103)</f>
        <v>1.0516730811895323</v>
      </c>
      <c r="K1208" s="16">
        <v>2015</v>
      </c>
      <c r="L1208" s="7">
        <f t="shared" ca="1" si="1056"/>
        <v>1</v>
      </c>
      <c r="M1208" s="7">
        <f t="shared" si="1047"/>
        <v>6.4836601307189559E-2</v>
      </c>
      <c r="N1208" s="14">
        <v>1.0130718954248368E-2</v>
      </c>
      <c r="O1208" s="1">
        <f ca="1">P1208*J1208*(1+Growth!G$6)^(2010-K1208)</f>
        <v>6.300344106445988</v>
      </c>
      <c r="P1208">
        <v>6.4576802507836799</v>
      </c>
      <c r="Q1208" s="2">
        <f t="shared" si="1039"/>
        <v>6.4576802507836799</v>
      </c>
      <c r="R1208" s="21">
        <f t="shared" ca="1" si="1040"/>
        <v>39.694335859628694</v>
      </c>
      <c r="U1208" s="11"/>
      <c r="V1208" s="11"/>
      <c r="W1208" s="11"/>
      <c r="X1208" s="11"/>
      <c r="Y1208" s="11"/>
      <c r="Z1208" s="11"/>
      <c r="AA1208" s="11"/>
      <c r="AB1208" s="11"/>
      <c r="AC1208" s="1">
        <f t="shared" si="1048"/>
        <v>6.4</v>
      </c>
      <c r="AD1208" s="5">
        <v>1</v>
      </c>
      <c r="AE1208" s="5">
        <v>0</v>
      </c>
      <c r="AF1208" s="5">
        <v>1</v>
      </c>
      <c r="AG1208" s="5">
        <v>0</v>
      </c>
      <c r="AH1208" s="5">
        <v>1</v>
      </c>
      <c r="AI1208" s="3">
        <f t="shared" si="1049"/>
        <v>3.4</v>
      </c>
      <c r="AJ1208" s="5">
        <f t="shared" si="1064"/>
        <v>0</v>
      </c>
      <c r="AK1208" s="5">
        <f t="shared" si="1057"/>
        <v>0</v>
      </c>
      <c r="AL1208" s="5">
        <f t="shared" si="1058"/>
        <v>1</v>
      </c>
      <c r="AM1208" s="5">
        <f t="shared" si="1065"/>
        <v>0</v>
      </c>
      <c r="AN1208" s="5">
        <f t="shared" si="1059"/>
        <v>0</v>
      </c>
      <c r="AO1208" s="5">
        <f t="shared" si="1066"/>
        <v>0</v>
      </c>
      <c r="AP1208" s="11" t="s">
        <v>42</v>
      </c>
      <c r="AQ1208" s="11">
        <v>1.5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1</v>
      </c>
      <c r="AY1208" s="1">
        <f t="shared" si="1050"/>
        <v>0</v>
      </c>
      <c r="AZ1208" s="1">
        <f t="shared" si="1051"/>
        <v>0</v>
      </c>
      <c r="BA1208" s="1">
        <f t="shared" si="1052"/>
        <v>0</v>
      </c>
      <c r="BB1208" s="5">
        <v>0</v>
      </c>
      <c r="BC1208" s="5">
        <v>0</v>
      </c>
      <c r="BD1208" s="5">
        <v>0</v>
      </c>
      <c r="BE1208" s="5">
        <f t="shared" si="1053"/>
        <v>1</v>
      </c>
      <c r="BF1208" s="5">
        <v>1</v>
      </c>
      <c r="BG1208" s="5">
        <f t="shared" si="1071"/>
        <v>0</v>
      </c>
      <c r="BH1208" s="5">
        <f t="shared" si="1071"/>
        <v>0</v>
      </c>
      <c r="BI1208" s="5">
        <f t="shared" si="1071"/>
        <v>0</v>
      </c>
      <c r="BJ1208" s="5">
        <f t="shared" si="1071"/>
        <v>0</v>
      </c>
      <c r="BK1208" s="5">
        <f t="shared" si="1071"/>
        <v>0</v>
      </c>
      <c r="BL1208" s="5">
        <f t="shared" si="1071"/>
        <v>0</v>
      </c>
      <c r="BM1208" s="5">
        <f t="shared" si="1071"/>
        <v>0</v>
      </c>
      <c r="BN1208" s="5">
        <f t="shared" si="1071"/>
        <v>0</v>
      </c>
      <c r="BO1208" s="5">
        <f t="shared" si="1070"/>
        <v>0</v>
      </c>
      <c r="BP1208" s="5">
        <f t="shared" si="1070"/>
        <v>0</v>
      </c>
      <c r="BQ1208" s="5">
        <f t="shared" si="1070"/>
        <v>0</v>
      </c>
      <c r="BR1208" s="5">
        <f t="shared" si="1070"/>
        <v>0</v>
      </c>
      <c r="BS1208" s="5">
        <f t="shared" si="1070"/>
        <v>0</v>
      </c>
      <c r="BT1208" s="5">
        <f t="shared" si="1070"/>
        <v>0</v>
      </c>
      <c r="BU1208" s="5">
        <f t="shared" si="1070"/>
        <v>0</v>
      </c>
      <c r="BV1208" s="5">
        <f t="shared" si="1070"/>
        <v>0</v>
      </c>
      <c r="BW1208" s="5">
        <f t="shared" si="1070"/>
        <v>0</v>
      </c>
      <c r="BX1208" s="5">
        <f t="shared" si="1070"/>
        <v>0</v>
      </c>
      <c r="BY1208" s="5">
        <f t="shared" si="1070"/>
        <v>0</v>
      </c>
      <c r="BZ1208" s="5">
        <f t="shared" si="1070"/>
        <v>0</v>
      </c>
      <c r="CA1208" s="5">
        <f t="shared" si="1070"/>
        <v>0</v>
      </c>
      <c r="CB1208" s="5">
        <f t="shared" si="1070"/>
        <v>0</v>
      </c>
      <c r="CC1208" s="5">
        <f t="shared" si="1069"/>
        <v>0</v>
      </c>
      <c r="CD1208" s="5">
        <f t="shared" si="1069"/>
        <v>1</v>
      </c>
      <c r="CE1208" s="5">
        <f t="shared" si="1069"/>
        <v>0</v>
      </c>
    </row>
    <row r="1209" spans="1:83" x14ac:dyDescent="0.2">
      <c r="A1209" s="11"/>
      <c r="B1209" s="11"/>
      <c r="C1209" s="1">
        <f>Growth!D1214</f>
        <v>9.1503267973856231E-3</v>
      </c>
      <c r="D1209" s="5" t="b">
        <f t="shared" si="1038"/>
        <v>0</v>
      </c>
      <c r="E1209" s="5">
        <v>2014</v>
      </c>
      <c r="F1209" s="5">
        <f ca="1">LOOKUP($E1209,frequence!$A$2:$A$35,frequence!L$2:L$35)</f>
        <v>50.75383375536623</v>
      </c>
      <c r="G1209" s="5">
        <f ca="1">LOOKUP($E1209,frequence!$A$2:$A$35,frequence!K$2:K$35)</f>
        <v>9.9751715831189358</v>
      </c>
      <c r="H1209" s="5">
        <f ca="1">LOOKUP($E1209,frequence!$A$2:$A$35,frequence!M$2:M$35)</f>
        <v>236.05429056976001</v>
      </c>
      <c r="I1209" s="16">
        <v>2007</v>
      </c>
      <c r="J1209" s="7">
        <f>LOOKUP(I1209,CPI!A$69:A$103,CPI!O$69:O$103)</f>
        <v>1.0516730811895323</v>
      </c>
      <c r="K1209" s="16">
        <v>2015</v>
      </c>
      <c r="L1209" s="7">
        <f t="shared" ca="1" si="1056"/>
        <v>1</v>
      </c>
      <c r="M1209" s="7">
        <f t="shared" si="1047"/>
        <v>5.8562091503267993E-2</v>
      </c>
      <c r="N1209" s="14">
        <v>9.1503267973856231E-3</v>
      </c>
      <c r="O1209" s="1">
        <f ca="1">P1209*J1209*(1+Growth!G$6)^(2010-K1209)</f>
        <v>6.0556705489141054</v>
      </c>
      <c r="P1209">
        <v>6.2068965517241201</v>
      </c>
      <c r="Q1209" s="2">
        <f t="shared" si="1039"/>
        <v>6.2068965517241201</v>
      </c>
      <c r="R1209" s="21">
        <f t="shared" ca="1" si="1040"/>
        <v>36.671145796985662</v>
      </c>
      <c r="U1209" s="11"/>
      <c r="V1209" s="11"/>
      <c r="W1209" s="11"/>
      <c r="X1209" s="11"/>
      <c r="Y1209" s="11"/>
      <c r="Z1209" s="11"/>
      <c r="AA1209" s="11"/>
      <c r="AB1209" s="11"/>
      <c r="AC1209" s="1">
        <f t="shared" si="1048"/>
        <v>6.4</v>
      </c>
      <c r="AD1209" s="5">
        <v>1</v>
      </c>
      <c r="AE1209" s="5">
        <v>0</v>
      </c>
      <c r="AF1209" s="5">
        <v>1</v>
      </c>
      <c r="AG1209" s="5">
        <v>0</v>
      </c>
      <c r="AH1209" s="5">
        <v>1</v>
      </c>
      <c r="AI1209" s="3">
        <f t="shared" si="1049"/>
        <v>3.4</v>
      </c>
      <c r="AJ1209" s="5">
        <f t="shared" si="1064"/>
        <v>0</v>
      </c>
      <c r="AK1209" s="5">
        <f t="shared" si="1057"/>
        <v>0</v>
      </c>
      <c r="AL1209" s="5">
        <f t="shared" si="1058"/>
        <v>1</v>
      </c>
      <c r="AM1209" s="5">
        <f t="shared" si="1065"/>
        <v>0</v>
      </c>
      <c r="AN1209" s="5">
        <f t="shared" si="1059"/>
        <v>0</v>
      </c>
      <c r="AO1209" s="5">
        <f t="shared" si="1066"/>
        <v>0</v>
      </c>
      <c r="AP1209" s="11" t="s">
        <v>42</v>
      </c>
      <c r="AQ1209" s="11">
        <v>1.5</v>
      </c>
      <c r="AR1209" s="5">
        <v>0</v>
      </c>
      <c r="AS1209" s="5">
        <v>0</v>
      </c>
      <c r="AT1209" s="5">
        <v>0</v>
      </c>
      <c r="AU1209" s="5">
        <v>0</v>
      </c>
      <c r="AV1209" s="5">
        <v>0</v>
      </c>
      <c r="AW1209" s="5">
        <v>0</v>
      </c>
      <c r="AX1209" s="5">
        <v>1</v>
      </c>
      <c r="AY1209" s="1">
        <f t="shared" si="1050"/>
        <v>0</v>
      </c>
      <c r="AZ1209" s="1">
        <f t="shared" si="1051"/>
        <v>0</v>
      </c>
      <c r="BA1209" s="1">
        <f t="shared" si="1052"/>
        <v>0</v>
      </c>
      <c r="BB1209" s="5">
        <v>0</v>
      </c>
      <c r="BC1209" s="5">
        <v>0</v>
      </c>
      <c r="BD1209" s="5">
        <v>0</v>
      </c>
      <c r="BE1209" s="5">
        <f t="shared" si="1053"/>
        <v>1</v>
      </c>
      <c r="BF1209" s="5">
        <v>1</v>
      </c>
      <c r="BG1209" s="5">
        <f t="shared" si="1071"/>
        <v>0</v>
      </c>
      <c r="BH1209" s="5">
        <f t="shared" si="1071"/>
        <v>0</v>
      </c>
      <c r="BI1209" s="5">
        <f t="shared" si="1071"/>
        <v>0</v>
      </c>
      <c r="BJ1209" s="5">
        <f t="shared" si="1071"/>
        <v>0</v>
      </c>
      <c r="BK1209" s="5">
        <f t="shared" si="1071"/>
        <v>0</v>
      </c>
      <c r="BL1209" s="5">
        <f t="shared" si="1071"/>
        <v>0</v>
      </c>
      <c r="BM1209" s="5">
        <f t="shared" si="1071"/>
        <v>0</v>
      </c>
      <c r="BN1209" s="5">
        <f t="shared" si="1071"/>
        <v>0</v>
      </c>
      <c r="BO1209" s="5">
        <f t="shared" si="1070"/>
        <v>0</v>
      </c>
      <c r="BP1209" s="5">
        <f t="shared" si="1070"/>
        <v>0</v>
      </c>
      <c r="BQ1209" s="5">
        <f t="shared" si="1070"/>
        <v>0</v>
      </c>
      <c r="BR1209" s="5">
        <f t="shared" si="1070"/>
        <v>0</v>
      </c>
      <c r="BS1209" s="5">
        <f t="shared" si="1070"/>
        <v>0</v>
      </c>
      <c r="BT1209" s="5">
        <f t="shared" si="1070"/>
        <v>0</v>
      </c>
      <c r="BU1209" s="5">
        <f t="shared" si="1070"/>
        <v>0</v>
      </c>
      <c r="BV1209" s="5">
        <f t="shared" si="1070"/>
        <v>0</v>
      </c>
      <c r="BW1209" s="5">
        <f t="shared" si="1070"/>
        <v>0</v>
      </c>
      <c r="BX1209" s="5">
        <f t="shared" si="1070"/>
        <v>0</v>
      </c>
      <c r="BY1209" s="5">
        <f t="shared" si="1070"/>
        <v>0</v>
      </c>
      <c r="BZ1209" s="5">
        <f t="shared" si="1070"/>
        <v>0</v>
      </c>
      <c r="CA1209" s="5">
        <f t="shared" si="1070"/>
        <v>0</v>
      </c>
      <c r="CB1209" s="5">
        <f t="shared" si="1070"/>
        <v>0</v>
      </c>
      <c r="CC1209" s="5">
        <f t="shared" si="1069"/>
        <v>0</v>
      </c>
      <c r="CD1209" s="5">
        <f t="shared" si="1069"/>
        <v>1</v>
      </c>
      <c r="CE1209" s="5">
        <f t="shared" si="1069"/>
        <v>0</v>
      </c>
    </row>
    <row r="1210" spans="1:83" x14ac:dyDescent="0.2">
      <c r="A1210" s="11"/>
      <c r="B1210" s="11"/>
      <c r="C1210" s="1">
        <f>Growth!D1215</f>
        <v>8.169934640522878E-3</v>
      </c>
      <c r="D1210" s="5" t="b">
        <f t="shared" si="1038"/>
        <v>0</v>
      </c>
      <c r="E1210" s="5">
        <v>2014</v>
      </c>
      <c r="F1210" s="5">
        <f ca="1">LOOKUP($E1210,frequence!$A$2:$A$35,frequence!L$2:L$35)</f>
        <v>50.75383375536623</v>
      </c>
      <c r="G1210" s="5">
        <f ca="1">LOOKUP($E1210,frequence!$A$2:$A$35,frequence!K$2:K$35)</f>
        <v>9.9751715831189358</v>
      </c>
      <c r="H1210" s="5">
        <f ca="1">LOOKUP($E1210,frequence!$A$2:$A$35,frequence!M$2:M$35)</f>
        <v>236.05429056976001</v>
      </c>
      <c r="I1210" s="16">
        <v>2007</v>
      </c>
      <c r="J1210" s="7">
        <f>LOOKUP(I1210,CPI!A$69:A$103,CPI!O$69:O$103)</f>
        <v>1.0516730811895323</v>
      </c>
      <c r="K1210" s="16">
        <v>2015</v>
      </c>
      <c r="L1210" s="7">
        <f t="shared" ca="1" si="1056"/>
        <v>1</v>
      </c>
      <c r="M1210" s="7">
        <f t="shared" si="1047"/>
        <v>5.2287581699346421E-2</v>
      </c>
      <c r="N1210" s="14">
        <v>8.169934640522878E-3</v>
      </c>
      <c r="O1210" s="1">
        <f ca="1">P1210*J1210*(1+Growth!G$6)^(2010-K1210)</f>
        <v>5.5663234338503393</v>
      </c>
      <c r="P1210">
        <v>5.7053291536049997</v>
      </c>
      <c r="Q1210" s="2">
        <f t="shared" si="1039"/>
        <v>5.7053291536049997</v>
      </c>
      <c r="R1210" s="21">
        <f t="shared" ca="1" si="1040"/>
        <v>30.983956570231435</v>
      </c>
      <c r="U1210" s="11"/>
      <c r="V1210" s="11"/>
      <c r="W1210" s="11"/>
      <c r="X1210" s="11"/>
      <c r="Y1210" s="11"/>
      <c r="Z1210" s="11"/>
      <c r="AA1210" s="11"/>
      <c r="AB1210" s="11"/>
      <c r="AC1210" s="1">
        <f t="shared" si="1048"/>
        <v>6.4</v>
      </c>
      <c r="AD1210" s="5">
        <v>1</v>
      </c>
      <c r="AE1210" s="5">
        <v>0</v>
      </c>
      <c r="AF1210" s="5">
        <v>1</v>
      </c>
      <c r="AG1210" s="5">
        <v>0</v>
      </c>
      <c r="AH1210" s="5">
        <v>1</v>
      </c>
      <c r="AI1210" s="3">
        <f t="shared" si="1049"/>
        <v>3.4</v>
      </c>
      <c r="AJ1210" s="5">
        <f t="shared" si="1064"/>
        <v>0</v>
      </c>
      <c r="AK1210" s="5">
        <f t="shared" si="1057"/>
        <v>0</v>
      </c>
      <c r="AL1210" s="5">
        <f t="shared" si="1058"/>
        <v>1</v>
      </c>
      <c r="AM1210" s="5">
        <f t="shared" si="1065"/>
        <v>0</v>
      </c>
      <c r="AN1210" s="5">
        <f t="shared" si="1059"/>
        <v>0</v>
      </c>
      <c r="AO1210" s="5">
        <f t="shared" si="1066"/>
        <v>0</v>
      </c>
      <c r="AP1210" s="11" t="s">
        <v>42</v>
      </c>
      <c r="AQ1210" s="11">
        <v>1.5</v>
      </c>
      <c r="AR1210" s="5">
        <v>0</v>
      </c>
      <c r="AS1210" s="5">
        <v>0</v>
      </c>
      <c r="AT1210" s="5">
        <v>0</v>
      </c>
      <c r="AU1210" s="5">
        <v>0</v>
      </c>
      <c r="AV1210" s="5">
        <v>0</v>
      </c>
      <c r="AW1210" s="5">
        <v>0</v>
      </c>
      <c r="AX1210" s="5">
        <v>1</v>
      </c>
      <c r="AY1210" s="1">
        <f t="shared" si="1050"/>
        <v>0</v>
      </c>
      <c r="AZ1210" s="1">
        <f t="shared" si="1051"/>
        <v>0</v>
      </c>
      <c r="BA1210" s="1">
        <f t="shared" si="1052"/>
        <v>0</v>
      </c>
      <c r="BB1210" s="5">
        <v>0</v>
      </c>
      <c r="BC1210" s="5">
        <v>0</v>
      </c>
      <c r="BD1210" s="5">
        <v>0</v>
      </c>
      <c r="BE1210" s="5">
        <f t="shared" si="1053"/>
        <v>1</v>
      </c>
      <c r="BF1210" s="5">
        <v>1</v>
      </c>
      <c r="BG1210" s="5">
        <f t="shared" si="1071"/>
        <v>0</v>
      </c>
      <c r="BH1210" s="5">
        <f t="shared" si="1071"/>
        <v>0</v>
      </c>
      <c r="BI1210" s="5">
        <f t="shared" si="1071"/>
        <v>0</v>
      </c>
      <c r="BJ1210" s="5">
        <f t="shared" si="1071"/>
        <v>0</v>
      </c>
      <c r="BK1210" s="5">
        <f t="shared" si="1071"/>
        <v>0</v>
      </c>
      <c r="BL1210" s="5">
        <f t="shared" si="1071"/>
        <v>0</v>
      </c>
      <c r="BM1210" s="5">
        <f t="shared" si="1071"/>
        <v>0</v>
      </c>
      <c r="BN1210" s="5">
        <f t="shared" si="1071"/>
        <v>0</v>
      </c>
      <c r="BO1210" s="5">
        <f t="shared" si="1070"/>
        <v>0</v>
      </c>
      <c r="BP1210" s="5">
        <f t="shared" si="1070"/>
        <v>0</v>
      </c>
      <c r="BQ1210" s="5">
        <f t="shared" si="1070"/>
        <v>0</v>
      </c>
      <c r="BR1210" s="5">
        <f t="shared" si="1070"/>
        <v>0</v>
      </c>
      <c r="BS1210" s="5">
        <f t="shared" si="1070"/>
        <v>0</v>
      </c>
      <c r="BT1210" s="5">
        <f t="shared" si="1070"/>
        <v>0</v>
      </c>
      <c r="BU1210" s="5">
        <f t="shared" si="1070"/>
        <v>0</v>
      </c>
      <c r="BV1210" s="5">
        <f t="shared" si="1070"/>
        <v>0</v>
      </c>
      <c r="BW1210" s="5">
        <f t="shared" si="1070"/>
        <v>0</v>
      </c>
      <c r="BX1210" s="5">
        <f t="shared" si="1070"/>
        <v>0</v>
      </c>
      <c r="BY1210" s="5">
        <f t="shared" si="1070"/>
        <v>0</v>
      </c>
      <c r="BZ1210" s="5">
        <f t="shared" si="1070"/>
        <v>0</v>
      </c>
      <c r="CA1210" s="5">
        <f t="shared" si="1070"/>
        <v>0</v>
      </c>
      <c r="CB1210" s="5">
        <f t="shared" si="1070"/>
        <v>0</v>
      </c>
      <c r="CC1210" s="5">
        <f t="shared" si="1069"/>
        <v>0</v>
      </c>
      <c r="CD1210" s="5">
        <f t="shared" si="1069"/>
        <v>1</v>
      </c>
      <c r="CE1210" s="5">
        <f t="shared" si="1069"/>
        <v>0</v>
      </c>
    </row>
    <row r="1211" spans="1:83" x14ac:dyDescent="0.2">
      <c r="A1211" s="11"/>
      <c r="B1211" s="11"/>
      <c r="C1211" s="1">
        <f>Growth!D1216</f>
        <v>7.1895424836601338E-3</v>
      </c>
      <c r="D1211" s="5" t="b">
        <f t="shared" si="1038"/>
        <v>0</v>
      </c>
      <c r="E1211" s="5">
        <v>2014</v>
      </c>
      <c r="F1211" s="5">
        <f ca="1">LOOKUP($E1211,frequence!$A$2:$A$35,frequence!L$2:L$35)</f>
        <v>50.75383375536623</v>
      </c>
      <c r="G1211" s="5">
        <f ca="1">LOOKUP($E1211,frequence!$A$2:$A$35,frequence!K$2:K$35)</f>
        <v>9.9751715831189358</v>
      </c>
      <c r="H1211" s="5">
        <f ca="1">LOOKUP($E1211,frequence!$A$2:$A$35,frequence!M$2:M$35)</f>
        <v>236.05429056976001</v>
      </c>
      <c r="I1211" s="16">
        <v>2007</v>
      </c>
      <c r="J1211" s="7">
        <f>LOOKUP(I1211,CPI!A$69:A$103,CPI!O$69:O$103)</f>
        <v>1.0516730811895323</v>
      </c>
      <c r="K1211" s="16">
        <v>2015</v>
      </c>
      <c r="L1211" s="7">
        <f t="shared" ca="1" si="1056"/>
        <v>1</v>
      </c>
      <c r="M1211" s="7">
        <f t="shared" si="1047"/>
        <v>4.6013071895424862E-2</v>
      </c>
      <c r="N1211" s="14">
        <v>7.1895424836601338E-3</v>
      </c>
      <c r="O1211" s="1">
        <f ca="1">P1211*J1211*(1+Growth!G$6)^(2010-K1211)</f>
        <v>5.0769763187865742</v>
      </c>
      <c r="P1211">
        <v>5.2037617554858802</v>
      </c>
      <c r="Q1211" s="2">
        <f t="shared" si="1039"/>
        <v>5.2037617554858802</v>
      </c>
      <c r="R1211" s="21">
        <f t="shared" ca="1" si="1040"/>
        <v>25.775688541519674</v>
      </c>
      <c r="U1211" s="11"/>
      <c r="V1211" s="11"/>
      <c r="W1211" s="11"/>
      <c r="X1211" s="11"/>
      <c r="Y1211" s="11"/>
      <c r="Z1211" s="11"/>
      <c r="AA1211" s="11"/>
      <c r="AB1211" s="11"/>
      <c r="AC1211" s="1">
        <f t="shared" si="1048"/>
        <v>6.4</v>
      </c>
      <c r="AD1211" s="5">
        <v>1</v>
      </c>
      <c r="AE1211" s="5">
        <v>0</v>
      </c>
      <c r="AF1211" s="5">
        <v>1</v>
      </c>
      <c r="AG1211" s="5">
        <v>0</v>
      </c>
      <c r="AH1211" s="5">
        <v>1</v>
      </c>
      <c r="AI1211" s="3">
        <f t="shared" si="1049"/>
        <v>3.4</v>
      </c>
      <c r="AJ1211" s="5">
        <f t="shared" si="1064"/>
        <v>0</v>
      </c>
      <c r="AK1211" s="5">
        <f t="shared" si="1057"/>
        <v>0</v>
      </c>
      <c r="AL1211" s="5">
        <f t="shared" si="1058"/>
        <v>1</v>
      </c>
      <c r="AM1211" s="5">
        <f t="shared" si="1065"/>
        <v>0</v>
      </c>
      <c r="AN1211" s="5">
        <f t="shared" si="1059"/>
        <v>0</v>
      </c>
      <c r="AO1211" s="5">
        <f t="shared" si="1066"/>
        <v>0</v>
      </c>
      <c r="AP1211" s="11" t="s">
        <v>42</v>
      </c>
      <c r="AQ1211" s="11">
        <v>1.5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1</v>
      </c>
      <c r="AY1211" s="1">
        <f t="shared" si="1050"/>
        <v>0</v>
      </c>
      <c r="AZ1211" s="1">
        <f t="shared" si="1051"/>
        <v>0</v>
      </c>
      <c r="BA1211" s="1">
        <f t="shared" si="1052"/>
        <v>0</v>
      </c>
      <c r="BB1211" s="5">
        <v>0</v>
      </c>
      <c r="BC1211" s="5">
        <v>0</v>
      </c>
      <c r="BD1211" s="5">
        <v>0</v>
      </c>
      <c r="BE1211" s="5">
        <f t="shared" si="1053"/>
        <v>1</v>
      </c>
      <c r="BF1211" s="5">
        <v>1</v>
      </c>
      <c r="BG1211" s="5">
        <f t="shared" si="1071"/>
        <v>0</v>
      </c>
      <c r="BH1211" s="5">
        <f t="shared" si="1071"/>
        <v>0</v>
      </c>
      <c r="BI1211" s="5">
        <f t="shared" si="1071"/>
        <v>0</v>
      </c>
      <c r="BJ1211" s="5">
        <f t="shared" si="1071"/>
        <v>0</v>
      </c>
      <c r="BK1211" s="5">
        <f t="shared" si="1071"/>
        <v>0</v>
      </c>
      <c r="BL1211" s="5">
        <f t="shared" si="1071"/>
        <v>0</v>
      </c>
      <c r="BM1211" s="5">
        <f t="shared" si="1071"/>
        <v>0</v>
      </c>
      <c r="BN1211" s="5">
        <f t="shared" si="1071"/>
        <v>0</v>
      </c>
      <c r="BO1211" s="5">
        <f t="shared" si="1070"/>
        <v>0</v>
      </c>
      <c r="BP1211" s="5">
        <f t="shared" si="1070"/>
        <v>0</v>
      </c>
      <c r="BQ1211" s="5">
        <f t="shared" si="1070"/>
        <v>0</v>
      </c>
      <c r="BR1211" s="5">
        <f t="shared" si="1070"/>
        <v>0</v>
      </c>
      <c r="BS1211" s="5">
        <f t="shared" si="1070"/>
        <v>0</v>
      </c>
      <c r="BT1211" s="5">
        <f t="shared" si="1070"/>
        <v>0</v>
      </c>
      <c r="BU1211" s="5">
        <f t="shared" si="1070"/>
        <v>0</v>
      </c>
      <c r="BV1211" s="5">
        <f t="shared" si="1070"/>
        <v>0</v>
      </c>
      <c r="BW1211" s="5">
        <f t="shared" si="1070"/>
        <v>0</v>
      </c>
      <c r="BX1211" s="5">
        <f t="shared" si="1070"/>
        <v>0</v>
      </c>
      <c r="BY1211" s="5">
        <f t="shared" si="1070"/>
        <v>0</v>
      </c>
      <c r="BZ1211" s="5">
        <f t="shared" si="1070"/>
        <v>0</v>
      </c>
      <c r="CA1211" s="5">
        <f t="shared" si="1070"/>
        <v>0</v>
      </c>
      <c r="CB1211" s="5">
        <f t="shared" si="1070"/>
        <v>0</v>
      </c>
      <c r="CC1211" s="5">
        <f t="shared" si="1069"/>
        <v>0</v>
      </c>
      <c r="CD1211" s="5">
        <f t="shared" si="1069"/>
        <v>1</v>
      </c>
      <c r="CE1211" s="5">
        <f t="shared" si="1069"/>
        <v>0</v>
      </c>
    </row>
    <row r="1212" spans="1:83" x14ac:dyDescent="0.2">
      <c r="A1212" s="11"/>
      <c r="B1212" s="11"/>
      <c r="C1212" s="1">
        <f>Growth!D1217</f>
        <v>6.2091503267973887E-3</v>
      </c>
      <c r="D1212" s="5" t="b">
        <f t="shared" si="1038"/>
        <v>0</v>
      </c>
      <c r="E1212" s="5">
        <v>2014</v>
      </c>
      <c r="F1212" s="5">
        <f ca="1">LOOKUP($E1212,frequence!$A$2:$A$35,frequence!L$2:L$35)</f>
        <v>50.75383375536623</v>
      </c>
      <c r="G1212" s="5">
        <f ca="1">LOOKUP($E1212,frequence!$A$2:$A$35,frequence!K$2:K$35)</f>
        <v>9.9751715831189358</v>
      </c>
      <c r="H1212" s="5">
        <f ca="1">LOOKUP($E1212,frequence!$A$2:$A$35,frequence!M$2:M$35)</f>
        <v>236.05429056976001</v>
      </c>
      <c r="I1212" s="16">
        <v>2007</v>
      </c>
      <c r="J1212" s="7">
        <f>LOOKUP(I1212,CPI!A$69:A$103,CPI!O$69:O$103)</f>
        <v>1.0516730811895323</v>
      </c>
      <c r="K1212" s="16">
        <v>2015</v>
      </c>
      <c r="L1212" s="7">
        <f t="shared" ca="1" si="1056"/>
        <v>1</v>
      </c>
      <c r="M1212" s="7">
        <f t="shared" si="1047"/>
        <v>3.9738562091503289E-2</v>
      </c>
      <c r="N1212" s="14">
        <v>6.2091503267973887E-3</v>
      </c>
      <c r="O1212" s="1">
        <f ca="1">P1212*J1212*(1+Growth!G$6)^(2010-K1212)</f>
        <v>4.587629203722809</v>
      </c>
      <c r="P1212">
        <v>4.7021943573667597</v>
      </c>
      <c r="Q1212" s="2">
        <f t="shared" si="1039"/>
        <v>4.7021943573667597</v>
      </c>
      <c r="R1212" s="21">
        <f t="shared" ca="1" si="1040"/>
        <v>21.046341710850374</v>
      </c>
      <c r="U1212" s="11"/>
      <c r="V1212" s="11"/>
      <c r="W1212" s="11"/>
      <c r="X1212" s="11"/>
      <c r="Y1212" s="11"/>
      <c r="Z1212" s="11"/>
      <c r="AA1212" s="11"/>
      <c r="AB1212" s="11"/>
      <c r="AC1212" s="1">
        <f t="shared" si="1048"/>
        <v>6.4</v>
      </c>
      <c r="AD1212" s="5">
        <v>1</v>
      </c>
      <c r="AE1212" s="5">
        <v>0</v>
      </c>
      <c r="AF1212" s="5">
        <v>1</v>
      </c>
      <c r="AG1212" s="5">
        <v>0</v>
      </c>
      <c r="AH1212" s="5">
        <v>1</v>
      </c>
      <c r="AI1212" s="3">
        <f t="shared" si="1049"/>
        <v>3.4</v>
      </c>
      <c r="AJ1212" s="5">
        <f t="shared" si="1064"/>
        <v>0</v>
      </c>
      <c r="AK1212" s="5">
        <f t="shared" si="1057"/>
        <v>0</v>
      </c>
      <c r="AL1212" s="5">
        <f t="shared" si="1058"/>
        <v>1</v>
      </c>
      <c r="AM1212" s="5">
        <f t="shared" si="1065"/>
        <v>0</v>
      </c>
      <c r="AN1212" s="5">
        <f t="shared" si="1059"/>
        <v>0</v>
      </c>
      <c r="AO1212" s="5">
        <f t="shared" si="1066"/>
        <v>0</v>
      </c>
      <c r="AP1212" s="11" t="s">
        <v>42</v>
      </c>
      <c r="AQ1212" s="11">
        <v>1.5</v>
      </c>
      <c r="AR1212" s="5">
        <v>0</v>
      </c>
      <c r="AS1212" s="5">
        <v>0</v>
      </c>
      <c r="AT1212" s="5">
        <v>0</v>
      </c>
      <c r="AU1212" s="5">
        <v>0</v>
      </c>
      <c r="AV1212" s="5">
        <v>0</v>
      </c>
      <c r="AW1212" s="5">
        <v>0</v>
      </c>
      <c r="AX1212" s="5">
        <v>1</v>
      </c>
      <c r="AY1212" s="1">
        <f t="shared" si="1050"/>
        <v>0</v>
      </c>
      <c r="AZ1212" s="1">
        <f t="shared" si="1051"/>
        <v>0</v>
      </c>
      <c r="BA1212" s="1">
        <f t="shared" si="1052"/>
        <v>0</v>
      </c>
      <c r="BB1212" s="5">
        <v>0</v>
      </c>
      <c r="BC1212" s="5">
        <v>0</v>
      </c>
      <c r="BD1212" s="5">
        <v>0</v>
      </c>
      <c r="BE1212" s="5">
        <f t="shared" si="1053"/>
        <v>1</v>
      </c>
      <c r="BF1212" s="5">
        <v>1</v>
      </c>
      <c r="BG1212" s="5">
        <f t="shared" si="1071"/>
        <v>0</v>
      </c>
      <c r="BH1212" s="5">
        <f t="shared" si="1071"/>
        <v>0</v>
      </c>
      <c r="BI1212" s="5">
        <f t="shared" si="1071"/>
        <v>0</v>
      </c>
      <c r="BJ1212" s="5">
        <f t="shared" si="1071"/>
        <v>0</v>
      </c>
      <c r="BK1212" s="5">
        <f t="shared" si="1071"/>
        <v>0</v>
      </c>
      <c r="BL1212" s="5">
        <f t="shared" si="1071"/>
        <v>0</v>
      </c>
      <c r="BM1212" s="5">
        <f t="shared" si="1071"/>
        <v>0</v>
      </c>
      <c r="BN1212" s="5">
        <f t="shared" si="1071"/>
        <v>0</v>
      </c>
      <c r="BO1212" s="5">
        <f t="shared" si="1070"/>
        <v>0</v>
      </c>
      <c r="BP1212" s="5">
        <f t="shared" si="1070"/>
        <v>0</v>
      </c>
      <c r="BQ1212" s="5">
        <f t="shared" si="1070"/>
        <v>0</v>
      </c>
      <c r="BR1212" s="5">
        <f t="shared" si="1070"/>
        <v>0</v>
      </c>
      <c r="BS1212" s="5">
        <f t="shared" si="1070"/>
        <v>0</v>
      </c>
      <c r="BT1212" s="5">
        <f t="shared" si="1070"/>
        <v>0</v>
      </c>
      <c r="BU1212" s="5">
        <f t="shared" si="1070"/>
        <v>0</v>
      </c>
      <c r="BV1212" s="5">
        <f t="shared" si="1070"/>
        <v>0</v>
      </c>
      <c r="BW1212" s="5">
        <f t="shared" si="1070"/>
        <v>0</v>
      </c>
      <c r="BX1212" s="5">
        <f t="shared" si="1070"/>
        <v>0</v>
      </c>
      <c r="BY1212" s="5">
        <f t="shared" si="1070"/>
        <v>0</v>
      </c>
      <c r="BZ1212" s="5">
        <f t="shared" si="1070"/>
        <v>0</v>
      </c>
      <c r="CA1212" s="5">
        <f t="shared" si="1070"/>
        <v>0</v>
      </c>
      <c r="CB1212" s="5">
        <f t="shared" si="1070"/>
        <v>0</v>
      </c>
      <c r="CC1212" s="5">
        <f t="shared" si="1069"/>
        <v>0</v>
      </c>
      <c r="CD1212" s="5">
        <f t="shared" si="1069"/>
        <v>1</v>
      </c>
      <c r="CE1212" s="5">
        <f t="shared" si="1069"/>
        <v>0</v>
      </c>
    </row>
    <row r="1213" spans="1:83" x14ac:dyDescent="0.2">
      <c r="A1213" s="11"/>
      <c r="B1213" s="11"/>
      <c r="C1213" s="1">
        <f>Growth!D1218</f>
        <v>5.2287581699346436E-3</v>
      </c>
      <c r="D1213" s="5" t="b">
        <f t="shared" si="1038"/>
        <v>0</v>
      </c>
      <c r="E1213" s="5">
        <v>2014</v>
      </c>
      <c r="F1213" s="5">
        <f ca="1">LOOKUP($E1213,frequence!$A$2:$A$35,frequence!L$2:L$35)</f>
        <v>50.75383375536623</v>
      </c>
      <c r="G1213" s="5">
        <f ca="1">LOOKUP($E1213,frequence!$A$2:$A$35,frequence!K$2:K$35)</f>
        <v>9.9751715831189358</v>
      </c>
      <c r="H1213" s="5">
        <f ca="1">LOOKUP($E1213,frequence!$A$2:$A$35,frequence!M$2:M$35)</f>
        <v>236.05429056976001</v>
      </c>
      <c r="I1213" s="16">
        <v>2007</v>
      </c>
      <c r="J1213" s="7">
        <f>LOOKUP(I1213,CPI!A$69:A$103,CPI!O$69:O$103)</f>
        <v>1.0516730811895323</v>
      </c>
      <c r="K1213" s="16">
        <v>2015</v>
      </c>
      <c r="L1213" s="7">
        <f t="shared" ca="1" si="1056"/>
        <v>1</v>
      </c>
      <c r="M1213" s="7">
        <f t="shared" si="1047"/>
        <v>3.3464052287581723E-2</v>
      </c>
      <c r="N1213" s="14">
        <v>5.2287581699346436E-3</v>
      </c>
      <c r="O1213" s="1">
        <f ca="1">P1213*J1213*(1+Growth!G$6)^(2010-K1213)</f>
        <v>4.0982820886590243</v>
      </c>
      <c r="P1213">
        <v>4.2006269592476198</v>
      </c>
      <c r="Q1213" s="2">
        <f t="shared" si="1039"/>
        <v>4.2006269592476198</v>
      </c>
      <c r="R1213" s="21">
        <f t="shared" ca="1" si="1040"/>
        <v>16.795916078223375</v>
      </c>
      <c r="U1213" s="11"/>
      <c r="V1213" s="11"/>
      <c r="W1213" s="11"/>
      <c r="X1213" s="11"/>
      <c r="Y1213" s="11"/>
      <c r="Z1213" s="11"/>
      <c r="AA1213" s="11"/>
      <c r="AB1213" s="11"/>
      <c r="AC1213" s="1">
        <f t="shared" si="1048"/>
        <v>6.4</v>
      </c>
      <c r="AD1213" s="5">
        <v>1</v>
      </c>
      <c r="AE1213" s="5">
        <v>0</v>
      </c>
      <c r="AF1213" s="5">
        <v>1</v>
      </c>
      <c r="AG1213" s="5">
        <v>0</v>
      </c>
      <c r="AH1213" s="5">
        <v>1</v>
      </c>
      <c r="AI1213" s="3">
        <f t="shared" si="1049"/>
        <v>3.4</v>
      </c>
      <c r="AJ1213" s="5">
        <f t="shared" si="1064"/>
        <v>0</v>
      </c>
      <c r="AK1213" s="5">
        <f t="shared" si="1057"/>
        <v>0</v>
      </c>
      <c r="AL1213" s="5">
        <f t="shared" si="1058"/>
        <v>1</v>
      </c>
      <c r="AM1213" s="5">
        <f t="shared" si="1065"/>
        <v>0</v>
      </c>
      <c r="AN1213" s="5">
        <f t="shared" si="1059"/>
        <v>0</v>
      </c>
      <c r="AO1213" s="5">
        <f t="shared" si="1066"/>
        <v>0</v>
      </c>
      <c r="AP1213" s="11" t="s">
        <v>42</v>
      </c>
      <c r="AQ1213" s="11">
        <v>1.5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1</v>
      </c>
      <c r="AY1213" s="1">
        <f t="shared" si="1050"/>
        <v>0</v>
      </c>
      <c r="AZ1213" s="1">
        <f t="shared" si="1051"/>
        <v>0</v>
      </c>
      <c r="BA1213" s="1">
        <f t="shared" si="1052"/>
        <v>0</v>
      </c>
      <c r="BB1213" s="5">
        <v>0</v>
      </c>
      <c r="BC1213" s="5">
        <v>0</v>
      </c>
      <c r="BD1213" s="5">
        <v>0</v>
      </c>
      <c r="BE1213" s="5">
        <f t="shared" si="1053"/>
        <v>1</v>
      </c>
      <c r="BF1213" s="5">
        <v>1</v>
      </c>
      <c r="BG1213" s="5">
        <f t="shared" si="1071"/>
        <v>0</v>
      </c>
      <c r="BH1213" s="5">
        <f t="shared" si="1071"/>
        <v>0</v>
      </c>
      <c r="BI1213" s="5">
        <f t="shared" si="1071"/>
        <v>0</v>
      </c>
      <c r="BJ1213" s="5">
        <f t="shared" si="1071"/>
        <v>0</v>
      </c>
      <c r="BK1213" s="5">
        <f t="shared" si="1071"/>
        <v>0</v>
      </c>
      <c r="BL1213" s="5">
        <f t="shared" si="1071"/>
        <v>0</v>
      </c>
      <c r="BM1213" s="5">
        <f t="shared" si="1071"/>
        <v>0</v>
      </c>
      <c r="BN1213" s="5">
        <f t="shared" si="1071"/>
        <v>0</v>
      </c>
      <c r="BO1213" s="5">
        <f t="shared" si="1070"/>
        <v>0</v>
      </c>
      <c r="BP1213" s="5">
        <f t="shared" si="1070"/>
        <v>0</v>
      </c>
      <c r="BQ1213" s="5">
        <f t="shared" si="1070"/>
        <v>0</v>
      </c>
      <c r="BR1213" s="5">
        <f t="shared" si="1070"/>
        <v>0</v>
      </c>
      <c r="BS1213" s="5">
        <f t="shared" si="1070"/>
        <v>0</v>
      </c>
      <c r="BT1213" s="5">
        <f t="shared" si="1070"/>
        <v>0</v>
      </c>
      <c r="BU1213" s="5">
        <f t="shared" si="1070"/>
        <v>0</v>
      </c>
      <c r="BV1213" s="5">
        <f t="shared" si="1070"/>
        <v>0</v>
      </c>
      <c r="BW1213" s="5">
        <f t="shared" si="1070"/>
        <v>0</v>
      </c>
      <c r="BX1213" s="5">
        <f t="shared" si="1070"/>
        <v>0</v>
      </c>
      <c r="BY1213" s="5">
        <f t="shared" si="1070"/>
        <v>0</v>
      </c>
      <c r="BZ1213" s="5">
        <f t="shared" si="1070"/>
        <v>0</v>
      </c>
      <c r="CA1213" s="5">
        <f t="shared" si="1070"/>
        <v>0</v>
      </c>
      <c r="CB1213" s="5">
        <f t="shared" si="1070"/>
        <v>0</v>
      </c>
      <c r="CC1213" s="5">
        <f t="shared" si="1069"/>
        <v>0</v>
      </c>
      <c r="CD1213" s="5">
        <f t="shared" si="1069"/>
        <v>1</v>
      </c>
      <c r="CE1213" s="5">
        <f t="shared" si="1069"/>
        <v>0</v>
      </c>
    </row>
    <row r="1214" spans="1:83" x14ac:dyDescent="0.2">
      <c r="A1214" s="11"/>
      <c r="B1214" s="11"/>
      <c r="C1214" s="1">
        <f>Growth!D1219</f>
        <v>4.2483660130718985E-3</v>
      </c>
      <c r="D1214" s="5" t="b">
        <f t="shared" si="1038"/>
        <v>0</v>
      </c>
      <c r="E1214" s="5">
        <v>2014</v>
      </c>
      <c r="F1214" s="5">
        <f ca="1">LOOKUP($E1214,frequence!$A$2:$A$35,frequence!L$2:L$35)</f>
        <v>50.75383375536623</v>
      </c>
      <c r="G1214" s="5">
        <f ca="1">LOOKUP($E1214,frequence!$A$2:$A$35,frequence!K$2:K$35)</f>
        <v>9.9751715831189358</v>
      </c>
      <c r="H1214" s="5">
        <f ca="1">LOOKUP($E1214,frequence!$A$2:$A$35,frequence!M$2:M$35)</f>
        <v>236.05429056976001</v>
      </c>
      <c r="I1214" s="16">
        <v>2007</v>
      </c>
      <c r="J1214" s="7">
        <f>LOOKUP(I1214,CPI!A$69:A$103,CPI!O$69:O$103)</f>
        <v>1.0516730811895323</v>
      </c>
      <c r="K1214" s="16">
        <v>2015</v>
      </c>
      <c r="L1214" s="7">
        <f t="shared" ca="1" si="1056"/>
        <v>1</v>
      </c>
      <c r="M1214" s="7">
        <f t="shared" si="1047"/>
        <v>2.7189542483660151E-2</v>
      </c>
      <c r="N1214" s="14">
        <v>4.2483660130718985E-3</v>
      </c>
      <c r="O1214" s="1">
        <f ca="1">P1214*J1214*(1+Growth!G$6)^(2010-K1214)</f>
        <v>3.853608531127152</v>
      </c>
      <c r="P1214">
        <v>3.9498432601880702</v>
      </c>
      <c r="Q1214" s="2">
        <f t="shared" si="1039"/>
        <v>3.9498432601880702</v>
      </c>
      <c r="R1214" s="21">
        <f t="shared" ca="1" si="1040"/>
        <v>14.850298711175967</v>
      </c>
      <c r="U1214" s="11"/>
      <c r="V1214" s="11"/>
      <c r="W1214" s="11"/>
      <c r="X1214" s="11"/>
      <c r="Y1214" s="11"/>
      <c r="Z1214" s="11"/>
      <c r="AA1214" s="11"/>
      <c r="AB1214" s="11"/>
      <c r="AC1214" s="1">
        <f t="shared" si="1048"/>
        <v>6.4</v>
      </c>
      <c r="AD1214" s="5">
        <v>1</v>
      </c>
      <c r="AE1214" s="5">
        <v>0</v>
      </c>
      <c r="AF1214" s="5">
        <v>1</v>
      </c>
      <c r="AG1214" s="5">
        <v>0</v>
      </c>
      <c r="AH1214" s="5">
        <v>1</v>
      </c>
      <c r="AI1214" s="3">
        <f t="shared" si="1049"/>
        <v>3.4</v>
      </c>
      <c r="AJ1214" s="5">
        <f t="shared" si="1064"/>
        <v>0</v>
      </c>
      <c r="AK1214" s="5">
        <f t="shared" si="1057"/>
        <v>0</v>
      </c>
      <c r="AL1214" s="5">
        <f t="shared" si="1058"/>
        <v>1</v>
      </c>
      <c r="AM1214" s="5">
        <f t="shared" si="1065"/>
        <v>0</v>
      </c>
      <c r="AN1214" s="5">
        <f t="shared" si="1059"/>
        <v>0</v>
      </c>
      <c r="AO1214" s="5">
        <f t="shared" si="1066"/>
        <v>0</v>
      </c>
      <c r="AP1214" s="11" t="s">
        <v>42</v>
      </c>
      <c r="AQ1214" s="11">
        <v>1.5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1</v>
      </c>
      <c r="AY1214" s="1">
        <f t="shared" si="1050"/>
        <v>0</v>
      </c>
      <c r="AZ1214" s="1">
        <f t="shared" si="1051"/>
        <v>0</v>
      </c>
      <c r="BA1214" s="1">
        <f t="shared" si="1052"/>
        <v>0</v>
      </c>
      <c r="BB1214" s="5">
        <v>0</v>
      </c>
      <c r="BC1214" s="5">
        <v>0</v>
      </c>
      <c r="BD1214" s="5">
        <v>0</v>
      </c>
      <c r="BE1214" s="5">
        <f t="shared" si="1053"/>
        <v>1</v>
      </c>
      <c r="BF1214" s="5">
        <v>1</v>
      </c>
      <c r="BG1214" s="5">
        <f t="shared" si="1071"/>
        <v>0</v>
      </c>
      <c r="BH1214" s="5">
        <f t="shared" si="1071"/>
        <v>0</v>
      </c>
      <c r="BI1214" s="5">
        <f t="shared" si="1071"/>
        <v>0</v>
      </c>
      <c r="BJ1214" s="5">
        <f t="shared" si="1071"/>
        <v>0</v>
      </c>
      <c r="BK1214" s="5">
        <f t="shared" si="1071"/>
        <v>0</v>
      </c>
      <c r="BL1214" s="5">
        <f t="shared" si="1071"/>
        <v>0</v>
      </c>
      <c r="BM1214" s="5">
        <f t="shared" si="1071"/>
        <v>0</v>
      </c>
      <c r="BN1214" s="5">
        <f t="shared" si="1071"/>
        <v>0</v>
      </c>
      <c r="BO1214" s="5">
        <f t="shared" si="1070"/>
        <v>0</v>
      </c>
      <c r="BP1214" s="5">
        <f t="shared" si="1070"/>
        <v>0</v>
      </c>
      <c r="BQ1214" s="5">
        <f t="shared" si="1070"/>
        <v>0</v>
      </c>
      <c r="BR1214" s="5">
        <f t="shared" si="1070"/>
        <v>0</v>
      </c>
      <c r="BS1214" s="5">
        <f t="shared" si="1070"/>
        <v>0</v>
      </c>
      <c r="BT1214" s="5">
        <f t="shared" si="1070"/>
        <v>0</v>
      </c>
      <c r="BU1214" s="5">
        <f t="shared" si="1070"/>
        <v>0</v>
      </c>
      <c r="BV1214" s="5">
        <f t="shared" si="1070"/>
        <v>0</v>
      </c>
      <c r="BW1214" s="5">
        <f t="shared" si="1070"/>
        <v>0</v>
      </c>
      <c r="BX1214" s="5">
        <f t="shared" si="1070"/>
        <v>0</v>
      </c>
      <c r="BY1214" s="5">
        <f t="shared" si="1070"/>
        <v>0</v>
      </c>
      <c r="BZ1214" s="5">
        <f t="shared" si="1070"/>
        <v>0</v>
      </c>
      <c r="CA1214" s="5">
        <f t="shared" si="1070"/>
        <v>0</v>
      </c>
      <c r="CB1214" s="5">
        <f t="shared" si="1070"/>
        <v>0</v>
      </c>
      <c r="CC1214" s="5">
        <f t="shared" si="1069"/>
        <v>0</v>
      </c>
      <c r="CD1214" s="5">
        <f t="shared" si="1069"/>
        <v>1</v>
      </c>
      <c r="CE1214" s="5">
        <f t="shared" si="1069"/>
        <v>0</v>
      </c>
    </row>
    <row r="1215" spans="1:83" x14ac:dyDescent="0.2">
      <c r="A1215" s="11"/>
      <c r="B1215" s="11"/>
      <c r="C1215" s="1">
        <f>Growth!D1220</f>
        <v>3.2679738562091504E-3</v>
      </c>
      <c r="D1215" s="5" t="b">
        <f t="shared" si="1038"/>
        <v>0</v>
      </c>
      <c r="E1215" s="5">
        <v>2014</v>
      </c>
      <c r="F1215" s="5">
        <f ca="1">LOOKUP($E1215,frequence!$A$2:$A$35,frequence!L$2:L$35)</f>
        <v>50.75383375536623</v>
      </c>
      <c r="G1215" s="5">
        <f ca="1">LOOKUP($E1215,frequence!$A$2:$A$35,frequence!K$2:K$35)</f>
        <v>9.9751715831189358</v>
      </c>
      <c r="H1215" s="5">
        <f ca="1">LOOKUP($E1215,frequence!$A$2:$A$35,frequence!M$2:M$35)</f>
        <v>236.05429056976001</v>
      </c>
      <c r="I1215" s="16">
        <v>2007</v>
      </c>
      <c r="J1215" s="7">
        <f>LOOKUP(I1215,CPI!A$69:A$103,CPI!O$69:O$103)</f>
        <v>1.0516730811895323</v>
      </c>
      <c r="K1215" s="16">
        <v>2015</v>
      </c>
      <c r="L1215" s="7">
        <f t="shared" ca="1" si="1056"/>
        <v>1</v>
      </c>
      <c r="M1215" s="7">
        <f t="shared" si="1047"/>
        <v>2.0915032679738564E-2</v>
      </c>
      <c r="N1215" s="14">
        <v>3.2679738562091504E-3</v>
      </c>
      <c r="O1215" s="1">
        <f ca="1">P1215*J1215*(1+Growth!G$6)^(2010-K1215)</f>
        <v>3.853608531127152</v>
      </c>
      <c r="P1215">
        <v>3.9498432601880702</v>
      </c>
      <c r="Q1215" s="2">
        <f t="shared" si="1039"/>
        <v>3.9498432601880702</v>
      </c>
      <c r="R1215" s="21">
        <f t="shared" ca="1" si="1040"/>
        <v>14.850298711175967</v>
      </c>
      <c r="U1215" s="11"/>
      <c r="V1215" s="11"/>
      <c r="W1215" s="11"/>
      <c r="X1215" s="11"/>
      <c r="Y1215" s="11"/>
      <c r="Z1215" s="11"/>
      <c r="AA1215" s="11"/>
      <c r="AB1215" s="11"/>
      <c r="AC1215" s="1">
        <f t="shared" si="1048"/>
        <v>6.4</v>
      </c>
      <c r="AD1215" s="5">
        <v>1</v>
      </c>
      <c r="AE1215" s="5">
        <v>0</v>
      </c>
      <c r="AF1215" s="5">
        <v>1</v>
      </c>
      <c r="AG1215" s="5">
        <v>0</v>
      </c>
      <c r="AH1215" s="5">
        <v>1</v>
      </c>
      <c r="AI1215" s="3">
        <f t="shared" si="1049"/>
        <v>3.4</v>
      </c>
      <c r="AJ1215" s="5">
        <f t="shared" si="1064"/>
        <v>0</v>
      </c>
      <c r="AK1215" s="5">
        <f t="shared" si="1057"/>
        <v>0</v>
      </c>
      <c r="AL1215" s="5">
        <f t="shared" si="1058"/>
        <v>1</v>
      </c>
      <c r="AM1215" s="5">
        <f t="shared" si="1065"/>
        <v>0</v>
      </c>
      <c r="AN1215" s="5">
        <f t="shared" si="1059"/>
        <v>0</v>
      </c>
      <c r="AO1215" s="5">
        <f t="shared" si="1066"/>
        <v>0</v>
      </c>
      <c r="AP1215" s="11" t="s">
        <v>42</v>
      </c>
      <c r="AQ1215" s="11">
        <v>1.5</v>
      </c>
      <c r="AR1215" s="5">
        <v>0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1</v>
      </c>
      <c r="AY1215" s="1">
        <f t="shared" si="1050"/>
        <v>0</v>
      </c>
      <c r="AZ1215" s="1">
        <f t="shared" si="1051"/>
        <v>0</v>
      </c>
      <c r="BA1215" s="1">
        <f t="shared" si="1052"/>
        <v>0</v>
      </c>
      <c r="BB1215" s="5">
        <v>0</v>
      </c>
      <c r="BC1215" s="5">
        <v>0</v>
      </c>
      <c r="BD1215" s="5">
        <v>0</v>
      </c>
      <c r="BE1215" s="5">
        <f t="shared" si="1053"/>
        <v>1</v>
      </c>
      <c r="BF1215" s="5">
        <v>1</v>
      </c>
      <c r="BG1215" s="5">
        <f t="shared" si="1071"/>
        <v>0</v>
      </c>
      <c r="BH1215" s="5">
        <f t="shared" si="1071"/>
        <v>0</v>
      </c>
      <c r="BI1215" s="5">
        <f t="shared" si="1071"/>
        <v>0</v>
      </c>
      <c r="BJ1215" s="5">
        <f t="shared" si="1071"/>
        <v>0</v>
      </c>
      <c r="BK1215" s="5">
        <f t="shared" si="1071"/>
        <v>0</v>
      </c>
      <c r="BL1215" s="5">
        <f t="shared" si="1071"/>
        <v>0</v>
      </c>
      <c r="BM1215" s="5">
        <f t="shared" si="1071"/>
        <v>0</v>
      </c>
      <c r="BN1215" s="5">
        <f t="shared" si="1071"/>
        <v>0</v>
      </c>
      <c r="BO1215" s="5">
        <f t="shared" si="1070"/>
        <v>0</v>
      </c>
      <c r="BP1215" s="5">
        <f t="shared" si="1070"/>
        <v>0</v>
      </c>
      <c r="BQ1215" s="5">
        <f t="shared" si="1070"/>
        <v>0</v>
      </c>
      <c r="BR1215" s="5">
        <f t="shared" si="1070"/>
        <v>0</v>
      </c>
      <c r="BS1215" s="5">
        <f t="shared" si="1070"/>
        <v>0</v>
      </c>
      <c r="BT1215" s="5">
        <f t="shared" si="1070"/>
        <v>0</v>
      </c>
      <c r="BU1215" s="5">
        <f t="shared" si="1070"/>
        <v>0</v>
      </c>
      <c r="BV1215" s="5">
        <f t="shared" si="1070"/>
        <v>0</v>
      </c>
      <c r="BW1215" s="5">
        <f t="shared" si="1070"/>
        <v>0</v>
      </c>
      <c r="BX1215" s="5">
        <f t="shared" si="1070"/>
        <v>0</v>
      </c>
      <c r="BY1215" s="5">
        <f t="shared" si="1070"/>
        <v>0</v>
      </c>
      <c r="BZ1215" s="5">
        <f t="shared" si="1070"/>
        <v>0</v>
      </c>
      <c r="CA1215" s="5">
        <f t="shared" si="1070"/>
        <v>0</v>
      </c>
      <c r="CB1215" s="5">
        <f t="shared" si="1070"/>
        <v>0</v>
      </c>
      <c r="CC1215" s="5">
        <f t="shared" si="1069"/>
        <v>0</v>
      </c>
      <c r="CD1215" s="5">
        <f t="shared" si="1069"/>
        <v>1</v>
      </c>
      <c r="CE1215" s="5">
        <f t="shared" si="1069"/>
        <v>0</v>
      </c>
    </row>
    <row r="1216" spans="1:83" x14ac:dyDescent="0.2">
      <c r="A1216" s="1" t="s">
        <v>38</v>
      </c>
      <c r="B1216" s="11" t="s">
        <v>172</v>
      </c>
      <c r="C1216" s="1">
        <f>Growth!D1221</f>
        <v>1</v>
      </c>
      <c r="D1216" s="5">
        <f>IF(B1216&gt;0,E1216)</f>
        <v>2004</v>
      </c>
      <c r="E1216" s="5">
        <v>2004</v>
      </c>
      <c r="F1216" s="5">
        <f ca="1">LOOKUP($E1216,frequence!$A$2:$A$35,frequence!L$2:L$35)</f>
        <v>29.761886767605532</v>
      </c>
      <c r="G1216" s="5">
        <f ca="1">LOOKUP($E1216,frequence!$A$2:$A$35,frequence!K$2:K$35)</f>
        <v>1.4389796045014025</v>
      </c>
      <c r="H1216" s="5">
        <f ca="1">LOOKUP($E1216,frequence!$A$2:$A$35,frequence!M$2:M$35)</f>
        <v>239.58577159610638</v>
      </c>
      <c r="I1216" s="5">
        <f>I199</f>
        <v>1990</v>
      </c>
      <c r="J1216" s="7">
        <f>LOOKUP(I1216,CPI!A$69:A$103,CPI!O$69:O$103)</f>
        <v>1.6683703136954862</v>
      </c>
      <c r="K1216" s="5">
        <f>K199</f>
        <v>1995</v>
      </c>
      <c r="L1216" s="7">
        <f t="shared" ca="1" si="1056"/>
        <v>1</v>
      </c>
      <c r="M1216" s="7">
        <f t="shared" si="671"/>
        <v>3.4</v>
      </c>
      <c r="N1216" s="14">
        <v>1</v>
      </c>
      <c r="O1216" s="1">
        <f ca="1">P1216*J1216*(1+Growth!G$6)^(2010-K1216)</f>
        <v>3.1344604034599923</v>
      </c>
      <c r="P1216" s="3">
        <v>1.5</v>
      </c>
      <c r="Q1216" s="2">
        <f t="shared" si="148"/>
        <v>1.5</v>
      </c>
      <c r="R1216" s="21">
        <f t="shared" ca="1" si="551"/>
        <v>9.8248420208585774</v>
      </c>
      <c r="S1216" s="1">
        <v>0.25</v>
      </c>
      <c r="U1216" s="1">
        <v>1</v>
      </c>
      <c r="X1216" s="2">
        <v>1.5</v>
      </c>
      <c r="AA1216" s="1">
        <v>2</v>
      </c>
      <c r="AC1216" s="1">
        <f>SUM(AD1216:AI1216)</f>
        <v>3.4</v>
      </c>
      <c r="AD1216" s="5">
        <v>0</v>
      </c>
      <c r="AE1216" s="5">
        <v>1</v>
      </c>
      <c r="AF1216" s="5">
        <v>0</v>
      </c>
      <c r="AG1216" s="5">
        <v>0</v>
      </c>
      <c r="AH1216" s="5">
        <v>0</v>
      </c>
      <c r="AI1216" s="3">
        <f t="shared" si="714"/>
        <v>2.4</v>
      </c>
      <c r="AJ1216" s="5">
        <f t="shared" si="1064"/>
        <v>1</v>
      </c>
      <c r="AK1216" s="5">
        <f t="shared" si="1057"/>
        <v>0</v>
      </c>
      <c r="AL1216" s="5">
        <f t="shared" si="1058"/>
        <v>0</v>
      </c>
      <c r="AM1216" s="5">
        <f t="shared" si="1065"/>
        <v>0</v>
      </c>
      <c r="AN1216" s="5">
        <f t="shared" si="1059"/>
        <v>0</v>
      </c>
      <c r="AO1216" s="5">
        <f t="shared" si="1066"/>
        <v>0</v>
      </c>
      <c r="AP1216" s="1">
        <v>5</v>
      </c>
      <c r="AQ1216" s="1">
        <v>3</v>
      </c>
      <c r="AR1216" s="5">
        <v>0</v>
      </c>
      <c r="AS1216" s="5">
        <v>0</v>
      </c>
      <c r="AT1216" s="5">
        <v>0</v>
      </c>
      <c r="AU1216" s="5">
        <v>0</v>
      </c>
      <c r="AV1216" s="5">
        <f>IF(E1216&lt;1996,1,0)</f>
        <v>0</v>
      </c>
      <c r="AW1216" s="5">
        <f>IF(E1216&lt;2002,IF(E1216&gt;1995,1,0),0)</f>
        <v>0</v>
      </c>
      <c r="AX1216" s="5">
        <f>IF(E1216&gt;2001,1,0)</f>
        <v>1</v>
      </c>
      <c r="AY1216" s="1">
        <f>AJ1216*$AD1216*(1-$AV1216)*(1-$AR1216)</f>
        <v>0</v>
      </c>
      <c r="AZ1216" s="1">
        <f>AM1216*$AD1216*(1-$AV1216)*(1-$AR1216)</f>
        <v>0</v>
      </c>
      <c r="BA1216" s="1">
        <f>AO1216*$AD1216*(1-$AV1216)*(1-$AR1216)</f>
        <v>0</v>
      </c>
      <c r="BB1216" s="5">
        <v>0</v>
      </c>
      <c r="BC1216" s="5">
        <v>0</v>
      </c>
      <c r="BD1216" s="5">
        <v>0</v>
      </c>
      <c r="BE1216" s="5">
        <f>1-SUM(BB1216:BD1216)</f>
        <v>1</v>
      </c>
      <c r="BF1216" s="5">
        <v>0</v>
      </c>
      <c r="BG1216" s="5">
        <f t="shared" si="1071"/>
        <v>0</v>
      </c>
      <c r="BH1216" s="5">
        <f t="shared" si="1071"/>
        <v>0</v>
      </c>
      <c r="BI1216" s="5">
        <f t="shared" si="1071"/>
        <v>0</v>
      </c>
      <c r="BJ1216" s="5">
        <f t="shared" si="1071"/>
        <v>0</v>
      </c>
      <c r="BK1216" s="5">
        <f t="shared" si="1071"/>
        <v>0</v>
      </c>
      <c r="BL1216" s="5">
        <f t="shared" si="1071"/>
        <v>0</v>
      </c>
      <c r="BM1216" s="5">
        <f t="shared" si="1071"/>
        <v>0</v>
      </c>
      <c r="BN1216" s="5">
        <f t="shared" si="1071"/>
        <v>0</v>
      </c>
      <c r="BO1216" s="5">
        <f t="shared" si="1070"/>
        <v>0</v>
      </c>
      <c r="BP1216" s="5">
        <f t="shared" si="1070"/>
        <v>0</v>
      </c>
      <c r="BQ1216" s="5">
        <f t="shared" si="1070"/>
        <v>0</v>
      </c>
      <c r="BR1216" s="5">
        <f t="shared" si="1070"/>
        <v>0</v>
      </c>
      <c r="BS1216" s="5">
        <f t="shared" si="1070"/>
        <v>0</v>
      </c>
      <c r="BT1216" s="5">
        <f t="shared" si="1070"/>
        <v>1</v>
      </c>
      <c r="BU1216" s="5">
        <f t="shared" si="1070"/>
        <v>0</v>
      </c>
      <c r="BV1216" s="5">
        <f t="shared" si="1070"/>
        <v>0</v>
      </c>
      <c r="BW1216" s="5">
        <f t="shared" si="1070"/>
        <v>0</v>
      </c>
      <c r="BX1216" s="5">
        <f t="shared" si="1070"/>
        <v>0</v>
      </c>
      <c r="BY1216" s="5">
        <f t="shared" si="1070"/>
        <v>0</v>
      </c>
      <c r="BZ1216" s="5">
        <f t="shared" si="1070"/>
        <v>0</v>
      </c>
      <c r="CA1216" s="5">
        <f t="shared" si="1070"/>
        <v>0</v>
      </c>
      <c r="CB1216" s="5">
        <f t="shared" si="1070"/>
        <v>0</v>
      </c>
      <c r="CC1216" s="5">
        <f t="shared" si="1069"/>
        <v>0</v>
      </c>
      <c r="CD1216" s="5">
        <f t="shared" si="1069"/>
        <v>0</v>
      </c>
      <c r="CE1216" s="5">
        <f t="shared" si="1069"/>
        <v>0</v>
      </c>
    </row>
    <row r="1217" spans="1:143" x14ac:dyDescent="0.2">
      <c r="E1217" s="5"/>
      <c r="F1217" s="5"/>
      <c r="G1217" s="5"/>
      <c r="H1217" s="5"/>
      <c r="I1217" s="5"/>
      <c r="J1217" s="5"/>
      <c r="K1217" s="5"/>
      <c r="L1217" s="5"/>
    </row>
    <row r="1218" spans="1:143" x14ac:dyDescent="0.2">
      <c r="A1218" s="11"/>
      <c r="L1218" s="5"/>
      <c r="BX1218" s="10"/>
      <c r="BY1218" s="10"/>
      <c r="BZ1218" s="10"/>
      <c r="CA1218" s="10"/>
      <c r="CB1218" s="10"/>
      <c r="CC1218" s="10"/>
      <c r="CD1218" s="10"/>
      <c r="CE1218" s="10"/>
      <c r="CF1218" s="10"/>
      <c r="CG1218" s="10"/>
      <c r="CH1218" s="10"/>
      <c r="CI1218" s="10"/>
      <c r="CJ1218" s="10"/>
      <c r="CK1218" s="10"/>
      <c r="CL1218" s="10"/>
      <c r="CM1218" s="10"/>
      <c r="CN1218" s="10"/>
      <c r="CO1218" s="10"/>
      <c r="CP1218" s="10"/>
      <c r="CQ1218" s="10"/>
      <c r="CR1218" s="10"/>
      <c r="CS1218" s="10"/>
      <c r="CT1218" s="10"/>
      <c r="CU1218" s="10"/>
      <c r="CV1218" s="10"/>
      <c r="CW1218" s="10"/>
      <c r="CX1218" s="10"/>
      <c r="CY1218" s="10"/>
      <c r="CZ1218" s="10"/>
      <c r="DA1218" s="10"/>
      <c r="DB1218" s="10"/>
      <c r="DC1218" s="10"/>
      <c r="DD1218" s="10"/>
      <c r="DE1218" s="10"/>
      <c r="DF1218" s="10"/>
      <c r="DG1218" s="10"/>
      <c r="DH1218" s="10"/>
      <c r="DI1218" s="10"/>
      <c r="DJ1218" s="10"/>
      <c r="DK1218" s="10"/>
      <c r="DL1218" s="10"/>
      <c r="DM1218" s="10"/>
      <c r="DN1218" s="10"/>
      <c r="DO1218" s="10"/>
      <c r="DP1218" s="10"/>
      <c r="DQ1218" s="10"/>
      <c r="DR1218" s="10"/>
      <c r="DS1218" s="10"/>
      <c r="DT1218" s="10"/>
      <c r="DU1218" s="10"/>
      <c r="DV1218" s="10"/>
      <c r="DW1218" s="10"/>
      <c r="DX1218" s="10"/>
      <c r="DY1218" s="10"/>
      <c r="DZ1218" s="10"/>
      <c r="EA1218" s="10"/>
      <c r="EB1218" s="10"/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</row>
    <row r="1219" spans="1:143" x14ac:dyDescent="0.2">
      <c r="L1219" s="5"/>
      <c r="X1219" s="2"/>
      <c r="BO1219" s="11"/>
      <c r="BP1219" s="11"/>
      <c r="BQ1219" s="11"/>
      <c r="BR1219" s="11"/>
      <c r="BS1219" s="11"/>
      <c r="BT1219" s="11"/>
      <c r="BU1219" s="11"/>
      <c r="BV1219" s="11"/>
      <c r="BW1219" s="11"/>
      <c r="BX1219" s="12"/>
      <c r="BY1219" s="12"/>
      <c r="BZ1219" s="12"/>
      <c r="CA1219" s="12"/>
      <c r="CB1219" s="12"/>
      <c r="CC1219" s="12"/>
      <c r="CD1219" s="12"/>
      <c r="CE1219" s="12"/>
      <c r="CF1219" s="12"/>
      <c r="CG1219" s="12"/>
      <c r="CH1219" s="12"/>
      <c r="CI1219" s="12"/>
      <c r="CJ1219" s="12"/>
      <c r="CK1219" s="12"/>
      <c r="CL1219" s="12"/>
      <c r="CM1219" s="12"/>
      <c r="CN1219" s="12"/>
      <c r="CO1219" s="12"/>
      <c r="CP1219" s="12"/>
      <c r="CQ1219" s="12"/>
      <c r="CR1219" s="12"/>
      <c r="CS1219" s="12"/>
      <c r="CT1219" s="12"/>
      <c r="CU1219" s="12"/>
      <c r="CV1219" s="12"/>
      <c r="CW1219" s="12"/>
      <c r="CX1219" s="12"/>
      <c r="CY1219" s="12"/>
      <c r="CZ1219" s="12"/>
      <c r="DA1219" s="12"/>
      <c r="DB1219" s="12"/>
      <c r="DC1219" s="12"/>
      <c r="DD1219" s="12"/>
      <c r="DE1219" s="12"/>
      <c r="DF1219" s="12"/>
      <c r="DG1219" s="12"/>
      <c r="DH1219" s="12"/>
      <c r="DI1219" s="12"/>
      <c r="DJ1219" s="12"/>
      <c r="DK1219" s="12"/>
      <c r="DL1219" s="12"/>
      <c r="DM1219" s="12"/>
      <c r="DN1219" s="10"/>
      <c r="DO1219" s="10"/>
      <c r="DP1219" s="10"/>
      <c r="DQ1219" s="10"/>
      <c r="DR1219" s="10"/>
      <c r="DS1219" s="10"/>
      <c r="DT1219" s="10"/>
      <c r="DU1219" s="10"/>
      <c r="DV1219" s="10"/>
      <c r="DW1219" s="10"/>
      <c r="DX1219" s="10"/>
      <c r="DY1219" s="10"/>
      <c r="DZ1219" s="10"/>
      <c r="EA1219" s="10"/>
      <c r="EB1219" s="10"/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</row>
    <row r="1220" spans="1:143" x14ac:dyDescent="0.2">
      <c r="L1220" s="5"/>
      <c r="X1220" s="2"/>
      <c r="BO1220" s="11"/>
      <c r="BP1220" s="11"/>
      <c r="BQ1220" s="11"/>
      <c r="BR1220" s="11"/>
      <c r="BS1220" s="11"/>
      <c r="BT1220" s="11"/>
      <c r="BU1220" s="11"/>
      <c r="BV1220" s="11"/>
      <c r="BW1220" s="11"/>
      <c r="BX1220" s="12"/>
      <c r="BY1220" s="12"/>
      <c r="BZ1220" s="12"/>
      <c r="CA1220" s="12"/>
      <c r="CB1220" s="12"/>
      <c r="CC1220" s="12"/>
      <c r="CD1220" s="12"/>
      <c r="CE1220" s="12"/>
      <c r="CF1220" s="12"/>
      <c r="CG1220" s="12"/>
      <c r="CH1220" s="12"/>
      <c r="CI1220" s="12"/>
      <c r="CJ1220" s="12"/>
      <c r="CK1220" s="12"/>
      <c r="CL1220" s="12"/>
      <c r="CM1220" s="12"/>
      <c r="CN1220" s="12"/>
      <c r="CO1220" s="12"/>
      <c r="CP1220" s="12"/>
      <c r="CQ1220" s="12"/>
      <c r="CR1220" s="12"/>
      <c r="CS1220" s="12"/>
      <c r="CT1220" s="12"/>
      <c r="CU1220" s="12"/>
      <c r="CV1220" s="12"/>
      <c r="CW1220" s="12"/>
      <c r="CX1220" s="12"/>
      <c r="CY1220" s="12"/>
      <c r="CZ1220" s="12"/>
      <c r="DA1220" s="12"/>
      <c r="DB1220" s="12"/>
      <c r="DC1220" s="12"/>
      <c r="DD1220" s="12"/>
      <c r="DE1220" s="12"/>
      <c r="DF1220" s="12"/>
      <c r="DG1220" s="12"/>
      <c r="DH1220" s="12"/>
      <c r="DI1220" s="12"/>
      <c r="DJ1220" s="12"/>
      <c r="DK1220" s="12"/>
      <c r="DL1220" s="12"/>
      <c r="DM1220" s="12"/>
      <c r="DN1220" s="10"/>
      <c r="DO1220" s="10"/>
      <c r="DP1220" s="10"/>
      <c r="DQ1220" s="10"/>
      <c r="DR1220" s="10"/>
      <c r="DS1220" s="10"/>
      <c r="DT1220" s="10"/>
      <c r="DU1220" s="10"/>
      <c r="DV1220" s="10"/>
      <c r="DW1220" s="10"/>
      <c r="DX1220" s="10"/>
      <c r="DY1220" s="10"/>
      <c r="DZ1220" s="10"/>
      <c r="EA1220" s="10"/>
      <c r="EB1220" s="10"/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</row>
    <row r="1221" spans="1:143" x14ac:dyDescent="0.2">
      <c r="L1221" s="5"/>
      <c r="Q1221" s="15"/>
      <c r="X1221" s="2"/>
      <c r="BO1221" s="11"/>
      <c r="BP1221" s="11"/>
      <c r="BQ1221" s="11"/>
      <c r="BR1221" s="11"/>
      <c r="BS1221" s="11"/>
      <c r="BT1221" s="11"/>
      <c r="BU1221" s="11"/>
      <c r="BV1221" s="11"/>
      <c r="BW1221" s="11"/>
      <c r="BX1221" s="12"/>
      <c r="BY1221" s="12"/>
      <c r="BZ1221" s="12"/>
      <c r="CA1221" s="12"/>
      <c r="CB1221" s="12"/>
      <c r="CC1221" s="12"/>
      <c r="CD1221" s="12"/>
      <c r="CE1221" s="12"/>
      <c r="CF1221" s="12"/>
      <c r="CG1221" s="12"/>
      <c r="CH1221" s="12"/>
      <c r="CI1221" s="12"/>
      <c r="CJ1221" s="12"/>
      <c r="CK1221" s="12"/>
      <c r="CL1221" s="12"/>
      <c r="CM1221" s="12"/>
      <c r="CN1221" s="12"/>
      <c r="CO1221" s="12"/>
      <c r="CP1221" s="12"/>
      <c r="CQ1221" s="12"/>
      <c r="CR1221" s="12"/>
      <c r="CS1221" s="12"/>
      <c r="CT1221" s="12"/>
      <c r="CU1221" s="12"/>
      <c r="CV1221" s="12"/>
      <c r="CW1221" s="12"/>
      <c r="CX1221" s="12"/>
      <c r="CY1221" s="12"/>
      <c r="CZ1221" s="12"/>
      <c r="DA1221" s="12"/>
      <c r="DB1221" s="12"/>
      <c r="DC1221" s="12"/>
      <c r="DD1221" s="12"/>
      <c r="DE1221" s="12"/>
      <c r="DF1221" s="12"/>
      <c r="DG1221" s="12"/>
      <c r="DH1221" s="12"/>
      <c r="DI1221" s="12"/>
      <c r="DJ1221" s="12"/>
      <c r="DK1221" s="12"/>
      <c r="DL1221" s="12"/>
      <c r="DM1221" s="12"/>
      <c r="DN1221" s="10"/>
      <c r="DO1221" s="10"/>
      <c r="DP1221" s="10"/>
      <c r="DQ1221" s="10"/>
      <c r="DR1221" s="10"/>
      <c r="DS1221" s="10"/>
      <c r="DT1221" s="10"/>
      <c r="DU1221" s="10"/>
      <c r="DV1221" s="10"/>
      <c r="DW1221" s="10"/>
      <c r="DX1221" s="10"/>
      <c r="DY1221" s="10"/>
      <c r="DZ1221" s="10"/>
      <c r="EA1221" s="10"/>
      <c r="EB1221" s="10"/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</row>
    <row r="1222" spans="1:143" x14ac:dyDescent="0.2">
      <c r="L1222" s="5"/>
      <c r="X1222" s="2"/>
      <c r="BO1222" s="11"/>
      <c r="BP1222" s="11"/>
      <c r="BQ1222" s="11"/>
      <c r="BR1222" s="11"/>
      <c r="BS1222" s="11"/>
      <c r="BT1222" s="11"/>
      <c r="BU1222" s="11"/>
      <c r="BV1222" s="11"/>
      <c r="BW1222" s="11"/>
      <c r="BX1222" s="12"/>
      <c r="BY1222" s="12"/>
      <c r="BZ1222" s="12"/>
      <c r="CA1222" s="12"/>
      <c r="CB1222" s="12"/>
      <c r="CC1222" s="12"/>
      <c r="CD1222" s="12"/>
      <c r="CE1222" s="12"/>
      <c r="CF1222" s="12"/>
      <c r="CG1222" s="12"/>
      <c r="CH1222" s="12"/>
      <c r="CI1222" s="12"/>
      <c r="CJ1222" s="12"/>
      <c r="CK1222" s="12"/>
      <c r="CL1222" s="12"/>
      <c r="CM1222" s="12"/>
      <c r="CN1222" s="12"/>
      <c r="CO1222" s="12"/>
      <c r="CP1222" s="12"/>
      <c r="CQ1222" s="12"/>
      <c r="CR1222" s="12"/>
      <c r="CS1222" s="12"/>
      <c r="CT1222" s="12"/>
      <c r="CU1222" s="12"/>
      <c r="CV1222" s="12"/>
      <c r="CW1222" s="12"/>
      <c r="CX1222" s="12"/>
      <c r="CY1222" s="12"/>
      <c r="CZ1222" s="12"/>
      <c r="DA1222" s="12"/>
      <c r="DB1222" s="12"/>
      <c r="DC1222" s="12"/>
      <c r="DD1222" s="12"/>
      <c r="DE1222" s="12"/>
      <c r="DF1222" s="12"/>
      <c r="DG1222" s="12"/>
      <c r="DH1222" s="12"/>
      <c r="DI1222" s="12"/>
      <c r="DJ1222" s="12"/>
      <c r="DK1222" s="12"/>
      <c r="DL1222" s="12"/>
      <c r="DM1222" s="12"/>
      <c r="DN1222" s="10"/>
      <c r="DO1222" s="10"/>
      <c r="DP1222" s="10"/>
      <c r="DQ1222" s="10"/>
      <c r="DR1222" s="10"/>
      <c r="DS1222" s="10"/>
      <c r="DT1222" s="10"/>
      <c r="DU1222" s="10"/>
      <c r="DV1222" s="10"/>
      <c r="DW1222" s="10"/>
      <c r="DX1222" s="10"/>
      <c r="DY1222" s="10"/>
      <c r="DZ1222" s="10"/>
      <c r="EA1222" s="10"/>
      <c r="EB1222" s="10"/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</row>
    <row r="1223" spans="1:143" x14ac:dyDescent="0.2">
      <c r="L1223" s="5"/>
      <c r="BO1223" s="11"/>
      <c r="BP1223" s="11"/>
      <c r="BQ1223" s="11"/>
      <c r="BR1223" s="11"/>
      <c r="BS1223" s="11"/>
      <c r="BT1223" s="11"/>
      <c r="BU1223" s="11"/>
      <c r="BV1223" s="11"/>
      <c r="BW1223" s="11"/>
      <c r="BX1223" s="12"/>
      <c r="BY1223" s="12"/>
      <c r="BZ1223" s="12"/>
      <c r="CA1223" s="12"/>
      <c r="CB1223" s="12"/>
      <c r="CC1223" s="12"/>
      <c r="CD1223" s="12"/>
      <c r="CE1223" s="12"/>
      <c r="CF1223" s="12"/>
      <c r="CG1223" s="12"/>
      <c r="CH1223" s="12"/>
      <c r="CI1223" s="12"/>
      <c r="CJ1223" s="12"/>
      <c r="CK1223" s="12"/>
      <c r="CL1223" s="12"/>
      <c r="CM1223" s="12"/>
      <c r="CN1223" s="12"/>
      <c r="CO1223" s="12"/>
      <c r="CP1223" s="12"/>
      <c r="CQ1223" s="12"/>
      <c r="CR1223" s="12"/>
      <c r="CS1223" s="12"/>
      <c r="CT1223" s="12"/>
      <c r="CU1223" s="12"/>
      <c r="CV1223" s="12"/>
      <c r="CW1223" s="12"/>
      <c r="CX1223" s="12"/>
      <c r="CY1223" s="12"/>
      <c r="CZ1223" s="12"/>
      <c r="DA1223" s="12"/>
      <c r="DB1223" s="12"/>
      <c r="DC1223" s="12"/>
      <c r="DD1223" s="12"/>
      <c r="DE1223" s="12"/>
      <c r="DF1223" s="12"/>
      <c r="DG1223" s="12"/>
      <c r="DH1223" s="12"/>
      <c r="DI1223" s="12"/>
      <c r="DJ1223" s="12"/>
      <c r="DK1223" s="12"/>
      <c r="DL1223" s="12"/>
      <c r="DM1223" s="12"/>
      <c r="DN1223" s="10"/>
      <c r="DO1223" s="10"/>
      <c r="DP1223" s="10"/>
      <c r="DQ1223" s="10"/>
      <c r="DR1223" s="10"/>
      <c r="DS1223" s="10"/>
      <c r="DT1223" s="10"/>
      <c r="DU1223" s="10"/>
      <c r="DV1223" s="10"/>
      <c r="DW1223" s="10"/>
      <c r="DX1223" s="10"/>
      <c r="DY1223" s="10"/>
      <c r="DZ1223" s="10"/>
      <c r="EA1223" s="10"/>
      <c r="EB1223" s="10"/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</row>
    <row r="1224" spans="1:143" x14ac:dyDescent="0.2">
      <c r="L1224" s="5"/>
      <c r="BO1224" s="11"/>
      <c r="BP1224" s="11"/>
      <c r="BQ1224" s="11"/>
      <c r="BR1224" s="11"/>
      <c r="BS1224" s="11"/>
      <c r="BT1224" s="11"/>
      <c r="BU1224" s="11"/>
      <c r="BV1224" s="11"/>
      <c r="BW1224" s="11"/>
      <c r="BX1224" s="12"/>
      <c r="BY1224" s="12"/>
      <c r="BZ1224" s="12"/>
      <c r="CA1224" s="12"/>
      <c r="CB1224" s="12"/>
      <c r="CC1224" s="12"/>
      <c r="CD1224" s="12"/>
      <c r="CE1224" s="12"/>
      <c r="CF1224" s="12"/>
      <c r="CG1224" s="12"/>
      <c r="CH1224" s="12"/>
      <c r="CI1224" s="12"/>
      <c r="CJ1224" s="12"/>
      <c r="CK1224" s="12"/>
      <c r="CL1224" s="12"/>
      <c r="CM1224" s="12"/>
      <c r="CN1224" s="12"/>
      <c r="CO1224" s="12"/>
      <c r="CP1224" s="12"/>
      <c r="CQ1224" s="12"/>
      <c r="CR1224" s="12"/>
      <c r="CS1224" s="12"/>
      <c r="CT1224" s="12"/>
      <c r="CU1224" s="12"/>
      <c r="CV1224" s="12"/>
      <c r="CW1224" s="12"/>
      <c r="CX1224" s="12"/>
      <c r="CY1224" s="12"/>
      <c r="CZ1224" s="12"/>
      <c r="DA1224" s="12"/>
      <c r="DB1224" s="12"/>
      <c r="DC1224" s="12"/>
      <c r="DD1224" s="12"/>
      <c r="DE1224" s="12"/>
      <c r="DF1224" s="12"/>
      <c r="DG1224" s="12"/>
      <c r="DH1224" s="12"/>
      <c r="DI1224" s="12"/>
      <c r="DJ1224" s="12"/>
      <c r="DK1224" s="12"/>
      <c r="DL1224" s="12"/>
      <c r="DM1224" s="12"/>
      <c r="DN1224" s="10"/>
      <c r="DO1224" s="10"/>
      <c r="DP1224" s="10"/>
      <c r="DQ1224" s="10"/>
      <c r="DR1224" s="10"/>
      <c r="DS1224" s="10"/>
      <c r="DT1224" s="10"/>
      <c r="DU1224" s="10"/>
      <c r="DV1224" s="10"/>
      <c r="DW1224" s="10"/>
      <c r="DX1224" s="10"/>
      <c r="DY1224" s="10"/>
      <c r="DZ1224" s="10"/>
      <c r="EA1224" s="10"/>
      <c r="EB1224" s="10"/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</row>
    <row r="1225" spans="1:143" x14ac:dyDescent="0.2">
      <c r="L1225" s="5"/>
      <c r="BO1225" s="11"/>
      <c r="BP1225" s="11"/>
      <c r="BQ1225" s="11"/>
      <c r="BR1225" s="11"/>
      <c r="BS1225" s="11"/>
      <c r="BT1225" s="11"/>
      <c r="BU1225" s="11"/>
      <c r="BV1225" s="11"/>
      <c r="BW1225" s="11"/>
      <c r="BX1225" s="12"/>
      <c r="BY1225" s="12"/>
      <c r="BZ1225" s="12"/>
      <c r="CA1225" s="12"/>
      <c r="CB1225" s="12"/>
      <c r="CC1225" s="12"/>
      <c r="CD1225" s="12"/>
      <c r="CE1225" s="12"/>
      <c r="CF1225" s="12"/>
      <c r="CG1225" s="12"/>
      <c r="CH1225" s="12"/>
      <c r="CI1225" s="12"/>
      <c r="CJ1225" s="12"/>
      <c r="CK1225" s="12"/>
      <c r="CL1225" s="12"/>
      <c r="CM1225" s="12"/>
      <c r="CN1225" s="12"/>
      <c r="CO1225" s="12"/>
      <c r="CP1225" s="12"/>
      <c r="CQ1225" s="12"/>
      <c r="CR1225" s="12"/>
      <c r="CS1225" s="12"/>
      <c r="CT1225" s="12"/>
      <c r="CU1225" s="12"/>
      <c r="CV1225" s="12"/>
      <c r="CW1225" s="12"/>
      <c r="CX1225" s="12"/>
      <c r="CY1225" s="12"/>
      <c r="CZ1225" s="12"/>
      <c r="DA1225" s="12"/>
      <c r="DB1225" s="12"/>
      <c r="DC1225" s="12"/>
      <c r="DD1225" s="12"/>
      <c r="DE1225" s="12"/>
      <c r="DF1225" s="12"/>
      <c r="DG1225" s="12"/>
      <c r="DH1225" s="12"/>
      <c r="DI1225" s="12"/>
      <c r="DJ1225" s="12"/>
      <c r="DK1225" s="12"/>
      <c r="DL1225" s="12"/>
      <c r="DM1225" s="12"/>
      <c r="DN1225" s="10"/>
      <c r="DO1225" s="10"/>
      <c r="DP1225" s="10"/>
      <c r="DQ1225" s="10"/>
      <c r="DR1225" s="10"/>
      <c r="DS1225" s="10"/>
      <c r="DT1225" s="10"/>
      <c r="DU1225" s="10"/>
      <c r="DV1225" s="10"/>
      <c r="DW1225" s="10"/>
      <c r="DX1225" s="10"/>
      <c r="DY1225" s="10"/>
      <c r="DZ1225" s="10"/>
      <c r="EA1225" s="10"/>
      <c r="EB1225" s="10"/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</row>
    <row r="1226" spans="1:143" x14ac:dyDescent="0.2">
      <c r="L1226" s="5"/>
      <c r="BO1226" s="11"/>
      <c r="BP1226" s="11"/>
      <c r="BQ1226" s="11"/>
      <c r="BR1226" s="11"/>
      <c r="BS1226" s="11"/>
      <c r="BT1226" s="11"/>
      <c r="BU1226" s="11"/>
      <c r="BV1226" s="11"/>
      <c r="BW1226" s="11"/>
      <c r="BX1226" s="12"/>
      <c r="BY1226" s="12"/>
      <c r="BZ1226" s="12"/>
      <c r="CA1226" s="12"/>
      <c r="CB1226" s="12"/>
      <c r="CC1226" s="12"/>
      <c r="CD1226" s="12"/>
      <c r="CE1226" s="12"/>
      <c r="CF1226" s="12"/>
      <c r="CG1226" s="12"/>
      <c r="CH1226" s="12"/>
      <c r="CI1226" s="12"/>
      <c r="CJ1226" s="12"/>
      <c r="CK1226" s="12"/>
      <c r="CL1226" s="12"/>
      <c r="CM1226" s="12"/>
      <c r="CN1226" s="12"/>
      <c r="CO1226" s="12"/>
      <c r="CP1226" s="12"/>
      <c r="CQ1226" s="12"/>
      <c r="CR1226" s="12"/>
      <c r="CS1226" s="12"/>
      <c r="CT1226" s="12"/>
      <c r="CU1226" s="12"/>
      <c r="CV1226" s="12"/>
      <c r="CW1226" s="12"/>
      <c r="CX1226" s="12"/>
      <c r="CY1226" s="12"/>
      <c r="CZ1226" s="12"/>
      <c r="DA1226" s="12"/>
      <c r="DB1226" s="12"/>
      <c r="DC1226" s="12"/>
      <c r="DD1226" s="12"/>
      <c r="DE1226" s="12"/>
      <c r="DF1226" s="12"/>
      <c r="DG1226" s="12"/>
      <c r="DH1226" s="12"/>
      <c r="DI1226" s="12"/>
      <c r="DJ1226" s="12"/>
      <c r="DK1226" s="12"/>
      <c r="DL1226" s="12"/>
      <c r="DM1226" s="12"/>
      <c r="DN1226" s="10"/>
      <c r="DO1226" s="10"/>
      <c r="DP1226" s="10"/>
      <c r="DQ1226" s="10"/>
      <c r="DR1226" s="10"/>
      <c r="DS1226" s="10"/>
      <c r="DT1226" s="10"/>
      <c r="DU1226" s="10"/>
      <c r="DV1226" s="10"/>
      <c r="DW1226" s="10"/>
      <c r="DX1226" s="10"/>
      <c r="DY1226" s="10"/>
      <c r="DZ1226" s="10"/>
      <c r="EA1226" s="10"/>
      <c r="EB1226" s="10"/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</row>
    <row r="1227" spans="1:143" x14ac:dyDescent="0.2">
      <c r="L1227" s="5"/>
      <c r="BX1227" s="10"/>
      <c r="BY1227" s="10"/>
      <c r="BZ1227" s="10"/>
      <c r="CA1227" s="10"/>
      <c r="CB1227" s="10"/>
      <c r="CC1227" s="10"/>
      <c r="CD1227" s="10"/>
      <c r="CE1227" s="10"/>
      <c r="CF1227" s="10"/>
      <c r="CG1227" s="10"/>
      <c r="CH1227" s="10"/>
      <c r="CI1227" s="10"/>
      <c r="CJ1227" s="10"/>
      <c r="CK1227" s="10"/>
      <c r="CL1227" s="10"/>
      <c r="CM1227" s="10"/>
      <c r="CN1227" s="10"/>
      <c r="CO1227" s="10"/>
      <c r="CP1227" s="10"/>
      <c r="CQ1227" s="10"/>
      <c r="CR1227" s="10"/>
      <c r="CS1227" s="10"/>
      <c r="CT1227" s="10"/>
      <c r="CU1227" s="10"/>
      <c r="CV1227" s="10"/>
      <c r="CW1227" s="10"/>
      <c r="CX1227" s="10"/>
      <c r="CY1227" s="10"/>
      <c r="CZ1227" s="10"/>
      <c r="DA1227" s="10"/>
      <c r="DB1227" s="10"/>
      <c r="DC1227" s="10"/>
      <c r="DD1227" s="10"/>
      <c r="DE1227" s="10"/>
      <c r="DF1227" s="10"/>
      <c r="DG1227" s="10"/>
      <c r="DH1227" s="10"/>
      <c r="DI1227" s="10"/>
      <c r="DJ1227" s="10"/>
      <c r="DK1227" s="10"/>
      <c r="DL1227" s="10"/>
      <c r="DM1227" s="10"/>
      <c r="DN1227" s="10"/>
      <c r="DO1227" s="10"/>
      <c r="DP1227" s="10"/>
      <c r="DQ1227" s="10"/>
      <c r="DR1227" s="10"/>
      <c r="DS1227" s="10"/>
      <c r="DT1227" s="10"/>
      <c r="DU1227" s="10"/>
      <c r="DV1227" s="10"/>
      <c r="DW1227" s="10"/>
      <c r="DX1227" s="10"/>
      <c r="DY1227" s="10"/>
      <c r="DZ1227" s="10"/>
      <c r="EA1227" s="10"/>
      <c r="EB1227" s="10"/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</row>
    <row r="1228" spans="1:143" x14ac:dyDescent="0.2">
      <c r="L1228" s="5"/>
      <c r="BX1228" s="10"/>
      <c r="BY1228" s="10"/>
      <c r="BZ1228" s="10"/>
      <c r="CA1228" s="10"/>
      <c r="CB1228" s="10"/>
      <c r="CC1228" s="10"/>
      <c r="CD1228" s="10"/>
      <c r="CE1228" s="10"/>
      <c r="CF1228" s="10"/>
      <c r="CG1228" s="10"/>
      <c r="CH1228" s="10"/>
      <c r="CI1228" s="10"/>
      <c r="CJ1228" s="10"/>
      <c r="CK1228" s="10"/>
      <c r="CL1228" s="10"/>
      <c r="CM1228" s="10"/>
      <c r="CN1228" s="10"/>
      <c r="CO1228" s="10"/>
      <c r="CP1228" s="10"/>
      <c r="CQ1228" s="10"/>
      <c r="CR1228" s="10"/>
      <c r="CS1228" s="10"/>
      <c r="CT1228" s="10"/>
      <c r="CU1228" s="10"/>
      <c r="CV1228" s="10"/>
      <c r="CW1228" s="10"/>
      <c r="CX1228" s="10"/>
      <c r="CY1228" s="10"/>
      <c r="CZ1228" s="10"/>
      <c r="DA1228" s="10"/>
      <c r="DB1228" s="10"/>
      <c r="DC1228" s="10"/>
      <c r="DD1228" s="10"/>
      <c r="DE1228" s="10"/>
      <c r="DF1228" s="10"/>
      <c r="DG1228" s="10"/>
      <c r="DH1228" s="10"/>
      <c r="DI1228" s="10"/>
      <c r="DJ1228" s="10"/>
      <c r="DK1228" s="10"/>
      <c r="DL1228" s="10"/>
      <c r="DM1228" s="10"/>
      <c r="DN1228" s="10"/>
      <c r="DO1228" s="10"/>
      <c r="DP1228" s="10"/>
      <c r="DQ1228" s="10"/>
      <c r="DR1228" s="10"/>
      <c r="DS1228" s="10"/>
      <c r="DT1228" s="10"/>
      <c r="DU1228" s="10"/>
      <c r="DV1228" s="10"/>
      <c r="DW1228" s="10"/>
      <c r="DX1228" s="10"/>
      <c r="DY1228" s="10"/>
      <c r="DZ1228" s="10"/>
      <c r="EA1228" s="10"/>
      <c r="EB1228" s="10"/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</row>
    <row r="1229" spans="1:143" x14ac:dyDescent="0.2">
      <c r="L1229" s="5"/>
      <c r="BX1229" s="10"/>
      <c r="BY1229" s="10"/>
      <c r="BZ1229" s="10"/>
      <c r="CA1229" s="10"/>
      <c r="CB1229" s="10"/>
      <c r="CC1229" s="10"/>
      <c r="CD1229" s="10"/>
      <c r="CE1229" s="10"/>
      <c r="CF1229" s="10"/>
      <c r="CG1229" s="10"/>
      <c r="CH1229" s="10"/>
      <c r="CI1229" s="10"/>
      <c r="CJ1229" s="10"/>
      <c r="CK1229" s="10"/>
      <c r="CL1229" s="10"/>
      <c r="CM1229" s="10"/>
      <c r="CN1229" s="10"/>
      <c r="CO1229" s="10"/>
      <c r="CP1229" s="10"/>
      <c r="CQ1229" s="10"/>
      <c r="CR1229" s="10"/>
      <c r="CS1229" s="10"/>
      <c r="CT1229" s="10"/>
      <c r="CU1229" s="10"/>
      <c r="CV1229" s="10"/>
      <c r="CW1229" s="10"/>
      <c r="CX1229" s="10"/>
      <c r="CY1229" s="10"/>
      <c r="CZ1229" s="10"/>
      <c r="DA1229" s="10"/>
      <c r="DB1229" s="10"/>
      <c r="DC1229" s="10"/>
      <c r="DD1229" s="10"/>
      <c r="DE1229" s="10"/>
      <c r="DF1229" s="10"/>
      <c r="DG1229" s="10"/>
      <c r="DH1229" s="10"/>
      <c r="DI1229" s="10"/>
      <c r="DJ1229" s="10"/>
      <c r="DK1229" s="10"/>
      <c r="DL1229" s="10"/>
      <c r="DM1229" s="10"/>
      <c r="DN1229" s="10"/>
      <c r="DO1229" s="10"/>
      <c r="DP1229" s="10"/>
      <c r="DQ1229" s="10"/>
      <c r="DR1229" s="10"/>
      <c r="DS1229" s="10"/>
      <c r="DT1229" s="10"/>
      <c r="DU1229" s="10"/>
      <c r="DV1229" s="10"/>
      <c r="DW1229" s="10"/>
      <c r="DX1229" s="10"/>
      <c r="DY1229" s="10"/>
      <c r="DZ1229" s="10"/>
      <c r="EA1229" s="10"/>
      <c r="EB1229" s="10"/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</row>
    <row r="1230" spans="1:143" x14ac:dyDescent="0.2">
      <c r="L1230" s="5"/>
      <c r="BX1230" s="10"/>
      <c r="BY1230" s="10"/>
      <c r="BZ1230" s="10"/>
      <c r="CA1230" s="10"/>
      <c r="CB1230" s="10"/>
      <c r="CC1230" s="10"/>
      <c r="CD1230" s="10"/>
      <c r="CE1230" s="10"/>
      <c r="CF1230" s="10"/>
      <c r="CG1230" s="10"/>
      <c r="CH1230" s="10"/>
      <c r="CI1230" s="10"/>
      <c r="CJ1230" s="10"/>
      <c r="CK1230" s="10"/>
      <c r="CL1230" s="10"/>
      <c r="CM1230" s="10"/>
      <c r="CN1230" s="10"/>
      <c r="CO1230" s="10"/>
      <c r="CP1230" s="10"/>
      <c r="CQ1230" s="10"/>
      <c r="CR1230" s="10"/>
      <c r="CS1230" s="10"/>
      <c r="CT1230" s="10"/>
      <c r="CU1230" s="10"/>
      <c r="CV1230" s="10"/>
      <c r="CW1230" s="10"/>
      <c r="CX1230" s="10"/>
      <c r="CY1230" s="10"/>
      <c r="CZ1230" s="10"/>
      <c r="DA1230" s="10"/>
      <c r="DB1230" s="10"/>
      <c r="DC1230" s="10"/>
      <c r="DD1230" s="10"/>
      <c r="DE1230" s="10"/>
      <c r="DF1230" s="10"/>
      <c r="DG1230" s="10"/>
      <c r="DH1230" s="10"/>
      <c r="DI1230" s="10"/>
      <c r="DJ1230" s="10"/>
      <c r="DK1230" s="10"/>
      <c r="DL1230" s="10"/>
      <c r="DM1230" s="10"/>
      <c r="DN1230" s="10"/>
      <c r="DO1230" s="10"/>
      <c r="DP1230" s="10"/>
      <c r="DQ1230" s="10"/>
      <c r="DR1230" s="10"/>
      <c r="DS1230" s="10"/>
      <c r="DT1230" s="10"/>
      <c r="DU1230" s="10"/>
      <c r="DV1230" s="10"/>
      <c r="DW1230" s="10"/>
      <c r="DX1230" s="10"/>
      <c r="DY1230" s="10"/>
      <c r="DZ1230" s="10"/>
      <c r="EA1230" s="10"/>
      <c r="EB1230" s="10"/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</row>
    <row r="1231" spans="1:143" x14ac:dyDescent="0.2">
      <c r="L1231" s="5"/>
      <c r="BX1231" s="10"/>
      <c r="BY1231" s="10"/>
      <c r="BZ1231" s="10"/>
      <c r="CA1231" s="10"/>
      <c r="CB1231" s="10"/>
      <c r="CC1231" s="10"/>
      <c r="CD1231" s="10"/>
      <c r="CE1231" s="10"/>
      <c r="CF1231" s="10"/>
      <c r="CG1231" s="10"/>
      <c r="CH1231" s="10"/>
      <c r="CI1231" s="10"/>
      <c r="CJ1231" s="10"/>
      <c r="CK1231" s="10"/>
      <c r="CL1231" s="10"/>
      <c r="CM1231" s="10"/>
      <c r="CN1231" s="10"/>
      <c r="CO1231" s="10"/>
      <c r="CP1231" s="10"/>
      <c r="CQ1231" s="10"/>
      <c r="CR1231" s="10"/>
      <c r="CS1231" s="10"/>
      <c r="CT1231" s="10"/>
      <c r="CU1231" s="10"/>
      <c r="CV1231" s="10"/>
      <c r="CW1231" s="10"/>
      <c r="CX1231" s="10"/>
      <c r="CY1231" s="10"/>
      <c r="CZ1231" s="10"/>
      <c r="DA1231" s="10"/>
      <c r="DB1231" s="10"/>
      <c r="DC1231" s="10"/>
      <c r="DD1231" s="10"/>
      <c r="DE1231" s="10"/>
      <c r="DF1231" s="10"/>
      <c r="DG1231" s="10"/>
      <c r="DH1231" s="10"/>
      <c r="DI1231" s="10"/>
      <c r="DJ1231" s="10"/>
      <c r="DK1231" s="10"/>
      <c r="DL1231" s="10"/>
      <c r="DM1231" s="10"/>
      <c r="DN1231" s="10"/>
      <c r="DO1231" s="10"/>
      <c r="DP1231" s="10"/>
      <c r="DQ1231" s="10"/>
      <c r="DR1231" s="10"/>
      <c r="DS1231" s="10"/>
      <c r="DT1231" s="10"/>
      <c r="DU1231" s="10"/>
      <c r="DV1231" s="10"/>
      <c r="DW1231" s="10"/>
      <c r="DX1231" s="10"/>
      <c r="DY1231" s="10"/>
      <c r="DZ1231" s="10"/>
      <c r="EA1231" s="10"/>
      <c r="EB1231" s="10"/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</row>
    <row r="1232" spans="1:143" x14ac:dyDescent="0.2">
      <c r="L1232" s="5"/>
      <c r="BX1232" s="10"/>
      <c r="BY1232" s="10"/>
      <c r="BZ1232" s="10"/>
      <c r="CA1232" s="10"/>
      <c r="CB1232" s="10"/>
      <c r="CC1232" s="10"/>
      <c r="CD1232" s="10"/>
      <c r="CE1232" s="10"/>
      <c r="CF1232" s="10"/>
      <c r="CG1232" s="10"/>
      <c r="CH1232" s="10"/>
      <c r="CI1232" s="10"/>
      <c r="CJ1232" s="10"/>
      <c r="CK1232" s="10"/>
      <c r="CL1232" s="10"/>
      <c r="CM1232" s="10"/>
      <c r="CN1232" s="10"/>
      <c r="CO1232" s="10"/>
      <c r="CP1232" s="10"/>
      <c r="CQ1232" s="10"/>
      <c r="CR1232" s="10"/>
      <c r="CS1232" s="10"/>
      <c r="CT1232" s="10"/>
      <c r="CU1232" s="10"/>
      <c r="CV1232" s="10"/>
      <c r="CW1232" s="10"/>
      <c r="CX1232" s="10"/>
      <c r="CY1232" s="10"/>
      <c r="CZ1232" s="10"/>
      <c r="DA1232" s="10"/>
      <c r="DB1232" s="10"/>
      <c r="DC1232" s="10"/>
      <c r="DD1232" s="10"/>
      <c r="DE1232" s="10"/>
      <c r="DF1232" s="10"/>
      <c r="DG1232" s="10"/>
      <c r="DH1232" s="10"/>
      <c r="DI1232" s="10"/>
      <c r="DJ1232" s="10"/>
      <c r="DK1232" s="10"/>
      <c r="DL1232" s="10"/>
      <c r="DM1232" s="10"/>
      <c r="DN1232" s="10"/>
      <c r="DO1232" s="10"/>
      <c r="DP1232" s="10"/>
      <c r="DQ1232" s="10"/>
      <c r="DR1232" s="10"/>
      <c r="DS1232" s="10"/>
      <c r="DT1232" s="10"/>
      <c r="DU1232" s="10"/>
      <c r="DV1232" s="10"/>
      <c r="DW1232" s="10"/>
      <c r="DX1232" s="10"/>
      <c r="DY1232" s="10"/>
      <c r="DZ1232" s="10"/>
      <c r="EA1232" s="10"/>
      <c r="EB1232" s="10"/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</row>
    <row r="1233" spans="12:256" x14ac:dyDescent="0.2">
      <c r="L1233" s="5"/>
      <c r="BX1233" s="10"/>
      <c r="BY1233" s="10"/>
      <c r="BZ1233" s="10"/>
      <c r="CA1233" s="10"/>
      <c r="CB1233" s="10"/>
      <c r="CC1233" s="10"/>
      <c r="CD1233" s="10"/>
      <c r="CE1233" s="10"/>
      <c r="CF1233" s="10"/>
      <c r="CG1233" s="10"/>
      <c r="CH1233" s="10"/>
      <c r="CI1233" s="10"/>
      <c r="CJ1233" s="10"/>
      <c r="CK1233" s="10"/>
      <c r="CL1233" s="10"/>
      <c r="CM1233" s="10"/>
      <c r="CN1233" s="10"/>
      <c r="CO1233" s="10"/>
      <c r="CP1233" s="10"/>
      <c r="CQ1233" s="10"/>
      <c r="CR1233" s="10"/>
      <c r="CS1233" s="10"/>
      <c r="CT1233" s="10"/>
      <c r="CU1233" s="10"/>
      <c r="CV1233" s="10"/>
      <c r="CW1233" s="10"/>
      <c r="CX1233" s="10"/>
      <c r="CY1233" s="10"/>
      <c r="CZ1233" s="10"/>
      <c r="DA1233" s="10"/>
      <c r="DB1233" s="10"/>
      <c r="DC1233" s="10"/>
      <c r="DD1233" s="10"/>
      <c r="DE1233" s="10"/>
      <c r="DF1233" s="10"/>
      <c r="DG1233" s="10"/>
      <c r="DH1233" s="10"/>
      <c r="DI1233" s="10"/>
      <c r="DJ1233" s="10"/>
      <c r="DK1233" s="10"/>
      <c r="DL1233" s="10"/>
      <c r="DM1233" s="10"/>
      <c r="DN1233" s="10"/>
      <c r="DO1233" s="10"/>
      <c r="DP1233" s="10"/>
      <c r="DQ1233" s="10"/>
      <c r="DR1233" s="10"/>
      <c r="DS1233" s="10"/>
      <c r="DT1233" s="10"/>
      <c r="DU1233" s="10"/>
      <c r="DV1233" s="10"/>
      <c r="DW1233" s="10"/>
      <c r="DX1233" s="10"/>
      <c r="DY1233" s="10"/>
      <c r="DZ1233" s="10"/>
      <c r="EA1233" s="10"/>
      <c r="EB1233" s="10"/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</row>
    <row r="1234" spans="12:256" x14ac:dyDescent="0.2">
      <c r="L1234" s="5"/>
      <c r="BX1234" s="10"/>
      <c r="BY1234" s="10"/>
      <c r="BZ1234" s="10"/>
      <c r="CA1234" s="10"/>
      <c r="CB1234" s="10"/>
      <c r="CC1234" s="10"/>
      <c r="CD1234" s="10"/>
      <c r="CE1234" s="10"/>
      <c r="CF1234" s="10"/>
      <c r="CG1234" s="10"/>
      <c r="CH1234" s="10"/>
      <c r="CI1234" s="10"/>
      <c r="CJ1234" s="10"/>
      <c r="CK1234" s="10"/>
      <c r="CL1234" s="10"/>
      <c r="CM1234" s="10"/>
      <c r="CN1234" s="10"/>
      <c r="CO1234" s="10"/>
      <c r="CP1234" s="10"/>
      <c r="CQ1234" s="10"/>
      <c r="CR1234" s="10"/>
      <c r="CS1234" s="10"/>
      <c r="CT1234" s="10"/>
      <c r="CU1234" s="10"/>
      <c r="CV1234" s="10"/>
      <c r="CW1234" s="10"/>
      <c r="CX1234" s="10"/>
      <c r="CY1234" s="10"/>
      <c r="CZ1234" s="10"/>
      <c r="DA1234" s="10"/>
      <c r="DB1234" s="10"/>
      <c r="DC1234" s="10"/>
      <c r="DD1234" s="10"/>
      <c r="DE1234" s="10"/>
      <c r="DF1234" s="10"/>
      <c r="DG1234" s="10"/>
      <c r="DH1234" s="10"/>
      <c r="DI1234" s="10"/>
      <c r="DJ1234" s="10"/>
      <c r="DK1234" s="10"/>
      <c r="DL1234" s="10"/>
      <c r="DM1234" s="10"/>
      <c r="DN1234" s="10"/>
      <c r="DO1234" s="10"/>
      <c r="DP1234" s="10"/>
      <c r="DQ1234" s="10"/>
      <c r="DR1234" s="10"/>
      <c r="DS1234" s="10"/>
      <c r="DT1234" s="10"/>
      <c r="DU1234" s="10"/>
      <c r="DV1234" s="10"/>
      <c r="DW1234" s="10"/>
      <c r="DX1234" s="10"/>
      <c r="DY1234" s="10"/>
      <c r="DZ1234" s="10"/>
      <c r="EA1234" s="10"/>
      <c r="EB1234" s="10"/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</row>
    <row r="1235" spans="12:256" x14ac:dyDescent="0.2">
      <c r="L1235" s="5"/>
      <c r="BX1235" s="10"/>
      <c r="BY1235" s="10"/>
      <c r="BZ1235" s="10"/>
      <c r="CA1235" s="10"/>
      <c r="CB1235" s="10"/>
      <c r="CC1235" s="10"/>
      <c r="CD1235" s="10"/>
      <c r="CE1235" s="10"/>
      <c r="CF1235" s="10"/>
      <c r="CG1235" s="10"/>
      <c r="CH1235" s="10"/>
      <c r="CI1235" s="10"/>
      <c r="CJ1235" s="10"/>
      <c r="CK1235" s="10"/>
      <c r="CL1235" s="10"/>
      <c r="CM1235" s="10"/>
      <c r="CN1235" s="10"/>
      <c r="CO1235" s="10"/>
      <c r="CP1235" s="10"/>
      <c r="CQ1235" s="10"/>
      <c r="CR1235" s="10"/>
      <c r="CS1235" s="10"/>
      <c r="CT1235" s="10"/>
      <c r="CU1235" s="10"/>
      <c r="CV1235" s="10"/>
      <c r="CW1235" s="10"/>
      <c r="CX1235" s="10"/>
      <c r="CY1235" s="10"/>
      <c r="CZ1235" s="10"/>
      <c r="DA1235" s="10"/>
      <c r="DB1235" s="10"/>
      <c r="DC1235" s="10"/>
      <c r="DD1235" s="10"/>
      <c r="DE1235" s="10"/>
      <c r="DF1235" s="10"/>
      <c r="DG1235" s="10"/>
      <c r="DH1235" s="10"/>
      <c r="DI1235" s="10"/>
      <c r="DJ1235" s="10"/>
      <c r="DK1235" s="10"/>
      <c r="DL1235" s="10"/>
      <c r="DM1235" s="10"/>
      <c r="DN1235" s="10"/>
      <c r="DO1235" s="10"/>
      <c r="DP1235" s="10"/>
      <c r="DQ1235" s="10"/>
      <c r="DR1235" s="10"/>
      <c r="DS1235" s="10"/>
      <c r="DT1235" s="10"/>
      <c r="DU1235" s="10"/>
      <c r="DV1235" s="10"/>
      <c r="DW1235" s="10"/>
      <c r="DX1235" s="10"/>
      <c r="DY1235" s="10"/>
      <c r="DZ1235" s="10"/>
      <c r="EA1235" s="10"/>
      <c r="EB1235" s="10"/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</row>
    <row r="1236" spans="12:256" x14ac:dyDescent="0.2">
      <c r="L1236" s="5"/>
      <c r="BX1236" s="10"/>
      <c r="BY1236" s="10"/>
      <c r="BZ1236" s="10"/>
      <c r="CA1236" s="10"/>
      <c r="CB1236" s="10"/>
      <c r="CC1236" s="10"/>
      <c r="CD1236" s="10"/>
      <c r="CE1236" s="10"/>
      <c r="CF1236" s="10"/>
      <c r="CG1236" s="10"/>
      <c r="CH1236" s="10"/>
      <c r="CI1236" s="10"/>
      <c r="CJ1236" s="10"/>
      <c r="CK1236" s="10"/>
      <c r="CL1236" s="10"/>
      <c r="CM1236" s="10"/>
      <c r="CN1236" s="10"/>
      <c r="CO1236" s="10"/>
      <c r="CP1236" s="10"/>
      <c r="CQ1236" s="10"/>
      <c r="CR1236" s="10"/>
      <c r="CS1236" s="10"/>
      <c r="CT1236" s="10"/>
      <c r="CU1236" s="10"/>
      <c r="CV1236" s="10"/>
      <c r="CW1236" s="10"/>
      <c r="CX1236" s="10"/>
      <c r="CY1236" s="10"/>
      <c r="CZ1236" s="10"/>
      <c r="DA1236" s="10"/>
      <c r="DB1236" s="10"/>
      <c r="DC1236" s="10"/>
      <c r="DD1236" s="10"/>
      <c r="DE1236" s="10"/>
      <c r="DF1236" s="10"/>
      <c r="DG1236" s="10"/>
      <c r="DH1236" s="10"/>
      <c r="DI1236" s="10"/>
      <c r="DJ1236" s="10"/>
      <c r="DK1236" s="10"/>
      <c r="DL1236" s="10"/>
      <c r="DM1236" s="10"/>
      <c r="DN1236" s="10"/>
      <c r="DO1236" s="10"/>
      <c r="DP1236" s="10"/>
      <c r="DQ1236" s="10"/>
      <c r="DR1236" s="10"/>
      <c r="DS1236" s="10"/>
      <c r="DT1236" s="10"/>
      <c r="DU1236" s="10"/>
      <c r="DV1236" s="10"/>
      <c r="DW1236" s="10"/>
      <c r="DX1236" s="10"/>
      <c r="DY1236" s="10"/>
      <c r="DZ1236" s="10"/>
      <c r="EA1236" s="10"/>
      <c r="EB1236" s="10"/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</row>
    <row r="1237" spans="12:256" x14ac:dyDescent="0.2">
      <c r="L1237" s="5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  <c r="ID1237"/>
      <c r="IE1237"/>
      <c r="IF1237"/>
      <c r="IG1237"/>
      <c r="IH1237"/>
      <c r="II1237"/>
      <c r="IJ1237"/>
      <c r="IK1237"/>
      <c r="IL1237"/>
      <c r="IM1237"/>
      <c r="IN1237"/>
      <c r="IO1237"/>
      <c r="IP1237"/>
      <c r="IQ1237"/>
      <c r="IR1237"/>
      <c r="IS1237"/>
      <c r="IT1237"/>
      <c r="IU1237"/>
      <c r="IV1237"/>
    </row>
    <row r="1238" spans="12:256" x14ac:dyDescent="0.2">
      <c r="L1238" s="5"/>
      <c r="BO1238" s="10"/>
      <c r="BP1238" s="10"/>
      <c r="BQ1238" s="10"/>
      <c r="BR1238" s="10"/>
      <c r="BS1238" s="10"/>
      <c r="BT1238" s="10"/>
      <c r="BU1238" s="10"/>
      <c r="BV1238" s="10"/>
      <c r="BW1238" s="10"/>
      <c r="BX1238" s="10"/>
      <c r="BY1238" s="10"/>
      <c r="BZ1238" s="10"/>
      <c r="CA1238" s="10"/>
      <c r="CB1238" s="10"/>
      <c r="CC1238" s="10"/>
      <c r="CD1238" s="10"/>
      <c r="CE1238" s="10"/>
      <c r="CF1238" s="10"/>
      <c r="CG1238" s="10"/>
      <c r="CH1238" s="10"/>
      <c r="CI1238" s="10"/>
      <c r="CJ1238" s="10"/>
      <c r="CK1238" s="10"/>
      <c r="CL1238" s="10"/>
      <c r="CM1238" s="10"/>
      <c r="CN1238" s="10"/>
      <c r="CO1238" s="10"/>
      <c r="CP1238" s="10"/>
      <c r="CQ1238" s="10"/>
      <c r="CR1238" s="10"/>
      <c r="CS1238" s="10"/>
      <c r="CT1238" s="10"/>
      <c r="CU1238" s="10"/>
      <c r="CV1238" s="10"/>
      <c r="CW1238" s="10"/>
      <c r="CX1238" s="10"/>
      <c r="CY1238" s="10"/>
      <c r="CZ1238" s="10"/>
      <c r="DA1238" s="10"/>
      <c r="DB1238" s="10"/>
      <c r="DC1238" s="10"/>
      <c r="DD1238" s="10"/>
      <c r="DE1238" s="10"/>
      <c r="DF1238" s="10"/>
      <c r="DG1238" s="10"/>
      <c r="DH1238" s="10"/>
      <c r="DI1238" s="10"/>
      <c r="DJ1238" s="10"/>
      <c r="DK1238" s="10"/>
      <c r="DL1238" s="10"/>
      <c r="DM1238" s="10"/>
      <c r="DN1238" s="10"/>
      <c r="DO1238" s="10"/>
      <c r="DP1238" s="10"/>
      <c r="DQ1238" s="10"/>
      <c r="DR1238" s="10"/>
      <c r="DS1238" s="10"/>
      <c r="DT1238" s="10"/>
      <c r="DU1238" s="10"/>
      <c r="DV1238" s="10"/>
      <c r="DW1238" s="10"/>
      <c r="DX1238" s="10"/>
      <c r="DY1238" s="10"/>
      <c r="DZ1238" s="10"/>
      <c r="EA1238" s="10"/>
      <c r="EB1238" s="10"/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  <c r="GV1238" s="10"/>
      <c r="GW1238" s="10"/>
      <c r="GX1238" s="10"/>
      <c r="GY1238" s="10"/>
      <c r="GZ1238" s="10"/>
      <c r="HA1238" s="10"/>
      <c r="HB1238" s="10"/>
      <c r="HC1238" s="10"/>
      <c r="HD1238" s="10"/>
      <c r="HE1238" s="10"/>
      <c r="HF1238" s="10"/>
      <c r="HG1238" s="10"/>
      <c r="HH1238" s="10"/>
      <c r="HI1238" s="10"/>
      <c r="HJ1238" s="10"/>
      <c r="HK1238" s="10"/>
      <c r="HL1238" s="10"/>
      <c r="HM1238" s="10"/>
      <c r="HN1238" s="10"/>
      <c r="HO1238" s="10"/>
      <c r="HP1238" s="10"/>
      <c r="HQ1238" s="10"/>
      <c r="HR1238" s="10"/>
      <c r="HS1238" s="10"/>
      <c r="HT1238" s="10"/>
      <c r="HU1238" s="10"/>
      <c r="HV1238" s="10"/>
      <c r="HW1238" s="10"/>
      <c r="HX1238" s="10"/>
      <c r="HY1238" s="10"/>
      <c r="HZ1238" s="10"/>
      <c r="IA1238" s="10"/>
      <c r="IB1238" s="10"/>
      <c r="IC1238" s="10"/>
      <c r="ID1238" s="10"/>
      <c r="IE1238" s="10"/>
      <c r="IF1238" s="10"/>
      <c r="IG1238" s="10"/>
      <c r="IH1238" s="10"/>
      <c r="II1238" s="10"/>
      <c r="IJ1238" s="10"/>
      <c r="IK1238" s="10"/>
      <c r="IL1238" s="10"/>
      <c r="IM1238" s="10"/>
      <c r="IN1238" s="10"/>
      <c r="IO1238" s="10"/>
      <c r="IP1238" s="10"/>
      <c r="IQ1238" s="10"/>
      <c r="IR1238" s="10"/>
      <c r="IS1238" s="10"/>
      <c r="IT1238" s="10"/>
      <c r="IU1238" s="10"/>
      <c r="IV1238" s="10"/>
    </row>
    <row r="1239" spans="12:256" x14ac:dyDescent="0.2">
      <c r="L1239" s="5"/>
      <c r="BL1239"/>
      <c r="BM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  <c r="IC1239"/>
      <c r="ID1239"/>
      <c r="IE1239"/>
      <c r="IF1239"/>
      <c r="IG1239"/>
      <c r="IH1239"/>
      <c r="II1239"/>
      <c r="IJ1239"/>
      <c r="IK1239"/>
      <c r="IL1239"/>
      <c r="IM1239"/>
      <c r="IN1239"/>
      <c r="IO1239"/>
      <c r="IP1239"/>
      <c r="IQ1239"/>
      <c r="IR1239"/>
      <c r="IS1239"/>
      <c r="IT1239"/>
      <c r="IU1239"/>
      <c r="IV1239"/>
    </row>
    <row r="1240" spans="12:256" x14ac:dyDescent="0.2">
      <c r="L1240" s="5"/>
      <c r="BJ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  <c r="ID1240"/>
      <c r="IE1240"/>
      <c r="IF1240"/>
      <c r="IG1240"/>
      <c r="IH1240"/>
      <c r="II1240"/>
      <c r="IJ1240"/>
      <c r="IK1240"/>
      <c r="IL1240"/>
      <c r="IM1240"/>
      <c r="IN1240"/>
      <c r="IO1240"/>
      <c r="IP1240"/>
      <c r="IQ1240"/>
      <c r="IR1240"/>
      <c r="IS1240"/>
      <c r="IT1240"/>
      <c r="IU1240"/>
      <c r="IV1240"/>
    </row>
    <row r="1241" spans="12:256" x14ac:dyDescent="0.2">
      <c r="L1241" s="5"/>
      <c r="BJ1241"/>
      <c r="BO1241" s="10"/>
      <c r="BP1241" s="10"/>
      <c r="BQ1241" s="10"/>
      <c r="BR1241" s="10"/>
      <c r="BS1241" s="10"/>
      <c r="BT1241" s="10"/>
      <c r="BU1241" s="10"/>
      <c r="BV1241" s="10"/>
      <c r="BW1241" s="10"/>
      <c r="BX1241" s="10"/>
      <c r="BY1241" s="10"/>
      <c r="BZ1241" s="10"/>
      <c r="CA1241" s="10"/>
      <c r="CB1241" s="10"/>
      <c r="CC1241" s="10"/>
      <c r="CD1241" s="10"/>
      <c r="CE1241" s="10"/>
      <c r="CF1241" s="10"/>
      <c r="CG1241" s="10"/>
      <c r="CH1241" s="10"/>
      <c r="CI1241" s="10"/>
      <c r="CJ1241" s="10"/>
      <c r="CK1241" s="10"/>
      <c r="CL1241" s="10"/>
      <c r="CM1241" s="10"/>
      <c r="CN1241" s="10"/>
      <c r="CO1241" s="10"/>
      <c r="CP1241" s="10"/>
      <c r="CQ1241" s="10"/>
      <c r="CR1241" s="10"/>
      <c r="CS1241" s="10"/>
      <c r="CT1241" s="10"/>
      <c r="CU1241" s="10"/>
      <c r="CV1241" s="10"/>
      <c r="CW1241" s="10"/>
      <c r="CX1241" s="10"/>
      <c r="CY1241" s="10"/>
      <c r="CZ1241" s="10"/>
      <c r="DA1241" s="10"/>
      <c r="DB1241" s="10"/>
      <c r="DC1241" s="10"/>
      <c r="DD1241" s="10"/>
      <c r="DE1241" s="10"/>
      <c r="DF1241" s="10"/>
      <c r="DG1241" s="10"/>
      <c r="DH1241" s="10"/>
      <c r="DI1241" s="10"/>
      <c r="DJ1241" s="10"/>
      <c r="DK1241" s="10"/>
      <c r="DL1241" s="10"/>
      <c r="DM1241" s="10"/>
      <c r="DN1241" s="10"/>
      <c r="DO1241" s="10"/>
      <c r="DP1241" s="10"/>
      <c r="DQ1241" s="10"/>
      <c r="DR1241" s="10"/>
      <c r="DS1241" s="10"/>
      <c r="DT1241" s="10"/>
      <c r="DU1241" s="10"/>
      <c r="DV1241" s="10"/>
      <c r="DW1241" s="10"/>
      <c r="DX1241" s="10"/>
      <c r="DY1241" s="10"/>
      <c r="DZ1241" s="10"/>
      <c r="EA1241" s="10"/>
      <c r="EB1241" s="10"/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  <c r="GV1241" s="10"/>
      <c r="GW1241" s="10"/>
      <c r="GX1241" s="10"/>
      <c r="GY1241" s="10"/>
      <c r="GZ1241" s="10"/>
      <c r="HA1241" s="10"/>
      <c r="HB1241" s="10"/>
      <c r="HC1241" s="10"/>
      <c r="HD1241" s="10"/>
      <c r="HE1241" s="10"/>
      <c r="HF1241" s="10"/>
      <c r="HG1241" s="10"/>
      <c r="HH1241" s="10"/>
      <c r="HI1241" s="10"/>
      <c r="HJ1241" s="10"/>
      <c r="HK1241" s="10"/>
      <c r="HL1241" s="10"/>
      <c r="HM1241" s="10"/>
      <c r="HN1241" s="10"/>
      <c r="HO1241" s="10"/>
      <c r="HP1241" s="10"/>
      <c r="HQ1241" s="10"/>
      <c r="HR1241" s="10"/>
      <c r="HS1241" s="10"/>
      <c r="HT1241" s="10"/>
      <c r="HU1241" s="10"/>
      <c r="HV1241" s="10"/>
      <c r="HW1241" s="10"/>
      <c r="HX1241" s="10"/>
      <c r="HY1241" s="10"/>
      <c r="HZ1241" s="10"/>
      <c r="IA1241" s="10"/>
      <c r="IB1241" s="10"/>
      <c r="IC1241" s="10"/>
      <c r="ID1241" s="10"/>
      <c r="IE1241" s="10"/>
      <c r="IF1241" s="10"/>
      <c r="IG1241" s="10"/>
      <c r="IH1241" s="10"/>
      <c r="II1241" s="10"/>
      <c r="IJ1241" s="10"/>
      <c r="IK1241" s="10"/>
      <c r="IL1241" s="10"/>
      <c r="IM1241" s="10"/>
      <c r="IN1241" s="10"/>
      <c r="IO1241" s="10"/>
      <c r="IP1241" s="10"/>
      <c r="IQ1241" s="10"/>
      <c r="IR1241" s="10"/>
      <c r="IS1241" s="10"/>
      <c r="IT1241" s="10"/>
      <c r="IU1241" s="10"/>
      <c r="IV1241" s="10"/>
    </row>
    <row r="1242" spans="12:256" x14ac:dyDescent="0.2">
      <c r="L1242" s="5"/>
      <c r="BJ1242"/>
      <c r="BO1242" s="10"/>
      <c r="BP1242" s="10"/>
      <c r="BQ1242" s="10"/>
      <c r="BR1242" s="10"/>
      <c r="BS1242" s="10"/>
      <c r="BT1242" s="10"/>
      <c r="BU1242" s="10"/>
      <c r="BV1242" s="10"/>
      <c r="BW1242" s="10"/>
      <c r="BX1242" s="10"/>
      <c r="BY1242" s="10"/>
      <c r="BZ1242" s="10"/>
      <c r="CA1242" s="10"/>
      <c r="CB1242" s="10"/>
      <c r="CC1242" s="10"/>
      <c r="CD1242" s="10"/>
      <c r="CE1242" s="10"/>
      <c r="CF1242" s="10"/>
      <c r="CG1242" s="10"/>
      <c r="CH1242" s="10"/>
      <c r="CI1242" s="10"/>
      <c r="CJ1242" s="10"/>
      <c r="CK1242" s="10"/>
      <c r="CL1242" s="10"/>
      <c r="CM1242" s="10"/>
      <c r="CN1242" s="10"/>
      <c r="CO1242" s="10"/>
      <c r="CP1242" s="10"/>
      <c r="CQ1242" s="10"/>
      <c r="CR1242" s="10"/>
      <c r="CS1242" s="10"/>
      <c r="CT1242" s="10"/>
      <c r="CU1242" s="10"/>
      <c r="CV1242" s="10"/>
      <c r="CW1242" s="10"/>
      <c r="CX1242" s="10"/>
      <c r="CY1242" s="10"/>
      <c r="CZ1242" s="10"/>
      <c r="DA1242" s="10"/>
      <c r="DB1242" s="10"/>
      <c r="DC1242" s="10"/>
      <c r="DD1242" s="10"/>
      <c r="DE1242" s="10"/>
      <c r="DF1242" s="10"/>
      <c r="DG1242" s="10"/>
      <c r="DH1242" s="10"/>
      <c r="DI1242" s="10"/>
      <c r="DJ1242" s="10"/>
      <c r="DK1242" s="10"/>
      <c r="DL1242" s="10"/>
      <c r="DM1242" s="10"/>
      <c r="DN1242" s="10"/>
      <c r="DO1242" s="10"/>
      <c r="DP1242" s="10"/>
      <c r="DQ1242" s="10"/>
      <c r="DR1242" s="10"/>
      <c r="DS1242" s="10"/>
      <c r="DT1242" s="10"/>
      <c r="DU1242" s="10"/>
      <c r="DV1242" s="10"/>
      <c r="DW1242" s="10"/>
      <c r="DX1242" s="10"/>
      <c r="DY1242" s="10"/>
      <c r="DZ1242" s="10"/>
      <c r="EA1242" s="10"/>
      <c r="EB1242" s="10"/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  <c r="GV1242" s="10"/>
      <c r="GW1242" s="10"/>
      <c r="GX1242" s="10"/>
      <c r="GY1242" s="10"/>
      <c r="GZ1242" s="10"/>
      <c r="HA1242" s="10"/>
      <c r="HB1242" s="10"/>
      <c r="HC1242" s="10"/>
      <c r="HD1242" s="10"/>
      <c r="HE1242" s="10"/>
      <c r="HF1242" s="10"/>
      <c r="HG1242" s="10"/>
      <c r="HH1242" s="10"/>
      <c r="HI1242" s="10"/>
      <c r="HJ1242" s="10"/>
      <c r="HK1242" s="10"/>
      <c r="HL1242" s="10"/>
      <c r="HM1242" s="10"/>
      <c r="HN1242" s="10"/>
      <c r="HO1242" s="10"/>
      <c r="HP1242" s="10"/>
      <c r="HQ1242" s="10"/>
      <c r="HR1242" s="10"/>
      <c r="HS1242" s="10"/>
      <c r="HT1242" s="10"/>
      <c r="HU1242" s="10"/>
      <c r="HV1242" s="10"/>
      <c r="HW1242" s="10"/>
      <c r="HX1242" s="10"/>
      <c r="HY1242" s="10"/>
      <c r="HZ1242" s="10"/>
      <c r="IA1242" s="10"/>
      <c r="IB1242" s="10"/>
      <c r="IC1242" s="10"/>
      <c r="ID1242" s="10"/>
      <c r="IE1242" s="10"/>
      <c r="IF1242" s="10"/>
      <c r="IG1242" s="10"/>
      <c r="IH1242" s="10"/>
      <c r="II1242" s="10"/>
      <c r="IJ1242" s="10"/>
      <c r="IK1242" s="10"/>
      <c r="IL1242" s="10"/>
      <c r="IM1242" s="10"/>
      <c r="IN1242" s="10"/>
      <c r="IO1242" s="10"/>
      <c r="IP1242" s="10"/>
      <c r="IQ1242" s="10"/>
      <c r="IR1242" s="10"/>
      <c r="IS1242" s="10"/>
      <c r="IT1242" s="10"/>
      <c r="IU1242" s="10"/>
      <c r="IV1242" s="10"/>
    </row>
    <row r="1243" spans="12:256" x14ac:dyDescent="0.2">
      <c r="L1243" s="5"/>
      <c r="BJ1243"/>
      <c r="BL1243"/>
      <c r="BM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  <c r="HR1243"/>
      <c r="HS1243"/>
      <c r="HT1243"/>
      <c r="HU1243"/>
      <c r="HV1243"/>
      <c r="HW1243"/>
      <c r="HX1243"/>
      <c r="HY1243"/>
      <c r="HZ1243"/>
      <c r="IA1243"/>
      <c r="IB1243"/>
      <c r="IC1243"/>
      <c r="ID1243"/>
      <c r="IE1243"/>
      <c r="IF1243"/>
      <c r="IG1243"/>
      <c r="IH1243"/>
      <c r="II1243"/>
      <c r="IJ1243"/>
      <c r="IK1243"/>
      <c r="IL1243"/>
      <c r="IM1243"/>
      <c r="IN1243"/>
      <c r="IO1243"/>
      <c r="IP1243"/>
      <c r="IQ1243"/>
      <c r="IR1243"/>
      <c r="IS1243"/>
      <c r="IT1243"/>
      <c r="IU1243"/>
      <c r="IV1243"/>
    </row>
    <row r="1244" spans="12:256" x14ac:dyDescent="0.2">
      <c r="L1244" s="5"/>
      <c r="BJ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  <c r="IC1244"/>
      <c r="ID1244"/>
      <c r="IE1244"/>
      <c r="IF1244"/>
      <c r="IG1244"/>
      <c r="IH1244"/>
      <c r="II1244"/>
      <c r="IJ1244"/>
      <c r="IK1244"/>
      <c r="IL1244"/>
      <c r="IM1244"/>
      <c r="IN1244"/>
      <c r="IO1244"/>
      <c r="IP1244"/>
      <c r="IQ1244"/>
      <c r="IR1244"/>
      <c r="IS1244"/>
      <c r="IT1244"/>
      <c r="IU1244"/>
      <c r="IV1244"/>
    </row>
    <row r="1245" spans="12:256" x14ac:dyDescent="0.2">
      <c r="L1245" s="5"/>
      <c r="BJ1245"/>
      <c r="BO1245" s="10"/>
      <c r="BP1245" s="10"/>
      <c r="BQ1245" s="10"/>
      <c r="BR1245" s="10"/>
      <c r="BS1245" s="10"/>
      <c r="BT1245" s="10"/>
      <c r="BU1245" s="10"/>
      <c r="BV1245" s="10"/>
      <c r="BW1245" s="10"/>
      <c r="BX1245" s="10"/>
      <c r="BY1245" s="10"/>
      <c r="BZ1245" s="10"/>
      <c r="CA1245" s="10"/>
      <c r="CB1245" s="10"/>
      <c r="CC1245" s="10"/>
      <c r="CD1245" s="10"/>
      <c r="CE1245" s="10"/>
      <c r="CF1245" s="10"/>
      <c r="CG1245" s="10"/>
      <c r="CH1245" s="10"/>
      <c r="CI1245" s="10"/>
      <c r="CJ1245" s="10"/>
      <c r="CK1245" s="10"/>
      <c r="CL1245" s="10"/>
      <c r="CM1245" s="10"/>
      <c r="CN1245" s="10"/>
      <c r="CO1245" s="10"/>
      <c r="CP1245" s="10"/>
      <c r="CQ1245" s="10"/>
      <c r="CR1245" s="10"/>
      <c r="CS1245" s="10"/>
      <c r="CT1245" s="10"/>
      <c r="CU1245" s="10"/>
      <c r="CV1245" s="10"/>
      <c r="CW1245" s="10"/>
      <c r="CX1245" s="10"/>
      <c r="CY1245" s="10"/>
      <c r="CZ1245" s="10"/>
      <c r="DA1245" s="10"/>
      <c r="DB1245" s="10"/>
      <c r="DC1245" s="10"/>
      <c r="DD1245" s="10"/>
      <c r="DE1245" s="10"/>
      <c r="DF1245" s="10"/>
      <c r="DG1245" s="10"/>
      <c r="DH1245" s="10"/>
      <c r="DI1245" s="10"/>
      <c r="DJ1245" s="10"/>
      <c r="DK1245" s="10"/>
      <c r="DL1245" s="10"/>
      <c r="DM1245" s="10"/>
      <c r="DN1245" s="10"/>
      <c r="DO1245" s="10"/>
      <c r="DP1245" s="10"/>
      <c r="DQ1245" s="10"/>
      <c r="DR1245" s="10"/>
      <c r="DS1245" s="10"/>
      <c r="DT1245" s="10"/>
      <c r="DU1245" s="10"/>
      <c r="DV1245" s="10"/>
      <c r="DW1245" s="10"/>
      <c r="DX1245" s="10"/>
      <c r="DY1245" s="10"/>
      <c r="DZ1245" s="10"/>
      <c r="EA1245" s="10"/>
      <c r="EB1245" s="10"/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  <c r="GV1245" s="10"/>
      <c r="GW1245" s="10"/>
      <c r="GX1245" s="10"/>
      <c r="GY1245" s="10"/>
      <c r="GZ1245" s="10"/>
      <c r="HA1245" s="10"/>
      <c r="HB1245" s="10"/>
      <c r="HC1245" s="10"/>
      <c r="HD1245" s="10"/>
      <c r="HE1245" s="10"/>
      <c r="HF1245" s="10"/>
      <c r="HG1245" s="10"/>
      <c r="HH1245" s="10"/>
      <c r="HI1245" s="10"/>
      <c r="HJ1245" s="10"/>
      <c r="HK1245" s="10"/>
      <c r="HL1245" s="10"/>
      <c r="HM1245" s="10"/>
      <c r="HN1245" s="10"/>
      <c r="HO1245" s="10"/>
      <c r="HP1245" s="10"/>
      <c r="HQ1245" s="10"/>
      <c r="HR1245" s="10"/>
      <c r="HS1245" s="10"/>
      <c r="HT1245" s="10"/>
      <c r="HU1245" s="10"/>
      <c r="HV1245" s="10"/>
      <c r="HW1245" s="10"/>
      <c r="HX1245" s="10"/>
      <c r="HY1245" s="10"/>
      <c r="HZ1245" s="10"/>
      <c r="IA1245" s="10"/>
      <c r="IB1245" s="10"/>
      <c r="IC1245" s="10"/>
      <c r="ID1245" s="10"/>
      <c r="IE1245" s="10"/>
      <c r="IF1245" s="10"/>
      <c r="IG1245" s="10"/>
      <c r="IH1245" s="10"/>
      <c r="II1245" s="10"/>
      <c r="IJ1245" s="10"/>
      <c r="IK1245" s="10"/>
      <c r="IL1245" s="10"/>
      <c r="IM1245" s="10"/>
      <c r="IN1245" s="10"/>
      <c r="IO1245" s="10"/>
      <c r="IP1245" s="10"/>
      <c r="IQ1245" s="10"/>
      <c r="IR1245" s="10"/>
      <c r="IS1245" s="10"/>
      <c r="IT1245" s="10"/>
      <c r="IU1245" s="10"/>
      <c r="IV1245" s="10"/>
    </row>
    <row r="1246" spans="12:256" x14ac:dyDescent="0.2">
      <c r="L1246" s="5"/>
      <c r="BJ1246"/>
      <c r="BO1246" s="10"/>
      <c r="BP1246" s="10"/>
      <c r="BQ1246" s="10"/>
      <c r="BR1246" s="10"/>
      <c r="BS1246" s="10"/>
      <c r="BT1246" s="10"/>
      <c r="BU1246" s="10"/>
      <c r="BV1246" s="10"/>
      <c r="BW1246" s="10"/>
      <c r="BX1246" s="10"/>
      <c r="BY1246" s="10"/>
      <c r="BZ1246" s="10"/>
      <c r="CA1246" s="10"/>
      <c r="CB1246" s="10"/>
      <c r="CC1246" s="10"/>
      <c r="CD1246" s="10"/>
      <c r="CE1246" s="10"/>
      <c r="CF1246" s="10"/>
      <c r="CG1246" s="10"/>
      <c r="CH1246" s="10"/>
      <c r="CI1246" s="10"/>
      <c r="CJ1246" s="10"/>
      <c r="CK1246" s="10"/>
      <c r="CL1246" s="10"/>
      <c r="CM1246" s="10"/>
      <c r="CN1246" s="10"/>
      <c r="CO1246" s="10"/>
      <c r="CP1246" s="10"/>
      <c r="CQ1246" s="10"/>
      <c r="CR1246" s="10"/>
      <c r="CS1246" s="10"/>
      <c r="CT1246" s="10"/>
      <c r="CU1246" s="10"/>
      <c r="CV1246" s="10"/>
      <c r="CW1246" s="10"/>
      <c r="CX1246" s="10"/>
      <c r="CY1246" s="10"/>
      <c r="CZ1246" s="10"/>
      <c r="DA1246" s="10"/>
      <c r="DB1246" s="10"/>
      <c r="DC1246" s="10"/>
      <c r="DD1246" s="10"/>
      <c r="DE1246" s="10"/>
      <c r="DF1246" s="10"/>
      <c r="DG1246" s="10"/>
      <c r="DH1246" s="10"/>
      <c r="DI1246" s="10"/>
      <c r="DJ1246" s="10"/>
      <c r="DK1246" s="10"/>
      <c r="DL1246" s="10"/>
      <c r="DM1246" s="10"/>
      <c r="DN1246" s="10"/>
      <c r="DO1246" s="10"/>
      <c r="DP1246" s="10"/>
      <c r="DQ1246" s="10"/>
      <c r="DR1246" s="10"/>
      <c r="DS1246" s="10"/>
      <c r="DT1246" s="10"/>
      <c r="DU1246" s="10"/>
      <c r="DV1246" s="10"/>
      <c r="DW1246" s="10"/>
      <c r="DX1246" s="10"/>
      <c r="DY1246" s="10"/>
      <c r="DZ1246" s="10"/>
      <c r="EA1246" s="10"/>
      <c r="EB1246" s="10"/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  <c r="GV1246" s="10"/>
      <c r="GW1246" s="10"/>
      <c r="GX1246" s="10"/>
      <c r="GY1246" s="10"/>
      <c r="GZ1246" s="10"/>
      <c r="HA1246" s="10"/>
      <c r="HB1246" s="10"/>
      <c r="HC1246" s="10"/>
      <c r="HD1246" s="10"/>
      <c r="HE1246" s="10"/>
      <c r="HF1246" s="10"/>
      <c r="HG1246" s="10"/>
      <c r="HH1246" s="10"/>
      <c r="HI1246" s="10"/>
      <c r="HJ1246" s="10"/>
      <c r="HK1246" s="10"/>
      <c r="HL1246" s="10"/>
      <c r="HM1246" s="10"/>
      <c r="HN1246" s="10"/>
      <c r="HO1246" s="10"/>
      <c r="HP1246" s="10"/>
      <c r="HQ1246" s="10"/>
      <c r="HR1246" s="10"/>
      <c r="HS1246" s="10"/>
      <c r="HT1246" s="10"/>
      <c r="HU1246" s="10"/>
      <c r="HV1246" s="10"/>
      <c r="HW1246" s="10"/>
      <c r="HX1246" s="10"/>
      <c r="HY1246" s="10"/>
      <c r="HZ1246" s="10"/>
      <c r="IA1246" s="10"/>
      <c r="IB1246" s="10"/>
      <c r="IC1246" s="10"/>
      <c r="ID1246" s="10"/>
      <c r="IE1246" s="10"/>
      <c r="IF1246" s="10"/>
      <c r="IG1246" s="10"/>
      <c r="IH1246" s="10"/>
      <c r="II1246" s="10"/>
      <c r="IJ1246" s="10"/>
      <c r="IK1246" s="10"/>
      <c r="IL1246" s="10"/>
      <c r="IM1246" s="10"/>
      <c r="IN1246" s="10"/>
      <c r="IO1246" s="10"/>
      <c r="IP1246" s="10"/>
      <c r="IQ1246" s="10"/>
      <c r="IR1246" s="10"/>
      <c r="IS1246" s="10"/>
      <c r="IT1246" s="10"/>
      <c r="IU1246" s="10"/>
      <c r="IV1246" s="10"/>
    </row>
    <row r="1247" spans="12:256" x14ac:dyDescent="0.2">
      <c r="L1247" s="5"/>
      <c r="BJ1247"/>
      <c r="BL1247"/>
      <c r="BM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  <c r="II1247"/>
      <c r="IJ1247"/>
      <c r="IK1247"/>
      <c r="IL1247"/>
      <c r="IM1247"/>
      <c r="IN1247"/>
      <c r="IO1247"/>
      <c r="IP1247"/>
      <c r="IQ1247"/>
      <c r="IR1247"/>
      <c r="IS1247"/>
      <c r="IT1247"/>
      <c r="IU1247"/>
      <c r="IV1247"/>
    </row>
    <row r="1248" spans="12:256" x14ac:dyDescent="0.2">
      <c r="L1248" s="5"/>
      <c r="BJ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  <c r="ID1248"/>
      <c r="IE1248"/>
      <c r="IF1248"/>
      <c r="IG1248"/>
      <c r="IH1248"/>
      <c r="II1248"/>
      <c r="IJ1248"/>
      <c r="IK1248"/>
      <c r="IL1248"/>
      <c r="IM1248"/>
      <c r="IN1248"/>
      <c r="IO1248"/>
      <c r="IP1248"/>
      <c r="IQ1248"/>
      <c r="IR1248"/>
      <c r="IS1248"/>
      <c r="IT1248"/>
      <c r="IU1248"/>
      <c r="IV1248"/>
    </row>
    <row r="1249" spans="12:256" x14ac:dyDescent="0.2">
      <c r="L1249" s="5"/>
      <c r="BJ1249"/>
      <c r="BO1249" s="10"/>
      <c r="BP1249" s="10"/>
      <c r="BQ1249" s="10"/>
      <c r="BR1249" s="10"/>
      <c r="BS1249" s="10"/>
      <c r="BT1249" s="10"/>
      <c r="BU1249" s="10"/>
      <c r="BV1249" s="10"/>
      <c r="BW1249" s="10"/>
      <c r="BX1249" s="10"/>
      <c r="BY1249" s="10"/>
      <c r="BZ1249" s="10"/>
      <c r="CA1249" s="10"/>
      <c r="CB1249" s="10"/>
      <c r="CC1249" s="10"/>
      <c r="CD1249" s="10"/>
      <c r="CE1249" s="10"/>
      <c r="CF1249" s="10"/>
      <c r="CG1249" s="10"/>
      <c r="CH1249" s="10"/>
      <c r="CI1249" s="10"/>
      <c r="CJ1249" s="10"/>
      <c r="CK1249" s="10"/>
      <c r="CL1249" s="10"/>
      <c r="CM1249" s="10"/>
      <c r="CN1249" s="10"/>
      <c r="CO1249" s="10"/>
      <c r="CP1249" s="10"/>
      <c r="CQ1249" s="10"/>
      <c r="CR1249" s="10"/>
      <c r="CS1249" s="10"/>
      <c r="CT1249" s="10"/>
      <c r="CU1249" s="10"/>
      <c r="CV1249" s="10"/>
      <c r="CW1249" s="10"/>
      <c r="CX1249" s="10"/>
      <c r="CY1249" s="10"/>
      <c r="CZ1249" s="10"/>
      <c r="DA1249" s="10"/>
      <c r="DB1249" s="10"/>
      <c r="DC1249" s="10"/>
      <c r="DD1249" s="10"/>
      <c r="DE1249" s="10"/>
      <c r="DF1249" s="10"/>
      <c r="DG1249" s="10"/>
      <c r="DH1249" s="10"/>
      <c r="DI1249" s="10"/>
      <c r="DJ1249" s="10"/>
      <c r="DK1249" s="10"/>
      <c r="DL1249" s="10"/>
      <c r="DM1249" s="10"/>
      <c r="DN1249" s="10"/>
      <c r="DO1249" s="10"/>
      <c r="DP1249" s="10"/>
      <c r="DQ1249" s="10"/>
      <c r="DR1249" s="10"/>
      <c r="DS1249" s="10"/>
      <c r="DT1249" s="10"/>
      <c r="DU1249" s="10"/>
      <c r="DV1249" s="10"/>
      <c r="DW1249" s="10"/>
      <c r="DX1249" s="10"/>
      <c r="DY1249" s="10"/>
      <c r="DZ1249" s="10"/>
      <c r="EA1249" s="10"/>
      <c r="EB1249" s="10"/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  <c r="GV1249" s="10"/>
      <c r="GW1249" s="10"/>
      <c r="GX1249" s="10"/>
      <c r="GY1249" s="10"/>
      <c r="GZ1249" s="10"/>
      <c r="HA1249" s="10"/>
      <c r="HB1249" s="10"/>
      <c r="HC1249" s="10"/>
      <c r="HD1249" s="10"/>
      <c r="HE1249" s="10"/>
      <c r="HF1249" s="10"/>
      <c r="HG1249" s="10"/>
      <c r="HH1249" s="10"/>
      <c r="HI1249" s="10"/>
      <c r="HJ1249" s="10"/>
      <c r="HK1249" s="10"/>
      <c r="HL1249" s="10"/>
      <c r="HM1249" s="10"/>
      <c r="HN1249" s="10"/>
      <c r="HO1249" s="10"/>
      <c r="HP1249" s="10"/>
      <c r="HQ1249" s="10"/>
      <c r="HR1249" s="10"/>
      <c r="HS1249" s="10"/>
      <c r="HT1249" s="10"/>
      <c r="HU1249" s="10"/>
      <c r="HV1249" s="10"/>
      <c r="HW1249" s="10"/>
      <c r="HX1249" s="10"/>
      <c r="HY1249" s="10"/>
      <c r="HZ1249" s="10"/>
      <c r="IA1249" s="10"/>
      <c r="IB1249" s="10"/>
      <c r="IC1249" s="10"/>
      <c r="ID1249" s="10"/>
      <c r="IE1249" s="10"/>
      <c r="IF1249" s="10"/>
      <c r="IG1249" s="10"/>
      <c r="IH1249" s="10"/>
      <c r="II1249" s="10"/>
      <c r="IJ1249" s="10"/>
      <c r="IK1249" s="10"/>
      <c r="IL1249" s="10"/>
      <c r="IM1249" s="10"/>
      <c r="IN1249" s="10"/>
      <c r="IO1249" s="10"/>
      <c r="IP1249" s="10"/>
      <c r="IQ1249" s="10"/>
      <c r="IR1249" s="10"/>
      <c r="IS1249" s="10"/>
      <c r="IT1249" s="10"/>
      <c r="IU1249" s="10"/>
      <c r="IV1249" s="10"/>
    </row>
    <row r="1250" spans="12:256" x14ac:dyDescent="0.2">
      <c r="L1250" s="5"/>
      <c r="BJ1250"/>
      <c r="BO1250" s="10"/>
      <c r="BP1250" s="10"/>
      <c r="BQ1250" s="10"/>
      <c r="BR1250" s="10"/>
      <c r="BS1250" s="10"/>
      <c r="BT1250" s="10"/>
      <c r="BU1250" s="10"/>
      <c r="BV1250" s="10"/>
      <c r="BW1250" s="10"/>
      <c r="BX1250" s="10"/>
      <c r="BY1250" s="10"/>
      <c r="BZ1250" s="10"/>
      <c r="CA1250" s="10"/>
      <c r="CB1250" s="10"/>
      <c r="CC1250" s="10"/>
      <c r="CD1250" s="10"/>
      <c r="CE1250" s="10"/>
      <c r="CF1250" s="10"/>
      <c r="CG1250" s="10"/>
      <c r="CH1250" s="10"/>
      <c r="CI1250" s="10"/>
      <c r="CJ1250" s="10"/>
      <c r="CK1250" s="10"/>
      <c r="CL1250" s="10"/>
      <c r="CM1250" s="10"/>
      <c r="CN1250" s="10"/>
      <c r="CO1250" s="10"/>
      <c r="CP1250" s="10"/>
      <c r="CQ1250" s="10"/>
      <c r="CR1250" s="10"/>
      <c r="CS1250" s="10"/>
      <c r="CT1250" s="10"/>
      <c r="CU1250" s="10"/>
      <c r="CV1250" s="10"/>
      <c r="CW1250" s="10"/>
      <c r="CX1250" s="10"/>
      <c r="CY1250" s="10"/>
      <c r="CZ1250" s="10"/>
      <c r="DA1250" s="10"/>
      <c r="DB1250" s="10"/>
      <c r="DC1250" s="10"/>
      <c r="DD1250" s="10"/>
      <c r="DE1250" s="10"/>
      <c r="DF1250" s="10"/>
      <c r="DG1250" s="10"/>
      <c r="DH1250" s="10"/>
      <c r="DI1250" s="10"/>
      <c r="DJ1250" s="10"/>
      <c r="DK1250" s="10"/>
      <c r="DL1250" s="10"/>
      <c r="DM1250" s="10"/>
      <c r="DN1250" s="10"/>
      <c r="DO1250" s="10"/>
      <c r="DP1250" s="10"/>
      <c r="DQ1250" s="10"/>
      <c r="DR1250" s="10"/>
      <c r="DS1250" s="10"/>
      <c r="DT1250" s="10"/>
      <c r="DU1250" s="10"/>
      <c r="DV1250" s="10"/>
      <c r="DW1250" s="10"/>
      <c r="DX1250" s="10"/>
      <c r="DY1250" s="10"/>
      <c r="DZ1250" s="10"/>
      <c r="EA1250" s="10"/>
      <c r="EB1250" s="10"/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  <c r="GV1250" s="10"/>
      <c r="GW1250" s="10"/>
      <c r="GX1250" s="10"/>
      <c r="GY1250" s="10"/>
      <c r="GZ1250" s="10"/>
      <c r="HA1250" s="10"/>
      <c r="HB1250" s="10"/>
      <c r="HC1250" s="10"/>
      <c r="HD1250" s="10"/>
      <c r="HE1250" s="10"/>
      <c r="HF1250" s="10"/>
      <c r="HG1250" s="10"/>
      <c r="HH1250" s="10"/>
      <c r="HI1250" s="10"/>
      <c r="HJ1250" s="10"/>
      <c r="HK1250" s="10"/>
      <c r="HL1250" s="10"/>
      <c r="HM1250" s="10"/>
      <c r="HN1250" s="10"/>
      <c r="HO1250" s="10"/>
      <c r="HP1250" s="10"/>
      <c r="HQ1250" s="10"/>
      <c r="HR1250" s="10"/>
      <c r="HS1250" s="10"/>
      <c r="HT1250" s="10"/>
      <c r="HU1250" s="10"/>
      <c r="HV1250" s="10"/>
      <c r="HW1250" s="10"/>
      <c r="HX1250" s="10"/>
      <c r="HY1250" s="10"/>
      <c r="HZ1250" s="10"/>
      <c r="IA1250" s="10"/>
      <c r="IB1250" s="10"/>
      <c r="IC1250" s="10"/>
      <c r="ID1250" s="10"/>
      <c r="IE1250" s="10"/>
      <c r="IF1250" s="10"/>
      <c r="IG1250" s="10"/>
      <c r="IH1250" s="10"/>
      <c r="II1250" s="10"/>
      <c r="IJ1250" s="10"/>
      <c r="IK1250" s="10"/>
      <c r="IL1250" s="10"/>
      <c r="IM1250" s="10"/>
      <c r="IN1250" s="10"/>
      <c r="IO1250" s="10"/>
      <c r="IP1250" s="10"/>
      <c r="IQ1250" s="10"/>
      <c r="IR1250" s="10"/>
      <c r="IS1250" s="10"/>
      <c r="IT1250" s="10"/>
      <c r="IU1250" s="10"/>
      <c r="IV1250" s="10"/>
    </row>
    <row r="1251" spans="12:256" x14ac:dyDescent="0.2">
      <c r="L1251" s="5"/>
      <c r="BJ1251"/>
      <c r="DN1251" s="10"/>
      <c r="DO1251" s="10"/>
      <c r="DP1251" s="10"/>
      <c r="DQ1251" s="10"/>
      <c r="DR1251" s="10"/>
      <c r="DS1251" s="10"/>
      <c r="DT1251" s="10"/>
      <c r="DU1251" s="10"/>
      <c r="DV1251" s="10"/>
      <c r="DW1251" s="10"/>
      <c r="DX1251" s="10"/>
      <c r="DY1251" s="10"/>
      <c r="DZ1251" s="10"/>
      <c r="EA1251" s="10"/>
      <c r="EB1251" s="10"/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</row>
    <row r="1252" spans="12:256" x14ac:dyDescent="0.2">
      <c r="L1252" s="5"/>
      <c r="BJ1252"/>
      <c r="BX1252" s="10"/>
      <c r="BY1252" s="10"/>
      <c r="BZ1252" s="10"/>
      <c r="CA1252" s="10"/>
      <c r="CB1252" s="10"/>
      <c r="CC1252" s="10"/>
      <c r="CD1252" s="10"/>
      <c r="CE1252" s="10"/>
      <c r="CF1252" s="10"/>
      <c r="CG1252" s="10"/>
      <c r="CH1252" s="10"/>
      <c r="CI1252" s="10"/>
      <c r="CJ1252" s="10"/>
      <c r="CK1252" s="10"/>
      <c r="CL1252" s="10"/>
      <c r="CM1252" s="10"/>
      <c r="CN1252" s="10"/>
      <c r="CO1252" s="10"/>
      <c r="CP1252" s="10"/>
      <c r="CQ1252" s="10"/>
      <c r="CR1252" s="10"/>
      <c r="CS1252" s="10"/>
      <c r="CT1252" s="10"/>
      <c r="CU1252" s="10"/>
      <c r="CV1252" s="10"/>
      <c r="CW1252" s="10"/>
      <c r="CX1252" s="10"/>
      <c r="CY1252" s="10"/>
      <c r="CZ1252" s="10"/>
      <c r="DA1252" s="10"/>
      <c r="DB1252" s="10"/>
      <c r="DC1252" s="10"/>
      <c r="DD1252" s="10"/>
      <c r="DE1252" s="10"/>
      <c r="DF1252" s="10"/>
      <c r="DG1252" s="10"/>
      <c r="DH1252" s="10"/>
      <c r="DI1252" s="10"/>
      <c r="DJ1252" s="10"/>
      <c r="DK1252" s="10"/>
      <c r="DL1252" s="10"/>
      <c r="DM1252" s="10"/>
      <c r="DN1252" s="10"/>
      <c r="DO1252" s="10"/>
      <c r="DP1252" s="10"/>
      <c r="DQ1252" s="10"/>
      <c r="DR1252" s="10"/>
      <c r="DS1252" s="10"/>
      <c r="DT1252" s="10"/>
      <c r="DU1252" s="10"/>
      <c r="DV1252" s="10"/>
      <c r="DW1252" s="10"/>
      <c r="DX1252" s="10"/>
      <c r="DY1252" s="10"/>
      <c r="DZ1252" s="10"/>
      <c r="EA1252" s="10"/>
      <c r="EB1252" s="10"/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  <c r="GV1252" s="10"/>
      <c r="GW1252" s="10"/>
      <c r="GX1252" s="10"/>
      <c r="GY1252" s="10"/>
      <c r="GZ1252" s="10"/>
      <c r="HA1252" s="10"/>
      <c r="HB1252" s="10"/>
      <c r="HC1252" s="10"/>
      <c r="HD1252" s="10"/>
      <c r="HE1252" s="10"/>
      <c r="HF1252" s="10"/>
      <c r="HG1252" s="10"/>
      <c r="HH1252" s="10"/>
      <c r="HI1252" s="10"/>
      <c r="HJ1252" s="10"/>
      <c r="HK1252" s="10"/>
      <c r="HL1252" s="10"/>
      <c r="HM1252" s="10"/>
      <c r="HN1252" s="10"/>
      <c r="HO1252" s="10"/>
      <c r="HP1252" s="10"/>
      <c r="HQ1252" s="10"/>
      <c r="HR1252" s="10"/>
      <c r="HS1252" s="10"/>
      <c r="HT1252" s="10"/>
      <c r="HU1252" s="10"/>
      <c r="HV1252" s="10"/>
      <c r="HW1252" s="10"/>
      <c r="HX1252" s="10"/>
      <c r="HY1252" s="10"/>
      <c r="HZ1252" s="10"/>
      <c r="IA1252" s="10"/>
      <c r="IB1252" s="10"/>
      <c r="IC1252" s="10"/>
      <c r="ID1252" s="10"/>
      <c r="IE1252" s="10"/>
      <c r="IF1252" s="10"/>
      <c r="IG1252" s="10"/>
      <c r="IH1252" s="10"/>
      <c r="II1252" s="10"/>
      <c r="IJ1252" s="10"/>
      <c r="IK1252" s="10"/>
      <c r="IL1252" s="10"/>
      <c r="IM1252" s="10"/>
      <c r="IN1252" s="10"/>
      <c r="IO1252" s="10"/>
      <c r="IP1252" s="10"/>
      <c r="IQ1252" s="10"/>
      <c r="IR1252" s="10"/>
      <c r="IS1252" s="10"/>
      <c r="IT1252" s="10"/>
      <c r="IU1252" s="10"/>
      <c r="IV1252" s="10"/>
    </row>
    <row r="1253" spans="12:256" x14ac:dyDescent="0.2">
      <c r="L1253" s="5"/>
      <c r="BX1253" s="10"/>
      <c r="BY1253" s="10"/>
      <c r="BZ1253" s="10"/>
      <c r="CA1253" s="10"/>
      <c r="CB1253" s="10"/>
      <c r="CC1253" s="10"/>
      <c r="CD1253" s="10"/>
      <c r="CE1253" s="10"/>
      <c r="CF1253" s="10"/>
      <c r="CG1253" s="10"/>
      <c r="CH1253" s="10"/>
      <c r="CI1253" s="10"/>
      <c r="CJ1253" s="10"/>
      <c r="CK1253" s="10"/>
      <c r="CL1253" s="10"/>
      <c r="CM1253" s="10"/>
      <c r="CN1253" s="10"/>
      <c r="CO1253" s="10"/>
      <c r="CP1253" s="10"/>
      <c r="CQ1253" s="10"/>
      <c r="CR1253" s="10"/>
      <c r="CS1253" s="10"/>
      <c r="CT1253" s="10"/>
      <c r="CU1253" s="10"/>
      <c r="CV1253" s="10"/>
      <c r="CW1253" s="10"/>
      <c r="CX1253" s="10"/>
      <c r="CY1253" s="10"/>
      <c r="CZ1253" s="10"/>
      <c r="DA1253" s="10"/>
      <c r="DB1253" s="10"/>
      <c r="DC1253" s="10"/>
      <c r="DD1253" s="10"/>
      <c r="DE1253" s="10"/>
      <c r="DF1253" s="10"/>
      <c r="DG1253" s="10"/>
      <c r="DH1253" s="10"/>
      <c r="DI1253" s="10"/>
      <c r="DJ1253" s="10"/>
      <c r="DK1253" s="10"/>
      <c r="DL1253" s="10"/>
      <c r="DM1253" s="10"/>
      <c r="DN1253" s="10"/>
      <c r="DO1253" s="10"/>
      <c r="DP1253" s="10"/>
      <c r="DQ1253" s="10"/>
      <c r="DR1253" s="10"/>
      <c r="DS1253" s="10"/>
      <c r="DT1253" s="10"/>
      <c r="DU1253" s="10"/>
      <c r="DV1253" s="10"/>
      <c r="DW1253" s="10"/>
      <c r="DX1253" s="10"/>
      <c r="DY1253" s="10"/>
      <c r="DZ1253" s="10"/>
      <c r="EA1253" s="10"/>
      <c r="EB1253" s="10"/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  <c r="GV1253" s="10"/>
      <c r="GW1253" s="10"/>
      <c r="GX1253" s="10"/>
      <c r="GY1253" s="10"/>
      <c r="GZ1253" s="10"/>
      <c r="HA1253" s="10"/>
      <c r="HB1253" s="10"/>
      <c r="HC1253" s="10"/>
      <c r="HD1253" s="10"/>
      <c r="HE1253" s="10"/>
      <c r="HF1253" s="10"/>
      <c r="HG1253" s="10"/>
      <c r="HH1253" s="10"/>
      <c r="HI1253" s="10"/>
      <c r="HJ1253" s="10"/>
      <c r="HK1253" s="10"/>
      <c r="HL1253" s="10"/>
      <c r="HM1253" s="10"/>
      <c r="HN1253" s="10"/>
      <c r="HO1253" s="10"/>
      <c r="HP1253" s="10"/>
      <c r="HQ1253" s="10"/>
      <c r="HR1253" s="10"/>
      <c r="HS1253" s="10"/>
      <c r="HT1253" s="10"/>
      <c r="HU1253" s="10"/>
      <c r="HV1253" s="10"/>
      <c r="HW1253" s="10"/>
      <c r="HX1253" s="10"/>
      <c r="HY1253" s="10"/>
      <c r="HZ1253" s="10"/>
      <c r="IA1253" s="10"/>
      <c r="IB1253" s="10"/>
      <c r="IC1253" s="10"/>
      <c r="ID1253" s="10"/>
      <c r="IE1253" s="10"/>
      <c r="IF1253" s="10"/>
      <c r="IG1253" s="10"/>
      <c r="IH1253" s="10"/>
      <c r="II1253" s="10"/>
      <c r="IJ1253" s="10"/>
      <c r="IK1253" s="10"/>
      <c r="IL1253" s="10"/>
      <c r="IM1253" s="10"/>
      <c r="IN1253" s="10"/>
      <c r="IO1253" s="10"/>
      <c r="IP1253" s="10"/>
      <c r="IQ1253" s="10"/>
      <c r="IR1253" s="10"/>
      <c r="IS1253" s="10"/>
      <c r="IT1253" s="10"/>
      <c r="IU1253" s="10"/>
      <c r="IV1253" s="10"/>
    </row>
    <row r="1254" spans="12:256" x14ac:dyDescent="0.2">
      <c r="L1254" s="5"/>
      <c r="BX1254" s="10"/>
      <c r="BY1254" s="10"/>
      <c r="BZ1254" s="10"/>
      <c r="CA1254" s="10"/>
      <c r="CB1254" s="10"/>
      <c r="CC1254" s="10"/>
      <c r="CD1254" s="10"/>
      <c r="CE1254" s="10"/>
      <c r="CF1254" s="10"/>
      <c r="CG1254" s="10"/>
      <c r="CH1254" s="10"/>
      <c r="CI1254" s="10"/>
      <c r="CJ1254" s="10"/>
      <c r="CK1254" s="10"/>
      <c r="CL1254" s="10"/>
      <c r="CM1254" s="10"/>
      <c r="CN1254" s="10"/>
      <c r="CO1254" s="10"/>
      <c r="CP1254" s="10"/>
      <c r="CQ1254" s="10"/>
      <c r="CR1254" s="10"/>
      <c r="CS1254" s="10"/>
      <c r="CT1254" s="10"/>
      <c r="CU1254" s="10"/>
      <c r="CV1254" s="10"/>
      <c r="CW1254" s="10"/>
      <c r="CX1254" s="10"/>
      <c r="CY1254" s="10"/>
      <c r="CZ1254" s="10"/>
      <c r="DA1254" s="10"/>
      <c r="DB1254" s="10"/>
      <c r="DC1254" s="10"/>
      <c r="DD1254" s="10"/>
      <c r="DE1254" s="10"/>
      <c r="DF1254" s="10"/>
      <c r="DG1254" s="10"/>
      <c r="DH1254" s="10"/>
      <c r="DI1254" s="10"/>
      <c r="DJ1254" s="10"/>
      <c r="DK1254" s="10"/>
      <c r="DL1254" s="10"/>
      <c r="DM1254" s="10"/>
      <c r="DN1254" s="10"/>
      <c r="DO1254" s="10"/>
      <c r="DP1254" s="10"/>
      <c r="DQ1254" s="10"/>
      <c r="DR1254" s="10"/>
      <c r="DS1254" s="10"/>
      <c r="DT1254" s="10"/>
      <c r="DU1254" s="10"/>
      <c r="DV1254" s="10"/>
      <c r="DW1254" s="10"/>
      <c r="DX1254" s="10"/>
      <c r="DY1254" s="10"/>
      <c r="DZ1254" s="10"/>
      <c r="EA1254" s="10"/>
      <c r="EB1254" s="10"/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  <c r="GV1254" s="10"/>
      <c r="GW1254" s="10"/>
      <c r="GX1254" s="10"/>
      <c r="GY1254" s="10"/>
      <c r="GZ1254" s="10"/>
      <c r="HA1254" s="10"/>
      <c r="HB1254" s="10"/>
      <c r="HC1254" s="10"/>
      <c r="HD1254" s="10"/>
      <c r="HE1254" s="10"/>
      <c r="HF1254" s="10"/>
      <c r="HG1254" s="10"/>
      <c r="HH1254" s="10"/>
      <c r="HI1254" s="10"/>
      <c r="HJ1254" s="10"/>
      <c r="HK1254" s="10"/>
      <c r="HL1254" s="10"/>
      <c r="HM1254" s="10"/>
      <c r="HN1254" s="10"/>
      <c r="HO1254" s="10"/>
      <c r="HP1254" s="10"/>
      <c r="HQ1254" s="10"/>
      <c r="HR1254" s="10"/>
      <c r="HS1254" s="10"/>
      <c r="HT1254" s="10"/>
      <c r="HU1254" s="10"/>
      <c r="HV1254" s="10"/>
      <c r="HW1254" s="10"/>
      <c r="HX1254" s="10"/>
      <c r="HY1254" s="10"/>
      <c r="HZ1254" s="10"/>
      <c r="IA1254" s="10"/>
      <c r="IB1254" s="10"/>
      <c r="IC1254" s="10"/>
      <c r="ID1254" s="10"/>
      <c r="IE1254" s="10"/>
      <c r="IF1254" s="10"/>
      <c r="IG1254" s="10"/>
      <c r="IH1254" s="10"/>
      <c r="II1254" s="10"/>
      <c r="IJ1254" s="10"/>
      <c r="IK1254" s="10"/>
      <c r="IL1254" s="10"/>
      <c r="IM1254" s="10"/>
      <c r="IN1254" s="10"/>
      <c r="IO1254" s="10"/>
      <c r="IP1254" s="10"/>
      <c r="IQ1254" s="10"/>
      <c r="IR1254" s="10"/>
      <c r="IS1254" s="10"/>
      <c r="IT1254" s="10"/>
      <c r="IU1254" s="10"/>
      <c r="IV1254" s="10"/>
    </row>
    <row r="1255" spans="12:256" x14ac:dyDescent="0.2">
      <c r="L1255" s="5"/>
      <c r="BX1255" s="10"/>
      <c r="BY1255" s="10"/>
      <c r="BZ1255" s="10"/>
      <c r="CA1255" s="10"/>
      <c r="CB1255" s="10"/>
      <c r="CC1255" s="10"/>
      <c r="CD1255" s="10"/>
      <c r="CE1255" s="10"/>
      <c r="CF1255" s="10"/>
      <c r="CG1255" s="10"/>
      <c r="CH1255" s="10"/>
      <c r="CI1255" s="10"/>
      <c r="CJ1255" s="10"/>
      <c r="CK1255" s="10"/>
      <c r="CL1255" s="10"/>
      <c r="CM1255" s="10"/>
      <c r="CN1255" s="10"/>
      <c r="CO1255" s="10"/>
      <c r="CP1255" s="10"/>
      <c r="CQ1255" s="10"/>
      <c r="CR1255" s="10"/>
      <c r="CS1255" s="10"/>
      <c r="CT1255" s="10"/>
      <c r="CU1255" s="10"/>
      <c r="CV1255" s="10"/>
      <c r="CW1255" s="10"/>
      <c r="CX1255" s="10"/>
      <c r="CY1255" s="10"/>
      <c r="CZ1255" s="10"/>
      <c r="DA1255" s="10"/>
      <c r="DB1255" s="10"/>
      <c r="DC1255" s="10"/>
      <c r="DD1255" s="10"/>
      <c r="DE1255" s="10"/>
      <c r="DF1255" s="10"/>
      <c r="DG1255" s="10"/>
      <c r="DH1255" s="10"/>
      <c r="DI1255" s="10"/>
      <c r="DJ1255" s="10"/>
      <c r="DK1255" s="10"/>
      <c r="DL1255" s="10"/>
      <c r="DM1255" s="10"/>
      <c r="DN1255" s="10"/>
      <c r="DO1255" s="10"/>
      <c r="DP1255" s="10"/>
      <c r="DQ1255" s="10"/>
      <c r="DR1255" s="10"/>
      <c r="DS1255" s="10"/>
      <c r="DT1255" s="10"/>
      <c r="DU1255" s="10"/>
      <c r="DV1255" s="10"/>
      <c r="DW1255" s="10"/>
      <c r="DX1255" s="10"/>
      <c r="DY1255" s="10"/>
      <c r="DZ1255" s="10"/>
      <c r="EA1255" s="10"/>
      <c r="EB1255" s="10"/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  <c r="GV1255" s="10"/>
      <c r="GW1255" s="10"/>
      <c r="GX1255" s="10"/>
      <c r="GY1255" s="10"/>
      <c r="GZ1255" s="10"/>
      <c r="HA1255" s="10"/>
      <c r="HB1255" s="10"/>
      <c r="HC1255" s="10"/>
      <c r="HD1255" s="10"/>
      <c r="HE1255" s="10"/>
      <c r="HF1255" s="10"/>
      <c r="HG1255" s="10"/>
      <c r="HH1255" s="10"/>
      <c r="HI1255" s="10"/>
      <c r="HJ1255" s="10"/>
      <c r="HK1255" s="10"/>
      <c r="HL1255" s="10"/>
      <c r="HM1255" s="10"/>
      <c r="HN1255" s="10"/>
      <c r="HO1255" s="10"/>
      <c r="HP1255" s="10"/>
      <c r="HQ1255" s="10"/>
      <c r="HR1255" s="10"/>
      <c r="HS1255" s="10"/>
      <c r="HT1255" s="10"/>
      <c r="HU1255" s="10"/>
      <c r="HV1255" s="10"/>
      <c r="HW1255" s="10"/>
      <c r="HX1255" s="10"/>
      <c r="HY1255" s="10"/>
      <c r="HZ1255" s="10"/>
      <c r="IA1255" s="10"/>
      <c r="IB1255" s="10"/>
      <c r="IC1255" s="10"/>
      <c r="ID1255" s="10"/>
      <c r="IE1255" s="10"/>
      <c r="IF1255" s="10"/>
      <c r="IG1255" s="10"/>
      <c r="IH1255" s="10"/>
      <c r="II1255" s="10"/>
      <c r="IJ1255" s="10"/>
      <c r="IK1255" s="10"/>
      <c r="IL1255" s="10"/>
      <c r="IM1255" s="10"/>
      <c r="IN1255" s="10"/>
      <c r="IO1255" s="10"/>
      <c r="IP1255" s="10"/>
      <c r="IQ1255" s="10"/>
      <c r="IR1255" s="10"/>
      <c r="IS1255" s="10"/>
      <c r="IT1255" s="10"/>
      <c r="IU1255" s="10"/>
      <c r="IV1255" s="10"/>
    </row>
    <row r="1256" spans="12:256" x14ac:dyDescent="0.2">
      <c r="L1256" s="5"/>
    </row>
    <row r="1257" spans="12:256" x14ac:dyDescent="0.2">
      <c r="L1257" s="5"/>
    </row>
    <row r="1258" spans="12:256" x14ac:dyDescent="0.2">
      <c r="L1258" s="5"/>
    </row>
    <row r="1259" spans="12:256" x14ac:dyDescent="0.2">
      <c r="L1259" s="5"/>
    </row>
    <row r="1260" spans="12:256" x14ac:dyDescent="0.2">
      <c r="L1260" s="5"/>
    </row>
    <row r="1261" spans="12:256" x14ac:dyDescent="0.2">
      <c r="L1261" s="5"/>
    </row>
    <row r="1262" spans="12:256" x14ac:dyDescent="0.2">
      <c r="L1262" s="5"/>
    </row>
    <row r="1263" spans="12:256" x14ac:dyDescent="0.2">
      <c r="L1263" s="5"/>
    </row>
    <row r="1264" spans="12:256" x14ac:dyDescent="0.2">
      <c r="L1264" s="5"/>
    </row>
    <row r="1265" spans="12:12" x14ac:dyDescent="0.2">
      <c r="L1265" s="5"/>
    </row>
    <row r="1266" spans="12:12" x14ac:dyDescent="0.2">
      <c r="L1266" s="5"/>
    </row>
    <row r="1267" spans="12:12" x14ac:dyDescent="0.2">
      <c r="L1267" s="5"/>
    </row>
    <row r="1268" spans="12:12" x14ac:dyDescent="0.2">
      <c r="L1268" s="5"/>
    </row>
    <row r="1269" spans="12:12" x14ac:dyDescent="0.2">
      <c r="L1269" s="5"/>
    </row>
    <row r="1270" spans="12:12" x14ac:dyDescent="0.2">
      <c r="L1270" s="5"/>
    </row>
    <row r="1271" spans="12:12" x14ac:dyDescent="0.2">
      <c r="L1271" s="5"/>
    </row>
    <row r="1272" spans="12:12" x14ac:dyDescent="0.2">
      <c r="L1272" s="5"/>
    </row>
    <row r="1273" spans="12:12" x14ac:dyDescent="0.2">
      <c r="L1273" s="5"/>
    </row>
    <row r="1274" spans="12:12" x14ac:dyDescent="0.2">
      <c r="L1274" s="5"/>
    </row>
    <row r="1275" spans="12:12" x14ac:dyDescent="0.2">
      <c r="L1275" s="5"/>
    </row>
    <row r="1276" spans="12:12" x14ac:dyDescent="0.2">
      <c r="L1276" s="5"/>
    </row>
    <row r="1277" spans="12:12" x14ac:dyDescent="0.2">
      <c r="L1277" s="5"/>
    </row>
    <row r="1278" spans="12:12" x14ac:dyDescent="0.2">
      <c r="L1278" s="5"/>
    </row>
    <row r="1279" spans="12:12" x14ac:dyDescent="0.2">
      <c r="L1279" s="5"/>
    </row>
    <row r="1280" spans="12:12" x14ac:dyDescent="0.2">
      <c r="L1280" s="5"/>
    </row>
    <row r="1281" spans="12:12" x14ac:dyDescent="0.2">
      <c r="L1281" s="5"/>
    </row>
    <row r="1282" spans="12:12" x14ac:dyDescent="0.2">
      <c r="L1282" s="5"/>
    </row>
    <row r="1283" spans="12:12" x14ac:dyDescent="0.2">
      <c r="L1283" s="5"/>
    </row>
    <row r="1284" spans="12:12" x14ac:dyDescent="0.2">
      <c r="L1284" s="5"/>
    </row>
    <row r="1285" spans="12:12" x14ac:dyDescent="0.2">
      <c r="L1285" s="5"/>
    </row>
    <row r="1286" spans="12:12" x14ac:dyDescent="0.2">
      <c r="L1286" s="5"/>
    </row>
    <row r="1287" spans="12:12" x14ac:dyDescent="0.2">
      <c r="L1287" s="5"/>
    </row>
    <row r="1288" spans="12:12" x14ac:dyDescent="0.2">
      <c r="L1288" s="5"/>
    </row>
    <row r="1289" spans="12:12" x14ac:dyDescent="0.2">
      <c r="L1289" s="5"/>
    </row>
    <row r="1290" spans="12:12" x14ac:dyDescent="0.2">
      <c r="L1290" s="5"/>
    </row>
    <row r="1291" spans="12:12" x14ac:dyDescent="0.2">
      <c r="L1291" s="5"/>
    </row>
    <row r="1292" spans="12:12" x14ac:dyDescent="0.2">
      <c r="L1292" s="5"/>
    </row>
    <row r="1293" spans="12:12" x14ac:dyDescent="0.2">
      <c r="L1293" s="5"/>
    </row>
    <row r="1294" spans="12:12" x14ac:dyDescent="0.2">
      <c r="L1294" s="5"/>
    </row>
    <row r="1295" spans="12:12" x14ac:dyDescent="0.2">
      <c r="L1295" s="5"/>
    </row>
    <row r="1296" spans="12:12" x14ac:dyDescent="0.2">
      <c r="L1296" s="5"/>
    </row>
    <row r="1297" spans="12:12" x14ac:dyDescent="0.2">
      <c r="L1297" s="5"/>
    </row>
    <row r="1298" spans="12:12" x14ac:dyDescent="0.2">
      <c r="L1298" s="5"/>
    </row>
    <row r="1299" spans="12:12" x14ac:dyDescent="0.2">
      <c r="L1299" s="5"/>
    </row>
    <row r="1300" spans="12:12" x14ac:dyDescent="0.2">
      <c r="L1300" s="5"/>
    </row>
    <row r="1301" spans="12:12" x14ac:dyDescent="0.2">
      <c r="L1301" s="5"/>
    </row>
    <row r="1302" spans="12:12" x14ac:dyDescent="0.2">
      <c r="L1302" s="5"/>
    </row>
    <row r="1303" spans="12:12" x14ac:dyDescent="0.2">
      <c r="L1303" s="5"/>
    </row>
    <row r="1304" spans="12:12" x14ac:dyDescent="0.2">
      <c r="L1304" s="5"/>
    </row>
    <row r="1305" spans="12:12" x14ac:dyDescent="0.2">
      <c r="L1305" s="5"/>
    </row>
    <row r="1306" spans="12:12" x14ac:dyDescent="0.2">
      <c r="L1306" s="5"/>
    </row>
    <row r="1307" spans="12:12" x14ac:dyDescent="0.2">
      <c r="L1307" s="5"/>
    </row>
    <row r="1308" spans="12:12" x14ac:dyDescent="0.2">
      <c r="L1308" s="5"/>
    </row>
    <row r="1309" spans="12:12" x14ac:dyDescent="0.2">
      <c r="L1309" s="5"/>
    </row>
    <row r="1310" spans="12:12" x14ac:dyDescent="0.2">
      <c r="L1310" s="5"/>
    </row>
    <row r="1311" spans="12:12" x14ac:dyDescent="0.2">
      <c r="L1311" s="5"/>
    </row>
    <row r="1312" spans="12:12" x14ac:dyDescent="0.2">
      <c r="L1312" s="5"/>
    </row>
    <row r="1313" spans="12:12" x14ac:dyDescent="0.2">
      <c r="L1313" s="5"/>
    </row>
    <row r="1314" spans="12:12" x14ac:dyDescent="0.2">
      <c r="L1314" s="5"/>
    </row>
    <row r="1315" spans="12:12" x14ac:dyDescent="0.2">
      <c r="L1315" s="5"/>
    </row>
    <row r="1316" spans="12:12" x14ac:dyDescent="0.2">
      <c r="L1316" s="5"/>
    </row>
    <row r="1317" spans="12:12" x14ac:dyDescent="0.2">
      <c r="L1317" s="5"/>
    </row>
    <row r="1318" spans="12:12" x14ac:dyDescent="0.2">
      <c r="L1318" s="5"/>
    </row>
    <row r="1319" spans="12:12" x14ac:dyDescent="0.2">
      <c r="L1319" s="5"/>
    </row>
    <row r="1320" spans="12:12" x14ac:dyDescent="0.2">
      <c r="L1320" s="5"/>
    </row>
    <row r="1321" spans="12:12" x14ac:dyDescent="0.2">
      <c r="L1321" s="5"/>
    </row>
    <row r="1322" spans="12:12" x14ac:dyDescent="0.2">
      <c r="L1322" s="5"/>
    </row>
    <row r="1323" spans="12:12" x14ac:dyDescent="0.2">
      <c r="L1323" s="5"/>
    </row>
    <row r="1324" spans="12:12" x14ac:dyDescent="0.2">
      <c r="L1324" s="5"/>
    </row>
    <row r="1325" spans="12:12" x14ac:dyDescent="0.2">
      <c r="L1325" s="5"/>
    </row>
    <row r="1326" spans="12:12" x14ac:dyDescent="0.2">
      <c r="L1326" s="5"/>
    </row>
    <row r="1327" spans="12:12" x14ac:dyDescent="0.2">
      <c r="L1327" s="5"/>
    </row>
    <row r="1328" spans="12:12" x14ac:dyDescent="0.2">
      <c r="L1328" s="5"/>
    </row>
    <row r="1329" spans="12:12" x14ac:dyDescent="0.2">
      <c r="L1329" s="5"/>
    </row>
    <row r="1330" spans="12:12" x14ac:dyDescent="0.2">
      <c r="L1330" s="5"/>
    </row>
    <row r="1331" spans="12:12" x14ac:dyDescent="0.2">
      <c r="L1331" s="5"/>
    </row>
    <row r="1332" spans="12:12" x14ac:dyDescent="0.2">
      <c r="L1332" s="5"/>
    </row>
    <row r="1333" spans="12:12" x14ac:dyDescent="0.2">
      <c r="L1333" s="5"/>
    </row>
    <row r="1334" spans="12:12" x14ac:dyDescent="0.2">
      <c r="L1334" s="5"/>
    </row>
    <row r="1335" spans="12:12" x14ac:dyDescent="0.2">
      <c r="L1335" s="5"/>
    </row>
    <row r="1336" spans="12:12" x14ac:dyDescent="0.2">
      <c r="L1336" s="5"/>
    </row>
    <row r="1337" spans="12:12" x14ac:dyDescent="0.2">
      <c r="L1337" s="5"/>
    </row>
    <row r="1338" spans="12:12" x14ac:dyDescent="0.2">
      <c r="L1338" s="5"/>
    </row>
    <row r="1339" spans="12:12" x14ac:dyDescent="0.2">
      <c r="L1339" s="5"/>
    </row>
    <row r="1340" spans="12:12" x14ac:dyDescent="0.2">
      <c r="L1340" s="5"/>
    </row>
    <row r="1341" spans="12:12" x14ac:dyDescent="0.2">
      <c r="L1341" s="5"/>
    </row>
    <row r="1342" spans="12:12" x14ac:dyDescent="0.2">
      <c r="L1342" s="5"/>
    </row>
    <row r="1343" spans="12:12" x14ac:dyDescent="0.2">
      <c r="L1343" s="5"/>
    </row>
    <row r="1344" spans="12:12" x14ac:dyDescent="0.2">
      <c r="L1344" s="5"/>
    </row>
    <row r="1345" spans="12:12" x14ac:dyDescent="0.2">
      <c r="L1345" s="5"/>
    </row>
    <row r="1346" spans="12:12" x14ac:dyDescent="0.2">
      <c r="L1346" s="5"/>
    </row>
    <row r="1347" spans="12:12" x14ac:dyDescent="0.2">
      <c r="L1347" s="5"/>
    </row>
    <row r="1348" spans="12:12" x14ac:dyDescent="0.2">
      <c r="L1348" s="5"/>
    </row>
    <row r="1349" spans="12:12" x14ac:dyDescent="0.2">
      <c r="L1349" s="5"/>
    </row>
    <row r="1350" spans="12:12" x14ac:dyDescent="0.2">
      <c r="L1350" s="5"/>
    </row>
    <row r="1351" spans="12:12" x14ac:dyDescent="0.2">
      <c r="L1351" s="5"/>
    </row>
    <row r="1352" spans="12:12" x14ac:dyDescent="0.2">
      <c r="L1352" s="5"/>
    </row>
    <row r="1353" spans="12:12" x14ac:dyDescent="0.2">
      <c r="L1353" s="5"/>
    </row>
    <row r="1354" spans="12:12" x14ac:dyDescent="0.2">
      <c r="L1354" s="5"/>
    </row>
    <row r="1355" spans="12:12" x14ac:dyDescent="0.2">
      <c r="L1355" s="5"/>
    </row>
    <row r="1356" spans="12:12" x14ac:dyDescent="0.2">
      <c r="L1356" s="5"/>
    </row>
    <row r="1357" spans="12:12" x14ac:dyDescent="0.2">
      <c r="L1357" s="5"/>
    </row>
    <row r="1358" spans="12:12" x14ac:dyDescent="0.2">
      <c r="L1358" s="5"/>
    </row>
    <row r="1359" spans="12:12" x14ac:dyDescent="0.2">
      <c r="L1359" s="5"/>
    </row>
    <row r="1360" spans="12:12" x14ac:dyDescent="0.2">
      <c r="L1360" s="5"/>
    </row>
    <row r="1361" spans="12:12" x14ac:dyDescent="0.2">
      <c r="L1361" s="5"/>
    </row>
    <row r="1362" spans="12:12" x14ac:dyDescent="0.2">
      <c r="L1362" s="5"/>
    </row>
    <row r="1363" spans="12:12" x14ac:dyDescent="0.2">
      <c r="L1363" s="5"/>
    </row>
    <row r="1364" spans="12:12" x14ac:dyDescent="0.2">
      <c r="L1364" s="5"/>
    </row>
    <row r="1365" spans="12:12" x14ac:dyDescent="0.2">
      <c r="L1365" s="5"/>
    </row>
    <row r="1366" spans="12:12" x14ac:dyDescent="0.2">
      <c r="L1366" s="5"/>
    </row>
    <row r="1367" spans="12:12" x14ac:dyDescent="0.2">
      <c r="L1367" s="5"/>
    </row>
    <row r="1368" spans="12:12" x14ac:dyDescent="0.2">
      <c r="L1368" s="5"/>
    </row>
    <row r="1369" spans="12:12" x14ac:dyDescent="0.2">
      <c r="L1369" s="5"/>
    </row>
    <row r="1370" spans="12:12" x14ac:dyDescent="0.2">
      <c r="L1370" s="5"/>
    </row>
    <row r="1371" spans="12:12" x14ac:dyDescent="0.2">
      <c r="L1371" s="5"/>
    </row>
    <row r="1372" spans="12:12" x14ac:dyDescent="0.2">
      <c r="L1372" s="5"/>
    </row>
    <row r="1373" spans="12:12" x14ac:dyDescent="0.2">
      <c r="L1373" s="5"/>
    </row>
    <row r="1374" spans="12:12" x14ac:dyDescent="0.2">
      <c r="L1374" s="5"/>
    </row>
    <row r="1375" spans="12:12" x14ac:dyDescent="0.2">
      <c r="L1375" s="5"/>
    </row>
    <row r="1376" spans="12:12" x14ac:dyDescent="0.2">
      <c r="L1376" s="5"/>
    </row>
    <row r="1377" spans="12:12" x14ac:dyDescent="0.2">
      <c r="L1377" s="5"/>
    </row>
    <row r="1378" spans="12:12" x14ac:dyDescent="0.2">
      <c r="L1378" s="5"/>
    </row>
    <row r="1379" spans="12:12" x14ac:dyDescent="0.2">
      <c r="L1379" s="5"/>
    </row>
    <row r="1380" spans="12:12" x14ac:dyDescent="0.2">
      <c r="L1380" s="5"/>
    </row>
    <row r="1381" spans="12:12" x14ac:dyDescent="0.2">
      <c r="L1381" s="5"/>
    </row>
    <row r="1382" spans="12:12" x14ac:dyDescent="0.2">
      <c r="L1382" s="5"/>
    </row>
    <row r="1383" spans="12:12" x14ac:dyDescent="0.2">
      <c r="L1383" s="5"/>
    </row>
    <row r="1384" spans="12:12" x14ac:dyDescent="0.2">
      <c r="L1384" s="5"/>
    </row>
    <row r="1385" spans="12:12" x14ac:dyDescent="0.2">
      <c r="L1385" s="5"/>
    </row>
    <row r="1386" spans="12:12" x14ac:dyDescent="0.2">
      <c r="L1386" s="5"/>
    </row>
    <row r="1387" spans="12:12" x14ac:dyDescent="0.2">
      <c r="L1387" s="5"/>
    </row>
    <row r="1388" spans="12:12" x14ac:dyDescent="0.2">
      <c r="L1388" s="5"/>
    </row>
    <row r="1389" spans="12:12" x14ac:dyDescent="0.2">
      <c r="L1389" s="5"/>
    </row>
    <row r="1390" spans="12:12" x14ac:dyDescent="0.2">
      <c r="L1390" s="5"/>
    </row>
    <row r="1391" spans="12:12" x14ac:dyDescent="0.2">
      <c r="L1391" s="5"/>
    </row>
    <row r="1392" spans="12:12" x14ac:dyDescent="0.2">
      <c r="L1392" s="5"/>
    </row>
    <row r="1393" spans="12:12" x14ac:dyDescent="0.2">
      <c r="L1393" s="5"/>
    </row>
    <row r="1394" spans="12:12" x14ac:dyDescent="0.2">
      <c r="L1394" s="5"/>
    </row>
    <row r="1395" spans="12:12" x14ac:dyDescent="0.2">
      <c r="L1395" s="5"/>
    </row>
    <row r="1396" spans="12:12" x14ac:dyDescent="0.2">
      <c r="L1396" s="5"/>
    </row>
    <row r="1397" spans="12:12" x14ac:dyDescent="0.2">
      <c r="L1397" s="5"/>
    </row>
    <row r="1398" spans="12:12" x14ac:dyDescent="0.2">
      <c r="L1398" s="5"/>
    </row>
    <row r="1399" spans="12:12" x14ac:dyDescent="0.2">
      <c r="L1399" s="5"/>
    </row>
    <row r="1400" spans="12:12" x14ac:dyDescent="0.2">
      <c r="L1400" s="5"/>
    </row>
    <row r="1401" spans="12:12" x14ac:dyDescent="0.2">
      <c r="L1401" s="5"/>
    </row>
    <row r="1402" spans="12:12" x14ac:dyDescent="0.2">
      <c r="L1402" s="5"/>
    </row>
    <row r="1403" spans="12:12" x14ac:dyDescent="0.2">
      <c r="L1403" s="5"/>
    </row>
    <row r="1404" spans="12:12" x14ac:dyDescent="0.2">
      <c r="L1404" s="5"/>
    </row>
    <row r="1405" spans="12:12" x14ac:dyDescent="0.2">
      <c r="L1405" s="5"/>
    </row>
    <row r="1406" spans="12:12" x14ac:dyDescent="0.2">
      <c r="L1406" s="5"/>
    </row>
    <row r="1407" spans="12:12" x14ac:dyDescent="0.2">
      <c r="L1407" s="5"/>
    </row>
    <row r="1408" spans="12:12" x14ac:dyDescent="0.2">
      <c r="L1408" s="5"/>
    </row>
    <row r="1409" spans="12:12" x14ac:dyDescent="0.2">
      <c r="L1409" s="5"/>
    </row>
    <row r="1410" spans="12:12" x14ac:dyDescent="0.2">
      <c r="L1410" s="5"/>
    </row>
    <row r="1411" spans="12:12" x14ac:dyDescent="0.2">
      <c r="L1411" s="5"/>
    </row>
    <row r="1412" spans="12:12" x14ac:dyDescent="0.2">
      <c r="L1412" s="5"/>
    </row>
    <row r="1413" spans="12:12" x14ac:dyDescent="0.2">
      <c r="L1413" s="5"/>
    </row>
    <row r="1414" spans="12:12" x14ac:dyDescent="0.2">
      <c r="L1414" s="5"/>
    </row>
    <row r="1415" spans="12:12" x14ac:dyDescent="0.2">
      <c r="L1415" s="5"/>
    </row>
    <row r="1416" spans="12:12" x14ac:dyDescent="0.2">
      <c r="L1416" s="5"/>
    </row>
    <row r="1417" spans="12:12" x14ac:dyDescent="0.2">
      <c r="L1417" s="5"/>
    </row>
    <row r="1418" spans="12:12" x14ac:dyDescent="0.2">
      <c r="L1418" s="5"/>
    </row>
    <row r="1419" spans="12:12" x14ac:dyDescent="0.2">
      <c r="L1419" s="5"/>
    </row>
    <row r="1420" spans="12:12" x14ac:dyDescent="0.2">
      <c r="L1420" s="5"/>
    </row>
    <row r="1421" spans="12:12" x14ac:dyDescent="0.2">
      <c r="L1421" s="5"/>
    </row>
    <row r="1422" spans="12:12" x14ac:dyDescent="0.2">
      <c r="L1422" s="5"/>
    </row>
    <row r="1423" spans="12:12" x14ac:dyDescent="0.2">
      <c r="L1423" s="5"/>
    </row>
    <row r="1424" spans="12:12" x14ac:dyDescent="0.2">
      <c r="L1424" s="5"/>
    </row>
    <row r="1425" spans="12:12" x14ac:dyDescent="0.2">
      <c r="L1425" s="5"/>
    </row>
    <row r="1426" spans="12:12" x14ac:dyDescent="0.2">
      <c r="L1426" s="5"/>
    </row>
    <row r="1427" spans="12:12" x14ac:dyDescent="0.2">
      <c r="L1427" s="5"/>
    </row>
    <row r="1428" spans="12:12" x14ac:dyDescent="0.2">
      <c r="L1428" s="5"/>
    </row>
    <row r="1429" spans="12:12" x14ac:dyDescent="0.2">
      <c r="L1429" s="5"/>
    </row>
    <row r="1430" spans="12:12" x14ac:dyDescent="0.2">
      <c r="L1430" s="5"/>
    </row>
    <row r="1431" spans="12:12" x14ac:dyDescent="0.2">
      <c r="L1431" s="5"/>
    </row>
    <row r="1432" spans="12:12" x14ac:dyDescent="0.2">
      <c r="L1432" s="5"/>
    </row>
    <row r="1433" spans="12:12" x14ac:dyDescent="0.2">
      <c r="L1433" s="5"/>
    </row>
    <row r="1434" spans="12:12" x14ac:dyDescent="0.2">
      <c r="L1434" s="5"/>
    </row>
    <row r="1435" spans="12:12" x14ac:dyDescent="0.2">
      <c r="L1435" s="5"/>
    </row>
    <row r="1436" spans="12:12" x14ac:dyDescent="0.2">
      <c r="L1436" s="5"/>
    </row>
    <row r="1437" spans="12:12" x14ac:dyDescent="0.2">
      <c r="L1437" s="5"/>
    </row>
    <row r="1438" spans="12:12" x14ac:dyDescent="0.2">
      <c r="L1438" s="5"/>
    </row>
    <row r="1439" spans="12:12" x14ac:dyDescent="0.2">
      <c r="L1439" s="5"/>
    </row>
    <row r="1440" spans="12:12" x14ac:dyDescent="0.2">
      <c r="L1440" s="5"/>
    </row>
    <row r="1441" spans="12:12" x14ac:dyDescent="0.2">
      <c r="L1441" s="5"/>
    </row>
    <row r="1442" spans="12:12" x14ac:dyDescent="0.2">
      <c r="L1442" s="5"/>
    </row>
    <row r="1443" spans="12:12" x14ac:dyDescent="0.2">
      <c r="L1443" s="5"/>
    </row>
    <row r="1444" spans="12:12" x14ac:dyDescent="0.2">
      <c r="L1444" s="5"/>
    </row>
    <row r="1445" spans="12:12" x14ac:dyDescent="0.2">
      <c r="L1445" s="5"/>
    </row>
    <row r="1446" spans="12:12" x14ac:dyDescent="0.2">
      <c r="L1446" s="5"/>
    </row>
    <row r="1447" spans="12:12" x14ac:dyDescent="0.2">
      <c r="L1447" s="5"/>
    </row>
    <row r="1448" spans="12:12" x14ac:dyDescent="0.2">
      <c r="L1448" s="5"/>
    </row>
    <row r="1449" spans="12:12" x14ac:dyDescent="0.2">
      <c r="L1449" s="5"/>
    </row>
    <row r="1450" spans="12:12" x14ac:dyDescent="0.2">
      <c r="L1450" s="5"/>
    </row>
    <row r="1451" spans="12:12" x14ac:dyDescent="0.2">
      <c r="L1451" s="5"/>
    </row>
    <row r="1452" spans="12:12" x14ac:dyDescent="0.2">
      <c r="L1452" s="5"/>
    </row>
    <row r="1453" spans="12:12" x14ac:dyDescent="0.2">
      <c r="L1453" s="5"/>
    </row>
    <row r="1454" spans="12:12" x14ac:dyDescent="0.2">
      <c r="L1454" s="5"/>
    </row>
    <row r="1455" spans="12:12" x14ac:dyDescent="0.2">
      <c r="L1455" s="5"/>
    </row>
    <row r="1456" spans="12:12" x14ac:dyDescent="0.2">
      <c r="L1456" s="5"/>
    </row>
    <row r="1457" spans="12:12" x14ac:dyDescent="0.2">
      <c r="L1457" s="5"/>
    </row>
    <row r="1458" spans="12:12" x14ac:dyDescent="0.2">
      <c r="L1458" s="5"/>
    </row>
    <row r="1459" spans="12:12" x14ac:dyDescent="0.2">
      <c r="L1459" s="5"/>
    </row>
    <row r="1460" spans="12:12" x14ac:dyDescent="0.2">
      <c r="L1460" s="5"/>
    </row>
    <row r="1461" spans="12:12" x14ac:dyDescent="0.2">
      <c r="L1461" s="5"/>
    </row>
    <row r="1462" spans="12:12" x14ac:dyDescent="0.2">
      <c r="L1462" s="5"/>
    </row>
    <row r="1463" spans="12:12" x14ac:dyDescent="0.2">
      <c r="L1463" s="5"/>
    </row>
    <row r="1464" spans="12:12" x14ac:dyDescent="0.2">
      <c r="L1464" s="5"/>
    </row>
    <row r="1465" spans="12:12" x14ac:dyDescent="0.2">
      <c r="L1465" s="5"/>
    </row>
    <row r="1466" spans="12:12" x14ac:dyDescent="0.2">
      <c r="L1466" s="5"/>
    </row>
    <row r="1467" spans="12:12" x14ac:dyDescent="0.2">
      <c r="L1467" s="5"/>
    </row>
    <row r="1468" spans="12:12" x14ac:dyDescent="0.2">
      <c r="L1468" s="5"/>
    </row>
    <row r="1469" spans="12:12" x14ac:dyDescent="0.2">
      <c r="L1469" s="5"/>
    </row>
    <row r="1470" spans="12:12" x14ac:dyDescent="0.2">
      <c r="L1470" s="5"/>
    </row>
    <row r="1471" spans="12:12" x14ac:dyDescent="0.2">
      <c r="L1471" s="5"/>
    </row>
    <row r="1472" spans="12:12" x14ac:dyDescent="0.2">
      <c r="L1472" s="5"/>
    </row>
    <row r="1473" spans="12:12" x14ac:dyDescent="0.2">
      <c r="L1473" s="5"/>
    </row>
    <row r="1474" spans="12:12" x14ac:dyDescent="0.2">
      <c r="L1474" s="5"/>
    </row>
    <row r="1475" spans="12:12" x14ac:dyDescent="0.2">
      <c r="L1475" s="5"/>
    </row>
    <row r="1476" spans="12:12" x14ac:dyDescent="0.2">
      <c r="L1476" s="5"/>
    </row>
    <row r="1477" spans="12:12" x14ac:dyDescent="0.2">
      <c r="L1477" s="5"/>
    </row>
    <row r="1478" spans="12:12" x14ac:dyDescent="0.2">
      <c r="L1478" s="5"/>
    </row>
    <row r="1479" spans="12:12" x14ac:dyDescent="0.2">
      <c r="L1479" s="5"/>
    </row>
    <row r="1480" spans="12:12" x14ac:dyDescent="0.2">
      <c r="L1480" s="5"/>
    </row>
    <row r="1481" spans="12:12" x14ac:dyDescent="0.2">
      <c r="L1481" s="5"/>
    </row>
    <row r="1482" spans="12:12" x14ac:dyDescent="0.2">
      <c r="L1482" s="5"/>
    </row>
    <row r="1483" spans="12:12" x14ac:dyDescent="0.2">
      <c r="L1483" s="5"/>
    </row>
    <row r="1484" spans="12:12" x14ac:dyDescent="0.2">
      <c r="L1484" s="5"/>
    </row>
    <row r="1485" spans="12:12" x14ac:dyDescent="0.2">
      <c r="L1485" s="5"/>
    </row>
    <row r="1486" spans="12:12" x14ac:dyDescent="0.2">
      <c r="L1486" s="5"/>
    </row>
    <row r="1487" spans="12:12" x14ac:dyDescent="0.2">
      <c r="L1487" s="5"/>
    </row>
    <row r="1488" spans="12:12" x14ac:dyDescent="0.2">
      <c r="L1488" s="5"/>
    </row>
    <row r="1489" spans="12:12" x14ac:dyDescent="0.2">
      <c r="L1489" s="5"/>
    </row>
    <row r="1490" spans="12:12" x14ac:dyDescent="0.2">
      <c r="L1490" s="5"/>
    </row>
    <row r="1491" spans="12:12" x14ac:dyDescent="0.2">
      <c r="L1491" s="5"/>
    </row>
    <row r="1492" spans="12:12" x14ac:dyDescent="0.2">
      <c r="L1492" s="5"/>
    </row>
    <row r="1493" spans="12:12" x14ac:dyDescent="0.2">
      <c r="L1493" s="5"/>
    </row>
    <row r="1494" spans="12:12" x14ac:dyDescent="0.2">
      <c r="L1494" s="5"/>
    </row>
    <row r="1495" spans="12:12" x14ac:dyDescent="0.2">
      <c r="L1495" s="5"/>
    </row>
    <row r="1496" spans="12:12" x14ac:dyDescent="0.2">
      <c r="L1496" s="5"/>
    </row>
    <row r="1497" spans="12:12" x14ac:dyDescent="0.2">
      <c r="L1497" s="5"/>
    </row>
    <row r="1498" spans="12:12" x14ac:dyDescent="0.2">
      <c r="L1498" s="5"/>
    </row>
    <row r="1499" spans="12:12" x14ac:dyDescent="0.2">
      <c r="L1499" s="5"/>
    </row>
    <row r="1500" spans="12:12" x14ac:dyDescent="0.2">
      <c r="L1500" s="5"/>
    </row>
    <row r="1501" spans="12:12" x14ac:dyDescent="0.2">
      <c r="L1501" s="5"/>
    </row>
    <row r="1502" spans="12:12" x14ac:dyDescent="0.2">
      <c r="L1502" s="5"/>
    </row>
    <row r="1503" spans="12:12" x14ac:dyDescent="0.2">
      <c r="L1503" s="5"/>
    </row>
    <row r="1504" spans="12:12" x14ac:dyDescent="0.2">
      <c r="L1504" s="5"/>
    </row>
    <row r="1505" spans="12:12" x14ac:dyDescent="0.2">
      <c r="L1505" s="5"/>
    </row>
    <row r="1506" spans="12:12" x14ac:dyDescent="0.2">
      <c r="L1506" s="5"/>
    </row>
    <row r="1507" spans="12:12" x14ac:dyDescent="0.2">
      <c r="L1507" s="5"/>
    </row>
    <row r="1508" spans="12:12" x14ac:dyDescent="0.2">
      <c r="L1508" s="5"/>
    </row>
    <row r="1509" spans="12:12" x14ac:dyDescent="0.2">
      <c r="L1509" s="5"/>
    </row>
    <row r="1510" spans="12:12" x14ac:dyDescent="0.2">
      <c r="L1510" s="5"/>
    </row>
    <row r="1511" spans="12:12" x14ac:dyDescent="0.2">
      <c r="L1511" s="5"/>
    </row>
    <row r="1512" spans="12:12" x14ac:dyDescent="0.2">
      <c r="L1512" s="5"/>
    </row>
    <row r="1513" spans="12:12" x14ac:dyDescent="0.2">
      <c r="L1513" s="5"/>
    </row>
    <row r="1514" spans="12:12" x14ac:dyDescent="0.2">
      <c r="L1514" s="5"/>
    </row>
    <row r="1515" spans="12:12" x14ac:dyDescent="0.2">
      <c r="L1515" s="5"/>
    </row>
    <row r="1516" spans="12:12" x14ac:dyDescent="0.2">
      <c r="L1516" s="5"/>
    </row>
    <row r="1517" spans="12:12" x14ac:dyDescent="0.2">
      <c r="L1517" s="5"/>
    </row>
    <row r="1518" spans="12:12" x14ac:dyDescent="0.2">
      <c r="L1518" s="5"/>
    </row>
    <row r="1519" spans="12:12" x14ac:dyDescent="0.2">
      <c r="L1519" s="5"/>
    </row>
    <row r="1520" spans="12:12" x14ac:dyDescent="0.2">
      <c r="L1520" s="5"/>
    </row>
    <row r="1521" spans="12:12" x14ac:dyDescent="0.2">
      <c r="L1521" s="5"/>
    </row>
    <row r="1522" spans="12:12" x14ac:dyDescent="0.2">
      <c r="L1522" s="5"/>
    </row>
    <row r="1523" spans="12:12" x14ac:dyDescent="0.2">
      <c r="L1523" s="5"/>
    </row>
    <row r="1524" spans="12:12" x14ac:dyDescent="0.2">
      <c r="L1524" s="5"/>
    </row>
    <row r="1525" spans="12:12" x14ac:dyDescent="0.2">
      <c r="L1525" s="5"/>
    </row>
    <row r="1526" spans="12:12" x14ac:dyDescent="0.2">
      <c r="L1526" s="5"/>
    </row>
    <row r="1527" spans="12:12" x14ac:dyDescent="0.2">
      <c r="L1527" s="5"/>
    </row>
    <row r="1528" spans="12:12" x14ac:dyDescent="0.2">
      <c r="L1528" s="5"/>
    </row>
    <row r="1529" spans="12:12" x14ac:dyDescent="0.2">
      <c r="L1529" s="5"/>
    </row>
    <row r="1530" spans="12:12" x14ac:dyDescent="0.2">
      <c r="L1530" s="5"/>
    </row>
    <row r="1531" spans="12:12" x14ac:dyDescent="0.2">
      <c r="L1531" s="5"/>
    </row>
    <row r="1532" spans="12:12" x14ac:dyDescent="0.2">
      <c r="L1532" s="5"/>
    </row>
    <row r="1533" spans="12:12" x14ac:dyDescent="0.2">
      <c r="L1533" s="5"/>
    </row>
    <row r="1534" spans="12:12" x14ac:dyDescent="0.2">
      <c r="L1534" s="5"/>
    </row>
    <row r="1535" spans="12:12" x14ac:dyDescent="0.2">
      <c r="L1535" s="5"/>
    </row>
    <row r="1536" spans="12:12" x14ac:dyDescent="0.2">
      <c r="L1536" s="5"/>
    </row>
    <row r="1537" spans="12:12" x14ac:dyDescent="0.2">
      <c r="L1537" s="5"/>
    </row>
    <row r="1538" spans="12:12" x14ac:dyDescent="0.2">
      <c r="L1538" s="5"/>
    </row>
    <row r="1539" spans="12:12" x14ac:dyDescent="0.2">
      <c r="L1539" s="5"/>
    </row>
    <row r="1540" spans="12:12" x14ac:dyDescent="0.2">
      <c r="L1540" s="5"/>
    </row>
    <row r="1541" spans="12:12" x14ac:dyDescent="0.2">
      <c r="L1541" s="5"/>
    </row>
    <row r="1542" spans="12:12" x14ac:dyDescent="0.2">
      <c r="L1542" s="5"/>
    </row>
    <row r="1543" spans="12:12" x14ac:dyDescent="0.2">
      <c r="L1543" s="5"/>
    </row>
    <row r="1544" spans="12:12" x14ac:dyDescent="0.2">
      <c r="L1544" s="5"/>
    </row>
    <row r="1545" spans="12:12" x14ac:dyDescent="0.2">
      <c r="L1545" s="5"/>
    </row>
    <row r="1546" spans="12:12" x14ac:dyDescent="0.2">
      <c r="L1546" s="5"/>
    </row>
    <row r="1547" spans="12:12" x14ac:dyDescent="0.2">
      <c r="L1547" s="5"/>
    </row>
    <row r="1548" spans="12:12" x14ac:dyDescent="0.2">
      <c r="L1548" s="5"/>
    </row>
    <row r="1549" spans="12:12" x14ac:dyDescent="0.2">
      <c r="L1549" s="5"/>
    </row>
    <row r="1550" spans="12:12" x14ac:dyDescent="0.2">
      <c r="L1550" s="5"/>
    </row>
    <row r="1551" spans="12:12" x14ac:dyDescent="0.2">
      <c r="L1551" s="5"/>
    </row>
    <row r="1552" spans="12:12" x14ac:dyDescent="0.2">
      <c r="L1552" s="5"/>
    </row>
    <row r="1553" spans="12:12" x14ac:dyDescent="0.2">
      <c r="L1553" s="5"/>
    </row>
    <row r="1554" spans="12:12" x14ac:dyDescent="0.2">
      <c r="L1554" s="5"/>
    </row>
    <row r="1555" spans="12:12" x14ac:dyDescent="0.2">
      <c r="L1555" s="5"/>
    </row>
    <row r="1556" spans="12:12" x14ac:dyDescent="0.2">
      <c r="L1556" s="5"/>
    </row>
    <row r="1557" spans="12:12" x14ac:dyDescent="0.2">
      <c r="L1557" s="5"/>
    </row>
    <row r="1558" spans="12:12" x14ac:dyDescent="0.2">
      <c r="L1558" s="5"/>
    </row>
    <row r="1559" spans="12:12" x14ac:dyDescent="0.2">
      <c r="L1559" s="5"/>
    </row>
    <row r="1560" spans="12:12" x14ac:dyDescent="0.2">
      <c r="L1560" s="5"/>
    </row>
    <row r="1561" spans="12:12" x14ac:dyDescent="0.2">
      <c r="L1561" s="5"/>
    </row>
    <row r="1562" spans="12:12" x14ac:dyDescent="0.2">
      <c r="L1562" s="5"/>
    </row>
    <row r="1563" spans="12:12" x14ac:dyDescent="0.2">
      <c r="L1563" s="5"/>
    </row>
    <row r="1564" spans="12:12" x14ac:dyDescent="0.2">
      <c r="L1564" s="5"/>
    </row>
    <row r="1565" spans="12:12" x14ac:dyDescent="0.2">
      <c r="L1565" s="5"/>
    </row>
    <row r="1566" spans="12:12" x14ac:dyDescent="0.2">
      <c r="L1566" s="5"/>
    </row>
    <row r="1567" spans="12:12" x14ac:dyDescent="0.2">
      <c r="L1567" s="5"/>
    </row>
    <row r="1568" spans="12:12" x14ac:dyDescent="0.2">
      <c r="L1568" s="5"/>
    </row>
    <row r="1569" spans="12:12" x14ac:dyDescent="0.2">
      <c r="L1569" s="5"/>
    </row>
    <row r="1570" spans="12:12" x14ac:dyDescent="0.2">
      <c r="L1570" s="5"/>
    </row>
    <row r="1571" spans="12:12" x14ac:dyDescent="0.2">
      <c r="L1571" s="5"/>
    </row>
    <row r="1572" spans="12:12" x14ac:dyDescent="0.2">
      <c r="L1572" s="5"/>
    </row>
    <row r="1573" spans="12:12" x14ac:dyDescent="0.2">
      <c r="L1573" s="5"/>
    </row>
    <row r="1574" spans="12:12" x14ac:dyDescent="0.2">
      <c r="L1574" s="5"/>
    </row>
    <row r="1575" spans="12:12" x14ac:dyDescent="0.2">
      <c r="L1575" s="5"/>
    </row>
    <row r="1576" spans="12:12" x14ac:dyDescent="0.2">
      <c r="L1576" s="5"/>
    </row>
    <row r="1577" spans="12:12" x14ac:dyDescent="0.2">
      <c r="L1577" s="5"/>
    </row>
    <row r="1578" spans="12:12" x14ac:dyDescent="0.2">
      <c r="L1578" s="5"/>
    </row>
    <row r="1579" spans="12:12" x14ac:dyDescent="0.2">
      <c r="L1579" s="5"/>
    </row>
    <row r="1580" spans="12:12" x14ac:dyDescent="0.2">
      <c r="L1580" s="5"/>
    </row>
    <row r="1581" spans="12:12" x14ac:dyDescent="0.2">
      <c r="L1581" s="5"/>
    </row>
    <row r="1582" spans="12:12" x14ac:dyDescent="0.2">
      <c r="L1582" s="5"/>
    </row>
    <row r="1583" spans="12:12" x14ac:dyDescent="0.2">
      <c r="L1583" s="5"/>
    </row>
    <row r="1584" spans="12:12" x14ac:dyDescent="0.2">
      <c r="L1584" s="5"/>
    </row>
    <row r="1585" spans="12:12" x14ac:dyDescent="0.2">
      <c r="L1585" s="5"/>
    </row>
    <row r="1586" spans="12:12" x14ac:dyDescent="0.2">
      <c r="L1586" s="5"/>
    </row>
    <row r="1587" spans="12:12" x14ac:dyDescent="0.2">
      <c r="L1587" s="5"/>
    </row>
    <row r="1588" spans="12:12" x14ac:dyDescent="0.2">
      <c r="L1588" s="5"/>
    </row>
    <row r="1589" spans="12:12" x14ac:dyDescent="0.2">
      <c r="L1589" s="5"/>
    </row>
    <row r="1590" spans="12:12" x14ac:dyDescent="0.2">
      <c r="L1590" s="5"/>
    </row>
    <row r="1591" spans="12:12" x14ac:dyDescent="0.2">
      <c r="L1591" s="5"/>
    </row>
    <row r="1592" spans="12:12" x14ac:dyDescent="0.2">
      <c r="L1592" s="5"/>
    </row>
    <row r="1593" spans="12:12" x14ac:dyDescent="0.2">
      <c r="L1593" s="5"/>
    </row>
    <row r="1594" spans="12:12" x14ac:dyDescent="0.2">
      <c r="L1594" s="5"/>
    </row>
    <row r="1595" spans="12:12" x14ac:dyDescent="0.2">
      <c r="L1595" s="5"/>
    </row>
    <row r="1596" spans="12:12" x14ac:dyDescent="0.2">
      <c r="L1596" s="5"/>
    </row>
    <row r="1597" spans="12:12" x14ac:dyDescent="0.2">
      <c r="L1597" s="5"/>
    </row>
    <row r="1598" spans="12:12" x14ac:dyDescent="0.2">
      <c r="L1598" s="5"/>
    </row>
    <row r="1599" spans="12:12" x14ac:dyDescent="0.2">
      <c r="L1599" s="5"/>
    </row>
    <row r="1600" spans="12:12" x14ac:dyDescent="0.2">
      <c r="L1600" s="5"/>
    </row>
    <row r="1601" spans="12:12" x14ac:dyDescent="0.2">
      <c r="L1601" s="5"/>
    </row>
    <row r="1602" spans="12:12" x14ac:dyDescent="0.2">
      <c r="L1602" s="5"/>
    </row>
    <row r="1603" spans="12:12" x14ac:dyDescent="0.2">
      <c r="L1603" s="5"/>
    </row>
    <row r="1604" spans="12:12" x14ac:dyDescent="0.2">
      <c r="L1604" s="5"/>
    </row>
    <row r="1605" spans="12:12" x14ac:dyDescent="0.2">
      <c r="L1605" s="5"/>
    </row>
    <row r="1606" spans="12:12" x14ac:dyDescent="0.2">
      <c r="L1606" s="5"/>
    </row>
    <row r="1607" spans="12:12" x14ac:dyDescent="0.2">
      <c r="L1607" s="5"/>
    </row>
    <row r="1608" spans="12:12" x14ac:dyDescent="0.2">
      <c r="L1608" s="5"/>
    </row>
    <row r="1609" spans="12:12" x14ac:dyDescent="0.2">
      <c r="L1609" s="5"/>
    </row>
    <row r="1610" spans="12:12" x14ac:dyDescent="0.2">
      <c r="L1610" s="5"/>
    </row>
    <row r="1611" spans="12:12" x14ac:dyDescent="0.2">
      <c r="L1611" s="5"/>
    </row>
    <row r="1612" spans="12:12" x14ac:dyDescent="0.2">
      <c r="L1612" s="5"/>
    </row>
    <row r="1613" spans="12:12" x14ac:dyDescent="0.2">
      <c r="L1613" s="5"/>
    </row>
    <row r="1614" spans="12:12" x14ac:dyDescent="0.2">
      <c r="L1614" s="5"/>
    </row>
    <row r="1615" spans="12:12" x14ac:dyDescent="0.2">
      <c r="L1615" s="5"/>
    </row>
    <row r="1616" spans="12:12" x14ac:dyDescent="0.2">
      <c r="L1616" s="5"/>
    </row>
    <row r="1617" spans="12:12" x14ac:dyDescent="0.2">
      <c r="L1617" s="5"/>
    </row>
    <row r="1618" spans="12:12" x14ac:dyDescent="0.2">
      <c r="L1618" s="5"/>
    </row>
    <row r="1619" spans="12:12" x14ac:dyDescent="0.2">
      <c r="L1619" s="5"/>
    </row>
    <row r="1620" spans="12:12" x14ac:dyDescent="0.2">
      <c r="L1620" s="5"/>
    </row>
    <row r="1621" spans="12:12" x14ac:dyDescent="0.2">
      <c r="L1621" s="5"/>
    </row>
    <row r="1622" spans="12:12" x14ac:dyDescent="0.2">
      <c r="L1622" s="5"/>
    </row>
    <row r="1623" spans="12:12" x14ac:dyDescent="0.2">
      <c r="L1623" s="5"/>
    </row>
    <row r="1624" spans="12:12" x14ac:dyDescent="0.2">
      <c r="L1624" s="5"/>
    </row>
    <row r="1625" spans="12:12" x14ac:dyDescent="0.2">
      <c r="L1625" s="5"/>
    </row>
    <row r="1626" spans="12:12" x14ac:dyDescent="0.2">
      <c r="L1626" s="5"/>
    </row>
    <row r="1627" spans="12:12" x14ac:dyDescent="0.2">
      <c r="L1627" s="5"/>
    </row>
    <row r="1628" spans="12:12" x14ac:dyDescent="0.2">
      <c r="L1628" s="5"/>
    </row>
    <row r="1629" spans="12:12" x14ac:dyDescent="0.2">
      <c r="L1629" s="5"/>
    </row>
    <row r="1630" spans="12:12" x14ac:dyDescent="0.2">
      <c r="L1630" s="5"/>
    </row>
    <row r="1631" spans="12:12" x14ac:dyDescent="0.2">
      <c r="L1631" s="5"/>
    </row>
    <row r="1632" spans="12:12" x14ac:dyDescent="0.2">
      <c r="L1632" s="5"/>
    </row>
    <row r="1633" spans="12:12" x14ac:dyDescent="0.2">
      <c r="L1633" s="5"/>
    </row>
    <row r="1634" spans="12:12" x14ac:dyDescent="0.2">
      <c r="L1634" s="5"/>
    </row>
    <row r="1635" spans="12:12" x14ac:dyDescent="0.2">
      <c r="L1635" s="5"/>
    </row>
    <row r="1636" spans="12:12" x14ac:dyDescent="0.2">
      <c r="L1636" s="5"/>
    </row>
    <row r="1637" spans="12:12" x14ac:dyDescent="0.2">
      <c r="L1637" s="5"/>
    </row>
    <row r="1638" spans="12:12" x14ac:dyDescent="0.2">
      <c r="L1638" s="5"/>
    </row>
    <row r="1639" spans="12:12" x14ac:dyDescent="0.2">
      <c r="L1639" s="5"/>
    </row>
    <row r="1640" spans="12:12" x14ac:dyDescent="0.2">
      <c r="L1640" s="5"/>
    </row>
    <row r="1641" spans="12:12" x14ac:dyDescent="0.2">
      <c r="L1641" s="5"/>
    </row>
    <row r="1642" spans="12:12" x14ac:dyDescent="0.2">
      <c r="L1642" s="5"/>
    </row>
    <row r="1643" spans="12:12" x14ac:dyDescent="0.2">
      <c r="L1643" s="5"/>
    </row>
    <row r="1644" spans="12:12" x14ac:dyDescent="0.2">
      <c r="L1644" s="5"/>
    </row>
    <row r="1645" spans="12:12" x14ac:dyDescent="0.2">
      <c r="L1645" s="5"/>
    </row>
    <row r="1646" spans="12:12" x14ac:dyDescent="0.2">
      <c r="L1646" s="5"/>
    </row>
    <row r="1647" spans="12:12" x14ac:dyDescent="0.2">
      <c r="L1647" s="5"/>
    </row>
    <row r="1648" spans="12:12" x14ac:dyDescent="0.2">
      <c r="L1648" s="5"/>
    </row>
    <row r="1649" spans="12:12" x14ac:dyDescent="0.2">
      <c r="L1649" s="5"/>
    </row>
    <row r="1650" spans="12:12" x14ac:dyDescent="0.2">
      <c r="L1650" s="5"/>
    </row>
    <row r="1651" spans="12:12" x14ac:dyDescent="0.2">
      <c r="L1651" s="5"/>
    </row>
    <row r="1652" spans="12:12" x14ac:dyDescent="0.2">
      <c r="L1652" s="5"/>
    </row>
    <row r="1653" spans="12:12" x14ac:dyDescent="0.2">
      <c r="L1653" s="5"/>
    </row>
    <row r="1654" spans="12:12" x14ac:dyDescent="0.2">
      <c r="L1654" s="5"/>
    </row>
    <row r="1655" spans="12:12" x14ac:dyDescent="0.2">
      <c r="L1655" s="5"/>
    </row>
    <row r="1656" spans="12:12" x14ac:dyDescent="0.2">
      <c r="L1656" s="5"/>
    </row>
    <row r="1657" spans="12:12" x14ac:dyDescent="0.2">
      <c r="L1657" s="5"/>
    </row>
  </sheetData>
  <phoneticPr fontId="0" type="noConversion"/>
  <conditionalFormatting sqref="O4:O1216">
    <cfRule type="cellIs" dxfId="1" priority="2" operator="lessThan">
      <formula>0</formula>
    </cfRule>
  </conditionalFormatting>
  <conditionalFormatting sqref="L4:L1216">
    <cfRule type="cellIs" dxfId="0" priority="1" operator="lessThan">
      <formula>1</formula>
    </cfRule>
  </conditionalFormatting>
  <pageMargins left="0.75" right="0.75" top="1" bottom="1" header="0.4921259845" footer="0.492125984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H1221"/>
  <sheetViews>
    <sheetView workbookViewId="0">
      <pane xSplit="3" ySplit="8" topLeftCell="D1157" activePane="bottomRight" state="frozen"/>
      <selection pane="topRight" activeCell="C1" sqref="C1"/>
      <selection pane="bottomLeft" activeCell="A4" sqref="A4"/>
      <selection pane="bottomRight" activeCell="A1158" sqref="A1158"/>
    </sheetView>
  </sheetViews>
  <sheetFormatPr defaultRowHeight="12.75" x14ac:dyDescent="0.2"/>
  <cols>
    <col min="1" max="2" width="11.42578125" customWidth="1"/>
    <col min="61" max="61" width="12.42578125" bestFit="1" customWidth="1"/>
    <col min="266" max="266" width="12.42578125" bestFit="1" customWidth="1"/>
  </cols>
  <sheetData>
    <row r="1" spans="1:268" x14ac:dyDescent="0.2">
      <c r="D1" t="s">
        <v>170</v>
      </c>
      <c r="E1">
        <v>1</v>
      </c>
    </row>
    <row r="2" spans="1:268" x14ac:dyDescent="0.2">
      <c r="D2" t="s">
        <v>69</v>
      </c>
      <c r="E2">
        <v>1</v>
      </c>
      <c r="JF2" s="20">
        <f>SUMPRODUCT(BL2:JD2,BL$8:JD$8)</f>
        <v>0</v>
      </c>
      <c r="JG2" s="20">
        <f>SQRT(JF2*JF2-JH2)</f>
        <v>0</v>
      </c>
      <c r="JH2">
        <f>SUMPRODUCT(BL2:JD2,BL2:JD2,BL$8:JD$8)</f>
        <v>0</v>
      </c>
    </row>
    <row r="3" spans="1:268" x14ac:dyDescent="0.2">
      <c r="JF3" s="20"/>
      <c r="JG3" s="20"/>
    </row>
    <row r="4" spans="1:268" x14ac:dyDescent="0.2">
      <c r="JF4" s="20">
        <f>SUMPRODUCT(BL4:JD4,BL$8:JD$8)</f>
        <v>0</v>
      </c>
      <c r="JG4" s="20">
        <f>SQRT(JF4*JF4-JH4)</f>
        <v>0</v>
      </c>
      <c r="JH4">
        <f>SUMPRODUCT(BL4:JD4,BL4:JD4,BL$8:JD$8)</f>
        <v>0</v>
      </c>
    </row>
    <row r="5" spans="1:268" x14ac:dyDescent="0.2">
      <c r="JF5" s="20"/>
      <c r="JG5" s="20"/>
    </row>
    <row r="6" spans="1:268" x14ac:dyDescent="0.2">
      <c r="A6" s="17"/>
      <c r="B6" s="17"/>
      <c r="G6" s="15">
        <f ca="1">SUMPRODUCT(G9:G1221,F9:F1221)/SUM(F9:F1221)</f>
        <v>1.5122853137598355E-2</v>
      </c>
      <c r="BH6" s="17"/>
      <c r="BI6" s="17"/>
      <c r="JF6" s="20">
        <f>SUMPRODUCT(BL6:JD6,BL$8:JD$8)</f>
        <v>0</v>
      </c>
      <c r="JG6" s="20">
        <f>SQRT(JF6*JF6-JH6)</f>
        <v>0</v>
      </c>
      <c r="JH6">
        <f>SUMPRODUCT(BL6:JD6,BL6:JD6,BL$8:JD$8)</f>
        <v>0</v>
      </c>
    </row>
    <row r="7" spans="1:268" x14ac:dyDescent="0.2">
      <c r="G7" s="15">
        <f ca="1">SQRT(G8-G6*G6)</f>
        <v>1.159982697139263E-2</v>
      </c>
      <c r="BH7" s="17"/>
      <c r="BI7" s="17"/>
      <c r="JF7" t="e">
        <f>1/SUM(BL7:JD7)</f>
        <v>#DIV/0!</v>
      </c>
    </row>
    <row r="8" spans="1:268" x14ac:dyDescent="0.2">
      <c r="G8" s="15">
        <f ca="1">SUMPRODUCT(G9:G1221,G9:G1221,F9:F1221)/SUM(F9:F1221)</f>
        <v>3.6325667278761631E-4</v>
      </c>
      <c r="L8">
        <v>1980</v>
      </c>
      <c r="M8">
        <f>5+L8</f>
        <v>1985</v>
      </c>
      <c r="N8">
        <f t="shared" ref="N8:BF8" si="0">5+M8</f>
        <v>1990</v>
      </c>
      <c r="O8">
        <f t="shared" si="0"/>
        <v>1995</v>
      </c>
      <c r="P8">
        <f t="shared" si="0"/>
        <v>2000</v>
      </c>
      <c r="Q8">
        <f t="shared" si="0"/>
        <v>2005</v>
      </c>
      <c r="R8">
        <f t="shared" si="0"/>
        <v>2010</v>
      </c>
      <c r="S8">
        <f t="shared" si="0"/>
        <v>2015</v>
      </c>
      <c r="T8">
        <f t="shared" si="0"/>
        <v>2020</v>
      </c>
      <c r="U8">
        <f t="shared" si="0"/>
        <v>2025</v>
      </c>
      <c r="V8">
        <f t="shared" si="0"/>
        <v>2030</v>
      </c>
      <c r="W8">
        <f t="shared" si="0"/>
        <v>2035</v>
      </c>
      <c r="X8">
        <f t="shared" si="0"/>
        <v>2040</v>
      </c>
      <c r="Y8">
        <f t="shared" si="0"/>
        <v>2045</v>
      </c>
      <c r="Z8">
        <f t="shared" si="0"/>
        <v>2050</v>
      </c>
      <c r="AA8">
        <f t="shared" si="0"/>
        <v>2055</v>
      </c>
      <c r="AB8">
        <f t="shared" si="0"/>
        <v>2060</v>
      </c>
      <c r="AC8">
        <f t="shared" si="0"/>
        <v>2065</v>
      </c>
      <c r="AD8">
        <f t="shared" si="0"/>
        <v>2070</v>
      </c>
      <c r="AE8">
        <f t="shared" si="0"/>
        <v>2075</v>
      </c>
      <c r="AF8">
        <f t="shared" si="0"/>
        <v>2080</v>
      </c>
      <c r="AG8">
        <f t="shared" si="0"/>
        <v>2085</v>
      </c>
      <c r="AH8">
        <f t="shared" si="0"/>
        <v>2090</v>
      </c>
      <c r="AI8">
        <f t="shared" si="0"/>
        <v>2095</v>
      </c>
      <c r="AJ8">
        <f t="shared" si="0"/>
        <v>2100</v>
      </c>
      <c r="AK8">
        <f t="shared" si="0"/>
        <v>2105</v>
      </c>
      <c r="AL8">
        <f t="shared" si="0"/>
        <v>2110</v>
      </c>
      <c r="AM8">
        <f t="shared" si="0"/>
        <v>2115</v>
      </c>
      <c r="AN8">
        <f t="shared" si="0"/>
        <v>2120</v>
      </c>
      <c r="AO8">
        <f t="shared" si="0"/>
        <v>2125</v>
      </c>
      <c r="AP8">
        <f t="shared" si="0"/>
        <v>2130</v>
      </c>
      <c r="AQ8">
        <f t="shared" si="0"/>
        <v>2135</v>
      </c>
      <c r="AR8">
        <f t="shared" si="0"/>
        <v>2140</v>
      </c>
      <c r="AS8">
        <f t="shared" si="0"/>
        <v>2145</v>
      </c>
      <c r="AT8">
        <f t="shared" si="0"/>
        <v>2150</v>
      </c>
      <c r="AU8">
        <f t="shared" si="0"/>
        <v>2155</v>
      </c>
      <c r="AV8">
        <f t="shared" si="0"/>
        <v>2160</v>
      </c>
      <c r="AW8">
        <f t="shared" si="0"/>
        <v>2165</v>
      </c>
      <c r="AX8">
        <f t="shared" si="0"/>
        <v>2170</v>
      </c>
      <c r="AY8">
        <f t="shared" si="0"/>
        <v>2175</v>
      </c>
      <c r="AZ8">
        <f t="shared" si="0"/>
        <v>2180</v>
      </c>
      <c r="BA8">
        <f t="shared" si="0"/>
        <v>2185</v>
      </c>
      <c r="BB8">
        <f t="shared" si="0"/>
        <v>2190</v>
      </c>
      <c r="BC8">
        <f t="shared" si="0"/>
        <v>2195</v>
      </c>
      <c r="BD8">
        <f t="shared" si="0"/>
        <v>2200</v>
      </c>
      <c r="BE8">
        <f t="shared" si="0"/>
        <v>2205</v>
      </c>
      <c r="BF8">
        <f t="shared" si="0"/>
        <v>2210</v>
      </c>
      <c r="BH8" s="17"/>
      <c r="BJ8" s="17"/>
      <c r="BK8" s="17"/>
    </row>
    <row r="9" spans="1:268" x14ac:dyDescent="0.2">
      <c r="A9" t="str">
        <f>Data!A4</f>
        <v>Nordhaus</v>
      </c>
      <c r="B9" t="str">
        <f>Data!B4</f>
        <v>RM6620</v>
      </c>
      <c r="C9">
        <f>Data!E4</f>
        <v>1982</v>
      </c>
    </row>
    <row r="10" spans="1:268" x14ac:dyDescent="0.2">
      <c r="A10">
        <f>Data!A5</f>
        <v>0</v>
      </c>
      <c r="B10">
        <f>Data!B5</f>
        <v>0</v>
      </c>
      <c r="C10">
        <f>Data!E5</f>
        <v>1982</v>
      </c>
    </row>
    <row r="11" spans="1:268" x14ac:dyDescent="0.2">
      <c r="A11" t="str">
        <f>Data!A6</f>
        <v>Ayres &amp; Walter</v>
      </c>
      <c r="B11" t="str">
        <f>Data!B6</f>
        <v>RM76</v>
      </c>
      <c r="C11">
        <f>Data!E6</f>
        <v>1991</v>
      </c>
    </row>
    <row r="12" spans="1:268" x14ac:dyDescent="0.2">
      <c r="A12" t="str">
        <f>Data!A7</f>
        <v>Nordhaus</v>
      </c>
      <c r="B12" t="str">
        <f>Data!B7</f>
        <v>RM748</v>
      </c>
      <c r="C12">
        <f>Data!E7</f>
        <v>1991</v>
      </c>
    </row>
    <row r="13" spans="1:268" x14ac:dyDescent="0.2">
      <c r="A13">
        <f>Data!A8</f>
        <v>0</v>
      </c>
      <c r="B13">
        <f>Data!B8</f>
        <v>0</v>
      </c>
      <c r="C13">
        <f>Data!E8</f>
        <v>1991</v>
      </c>
    </row>
    <row r="14" spans="1:268" x14ac:dyDescent="0.2">
      <c r="A14">
        <f>Data!A9</f>
        <v>0</v>
      </c>
      <c r="B14">
        <f>Data!B9</f>
        <v>0</v>
      </c>
      <c r="C14">
        <f>Data!E9</f>
        <v>1991</v>
      </c>
    </row>
    <row r="15" spans="1:268" x14ac:dyDescent="0.2">
      <c r="A15">
        <f>Data!A10</f>
        <v>0</v>
      </c>
      <c r="B15">
        <f>Data!B10</f>
        <v>0</v>
      </c>
      <c r="C15">
        <f>Data!E10</f>
        <v>1991</v>
      </c>
    </row>
    <row r="16" spans="1:268" x14ac:dyDescent="0.2">
      <c r="A16">
        <f>Data!A11</f>
        <v>0</v>
      </c>
      <c r="B16">
        <f>Data!B11</f>
        <v>0</v>
      </c>
      <c r="C16">
        <f>Data!E11</f>
        <v>1991</v>
      </c>
    </row>
    <row r="17" spans="1:266" x14ac:dyDescent="0.2">
      <c r="A17">
        <f>Data!A12</f>
        <v>0</v>
      </c>
      <c r="B17">
        <f>Data!B12</f>
        <v>0</v>
      </c>
      <c r="C17">
        <f>Data!E12</f>
        <v>1991</v>
      </c>
    </row>
    <row r="18" spans="1:266" x14ac:dyDescent="0.2">
      <c r="A18">
        <f>Data!A13</f>
        <v>0</v>
      </c>
      <c r="B18">
        <f>Data!B13</f>
        <v>0</v>
      </c>
      <c r="C18">
        <f>Data!E13</f>
        <v>1991</v>
      </c>
    </row>
    <row r="19" spans="1:266" x14ac:dyDescent="0.2">
      <c r="A19">
        <f>Data!A14</f>
        <v>0</v>
      </c>
      <c r="B19">
        <f>Data!B14</f>
        <v>0</v>
      </c>
      <c r="C19">
        <f>Data!E14</f>
        <v>1991</v>
      </c>
    </row>
    <row r="20" spans="1:266" x14ac:dyDescent="0.2">
      <c r="A20">
        <f>Data!A15</f>
        <v>0</v>
      </c>
      <c r="B20">
        <f>Data!B15</f>
        <v>0</v>
      </c>
      <c r="C20">
        <f>Data!E15</f>
        <v>1991</v>
      </c>
    </row>
    <row r="21" spans="1:266" x14ac:dyDescent="0.2">
      <c r="A21" t="str">
        <f>Data!A16</f>
        <v>Haraden</v>
      </c>
      <c r="B21" t="str">
        <f>Data!B16</f>
        <v>RM6621</v>
      </c>
      <c r="C21">
        <f>Data!E16</f>
        <v>1992</v>
      </c>
      <c r="D21">
        <v>1</v>
      </c>
      <c r="E21">
        <f>E$1*(1-Data!BF16)+E$2*Data!BF16</f>
        <v>1</v>
      </c>
      <c r="F21">
        <f>D21*E21</f>
        <v>1</v>
      </c>
      <c r="G21" s="15">
        <f>(J21/H21)^(1/(K21-I21))-1</f>
        <v>4.134989708874226E-2</v>
      </c>
      <c r="H21">
        <f>MIN(L21:BE21)</f>
        <v>4</v>
      </c>
      <c r="I21">
        <f>LOOKUP(H21,L21:BE21,L$8:BE$8)</f>
        <v>1985</v>
      </c>
      <c r="J21">
        <f>MAX(L21:BE21)</f>
        <v>230</v>
      </c>
      <c r="K21">
        <f>LOOKUP(J21,L21:BE21,L$8:BE$8)</f>
        <v>2085</v>
      </c>
      <c r="M21">
        <v>4</v>
      </c>
      <c r="AG21">
        <v>230</v>
      </c>
      <c r="JF21" t="e">
        <f>1/SUM(BL21:JD21)</f>
        <v>#DIV/0!</v>
      </c>
    </row>
    <row r="22" spans="1:266" x14ac:dyDescent="0.2">
      <c r="A22" t="str">
        <f>Data!A17</f>
        <v>Cline</v>
      </c>
      <c r="B22" t="str">
        <f>Data!B17</f>
        <v>RM5708</v>
      </c>
      <c r="C22">
        <f>Data!E17</f>
        <v>1992</v>
      </c>
      <c r="D22">
        <v>1</v>
      </c>
      <c r="E22">
        <f>E$1*(1-Data!BF17)+E$2*Data!BF17</f>
        <v>1</v>
      </c>
      <c r="F22">
        <f>D22*E22</f>
        <v>1</v>
      </c>
      <c r="G22" s="15">
        <f>(J22/H22)^(1/(K22-I22))-1</f>
        <v>2.4023879173735052E-2</v>
      </c>
      <c r="H22">
        <f>MIN(L22:BE22)</f>
        <v>7.8</v>
      </c>
      <c r="I22">
        <f>LOOKUP(H22,L22:BE22,L$8:BE$8)</f>
        <v>1990</v>
      </c>
      <c r="J22">
        <f>MAX(L22:BE22)</f>
        <v>15.9</v>
      </c>
      <c r="K22">
        <f>LOOKUP(J22,L22:BE22,L$8:BE$8)</f>
        <v>2020</v>
      </c>
      <c r="N22">
        <v>7.8</v>
      </c>
      <c r="T22">
        <v>15.9</v>
      </c>
      <c r="JF22" t="e">
        <f>1/SUM(BL22:JD22)</f>
        <v>#DIV/0!</v>
      </c>
    </row>
    <row r="23" spans="1:266" x14ac:dyDescent="0.2">
      <c r="A23" t="str">
        <f>Data!A18</f>
        <v>Cline</v>
      </c>
      <c r="B23" t="str">
        <f>Data!B18</f>
        <v>RM7322</v>
      </c>
      <c r="C23">
        <f>Data!E18</f>
        <v>1997</v>
      </c>
      <c r="D23">
        <v>1</v>
      </c>
      <c r="E23">
        <f>E$1*(1-Data!BF18)+E$2*Data!BF18</f>
        <v>1</v>
      </c>
      <c r="F23">
        <f>D23*E23</f>
        <v>1</v>
      </c>
      <c r="G23" s="15">
        <f>(J23/H23)^(1/(K23-I23))-1</f>
        <v>1.9446214318266097E-2</v>
      </c>
      <c r="H23">
        <f>MIN(L23:BE23)</f>
        <v>167.5</v>
      </c>
      <c r="I23">
        <f>LOOKUP(H23,L23:BE23,L$8:BE$8)</f>
        <v>1995</v>
      </c>
      <c r="J23">
        <f>MAX(L23:BE23)</f>
        <v>298.5</v>
      </c>
      <c r="K23">
        <f>LOOKUP(J23,L23:BE23,L$8:BE$8)</f>
        <v>2025</v>
      </c>
      <c r="O23">
        <v>167.5</v>
      </c>
      <c r="U23">
        <v>298.5</v>
      </c>
      <c r="JF23" t="e">
        <f>1/SUM(BL23:JD23)</f>
        <v>#DIV/0!</v>
      </c>
    </row>
    <row r="24" spans="1:266" x14ac:dyDescent="0.2">
      <c r="A24" t="str">
        <f>Data!A19</f>
        <v>Hohmeyer &amp; Gaertner</v>
      </c>
      <c r="B24" t="str">
        <f>Data!B19</f>
        <v>RM1584</v>
      </c>
      <c r="C24">
        <f>Data!E19</f>
        <v>1992</v>
      </c>
    </row>
    <row r="25" spans="1:266" x14ac:dyDescent="0.2">
      <c r="A25" t="str">
        <f>Data!A20</f>
        <v>Haraden</v>
      </c>
      <c r="B25" t="str">
        <f>Data!B20</f>
        <v>RM6622</v>
      </c>
      <c r="C25">
        <f>Data!E20</f>
        <v>1993</v>
      </c>
      <c r="D25" s="7">
        <f>Data!N20</f>
        <v>0.25</v>
      </c>
      <c r="E25">
        <f>E$1*(1-Data!BF20)+E$2*Data!BF20</f>
        <v>1</v>
      </c>
      <c r="F25">
        <f>D25*E25</f>
        <v>0.25</v>
      </c>
      <c r="G25" s="15">
        <f>(J25/H25)^(1/(K25-I25))-1</f>
        <v>1.6087842747669612E-2</v>
      </c>
      <c r="H25">
        <f>MIN(L25:BE25)</f>
        <v>1.85</v>
      </c>
      <c r="I25">
        <f>LOOKUP(H25,L25:BE25,L$8:BE$8)</f>
        <v>1990</v>
      </c>
      <c r="J25">
        <f>MAX(L25:BE25)</f>
        <v>4.82</v>
      </c>
      <c r="K25">
        <f>LOOKUP(J25,L25:BE25,L$8:BE$8)</f>
        <v>2050</v>
      </c>
      <c r="N25">
        <v>1.85</v>
      </c>
      <c r="Z25">
        <v>4.82</v>
      </c>
      <c r="JF25" t="e">
        <f>1/SUM(BL25:JD25)</f>
        <v>#DIV/0!</v>
      </c>
    </row>
    <row r="26" spans="1:266" x14ac:dyDescent="0.2">
      <c r="A26">
        <f>Data!A21</f>
        <v>0</v>
      </c>
      <c r="B26">
        <f>Data!B21</f>
        <v>0</v>
      </c>
      <c r="C26">
        <f>Data!E21</f>
        <v>1993</v>
      </c>
      <c r="D26" s="7">
        <f>Data!N21</f>
        <v>0.5</v>
      </c>
      <c r="E26">
        <f>E$1*(1-Data!BF21)+E$2*Data!BF21</f>
        <v>1</v>
      </c>
      <c r="F26">
        <f>D26*E26</f>
        <v>0.5</v>
      </c>
      <c r="G26" s="15">
        <f>(J26/H26)^(1/(K26-I26))-1</f>
        <v>2.1786654342279999E-2</v>
      </c>
      <c r="H26">
        <f>MIN(L26:BE26)</f>
        <v>2.98</v>
      </c>
      <c r="I26">
        <f>LOOKUP(H26,L26:BE26,L$8:BE$8)</f>
        <v>1990</v>
      </c>
      <c r="J26">
        <f>MAX(L26:BE26)</f>
        <v>10.86</v>
      </c>
      <c r="K26">
        <f>LOOKUP(J26,L26:BE26,L$8:BE$8)</f>
        <v>2050</v>
      </c>
      <c r="N26">
        <v>2.98</v>
      </c>
      <c r="Z26">
        <v>10.86</v>
      </c>
      <c r="JF26" t="e">
        <f>1/SUM(BL26:JD26)</f>
        <v>#DIV/0!</v>
      </c>
    </row>
    <row r="27" spans="1:266" x14ac:dyDescent="0.2">
      <c r="A27">
        <f>Data!A22</f>
        <v>0</v>
      </c>
      <c r="B27">
        <f>Data!B22</f>
        <v>0</v>
      </c>
      <c r="C27">
        <f>Data!E22</f>
        <v>1993</v>
      </c>
      <c r="D27" s="7">
        <f>Data!N22</f>
        <v>0.25</v>
      </c>
      <c r="E27">
        <f>E$1*(1-Data!BF22)+E$2*Data!BF22</f>
        <v>1</v>
      </c>
      <c r="F27">
        <f>D27*E27</f>
        <v>0.25</v>
      </c>
      <c r="G27" s="15">
        <f>(J27/H27)^(1/(K27-I27))-1</f>
        <v>2.5569804888005754E-2</v>
      </c>
      <c r="H27">
        <f>MIN(L27:BE27)</f>
        <v>8.7799999999999994</v>
      </c>
      <c r="I27">
        <f>LOOKUP(H27,L27:BE27,L$8:BE$8)</f>
        <v>1990</v>
      </c>
      <c r="J27">
        <f>MAX(L27:BE27)</f>
        <v>39.94</v>
      </c>
      <c r="K27">
        <f>LOOKUP(J27,L27:BE27,L$8:BE$8)</f>
        <v>2050</v>
      </c>
      <c r="N27">
        <v>8.7799999999999994</v>
      </c>
      <c r="Z27">
        <v>39.94</v>
      </c>
      <c r="JF27" t="e">
        <f>1/SUM(BL27:JD27)</f>
        <v>#DIV/0!</v>
      </c>
    </row>
    <row r="28" spans="1:266" x14ac:dyDescent="0.2">
      <c r="A28" t="str">
        <f>Data!A23</f>
        <v>Penner et al.</v>
      </c>
      <c r="B28" t="str">
        <f>Data!B23</f>
        <v>RM9625</v>
      </c>
      <c r="C28">
        <f>Data!E23</f>
        <v>1992</v>
      </c>
      <c r="D28" s="7"/>
      <c r="E28" s="7"/>
      <c r="G28" s="15"/>
    </row>
    <row r="29" spans="1:266" x14ac:dyDescent="0.2">
      <c r="A29" t="str">
        <f>Data!A24</f>
        <v>Parry</v>
      </c>
      <c r="B29" t="str">
        <f>Data!B24</f>
        <v>RM779</v>
      </c>
      <c r="C29">
        <f>Data!E24</f>
        <v>1993</v>
      </c>
      <c r="G29" s="15"/>
    </row>
    <row r="30" spans="1:266" x14ac:dyDescent="0.2">
      <c r="A30">
        <f>Data!A25</f>
        <v>0</v>
      </c>
      <c r="B30">
        <f>Data!B25</f>
        <v>0</v>
      </c>
      <c r="C30">
        <f>Data!E25</f>
        <v>1993</v>
      </c>
      <c r="G30" s="15"/>
    </row>
    <row r="31" spans="1:266" x14ac:dyDescent="0.2">
      <c r="A31">
        <f>Data!A26</f>
        <v>0</v>
      </c>
      <c r="B31">
        <f>Data!B26</f>
        <v>0</v>
      </c>
      <c r="C31">
        <f>Data!E26</f>
        <v>1993</v>
      </c>
      <c r="G31" s="15"/>
    </row>
    <row r="32" spans="1:266" x14ac:dyDescent="0.2">
      <c r="A32">
        <f>Data!A27</f>
        <v>0</v>
      </c>
      <c r="B32">
        <f>Data!B27</f>
        <v>0</v>
      </c>
      <c r="C32">
        <f>Data!E27</f>
        <v>1993</v>
      </c>
      <c r="G32" s="15"/>
    </row>
    <row r="33" spans="1:7" x14ac:dyDescent="0.2">
      <c r="A33">
        <f>Data!A28</f>
        <v>0</v>
      </c>
      <c r="B33">
        <f>Data!B28</f>
        <v>0</v>
      </c>
      <c r="C33">
        <f>Data!E28</f>
        <v>1993</v>
      </c>
      <c r="G33" s="15"/>
    </row>
    <row r="34" spans="1:7" x14ac:dyDescent="0.2">
      <c r="A34">
        <f>Data!A29</f>
        <v>0</v>
      </c>
      <c r="B34">
        <f>Data!B29</f>
        <v>0</v>
      </c>
      <c r="C34">
        <f>Data!E29</f>
        <v>1993</v>
      </c>
      <c r="G34" s="15"/>
    </row>
    <row r="35" spans="1:7" x14ac:dyDescent="0.2">
      <c r="A35">
        <f>Data!A30</f>
        <v>0</v>
      </c>
      <c r="B35">
        <f>Data!B30</f>
        <v>0</v>
      </c>
      <c r="C35">
        <f>Data!E30</f>
        <v>1993</v>
      </c>
      <c r="G35" s="15"/>
    </row>
    <row r="36" spans="1:7" x14ac:dyDescent="0.2">
      <c r="A36">
        <f>Data!A31</f>
        <v>0</v>
      </c>
      <c r="B36">
        <f>Data!B31</f>
        <v>0</v>
      </c>
      <c r="C36">
        <f>Data!E31</f>
        <v>1993</v>
      </c>
      <c r="G36" s="15"/>
    </row>
    <row r="37" spans="1:7" x14ac:dyDescent="0.2">
      <c r="A37">
        <f>Data!A32</f>
        <v>0</v>
      </c>
      <c r="B37">
        <f>Data!B32</f>
        <v>0</v>
      </c>
      <c r="C37">
        <f>Data!E32</f>
        <v>1993</v>
      </c>
      <c r="G37" s="15"/>
    </row>
    <row r="38" spans="1:7" x14ac:dyDescent="0.2">
      <c r="A38">
        <f>Data!A33</f>
        <v>0</v>
      </c>
      <c r="B38">
        <f>Data!B33</f>
        <v>0</v>
      </c>
      <c r="C38">
        <f>Data!E33</f>
        <v>1993</v>
      </c>
      <c r="G38" s="15"/>
    </row>
    <row r="39" spans="1:7" x14ac:dyDescent="0.2">
      <c r="A39">
        <f>Data!A34</f>
        <v>0</v>
      </c>
      <c r="B39">
        <f>Data!B34</f>
        <v>0</v>
      </c>
      <c r="C39">
        <f>Data!E34</f>
        <v>1993</v>
      </c>
      <c r="G39" s="15"/>
    </row>
    <row r="40" spans="1:7" x14ac:dyDescent="0.2">
      <c r="A40">
        <f>Data!A35</f>
        <v>0</v>
      </c>
      <c r="B40">
        <f>Data!B35</f>
        <v>0</v>
      </c>
      <c r="C40">
        <f>Data!E35</f>
        <v>1993</v>
      </c>
      <c r="G40" s="15"/>
    </row>
    <row r="41" spans="1:7" x14ac:dyDescent="0.2">
      <c r="A41">
        <f>Data!A36</f>
        <v>0</v>
      </c>
      <c r="B41">
        <f>Data!B36</f>
        <v>0</v>
      </c>
      <c r="C41">
        <f>Data!E36</f>
        <v>1993</v>
      </c>
      <c r="G41" s="15"/>
    </row>
    <row r="42" spans="1:7" x14ac:dyDescent="0.2">
      <c r="A42">
        <f>Data!A37</f>
        <v>0</v>
      </c>
      <c r="B42">
        <f>Data!B37</f>
        <v>0</v>
      </c>
      <c r="C42">
        <f>Data!E37</f>
        <v>1993</v>
      </c>
      <c r="G42" s="15"/>
    </row>
    <row r="43" spans="1:7" x14ac:dyDescent="0.2">
      <c r="A43">
        <f>Data!A38</f>
        <v>0</v>
      </c>
      <c r="B43">
        <f>Data!B38</f>
        <v>0</v>
      </c>
      <c r="C43">
        <f>Data!E38</f>
        <v>1993</v>
      </c>
      <c r="G43" s="15"/>
    </row>
    <row r="44" spans="1:7" x14ac:dyDescent="0.2">
      <c r="A44">
        <f>Data!A39</f>
        <v>0</v>
      </c>
      <c r="B44">
        <f>Data!B39</f>
        <v>0</v>
      </c>
      <c r="C44">
        <f>Data!E39</f>
        <v>1993</v>
      </c>
      <c r="G44" s="15"/>
    </row>
    <row r="45" spans="1:7" x14ac:dyDescent="0.2">
      <c r="A45">
        <f>Data!A40</f>
        <v>0</v>
      </c>
      <c r="B45">
        <f>Data!B40</f>
        <v>0</v>
      </c>
      <c r="C45">
        <f>Data!E40</f>
        <v>1993</v>
      </c>
      <c r="G45" s="15"/>
    </row>
    <row r="46" spans="1:7" x14ac:dyDescent="0.2">
      <c r="A46">
        <f>Data!A41</f>
        <v>0</v>
      </c>
      <c r="B46">
        <f>Data!B41</f>
        <v>0</v>
      </c>
      <c r="C46">
        <f>Data!E41</f>
        <v>1993</v>
      </c>
      <c r="G46" s="15"/>
    </row>
    <row r="47" spans="1:7" x14ac:dyDescent="0.2">
      <c r="A47">
        <f>Data!A42</f>
        <v>0</v>
      </c>
      <c r="B47">
        <f>Data!B42</f>
        <v>0</v>
      </c>
      <c r="C47">
        <f>Data!E42</f>
        <v>1993</v>
      </c>
      <c r="G47" s="15"/>
    </row>
    <row r="48" spans="1:7" x14ac:dyDescent="0.2">
      <c r="A48">
        <f>Data!A43</f>
        <v>0</v>
      </c>
      <c r="B48">
        <f>Data!B43</f>
        <v>0</v>
      </c>
      <c r="C48">
        <f>Data!E43</f>
        <v>1993</v>
      </c>
      <c r="G48" s="15"/>
    </row>
    <row r="49" spans="1:7" x14ac:dyDescent="0.2">
      <c r="A49">
        <f>Data!A44</f>
        <v>0</v>
      </c>
      <c r="B49">
        <f>Data!B44</f>
        <v>0</v>
      </c>
      <c r="C49">
        <f>Data!E44</f>
        <v>1993</v>
      </c>
      <c r="G49" s="15"/>
    </row>
    <row r="50" spans="1:7" x14ac:dyDescent="0.2">
      <c r="A50">
        <f>Data!A45</f>
        <v>0</v>
      </c>
      <c r="B50">
        <f>Data!B45</f>
        <v>0</v>
      </c>
      <c r="C50">
        <f>Data!E45</f>
        <v>1993</v>
      </c>
      <c r="G50" s="15"/>
    </row>
    <row r="51" spans="1:7" x14ac:dyDescent="0.2">
      <c r="A51">
        <f>Data!A46</f>
        <v>0</v>
      </c>
      <c r="B51">
        <f>Data!B46</f>
        <v>0</v>
      </c>
      <c r="C51">
        <f>Data!E46</f>
        <v>1993</v>
      </c>
      <c r="G51" s="15"/>
    </row>
    <row r="52" spans="1:7" x14ac:dyDescent="0.2">
      <c r="A52">
        <f>Data!A47</f>
        <v>0</v>
      </c>
      <c r="B52">
        <f>Data!B47</f>
        <v>0</v>
      </c>
      <c r="C52">
        <f>Data!E47</f>
        <v>1993</v>
      </c>
      <c r="G52" s="15"/>
    </row>
    <row r="53" spans="1:7" x14ac:dyDescent="0.2">
      <c r="A53">
        <f>Data!A48</f>
        <v>0</v>
      </c>
      <c r="B53">
        <f>Data!B48</f>
        <v>0</v>
      </c>
      <c r="C53">
        <f>Data!E48</f>
        <v>1993</v>
      </c>
      <c r="G53" s="15"/>
    </row>
    <row r="54" spans="1:7" x14ac:dyDescent="0.2">
      <c r="A54">
        <f>Data!A49</f>
        <v>0</v>
      </c>
      <c r="B54">
        <f>Data!B49</f>
        <v>0</v>
      </c>
      <c r="C54">
        <f>Data!E49</f>
        <v>1993</v>
      </c>
      <c r="G54" s="15"/>
    </row>
    <row r="55" spans="1:7" x14ac:dyDescent="0.2">
      <c r="A55">
        <f>Data!A50</f>
        <v>0</v>
      </c>
      <c r="B55">
        <f>Data!B50</f>
        <v>0</v>
      </c>
      <c r="C55">
        <f>Data!E50</f>
        <v>1993</v>
      </c>
      <c r="G55" s="15"/>
    </row>
    <row r="56" spans="1:7" x14ac:dyDescent="0.2">
      <c r="A56">
        <f>Data!A51</f>
        <v>0</v>
      </c>
      <c r="B56">
        <f>Data!B51</f>
        <v>0</v>
      </c>
      <c r="C56">
        <f>Data!E51</f>
        <v>1993</v>
      </c>
      <c r="G56" s="15"/>
    </row>
    <row r="57" spans="1:7" x14ac:dyDescent="0.2">
      <c r="A57">
        <f>Data!A52</f>
        <v>0</v>
      </c>
      <c r="B57">
        <f>Data!B52</f>
        <v>0</v>
      </c>
      <c r="C57">
        <f>Data!E52</f>
        <v>1993</v>
      </c>
      <c r="G57" s="15"/>
    </row>
    <row r="58" spans="1:7" x14ac:dyDescent="0.2">
      <c r="A58">
        <f>Data!A53</f>
        <v>0</v>
      </c>
      <c r="B58">
        <f>Data!B53</f>
        <v>0</v>
      </c>
      <c r="C58">
        <f>Data!E53</f>
        <v>1993</v>
      </c>
      <c r="G58" s="15"/>
    </row>
    <row r="59" spans="1:7" x14ac:dyDescent="0.2">
      <c r="A59">
        <f>Data!A54</f>
        <v>0</v>
      </c>
      <c r="B59">
        <f>Data!B54</f>
        <v>0</v>
      </c>
      <c r="C59">
        <f>Data!E54</f>
        <v>1993</v>
      </c>
      <c r="G59" s="15"/>
    </row>
    <row r="60" spans="1:7" x14ac:dyDescent="0.2">
      <c r="A60">
        <f>Data!A55</f>
        <v>0</v>
      </c>
      <c r="B60">
        <f>Data!B55</f>
        <v>0</v>
      </c>
      <c r="C60">
        <f>Data!E55</f>
        <v>1993</v>
      </c>
      <c r="G60" s="15"/>
    </row>
    <row r="61" spans="1:7" x14ac:dyDescent="0.2">
      <c r="A61">
        <f>Data!A56</f>
        <v>0</v>
      </c>
      <c r="B61">
        <f>Data!B56</f>
        <v>0</v>
      </c>
      <c r="C61">
        <f>Data!E56</f>
        <v>1993</v>
      </c>
      <c r="G61" s="15"/>
    </row>
    <row r="62" spans="1:7" x14ac:dyDescent="0.2">
      <c r="A62">
        <f>Data!A57</f>
        <v>0</v>
      </c>
      <c r="B62">
        <f>Data!B57</f>
        <v>0</v>
      </c>
      <c r="C62">
        <f>Data!E57</f>
        <v>1993</v>
      </c>
      <c r="G62" s="15"/>
    </row>
    <row r="63" spans="1:7" x14ac:dyDescent="0.2">
      <c r="A63">
        <f>Data!A58</f>
        <v>0</v>
      </c>
      <c r="B63">
        <f>Data!B58</f>
        <v>0</v>
      </c>
      <c r="C63">
        <f>Data!E58</f>
        <v>1993</v>
      </c>
      <c r="G63" s="15"/>
    </row>
    <row r="64" spans="1:7" x14ac:dyDescent="0.2">
      <c r="A64">
        <f>Data!A59</f>
        <v>0</v>
      </c>
      <c r="B64">
        <f>Data!B59</f>
        <v>0</v>
      </c>
      <c r="C64">
        <f>Data!E59</f>
        <v>1993</v>
      </c>
      <c r="G64" s="15"/>
    </row>
    <row r="65" spans="1:7" x14ac:dyDescent="0.2">
      <c r="A65">
        <f>Data!A60</f>
        <v>0</v>
      </c>
      <c r="B65">
        <f>Data!B60</f>
        <v>0</v>
      </c>
      <c r="C65">
        <f>Data!E60</f>
        <v>1993</v>
      </c>
      <c r="G65" s="15"/>
    </row>
    <row r="66" spans="1:7" x14ac:dyDescent="0.2">
      <c r="A66">
        <f>Data!A61</f>
        <v>0</v>
      </c>
      <c r="B66">
        <f>Data!B61</f>
        <v>0</v>
      </c>
      <c r="C66">
        <f>Data!E61</f>
        <v>1993</v>
      </c>
      <c r="G66" s="15"/>
    </row>
    <row r="67" spans="1:7" x14ac:dyDescent="0.2">
      <c r="A67">
        <f>Data!A62</f>
        <v>0</v>
      </c>
      <c r="B67">
        <f>Data!B62</f>
        <v>0</v>
      </c>
      <c r="C67">
        <f>Data!E62</f>
        <v>1993</v>
      </c>
      <c r="G67" s="15"/>
    </row>
    <row r="68" spans="1:7" x14ac:dyDescent="0.2">
      <c r="A68">
        <f>Data!A63</f>
        <v>0</v>
      </c>
      <c r="B68">
        <f>Data!B63</f>
        <v>0</v>
      </c>
      <c r="C68">
        <f>Data!E63</f>
        <v>1993</v>
      </c>
      <c r="G68" s="15"/>
    </row>
    <row r="69" spans="1:7" x14ac:dyDescent="0.2">
      <c r="A69">
        <f>Data!A64</f>
        <v>0</v>
      </c>
      <c r="B69">
        <f>Data!B64</f>
        <v>0</v>
      </c>
      <c r="C69">
        <f>Data!E64</f>
        <v>1993</v>
      </c>
      <c r="G69" s="15"/>
    </row>
    <row r="70" spans="1:7" x14ac:dyDescent="0.2">
      <c r="A70">
        <f>Data!A65</f>
        <v>0</v>
      </c>
      <c r="B70">
        <f>Data!B65</f>
        <v>0</v>
      </c>
      <c r="C70">
        <f>Data!E65</f>
        <v>1993</v>
      </c>
      <c r="G70" s="15"/>
    </row>
    <row r="71" spans="1:7" x14ac:dyDescent="0.2">
      <c r="A71">
        <f>Data!A66</f>
        <v>0</v>
      </c>
      <c r="B71">
        <f>Data!B66</f>
        <v>0</v>
      </c>
      <c r="C71">
        <f>Data!E66</f>
        <v>1993</v>
      </c>
      <c r="G71" s="15"/>
    </row>
    <row r="72" spans="1:7" x14ac:dyDescent="0.2">
      <c r="A72">
        <f>Data!A67</f>
        <v>0</v>
      </c>
      <c r="B72">
        <f>Data!B67</f>
        <v>0</v>
      </c>
      <c r="C72">
        <f>Data!E67</f>
        <v>1993</v>
      </c>
      <c r="G72" s="15"/>
    </row>
    <row r="73" spans="1:7" x14ac:dyDescent="0.2">
      <c r="A73">
        <f>Data!A68</f>
        <v>0</v>
      </c>
      <c r="B73">
        <f>Data!B68</f>
        <v>0</v>
      </c>
      <c r="C73">
        <f>Data!E68</f>
        <v>1993</v>
      </c>
      <c r="G73" s="15"/>
    </row>
    <row r="74" spans="1:7" x14ac:dyDescent="0.2">
      <c r="A74">
        <f>Data!A69</f>
        <v>0</v>
      </c>
      <c r="B74">
        <f>Data!B69</f>
        <v>0</v>
      </c>
      <c r="C74">
        <f>Data!E69</f>
        <v>1993</v>
      </c>
      <c r="G74" s="15"/>
    </row>
    <row r="75" spans="1:7" x14ac:dyDescent="0.2">
      <c r="A75">
        <f>Data!A70</f>
        <v>0</v>
      </c>
      <c r="B75">
        <f>Data!B70</f>
        <v>0</v>
      </c>
      <c r="C75">
        <f>Data!E70</f>
        <v>1993</v>
      </c>
      <c r="G75" s="15"/>
    </row>
    <row r="76" spans="1:7" x14ac:dyDescent="0.2">
      <c r="A76">
        <f>Data!A71</f>
        <v>0</v>
      </c>
      <c r="B76">
        <f>Data!B71</f>
        <v>0</v>
      </c>
      <c r="C76">
        <f>Data!E71</f>
        <v>1993</v>
      </c>
      <c r="G76" s="15"/>
    </row>
    <row r="77" spans="1:7" x14ac:dyDescent="0.2">
      <c r="A77">
        <f>Data!A72</f>
        <v>0</v>
      </c>
      <c r="B77">
        <f>Data!B72</f>
        <v>0</v>
      </c>
      <c r="C77">
        <f>Data!E72</f>
        <v>1993</v>
      </c>
      <c r="G77" s="15"/>
    </row>
    <row r="78" spans="1:7" x14ac:dyDescent="0.2">
      <c r="A78">
        <f>Data!A73</f>
        <v>0</v>
      </c>
      <c r="B78">
        <f>Data!B73</f>
        <v>0</v>
      </c>
      <c r="C78">
        <f>Data!E73</f>
        <v>1993</v>
      </c>
      <c r="G78" s="15"/>
    </row>
    <row r="79" spans="1:7" x14ac:dyDescent="0.2">
      <c r="A79">
        <f>Data!A74</f>
        <v>0</v>
      </c>
      <c r="B79">
        <f>Data!B74</f>
        <v>0</v>
      </c>
      <c r="C79">
        <f>Data!E74</f>
        <v>1993</v>
      </c>
      <c r="G79" s="15"/>
    </row>
    <row r="80" spans="1:7" x14ac:dyDescent="0.2">
      <c r="A80">
        <f>Data!A75</f>
        <v>0</v>
      </c>
      <c r="B80">
        <f>Data!B75</f>
        <v>0</v>
      </c>
      <c r="C80">
        <f>Data!E75</f>
        <v>1993</v>
      </c>
      <c r="G80" s="15"/>
    </row>
    <row r="81" spans="1:266" x14ac:dyDescent="0.2">
      <c r="A81">
        <f>Data!A76</f>
        <v>0</v>
      </c>
      <c r="B81">
        <f>Data!B76</f>
        <v>0</v>
      </c>
      <c r="C81">
        <f>Data!E76</f>
        <v>1993</v>
      </c>
      <c r="G81" s="15"/>
    </row>
    <row r="82" spans="1:266" x14ac:dyDescent="0.2">
      <c r="A82">
        <f>Data!A77</f>
        <v>0</v>
      </c>
      <c r="B82">
        <f>Data!B77</f>
        <v>0</v>
      </c>
      <c r="C82">
        <f>Data!E77</f>
        <v>1993</v>
      </c>
      <c r="G82" s="15"/>
    </row>
    <row r="83" spans="1:266" x14ac:dyDescent="0.2">
      <c r="A83">
        <f>Data!A78</f>
        <v>0</v>
      </c>
      <c r="B83">
        <f>Data!B78</f>
        <v>0</v>
      </c>
      <c r="C83">
        <f>Data!E78</f>
        <v>1993</v>
      </c>
      <c r="G83" s="15"/>
    </row>
    <row r="84" spans="1:266" x14ac:dyDescent="0.2">
      <c r="A84">
        <f>Data!A79</f>
        <v>0</v>
      </c>
      <c r="B84">
        <f>Data!B79</f>
        <v>0</v>
      </c>
      <c r="C84">
        <f>Data!E79</f>
        <v>1993</v>
      </c>
      <c r="G84" s="15"/>
    </row>
    <row r="85" spans="1:266" x14ac:dyDescent="0.2">
      <c r="A85">
        <f>Data!A80</f>
        <v>0</v>
      </c>
      <c r="B85">
        <f>Data!B80</f>
        <v>0</v>
      </c>
      <c r="C85">
        <f>Data!E80</f>
        <v>1993</v>
      </c>
      <c r="G85" s="15"/>
    </row>
    <row r="86" spans="1:266" x14ac:dyDescent="0.2">
      <c r="A86">
        <f>Data!A81</f>
        <v>0</v>
      </c>
      <c r="B86">
        <f>Data!B81</f>
        <v>0</v>
      </c>
      <c r="C86">
        <f>Data!E81</f>
        <v>1993</v>
      </c>
      <c r="G86" s="15"/>
    </row>
    <row r="87" spans="1:266" x14ac:dyDescent="0.2">
      <c r="A87">
        <f>Data!A82</f>
        <v>0</v>
      </c>
      <c r="B87">
        <f>Data!B82</f>
        <v>0</v>
      </c>
      <c r="C87">
        <f>Data!E82</f>
        <v>1993</v>
      </c>
      <c r="G87" s="15"/>
    </row>
    <row r="88" spans="1:266" x14ac:dyDescent="0.2">
      <c r="A88">
        <f>Data!A83</f>
        <v>0</v>
      </c>
      <c r="B88">
        <f>Data!B83</f>
        <v>0</v>
      </c>
      <c r="C88">
        <f>Data!E83</f>
        <v>1993</v>
      </c>
      <c r="G88" s="15"/>
    </row>
    <row r="89" spans="1:266" x14ac:dyDescent="0.2">
      <c r="A89" t="str">
        <f>Data!A84</f>
        <v>Nordhaus</v>
      </c>
      <c r="B89" t="str">
        <f>Data!B84</f>
        <v>RM755</v>
      </c>
      <c r="C89">
        <f>Data!E84</f>
        <v>1993</v>
      </c>
      <c r="D89">
        <v>1</v>
      </c>
      <c r="E89">
        <f>E$1*(1-Data!BF84)+E$2*Data!BF84</f>
        <v>1</v>
      </c>
      <c r="F89">
        <f t="shared" ref="F89:F116" si="1">D89*E89</f>
        <v>1</v>
      </c>
      <c r="G89" s="15">
        <f>(J89/H89)^(1/(K89-I89))-1</f>
        <v>1.3959479790029095E-2</v>
      </c>
      <c r="H89">
        <f>MIN(L89:BE89)</f>
        <v>5</v>
      </c>
      <c r="I89">
        <f>LOOKUP(H89,L89:BE89,L$8:BE$8)</f>
        <v>1995</v>
      </c>
      <c r="J89">
        <f>MAX(L89:BE89)</f>
        <v>20</v>
      </c>
      <c r="K89">
        <f>LOOKUP(J89,L89:BE89,L$8:BE$8)</f>
        <v>2095</v>
      </c>
      <c r="O89">
        <v>5</v>
      </c>
      <c r="AI89">
        <v>20</v>
      </c>
      <c r="JF89" t="e">
        <f t="shared" ref="JF89:JF116" si="2">1/SUM(BL89:JD89)</f>
        <v>#DIV/0!</v>
      </c>
    </row>
    <row r="90" spans="1:266" x14ac:dyDescent="0.2">
      <c r="A90" t="str">
        <f>Data!A85</f>
        <v>Peck and Teisberg</v>
      </c>
      <c r="B90" t="str">
        <f>Data!B85</f>
        <v>RM789</v>
      </c>
      <c r="C90">
        <f>Data!E85</f>
        <v>1993</v>
      </c>
      <c r="D90" s="8">
        <f>Data!N85</f>
        <v>0.5</v>
      </c>
      <c r="E90">
        <f>E$1*(1-Data!BF85)+E$2*Data!BF85</f>
        <v>1</v>
      </c>
      <c r="F90">
        <f t="shared" si="1"/>
        <v>0.5</v>
      </c>
      <c r="G90" s="15">
        <f>(J90/H90)^(1/(K90-I90))-1</f>
        <v>1.3290345290259964E-2</v>
      </c>
      <c r="H90">
        <f>MIN(L90:BE90)</f>
        <v>10</v>
      </c>
      <c r="I90">
        <f>LOOKUP(H90,L90:BE90,L$8:BE$8)</f>
        <v>1990</v>
      </c>
      <c r="J90">
        <f>MAX(L90:BE90)</f>
        <v>160</v>
      </c>
      <c r="K90">
        <f>LOOKUP(J90,L90:BE90,L$8:BE$8)</f>
        <v>2200</v>
      </c>
      <c r="N90">
        <v>10</v>
      </c>
      <c r="BD90">
        <v>160</v>
      </c>
      <c r="JF90" t="e">
        <f t="shared" si="2"/>
        <v>#DIV/0!</v>
      </c>
    </row>
    <row r="91" spans="1:266" x14ac:dyDescent="0.2">
      <c r="A91">
        <f>Data!A86</f>
        <v>0</v>
      </c>
      <c r="B91">
        <f>Data!B86</f>
        <v>0</v>
      </c>
      <c r="C91">
        <f>Data!E86</f>
        <v>1993</v>
      </c>
      <c r="D91" s="8">
        <f>Data!N86</f>
        <v>1.9230769230769232E-2</v>
      </c>
      <c r="E91">
        <f>E$1*(1-Data!BF86)+E$2*Data!BF86</f>
        <v>1</v>
      </c>
      <c r="F91">
        <f t="shared" si="1"/>
        <v>1.9230769230769232E-2</v>
      </c>
      <c r="G91" s="15">
        <f t="shared" ref="G91:G116" si="3">(J91/H91)^(1/(K91-I91))-1</f>
        <v>1.5994717571488515E-2</v>
      </c>
      <c r="H91">
        <f t="shared" ref="H91:H116" si="4">MIN(L91:BE91)</f>
        <v>21.8</v>
      </c>
      <c r="I91">
        <f t="shared" ref="I91:I116" si="5">LOOKUP(H91,L91:BE91,L$8:BE$8)</f>
        <v>2030</v>
      </c>
      <c r="J91">
        <f t="shared" ref="J91:J116" si="6">MAX(L91:BE91)</f>
        <v>66.2</v>
      </c>
      <c r="K91">
        <f t="shared" ref="K91:K116" si="7">LOOKUP(J91,L91:BE91,L$8:BE$8)</f>
        <v>2100</v>
      </c>
      <c r="V91" s="1">
        <v>21.8</v>
      </c>
      <c r="AJ91">
        <v>66.2</v>
      </c>
      <c r="JF91" t="e">
        <f t="shared" si="2"/>
        <v>#DIV/0!</v>
      </c>
    </row>
    <row r="92" spans="1:266" x14ac:dyDescent="0.2">
      <c r="A92">
        <f>Data!A87</f>
        <v>0</v>
      </c>
      <c r="B92">
        <f>Data!B87</f>
        <v>0</v>
      </c>
      <c r="C92">
        <f>Data!E87</f>
        <v>1993</v>
      </c>
      <c r="D92" s="8">
        <f>Data!N87</f>
        <v>1.9230769230769232E-2</v>
      </c>
      <c r="E92">
        <f>E$1*(1-Data!BF87)+E$2*Data!BF87</f>
        <v>1</v>
      </c>
      <c r="F92">
        <f t="shared" si="1"/>
        <v>1.9230769230769232E-2</v>
      </c>
      <c r="G92" s="15">
        <f t="shared" si="3"/>
        <v>1.5708417755646797E-2</v>
      </c>
      <c r="H92">
        <f t="shared" si="4"/>
        <v>22.1</v>
      </c>
      <c r="I92">
        <f t="shared" si="5"/>
        <v>2030</v>
      </c>
      <c r="J92">
        <f t="shared" si="6"/>
        <v>65.8</v>
      </c>
      <c r="K92">
        <f t="shared" si="7"/>
        <v>2100</v>
      </c>
      <c r="V92" s="1">
        <v>22.1</v>
      </c>
      <c r="AJ92">
        <v>65.8</v>
      </c>
      <c r="JF92" t="e">
        <f t="shared" si="2"/>
        <v>#DIV/0!</v>
      </c>
    </row>
    <row r="93" spans="1:266" x14ac:dyDescent="0.2">
      <c r="A93">
        <f>Data!A88</f>
        <v>0</v>
      </c>
      <c r="B93">
        <f>Data!B88</f>
        <v>0</v>
      </c>
      <c r="C93">
        <f>Data!E88</f>
        <v>1993</v>
      </c>
      <c r="D93" s="8">
        <f>Data!N88</f>
        <v>1.9230769230769232E-2</v>
      </c>
      <c r="E93">
        <f>E$1*(1-Data!BF88)+E$2*Data!BF88</f>
        <v>1</v>
      </c>
      <c r="F93">
        <f t="shared" si="1"/>
        <v>1.9230769230769232E-2</v>
      </c>
      <c r="G93" s="15">
        <f t="shared" si="3"/>
        <v>1.6152417924019336E-2</v>
      </c>
      <c r="H93">
        <f t="shared" si="4"/>
        <v>22.9</v>
      </c>
      <c r="I93">
        <f t="shared" si="5"/>
        <v>2030</v>
      </c>
      <c r="J93">
        <f t="shared" si="6"/>
        <v>70.3</v>
      </c>
      <c r="K93">
        <f t="shared" si="7"/>
        <v>2100</v>
      </c>
      <c r="V93" s="1">
        <v>22.9</v>
      </c>
      <c r="AJ93">
        <v>70.3</v>
      </c>
      <c r="JF93" t="e">
        <f t="shared" si="2"/>
        <v>#DIV/0!</v>
      </c>
    </row>
    <row r="94" spans="1:266" x14ac:dyDescent="0.2">
      <c r="A94">
        <f>Data!A89</f>
        <v>0</v>
      </c>
      <c r="B94">
        <f>Data!B89</f>
        <v>0</v>
      </c>
      <c r="C94">
        <f>Data!E89</f>
        <v>1993</v>
      </c>
      <c r="D94" s="8">
        <f>Data!N89</f>
        <v>1.9230769230769232E-2</v>
      </c>
      <c r="E94">
        <f>E$1*(1-Data!BF89)+E$2*Data!BF89</f>
        <v>1</v>
      </c>
      <c r="F94">
        <f t="shared" si="1"/>
        <v>1.9230769230769232E-2</v>
      </c>
      <c r="G94" s="15">
        <f t="shared" si="3"/>
        <v>1.8152717291093579E-2</v>
      </c>
      <c r="H94">
        <f t="shared" si="4"/>
        <v>21.8</v>
      </c>
      <c r="I94">
        <f t="shared" si="5"/>
        <v>2030</v>
      </c>
      <c r="J94">
        <f t="shared" si="6"/>
        <v>76.8</v>
      </c>
      <c r="K94">
        <f t="shared" si="7"/>
        <v>2100</v>
      </c>
      <c r="V94" s="1">
        <v>21.8</v>
      </c>
      <c r="AJ94">
        <v>76.8</v>
      </c>
      <c r="JF94" t="e">
        <f t="shared" si="2"/>
        <v>#DIV/0!</v>
      </c>
    </row>
    <row r="95" spans="1:266" x14ac:dyDescent="0.2">
      <c r="A95">
        <f>Data!A90</f>
        <v>0</v>
      </c>
      <c r="B95">
        <f>Data!B90</f>
        <v>0</v>
      </c>
      <c r="C95">
        <f>Data!E90</f>
        <v>1993</v>
      </c>
      <c r="D95" s="8">
        <f>Data!N90</f>
        <v>1.9230769230769232E-2</v>
      </c>
      <c r="E95">
        <f>E$1*(1-Data!BF90)+E$2*Data!BF90</f>
        <v>1</v>
      </c>
      <c r="F95">
        <f t="shared" si="1"/>
        <v>1.9230769230769232E-2</v>
      </c>
      <c r="G95" s="15">
        <f t="shared" si="3"/>
        <v>1.5774425110088419E-2</v>
      </c>
      <c r="H95">
        <f t="shared" si="4"/>
        <v>22.1</v>
      </c>
      <c r="I95">
        <f t="shared" si="5"/>
        <v>2030</v>
      </c>
      <c r="J95">
        <f t="shared" si="6"/>
        <v>66.099999999999994</v>
      </c>
      <c r="K95">
        <f t="shared" si="7"/>
        <v>2100</v>
      </c>
      <c r="V95" s="1">
        <v>22.1</v>
      </c>
      <c r="AJ95">
        <v>66.099999999999994</v>
      </c>
      <c r="JF95" t="e">
        <f t="shared" si="2"/>
        <v>#DIV/0!</v>
      </c>
    </row>
    <row r="96" spans="1:266" x14ac:dyDescent="0.2">
      <c r="A96">
        <f>Data!A91</f>
        <v>0</v>
      </c>
      <c r="B96">
        <f>Data!B91</f>
        <v>0</v>
      </c>
      <c r="C96">
        <f>Data!E91</f>
        <v>1993</v>
      </c>
      <c r="D96" s="8">
        <f>Data!N91</f>
        <v>1.9230769230769232E-2</v>
      </c>
      <c r="E96">
        <f>E$1*(1-Data!BF91)+E$2*Data!BF91</f>
        <v>1</v>
      </c>
      <c r="F96">
        <f t="shared" si="1"/>
        <v>1.9230769230769232E-2</v>
      </c>
      <c r="G96" s="15">
        <f t="shared" si="3"/>
        <v>1.3512589345815673E-2</v>
      </c>
      <c r="H96">
        <f t="shared" si="4"/>
        <v>3.4</v>
      </c>
      <c r="I96">
        <f t="shared" si="5"/>
        <v>2030</v>
      </c>
      <c r="J96">
        <f t="shared" si="6"/>
        <v>8.6999999999999993</v>
      </c>
      <c r="K96">
        <f t="shared" si="7"/>
        <v>2100</v>
      </c>
      <c r="V96" s="1">
        <v>3.4</v>
      </c>
      <c r="AJ96">
        <v>8.6999999999999993</v>
      </c>
      <c r="JF96" t="e">
        <f t="shared" si="2"/>
        <v>#DIV/0!</v>
      </c>
    </row>
    <row r="97" spans="1:266" x14ac:dyDescent="0.2">
      <c r="A97">
        <f>Data!A92</f>
        <v>0</v>
      </c>
      <c r="B97">
        <f>Data!B92</f>
        <v>0</v>
      </c>
      <c r="C97">
        <f>Data!E92</f>
        <v>1993</v>
      </c>
      <c r="D97" s="8">
        <f>Data!N92</f>
        <v>1.9230769230769232E-2</v>
      </c>
      <c r="E97">
        <f>E$1*(1-Data!BF92)+E$2*Data!BF92</f>
        <v>1</v>
      </c>
      <c r="F97">
        <f t="shared" si="1"/>
        <v>1.9230769230769232E-2</v>
      </c>
      <c r="G97" s="15">
        <f t="shared" si="3"/>
        <v>1.5004639248692886E-2</v>
      </c>
      <c r="H97">
        <f t="shared" si="4"/>
        <v>5.5</v>
      </c>
      <c r="I97">
        <f t="shared" si="5"/>
        <v>2030</v>
      </c>
      <c r="J97">
        <f t="shared" si="6"/>
        <v>15.6</v>
      </c>
      <c r="K97">
        <f t="shared" si="7"/>
        <v>2100</v>
      </c>
      <c r="V97" s="1">
        <v>5.5</v>
      </c>
      <c r="AJ97">
        <v>15.6</v>
      </c>
      <c r="JF97" t="e">
        <f t="shared" si="2"/>
        <v>#DIV/0!</v>
      </c>
    </row>
    <row r="98" spans="1:266" x14ac:dyDescent="0.2">
      <c r="A98">
        <f>Data!A93</f>
        <v>0</v>
      </c>
      <c r="B98">
        <f>Data!B93</f>
        <v>0</v>
      </c>
      <c r="C98">
        <f>Data!E93</f>
        <v>1993</v>
      </c>
      <c r="D98" s="8">
        <f>Data!N93</f>
        <v>1.9230769230769232E-2</v>
      </c>
      <c r="E98">
        <f>E$1*(1-Data!BF93)+E$2*Data!BF93</f>
        <v>1</v>
      </c>
      <c r="F98">
        <f t="shared" si="1"/>
        <v>1.9230769230769232E-2</v>
      </c>
      <c r="G98" s="15">
        <f t="shared" si="3"/>
        <v>5.6486338155408156E-3</v>
      </c>
      <c r="H98">
        <f t="shared" si="4"/>
        <v>12</v>
      </c>
      <c r="I98">
        <f t="shared" si="5"/>
        <v>2030</v>
      </c>
      <c r="J98">
        <f t="shared" si="6"/>
        <v>17.8</v>
      </c>
      <c r="K98">
        <f t="shared" si="7"/>
        <v>2100</v>
      </c>
      <c r="V98" s="1">
        <v>12</v>
      </c>
      <c r="AJ98">
        <v>17.8</v>
      </c>
      <c r="JF98" t="e">
        <f t="shared" si="2"/>
        <v>#DIV/0!</v>
      </c>
    </row>
    <row r="99" spans="1:266" x14ac:dyDescent="0.2">
      <c r="A99">
        <f>Data!A94</f>
        <v>0</v>
      </c>
      <c r="B99">
        <f>Data!B94</f>
        <v>0</v>
      </c>
      <c r="C99">
        <f>Data!E94</f>
        <v>1993</v>
      </c>
      <c r="D99" s="8">
        <f>Data!N94</f>
        <v>1.9230769230769232E-2</v>
      </c>
      <c r="E99">
        <f>E$1*(1-Data!BF94)+E$2*Data!BF94</f>
        <v>1</v>
      </c>
      <c r="F99">
        <f t="shared" si="1"/>
        <v>1.9230769230769232E-2</v>
      </c>
      <c r="G99" s="15">
        <f t="shared" si="3"/>
        <v>1.5028942302166559E-2</v>
      </c>
      <c r="H99">
        <f t="shared" si="4"/>
        <v>10.7</v>
      </c>
      <c r="I99">
        <f t="shared" si="5"/>
        <v>2030</v>
      </c>
      <c r="J99">
        <f t="shared" si="6"/>
        <v>30.4</v>
      </c>
      <c r="K99">
        <f t="shared" si="7"/>
        <v>2100</v>
      </c>
      <c r="V99" s="1">
        <v>10.7</v>
      </c>
      <c r="AJ99">
        <v>30.4</v>
      </c>
      <c r="JF99" t="e">
        <f t="shared" si="2"/>
        <v>#DIV/0!</v>
      </c>
    </row>
    <row r="100" spans="1:266" x14ac:dyDescent="0.2">
      <c r="A100">
        <f>Data!A95</f>
        <v>0</v>
      </c>
      <c r="B100">
        <f>Data!B95</f>
        <v>0</v>
      </c>
      <c r="C100">
        <f>Data!E95</f>
        <v>1993</v>
      </c>
      <c r="D100" s="8">
        <f>Data!N95</f>
        <v>1.9230769230769232E-2</v>
      </c>
      <c r="E100">
        <f>E$1*(1-Data!BF95)+E$2*Data!BF95</f>
        <v>1</v>
      </c>
      <c r="F100">
        <f t="shared" si="1"/>
        <v>1.9230769230769232E-2</v>
      </c>
      <c r="G100" s="15">
        <f t="shared" si="3"/>
        <v>1.6019491245115036E-2</v>
      </c>
      <c r="H100">
        <f t="shared" si="4"/>
        <v>19.100000000000001</v>
      </c>
      <c r="I100">
        <f t="shared" si="5"/>
        <v>2030</v>
      </c>
      <c r="J100">
        <f t="shared" si="6"/>
        <v>58.1</v>
      </c>
      <c r="K100">
        <f t="shared" si="7"/>
        <v>2100</v>
      </c>
      <c r="V100" s="1">
        <v>19.100000000000001</v>
      </c>
      <c r="AJ100">
        <v>58.1</v>
      </c>
      <c r="JF100" t="e">
        <f t="shared" si="2"/>
        <v>#DIV/0!</v>
      </c>
    </row>
    <row r="101" spans="1:266" x14ac:dyDescent="0.2">
      <c r="A101">
        <f>Data!A96</f>
        <v>0</v>
      </c>
      <c r="B101">
        <f>Data!B96</f>
        <v>0</v>
      </c>
      <c r="C101">
        <f>Data!E96</f>
        <v>1993</v>
      </c>
      <c r="D101" s="8">
        <f>Data!N96</f>
        <v>1.9230769230769232E-2</v>
      </c>
      <c r="E101">
        <f>E$1*(1-Data!BF96)+E$2*Data!BF96</f>
        <v>1</v>
      </c>
      <c r="F101">
        <f t="shared" si="1"/>
        <v>1.9230769230769232E-2</v>
      </c>
      <c r="G101" s="15">
        <f t="shared" si="3"/>
        <v>1.6240451583114712E-2</v>
      </c>
      <c r="H101">
        <f t="shared" si="4"/>
        <v>19.2</v>
      </c>
      <c r="I101">
        <f t="shared" si="5"/>
        <v>2030</v>
      </c>
      <c r="J101">
        <f t="shared" si="6"/>
        <v>59.3</v>
      </c>
      <c r="K101">
        <f t="shared" si="7"/>
        <v>2100</v>
      </c>
      <c r="V101" s="1">
        <v>19.2</v>
      </c>
      <c r="AJ101">
        <v>59.3</v>
      </c>
      <c r="JF101" t="e">
        <f t="shared" si="2"/>
        <v>#DIV/0!</v>
      </c>
    </row>
    <row r="102" spans="1:266" x14ac:dyDescent="0.2">
      <c r="A102">
        <f>Data!A97</f>
        <v>0</v>
      </c>
      <c r="B102">
        <f>Data!B97</f>
        <v>0</v>
      </c>
      <c r="C102">
        <f>Data!E97</f>
        <v>1993</v>
      </c>
      <c r="D102" s="8">
        <f>Data!N97</f>
        <v>1.9230769230769232E-2</v>
      </c>
      <c r="E102">
        <f>E$1*(1-Data!BF97)+E$2*Data!BF97</f>
        <v>1</v>
      </c>
      <c r="F102">
        <f t="shared" si="1"/>
        <v>1.9230769230769232E-2</v>
      </c>
      <c r="G102" s="15">
        <f t="shared" si="3"/>
        <v>1.2070572143270342E-2</v>
      </c>
      <c r="H102">
        <f t="shared" si="4"/>
        <v>17.399999999999999</v>
      </c>
      <c r="I102">
        <f t="shared" si="5"/>
        <v>2030</v>
      </c>
      <c r="J102">
        <f t="shared" si="6"/>
        <v>40.299999999999997</v>
      </c>
      <c r="K102">
        <f t="shared" si="7"/>
        <v>2100</v>
      </c>
      <c r="V102" s="1">
        <v>17.399999999999999</v>
      </c>
      <c r="AJ102">
        <v>40.299999999999997</v>
      </c>
      <c r="JF102" t="e">
        <f t="shared" si="2"/>
        <v>#DIV/0!</v>
      </c>
    </row>
    <row r="103" spans="1:266" x14ac:dyDescent="0.2">
      <c r="A103">
        <f>Data!A98</f>
        <v>0</v>
      </c>
      <c r="B103">
        <f>Data!B98</f>
        <v>0</v>
      </c>
      <c r="C103">
        <f>Data!E98</f>
        <v>1993</v>
      </c>
      <c r="D103" s="8">
        <f>Data!N98</f>
        <v>1.9230769230769232E-2</v>
      </c>
      <c r="E103">
        <f>E$1*(1-Data!BF98)+E$2*Data!BF98</f>
        <v>1</v>
      </c>
      <c r="F103">
        <f t="shared" si="1"/>
        <v>1.9230769230769232E-2</v>
      </c>
      <c r="G103" s="15">
        <f t="shared" si="3"/>
        <v>1.5167617133759137E-2</v>
      </c>
      <c r="H103">
        <f t="shared" si="4"/>
        <v>22.8</v>
      </c>
      <c r="I103">
        <f t="shared" si="5"/>
        <v>2030</v>
      </c>
      <c r="J103">
        <f t="shared" si="6"/>
        <v>65.400000000000006</v>
      </c>
      <c r="K103">
        <f t="shared" si="7"/>
        <v>2100</v>
      </c>
      <c r="V103" s="1">
        <v>22.8</v>
      </c>
      <c r="AJ103">
        <v>65.400000000000006</v>
      </c>
      <c r="JF103" t="e">
        <f t="shared" si="2"/>
        <v>#DIV/0!</v>
      </c>
    </row>
    <row r="104" spans="1:266" x14ac:dyDescent="0.2">
      <c r="A104">
        <f>Data!A99</f>
        <v>0</v>
      </c>
      <c r="B104">
        <f>Data!B99</f>
        <v>0</v>
      </c>
      <c r="C104">
        <f>Data!E99</f>
        <v>1993</v>
      </c>
      <c r="D104" s="8">
        <f>Data!N99</f>
        <v>1.9230769230769232E-2</v>
      </c>
      <c r="E104">
        <f>E$1*(1-Data!BF99)+E$2*Data!BF99</f>
        <v>1</v>
      </c>
      <c r="F104">
        <f t="shared" si="1"/>
        <v>1.9230769230769232E-2</v>
      </c>
      <c r="G104" s="15">
        <f t="shared" si="3"/>
        <v>1.5862577662846489E-2</v>
      </c>
      <c r="H104">
        <f t="shared" si="4"/>
        <v>21.8</v>
      </c>
      <c r="I104">
        <f t="shared" si="5"/>
        <v>2030</v>
      </c>
      <c r="J104">
        <f t="shared" si="6"/>
        <v>65.599999999999994</v>
      </c>
      <c r="K104">
        <f t="shared" si="7"/>
        <v>2100</v>
      </c>
      <c r="V104" s="1">
        <v>21.8</v>
      </c>
      <c r="AJ104">
        <v>65.599999999999994</v>
      </c>
      <c r="JF104" t="e">
        <f t="shared" si="2"/>
        <v>#DIV/0!</v>
      </c>
    </row>
    <row r="105" spans="1:266" x14ac:dyDescent="0.2">
      <c r="A105">
        <f>Data!A100</f>
        <v>0</v>
      </c>
      <c r="B105">
        <f>Data!B100</f>
        <v>0</v>
      </c>
      <c r="C105">
        <f>Data!E100</f>
        <v>1993</v>
      </c>
      <c r="D105" s="8">
        <f>Data!N100</f>
        <v>1.9230769230769232E-2</v>
      </c>
      <c r="E105">
        <f>E$1*(1-Data!BF100)+E$2*Data!BF100</f>
        <v>1</v>
      </c>
      <c r="F105">
        <f t="shared" si="1"/>
        <v>1.9230769230769232E-2</v>
      </c>
      <c r="G105" s="15">
        <f t="shared" si="3"/>
        <v>1.5198014070569421E-2</v>
      </c>
      <c r="H105">
        <f t="shared" si="4"/>
        <v>22.3</v>
      </c>
      <c r="I105">
        <f t="shared" si="5"/>
        <v>2030</v>
      </c>
      <c r="J105">
        <f t="shared" si="6"/>
        <v>64.099999999999994</v>
      </c>
      <c r="K105">
        <f t="shared" si="7"/>
        <v>2100</v>
      </c>
      <c r="V105" s="1">
        <v>22.3</v>
      </c>
      <c r="AJ105">
        <v>64.099999999999994</v>
      </c>
      <c r="JF105" t="e">
        <f t="shared" si="2"/>
        <v>#DIV/0!</v>
      </c>
    </row>
    <row r="106" spans="1:266" x14ac:dyDescent="0.2">
      <c r="A106">
        <f>Data!A101</f>
        <v>0</v>
      </c>
      <c r="B106">
        <f>Data!B101</f>
        <v>0</v>
      </c>
      <c r="C106">
        <f>Data!E101</f>
        <v>1993</v>
      </c>
      <c r="D106" s="8">
        <f>Data!N101</f>
        <v>1.9230769230769232E-2</v>
      </c>
      <c r="E106">
        <f>E$1*(1-Data!BF101)+E$2*Data!BF101</f>
        <v>1</v>
      </c>
      <c r="F106">
        <f t="shared" si="1"/>
        <v>1.9230769230769232E-2</v>
      </c>
      <c r="G106" s="15">
        <f t="shared" si="3"/>
        <v>1.5709406594831998E-2</v>
      </c>
      <c r="H106">
        <f t="shared" si="4"/>
        <v>22.3</v>
      </c>
      <c r="I106">
        <f t="shared" si="5"/>
        <v>2030</v>
      </c>
      <c r="J106">
        <f t="shared" si="6"/>
        <v>66.400000000000006</v>
      </c>
      <c r="K106">
        <f t="shared" si="7"/>
        <v>2100</v>
      </c>
      <c r="V106" s="1">
        <v>22.3</v>
      </c>
      <c r="AJ106">
        <v>66.400000000000006</v>
      </c>
      <c r="JF106" t="e">
        <f t="shared" si="2"/>
        <v>#DIV/0!</v>
      </c>
    </row>
    <row r="107" spans="1:266" x14ac:dyDescent="0.2">
      <c r="A107">
        <f>Data!A102</f>
        <v>0</v>
      </c>
      <c r="B107">
        <f>Data!B102</f>
        <v>0</v>
      </c>
      <c r="C107">
        <f>Data!E102</f>
        <v>1993</v>
      </c>
      <c r="D107" s="8">
        <f>Data!N102</f>
        <v>1.9230769230769232E-2</v>
      </c>
      <c r="E107">
        <f>E$1*(1-Data!BF102)+E$2*Data!BF102</f>
        <v>1</v>
      </c>
      <c r="F107">
        <f t="shared" si="1"/>
        <v>1.9230769230769232E-2</v>
      </c>
      <c r="G107" s="15">
        <f t="shared" si="3"/>
        <v>1.5402138583196612E-2</v>
      </c>
      <c r="H107">
        <f t="shared" si="4"/>
        <v>22.4</v>
      </c>
      <c r="I107">
        <f t="shared" si="5"/>
        <v>2030</v>
      </c>
      <c r="J107">
        <f t="shared" si="6"/>
        <v>65.3</v>
      </c>
      <c r="K107">
        <f t="shared" si="7"/>
        <v>2100</v>
      </c>
      <c r="V107" s="1">
        <v>22.4</v>
      </c>
      <c r="AJ107">
        <v>65.3</v>
      </c>
      <c r="JF107" t="e">
        <f t="shared" si="2"/>
        <v>#DIV/0!</v>
      </c>
    </row>
    <row r="108" spans="1:266" x14ac:dyDescent="0.2">
      <c r="A108">
        <f>Data!A103</f>
        <v>0</v>
      </c>
      <c r="B108">
        <f>Data!B103</f>
        <v>0</v>
      </c>
      <c r="C108">
        <f>Data!E103</f>
        <v>1993</v>
      </c>
      <c r="D108" s="8">
        <f>Data!N103</f>
        <v>1.9230769230769232E-2</v>
      </c>
      <c r="E108">
        <f>E$1*(1-Data!BF103)+E$2*Data!BF103</f>
        <v>1</v>
      </c>
      <c r="F108">
        <f t="shared" si="1"/>
        <v>1.9230769230769232E-2</v>
      </c>
      <c r="G108" s="15">
        <f t="shared" si="3"/>
        <v>1.7766293283558721E-2</v>
      </c>
      <c r="H108">
        <f t="shared" si="4"/>
        <v>57.6</v>
      </c>
      <c r="I108">
        <f t="shared" si="5"/>
        <v>2030</v>
      </c>
      <c r="J108">
        <f t="shared" si="6"/>
        <v>197.6</v>
      </c>
      <c r="K108">
        <f t="shared" si="7"/>
        <v>2100</v>
      </c>
      <c r="V108" s="1">
        <v>57.6</v>
      </c>
      <c r="AJ108">
        <v>197.6</v>
      </c>
      <c r="JF108" t="e">
        <f t="shared" si="2"/>
        <v>#DIV/0!</v>
      </c>
    </row>
    <row r="109" spans="1:266" x14ac:dyDescent="0.2">
      <c r="A109">
        <f>Data!A104</f>
        <v>0</v>
      </c>
      <c r="B109">
        <f>Data!B104</f>
        <v>0</v>
      </c>
      <c r="C109">
        <f>Data!E104</f>
        <v>1993</v>
      </c>
      <c r="D109" s="8">
        <f>Data!N104</f>
        <v>1.9230769230769232E-2</v>
      </c>
      <c r="E109">
        <f>E$1*(1-Data!BF104)+E$2*Data!BF104</f>
        <v>1</v>
      </c>
      <c r="F109">
        <f t="shared" si="1"/>
        <v>1.9230769230769232E-2</v>
      </c>
      <c r="G109" s="15">
        <f t="shared" si="3"/>
        <v>1.6275278424694672E-2</v>
      </c>
      <c r="H109">
        <f t="shared" si="4"/>
        <v>39.6</v>
      </c>
      <c r="I109">
        <f t="shared" si="5"/>
        <v>2030</v>
      </c>
      <c r="J109">
        <f t="shared" si="6"/>
        <v>122.6</v>
      </c>
      <c r="K109">
        <f t="shared" si="7"/>
        <v>2100</v>
      </c>
      <c r="V109" s="1">
        <v>39.6</v>
      </c>
      <c r="AJ109">
        <v>122.6</v>
      </c>
      <c r="JF109" t="e">
        <f t="shared" si="2"/>
        <v>#DIV/0!</v>
      </c>
    </row>
    <row r="110" spans="1:266" x14ac:dyDescent="0.2">
      <c r="A110">
        <f>Data!A105</f>
        <v>0</v>
      </c>
      <c r="B110">
        <f>Data!B105</f>
        <v>0</v>
      </c>
      <c r="C110">
        <f>Data!E105</f>
        <v>1993</v>
      </c>
      <c r="D110" s="8">
        <f>Data!N105</f>
        <v>1.9230769230769232E-2</v>
      </c>
      <c r="E110">
        <f>E$1*(1-Data!BF105)+E$2*Data!BF105</f>
        <v>1</v>
      </c>
      <c r="F110">
        <f t="shared" si="1"/>
        <v>1.9230769230769232E-2</v>
      </c>
      <c r="G110" s="15">
        <f t="shared" si="3"/>
        <v>2.3240320654192015E-2</v>
      </c>
      <c r="H110">
        <f t="shared" si="4"/>
        <v>32.5</v>
      </c>
      <c r="I110">
        <f t="shared" si="5"/>
        <v>2030</v>
      </c>
      <c r="J110">
        <f t="shared" si="6"/>
        <v>162.30000000000001</v>
      </c>
      <c r="K110">
        <f t="shared" si="7"/>
        <v>2100</v>
      </c>
      <c r="V110" s="1">
        <v>32.5</v>
      </c>
      <c r="AJ110">
        <v>162.30000000000001</v>
      </c>
      <c r="JF110" t="e">
        <f t="shared" si="2"/>
        <v>#DIV/0!</v>
      </c>
    </row>
    <row r="111" spans="1:266" x14ac:dyDescent="0.2">
      <c r="A111">
        <f>Data!A106</f>
        <v>0</v>
      </c>
      <c r="B111">
        <f>Data!B106</f>
        <v>0</v>
      </c>
      <c r="C111">
        <f>Data!E106</f>
        <v>1993</v>
      </c>
      <c r="D111" s="8">
        <f>Data!N106</f>
        <v>1.9230769230769232E-2</v>
      </c>
      <c r="E111">
        <f>E$1*(1-Data!BF106)+E$2*Data!BF106</f>
        <v>1</v>
      </c>
      <c r="F111">
        <f t="shared" si="1"/>
        <v>1.9230769230769232E-2</v>
      </c>
      <c r="G111" s="15">
        <f t="shared" si="3"/>
        <v>1.6438785680132018E-2</v>
      </c>
      <c r="H111">
        <f t="shared" si="4"/>
        <v>51.9</v>
      </c>
      <c r="I111">
        <f t="shared" si="5"/>
        <v>2030</v>
      </c>
      <c r="J111">
        <f t="shared" si="6"/>
        <v>162.5</v>
      </c>
      <c r="K111">
        <f t="shared" si="7"/>
        <v>2100</v>
      </c>
      <c r="V111" s="1">
        <v>51.9</v>
      </c>
      <c r="AJ111">
        <v>162.5</v>
      </c>
      <c r="JF111" t="e">
        <f t="shared" si="2"/>
        <v>#DIV/0!</v>
      </c>
    </row>
    <row r="112" spans="1:266" x14ac:dyDescent="0.2">
      <c r="A112">
        <f>Data!A107</f>
        <v>0</v>
      </c>
      <c r="B112">
        <f>Data!B107</f>
        <v>0</v>
      </c>
      <c r="C112">
        <f>Data!E107</f>
        <v>1993</v>
      </c>
      <c r="D112" s="8">
        <f>Data!N107</f>
        <v>1.9230769230769232E-2</v>
      </c>
      <c r="E112">
        <f>E$1*(1-Data!BF107)+E$2*Data!BF107</f>
        <v>1</v>
      </c>
      <c r="F112">
        <f t="shared" si="1"/>
        <v>1.9230769230769232E-2</v>
      </c>
      <c r="G112" s="15">
        <f t="shared" si="3"/>
        <v>1.5200841963524114E-2</v>
      </c>
      <c r="H112">
        <f t="shared" si="4"/>
        <v>24.8</v>
      </c>
      <c r="I112">
        <f t="shared" si="5"/>
        <v>2030</v>
      </c>
      <c r="J112">
        <f t="shared" si="6"/>
        <v>71.3</v>
      </c>
      <c r="K112">
        <f t="shared" si="7"/>
        <v>2100</v>
      </c>
      <c r="V112" s="1">
        <v>24.8</v>
      </c>
      <c r="AJ112">
        <v>71.3</v>
      </c>
      <c r="JF112" t="e">
        <f t="shared" si="2"/>
        <v>#DIV/0!</v>
      </c>
    </row>
    <row r="113" spans="1:266" x14ac:dyDescent="0.2">
      <c r="A113">
        <f>Data!A108</f>
        <v>0</v>
      </c>
      <c r="B113">
        <f>Data!B108</f>
        <v>0</v>
      </c>
      <c r="C113">
        <f>Data!E108</f>
        <v>1993</v>
      </c>
      <c r="D113" s="8">
        <f>Data!N108</f>
        <v>1.9230769230769232E-2</v>
      </c>
      <c r="E113">
        <f>E$1*(1-Data!BF108)+E$2*Data!BF108</f>
        <v>1</v>
      </c>
      <c r="F113">
        <f t="shared" si="1"/>
        <v>1.9230769230769232E-2</v>
      </c>
      <c r="G113" s="15">
        <f t="shared" si="3"/>
        <v>1.4965333358966326E-2</v>
      </c>
      <c r="H113">
        <f t="shared" si="4"/>
        <v>25.1</v>
      </c>
      <c r="I113">
        <f t="shared" si="5"/>
        <v>2030</v>
      </c>
      <c r="J113">
        <f t="shared" si="6"/>
        <v>71</v>
      </c>
      <c r="K113">
        <f t="shared" si="7"/>
        <v>2100</v>
      </c>
      <c r="V113" s="1">
        <v>25.1</v>
      </c>
      <c r="AJ113">
        <v>71</v>
      </c>
      <c r="JF113" t="e">
        <f t="shared" si="2"/>
        <v>#DIV/0!</v>
      </c>
    </row>
    <row r="114" spans="1:266" x14ac:dyDescent="0.2">
      <c r="A114">
        <f>Data!A109</f>
        <v>0</v>
      </c>
      <c r="B114">
        <f>Data!B109</f>
        <v>0</v>
      </c>
      <c r="C114">
        <f>Data!E109</f>
        <v>1993</v>
      </c>
      <c r="D114" s="8">
        <f>Data!N109</f>
        <v>1.9230769230769232E-2</v>
      </c>
      <c r="E114">
        <f>E$1*(1-Data!BF109)+E$2*Data!BF109</f>
        <v>1</v>
      </c>
      <c r="F114">
        <f t="shared" si="1"/>
        <v>1.9230769230769232E-2</v>
      </c>
      <c r="G114" s="15">
        <f t="shared" si="3"/>
        <v>1.9153929028025374E-2</v>
      </c>
      <c r="H114">
        <f t="shared" si="4"/>
        <v>28.3</v>
      </c>
      <c r="I114">
        <f t="shared" si="5"/>
        <v>2030</v>
      </c>
      <c r="J114">
        <f t="shared" si="6"/>
        <v>106.8</v>
      </c>
      <c r="K114">
        <f t="shared" si="7"/>
        <v>2100</v>
      </c>
      <c r="V114" s="1">
        <v>28.3</v>
      </c>
      <c r="AJ114">
        <v>106.8</v>
      </c>
      <c r="JF114" t="e">
        <f t="shared" si="2"/>
        <v>#DIV/0!</v>
      </c>
    </row>
    <row r="115" spans="1:266" x14ac:dyDescent="0.2">
      <c r="A115">
        <f>Data!A110</f>
        <v>0</v>
      </c>
      <c r="B115">
        <f>Data!B110</f>
        <v>0</v>
      </c>
      <c r="C115">
        <f>Data!E110</f>
        <v>1993</v>
      </c>
      <c r="D115" s="8">
        <f>Data!N110</f>
        <v>1.9230769230769232E-2</v>
      </c>
      <c r="E115">
        <f>E$1*(1-Data!BF110)+E$2*Data!BF110</f>
        <v>1</v>
      </c>
      <c r="F115">
        <f t="shared" si="1"/>
        <v>1.9230769230769232E-2</v>
      </c>
      <c r="G115" s="15">
        <f t="shared" si="3"/>
        <v>1.5856606904206982E-2</v>
      </c>
      <c r="H115">
        <f t="shared" si="4"/>
        <v>12.6</v>
      </c>
      <c r="I115">
        <f t="shared" si="5"/>
        <v>2030</v>
      </c>
      <c r="J115">
        <f t="shared" si="6"/>
        <v>37.9</v>
      </c>
      <c r="K115">
        <f t="shared" si="7"/>
        <v>2100</v>
      </c>
      <c r="V115" s="1">
        <v>12.6</v>
      </c>
      <c r="AJ115">
        <v>37.9</v>
      </c>
      <c r="JF115" t="e">
        <f t="shared" si="2"/>
        <v>#DIV/0!</v>
      </c>
    </row>
    <row r="116" spans="1:266" x14ac:dyDescent="0.2">
      <c r="A116">
        <f>Data!A111</f>
        <v>0</v>
      </c>
      <c r="B116">
        <f>Data!B111</f>
        <v>0</v>
      </c>
      <c r="C116">
        <f>Data!E111</f>
        <v>1993</v>
      </c>
      <c r="D116" s="8">
        <f>Data!N111</f>
        <v>1.9230769230769232E-2</v>
      </c>
      <c r="E116">
        <f>E$1*(1-Data!BF111)+E$2*Data!BF111</f>
        <v>1</v>
      </c>
      <c r="F116">
        <f t="shared" si="1"/>
        <v>1.9230769230769232E-2</v>
      </c>
      <c r="G116" s="15">
        <f t="shared" si="3"/>
        <v>1.6000283169701923E-2</v>
      </c>
      <c r="H116">
        <f t="shared" si="4"/>
        <v>44.9</v>
      </c>
      <c r="I116">
        <f t="shared" si="5"/>
        <v>2030</v>
      </c>
      <c r="J116">
        <f t="shared" si="6"/>
        <v>136.4</v>
      </c>
      <c r="K116">
        <f t="shared" si="7"/>
        <v>2100</v>
      </c>
      <c r="V116" s="1">
        <v>44.9</v>
      </c>
      <c r="AJ116">
        <v>136.4</v>
      </c>
      <c r="JF116" t="e">
        <f t="shared" si="2"/>
        <v>#DIV/0!</v>
      </c>
    </row>
    <row r="117" spans="1:266" x14ac:dyDescent="0.2">
      <c r="A117" t="str">
        <f>Data!A112</f>
        <v>Reilly and Richards</v>
      </c>
      <c r="B117" t="str">
        <f>Data!B112</f>
        <v>RM827</v>
      </c>
      <c r="C117">
        <f>Data!E112</f>
        <v>1993</v>
      </c>
    </row>
    <row r="118" spans="1:266" x14ac:dyDescent="0.2">
      <c r="A118">
        <f>Data!A113</f>
        <v>0</v>
      </c>
      <c r="B118">
        <f>Data!B113</f>
        <v>0</v>
      </c>
      <c r="C118">
        <f>Data!E113</f>
        <v>1993</v>
      </c>
    </row>
    <row r="119" spans="1:266" x14ac:dyDescent="0.2">
      <c r="A119">
        <f>Data!A114</f>
        <v>0</v>
      </c>
      <c r="B119">
        <f>Data!B114</f>
        <v>0</v>
      </c>
      <c r="C119">
        <f>Data!E114</f>
        <v>1993</v>
      </c>
    </row>
    <row r="120" spans="1:266" x14ac:dyDescent="0.2">
      <c r="A120">
        <f>Data!A115</f>
        <v>0</v>
      </c>
      <c r="B120">
        <f>Data!B115</f>
        <v>0</v>
      </c>
      <c r="C120">
        <f>Data!E115</f>
        <v>1993</v>
      </c>
    </row>
    <row r="121" spans="1:266" x14ac:dyDescent="0.2">
      <c r="A121">
        <f>Data!A116</f>
        <v>0</v>
      </c>
      <c r="B121">
        <f>Data!B116</f>
        <v>0</v>
      </c>
      <c r="C121">
        <f>Data!E116</f>
        <v>1993</v>
      </c>
    </row>
    <row r="122" spans="1:266" x14ac:dyDescent="0.2">
      <c r="A122">
        <f>Data!A117</f>
        <v>0</v>
      </c>
      <c r="B122">
        <f>Data!B117</f>
        <v>0</v>
      </c>
      <c r="C122">
        <f>Data!E117</f>
        <v>1993</v>
      </c>
    </row>
    <row r="123" spans="1:266" x14ac:dyDescent="0.2">
      <c r="A123">
        <f>Data!A118</f>
        <v>0</v>
      </c>
      <c r="B123">
        <f>Data!B118</f>
        <v>0</v>
      </c>
      <c r="C123">
        <f>Data!E118</f>
        <v>1993</v>
      </c>
    </row>
    <row r="124" spans="1:266" x14ac:dyDescent="0.2">
      <c r="A124">
        <f>Data!A119</f>
        <v>0</v>
      </c>
      <c r="B124">
        <f>Data!B119</f>
        <v>0</v>
      </c>
      <c r="C124">
        <f>Data!E119</f>
        <v>1993</v>
      </c>
    </row>
    <row r="125" spans="1:266" x14ac:dyDescent="0.2">
      <c r="A125" t="str">
        <f>Data!A120</f>
        <v>Fankhauser</v>
      </c>
      <c r="B125" t="str">
        <f>Data!B120</f>
        <v>RM295</v>
      </c>
      <c r="C125">
        <f>Data!E120</f>
        <v>1994</v>
      </c>
      <c r="D125">
        <v>1</v>
      </c>
      <c r="E125">
        <f>E$1*(1-Data!BF120)+E$2*Data!BF120</f>
        <v>1</v>
      </c>
      <c r="F125">
        <f>D125*E125</f>
        <v>1</v>
      </c>
      <c r="G125" s="15">
        <f t="shared" ref="G125" si="8">(J125/H125)^(1/(K125-I125))-1</f>
        <v>1.0535617344029191E-2</v>
      </c>
      <c r="H125">
        <f t="shared" ref="H125" si="9">MIN(L125:BE125)</f>
        <v>20.3</v>
      </c>
      <c r="I125">
        <f t="shared" ref="I125" si="10">LOOKUP(H125,L125:BE125,L$8:BE$8)</f>
        <v>1995</v>
      </c>
      <c r="J125">
        <f t="shared" ref="J125" si="11">MAX(L125:BE125)</f>
        <v>27.8</v>
      </c>
      <c r="K125">
        <f t="shared" ref="K125" si="12">LOOKUP(J125,L125:BE125,L$8:BE$8)</f>
        <v>2025</v>
      </c>
      <c r="O125">
        <v>20.3</v>
      </c>
      <c r="Q125">
        <v>22.8</v>
      </c>
      <c r="S125">
        <v>25.3</v>
      </c>
      <c r="U125">
        <v>27.8</v>
      </c>
      <c r="JF125" t="e">
        <f>1/SUM(BL125:JD125)</f>
        <v>#DIV/0!</v>
      </c>
    </row>
    <row r="126" spans="1:266" x14ac:dyDescent="0.2">
      <c r="A126" t="str">
        <f>Data!A121</f>
        <v>Nordhaus</v>
      </c>
      <c r="B126" t="str">
        <f>Data!B121</f>
        <v>RM758</v>
      </c>
      <c r="C126">
        <f>Data!E121</f>
        <v>1994</v>
      </c>
      <c r="D126">
        <v>1</v>
      </c>
      <c r="E126">
        <f>E$1*(1-Data!BF121)+E$2*Data!BF121</f>
        <v>1</v>
      </c>
      <c r="F126">
        <f>D126*E126</f>
        <v>1</v>
      </c>
      <c r="G126" s="15">
        <f t="shared" ref="G126" si="13">(J126/H126)^(1/(K126-I126))-1</f>
        <v>1.9363899512133687E-2</v>
      </c>
      <c r="H126">
        <f t="shared" ref="H126" si="14">MIN(L126:BE126)</f>
        <v>7.2</v>
      </c>
      <c r="I126">
        <f t="shared" ref="I126" si="15">LOOKUP(H126,L126:BE126,L$8:BE$8)</f>
        <v>2005</v>
      </c>
      <c r="J126">
        <f t="shared" ref="J126" si="16">MAX(L126:BE126)</f>
        <v>12.8</v>
      </c>
      <c r="K126">
        <f t="shared" ref="K126" si="17">LOOKUP(J126,L126:BE126,L$8:BE$8)</f>
        <v>2035</v>
      </c>
      <c r="Q126">
        <v>7.2</v>
      </c>
      <c r="W126">
        <v>12.8</v>
      </c>
      <c r="JF126" t="e">
        <f>1/SUM(BL126:JD126)</f>
        <v>#DIV/0!</v>
      </c>
    </row>
    <row r="127" spans="1:266" x14ac:dyDescent="0.2">
      <c r="A127" t="str">
        <f>Data!A122</f>
        <v>Azar</v>
      </c>
      <c r="B127" t="str">
        <f>Data!B122</f>
        <v>RM6623</v>
      </c>
      <c r="C127">
        <f>Data!E122</f>
        <v>1994</v>
      </c>
    </row>
    <row r="128" spans="1:266" x14ac:dyDescent="0.2">
      <c r="A128">
        <f>Data!A123</f>
        <v>0</v>
      </c>
      <c r="B128">
        <f>Data!B123</f>
        <v>0</v>
      </c>
      <c r="C128">
        <f>Data!E123</f>
        <v>1994</v>
      </c>
    </row>
    <row r="129" spans="1:266" x14ac:dyDescent="0.2">
      <c r="A129">
        <f>Data!A124</f>
        <v>0</v>
      </c>
      <c r="B129">
        <f>Data!B124</f>
        <v>0</v>
      </c>
      <c r="C129">
        <f>Data!E124</f>
        <v>1994</v>
      </c>
    </row>
    <row r="130" spans="1:266" x14ac:dyDescent="0.2">
      <c r="A130" t="str">
        <f>Data!A125</f>
        <v>Maddison</v>
      </c>
      <c r="B130" t="str">
        <f>Data!B125</f>
        <v>RM1761</v>
      </c>
      <c r="C130">
        <f>Data!E125</f>
        <v>1995</v>
      </c>
      <c r="D130">
        <v>1</v>
      </c>
      <c r="E130">
        <f>E$1*(1-Data!BF125)+E$2*Data!BF125</f>
        <v>1</v>
      </c>
      <c r="F130">
        <f>D130*E130</f>
        <v>1</v>
      </c>
      <c r="G130" s="15">
        <f t="shared" ref="G130" si="18">(J130/H130)^(1/(K130-I130))-1</f>
        <v>2.2296033232823698E-2</v>
      </c>
      <c r="H130">
        <f t="shared" ref="H130" si="19">MIN(L130:BE130)</f>
        <v>16.84</v>
      </c>
      <c r="I130">
        <f t="shared" ref="I130" si="20">LOOKUP(H130,L130:BE130,L$8:BE$8)</f>
        <v>2000</v>
      </c>
      <c r="J130">
        <f t="shared" ref="J130" si="21">MAX(L130:BE130)</f>
        <v>152.76</v>
      </c>
      <c r="K130">
        <f t="shared" ref="K130" si="22">LOOKUP(J130,L130:BE130,L$8:BE$8)</f>
        <v>2100</v>
      </c>
      <c r="P130">
        <v>16.84</v>
      </c>
      <c r="R130">
        <v>22.13</v>
      </c>
      <c r="T130">
        <v>28.52</v>
      </c>
      <c r="V130">
        <v>36.270000000000003</v>
      </c>
      <c r="X130">
        <v>45.71</v>
      </c>
      <c r="Z130">
        <v>56.93</v>
      </c>
      <c r="AB130">
        <v>70.25</v>
      </c>
      <c r="AD130">
        <v>86.02</v>
      </c>
      <c r="AF130">
        <v>104.67</v>
      </c>
      <c r="AH130">
        <v>126.71</v>
      </c>
      <c r="AJ130">
        <v>152.76</v>
      </c>
      <c r="JF130" t="e">
        <f>1/SUM(BL130:JD130)</f>
        <v>#DIV/0!</v>
      </c>
    </row>
    <row r="131" spans="1:266" x14ac:dyDescent="0.2">
      <c r="A131" t="str">
        <f>Data!A126</f>
        <v>Plambeck &amp; Hope</v>
      </c>
      <c r="B131" t="str">
        <f>Data!B126</f>
        <v>RM1826</v>
      </c>
      <c r="C131">
        <f>Data!E126</f>
        <v>1996</v>
      </c>
    </row>
    <row r="132" spans="1:266" x14ac:dyDescent="0.2">
      <c r="A132">
        <f>Data!A127</f>
        <v>0</v>
      </c>
      <c r="B132">
        <f>Data!B127</f>
        <v>0</v>
      </c>
      <c r="C132">
        <f>Data!E127</f>
        <v>1996</v>
      </c>
    </row>
    <row r="133" spans="1:266" x14ac:dyDescent="0.2">
      <c r="A133">
        <f>Data!A128</f>
        <v>0</v>
      </c>
      <c r="B133">
        <f>Data!B128</f>
        <v>0</v>
      </c>
      <c r="C133">
        <f>Data!E128</f>
        <v>1996</v>
      </c>
    </row>
    <row r="134" spans="1:266" x14ac:dyDescent="0.2">
      <c r="A134">
        <f>Data!A129</f>
        <v>0</v>
      </c>
      <c r="B134">
        <f>Data!B129</f>
        <v>0</v>
      </c>
      <c r="C134">
        <f>Data!E129</f>
        <v>1996</v>
      </c>
    </row>
    <row r="135" spans="1:266" x14ac:dyDescent="0.2">
      <c r="A135">
        <f>Data!A130</f>
        <v>0</v>
      </c>
      <c r="B135">
        <f>Data!B130</f>
        <v>0</v>
      </c>
      <c r="C135">
        <f>Data!E130</f>
        <v>1996</v>
      </c>
    </row>
    <row r="136" spans="1:266" x14ac:dyDescent="0.2">
      <c r="A136">
        <f>Data!A131</f>
        <v>0</v>
      </c>
      <c r="B136">
        <f>Data!B131</f>
        <v>0</v>
      </c>
      <c r="C136">
        <f>Data!E131</f>
        <v>1996</v>
      </c>
    </row>
    <row r="137" spans="1:266" x14ac:dyDescent="0.2">
      <c r="A137">
        <f>Data!A132</f>
        <v>0</v>
      </c>
      <c r="B137">
        <f>Data!B132</f>
        <v>0</v>
      </c>
      <c r="C137">
        <f>Data!E132</f>
        <v>1996</v>
      </c>
    </row>
    <row r="138" spans="1:266" x14ac:dyDescent="0.2">
      <c r="A138">
        <f>Data!A133</f>
        <v>0</v>
      </c>
      <c r="B138">
        <f>Data!B133</f>
        <v>0</v>
      </c>
      <c r="C138">
        <f>Data!E133</f>
        <v>1996</v>
      </c>
    </row>
    <row r="139" spans="1:266" x14ac:dyDescent="0.2">
      <c r="A139" t="str">
        <f>Data!A134</f>
        <v>Schauer</v>
      </c>
      <c r="B139" t="str">
        <f>Data!B134</f>
        <v>RM7321</v>
      </c>
      <c r="C139">
        <f>Data!E134</f>
        <v>1995</v>
      </c>
    </row>
    <row r="140" spans="1:266" x14ac:dyDescent="0.2">
      <c r="A140">
        <f>Data!A135</f>
        <v>0</v>
      </c>
      <c r="B140">
        <f>Data!B135</f>
        <v>0</v>
      </c>
      <c r="C140">
        <f>Data!E135</f>
        <v>1995</v>
      </c>
    </row>
    <row r="141" spans="1:266" x14ac:dyDescent="0.2">
      <c r="A141" t="str">
        <f>Data!A136</f>
        <v>Azar and Sterner</v>
      </c>
      <c r="B141" t="str">
        <f>Data!B136</f>
        <v>RM2626</v>
      </c>
      <c r="C141">
        <f>Data!E136</f>
        <v>1996</v>
      </c>
    </row>
    <row r="142" spans="1:266" x14ac:dyDescent="0.2">
      <c r="A142">
        <f>Data!A137</f>
        <v>0</v>
      </c>
      <c r="B142">
        <f>Data!B137</f>
        <v>0</v>
      </c>
      <c r="C142">
        <f>Data!E137</f>
        <v>1996</v>
      </c>
    </row>
    <row r="143" spans="1:266" x14ac:dyDescent="0.2">
      <c r="A143">
        <f>Data!A138</f>
        <v>0</v>
      </c>
      <c r="B143">
        <f>Data!B138</f>
        <v>0</v>
      </c>
      <c r="C143">
        <f>Data!E138</f>
        <v>1996</v>
      </c>
    </row>
    <row r="144" spans="1:266" x14ac:dyDescent="0.2">
      <c r="A144">
        <f>Data!A139</f>
        <v>0</v>
      </c>
      <c r="B144">
        <f>Data!B139</f>
        <v>0</v>
      </c>
      <c r="C144">
        <f>Data!E139</f>
        <v>1996</v>
      </c>
    </row>
    <row r="145" spans="1:3" x14ac:dyDescent="0.2">
      <c r="A145">
        <f>Data!A140</f>
        <v>0</v>
      </c>
      <c r="B145">
        <f>Data!B140</f>
        <v>0</v>
      </c>
      <c r="C145">
        <f>Data!E140</f>
        <v>1996</v>
      </c>
    </row>
    <row r="146" spans="1:3" x14ac:dyDescent="0.2">
      <c r="A146">
        <f>Data!A141</f>
        <v>0</v>
      </c>
      <c r="B146">
        <f>Data!B141</f>
        <v>0</v>
      </c>
      <c r="C146">
        <f>Data!E141</f>
        <v>1996</v>
      </c>
    </row>
    <row r="147" spans="1:3" x14ac:dyDescent="0.2">
      <c r="A147">
        <f>Data!A142</f>
        <v>0</v>
      </c>
      <c r="B147">
        <f>Data!B142</f>
        <v>0</v>
      </c>
      <c r="C147">
        <f>Data!E142</f>
        <v>1996</v>
      </c>
    </row>
    <row r="148" spans="1:3" x14ac:dyDescent="0.2">
      <c r="A148">
        <f>Data!A143</f>
        <v>0</v>
      </c>
      <c r="B148">
        <f>Data!B143</f>
        <v>0</v>
      </c>
      <c r="C148">
        <f>Data!E143</f>
        <v>1996</v>
      </c>
    </row>
    <row r="149" spans="1:3" x14ac:dyDescent="0.2">
      <c r="A149">
        <f>Data!A144</f>
        <v>0</v>
      </c>
      <c r="B149">
        <f>Data!B144</f>
        <v>0</v>
      </c>
      <c r="C149">
        <f>Data!E144</f>
        <v>1996</v>
      </c>
    </row>
    <row r="150" spans="1:3" x14ac:dyDescent="0.2">
      <c r="A150">
        <f>Data!A145</f>
        <v>0</v>
      </c>
      <c r="B150">
        <f>Data!B145</f>
        <v>0</v>
      </c>
      <c r="C150">
        <f>Data!E145</f>
        <v>1996</v>
      </c>
    </row>
    <row r="151" spans="1:3" x14ac:dyDescent="0.2">
      <c r="A151">
        <f>Data!A146</f>
        <v>0</v>
      </c>
      <c r="B151">
        <f>Data!B146</f>
        <v>0</v>
      </c>
      <c r="C151">
        <f>Data!E146</f>
        <v>1996</v>
      </c>
    </row>
    <row r="152" spans="1:3" x14ac:dyDescent="0.2">
      <c r="A152">
        <f>Data!A147</f>
        <v>0</v>
      </c>
      <c r="B152">
        <f>Data!B147</f>
        <v>0</v>
      </c>
      <c r="C152">
        <f>Data!E147</f>
        <v>1996</v>
      </c>
    </row>
    <row r="153" spans="1:3" x14ac:dyDescent="0.2">
      <c r="A153">
        <f>Data!A148</f>
        <v>0</v>
      </c>
      <c r="B153">
        <f>Data!B148</f>
        <v>0</v>
      </c>
      <c r="C153">
        <f>Data!E148</f>
        <v>1996</v>
      </c>
    </row>
    <row r="154" spans="1:3" x14ac:dyDescent="0.2">
      <c r="A154">
        <f>Data!A149</f>
        <v>0</v>
      </c>
      <c r="B154">
        <f>Data!B149</f>
        <v>0</v>
      </c>
      <c r="C154">
        <f>Data!E149</f>
        <v>1996</v>
      </c>
    </row>
    <row r="155" spans="1:3" x14ac:dyDescent="0.2">
      <c r="A155">
        <f>Data!A150</f>
        <v>0</v>
      </c>
      <c r="B155">
        <f>Data!B150</f>
        <v>0</v>
      </c>
      <c r="C155">
        <f>Data!E150</f>
        <v>1996</v>
      </c>
    </row>
    <row r="156" spans="1:3" x14ac:dyDescent="0.2">
      <c r="A156">
        <f>Data!A151</f>
        <v>0</v>
      </c>
      <c r="B156">
        <f>Data!B151</f>
        <v>0</v>
      </c>
      <c r="C156">
        <f>Data!E151</f>
        <v>1996</v>
      </c>
    </row>
    <row r="157" spans="1:3" x14ac:dyDescent="0.2">
      <c r="A157" t="str">
        <f>Data!A152</f>
        <v>Downing et al.</v>
      </c>
      <c r="B157" t="str">
        <f>Data!B152</f>
        <v>RM4722</v>
      </c>
      <c r="C157">
        <f>Data!E152</f>
        <v>1996</v>
      </c>
    </row>
    <row r="158" spans="1:3" x14ac:dyDescent="0.2">
      <c r="A158">
        <f>Data!A153</f>
        <v>0</v>
      </c>
      <c r="B158">
        <f>Data!B153</f>
        <v>0</v>
      </c>
      <c r="C158">
        <f>Data!E153</f>
        <v>1996</v>
      </c>
    </row>
    <row r="159" spans="1:3" x14ac:dyDescent="0.2">
      <c r="A159" t="str">
        <f>Data!A154</f>
        <v>Hohmeyer</v>
      </c>
      <c r="B159" t="str">
        <f>Data!B154</f>
        <v>RM2625</v>
      </c>
      <c r="C159">
        <f>Data!E154</f>
        <v>1996</v>
      </c>
    </row>
    <row r="160" spans="1:3" x14ac:dyDescent="0.2">
      <c r="A160" t="str">
        <f>Data!A155</f>
        <v>Hope &amp; Maul</v>
      </c>
      <c r="B160" t="str">
        <f>Data!B155</f>
        <v>RM1851</v>
      </c>
      <c r="C160">
        <f>Data!E155</f>
        <v>1996</v>
      </c>
    </row>
    <row r="161" spans="1:266" x14ac:dyDescent="0.2">
      <c r="A161">
        <f>Data!A156</f>
        <v>0</v>
      </c>
      <c r="B161">
        <f>Data!B156</f>
        <v>0</v>
      </c>
      <c r="C161">
        <f>Data!E156</f>
        <v>1996</v>
      </c>
    </row>
    <row r="162" spans="1:266" x14ac:dyDescent="0.2">
      <c r="A162">
        <f>Data!A157</f>
        <v>0</v>
      </c>
      <c r="B162">
        <f>Data!B157</f>
        <v>0</v>
      </c>
      <c r="C162">
        <f>Data!E157</f>
        <v>1996</v>
      </c>
    </row>
    <row r="163" spans="1:266" x14ac:dyDescent="0.2">
      <c r="A163">
        <f>Data!A158</f>
        <v>0</v>
      </c>
      <c r="B163">
        <f>Data!B158</f>
        <v>0</v>
      </c>
      <c r="C163">
        <f>Data!E158</f>
        <v>1996</v>
      </c>
    </row>
    <row r="164" spans="1:266" x14ac:dyDescent="0.2">
      <c r="A164">
        <f>Data!A159</f>
        <v>0</v>
      </c>
      <c r="B164">
        <f>Data!B159</f>
        <v>0</v>
      </c>
      <c r="C164">
        <f>Data!E159</f>
        <v>1996</v>
      </c>
    </row>
    <row r="165" spans="1:266" x14ac:dyDescent="0.2">
      <c r="A165">
        <f>Data!A160</f>
        <v>0</v>
      </c>
      <c r="B165">
        <f>Data!B160</f>
        <v>0</v>
      </c>
      <c r="C165">
        <f>Data!E160</f>
        <v>1996</v>
      </c>
    </row>
    <row r="166" spans="1:266" x14ac:dyDescent="0.2">
      <c r="A166" t="str">
        <f>Data!A161</f>
        <v>Nordhaus &amp; Yang</v>
      </c>
      <c r="B166" t="str">
        <f>Data!B161</f>
        <v>RM1893</v>
      </c>
      <c r="C166">
        <f>Data!E161</f>
        <v>1996</v>
      </c>
      <c r="D166">
        <v>1</v>
      </c>
      <c r="E166">
        <f>E$1*(1-Data!BF161)+E$2*Data!BF161</f>
        <v>1</v>
      </c>
      <c r="F166">
        <f>D166*E166</f>
        <v>1</v>
      </c>
      <c r="G166" s="15">
        <f t="shared" ref="G166" si="23">(J166/H166)^(1/(K166-I166))-1</f>
        <v>1.6224591267325561E-2</v>
      </c>
      <c r="H166">
        <f t="shared" ref="H166" si="24">MIN(L166:BE166)</f>
        <v>6</v>
      </c>
      <c r="I166">
        <f t="shared" ref="I166" si="25">LOOKUP(H166,L166:BE166,L$8:BE$8)</f>
        <v>2000</v>
      </c>
      <c r="J166">
        <f t="shared" ref="J166" si="26">MAX(L166:BE166)</f>
        <v>30</v>
      </c>
      <c r="K166">
        <f t="shared" ref="K166" si="27">LOOKUP(J166,L166:BE166,L$8:BE$8)</f>
        <v>2100</v>
      </c>
      <c r="P166">
        <v>6</v>
      </c>
      <c r="AJ166">
        <v>30</v>
      </c>
      <c r="JF166" t="e">
        <f>1/SUM(BL166:JD166)</f>
        <v>#DIV/0!</v>
      </c>
    </row>
    <row r="167" spans="1:266" x14ac:dyDescent="0.2">
      <c r="A167" t="str">
        <f>Data!A162</f>
        <v>Nordhaus &amp; Popp</v>
      </c>
      <c r="B167" t="str">
        <f>Data!B162</f>
        <v>RM2693</v>
      </c>
      <c r="C167">
        <f>Data!E162</f>
        <v>1997</v>
      </c>
    </row>
    <row r="168" spans="1:266" x14ac:dyDescent="0.2">
      <c r="A168">
        <f>Data!A163</f>
        <v>0</v>
      </c>
      <c r="B168">
        <f>Data!B163</f>
        <v>0</v>
      </c>
      <c r="C168">
        <f>Data!E163</f>
        <v>1997</v>
      </c>
      <c r="D168">
        <v>1</v>
      </c>
      <c r="E168">
        <f>E$1*(1-Data!BF163)+E$2*Data!BF163</f>
        <v>1</v>
      </c>
      <c r="F168">
        <f>D168*E168</f>
        <v>1</v>
      </c>
      <c r="G168" s="15">
        <f t="shared" ref="G168" si="28">(J168/H168)^(1/(K168-I168))-1</f>
        <v>1.3177160077500139E-2</v>
      </c>
      <c r="H168">
        <f t="shared" ref="H168" si="29">MIN(L168:BE168)</f>
        <v>6.26</v>
      </c>
      <c r="I168">
        <f t="shared" ref="I168" si="30">LOOKUP(H168,L168:BE168,L$8:BE$8)</f>
        <v>2000</v>
      </c>
      <c r="J168">
        <f t="shared" ref="J168" si="31">MAX(L168:BE168)</f>
        <v>23.18</v>
      </c>
      <c r="K168">
        <f t="shared" ref="K168" si="32">LOOKUP(J168,L168:BE168,L$8:BE$8)</f>
        <v>2100</v>
      </c>
      <c r="P168">
        <v>6.26</v>
      </c>
      <c r="AJ168">
        <v>23.18</v>
      </c>
      <c r="JF168" t="e">
        <f>1/SUM(BL168:JD168)</f>
        <v>#DIV/0!</v>
      </c>
    </row>
    <row r="169" spans="1:266" x14ac:dyDescent="0.2">
      <c r="A169" t="str">
        <f>Data!A164</f>
        <v>Eyre et al.</v>
      </c>
      <c r="B169" t="str">
        <f>Data!B164</f>
        <v>RM4648</v>
      </c>
      <c r="C169">
        <f>Data!E164</f>
        <v>1999</v>
      </c>
    </row>
    <row r="170" spans="1:266" x14ac:dyDescent="0.2">
      <c r="A170">
        <f>Data!A165</f>
        <v>0</v>
      </c>
      <c r="B170">
        <f>Data!B165</f>
        <v>0</v>
      </c>
      <c r="C170">
        <f>Data!E165</f>
        <v>1999</v>
      </c>
    </row>
    <row r="171" spans="1:266" x14ac:dyDescent="0.2">
      <c r="A171">
        <f>Data!A166</f>
        <v>0</v>
      </c>
      <c r="B171">
        <f>Data!B166</f>
        <v>0</v>
      </c>
      <c r="C171">
        <f>Data!E166</f>
        <v>1999</v>
      </c>
    </row>
    <row r="172" spans="1:266" x14ac:dyDescent="0.2">
      <c r="A172">
        <f>Data!A167</f>
        <v>0</v>
      </c>
      <c r="B172">
        <f>Data!B167</f>
        <v>0</v>
      </c>
      <c r="C172">
        <f>Data!E167</f>
        <v>1999</v>
      </c>
    </row>
    <row r="173" spans="1:266" x14ac:dyDescent="0.2">
      <c r="A173" t="str">
        <f>Data!A168</f>
        <v>Tol</v>
      </c>
      <c r="B173" t="str">
        <f>Data!B168</f>
        <v>RM4149</v>
      </c>
      <c r="C173">
        <f>Data!E168</f>
        <v>1999</v>
      </c>
      <c r="D173">
        <v>1</v>
      </c>
      <c r="E173">
        <f>E$1*(1-Data!BF168)+E$2*Data!BF168</f>
        <v>1</v>
      </c>
      <c r="F173">
        <f>D173*E173</f>
        <v>1</v>
      </c>
      <c r="G173" s="15">
        <f t="shared" ref="G173" si="33">(J173/H173)^(1/(K173-I173))-1</f>
        <v>1.6437470733349668E-2</v>
      </c>
      <c r="H173">
        <f t="shared" ref="H173" si="34">MIN(L173:BE173)</f>
        <v>14.9</v>
      </c>
      <c r="I173">
        <f t="shared" ref="I173" si="35">LOOKUP(H173,L173:BE173,L$8:BE$8)</f>
        <v>2000</v>
      </c>
      <c r="J173">
        <f t="shared" ref="J173" si="36">MAX(L173:BE173)</f>
        <v>24.3</v>
      </c>
      <c r="K173">
        <f t="shared" ref="K173" si="37">LOOKUP(J173,L173:BE173,L$8:BE$8)</f>
        <v>2030</v>
      </c>
      <c r="P173">
        <v>14.9</v>
      </c>
      <c r="V173">
        <v>24.3</v>
      </c>
      <c r="JF173" t="e">
        <f>1/SUM(BL173:JD173)</f>
        <v>#DIV/0!</v>
      </c>
    </row>
    <row r="174" spans="1:266" x14ac:dyDescent="0.2">
      <c r="A174">
        <f>Data!A169</f>
        <v>0</v>
      </c>
      <c r="B174">
        <f>Data!B169</f>
        <v>0</v>
      </c>
      <c r="C174">
        <f>Data!E169</f>
        <v>1999</v>
      </c>
    </row>
    <row r="175" spans="1:266" x14ac:dyDescent="0.2">
      <c r="A175">
        <f>Data!A170</f>
        <v>0</v>
      </c>
      <c r="B175">
        <f>Data!B170</f>
        <v>0</v>
      </c>
      <c r="C175">
        <f>Data!E170</f>
        <v>1999</v>
      </c>
    </row>
    <row r="176" spans="1:266" x14ac:dyDescent="0.2">
      <c r="A176">
        <f>Data!A171</f>
        <v>0</v>
      </c>
      <c r="B176">
        <f>Data!B171</f>
        <v>0</v>
      </c>
      <c r="C176">
        <f>Data!E171</f>
        <v>1999</v>
      </c>
    </row>
    <row r="177" spans="1:3" x14ac:dyDescent="0.2">
      <c r="A177">
        <f>Data!A172</f>
        <v>0</v>
      </c>
      <c r="B177">
        <f>Data!B172</f>
        <v>0</v>
      </c>
      <c r="C177">
        <f>Data!E172</f>
        <v>1999</v>
      </c>
    </row>
    <row r="178" spans="1:3" x14ac:dyDescent="0.2">
      <c r="A178">
        <f>Data!A173</f>
        <v>0</v>
      </c>
      <c r="B178">
        <f>Data!B173</f>
        <v>0</v>
      </c>
      <c r="C178">
        <f>Data!E173</f>
        <v>1999</v>
      </c>
    </row>
    <row r="179" spans="1:3" x14ac:dyDescent="0.2">
      <c r="A179">
        <f>Data!A174</f>
        <v>0</v>
      </c>
      <c r="B179">
        <f>Data!B174</f>
        <v>0</v>
      </c>
      <c r="C179">
        <f>Data!E174</f>
        <v>1999</v>
      </c>
    </row>
    <row r="180" spans="1:3" x14ac:dyDescent="0.2">
      <c r="A180">
        <f>Data!A175</f>
        <v>0</v>
      </c>
      <c r="B180">
        <f>Data!B175</f>
        <v>0</v>
      </c>
      <c r="C180">
        <f>Data!E175</f>
        <v>1999</v>
      </c>
    </row>
    <row r="181" spans="1:3" x14ac:dyDescent="0.2">
      <c r="A181">
        <f>Data!A176</f>
        <v>0</v>
      </c>
      <c r="B181">
        <f>Data!B176</f>
        <v>0</v>
      </c>
      <c r="C181">
        <f>Data!E176</f>
        <v>1999</v>
      </c>
    </row>
    <row r="182" spans="1:3" x14ac:dyDescent="0.2">
      <c r="A182">
        <f>Data!A177</f>
        <v>0</v>
      </c>
      <c r="B182">
        <f>Data!B177</f>
        <v>0</v>
      </c>
      <c r="C182">
        <f>Data!E177</f>
        <v>1999</v>
      </c>
    </row>
    <row r="183" spans="1:3" x14ac:dyDescent="0.2">
      <c r="A183">
        <f>Data!A178</f>
        <v>0</v>
      </c>
      <c r="B183">
        <f>Data!B178</f>
        <v>0</v>
      </c>
      <c r="C183">
        <f>Data!E178</f>
        <v>1999</v>
      </c>
    </row>
    <row r="184" spans="1:3" x14ac:dyDescent="0.2">
      <c r="A184">
        <f>Data!A179</f>
        <v>0</v>
      </c>
      <c r="B184">
        <f>Data!B179</f>
        <v>0</v>
      </c>
      <c r="C184">
        <f>Data!E179</f>
        <v>1999</v>
      </c>
    </row>
    <row r="185" spans="1:3" x14ac:dyDescent="0.2">
      <c r="A185">
        <f>Data!A180</f>
        <v>0</v>
      </c>
      <c r="B185">
        <f>Data!B180</f>
        <v>0</v>
      </c>
      <c r="C185">
        <f>Data!E180</f>
        <v>1999</v>
      </c>
    </row>
    <row r="186" spans="1:3" x14ac:dyDescent="0.2">
      <c r="A186">
        <f>Data!A181</f>
        <v>0</v>
      </c>
      <c r="B186">
        <f>Data!B181</f>
        <v>0</v>
      </c>
      <c r="C186">
        <f>Data!E181</f>
        <v>1999</v>
      </c>
    </row>
    <row r="187" spans="1:3" x14ac:dyDescent="0.2">
      <c r="A187">
        <f>Data!A182</f>
        <v>0</v>
      </c>
      <c r="B187">
        <f>Data!B182</f>
        <v>0</v>
      </c>
      <c r="C187">
        <f>Data!E182</f>
        <v>1999</v>
      </c>
    </row>
    <row r="188" spans="1:3" x14ac:dyDescent="0.2">
      <c r="A188">
        <f>Data!A183</f>
        <v>0</v>
      </c>
      <c r="B188">
        <f>Data!B183</f>
        <v>0</v>
      </c>
      <c r="C188">
        <f>Data!E183</f>
        <v>1999</v>
      </c>
    </row>
    <row r="189" spans="1:3" x14ac:dyDescent="0.2">
      <c r="A189">
        <f>Data!A184</f>
        <v>0</v>
      </c>
      <c r="B189">
        <f>Data!B184</f>
        <v>0</v>
      </c>
      <c r="C189">
        <f>Data!E184</f>
        <v>1999</v>
      </c>
    </row>
    <row r="190" spans="1:3" x14ac:dyDescent="0.2">
      <c r="A190">
        <f>Data!A185</f>
        <v>0</v>
      </c>
      <c r="B190">
        <f>Data!B185</f>
        <v>0</v>
      </c>
      <c r="C190">
        <f>Data!E185</f>
        <v>1999</v>
      </c>
    </row>
    <row r="191" spans="1:3" x14ac:dyDescent="0.2">
      <c r="A191">
        <f>Data!A186</f>
        <v>0</v>
      </c>
      <c r="B191">
        <f>Data!B186</f>
        <v>0</v>
      </c>
      <c r="C191">
        <f>Data!E186</f>
        <v>1999</v>
      </c>
    </row>
    <row r="192" spans="1:3" x14ac:dyDescent="0.2">
      <c r="A192">
        <f>Data!A187</f>
        <v>0</v>
      </c>
      <c r="B192">
        <f>Data!B187</f>
        <v>0</v>
      </c>
      <c r="C192">
        <f>Data!E187</f>
        <v>1999</v>
      </c>
    </row>
    <row r="193" spans="1:266" x14ac:dyDescent="0.2">
      <c r="A193">
        <f>Data!A188</f>
        <v>0</v>
      </c>
      <c r="B193">
        <f>Data!B188</f>
        <v>0</v>
      </c>
      <c r="C193">
        <f>Data!E188</f>
        <v>1999</v>
      </c>
    </row>
    <row r="194" spans="1:266" x14ac:dyDescent="0.2">
      <c r="A194">
        <f>Data!A189</f>
        <v>0</v>
      </c>
      <c r="B194">
        <f>Data!B189</f>
        <v>0</v>
      </c>
      <c r="C194">
        <f>Data!E189</f>
        <v>1999</v>
      </c>
    </row>
    <row r="195" spans="1:266" x14ac:dyDescent="0.2">
      <c r="A195">
        <f>Data!A190</f>
        <v>0</v>
      </c>
      <c r="B195">
        <f>Data!B190</f>
        <v>0</v>
      </c>
      <c r="C195">
        <f>Data!E190</f>
        <v>1999</v>
      </c>
    </row>
    <row r="196" spans="1:266" x14ac:dyDescent="0.2">
      <c r="A196">
        <f>Data!A191</f>
        <v>0</v>
      </c>
      <c r="B196">
        <f>Data!B191</f>
        <v>0</v>
      </c>
      <c r="C196">
        <f>Data!E191</f>
        <v>1999</v>
      </c>
    </row>
    <row r="197" spans="1:266" x14ac:dyDescent="0.2">
      <c r="A197">
        <f>Data!A192</f>
        <v>0</v>
      </c>
      <c r="B197">
        <f>Data!B192</f>
        <v>0</v>
      </c>
      <c r="C197">
        <f>Data!E192</f>
        <v>1999</v>
      </c>
    </row>
    <row r="198" spans="1:266" x14ac:dyDescent="0.2">
      <c r="A198">
        <f>Data!A193</f>
        <v>0</v>
      </c>
      <c r="B198">
        <f>Data!B193</f>
        <v>0</v>
      </c>
      <c r="C198">
        <f>Data!E193</f>
        <v>1999</v>
      </c>
    </row>
    <row r="199" spans="1:266" x14ac:dyDescent="0.2">
      <c r="A199">
        <f>Data!A194</f>
        <v>0</v>
      </c>
      <c r="B199">
        <f>Data!B194</f>
        <v>0</v>
      </c>
      <c r="C199">
        <f>Data!E194</f>
        <v>1999</v>
      </c>
    </row>
    <row r="200" spans="1:266" x14ac:dyDescent="0.2">
      <c r="A200">
        <f>Data!A195</f>
        <v>0</v>
      </c>
      <c r="B200">
        <f>Data!B195</f>
        <v>0</v>
      </c>
      <c r="C200">
        <f>Data!E195</f>
        <v>1999</v>
      </c>
    </row>
    <row r="201" spans="1:266" x14ac:dyDescent="0.2">
      <c r="A201">
        <f>Data!A196</f>
        <v>0</v>
      </c>
      <c r="B201">
        <f>Data!B196</f>
        <v>0</v>
      </c>
      <c r="C201">
        <f>Data!E196</f>
        <v>1999</v>
      </c>
    </row>
    <row r="202" spans="1:266" x14ac:dyDescent="0.2">
      <c r="A202">
        <f>Data!A197</f>
        <v>0</v>
      </c>
      <c r="B202">
        <f>Data!B197</f>
        <v>0</v>
      </c>
      <c r="C202">
        <f>Data!E197</f>
        <v>1999</v>
      </c>
    </row>
    <row r="203" spans="1:266" x14ac:dyDescent="0.2">
      <c r="A203" t="str">
        <f>Data!A198</f>
        <v>Roughgarden and Schneider</v>
      </c>
      <c r="B203" t="str">
        <f>Data!B198</f>
        <v>RM5894</v>
      </c>
      <c r="C203">
        <f>Data!E198</f>
        <v>1999</v>
      </c>
      <c r="D203">
        <v>1</v>
      </c>
      <c r="E203">
        <f>E$1*(1-Data!BF198)+E$2*Data!BF198</f>
        <v>1</v>
      </c>
      <c r="F203">
        <f>D203*E203</f>
        <v>1</v>
      </c>
      <c r="G203" s="15">
        <f>(J203/H203)^(1/(K203-I203))-1</f>
        <v>9.8247026845661445E-3</v>
      </c>
      <c r="H203">
        <f>MIN(L203:BE203)</f>
        <v>22.85</v>
      </c>
      <c r="I203">
        <f>LOOKUP(H203,L203:BE203,L$8:BE$8)</f>
        <v>1995</v>
      </c>
      <c r="J203">
        <f>MAX(L203:BE203)</f>
        <v>66.98</v>
      </c>
      <c r="K203">
        <f>LOOKUP(J203,L203:BE203,L$8:BE$8)</f>
        <v>2105</v>
      </c>
      <c r="O203">
        <v>22.85</v>
      </c>
      <c r="AA203">
        <v>51.72</v>
      </c>
      <c r="AK203">
        <v>66.98</v>
      </c>
      <c r="JF203" t="e">
        <f>1/SUM(BL203:JD203)</f>
        <v>#DIV/0!</v>
      </c>
    </row>
    <row r="204" spans="1:266" x14ac:dyDescent="0.2">
      <c r="A204" t="str">
        <f>Data!A199</f>
        <v>Nordhaus &amp; Boyer</v>
      </c>
      <c r="B204" t="str">
        <f>Data!B199</f>
        <v>RM4686</v>
      </c>
      <c r="C204">
        <f>Data!E199</f>
        <v>2000</v>
      </c>
      <c r="D204">
        <v>1</v>
      </c>
      <c r="E204">
        <f>E$1*(1-Data!BF199)+E$2*Data!BF199</f>
        <v>1</v>
      </c>
      <c r="F204">
        <f>D204*E204</f>
        <v>1</v>
      </c>
      <c r="G204" s="15">
        <f>(J204/H204)^(1/(K204-I204))-1</f>
        <v>2.2388249694234474E-2</v>
      </c>
      <c r="H204">
        <f>MIN(L204:BE204)</f>
        <v>5.9</v>
      </c>
      <c r="I204">
        <f>LOOKUP(H204,L204:BE204,L$8:BE$8)</f>
        <v>1995</v>
      </c>
      <c r="J204">
        <f>MAX(L204:BE204)</f>
        <v>67.39</v>
      </c>
      <c r="K204">
        <f>LOOKUP(J204,L204:BE204,L$8:BE$8)</f>
        <v>2105</v>
      </c>
      <c r="O204">
        <v>5.9</v>
      </c>
      <c r="Q204">
        <v>9.1300000000000008</v>
      </c>
      <c r="S204">
        <v>12.71</v>
      </c>
      <c r="U204">
        <v>16.72</v>
      </c>
      <c r="W204">
        <v>21.16</v>
      </c>
      <c r="Y204">
        <v>26.12</v>
      </c>
      <c r="AA204">
        <v>31.64</v>
      </c>
      <c r="AC204">
        <v>37.729999999999997</v>
      </c>
      <c r="AE204">
        <v>44.38</v>
      </c>
      <c r="AG204">
        <v>51.5</v>
      </c>
      <c r="AI204">
        <v>59.2</v>
      </c>
      <c r="AK204">
        <v>67.39</v>
      </c>
      <c r="JF204" t="e">
        <f>1/SUM(BL204:JD204)</f>
        <v>#DIV/0!</v>
      </c>
    </row>
    <row r="205" spans="1:266" x14ac:dyDescent="0.2">
      <c r="A205" t="str">
        <f>Data!A200</f>
        <v>Tol &amp; Downing</v>
      </c>
      <c r="B205" t="str">
        <f>Data!B200</f>
        <v>RM????</v>
      </c>
      <c r="C205">
        <f>Data!E200</f>
        <v>2001</v>
      </c>
    </row>
    <row r="206" spans="1:266" x14ac:dyDescent="0.2">
      <c r="A206">
        <f>Data!A201</f>
        <v>0</v>
      </c>
      <c r="B206">
        <f>Data!B201</f>
        <v>0</v>
      </c>
      <c r="C206">
        <f>Data!E201</f>
        <v>2001</v>
      </c>
    </row>
    <row r="207" spans="1:266" x14ac:dyDescent="0.2">
      <c r="A207">
        <f>Data!A202</f>
        <v>0</v>
      </c>
      <c r="B207">
        <f>Data!B202</f>
        <v>0</v>
      </c>
      <c r="C207">
        <f>Data!E202</f>
        <v>2001</v>
      </c>
    </row>
    <row r="208" spans="1:266" x14ac:dyDescent="0.2">
      <c r="A208">
        <f>Data!A203</f>
        <v>0</v>
      </c>
      <c r="B208">
        <f>Data!B203</f>
        <v>0</v>
      </c>
      <c r="C208">
        <f>Data!E203</f>
        <v>2001</v>
      </c>
    </row>
    <row r="209" spans="1:3" x14ac:dyDescent="0.2">
      <c r="A209" t="str">
        <f>Data!A204</f>
        <v>Clarkson and Deyes</v>
      </c>
      <c r="B209" t="str">
        <f>Data!B204</f>
        <v>RM6068</v>
      </c>
      <c r="C209">
        <f>Data!E204</f>
        <v>2002</v>
      </c>
    </row>
    <row r="210" spans="1:3" x14ac:dyDescent="0.2">
      <c r="A210" t="str">
        <f>Data!A205</f>
        <v xml:space="preserve">Tol </v>
      </c>
      <c r="B210" t="str">
        <f>Data!B205</f>
        <v>RM7085</v>
      </c>
      <c r="C210">
        <f>Data!E205</f>
        <v>2005</v>
      </c>
    </row>
    <row r="211" spans="1:3" x14ac:dyDescent="0.2">
      <c r="A211">
        <f>Data!A206</f>
        <v>0</v>
      </c>
      <c r="B211">
        <f>Data!B206</f>
        <v>0</v>
      </c>
      <c r="C211">
        <f>Data!E206</f>
        <v>2005</v>
      </c>
    </row>
    <row r="212" spans="1:3" x14ac:dyDescent="0.2">
      <c r="A212">
        <f>Data!A207</f>
        <v>0</v>
      </c>
      <c r="B212">
        <f>Data!B207</f>
        <v>0</v>
      </c>
      <c r="C212">
        <f>Data!E207</f>
        <v>2005</v>
      </c>
    </row>
    <row r="213" spans="1:3" x14ac:dyDescent="0.2">
      <c r="A213">
        <f>Data!A208</f>
        <v>0</v>
      </c>
      <c r="B213">
        <f>Data!B208</f>
        <v>0</v>
      </c>
      <c r="C213">
        <f>Data!E208</f>
        <v>2005</v>
      </c>
    </row>
    <row r="214" spans="1:3" x14ac:dyDescent="0.2">
      <c r="A214">
        <f>Data!A209</f>
        <v>0</v>
      </c>
      <c r="B214">
        <f>Data!B209</f>
        <v>0</v>
      </c>
      <c r="C214">
        <f>Data!E209</f>
        <v>2005</v>
      </c>
    </row>
    <row r="215" spans="1:3" x14ac:dyDescent="0.2">
      <c r="A215">
        <f>Data!A210</f>
        <v>0</v>
      </c>
      <c r="B215">
        <f>Data!B210</f>
        <v>0</v>
      </c>
      <c r="C215">
        <f>Data!E210</f>
        <v>2005</v>
      </c>
    </row>
    <row r="216" spans="1:3" x14ac:dyDescent="0.2">
      <c r="A216" t="str">
        <f>Data!A211</f>
        <v>Newell and Pizer</v>
      </c>
      <c r="B216" t="str">
        <f>Data!B211</f>
        <v>RM6061</v>
      </c>
      <c r="C216">
        <f>Data!E211</f>
        <v>2003</v>
      </c>
    </row>
    <row r="217" spans="1:3" x14ac:dyDescent="0.2">
      <c r="A217">
        <f>Data!A212</f>
        <v>0</v>
      </c>
      <c r="B217">
        <f>Data!B212</f>
        <v>0</v>
      </c>
      <c r="C217">
        <f>Data!E212</f>
        <v>2003</v>
      </c>
    </row>
    <row r="218" spans="1:3" x14ac:dyDescent="0.2">
      <c r="A218">
        <f>Data!A213</f>
        <v>0</v>
      </c>
      <c r="B218">
        <f>Data!B213</f>
        <v>0</v>
      </c>
      <c r="C218">
        <f>Data!E213</f>
        <v>2003</v>
      </c>
    </row>
    <row r="219" spans="1:3" x14ac:dyDescent="0.2">
      <c r="A219">
        <f>Data!A214</f>
        <v>0</v>
      </c>
      <c r="B219">
        <f>Data!B214</f>
        <v>0</v>
      </c>
      <c r="C219">
        <f>Data!E214</f>
        <v>2003</v>
      </c>
    </row>
    <row r="220" spans="1:3" x14ac:dyDescent="0.2">
      <c r="A220">
        <f>Data!A215</f>
        <v>0</v>
      </c>
      <c r="B220">
        <f>Data!B215</f>
        <v>0</v>
      </c>
      <c r="C220">
        <f>Data!E215</f>
        <v>2003</v>
      </c>
    </row>
    <row r="221" spans="1:3" x14ac:dyDescent="0.2">
      <c r="A221">
        <f>Data!A216</f>
        <v>0</v>
      </c>
      <c r="B221">
        <f>Data!B216</f>
        <v>0</v>
      </c>
      <c r="C221">
        <f>Data!E216</f>
        <v>2003</v>
      </c>
    </row>
    <row r="222" spans="1:3" x14ac:dyDescent="0.2">
      <c r="A222">
        <f>Data!A217</f>
        <v>0</v>
      </c>
      <c r="B222">
        <f>Data!B217</f>
        <v>0</v>
      </c>
      <c r="C222">
        <f>Data!E217</f>
        <v>2003</v>
      </c>
    </row>
    <row r="223" spans="1:3" x14ac:dyDescent="0.2">
      <c r="A223">
        <f>Data!A218</f>
        <v>0</v>
      </c>
      <c r="B223">
        <f>Data!B218</f>
        <v>0</v>
      </c>
      <c r="C223">
        <f>Data!E218</f>
        <v>2003</v>
      </c>
    </row>
    <row r="224" spans="1:3" x14ac:dyDescent="0.2">
      <c r="A224">
        <f>Data!A219</f>
        <v>0</v>
      </c>
      <c r="B224">
        <f>Data!B219</f>
        <v>0</v>
      </c>
      <c r="C224">
        <f>Data!E219</f>
        <v>2003</v>
      </c>
    </row>
    <row r="225" spans="1:3" x14ac:dyDescent="0.2">
      <c r="A225" t="str">
        <f>Data!A220</f>
        <v>Pearce</v>
      </c>
      <c r="B225" t="str">
        <f>Data!B220</f>
        <v>RM5893</v>
      </c>
      <c r="C225">
        <f>Data!E220</f>
        <v>2003</v>
      </c>
    </row>
    <row r="226" spans="1:3" x14ac:dyDescent="0.2">
      <c r="A226" t="str">
        <f>Data!A221</f>
        <v>Uzawa</v>
      </c>
      <c r="B226" t="str">
        <f>Data!B221</f>
        <v>RM6606</v>
      </c>
      <c r="C226">
        <f>Data!E221</f>
        <v>2003</v>
      </c>
    </row>
    <row r="227" spans="1:3" x14ac:dyDescent="0.2">
      <c r="A227" t="str">
        <f>Data!A222</f>
        <v>Link and Tol</v>
      </c>
      <c r="B227" t="str">
        <f>Data!B222</f>
        <v>RM6343</v>
      </c>
      <c r="C227">
        <f>Data!E222</f>
        <v>2004</v>
      </c>
    </row>
    <row r="228" spans="1:3" x14ac:dyDescent="0.2">
      <c r="A228">
        <f>Data!A223</f>
        <v>0</v>
      </c>
      <c r="B228">
        <f>Data!B223</f>
        <v>0</v>
      </c>
      <c r="C228">
        <f>Data!E223</f>
        <v>2004</v>
      </c>
    </row>
    <row r="229" spans="1:3" x14ac:dyDescent="0.2">
      <c r="A229">
        <f>Data!A224</f>
        <v>0</v>
      </c>
      <c r="B229">
        <f>Data!B224</f>
        <v>0</v>
      </c>
      <c r="C229">
        <f>Data!E224</f>
        <v>2004</v>
      </c>
    </row>
    <row r="230" spans="1:3" x14ac:dyDescent="0.2">
      <c r="A230">
        <f>Data!A225</f>
        <v>0</v>
      </c>
      <c r="B230">
        <f>Data!B225</f>
        <v>0</v>
      </c>
      <c r="C230">
        <f>Data!E225</f>
        <v>2004</v>
      </c>
    </row>
    <row r="231" spans="1:3" x14ac:dyDescent="0.2">
      <c r="A231">
        <f>Data!A226</f>
        <v>0</v>
      </c>
      <c r="B231">
        <f>Data!B226</f>
        <v>0</v>
      </c>
      <c r="C231">
        <f>Data!E226</f>
        <v>2004</v>
      </c>
    </row>
    <row r="232" spans="1:3" x14ac:dyDescent="0.2">
      <c r="A232">
        <f>Data!A227</f>
        <v>0</v>
      </c>
      <c r="B232">
        <f>Data!B227</f>
        <v>0</v>
      </c>
      <c r="C232">
        <f>Data!E227</f>
        <v>2004</v>
      </c>
    </row>
    <row r="233" spans="1:3" x14ac:dyDescent="0.2">
      <c r="A233">
        <f>Data!A228</f>
        <v>0</v>
      </c>
      <c r="B233">
        <f>Data!B228</f>
        <v>0</v>
      </c>
      <c r="C233">
        <f>Data!E228</f>
        <v>2004</v>
      </c>
    </row>
    <row r="234" spans="1:3" x14ac:dyDescent="0.2">
      <c r="A234">
        <f>Data!A229</f>
        <v>0</v>
      </c>
      <c r="B234">
        <f>Data!B229</f>
        <v>0</v>
      </c>
      <c r="C234">
        <f>Data!E229</f>
        <v>2004</v>
      </c>
    </row>
    <row r="235" spans="1:3" x14ac:dyDescent="0.2">
      <c r="A235">
        <f>Data!A230</f>
        <v>0</v>
      </c>
      <c r="B235">
        <f>Data!B230</f>
        <v>0</v>
      </c>
      <c r="C235">
        <f>Data!E230</f>
        <v>2004</v>
      </c>
    </row>
    <row r="236" spans="1:3" x14ac:dyDescent="0.2">
      <c r="A236">
        <f>Data!A231</f>
        <v>0</v>
      </c>
      <c r="B236">
        <f>Data!B231</f>
        <v>0</v>
      </c>
      <c r="C236">
        <f>Data!E231</f>
        <v>2004</v>
      </c>
    </row>
    <row r="237" spans="1:3" x14ac:dyDescent="0.2">
      <c r="A237">
        <f>Data!A232</f>
        <v>0</v>
      </c>
      <c r="B237">
        <f>Data!B232</f>
        <v>0</v>
      </c>
      <c r="C237">
        <f>Data!E232</f>
        <v>2004</v>
      </c>
    </row>
    <row r="238" spans="1:3" x14ac:dyDescent="0.2">
      <c r="A238">
        <f>Data!A233</f>
        <v>0</v>
      </c>
      <c r="B238">
        <f>Data!B233</f>
        <v>0</v>
      </c>
      <c r="C238">
        <f>Data!E233</f>
        <v>2004</v>
      </c>
    </row>
    <row r="239" spans="1:3" x14ac:dyDescent="0.2">
      <c r="A239" t="str">
        <f>Data!A234</f>
        <v>Hohmeyer</v>
      </c>
      <c r="B239" t="str">
        <f>Data!B234</f>
        <v>RM8641</v>
      </c>
      <c r="C239">
        <f>Data!E234</f>
        <v>2004</v>
      </c>
    </row>
    <row r="240" spans="1:3" x14ac:dyDescent="0.2">
      <c r="A240">
        <f>Data!A235</f>
        <v>0</v>
      </c>
      <c r="B240">
        <f>Data!B235</f>
        <v>0</v>
      </c>
      <c r="C240">
        <f>Data!E235</f>
        <v>2004</v>
      </c>
    </row>
    <row r="241" spans="1:266" x14ac:dyDescent="0.2">
      <c r="A241" t="str">
        <f>Data!A236</f>
        <v>Cline</v>
      </c>
      <c r="B241" t="str">
        <f>Data!B236</f>
        <v>RM6360</v>
      </c>
      <c r="C241">
        <f>Data!E236</f>
        <v>2004</v>
      </c>
      <c r="D241" s="8">
        <f>Data!N236</f>
        <v>0.23529411764705882</v>
      </c>
      <c r="E241">
        <f>E$1*(1-Data!BF236)+E$2*Data!BF236</f>
        <v>1</v>
      </c>
      <c r="F241">
        <f>D241*E241</f>
        <v>0.23529411764705882</v>
      </c>
      <c r="G241" s="15">
        <f>(J241/H241)^(1/(K241-I241))-1</f>
        <v>1.1371926878223748E-2</v>
      </c>
      <c r="H241">
        <f>MIN(L241:BE241)</f>
        <v>128</v>
      </c>
      <c r="I241">
        <f>LOOKUP(H241,L241:BE241,L$8:BE$8)</f>
        <v>1995</v>
      </c>
      <c r="J241">
        <f>MAX(L241:BE241)</f>
        <v>1300</v>
      </c>
      <c r="K241">
        <f>LOOKUP(J241,L241:BE241,L$8:BE$8)</f>
        <v>2200</v>
      </c>
      <c r="O241">
        <v>128</v>
      </c>
      <c r="Q241">
        <v>170</v>
      </c>
      <c r="U241">
        <v>246</v>
      </c>
      <c r="AA241">
        <v>367</v>
      </c>
      <c r="BD241">
        <v>1300</v>
      </c>
      <c r="JF241" t="e">
        <f>1/SUM(BL241:JD241)</f>
        <v>#DIV/0!</v>
      </c>
    </row>
    <row r="242" spans="1:266" x14ac:dyDescent="0.2">
      <c r="A242">
        <f>Data!A237</f>
        <v>0</v>
      </c>
      <c r="B242">
        <f>Data!B237</f>
        <v>0</v>
      </c>
      <c r="C242">
        <f>Data!E237</f>
        <v>2004</v>
      </c>
      <c r="D242" s="8">
        <f>Data!N237</f>
        <v>1.1764705882352941E-2</v>
      </c>
      <c r="E242">
        <f>E$1*(1-Data!BF237)+E$2*Data!BF237</f>
        <v>1</v>
      </c>
      <c r="F242">
        <f>D242*E242</f>
        <v>1.1764705882352941E-2</v>
      </c>
      <c r="G242" s="15">
        <f>(J242/H242)^(1/(K242-I242))-1</f>
        <v>7.2278032976724749E-3</v>
      </c>
      <c r="H242">
        <f>MIN(L242:BE242)</f>
        <v>450</v>
      </c>
      <c r="I242">
        <f>LOOKUP(H242,L242:BE242,L$8:BE$8)</f>
        <v>2005</v>
      </c>
      <c r="J242">
        <f>MAX(L242:BE242)</f>
        <v>1900</v>
      </c>
      <c r="K242">
        <f>LOOKUP(J242,L242:BE242,L$8:BE$8)</f>
        <v>2205</v>
      </c>
      <c r="Q242">
        <v>450</v>
      </c>
      <c r="BE242">
        <v>1900</v>
      </c>
      <c r="JF242" t="e">
        <f>1/SUM(BL242:JD242)</f>
        <v>#DIV/0!</v>
      </c>
    </row>
    <row r="243" spans="1:266" x14ac:dyDescent="0.2">
      <c r="A243">
        <f>Data!A238</f>
        <v>0</v>
      </c>
      <c r="B243">
        <f>Data!B238</f>
        <v>0</v>
      </c>
      <c r="C243">
        <f>Data!E238</f>
        <v>2004</v>
      </c>
      <c r="D243" s="8">
        <f>Data!N238</f>
        <v>1.1764705882352941E-2</v>
      </c>
      <c r="E243">
        <f>E$1*(1-Data!BF238)+E$2*Data!BF238</f>
        <v>1</v>
      </c>
      <c r="F243">
        <f>D243*E243</f>
        <v>1.1764705882352941E-2</v>
      </c>
      <c r="G243" s="15">
        <f>(J243/H243)^(1/(K243-I243))-1</f>
        <v>1.3015743220242904E-2</v>
      </c>
      <c r="H243">
        <f>MIN(L243:BE243)</f>
        <v>32</v>
      </c>
      <c r="I243">
        <f>LOOKUP(H243,L243:BE243,L$8:BE$8)</f>
        <v>2005</v>
      </c>
      <c r="J243">
        <f>MAX(L243:BE243)</f>
        <v>425</v>
      </c>
      <c r="K243">
        <f>LOOKUP(J243,L243:BE243,L$8:BE$8)</f>
        <v>2205</v>
      </c>
      <c r="Q243">
        <v>32</v>
      </c>
      <c r="BE243">
        <v>425</v>
      </c>
      <c r="JF243" t="e">
        <f>1/SUM(BL243:JD243)</f>
        <v>#DIV/0!</v>
      </c>
    </row>
    <row r="244" spans="1:266" x14ac:dyDescent="0.2">
      <c r="A244">
        <f>Data!A239</f>
        <v>0</v>
      </c>
      <c r="B244">
        <f>Data!B239</f>
        <v>0</v>
      </c>
      <c r="C244">
        <f>Data!E239</f>
        <v>2004</v>
      </c>
    </row>
    <row r="245" spans="1:266" x14ac:dyDescent="0.2">
      <c r="A245">
        <f>Data!A240</f>
        <v>0</v>
      </c>
      <c r="B245">
        <f>Data!B240</f>
        <v>0</v>
      </c>
      <c r="C245">
        <f>Data!E240</f>
        <v>2004</v>
      </c>
    </row>
    <row r="246" spans="1:266" x14ac:dyDescent="0.2">
      <c r="A246">
        <f>Data!A241</f>
        <v>0</v>
      </c>
      <c r="B246">
        <f>Data!B241</f>
        <v>0</v>
      </c>
      <c r="C246">
        <f>Data!E241</f>
        <v>2004</v>
      </c>
    </row>
    <row r="247" spans="1:266" x14ac:dyDescent="0.2">
      <c r="A247">
        <f>Data!A242</f>
        <v>0</v>
      </c>
      <c r="B247">
        <f>Data!B242</f>
        <v>0</v>
      </c>
      <c r="C247">
        <f>Data!E242</f>
        <v>2004</v>
      </c>
    </row>
    <row r="248" spans="1:266" x14ac:dyDescent="0.2">
      <c r="A248">
        <f>Data!A243</f>
        <v>0</v>
      </c>
      <c r="B248">
        <f>Data!B243</f>
        <v>0</v>
      </c>
      <c r="C248">
        <f>Data!E243</f>
        <v>2004</v>
      </c>
    </row>
    <row r="249" spans="1:266" x14ac:dyDescent="0.2">
      <c r="A249">
        <f>Data!A244</f>
        <v>0</v>
      </c>
      <c r="B249">
        <f>Data!B244</f>
        <v>0</v>
      </c>
      <c r="C249">
        <f>Data!E244</f>
        <v>2004</v>
      </c>
    </row>
    <row r="250" spans="1:266" x14ac:dyDescent="0.2">
      <c r="A250" t="str">
        <f>Data!A245</f>
        <v>Manne</v>
      </c>
      <c r="B250" t="str">
        <f>Data!B245</f>
        <v>RM9678</v>
      </c>
      <c r="C250">
        <f>Data!E245</f>
        <v>2004</v>
      </c>
    </row>
    <row r="251" spans="1:266" x14ac:dyDescent="0.2">
      <c r="A251">
        <f>Data!A246</f>
        <v>0</v>
      </c>
      <c r="B251">
        <f>Data!B246</f>
        <v>0</v>
      </c>
      <c r="C251">
        <f>Data!E246</f>
        <v>2004</v>
      </c>
    </row>
    <row r="252" spans="1:266" x14ac:dyDescent="0.2">
      <c r="A252" t="str">
        <f>Data!A247</f>
        <v>Ceronsky, Anthoff, Cameron, Tol</v>
      </c>
      <c r="B252" t="str">
        <f>Data!B247</f>
        <v>RM8134</v>
      </c>
      <c r="C252">
        <f>Data!E247</f>
        <v>2006</v>
      </c>
    </row>
    <row r="253" spans="1:266" x14ac:dyDescent="0.2">
      <c r="A253">
        <f>Data!A248</f>
        <v>0</v>
      </c>
      <c r="B253">
        <f>Data!B248</f>
        <v>0</v>
      </c>
      <c r="C253">
        <f>Data!E248</f>
        <v>2006</v>
      </c>
    </row>
    <row r="254" spans="1:266" x14ac:dyDescent="0.2">
      <c r="A254">
        <f>Data!A249</f>
        <v>0</v>
      </c>
      <c r="B254">
        <f>Data!B249</f>
        <v>0</v>
      </c>
      <c r="C254">
        <f>Data!E249</f>
        <v>2006</v>
      </c>
    </row>
    <row r="255" spans="1:266" x14ac:dyDescent="0.2">
      <c r="A255">
        <f>Data!A250</f>
        <v>0</v>
      </c>
      <c r="B255">
        <f>Data!B250</f>
        <v>0</v>
      </c>
      <c r="C255">
        <f>Data!E250</f>
        <v>2006</v>
      </c>
    </row>
    <row r="256" spans="1:266" x14ac:dyDescent="0.2">
      <c r="A256">
        <f>Data!A251</f>
        <v>0</v>
      </c>
      <c r="B256">
        <f>Data!B251</f>
        <v>0</v>
      </c>
      <c r="C256">
        <f>Data!E251</f>
        <v>2006</v>
      </c>
    </row>
    <row r="257" spans="1:3" x14ac:dyDescent="0.2">
      <c r="A257">
        <f>Data!A252</f>
        <v>0</v>
      </c>
      <c r="B257">
        <f>Data!B252</f>
        <v>0</v>
      </c>
      <c r="C257">
        <f>Data!E252</f>
        <v>2006</v>
      </c>
    </row>
    <row r="258" spans="1:3" x14ac:dyDescent="0.2">
      <c r="A258">
        <f>Data!A253</f>
        <v>0</v>
      </c>
      <c r="B258">
        <f>Data!B253</f>
        <v>0</v>
      </c>
      <c r="C258">
        <f>Data!E253</f>
        <v>2006</v>
      </c>
    </row>
    <row r="259" spans="1:3" x14ac:dyDescent="0.2">
      <c r="A259">
        <f>Data!A254</f>
        <v>0</v>
      </c>
      <c r="B259">
        <f>Data!B254</f>
        <v>0</v>
      </c>
      <c r="C259">
        <f>Data!E254</f>
        <v>2006</v>
      </c>
    </row>
    <row r="260" spans="1:3" x14ac:dyDescent="0.2">
      <c r="A260">
        <f>Data!A255</f>
        <v>0</v>
      </c>
      <c r="B260">
        <f>Data!B255</f>
        <v>0</v>
      </c>
      <c r="C260">
        <f>Data!E255</f>
        <v>2006</v>
      </c>
    </row>
    <row r="261" spans="1:3" x14ac:dyDescent="0.2">
      <c r="A261">
        <f>Data!A256</f>
        <v>0</v>
      </c>
      <c r="B261">
        <f>Data!B256</f>
        <v>0</v>
      </c>
      <c r="C261">
        <f>Data!E256</f>
        <v>2006</v>
      </c>
    </row>
    <row r="262" spans="1:3" x14ac:dyDescent="0.2">
      <c r="A262">
        <f>Data!A257</f>
        <v>0</v>
      </c>
      <c r="B262">
        <f>Data!B257</f>
        <v>0</v>
      </c>
      <c r="C262">
        <f>Data!E257</f>
        <v>2006</v>
      </c>
    </row>
    <row r="263" spans="1:3" x14ac:dyDescent="0.2">
      <c r="A263">
        <f>Data!A258</f>
        <v>0</v>
      </c>
      <c r="B263">
        <f>Data!B258</f>
        <v>0</v>
      </c>
      <c r="C263">
        <f>Data!E258</f>
        <v>2006</v>
      </c>
    </row>
    <row r="264" spans="1:3" x14ac:dyDescent="0.2">
      <c r="A264">
        <f>Data!A259</f>
        <v>0</v>
      </c>
      <c r="B264">
        <f>Data!B259</f>
        <v>0</v>
      </c>
      <c r="C264">
        <f>Data!E259</f>
        <v>2006</v>
      </c>
    </row>
    <row r="265" spans="1:3" x14ac:dyDescent="0.2">
      <c r="A265">
        <f>Data!A260</f>
        <v>0</v>
      </c>
      <c r="B265">
        <f>Data!B260</f>
        <v>0</v>
      </c>
      <c r="C265">
        <f>Data!E260</f>
        <v>2006</v>
      </c>
    </row>
    <row r="266" spans="1:3" x14ac:dyDescent="0.2">
      <c r="A266">
        <f>Data!A261</f>
        <v>0</v>
      </c>
      <c r="B266">
        <f>Data!B261</f>
        <v>0</v>
      </c>
      <c r="C266">
        <f>Data!E261</f>
        <v>2006</v>
      </c>
    </row>
    <row r="267" spans="1:3" x14ac:dyDescent="0.2">
      <c r="A267">
        <f>Data!A262</f>
        <v>0</v>
      </c>
      <c r="B267">
        <f>Data!B262</f>
        <v>0</v>
      </c>
      <c r="C267">
        <f>Data!E262</f>
        <v>2006</v>
      </c>
    </row>
    <row r="268" spans="1:3" x14ac:dyDescent="0.2">
      <c r="A268">
        <f>Data!A263</f>
        <v>0</v>
      </c>
      <c r="B268">
        <f>Data!B263</f>
        <v>0</v>
      </c>
      <c r="C268">
        <f>Data!E263</f>
        <v>2006</v>
      </c>
    </row>
    <row r="269" spans="1:3" x14ac:dyDescent="0.2">
      <c r="A269">
        <f>Data!A264</f>
        <v>0</v>
      </c>
      <c r="B269">
        <f>Data!B264</f>
        <v>0</v>
      </c>
      <c r="C269">
        <f>Data!E264</f>
        <v>2006</v>
      </c>
    </row>
    <row r="270" spans="1:3" x14ac:dyDescent="0.2">
      <c r="A270">
        <f>Data!A265</f>
        <v>0</v>
      </c>
      <c r="B270">
        <f>Data!B265</f>
        <v>0</v>
      </c>
      <c r="C270">
        <f>Data!E265</f>
        <v>2006</v>
      </c>
    </row>
    <row r="271" spans="1:3" x14ac:dyDescent="0.2">
      <c r="A271">
        <f>Data!A266</f>
        <v>0</v>
      </c>
      <c r="B271">
        <f>Data!B266</f>
        <v>0</v>
      </c>
      <c r="C271">
        <f>Data!E266</f>
        <v>2006</v>
      </c>
    </row>
    <row r="272" spans="1:3" x14ac:dyDescent="0.2">
      <c r="A272">
        <f>Data!A267</f>
        <v>0</v>
      </c>
      <c r="B272">
        <f>Data!B267</f>
        <v>0</v>
      </c>
      <c r="C272">
        <f>Data!E267</f>
        <v>2006</v>
      </c>
    </row>
    <row r="273" spans="1:3" x14ac:dyDescent="0.2">
      <c r="A273">
        <f>Data!A268</f>
        <v>0</v>
      </c>
      <c r="B273">
        <f>Data!B268</f>
        <v>0</v>
      </c>
      <c r="C273">
        <f>Data!E268</f>
        <v>2006</v>
      </c>
    </row>
    <row r="274" spans="1:3" x14ac:dyDescent="0.2">
      <c r="A274">
        <f>Data!A269</f>
        <v>0</v>
      </c>
      <c r="B274">
        <f>Data!B269</f>
        <v>0</v>
      </c>
      <c r="C274">
        <f>Data!E269</f>
        <v>2006</v>
      </c>
    </row>
    <row r="275" spans="1:3" x14ac:dyDescent="0.2">
      <c r="A275">
        <f>Data!A270</f>
        <v>0</v>
      </c>
      <c r="B275">
        <f>Data!B270</f>
        <v>0</v>
      </c>
      <c r="C275">
        <f>Data!E270</f>
        <v>2006</v>
      </c>
    </row>
    <row r="276" spans="1:3" x14ac:dyDescent="0.2">
      <c r="A276">
        <f>Data!A271</f>
        <v>0</v>
      </c>
      <c r="B276">
        <f>Data!B271</f>
        <v>0</v>
      </c>
      <c r="C276">
        <f>Data!E271</f>
        <v>2006</v>
      </c>
    </row>
    <row r="277" spans="1:3" x14ac:dyDescent="0.2">
      <c r="A277">
        <f>Data!A272</f>
        <v>0</v>
      </c>
      <c r="B277">
        <f>Data!B272</f>
        <v>0</v>
      </c>
      <c r="C277">
        <f>Data!E272</f>
        <v>2006</v>
      </c>
    </row>
    <row r="278" spans="1:3" x14ac:dyDescent="0.2">
      <c r="A278">
        <f>Data!A273</f>
        <v>0</v>
      </c>
      <c r="B278">
        <f>Data!B273</f>
        <v>0</v>
      </c>
      <c r="C278">
        <f>Data!E273</f>
        <v>2006</v>
      </c>
    </row>
    <row r="279" spans="1:3" x14ac:dyDescent="0.2">
      <c r="A279">
        <f>Data!A274</f>
        <v>0</v>
      </c>
      <c r="B279">
        <f>Data!B274</f>
        <v>0</v>
      </c>
      <c r="C279">
        <f>Data!E274</f>
        <v>2006</v>
      </c>
    </row>
    <row r="280" spans="1:3" x14ac:dyDescent="0.2">
      <c r="A280">
        <f>Data!A275</f>
        <v>0</v>
      </c>
      <c r="B280">
        <f>Data!B275</f>
        <v>0</v>
      </c>
      <c r="C280">
        <f>Data!E275</f>
        <v>2006</v>
      </c>
    </row>
    <row r="281" spans="1:3" x14ac:dyDescent="0.2">
      <c r="A281">
        <f>Data!A276</f>
        <v>0</v>
      </c>
      <c r="B281">
        <f>Data!B276</f>
        <v>0</v>
      </c>
      <c r="C281">
        <f>Data!E276</f>
        <v>2006</v>
      </c>
    </row>
    <row r="282" spans="1:3" x14ac:dyDescent="0.2">
      <c r="A282">
        <f>Data!A277</f>
        <v>0</v>
      </c>
      <c r="B282">
        <f>Data!B277</f>
        <v>0</v>
      </c>
      <c r="C282">
        <f>Data!E277</f>
        <v>2006</v>
      </c>
    </row>
    <row r="283" spans="1:3" x14ac:dyDescent="0.2">
      <c r="A283">
        <f>Data!A278</f>
        <v>0</v>
      </c>
      <c r="B283">
        <f>Data!B278</f>
        <v>0</v>
      </c>
      <c r="C283">
        <f>Data!E278</f>
        <v>2006</v>
      </c>
    </row>
    <row r="284" spans="1:3" x14ac:dyDescent="0.2">
      <c r="A284">
        <f>Data!A279</f>
        <v>0</v>
      </c>
      <c r="B284">
        <f>Data!B279</f>
        <v>0</v>
      </c>
      <c r="C284">
        <f>Data!E279</f>
        <v>2006</v>
      </c>
    </row>
    <row r="285" spans="1:3" x14ac:dyDescent="0.2">
      <c r="A285">
        <f>Data!A280</f>
        <v>0</v>
      </c>
      <c r="B285">
        <f>Data!B280</f>
        <v>0</v>
      </c>
      <c r="C285">
        <f>Data!E280</f>
        <v>2006</v>
      </c>
    </row>
    <row r="286" spans="1:3" x14ac:dyDescent="0.2">
      <c r="A286">
        <f>Data!A281</f>
        <v>0</v>
      </c>
      <c r="B286">
        <f>Data!B281</f>
        <v>0</v>
      </c>
      <c r="C286">
        <f>Data!E281</f>
        <v>2006</v>
      </c>
    </row>
    <row r="287" spans="1:3" x14ac:dyDescent="0.2">
      <c r="A287">
        <f>Data!A282</f>
        <v>0</v>
      </c>
      <c r="B287">
        <f>Data!B282</f>
        <v>0</v>
      </c>
      <c r="C287">
        <f>Data!E282</f>
        <v>2006</v>
      </c>
    </row>
    <row r="288" spans="1:3" x14ac:dyDescent="0.2">
      <c r="A288">
        <f>Data!A283</f>
        <v>0</v>
      </c>
      <c r="B288">
        <f>Data!B283</f>
        <v>0</v>
      </c>
      <c r="C288">
        <f>Data!E283</f>
        <v>2006</v>
      </c>
    </row>
    <row r="289" spans="1:3" x14ac:dyDescent="0.2">
      <c r="A289">
        <f>Data!A284</f>
        <v>0</v>
      </c>
      <c r="B289">
        <f>Data!B284</f>
        <v>0</v>
      </c>
      <c r="C289">
        <f>Data!E284</f>
        <v>2006</v>
      </c>
    </row>
    <row r="290" spans="1:3" x14ac:dyDescent="0.2">
      <c r="A290">
        <f>Data!A285</f>
        <v>0</v>
      </c>
      <c r="B290">
        <f>Data!B285</f>
        <v>0</v>
      </c>
      <c r="C290">
        <f>Data!E285</f>
        <v>2006</v>
      </c>
    </row>
    <row r="291" spans="1:3" x14ac:dyDescent="0.2">
      <c r="A291">
        <f>Data!A286</f>
        <v>0</v>
      </c>
      <c r="B291">
        <f>Data!B286</f>
        <v>0</v>
      </c>
      <c r="C291">
        <f>Data!E286</f>
        <v>2006</v>
      </c>
    </row>
    <row r="292" spans="1:3" x14ac:dyDescent="0.2">
      <c r="A292">
        <f>Data!A287</f>
        <v>0</v>
      </c>
      <c r="B292">
        <f>Data!B287</f>
        <v>0</v>
      </c>
      <c r="C292">
        <f>Data!E287</f>
        <v>2006</v>
      </c>
    </row>
    <row r="293" spans="1:3" x14ac:dyDescent="0.2">
      <c r="A293">
        <f>Data!A288</f>
        <v>0</v>
      </c>
      <c r="B293">
        <f>Data!B288</f>
        <v>0</v>
      </c>
      <c r="C293">
        <f>Data!E288</f>
        <v>2006</v>
      </c>
    </row>
    <row r="294" spans="1:3" x14ac:dyDescent="0.2">
      <c r="A294">
        <f>Data!A289</f>
        <v>0</v>
      </c>
      <c r="B294">
        <f>Data!B289</f>
        <v>0</v>
      </c>
      <c r="C294">
        <f>Data!E289</f>
        <v>2006</v>
      </c>
    </row>
    <row r="295" spans="1:3" x14ac:dyDescent="0.2">
      <c r="A295">
        <f>Data!A290</f>
        <v>0</v>
      </c>
      <c r="B295">
        <f>Data!B290</f>
        <v>0</v>
      </c>
      <c r="C295">
        <f>Data!E290</f>
        <v>2006</v>
      </c>
    </row>
    <row r="296" spans="1:3" x14ac:dyDescent="0.2">
      <c r="A296" t="str">
        <f>Data!A291</f>
        <v>Ceronsky et al.</v>
      </c>
      <c r="B296" t="str">
        <f>Data!B291</f>
        <v>RM9677</v>
      </c>
      <c r="C296">
        <f>Data!E291</f>
        <v>2011</v>
      </c>
    </row>
    <row r="297" spans="1:3" x14ac:dyDescent="0.2">
      <c r="A297">
        <f>Data!A292</f>
        <v>0</v>
      </c>
      <c r="B297">
        <f>Data!B292</f>
        <v>0</v>
      </c>
      <c r="C297">
        <f>Data!E292</f>
        <v>2011</v>
      </c>
    </row>
    <row r="298" spans="1:3" x14ac:dyDescent="0.2">
      <c r="A298">
        <f>Data!A293</f>
        <v>0</v>
      </c>
      <c r="B298">
        <f>Data!B293</f>
        <v>0</v>
      </c>
      <c r="C298">
        <f>Data!E293</f>
        <v>2011</v>
      </c>
    </row>
    <row r="299" spans="1:3" x14ac:dyDescent="0.2">
      <c r="A299">
        <f>Data!A294</f>
        <v>0</v>
      </c>
      <c r="B299">
        <f>Data!B294</f>
        <v>0</v>
      </c>
      <c r="C299">
        <f>Data!E294</f>
        <v>2011</v>
      </c>
    </row>
    <row r="300" spans="1:3" x14ac:dyDescent="0.2">
      <c r="A300">
        <f>Data!A295</f>
        <v>0</v>
      </c>
      <c r="B300">
        <f>Data!B295</f>
        <v>0</v>
      </c>
      <c r="C300">
        <f>Data!E295</f>
        <v>2011</v>
      </c>
    </row>
    <row r="301" spans="1:3" x14ac:dyDescent="0.2">
      <c r="A301">
        <f>Data!A296</f>
        <v>0</v>
      </c>
      <c r="B301">
        <f>Data!B296</f>
        <v>0</v>
      </c>
      <c r="C301">
        <f>Data!E296</f>
        <v>2011</v>
      </c>
    </row>
    <row r="302" spans="1:3" x14ac:dyDescent="0.2">
      <c r="A302">
        <f>Data!A297</f>
        <v>0</v>
      </c>
      <c r="B302">
        <f>Data!B297</f>
        <v>0</v>
      </c>
      <c r="C302">
        <f>Data!E297</f>
        <v>2011</v>
      </c>
    </row>
    <row r="303" spans="1:3" x14ac:dyDescent="0.2">
      <c r="A303">
        <f>Data!A298</f>
        <v>0</v>
      </c>
      <c r="B303">
        <f>Data!B298</f>
        <v>0</v>
      </c>
      <c r="C303">
        <f>Data!E298</f>
        <v>2011</v>
      </c>
    </row>
    <row r="304" spans="1:3" x14ac:dyDescent="0.2">
      <c r="A304">
        <f>Data!A299</f>
        <v>0</v>
      </c>
      <c r="B304">
        <f>Data!B299</f>
        <v>0</v>
      </c>
      <c r="C304">
        <f>Data!E299</f>
        <v>2011</v>
      </c>
    </row>
    <row r="305" spans="1:3" x14ac:dyDescent="0.2">
      <c r="A305">
        <f>Data!A300</f>
        <v>0</v>
      </c>
      <c r="B305">
        <f>Data!B300</f>
        <v>0</v>
      </c>
      <c r="C305">
        <f>Data!E300</f>
        <v>2011</v>
      </c>
    </row>
    <row r="306" spans="1:3" x14ac:dyDescent="0.2">
      <c r="A306">
        <f>Data!A301</f>
        <v>0</v>
      </c>
      <c r="B306">
        <f>Data!B301</f>
        <v>0</v>
      </c>
      <c r="C306">
        <f>Data!E301</f>
        <v>2011</v>
      </c>
    </row>
    <row r="307" spans="1:3" x14ac:dyDescent="0.2">
      <c r="A307">
        <f>Data!A302</f>
        <v>0</v>
      </c>
      <c r="B307">
        <f>Data!B302</f>
        <v>0</v>
      </c>
      <c r="C307">
        <f>Data!E302</f>
        <v>2011</v>
      </c>
    </row>
    <row r="308" spans="1:3" x14ac:dyDescent="0.2">
      <c r="A308">
        <f>Data!A303</f>
        <v>0</v>
      </c>
      <c r="B308">
        <f>Data!B303</f>
        <v>0</v>
      </c>
      <c r="C308">
        <f>Data!E303</f>
        <v>2011</v>
      </c>
    </row>
    <row r="309" spans="1:3" x14ac:dyDescent="0.2">
      <c r="A309">
        <f>Data!A304</f>
        <v>0</v>
      </c>
      <c r="B309">
        <f>Data!B304</f>
        <v>0</v>
      </c>
      <c r="C309">
        <f>Data!E304</f>
        <v>2011</v>
      </c>
    </row>
    <row r="310" spans="1:3" x14ac:dyDescent="0.2">
      <c r="A310">
        <f>Data!A305</f>
        <v>0</v>
      </c>
      <c r="B310">
        <f>Data!B305</f>
        <v>0</v>
      </c>
      <c r="C310">
        <f>Data!E305</f>
        <v>2011</v>
      </c>
    </row>
    <row r="311" spans="1:3" x14ac:dyDescent="0.2">
      <c r="A311">
        <f>Data!A306</f>
        <v>0</v>
      </c>
      <c r="B311">
        <f>Data!B306</f>
        <v>0</v>
      </c>
      <c r="C311">
        <f>Data!E306</f>
        <v>2011</v>
      </c>
    </row>
    <row r="312" spans="1:3" x14ac:dyDescent="0.2">
      <c r="A312">
        <f>Data!A307</f>
        <v>0</v>
      </c>
      <c r="B312">
        <f>Data!B307</f>
        <v>0</v>
      </c>
      <c r="C312">
        <f>Data!E307</f>
        <v>2011</v>
      </c>
    </row>
    <row r="313" spans="1:3" x14ac:dyDescent="0.2">
      <c r="A313">
        <f>Data!A308</f>
        <v>0</v>
      </c>
      <c r="B313">
        <f>Data!B308</f>
        <v>0</v>
      </c>
      <c r="C313">
        <f>Data!E308</f>
        <v>2011</v>
      </c>
    </row>
    <row r="314" spans="1:3" x14ac:dyDescent="0.2">
      <c r="A314">
        <f>Data!A309</f>
        <v>0</v>
      </c>
      <c r="B314">
        <f>Data!B309</f>
        <v>0</v>
      </c>
      <c r="C314">
        <f>Data!E309</f>
        <v>2011</v>
      </c>
    </row>
    <row r="315" spans="1:3" x14ac:dyDescent="0.2">
      <c r="A315">
        <f>Data!A310</f>
        <v>0</v>
      </c>
      <c r="B315">
        <f>Data!B310</f>
        <v>0</v>
      </c>
      <c r="C315">
        <f>Data!E310</f>
        <v>2011</v>
      </c>
    </row>
    <row r="316" spans="1:3" x14ac:dyDescent="0.2">
      <c r="A316">
        <f>Data!A311</f>
        <v>0</v>
      </c>
      <c r="B316">
        <f>Data!B311</f>
        <v>0</v>
      </c>
      <c r="C316">
        <f>Data!E311</f>
        <v>2011</v>
      </c>
    </row>
    <row r="317" spans="1:3" x14ac:dyDescent="0.2">
      <c r="A317">
        <f>Data!A312</f>
        <v>0</v>
      </c>
      <c r="B317">
        <f>Data!B312</f>
        <v>0</v>
      </c>
      <c r="C317">
        <f>Data!E312</f>
        <v>2011</v>
      </c>
    </row>
    <row r="318" spans="1:3" x14ac:dyDescent="0.2">
      <c r="A318">
        <f>Data!A313</f>
        <v>0</v>
      </c>
      <c r="B318">
        <f>Data!B313</f>
        <v>0</v>
      </c>
      <c r="C318">
        <f>Data!E313</f>
        <v>2011</v>
      </c>
    </row>
    <row r="319" spans="1:3" x14ac:dyDescent="0.2">
      <c r="A319">
        <f>Data!A314</f>
        <v>0</v>
      </c>
      <c r="B319">
        <f>Data!B314</f>
        <v>0</v>
      </c>
      <c r="C319">
        <f>Data!E314</f>
        <v>2011</v>
      </c>
    </row>
    <row r="320" spans="1:3" x14ac:dyDescent="0.2">
      <c r="A320">
        <f>Data!A315</f>
        <v>0</v>
      </c>
      <c r="B320">
        <f>Data!B315</f>
        <v>0</v>
      </c>
      <c r="C320">
        <f>Data!E315</f>
        <v>2011</v>
      </c>
    </row>
    <row r="321" spans="1:3" x14ac:dyDescent="0.2">
      <c r="A321">
        <f>Data!A316</f>
        <v>0</v>
      </c>
      <c r="B321">
        <f>Data!B316</f>
        <v>0</v>
      </c>
      <c r="C321">
        <f>Data!E316</f>
        <v>2011</v>
      </c>
    </row>
    <row r="322" spans="1:3" x14ac:dyDescent="0.2">
      <c r="A322">
        <f>Data!A317</f>
        <v>0</v>
      </c>
      <c r="B322">
        <f>Data!B317</f>
        <v>0</v>
      </c>
      <c r="C322">
        <f>Data!E317</f>
        <v>2011</v>
      </c>
    </row>
    <row r="323" spans="1:3" x14ac:dyDescent="0.2">
      <c r="A323">
        <f>Data!A318</f>
        <v>0</v>
      </c>
      <c r="B323">
        <f>Data!B318</f>
        <v>0</v>
      </c>
      <c r="C323">
        <f>Data!E318</f>
        <v>2011</v>
      </c>
    </row>
    <row r="324" spans="1:3" x14ac:dyDescent="0.2">
      <c r="A324">
        <f>Data!A319</f>
        <v>0</v>
      </c>
      <c r="B324">
        <f>Data!B319</f>
        <v>0</v>
      </c>
      <c r="C324">
        <f>Data!E319</f>
        <v>2011</v>
      </c>
    </row>
    <row r="325" spans="1:3" x14ac:dyDescent="0.2">
      <c r="A325">
        <f>Data!A320</f>
        <v>0</v>
      </c>
      <c r="B325">
        <f>Data!B320</f>
        <v>0</v>
      </c>
      <c r="C325">
        <f>Data!E320</f>
        <v>2011</v>
      </c>
    </row>
    <row r="326" spans="1:3" x14ac:dyDescent="0.2">
      <c r="A326">
        <f>Data!A321</f>
        <v>0</v>
      </c>
      <c r="B326">
        <f>Data!B321</f>
        <v>0</v>
      </c>
      <c r="C326">
        <f>Data!E321</f>
        <v>2011</v>
      </c>
    </row>
    <row r="327" spans="1:3" x14ac:dyDescent="0.2">
      <c r="A327">
        <f>Data!A322</f>
        <v>0</v>
      </c>
      <c r="B327">
        <f>Data!B322</f>
        <v>0</v>
      </c>
      <c r="C327">
        <f>Data!E322</f>
        <v>2011</v>
      </c>
    </row>
    <row r="328" spans="1:3" x14ac:dyDescent="0.2">
      <c r="A328">
        <f>Data!A323</f>
        <v>0</v>
      </c>
      <c r="B328">
        <f>Data!B323</f>
        <v>0</v>
      </c>
      <c r="C328">
        <f>Data!E323</f>
        <v>2011</v>
      </c>
    </row>
    <row r="329" spans="1:3" x14ac:dyDescent="0.2">
      <c r="A329">
        <f>Data!A324</f>
        <v>0</v>
      </c>
      <c r="B329">
        <f>Data!B324</f>
        <v>0</v>
      </c>
      <c r="C329">
        <f>Data!E324</f>
        <v>2011</v>
      </c>
    </row>
    <row r="330" spans="1:3" x14ac:dyDescent="0.2">
      <c r="A330">
        <f>Data!A325</f>
        <v>0</v>
      </c>
      <c r="B330">
        <f>Data!B325</f>
        <v>0</v>
      </c>
      <c r="C330">
        <f>Data!E325</f>
        <v>2011</v>
      </c>
    </row>
    <row r="331" spans="1:3" x14ac:dyDescent="0.2">
      <c r="A331">
        <f>Data!A326</f>
        <v>0</v>
      </c>
      <c r="B331">
        <f>Data!B326</f>
        <v>0</v>
      </c>
      <c r="C331">
        <f>Data!E326</f>
        <v>2011</v>
      </c>
    </row>
    <row r="332" spans="1:3" x14ac:dyDescent="0.2">
      <c r="A332">
        <f>Data!A327</f>
        <v>0</v>
      </c>
      <c r="B332">
        <f>Data!B327</f>
        <v>0</v>
      </c>
      <c r="C332">
        <f>Data!E327</f>
        <v>2011</v>
      </c>
    </row>
    <row r="333" spans="1:3" x14ac:dyDescent="0.2">
      <c r="A333">
        <f>Data!A328</f>
        <v>0</v>
      </c>
      <c r="B333">
        <f>Data!B328</f>
        <v>0</v>
      </c>
      <c r="C333">
        <f>Data!E328</f>
        <v>2011</v>
      </c>
    </row>
    <row r="334" spans="1:3" x14ac:dyDescent="0.2">
      <c r="A334">
        <f>Data!A329</f>
        <v>0</v>
      </c>
      <c r="B334">
        <f>Data!B329</f>
        <v>0</v>
      </c>
      <c r="C334">
        <f>Data!E329</f>
        <v>2011</v>
      </c>
    </row>
    <row r="335" spans="1:3" x14ac:dyDescent="0.2">
      <c r="A335">
        <f>Data!A330</f>
        <v>0</v>
      </c>
      <c r="B335">
        <f>Data!B330</f>
        <v>0</v>
      </c>
      <c r="C335">
        <f>Data!E330</f>
        <v>2011</v>
      </c>
    </row>
    <row r="336" spans="1:3" x14ac:dyDescent="0.2">
      <c r="A336">
        <f>Data!A331</f>
        <v>0</v>
      </c>
      <c r="B336">
        <f>Data!B331</f>
        <v>0</v>
      </c>
      <c r="C336">
        <f>Data!E331</f>
        <v>2011</v>
      </c>
    </row>
    <row r="337" spans="1:3" x14ac:dyDescent="0.2">
      <c r="A337">
        <f>Data!A332</f>
        <v>0</v>
      </c>
      <c r="B337">
        <f>Data!B332</f>
        <v>0</v>
      </c>
      <c r="C337">
        <f>Data!E332</f>
        <v>2011</v>
      </c>
    </row>
    <row r="338" spans="1:3" x14ac:dyDescent="0.2">
      <c r="A338">
        <f>Data!A333</f>
        <v>0</v>
      </c>
      <c r="B338">
        <f>Data!B333</f>
        <v>0</v>
      </c>
      <c r="C338">
        <f>Data!E333</f>
        <v>2011</v>
      </c>
    </row>
    <row r="339" spans="1:3" x14ac:dyDescent="0.2">
      <c r="A339">
        <f>Data!A334</f>
        <v>0</v>
      </c>
      <c r="B339">
        <f>Data!B334</f>
        <v>0</v>
      </c>
      <c r="C339">
        <f>Data!E334</f>
        <v>2011</v>
      </c>
    </row>
    <row r="340" spans="1:3" x14ac:dyDescent="0.2">
      <c r="A340">
        <f>Data!A335</f>
        <v>0</v>
      </c>
      <c r="B340">
        <f>Data!B335</f>
        <v>0</v>
      </c>
      <c r="C340">
        <f>Data!E335</f>
        <v>2011</v>
      </c>
    </row>
    <row r="341" spans="1:3" x14ac:dyDescent="0.2">
      <c r="A341">
        <f>Data!A336</f>
        <v>0</v>
      </c>
      <c r="B341">
        <f>Data!B336</f>
        <v>0</v>
      </c>
      <c r="C341">
        <f>Data!E336</f>
        <v>2011</v>
      </c>
    </row>
    <row r="342" spans="1:3" x14ac:dyDescent="0.2">
      <c r="A342">
        <f>Data!A337</f>
        <v>0</v>
      </c>
      <c r="B342">
        <f>Data!B337</f>
        <v>0</v>
      </c>
      <c r="C342">
        <f>Data!E337</f>
        <v>2011</v>
      </c>
    </row>
    <row r="343" spans="1:3" x14ac:dyDescent="0.2">
      <c r="A343">
        <f>Data!A338</f>
        <v>0</v>
      </c>
      <c r="B343">
        <f>Data!B338</f>
        <v>0</v>
      </c>
      <c r="C343">
        <f>Data!E338</f>
        <v>2011</v>
      </c>
    </row>
    <row r="344" spans="1:3" x14ac:dyDescent="0.2">
      <c r="A344" t="str">
        <f>Data!A339</f>
        <v>Guo, Cameron, Tol, Anthoff</v>
      </c>
      <c r="B344" t="str">
        <f>Data!B339</f>
        <v>RM7087</v>
      </c>
      <c r="C344">
        <f>Data!E339</f>
        <v>2006</v>
      </c>
    </row>
    <row r="345" spans="1:3" x14ac:dyDescent="0.2">
      <c r="A345">
        <f>Data!A340</f>
        <v>0</v>
      </c>
      <c r="B345">
        <f>Data!B340</f>
        <v>0</v>
      </c>
      <c r="C345">
        <f>Data!E340</f>
        <v>2006</v>
      </c>
    </row>
    <row r="346" spans="1:3" x14ac:dyDescent="0.2">
      <c r="A346">
        <f>Data!A341</f>
        <v>0</v>
      </c>
      <c r="B346">
        <f>Data!B341</f>
        <v>0</v>
      </c>
      <c r="C346">
        <f>Data!E341</f>
        <v>2006</v>
      </c>
    </row>
    <row r="347" spans="1:3" x14ac:dyDescent="0.2">
      <c r="A347">
        <f>Data!A342</f>
        <v>0</v>
      </c>
      <c r="B347">
        <f>Data!B342</f>
        <v>0</v>
      </c>
      <c r="C347">
        <f>Data!E342</f>
        <v>2006</v>
      </c>
    </row>
    <row r="348" spans="1:3" x14ac:dyDescent="0.2">
      <c r="A348">
        <f>Data!A343</f>
        <v>0</v>
      </c>
      <c r="B348">
        <f>Data!B343</f>
        <v>0</v>
      </c>
      <c r="C348">
        <f>Data!E343</f>
        <v>2006</v>
      </c>
    </row>
    <row r="349" spans="1:3" x14ac:dyDescent="0.2">
      <c r="A349">
        <f>Data!A344</f>
        <v>0</v>
      </c>
      <c r="B349">
        <f>Data!B344</f>
        <v>0</v>
      </c>
      <c r="C349">
        <f>Data!E344</f>
        <v>2006</v>
      </c>
    </row>
    <row r="350" spans="1:3" x14ac:dyDescent="0.2">
      <c r="A350">
        <f>Data!A345</f>
        <v>0</v>
      </c>
      <c r="B350">
        <f>Data!B345</f>
        <v>0</v>
      </c>
      <c r="C350">
        <f>Data!E345</f>
        <v>2006</v>
      </c>
    </row>
    <row r="351" spans="1:3" x14ac:dyDescent="0.2">
      <c r="A351">
        <f>Data!A346</f>
        <v>0</v>
      </c>
      <c r="B351">
        <f>Data!B346</f>
        <v>0</v>
      </c>
      <c r="C351">
        <f>Data!E346</f>
        <v>2006</v>
      </c>
    </row>
    <row r="352" spans="1:3" x14ac:dyDescent="0.2">
      <c r="A352">
        <f>Data!A347</f>
        <v>0</v>
      </c>
      <c r="B352">
        <f>Data!B347</f>
        <v>0</v>
      </c>
      <c r="C352">
        <f>Data!E347</f>
        <v>2006</v>
      </c>
    </row>
    <row r="353" spans="1:266" x14ac:dyDescent="0.2">
      <c r="A353">
        <f>Data!A348</f>
        <v>0</v>
      </c>
      <c r="B353">
        <f>Data!B348</f>
        <v>0</v>
      </c>
      <c r="C353">
        <f>Data!E348</f>
        <v>2006</v>
      </c>
    </row>
    <row r="354" spans="1:266" x14ac:dyDescent="0.2">
      <c r="A354">
        <f>Data!A349</f>
        <v>0</v>
      </c>
      <c r="B354">
        <f>Data!B349</f>
        <v>0</v>
      </c>
      <c r="C354">
        <f>Data!E349</f>
        <v>2006</v>
      </c>
    </row>
    <row r="355" spans="1:266" x14ac:dyDescent="0.2">
      <c r="A355">
        <f>Data!A350</f>
        <v>0</v>
      </c>
      <c r="B355">
        <f>Data!B350</f>
        <v>0</v>
      </c>
      <c r="C355">
        <f>Data!E350</f>
        <v>2006</v>
      </c>
    </row>
    <row r="356" spans="1:266" x14ac:dyDescent="0.2">
      <c r="A356">
        <f>Data!A351</f>
        <v>0</v>
      </c>
      <c r="B356">
        <f>Data!B351</f>
        <v>0</v>
      </c>
      <c r="C356">
        <f>Data!E351</f>
        <v>2006</v>
      </c>
    </row>
    <row r="357" spans="1:266" x14ac:dyDescent="0.2">
      <c r="A357">
        <f>Data!A352</f>
        <v>0</v>
      </c>
      <c r="B357">
        <f>Data!B352</f>
        <v>0</v>
      </c>
      <c r="C357">
        <f>Data!E352</f>
        <v>2006</v>
      </c>
    </row>
    <row r="358" spans="1:266" x14ac:dyDescent="0.2">
      <c r="A358">
        <f>Data!A353</f>
        <v>0</v>
      </c>
      <c r="B358">
        <f>Data!B353</f>
        <v>0</v>
      </c>
      <c r="C358">
        <f>Data!E353</f>
        <v>2006</v>
      </c>
    </row>
    <row r="359" spans="1:266" x14ac:dyDescent="0.2">
      <c r="A359">
        <f>Data!A354</f>
        <v>0</v>
      </c>
      <c r="B359">
        <f>Data!B354</f>
        <v>0</v>
      </c>
      <c r="C359">
        <f>Data!E354</f>
        <v>2006</v>
      </c>
    </row>
    <row r="360" spans="1:266" x14ac:dyDescent="0.2">
      <c r="A360" t="str">
        <f>Data!A355</f>
        <v>Wahba, Hope</v>
      </c>
      <c r="B360" t="str">
        <f>Data!B355</f>
        <v>RM6845</v>
      </c>
      <c r="C360">
        <f>Data!E355</f>
        <v>2006</v>
      </c>
      <c r="D360" s="8">
        <f>Data!N355</f>
        <v>0.2</v>
      </c>
      <c r="E360">
        <f>E$1*(1-Data!BF355)+E$2*Data!BF355</f>
        <v>1</v>
      </c>
      <c r="F360">
        <f>D360*E360</f>
        <v>0.2</v>
      </c>
      <c r="G360" s="15">
        <f>(J360/H360)^(1/(K360-I360))-1</f>
        <v>3.0523237345777776E-2</v>
      </c>
      <c r="H360">
        <f>MIN(L360:BE360)</f>
        <v>20</v>
      </c>
      <c r="I360">
        <f>LOOKUP(H360,L360:BE360,L$8:BE$8)</f>
        <v>2005</v>
      </c>
      <c r="J360">
        <f>MAX(L360:BE360)</f>
        <v>470</v>
      </c>
      <c r="K360">
        <f>LOOKUP(J360,L360:BE360,L$8:BE$8)</f>
        <v>2110</v>
      </c>
      <c r="Q360">
        <v>20</v>
      </c>
      <c r="T360">
        <v>47</v>
      </c>
      <c r="X360">
        <v>119</v>
      </c>
      <c r="AB360">
        <v>194</v>
      </c>
      <c r="AF360">
        <v>355</v>
      </c>
      <c r="AL360">
        <v>470</v>
      </c>
      <c r="JF360" t="e">
        <f>1/SUM(BL360:JD360)</f>
        <v>#DIV/0!</v>
      </c>
    </row>
    <row r="361" spans="1:266" x14ac:dyDescent="0.2">
      <c r="A361">
        <f>Data!A356</f>
        <v>0</v>
      </c>
      <c r="B361">
        <f>Data!B356</f>
        <v>0</v>
      </c>
      <c r="C361">
        <f>Data!E356</f>
        <v>2006</v>
      </c>
      <c r="D361" s="8">
        <f>Data!N356</f>
        <v>0.2</v>
      </c>
      <c r="E361">
        <f>E$1*(1-Data!BF356)+E$2*Data!BF356</f>
        <v>1</v>
      </c>
      <c r="F361">
        <f>D361*E361</f>
        <v>0.2</v>
      </c>
      <c r="G361" s="15">
        <f>(J361/H361)^(1/(K361-I361))-1</f>
        <v>3.3004340773886698E-2</v>
      </c>
      <c r="H361">
        <f>MIN(L361:BE361)</f>
        <v>16</v>
      </c>
      <c r="I361">
        <f>LOOKUP(H361,L361:BE361,L$8:BE$8)</f>
        <v>2005</v>
      </c>
      <c r="J361">
        <f>MAX(L361:BE361)</f>
        <v>484</v>
      </c>
      <c r="K361">
        <f>LOOKUP(J361,L361:BE361,L$8:BE$8)</f>
        <v>2110</v>
      </c>
      <c r="Q361">
        <v>16</v>
      </c>
      <c r="T361">
        <v>40</v>
      </c>
      <c r="X361">
        <v>133</v>
      </c>
      <c r="AB361">
        <v>300</v>
      </c>
      <c r="AF361">
        <v>484</v>
      </c>
      <c r="AL361">
        <v>456</v>
      </c>
      <c r="JF361" t="e">
        <f>1/SUM(BL361:JD361)</f>
        <v>#DIV/0!</v>
      </c>
    </row>
    <row r="362" spans="1:266" x14ac:dyDescent="0.2">
      <c r="A362">
        <f>Data!A357</f>
        <v>0</v>
      </c>
      <c r="B362">
        <f>Data!B357</f>
        <v>0</v>
      </c>
      <c r="C362">
        <f>Data!E357</f>
        <v>2006</v>
      </c>
    </row>
    <row r="363" spans="1:266" x14ac:dyDescent="0.2">
      <c r="A363">
        <f>Data!A358</f>
        <v>0</v>
      </c>
      <c r="B363">
        <f>Data!B358</f>
        <v>0</v>
      </c>
      <c r="C363">
        <f>Data!E358</f>
        <v>2006</v>
      </c>
    </row>
    <row r="364" spans="1:266" x14ac:dyDescent="0.2">
      <c r="A364">
        <f>Data!A359</f>
        <v>0</v>
      </c>
      <c r="B364">
        <f>Data!B359</f>
        <v>0</v>
      </c>
      <c r="C364">
        <f>Data!E359</f>
        <v>2006</v>
      </c>
    </row>
    <row r="365" spans="1:266" x14ac:dyDescent="0.2">
      <c r="A365">
        <f>Data!A360</f>
        <v>0</v>
      </c>
      <c r="B365">
        <f>Data!B360</f>
        <v>0</v>
      </c>
      <c r="C365">
        <f>Data!E360</f>
        <v>2006</v>
      </c>
    </row>
    <row r="366" spans="1:266" x14ac:dyDescent="0.2">
      <c r="A366">
        <f>Data!A361</f>
        <v>0</v>
      </c>
      <c r="B366">
        <f>Data!B361</f>
        <v>0</v>
      </c>
      <c r="C366">
        <f>Data!E361</f>
        <v>2006</v>
      </c>
    </row>
    <row r="367" spans="1:266" x14ac:dyDescent="0.2">
      <c r="A367">
        <f>Data!A362</f>
        <v>0</v>
      </c>
      <c r="B367">
        <f>Data!B362</f>
        <v>0</v>
      </c>
      <c r="C367">
        <f>Data!E362</f>
        <v>2006</v>
      </c>
    </row>
    <row r="368" spans="1:266" x14ac:dyDescent="0.2">
      <c r="A368" t="str">
        <f>Data!A363</f>
        <v>Hope</v>
      </c>
      <c r="B368" t="str">
        <f>Data!B363</f>
        <v>RM6970</v>
      </c>
      <c r="C368">
        <f>Data!E363</f>
        <v>2006</v>
      </c>
    </row>
    <row r="369" spans="1:266" x14ac:dyDescent="0.2">
      <c r="A369" t="str">
        <f>Data!A364</f>
        <v>Hope</v>
      </c>
      <c r="B369" t="str">
        <f>Data!B364</f>
        <v>RM6971</v>
      </c>
      <c r="C369">
        <f>Data!E364</f>
        <v>2005</v>
      </c>
    </row>
    <row r="370" spans="1:266" x14ac:dyDescent="0.2">
      <c r="A370">
        <f>Data!A365</f>
        <v>0</v>
      </c>
      <c r="B370">
        <f>Data!B365</f>
        <v>0</v>
      </c>
      <c r="C370">
        <f>Data!E365</f>
        <v>2005</v>
      </c>
    </row>
    <row r="371" spans="1:266" x14ac:dyDescent="0.2">
      <c r="A371">
        <f>Data!A366</f>
        <v>0</v>
      </c>
      <c r="B371">
        <f>Data!B366</f>
        <v>0</v>
      </c>
      <c r="C371">
        <f>Data!E366</f>
        <v>2005</v>
      </c>
    </row>
    <row r="372" spans="1:266" x14ac:dyDescent="0.2">
      <c r="A372">
        <f>Data!A367</f>
        <v>0</v>
      </c>
      <c r="B372">
        <f>Data!B367</f>
        <v>0</v>
      </c>
      <c r="C372">
        <f>Data!E367</f>
        <v>2005</v>
      </c>
    </row>
    <row r="373" spans="1:266" x14ac:dyDescent="0.2">
      <c r="A373">
        <f>Data!A368</f>
        <v>0</v>
      </c>
      <c r="B373">
        <f>Data!B368</f>
        <v>0</v>
      </c>
      <c r="C373">
        <f>Data!E368</f>
        <v>2005</v>
      </c>
    </row>
    <row r="374" spans="1:266" x14ac:dyDescent="0.2">
      <c r="A374">
        <f>Data!A369</f>
        <v>0</v>
      </c>
      <c r="B374">
        <f>Data!B369</f>
        <v>0</v>
      </c>
      <c r="C374">
        <f>Data!E369</f>
        <v>2005</v>
      </c>
    </row>
    <row r="375" spans="1:266" x14ac:dyDescent="0.2">
      <c r="A375" t="str">
        <f>Data!A370</f>
        <v>Hope</v>
      </c>
      <c r="B375" t="str">
        <f>Data!B370</f>
        <v>RM6860</v>
      </c>
      <c r="C375">
        <f>Data!E370</f>
        <v>2006</v>
      </c>
    </row>
    <row r="376" spans="1:266" x14ac:dyDescent="0.2">
      <c r="A376" t="str">
        <f>Data!A371</f>
        <v>Hope</v>
      </c>
      <c r="B376" t="str">
        <f>Data!B371</f>
        <v>RM6506</v>
      </c>
      <c r="C376">
        <f>Data!E371</f>
        <v>2005</v>
      </c>
    </row>
    <row r="377" spans="1:266" x14ac:dyDescent="0.2">
      <c r="A377" t="str">
        <f>Data!A372</f>
        <v>Downing et al.</v>
      </c>
      <c r="B377" t="str">
        <f>Data!B372</f>
        <v>RM6968</v>
      </c>
      <c r="C377">
        <f>Data!E372</f>
        <v>2005</v>
      </c>
    </row>
    <row r="378" spans="1:266" x14ac:dyDescent="0.2">
      <c r="A378" t="str">
        <f>Data!A373</f>
        <v>Stern et al.</v>
      </c>
      <c r="B378" t="str">
        <f>Data!B373</f>
        <v>RM6349</v>
      </c>
      <c r="C378">
        <f>Data!E373</f>
        <v>2006</v>
      </c>
    </row>
    <row r="379" spans="1:266" x14ac:dyDescent="0.2">
      <c r="A379" t="str">
        <f>Data!A374</f>
        <v>Stern and Taylor</v>
      </c>
      <c r="B379" t="str">
        <f>Data!B374</f>
        <v>RM2412</v>
      </c>
      <c r="C379">
        <f>Data!E374</f>
        <v>2007</v>
      </c>
    </row>
    <row r="380" spans="1:266" x14ac:dyDescent="0.2">
      <c r="A380">
        <f>Data!A375</f>
        <v>0</v>
      </c>
      <c r="B380">
        <f>Data!B375</f>
        <v>0</v>
      </c>
      <c r="C380">
        <f>Data!E375</f>
        <v>2007</v>
      </c>
    </row>
    <row r="381" spans="1:266" x14ac:dyDescent="0.2">
      <c r="A381" t="str">
        <f>Data!A376</f>
        <v>Nordhaus</v>
      </c>
      <c r="B381" t="str">
        <f>Data!B376</f>
        <v>RM8087</v>
      </c>
      <c r="C381">
        <f>Data!E376</f>
        <v>2008</v>
      </c>
    </row>
    <row r="382" spans="1:266" x14ac:dyDescent="0.2">
      <c r="A382">
        <f>Data!A377</f>
        <v>0</v>
      </c>
      <c r="B382">
        <f>Data!B377</f>
        <v>0</v>
      </c>
      <c r="C382">
        <f>Data!E377</f>
        <v>2008</v>
      </c>
      <c r="D382">
        <v>1</v>
      </c>
      <c r="E382">
        <f>E$1*(1-Data!BF377)+E$2*Data!BF377</f>
        <v>1</v>
      </c>
      <c r="F382">
        <f>D382*E382</f>
        <v>1</v>
      </c>
      <c r="G382" s="15">
        <f>(J382/H382)^(1/(K382-I382))-1</f>
        <v>2.0954890806594628E-2</v>
      </c>
      <c r="H382">
        <f>MIN(L382:BE382)</f>
        <v>27.28</v>
      </c>
      <c r="I382">
        <f>LOOKUP(H382,L382:BE382,L$8:BE$8)</f>
        <v>2005</v>
      </c>
      <c r="J382">
        <f>MAX(L382:BE382)</f>
        <v>217.02</v>
      </c>
      <c r="K382">
        <f>LOOKUP(J382,L382:BE382,L$8:BE$8)</f>
        <v>2105</v>
      </c>
      <c r="Q382">
        <v>27.28</v>
      </c>
      <c r="S382">
        <v>41.9</v>
      </c>
      <c r="U382">
        <v>53.39</v>
      </c>
      <c r="W382">
        <v>66.489999999999995</v>
      </c>
      <c r="Y382">
        <v>81.31</v>
      </c>
      <c r="AA382">
        <v>98.01</v>
      </c>
      <c r="AC382">
        <v>116.78</v>
      </c>
      <c r="AE382">
        <v>137.82</v>
      </c>
      <c r="AG382">
        <v>161.37</v>
      </c>
      <c r="AI382">
        <v>187.68</v>
      </c>
      <c r="AK382">
        <v>217.02</v>
      </c>
      <c r="JF382" t="e">
        <f>1/SUM(BL382:JD382)</f>
        <v>#DIV/0!</v>
      </c>
    </row>
    <row r="383" spans="1:266" x14ac:dyDescent="0.2">
      <c r="A383">
        <f>Data!A378</f>
        <v>0</v>
      </c>
      <c r="B383">
        <f>Data!B378</f>
        <v>0</v>
      </c>
      <c r="C383">
        <f>Data!E378</f>
        <v>2008</v>
      </c>
    </row>
    <row r="384" spans="1:266" x14ac:dyDescent="0.2">
      <c r="A384">
        <f>Data!A379</f>
        <v>0</v>
      </c>
      <c r="B384">
        <f>Data!B379</f>
        <v>0</v>
      </c>
      <c r="C384">
        <f>Data!E379</f>
        <v>2008</v>
      </c>
    </row>
    <row r="385" spans="1:266" x14ac:dyDescent="0.2">
      <c r="A385" t="str">
        <f>Data!A380</f>
        <v>Hope</v>
      </c>
      <c r="B385" t="str">
        <f>Data!B380</f>
        <v>RM7917</v>
      </c>
      <c r="C385">
        <f>Data!E380</f>
        <v>2008</v>
      </c>
      <c r="G385" s="15"/>
    </row>
    <row r="386" spans="1:266" x14ac:dyDescent="0.2">
      <c r="A386">
        <f>Data!A381</f>
        <v>0</v>
      </c>
      <c r="B386">
        <f>Data!B381</f>
        <v>0</v>
      </c>
      <c r="C386">
        <f>Data!E381</f>
        <v>2008</v>
      </c>
    </row>
    <row r="387" spans="1:266" x14ac:dyDescent="0.2">
      <c r="A387">
        <f>Data!A382</f>
        <v>0</v>
      </c>
      <c r="B387">
        <f>Data!B382</f>
        <v>0</v>
      </c>
      <c r="C387">
        <f>Data!E382</f>
        <v>2008</v>
      </c>
    </row>
    <row r="388" spans="1:266" x14ac:dyDescent="0.2">
      <c r="A388">
        <f>Data!A383</f>
        <v>0</v>
      </c>
      <c r="B388">
        <f>Data!B383</f>
        <v>0</v>
      </c>
      <c r="C388">
        <f>Data!E383</f>
        <v>2008</v>
      </c>
    </row>
    <row r="389" spans="1:266" x14ac:dyDescent="0.2">
      <c r="A389">
        <f>Data!A384</f>
        <v>0</v>
      </c>
      <c r="B389">
        <f>Data!B384</f>
        <v>0</v>
      </c>
      <c r="C389">
        <f>Data!E384</f>
        <v>2008</v>
      </c>
      <c r="D389">
        <v>1</v>
      </c>
      <c r="E389">
        <f>E$1*(1-Data!BF384)+E$2*Data!BF384</f>
        <v>1</v>
      </c>
      <c r="F389">
        <f>D389*E389</f>
        <v>1</v>
      </c>
      <c r="G389" s="15">
        <f>(J389/H389)^(1/(K389-I389))-1</f>
        <v>3.2000000000000028E-2</v>
      </c>
      <c r="H389">
        <f>MIN(L389:BE389)</f>
        <v>12</v>
      </c>
      <c r="I389">
        <f>LOOKUP(H389,L389:BE389,L$8:BE$8)</f>
        <v>2000</v>
      </c>
      <c r="J389">
        <f>MAX(L389:BE389)</f>
        <v>79.426071704217762</v>
      </c>
      <c r="K389">
        <f>LOOKUP(J389,L389:BE389,L$8:BE$8)</f>
        <v>2060</v>
      </c>
      <c r="P389">
        <v>12</v>
      </c>
      <c r="AB389">
        <f>P389*(1.032)^60</f>
        <v>79.426071704217762</v>
      </c>
      <c r="JF389" t="e">
        <f>1/SUM(BL389:JD389)</f>
        <v>#DIV/0!</v>
      </c>
    </row>
    <row r="390" spans="1:266" x14ac:dyDescent="0.2">
      <c r="A390" t="str">
        <f>Data!A385</f>
        <v>Hope</v>
      </c>
      <c r="B390" t="str">
        <f>Data!B385</f>
        <v>RM7919</v>
      </c>
      <c r="C390">
        <f>Data!E385</f>
        <v>2008</v>
      </c>
    </row>
    <row r="391" spans="1:266" x14ac:dyDescent="0.2">
      <c r="A391">
        <f>Data!A386</f>
        <v>0</v>
      </c>
      <c r="B391">
        <f>Data!B386</f>
        <v>0</v>
      </c>
      <c r="C391">
        <f>Data!E386</f>
        <v>2008</v>
      </c>
    </row>
    <row r="392" spans="1:266" x14ac:dyDescent="0.2">
      <c r="A392">
        <f>Data!A387</f>
        <v>0</v>
      </c>
      <c r="B392">
        <f>Data!B387</f>
        <v>0</v>
      </c>
      <c r="C392">
        <f>Data!E387</f>
        <v>2008</v>
      </c>
    </row>
    <row r="393" spans="1:266" x14ac:dyDescent="0.2">
      <c r="A393">
        <f>Data!A388</f>
        <v>0</v>
      </c>
      <c r="B393">
        <f>Data!B388</f>
        <v>0</v>
      </c>
      <c r="C393">
        <f>Data!E388</f>
        <v>2008</v>
      </c>
    </row>
    <row r="394" spans="1:266" x14ac:dyDescent="0.2">
      <c r="A394">
        <f>Data!A389</f>
        <v>0</v>
      </c>
      <c r="B394">
        <f>Data!B389</f>
        <v>0</v>
      </c>
      <c r="C394">
        <f>Data!E389</f>
        <v>2008</v>
      </c>
    </row>
    <row r="395" spans="1:266" x14ac:dyDescent="0.2">
      <c r="A395">
        <f>Data!A390</f>
        <v>0</v>
      </c>
      <c r="B395">
        <f>Data!B390</f>
        <v>0</v>
      </c>
      <c r="C395">
        <f>Data!E390</f>
        <v>2008</v>
      </c>
    </row>
    <row r="396" spans="1:266" x14ac:dyDescent="0.2">
      <c r="A396">
        <f>Data!A391</f>
        <v>0</v>
      </c>
      <c r="B396">
        <f>Data!B391</f>
        <v>0</v>
      </c>
      <c r="C396">
        <f>Data!E391</f>
        <v>2008</v>
      </c>
    </row>
    <row r="397" spans="1:266" x14ac:dyDescent="0.2">
      <c r="A397">
        <f>Data!A392</f>
        <v>0</v>
      </c>
      <c r="B397">
        <f>Data!B392</f>
        <v>0</v>
      </c>
      <c r="C397">
        <f>Data!E392</f>
        <v>2008</v>
      </c>
    </row>
    <row r="398" spans="1:266" x14ac:dyDescent="0.2">
      <c r="A398">
        <f>Data!A393</f>
        <v>0</v>
      </c>
      <c r="B398">
        <f>Data!B393</f>
        <v>0</v>
      </c>
      <c r="C398">
        <f>Data!E393</f>
        <v>2008</v>
      </c>
    </row>
    <row r="399" spans="1:266" x14ac:dyDescent="0.2">
      <c r="A399">
        <f>Data!A394</f>
        <v>0</v>
      </c>
      <c r="B399">
        <f>Data!B394</f>
        <v>0</v>
      </c>
      <c r="C399">
        <f>Data!E394</f>
        <v>2008</v>
      </c>
    </row>
    <row r="400" spans="1:266" x14ac:dyDescent="0.2">
      <c r="A400" t="str">
        <f>Data!A395</f>
        <v>Kemfert and Schill</v>
      </c>
      <c r="B400" t="str">
        <f>Data!B395</f>
        <v>RM8463</v>
      </c>
      <c r="C400">
        <f>Data!E395</f>
        <v>2010</v>
      </c>
    </row>
    <row r="401" spans="1:266" x14ac:dyDescent="0.2">
      <c r="A401">
        <f>Data!A396</f>
        <v>0</v>
      </c>
      <c r="B401">
        <f>Data!B396</f>
        <v>0</v>
      </c>
      <c r="C401">
        <f>Data!E396</f>
        <v>2010</v>
      </c>
    </row>
    <row r="402" spans="1:266" x14ac:dyDescent="0.2">
      <c r="A402">
        <f>Data!A397</f>
        <v>0</v>
      </c>
      <c r="B402">
        <f>Data!B397</f>
        <v>0</v>
      </c>
      <c r="C402">
        <f>Data!E397</f>
        <v>2010</v>
      </c>
    </row>
    <row r="403" spans="1:266" x14ac:dyDescent="0.2">
      <c r="A403" t="str">
        <f>Data!A398</f>
        <v>Sohngen</v>
      </c>
      <c r="B403" t="str">
        <f>Data!B398</f>
        <v>RM8461</v>
      </c>
      <c r="C403">
        <f>Data!E398</f>
        <v>2010</v>
      </c>
      <c r="D403">
        <v>1</v>
      </c>
      <c r="E403">
        <f>E$1*(1-Data!BF398)+E$2*Data!BF398</f>
        <v>1</v>
      </c>
      <c r="F403">
        <f>D403*E403</f>
        <v>1</v>
      </c>
      <c r="G403" s="15">
        <f>(J403/H403)^(1/(K403-I403))-1</f>
        <v>2.1646098869361197E-2</v>
      </c>
      <c r="H403">
        <f>MIN(L403:BE403)</f>
        <v>26.51</v>
      </c>
      <c r="I403">
        <f>LOOKUP(H403,L403:BE403,L$8:BE$8)</f>
        <v>2010</v>
      </c>
      <c r="J403">
        <f>MAX(L403:BE403)</f>
        <v>182.16</v>
      </c>
      <c r="K403">
        <f>LOOKUP(J403,L403:BE403,L$8:BE$8)</f>
        <v>2100</v>
      </c>
      <c r="R403">
        <f>44/12*7.23</f>
        <v>26.51</v>
      </c>
      <c r="T403">
        <f>44/12*11.07</f>
        <v>40.589999999999996</v>
      </c>
      <c r="V403">
        <f>44/12*14.09</f>
        <v>51.663333333333334</v>
      </c>
      <c r="X403">
        <f>44/12*17.54</f>
        <v>64.313333333333333</v>
      </c>
      <c r="Z403">
        <f>44/12*21.45</f>
        <v>78.649999999999991</v>
      </c>
      <c r="AB403">
        <f>44/12*25.87</f>
        <v>94.856666666666669</v>
      </c>
      <c r="AD403">
        <f>44/12*30.85</f>
        <v>113.11666666666667</v>
      </c>
      <c r="AF403">
        <f>44/12*36.43</f>
        <v>133.57666666666665</v>
      </c>
      <c r="AH403">
        <f>44/12*42.69</f>
        <v>156.52999999999997</v>
      </c>
      <c r="AJ403">
        <f>44/12*49.68</f>
        <v>182.16</v>
      </c>
      <c r="JF403" t="e">
        <f>1/SUM(BL403:JD403)</f>
        <v>#DIV/0!</v>
      </c>
    </row>
    <row r="404" spans="1:266" x14ac:dyDescent="0.2">
      <c r="A404" t="str">
        <f>Data!A399</f>
        <v>Tol</v>
      </c>
      <c r="B404" t="str">
        <f>Data!B399</f>
        <v>RM9618</v>
      </c>
      <c r="C404">
        <f>Data!E399</f>
        <v>2010</v>
      </c>
    </row>
    <row r="405" spans="1:266" x14ac:dyDescent="0.2">
      <c r="A405" t="str">
        <f>Data!A400</f>
        <v>Anthoff et al.</v>
      </c>
      <c r="B405" t="str">
        <f>Data!B400</f>
        <v>RM8214</v>
      </c>
      <c r="C405">
        <f>Data!E400</f>
        <v>2009</v>
      </c>
    </row>
    <row r="406" spans="1:266" x14ac:dyDescent="0.2">
      <c r="A406">
        <f>Data!A401</f>
        <v>0</v>
      </c>
      <c r="B406">
        <f>Data!B401</f>
        <v>0</v>
      </c>
      <c r="C406">
        <f>Data!E401</f>
        <v>2009</v>
      </c>
    </row>
    <row r="407" spans="1:266" x14ac:dyDescent="0.2">
      <c r="A407">
        <f>Data!A402</f>
        <v>0</v>
      </c>
      <c r="B407">
        <f>Data!B402</f>
        <v>0</v>
      </c>
      <c r="C407">
        <f>Data!E402</f>
        <v>2009</v>
      </c>
    </row>
    <row r="408" spans="1:266" x14ac:dyDescent="0.2">
      <c r="A408">
        <f>Data!A403</f>
        <v>0</v>
      </c>
      <c r="B408">
        <f>Data!B403</f>
        <v>0</v>
      </c>
      <c r="C408">
        <f>Data!E403</f>
        <v>2009</v>
      </c>
    </row>
    <row r="409" spans="1:266" x14ac:dyDescent="0.2">
      <c r="A409">
        <f>Data!A404</f>
        <v>0</v>
      </c>
      <c r="B409">
        <f>Data!B404</f>
        <v>0</v>
      </c>
      <c r="C409">
        <f>Data!E404</f>
        <v>2009</v>
      </c>
    </row>
    <row r="410" spans="1:266" x14ac:dyDescent="0.2">
      <c r="A410">
        <f>Data!A405</f>
        <v>0</v>
      </c>
      <c r="B410">
        <f>Data!B405</f>
        <v>0</v>
      </c>
      <c r="C410">
        <f>Data!E405</f>
        <v>2009</v>
      </c>
    </row>
    <row r="411" spans="1:266" x14ac:dyDescent="0.2">
      <c r="A411">
        <f>Data!A406</f>
        <v>0</v>
      </c>
      <c r="B411">
        <f>Data!B406</f>
        <v>0</v>
      </c>
      <c r="C411">
        <f>Data!E406</f>
        <v>2009</v>
      </c>
    </row>
    <row r="412" spans="1:266" x14ac:dyDescent="0.2">
      <c r="A412">
        <f>Data!A407</f>
        <v>0</v>
      </c>
      <c r="B412">
        <f>Data!B407</f>
        <v>0</v>
      </c>
      <c r="C412">
        <f>Data!E407</f>
        <v>2009</v>
      </c>
    </row>
    <row r="413" spans="1:266" x14ac:dyDescent="0.2">
      <c r="A413">
        <f>Data!A408</f>
        <v>0</v>
      </c>
      <c r="B413">
        <f>Data!B408</f>
        <v>0</v>
      </c>
      <c r="C413">
        <f>Data!E408</f>
        <v>2009</v>
      </c>
    </row>
    <row r="414" spans="1:266" x14ac:dyDescent="0.2">
      <c r="A414">
        <f>Data!A409</f>
        <v>0</v>
      </c>
      <c r="B414">
        <f>Data!B409</f>
        <v>0</v>
      </c>
      <c r="C414">
        <f>Data!E409</f>
        <v>2009</v>
      </c>
    </row>
    <row r="415" spans="1:266" x14ac:dyDescent="0.2">
      <c r="A415">
        <f>Data!A410</f>
        <v>0</v>
      </c>
      <c r="B415">
        <f>Data!B410</f>
        <v>0</v>
      </c>
      <c r="C415">
        <f>Data!E410</f>
        <v>2009</v>
      </c>
    </row>
    <row r="416" spans="1:266" x14ac:dyDescent="0.2">
      <c r="A416">
        <f>Data!A411</f>
        <v>0</v>
      </c>
      <c r="B416">
        <f>Data!B411</f>
        <v>0</v>
      </c>
      <c r="C416">
        <f>Data!E411</f>
        <v>2009</v>
      </c>
    </row>
    <row r="417" spans="1:3" x14ac:dyDescent="0.2">
      <c r="A417">
        <f>Data!A412</f>
        <v>0</v>
      </c>
      <c r="B417">
        <f>Data!B412</f>
        <v>0</v>
      </c>
      <c r="C417">
        <f>Data!E412</f>
        <v>2009</v>
      </c>
    </row>
    <row r="418" spans="1:3" x14ac:dyDescent="0.2">
      <c r="A418">
        <f>Data!A413</f>
        <v>0</v>
      </c>
      <c r="B418">
        <f>Data!B413</f>
        <v>0</v>
      </c>
      <c r="C418">
        <f>Data!E413</f>
        <v>2009</v>
      </c>
    </row>
    <row r="419" spans="1:3" x14ac:dyDescent="0.2">
      <c r="A419">
        <f>Data!A414</f>
        <v>0</v>
      </c>
      <c r="B419">
        <f>Data!B414</f>
        <v>0</v>
      </c>
      <c r="C419">
        <f>Data!E414</f>
        <v>2009</v>
      </c>
    </row>
    <row r="420" spans="1:3" x14ac:dyDescent="0.2">
      <c r="A420">
        <f>Data!A415</f>
        <v>0</v>
      </c>
      <c r="B420">
        <f>Data!B415</f>
        <v>0</v>
      </c>
      <c r="C420">
        <f>Data!E415</f>
        <v>2009</v>
      </c>
    </row>
    <row r="421" spans="1:3" x14ac:dyDescent="0.2">
      <c r="A421">
        <f>Data!A416</f>
        <v>0</v>
      </c>
      <c r="B421">
        <f>Data!B416</f>
        <v>0</v>
      </c>
      <c r="C421">
        <f>Data!E416</f>
        <v>2009</v>
      </c>
    </row>
    <row r="422" spans="1:3" x14ac:dyDescent="0.2">
      <c r="A422">
        <f>Data!A417</f>
        <v>0</v>
      </c>
      <c r="B422">
        <f>Data!B417</f>
        <v>0</v>
      </c>
      <c r="C422">
        <f>Data!E417</f>
        <v>2009</v>
      </c>
    </row>
    <row r="423" spans="1:3" x14ac:dyDescent="0.2">
      <c r="A423">
        <f>Data!A418</f>
        <v>0</v>
      </c>
      <c r="B423">
        <f>Data!B418</f>
        <v>0</v>
      </c>
      <c r="C423">
        <f>Data!E418</f>
        <v>2009</v>
      </c>
    </row>
    <row r="424" spans="1:3" x14ac:dyDescent="0.2">
      <c r="A424">
        <f>Data!A419</f>
        <v>0</v>
      </c>
      <c r="B424">
        <f>Data!B419</f>
        <v>0</v>
      </c>
      <c r="C424">
        <f>Data!E419</f>
        <v>2009</v>
      </c>
    </row>
    <row r="425" spans="1:3" x14ac:dyDescent="0.2">
      <c r="A425">
        <f>Data!A420</f>
        <v>0</v>
      </c>
      <c r="B425">
        <f>Data!B420</f>
        <v>0</v>
      </c>
      <c r="C425">
        <f>Data!E420</f>
        <v>2009</v>
      </c>
    </row>
    <row r="426" spans="1:3" x14ac:dyDescent="0.2">
      <c r="A426">
        <f>Data!A421</f>
        <v>0</v>
      </c>
      <c r="B426">
        <f>Data!B421</f>
        <v>0</v>
      </c>
      <c r="C426">
        <f>Data!E421</f>
        <v>2009</v>
      </c>
    </row>
    <row r="427" spans="1:3" x14ac:dyDescent="0.2">
      <c r="A427">
        <f>Data!A422</f>
        <v>0</v>
      </c>
      <c r="B427">
        <f>Data!B422</f>
        <v>0</v>
      </c>
      <c r="C427">
        <f>Data!E422</f>
        <v>2009</v>
      </c>
    </row>
    <row r="428" spans="1:3" x14ac:dyDescent="0.2">
      <c r="A428">
        <f>Data!A423</f>
        <v>0</v>
      </c>
      <c r="B428">
        <f>Data!B423</f>
        <v>0</v>
      </c>
      <c r="C428">
        <f>Data!E423</f>
        <v>2009</v>
      </c>
    </row>
    <row r="429" spans="1:3" x14ac:dyDescent="0.2">
      <c r="A429">
        <f>Data!A424</f>
        <v>0</v>
      </c>
      <c r="B429">
        <f>Data!B424</f>
        <v>0</v>
      </c>
      <c r="C429">
        <f>Data!E424</f>
        <v>2009</v>
      </c>
    </row>
    <row r="430" spans="1:3" x14ac:dyDescent="0.2">
      <c r="A430">
        <f>Data!A425</f>
        <v>0</v>
      </c>
      <c r="B430">
        <f>Data!B425</f>
        <v>0</v>
      </c>
      <c r="C430">
        <f>Data!E425</f>
        <v>2009</v>
      </c>
    </row>
    <row r="431" spans="1:3" x14ac:dyDescent="0.2">
      <c r="A431">
        <f>Data!A426</f>
        <v>0</v>
      </c>
      <c r="B431">
        <f>Data!B426</f>
        <v>0</v>
      </c>
      <c r="C431">
        <f>Data!E426</f>
        <v>2009</v>
      </c>
    </row>
    <row r="432" spans="1:3" x14ac:dyDescent="0.2">
      <c r="A432">
        <f>Data!A427</f>
        <v>0</v>
      </c>
      <c r="B432">
        <f>Data!B427</f>
        <v>0</v>
      </c>
      <c r="C432">
        <f>Data!E427</f>
        <v>2009</v>
      </c>
    </row>
    <row r="433" spans="1:3" x14ac:dyDescent="0.2">
      <c r="A433">
        <f>Data!A428</f>
        <v>0</v>
      </c>
      <c r="B433">
        <f>Data!B428</f>
        <v>0</v>
      </c>
      <c r="C433">
        <f>Data!E428</f>
        <v>2009</v>
      </c>
    </row>
    <row r="434" spans="1:3" x14ac:dyDescent="0.2">
      <c r="A434">
        <f>Data!A429</f>
        <v>0</v>
      </c>
      <c r="B434">
        <f>Data!B429</f>
        <v>0</v>
      </c>
      <c r="C434">
        <f>Data!E429</f>
        <v>2009</v>
      </c>
    </row>
    <row r="435" spans="1:3" x14ac:dyDescent="0.2">
      <c r="A435">
        <f>Data!A430</f>
        <v>0</v>
      </c>
      <c r="B435">
        <f>Data!B430</f>
        <v>0</v>
      </c>
      <c r="C435">
        <f>Data!E430</f>
        <v>2009</v>
      </c>
    </row>
    <row r="436" spans="1:3" x14ac:dyDescent="0.2">
      <c r="A436">
        <f>Data!A431</f>
        <v>0</v>
      </c>
      <c r="B436">
        <f>Data!B431</f>
        <v>0</v>
      </c>
      <c r="C436">
        <f>Data!E431</f>
        <v>2009</v>
      </c>
    </row>
    <row r="437" spans="1:3" x14ac:dyDescent="0.2">
      <c r="A437">
        <f>Data!A432</f>
        <v>0</v>
      </c>
      <c r="B437">
        <f>Data!B432</f>
        <v>0</v>
      </c>
      <c r="C437">
        <f>Data!E432</f>
        <v>2009</v>
      </c>
    </row>
    <row r="438" spans="1:3" x14ac:dyDescent="0.2">
      <c r="A438" t="str">
        <f>Data!A433</f>
        <v>Anthoff et al.</v>
      </c>
      <c r="B438" t="str">
        <f>Data!B433</f>
        <v>RM8448</v>
      </c>
      <c r="C438">
        <f>Data!E433</f>
        <v>2009</v>
      </c>
    </row>
    <row r="439" spans="1:3" x14ac:dyDescent="0.2">
      <c r="A439">
        <f>Data!A434</f>
        <v>0</v>
      </c>
      <c r="B439">
        <f>Data!B434</f>
        <v>0</v>
      </c>
      <c r="C439">
        <f>Data!E434</f>
        <v>2009</v>
      </c>
    </row>
    <row r="440" spans="1:3" x14ac:dyDescent="0.2">
      <c r="A440">
        <f>Data!A435</f>
        <v>0</v>
      </c>
      <c r="B440">
        <f>Data!B435</f>
        <v>0</v>
      </c>
      <c r="C440">
        <f>Data!E435</f>
        <v>2009</v>
      </c>
    </row>
    <row r="441" spans="1:3" x14ac:dyDescent="0.2">
      <c r="A441">
        <f>Data!A436</f>
        <v>0</v>
      </c>
      <c r="B441">
        <f>Data!B436</f>
        <v>0</v>
      </c>
      <c r="C441">
        <f>Data!E436</f>
        <v>2009</v>
      </c>
    </row>
    <row r="442" spans="1:3" x14ac:dyDescent="0.2">
      <c r="A442" t="str">
        <f>Data!A437</f>
        <v>Anthoff et al.</v>
      </c>
      <c r="B442" t="str">
        <f>Data!B437</f>
        <v>RM8197</v>
      </c>
      <c r="C442">
        <f>Data!E437</f>
        <v>2009</v>
      </c>
    </row>
    <row r="443" spans="1:3" x14ac:dyDescent="0.2">
      <c r="A443">
        <f>Data!A438</f>
        <v>0</v>
      </c>
      <c r="B443">
        <f>Data!B438</f>
        <v>0</v>
      </c>
      <c r="C443">
        <f>Data!E438</f>
        <v>2009</v>
      </c>
    </row>
    <row r="444" spans="1:3" x14ac:dyDescent="0.2">
      <c r="A444">
        <f>Data!A439</f>
        <v>0</v>
      </c>
      <c r="B444">
        <f>Data!B439</f>
        <v>0</v>
      </c>
      <c r="C444">
        <f>Data!E439</f>
        <v>2009</v>
      </c>
    </row>
    <row r="445" spans="1:3" x14ac:dyDescent="0.2">
      <c r="A445">
        <f>Data!A440</f>
        <v>0</v>
      </c>
      <c r="B445">
        <f>Data!B440</f>
        <v>0</v>
      </c>
      <c r="C445">
        <f>Data!E440</f>
        <v>2009</v>
      </c>
    </row>
    <row r="446" spans="1:3" x14ac:dyDescent="0.2">
      <c r="A446">
        <f>Data!A441</f>
        <v>0</v>
      </c>
      <c r="B446">
        <f>Data!B441</f>
        <v>0</v>
      </c>
      <c r="C446">
        <f>Data!E441</f>
        <v>2009</v>
      </c>
    </row>
    <row r="447" spans="1:3" x14ac:dyDescent="0.2">
      <c r="A447">
        <f>Data!A442</f>
        <v>0</v>
      </c>
      <c r="B447">
        <f>Data!B442</f>
        <v>0</v>
      </c>
      <c r="C447">
        <f>Data!E442</f>
        <v>2009</v>
      </c>
    </row>
    <row r="448" spans="1:3" x14ac:dyDescent="0.2">
      <c r="A448">
        <f>Data!A443</f>
        <v>0</v>
      </c>
      <c r="B448">
        <f>Data!B443</f>
        <v>0</v>
      </c>
      <c r="C448">
        <f>Data!E443</f>
        <v>2009</v>
      </c>
    </row>
    <row r="449" spans="1:266" x14ac:dyDescent="0.2">
      <c r="A449">
        <f>Data!A444</f>
        <v>0</v>
      </c>
      <c r="B449">
        <f>Data!B444</f>
        <v>0</v>
      </c>
      <c r="C449">
        <f>Data!E444</f>
        <v>2009</v>
      </c>
    </row>
    <row r="450" spans="1:266" x14ac:dyDescent="0.2">
      <c r="A450">
        <f>Data!A445</f>
        <v>0</v>
      </c>
      <c r="B450">
        <f>Data!B445</f>
        <v>0</v>
      </c>
      <c r="C450">
        <f>Data!E445</f>
        <v>2009</v>
      </c>
    </row>
    <row r="451" spans="1:266" x14ac:dyDescent="0.2">
      <c r="A451">
        <f>Data!A446</f>
        <v>0</v>
      </c>
      <c r="B451">
        <f>Data!B446</f>
        <v>0</v>
      </c>
      <c r="C451">
        <f>Data!E446</f>
        <v>2009</v>
      </c>
    </row>
    <row r="452" spans="1:266" x14ac:dyDescent="0.2">
      <c r="A452">
        <f>Data!A447</f>
        <v>0</v>
      </c>
      <c r="B452">
        <f>Data!B447</f>
        <v>0</v>
      </c>
      <c r="C452">
        <f>Data!E447</f>
        <v>2009</v>
      </c>
    </row>
    <row r="453" spans="1:266" x14ac:dyDescent="0.2">
      <c r="A453">
        <f>Data!A448</f>
        <v>0</v>
      </c>
      <c r="B453">
        <f>Data!B448</f>
        <v>0</v>
      </c>
      <c r="C453">
        <f>Data!E448</f>
        <v>2009</v>
      </c>
    </row>
    <row r="454" spans="1:266" x14ac:dyDescent="0.2">
      <c r="A454" t="str">
        <f>Data!A449</f>
        <v>Narita et al.</v>
      </c>
      <c r="B454" t="str">
        <f>Data!B449</f>
        <v>RM8199</v>
      </c>
      <c r="C454">
        <f>Data!E449</f>
        <v>2009</v>
      </c>
    </row>
    <row r="455" spans="1:266" x14ac:dyDescent="0.2">
      <c r="A455">
        <f>Data!A450</f>
        <v>0</v>
      </c>
      <c r="B455">
        <f>Data!B450</f>
        <v>0</v>
      </c>
      <c r="C455">
        <f>Data!E450</f>
        <v>2009</v>
      </c>
    </row>
    <row r="456" spans="1:266" x14ac:dyDescent="0.2">
      <c r="A456">
        <f>Data!A451</f>
        <v>0</v>
      </c>
      <c r="B456">
        <f>Data!B451</f>
        <v>0</v>
      </c>
      <c r="C456">
        <f>Data!E451</f>
        <v>2009</v>
      </c>
    </row>
    <row r="457" spans="1:266" x14ac:dyDescent="0.2">
      <c r="A457" t="str">
        <f>Data!A452</f>
        <v>Narita et al.</v>
      </c>
      <c r="B457" t="str">
        <f>Data!B452</f>
        <v>RM8198</v>
      </c>
      <c r="C457">
        <f>Data!E452</f>
        <v>2010</v>
      </c>
    </row>
    <row r="458" spans="1:266" x14ac:dyDescent="0.2">
      <c r="A458">
        <f>Data!A453</f>
        <v>0</v>
      </c>
      <c r="B458">
        <f>Data!B453</f>
        <v>0</v>
      </c>
      <c r="C458">
        <f>Data!E453</f>
        <v>2010</v>
      </c>
    </row>
    <row r="459" spans="1:266" x14ac:dyDescent="0.2">
      <c r="A459">
        <f>Data!A454</f>
        <v>0</v>
      </c>
      <c r="B459">
        <f>Data!B454</f>
        <v>0</v>
      </c>
      <c r="C459">
        <f>Data!E454</f>
        <v>2010</v>
      </c>
    </row>
    <row r="460" spans="1:266" x14ac:dyDescent="0.2">
      <c r="A460" t="str">
        <f>Data!A455</f>
        <v>EPA &amp; NHTSA</v>
      </c>
      <c r="B460" t="str">
        <f>Data!B455</f>
        <v>RM8406</v>
      </c>
      <c r="C460">
        <f>Data!E455</f>
        <v>2009</v>
      </c>
      <c r="D460" s="8">
        <f>Data!N455</f>
        <v>0.1111111111111111</v>
      </c>
      <c r="E460">
        <f>E$1*(1-Data!BF455)+E$2*Data!BF455</f>
        <v>1</v>
      </c>
      <c r="F460">
        <f>D460*E460</f>
        <v>0.1111111111111111</v>
      </c>
      <c r="G460" s="15">
        <f t="shared" ref="G460:G464" si="38">(J460/H460)^(1/(K460-I460))-1</f>
        <v>3.023729499413208E-2</v>
      </c>
      <c r="H460">
        <f t="shared" ref="H460:H464" si="39">MIN(L460:BE460)</f>
        <v>5</v>
      </c>
      <c r="I460">
        <f>LOOKUP(H460,L460:BE460,L$8:BE$8)+2</f>
        <v>2007</v>
      </c>
      <c r="J460">
        <f t="shared" ref="J460:J464" si="40">MAX(L460:BE460)</f>
        <v>18</v>
      </c>
      <c r="K460">
        <f t="shared" ref="K460:K464" si="41">LOOKUP(J460,L460:BE460,L$8:BE$8)</f>
        <v>2050</v>
      </c>
      <c r="Q460">
        <v>5</v>
      </c>
      <c r="S460">
        <v>7</v>
      </c>
      <c r="T460">
        <v>8</v>
      </c>
      <c r="V460">
        <v>10</v>
      </c>
      <c r="X460">
        <v>14</v>
      </c>
      <c r="Z460">
        <v>18</v>
      </c>
      <c r="JF460" t="e">
        <f>1/SUM(BL460:JD460)</f>
        <v>#DIV/0!</v>
      </c>
    </row>
    <row r="461" spans="1:266" x14ac:dyDescent="0.2">
      <c r="A461">
        <f>Data!A456</f>
        <v>0</v>
      </c>
      <c r="B461">
        <f>Data!B456</f>
        <v>0</v>
      </c>
      <c r="C461">
        <f>Data!E456</f>
        <v>2009</v>
      </c>
      <c r="D461" s="8">
        <f>Data!N456</f>
        <v>0.22222222222222221</v>
      </c>
      <c r="E461">
        <f>E$1*(1-Data!BF456)+E$2*Data!BF456</f>
        <v>1</v>
      </c>
      <c r="F461">
        <f>D461*E461</f>
        <v>0.22222222222222221</v>
      </c>
      <c r="G461" s="15">
        <f t="shared" si="38"/>
        <v>3.0893956389995925E-2</v>
      </c>
      <c r="H461">
        <f t="shared" si="39"/>
        <v>10</v>
      </c>
      <c r="I461">
        <f>LOOKUP(H461,L461:BE461,L$8:BE$8)+2</f>
        <v>2007</v>
      </c>
      <c r="J461">
        <f t="shared" si="40"/>
        <v>37</v>
      </c>
      <c r="K461">
        <f t="shared" si="41"/>
        <v>2050</v>
      </c>
      <c r="Q461">
        <v>10</v>
      </c>
      <c r="S461">
        <v>13</v>
      </c>
      <c r="T461">
        <v>15</v>
      </c>
      <c r="V461">
        <v>20</v>
      </c>
      <c r="X461">
        <v>27</v>
      </c>
      <c r="Z461">
        <v>37</v>
      </c>
      <c r="JF461" t="e">
        <f>1/SUM(BL461:JD461)</f>
        <v>#DIV/0!</v>
      </c>
    </row>
    <row r="462" spans="1:266" x14ac:dyDescent="0.2">
      <c r="A462">
        <f>Data!A457</f>
        <v>0</v>
      </c>
      <c r="B462">
        <f>Data!B457</f>
        <v>0</v>
      </c>
      <c r="C462">
        <f>Data!E457</f>
        <v>2009</v>
      </c>
      <c r="D462" s="8">
        <f>Data!N457</f>
        <v>0.33333333333333331</v>
      </c>
      <c r="E462">
        <f>E$1*(1-Data!BF457)+E$2*Data!BF457</f>
        <v>1</v>
      </c>
      <c r="F462">
        <f>D462*E462</f>
        <v>0.33333333333333331</v>
      </c>
      <c r="G462" s="15">
        <f t="shared" si="38"/>
        <v>2.9562569802367378E-2</v>
      </c>
      <c r="H462">
        <f t="shared" si="39"/>
        <v>20</v>
      </c>
      <c r="I462">
        <f>LOOKUP(H462,L462:BE462,L$8:BE$8)+2</f>
        <v>2007</v>
      </c>
      <c r="J462">
        <f t="shared" si="40"/>
        <v>70</v>
      </c>
      <c r="K462">
        <f t="shared" si="41"/>
        <v>2050</v>
      </c>
      <c r="Q462">
        <v>20</v>
      </c>
      <c r="S462">
        <v>25</v>
      </c>
      <c r="T462">
        <v>29</v>
      </c>
      <c r="V462">
        <v>39</v>
      </c>
      <c r="X462">
        <v>52</v>
      </c>
      <c r="Z462">
        <v>70</v>
      </c>
      <c r="JF462" t="e">
        <f>1/SUM(BL462:JD462)</f>
        <v>#DIV/0!</v>
      </c>
    </row>
    <row r="463" spans="1:266" x14ac:dyDescent="0.2">
      <c r="A463">
        <f>Data!A458</f>
        <v>0</v>
      </c>
      <c r="B463">
        <f>Data!B458</f>
        <v>0</v>
      </c>
      <c r="C463">
        <f>Data!E458</f>
        <v>2009</v>
      </c>
      <c r="D463" s="8">
        <f>Data!N458</f>
        <v>0.22222222222222221</v>
      </c>
      <c r="E463">
        <f>E$1*(1-Data!BF458)+E$2*Data!BF458</f>
        <v>1</v>
      </c>
      <c r="F463">
        <f>D463*E463</f>
        <v>0.22222222222222221</v>
      </c>
      <c r="G463" s="15">
        <f t="shared" si="38"/>
        <v>2.9762952942748777E-2</v>
      </c>
      <c r="H463">
        <f t="shared" si="39"/>
        <v>34</v>
      </c>
      <c r="I463">
        <f>LOOKUP(H463,L463:BE463,L$8:BE$8)+2</f>
        <v>2007</v>
      </c>
      <c r="J463">
        <f t="shared" si="40"/>
        <v>120</v>
      </c>
      <c r="K463">
        <f t="shared" si="41"/>
        <v>2050</v>
      </c>
      <c r="Q463">
        <v>34</v>
      </c>
      <c r="S463">
        <v>43</v>
      </c>
      <c r="T463">
        <v>50</v>
      </c>
      <c r="V463">
        <v>67</v>
      </c>
      <c r="X463">
        <v>90</v>
      </c>
      <c r="Z463">
        <v>120</v>
      </c>
      <c r="JF463" t="e">
        <f>1/SUM(BL463:JD463)</f>
        <v>#DIV/0!</v>
      </c>
    </row>
    <row r="464" spans="1:266" x14ac:dyDescent="0.2">
      <c r="A464">
        <f>Data!A459</f>
        <v>0</v>
      </c>
      <c r="B464">
        <f>Data!B459</f>
        <v>0</v>
      </c>
      <c r="C464">
        <f>Data!E459</f>
        <v>2009</v>
      </c>
      <c r="D464" s="8">
        <f>Data!N459</f>
        <v>0.1111111111111111</v>
      </c>
      <c r="E464">
        <f>E$1*(1-Data!BF459)+E$2*Data!BF459</f>
        <v>1</v>
      </c>
      <c r="F464">
        <f>D464*E464</f>
        <v>0.1111111111111111</v>
      </c>
      <c r="G464" s="15">
        <f t="shared" si="38"/>
        <v>3.0046403250107989E-2</v>
      </c>
      <c r="H464">
        <f t="shared" si="39"/>
        <v>56</v>
      </c>
      <c r="I464">
        <f>LOOKUP(H464,L464:BE464,L$8:BE$8)+2</f>
        <v>2007</v>
      </c>
      <c r="J464">
        <f t="shared" si="40"/>
        <v>200</v>
      </c>
      <c r="K464">
        <f t="shared" si="41"/>
        <v>2050</v>
      </c>
      <c r="Q464">
        <v>56</v>
      </c>
      <c r="S464">
        <v>72</v>
      </c>
      <c r="T464">
        <v>83</v>
      </c>
      <c r="V464">
        <v>110</v>
      </c>
      <c r="X464">
        <v>150</v>
      </c>
      <c r="Z464">
        <v>200</v>
      </c>
      <c r="JF464" t="e">
        <f>1/SUM(BL464:JD464)</f>
        <v>#DIV/0!</v>
      </c>
    </row>
    <row r="465" spans="1:3" x14ac:dyDescent="0.2">
      <c r="A465" t="str">
        <f>Data!A460</f>
        <v>Anthoff and Tol</v>
      </c>
      <c r="B465" t="str">
        <f>Data!B460</f>
        <v>RM8702</v>
      </c>
      <c r="C465">
        <f>Data!E460</f>
        <v>2010</v>
      </c>
    </row>
    <row r="466" spans="1:3" x14ac:dyDescent="0.2">
      <c r="A466">
        <f>Data!A461</f>
        <v>0</v>
      </c>
      <c r="B466">
        <f>Data!B461</f>
        <v>0</v>
      </c>
      <c r="C466">
        <f>Data!E461</f>
        <v>2010</v>
      </c>
    </row>
    <row r="467" spans="1:3" x14ac:dyDescent="0.2">
      <c r="A467">
        <f>Data!A462</f>
        <v>0</v>
      </c>
      <c r="B467">
        <f>Data!B462</f>
        <v>0</v>
      </c>
      <c r="C467">
        <f>Data!E462</f>
        <v>2010</v>
      </c>
    </row>
    <row r="468" spans="1:3" x14ac:dyDescent="0.2">
      <c r="A468">
        <f>Data!A463</f>
        <v>0</v>
      </c>
      <c r="B468">
        <f>Data!B463</f>
        <v>0</v>
      </c>
      <c r="C468">
        <f>Data!E463</f>
        <v>2010</v>
      </c>
    </row>
    <row r="469" spans="1:3" x14ac:dyDescent="0.2">
      <c r="A469">
        <f>Data!A464</f>
        <v>0</v>
      </c>
      <c r="B469">
        <f>Data!B464</f>
        <v>0</v>
      </c>
      <c r="C469">
        <f>Data!E464</f>
        <v>2010</v>
      </c>
    </row>
    <row r="470" spans="1:3" x14ac:dyDescent="0.2">
      <c r="A470">
        <f>Data!A465</f>
        <v>0</v>
      </c>
      <c r="B470">
        <f>Data!B465</f>
        <v>0</v>
      </c>
      <c r="C470">
        <f>Data!E465</f>
        <v>2010</v>
      </c>
    </row>
    <row r="471" spans="1:3" x14ac:dyDescent="0.2">
      <c r="A471">
        <f>Data!A466</f>
        <v>0</v>
      </c>
      <c r="B471">
        <f>Data!B466</f>
        <v>0</v>
      </c>
      <c r="C471">
        <f>Data!E466</f>
        <v>2010</v>
      </c>
    </row>
    <row r="472" spans="1:3" x14ac:dyDescent="0.2">
      <c r="A472">
        <f>Data!A467</f>
        <v>0</v>
      </c>
      <c r="B472">
        <f>Data!B467</f>
        <v>0</v>
      </c>
      <c r="C472">
        <f>Data!E467</f>
        <v>2010</v>
      </c>
    </row>
    <row r="473" spans="1:3" x14ac:dyDescent="0.2">
      <c r="A473">
        <f>Data!A468</f>
        <v>0</v>
      </c>
      <c r="B473">
        <f>Data!B468</f>
        <v>0</v>
      </c>
      <c r="C473">
        <f>Data!E468</f>
        <v>2010</v>
      </c>
    </row>
    <row r="474" spans="1:3" x14ac:dyDescent="0.2">
      <c r="A474">
        <f>Data!A469</f>
        <v>0</v>
      </c>
      <c r="B474">
        <f>Data!B469</f>
        <v>0</v>
      </c>
      <c r="C474">
        <f>Data!E469</f>
        <v>2010</v>
      </c>
    </row>
    <row r="475" spans="1:3" x14ac:dyDescent="0.2">
      <c r="A475">
        <f>Data!A470</f>
        <v>0</v>
      </c>
      <c r="B475">
        <f>Data!B470</f>
        <v>0</v>
      </c>
      <c r="C475">
        <f>Data!E470</f>
        <v>2010</v>
      </c>
    </row>
    <row r="476" spans="1:3" x14ac:dyDescent="0.2">
      <c r="A476">
        <f>Data!A471</f>
        <v>0</v>
      </c>
      <c r="B476">
        <f>Data!B471</f>
        <v>0</v>
      </c>
      <c r="C476">
        <f>Data!E471</f>
        <v>2010</v>
      </c>
    </row>
    <row r="477" spans="1:3" x14ac:dyDescent="0.2">
      <c r="A477">
        <f>Data!A472</f>
        <v>0</v>
      </c>
      <c r="B477">
        <f>Data!B472</f>
        <v>0</v>
      </c>
      <c r="C477">
        <f>Data!E472</f>
        <v>2010</v>
      </c>
    </row>
    <row r="478" spans="1:3" x14ac:dyDescent="0.2">
      <c r="A478">
        <f>Data!A473</f>
        <v>0</v>
      </c>
      <c r="B478">
        <f>Data!B473</f>
        <v>0</v>
      </c>
      <c r="C478">
        <f>Data!E473</f>
        <v>2010</v>
      </c>
    </row>
    <row r="479" spans="1:3" x14ac:dyDescent="0.2">
      <c r="A479">
        <f>Data!A474</f>
        <v>0</v>
      </c>
      <c r="B479">
        <f>Data!B474</f>
        <v>0</v>
      </c>
      <c r="C479">
        <f>Data!E474</f>
        <v>2010</v>
      </c>
    </row>
    <row r="480" spans="1:3" x14ac:dyDescent="0.2">
      <c r="A480">
        <f>Data!A475</f>
        <v>0</v>
      </c>
      <c r="B480">
        <f>Data!B475</f>
        <v>0</v>
      </c>
      <c r="C480">
        <f>Data!E475</f>
        <v>2010</v>
      </c>
    </row>
    <row r="481" spans="1:266" x14ac:dyDescent="0.2">
      <c r="A481" t="str">
        <f>Data!A476</f>
        <v>Nordhaus</v>
      </c>
      <c r="B481" t="str">
        <f>Data!B476</f>
        <v>RM9672</v>
      </c>
      <c r="C481">
        <f>Data!E476</f>
        <v>2010</v>
      </c>
      <c r="D481">
        <v>1</v>
      </c>
      <c r="E481">
        <f>E$1*(1-Data!BF476)+E$2*Data!BF476</f>
        <v>1</v>
      </c>
      <c r="F481">
        <f t="shared" ref="F481:F488" si="42">D481*E481</f>
        <v>1</v>
      </c>
      <c r="G481" s="15">
        <f>(J481/H481)^(1/(K481-I481))-1</f>
        <v>2.8272299046385729E-2</v>
      </c>
      <c r="H481">
        <f>MIN(L481:BE481)</f>
        <v>28.9</v>
      </c>
      <c r="I481">
        <f>LOOKUP(H481,L481:BE481,L$8:BE$8)</f>
        <v>2010</v>
      </c>
      <c r="J481">
        <f>MAX(L481:BE481)</f>
        <v>408.48</v>
      </c>
      <c r="K481">
        <f>LOOKUP(J481,L481:BE481,L$8:BE$8)</f>
        <v>2105</v>
      </c>
      <c r="R481">
        <v>28.9</v>
      </c>
      <c r="S481">
        <v>37.96</v>
      </c>
      <c r="T481">
        <v>49.87</v>
      </c>
      <c r="U481">
        <v>65.5</v>
      </c>
      <c r="AA481">
        <v>155.55000000000001</v>
      </c>
      <c r="AK481">
        <v>408.48</v>
      </c>
      <c r="JF481" t="e">
        <f>1/SUM(BL481:JD481)</f>
        <v>#DIV/0!</v>
      </c>
    </row>
    <row r="482" spans="1:266" x14ac:dyDescent="0.2">
      <c r="A482" t="str">
        <f>Data!A477</f>
        <v>Cai, Judd, Lontzek</v>
      </c>
      <c r="B482" t="str">
        <f>Data!B477</f>
        <v>RM9673</v>
      </c>
      <c r="C482">
        <f>Data!E477</f>
        <v>2012</v>
      </c>
      <c r="D482" s="8">
        <f>Data!N477</f>
        <v>0.9</v>
      </c>
      <c r="E482">
        <f>E$1*(1-Data!BF477)+E$2*Data!BF477</f>
        <v>1</v>
      </c>
      <c r="F482">
        <f t="shared" si="42"/>
        <v>0.9</v>
      </c>
      <c r="G482" s="15">
        <f>(J482/H482)^(1/(K482-I482))-1</f>
        <v>1.4572912821959827E-2</v>
      </c>
      <c r="H482">
        <f>MIN(L482:BE482)</f>
        <v>32</v>
      </c>
      <c r="I482">
        <f>LOOKUP(H482,L482:BE482,L$8:BE$8)</f>
        <v>2015</v>
      </c>
      <c r="J482">
        <f>MAX(L482:BE482)</f>
        <v>500</v>
      </c>
      <c r="K482">
        <f>LOOKUP(J482,L482:BE482,L$8:BE$8)</f>
        <v>2205</v>
      </c>
      <c r="S482">
        <v>32</v>
      </c>
      <c r="U482">
        <v>37</v>
      </c>
      <c r="W482">
        <v>45</v>
      </c>
      <c r="Y482">
        <v>54</v>
      </c>
      <c r="AA482">
        <v>64</v>
      </c>
      <c r="AC482">
        <v>76</v>
      </c>
      <c r="AE482">
        <v>90</v>
      </c>
      <c r="AG482">
        <v>105</v>
      </c>
      <c r="AI482">
        <v>122</v>
      </c>
      <c r="AK482">
        <v>141</v>
      </c>
      <c r="AM482">
        <v>162</v>
      </c>
      <c r="AO482">
        <v>185</v>
      </c>
      <c r="AQ482">
        <v>211</v>
      </c>
      <c r="AS482">
        <v>239</v>
      </c>
      <c r="AU482">
        <v>271</v>
      </c>
      <c r="AW482">
        <v>307</v>
      </c>
      <c r="AY482">
        <v>348</v>
      </c>
      <c r="BA482">
        <v>393</v>
      </c>
      <c r="BC482">
        <v>443</v>
      </c>
      <c r="BE482">
        <v>500</v>
      </c>
      <c r="JF482" t="e">
        <f>1/SUM(BL482:JD482)</f>
        <v>#DIV/0!</v>
      </c>
    </row>
    <row r="483" spans="1:266" x14ac:dyDescent="0.2">
      <c r="A483">
        <f>Data!A478</f>
        <v>0</v>
      </c>
      <c r="B483">
        <f>Data!B478</f>
        <v>0</v>
      </c>
      <c r="C483">
        <f>Data!E478</f>
        <v>2012</v>
      </c>
      <c r="D483" s="8">
        <f>Data!N478</f>
        <v>0.1</v>
      </c>
      <c r="E483">
        <f>E$1*(1-Data!BF478)+E$2*Data!BF478</f>
        <v>1</v>
      </c>
      <c r="F483">
        <f t="shared" si="42"/>
        <v>0.1</v>
      </c>
      <c r="G483" s="15">
        <f>(J483/H483)^(1/(K483-I483))-1</f>
        <v>1.5759949280847563E-2</v>
      </c>
      <c r="H483">
        <f>MIN(L483:BE483)</f>
        <v>41</v>
      </c>
      <c r="I483">
        <f>LOOKUP(H483,L483:BE483,L$8:BE$8)</f>
        <v>2015</v>
      </c>
      <c r="J483">
        <f>MAX(L483:BE483)</f>
        <v>800</v>
      </c>
      <c r="K483">
        <f>LOOKUP(J483,L483:BE483,L$8:BE$8)</f>
        <v>2205</v>
      </c>
      <c r="S483">
        <v>41</v>
      </c>
      <c r="U483">
        <v>53</v>
      </c>
      <c r="W483">
        <v>66</v>
      </c>
      <c r="Y483">
        <v>82</v>
      </c>
      <c r="AA483">
        <v>99</v>
      </c>
      <c r="AC483">
        <v>119</v>
      </c>
      <c r="AE483">
        <v>141</v>
      </c>
      <c r="AG483">
        <v>165</v>
      </c>
      <c r="AI483">
        <v>193</v>
      </c>
      <c r="AK483">
        <v>223</v>
      </c>
      <c r="AM483">
        <v>257</v>
      </c>
      <c r="AO483">
        <v>295</v>
      </c>
      <c r="AQ483">
        <v>337</v>
      </c>
      <c r="AS483">
        <v>384</v>
      </c>
      <c r="AU483">
        <v>438</v>
      </c>
      <c r="AW483">
        <v>498</v>
      </c>
      <c r="AY483">
        <v>567</v>
      </c>
      <c r="BA483">
        <v>644</v>
      </c>
      <c r="BC483">
        <v>730</v>
      </c>
      <c r="BE483">
        <v>800</v>
      </c>
      <c r="JF483" t="e">
        <f>1/SUM(BL483:JD483)</f>
        <v>#DIV/0!</v>
      </c>
    </row>
    <row r="484" spans="1:266" x14ac:dyDescent="0.2">
      <c r="A484" t="str">
        <f>Data!A479</f>
        <v>Marten and Newbold</v>
      </c>
      <c r="B484" t="str">
        <f>Data!B479</f>
        <v>none</v>
      </c>
      <c r="C484">
        <f>Data!E479</f>
        <v>2013</v>
      </c>
      <c r="D484" s="8">
        <f>Data!N479</f>
        <v>0.33333333333333331</v>
      </c>
      <c r="E484">
        <f>E$1*(1-Data!BF479)+E$2*Data!BF479</f>
        <v>1</v>
      </c>
      <c r="F484">
        <f t="shared" si="42"/>
        <v>0.33333333333333331</v>
      </c>
      <c r="G484" s="15"/>
    </row>
    <row r="485" spans="1:266" x14ac:dyDescent="0.2">
      <c r="A485">
        <f>Data!A480</f>
        <v>0</v>
      </c>
      <c r="B485">
        <f>Data!B480</f>
        <v>0</v>
      </c>
      <c r="C485">
        <f>Data!E480</f>
        <v>2013</v>
      </c>
      <c r="D485" s="8">
        <f>Data!N480</f>
        <v>0.33333333333333331</v>
      </c>
      <c r="E485">
        <f>E$1*(1-Data!BF480)+E$2*Data!BF480</f>
        <v>1</v>
      </c>
      <c r="F485">
        <f t="shared" si="42"/>
        <v>0.33333333333333331</v>
      </c>
      <c r="G485" s="15"/>
    </row>
    <row r="486" spans="1:266" x14ac:dyDescent="0.2">
      <c r="A486">
        <f>Data!A481</f>
        <v>0</v>
      </c>
      <c r="B486">
        <f>Data!B481</f>
        <v>0</v>
      </c>
      <c r="C486">
        <f>Data!E481</f>
        <v>2013</v>
      </c>
      <c r="D486" s="8">
        <f>Data!N481</f>
        <v>0.33333333333333331</v>
      </c>
      <c r="E486">
        <f>E$1*(1-Data!BF481)+E$2*Data!BF481</f>
        <v>1</v>
      </c>
      <c r="F486">
        <f t="shared" si="42"/>
        <v>0.33333333333333331</v>
      </c>
      <c r="G486" s="15"/>
    </row>
    <row r="487" spans="1:266" x14ac:dyDescent="0.2">
      <c r="A487" t="str">
        <f>Data!A482</f>
        <v>Lontzek</v>
      </c>
      <c r="B487" t="str">
        <f>Data!B482</f>
        <v>none</v>
      </c>
      <c r="C487">
        <f>Data!E482</f>
        <v>2015</v>
      </c>
      <c r="D487" s="8">
        <f>Data!N482</f>
        <v>0.1</v>
      </c>
      <c r="E487">
        <f>E$1*(1-Data!BF482)+E$2*Data!BF482</f>
        <v>1</v>
      </c>
      <c r="F487">
        <f t="shared" si="42"/>
        <v>0.1</v>
      </c>
      <c r="G487" s="15">
        <f>0.0168</f>
        <v>1.6799999999999999E-2</v>
      </c>
    </row>
    <row r="488" spans="1:266" x14ac:dyDescent="0.2">
      <c r="A488">
        <f>Data!A483</f>
        <v>0</v>
      </c>
      <c r="B488">
        <f>Data!B483</f>
        <v>0</v>
      </c>
      <c r="C488">
        <f>Data!E483</f>
        <v>2015</v>
      </c>
      <c r="D488" s="8">
        <f>Data!N483</f>
        <v>0.9</v>
      </c>
      <c r="E488">
        <f>E$1*(1-Data!BF483)+E$2*Data!BF483</f>
        <v>1</v>
      </c>
      <c r="F488">
        <f t="shared" si="42"/>
        <v>0.9</v>
      </c>
      <c r="G488" s="15"/>
    </row>
    <row r="489" spans="1:266" x14ac:dyDescent="0.2">
      <c r="A489" t="str">
        <f>Data!A484</f>
        <v>Hope</v>
      </c>
      <c r="B489" t="str">
        <f>Data!B484</f>
        <v>RM9674</v>
      </c>
      <c r="C489">
        <f>Data!E484</f>
        <v>2011</v>
      </c>
    </row>
    <row r="490" spans="1:266" x14ac:dyDescent="0.2">
      <c r="A490">
        <f>Data!A485</f>
        <v>0</v>
      </c>
      <c r="B490">
        <f>Data!B485</f>
        <v>0</v>
      </c>
      <c r="C490">
        <f>Data!E485</f>
        <v>2011</v>
      </c>
    </row>
    <row r="491" spans="1:266" x14ac:dyDescent="0.2">
      <c r="A491" t="str">
        <f>Data!A486</f>
        <v>Ackerman &amp; Stanton</v>
      </c>
      <c r="B491" t="str">
        <f>Data!B486</f>
        <v>RM9020</v>
      </c>
      <c r="C491">
        <f>Data!E486</f>
        <v>2012</v>
      </c>
      <c r="D491" s="8">
        <f>Data!N486</f>
        <v>3.7037037037037038E-3</v>
      </c>
      <c r="E491">
        <f>E$1*(1-Data!BF486)+E$2*Data!BF486</f>
        <v>1</v>
      </c>
      <c r="F491">
        <f t="shared" ref="F491:F506" si="43">D491*E491</f>
        <v>3.7037037037037038E-3</v>
      </c>
      <c r="G491" s="15">
        <f t="shared" ref="G491:G506" si="44">(J491/H491)^(1/(K491-I491))-1</f>
        <v>1.1554552281804797E-2</v>
      </c>
      <c r="H491">
        <f t="shared" ref="H491:H506" si="45">MIN(L491:BE491)</f>
        <v>264</v>
      </c>
      <c r="I491">
        <f t="shared" ref="I491:I506" si="46">LOOKUP(H491,L491:BE491,L$8:BE$8)</f>
        <v>2010</v>
      </c>
      <c r="J491">
        <f t="shared" ref="J491:J506" si="47">MAX(L491:BE491)</f>
        <v>418</v>
      </c>
      <c r="K491">
        <f t="shared" ref="K491:K506" si="48">LOOKUP(J491,L491:BE491,L$8:BE$8)</f>
        <v>2050</v>
      </c>
      <c r="R491" s="11">
        <v>264</v>
      </c>
      <c r="Z491">
        <v>418</v>
      </c>
    </row>
    <row r="492" spans="1:266" x14ac:dyDescent="0.2">
      <c r="A492">
        <f>Data!A487</f>
        <v>0</v>
      </c>
      <c r="B492">
        <f>Data!B487</f>
        <v>0</v>
      </c>
      <c r="C492">
        <f>Data!E487</f>
        <v>2012</v>
      </c>
      <c r="D492" s="8">
        <f>Data!N487</f>
        <v>7.0370370370370361E-2</v>
      </c>
      <c r="E492">
        <f>E$1*(1-Data!BF487)+E$2*Data!BF487</f>
        <v>1</v>
      </c>
      <c r="F492">
        <f t="shared" si="43"/>
        <v>7.0370370370370361E-2</v>
      </c>
      <c r="G492" s="15">
        <f t="shared" si="44"/>
        <v>1.3023638518534719E-2</v>
      </c>
      <c r="H492">
        <f t="shared" si="45"/>
        <v>118</v>
      </c>
      <c r="I492">
        <f t="shared" si="46"/>
        <v>2010</v>
      </c>
      <c r="J492">
        <f t="shared" si="47"/>
        <v>198</v>
      </c>
      <c r="K492">
        <f t="shared" si="48"/>
        <v>2050</v>
      </c>
      <c r="R492" s="11">
        <v>118</v>
      </c>
      <c r="Z492">
        <v>198</v>
      </c>
    </row>
    <row r="493" spans="1:266" x14ac:dyDescent="0.2">
      <c r="A493">
        <f>Data!A488</f>
        <v>0</v>
      </c>
      <c r="B493">
        <f>Data!B488</f>
        <v>0</v>
      </c>
      <c r="C493">
        <f>Data!E488</f>
        <v>2012</v>
      </c>
      <c r="D493" s="8">
        <f>Data!N488</f>
        <v>1.8518518518518519E-3</v>
      </c>
      <c r="E493">
        <f>E$1*(1-Data!BF488)+E$2*Data!BF488</f>
        <v>1</v>
      </c>
      <c r="F493">
        <f t="shared" si="43"/>
        <v>1.8518518518518519E-3</v>
      </c>
      <c r="G493" s="15">
        <f t="shared" si="44"/>
        <v>1.9865561966526002E-2</v>
      </c>
      <c r="H493">
        <f t="shared" si="45"/>
        <v>56</v>
      </c>
      <c r="I493">
        <f t="shared" si="46"/>
        <v>2010</v>
      </c>
      <c r="J493">
        <f t="shared" si="47"/>
        <v>123</v>
      </c>
      <c r="K493">
        <f t="shared" si="48"/>
        <v>2050</v>
      </c>
      <c r="R493" s="11">
        <v>56</v>
      </c>
      <c r="Z493">
        <v>123</v>
      </c>
    </row>
    <row r="494" spans="1:266" x14ac:dyDescent="0.2">
      <c r="A494">
        <f>Data!A489</f>
        <v>0</v>
      </c>
      <c r="B494">
        <f>Data!B489</f>
        <v>0</v>
      </c>
      <c r="C494">
        <f>Data!E489</f>
        <v>2012</v>
      </c>
      <c r="D494" s="8">
        <f>Data!N489</f>
        <v>3.518518518518518E-2</v>
      </c>
      <c r="E494">
        <f>E$1*(1-Data!BF489)+E$2*Data!BF489</f>
        <v>1</v>
      </c>
      <c r="F494">
        <f t="shared" si="43"/>
        <v>3.518518518518518E-2</v>
      </c>
      <c r="G494" s="15">
        <f t="shared" si="44"/>
        <v>2.0882004893936879E-2</v>
      </c>
      <c r="H494">
        <f t="shared" si="45"/>
        <v>28</v>
      </c>
      <c r="I494">
        <f t="shared" si="46"/>
        <v>2010</v>
      </c>
      <c r="J494">
        <f t="shared" si="47"/>
        <v>64</v>
      </c>
      <c r="K494">
        <f t="shared" si="48"/>
        <v>2050</v>
      </c>
      <c r="R494" s="11">
        <v>28</v>
      </c>
      <c r="Z494">
        <v>64</v>
      </c>
    </row>
    <row r="495" spans="1:266" x14ac:dyDescent="0.2">
      <c r="A495">
        <f>Data!A490</f>
        <v>0</v>
      </c>
      <c r="B495">
        <f>Data!B490</f>
        <v>0</v>
      </c>
      <c r="C495">
        <f>Data!E490</f>
        <v>2012</v>
      </c>
      <c r="D495" s="8">
        <f>Data!N490</f>
        <v>7.4074074074074077E-3</v>
      </c>
      <c r="E495">
        <f>E$1*(1-Data!BF490)+E$2*Data!BF490</f>
        <v>1</v>
      </c>
      <c r="F495">
        <f t="shared" si="43"/>
        <v>7.4074074074074077E-3</v>
      </c>
      <c r="G495" s="15">
        <f t="shared" si="44"/>
        <v>1.0574362555191064E-2</v>
      </c>
      <c r="H495">
        <f t="shared" si="45"/>
        <v>476</v>
      </c>
      <c r="I495">
        <f t="shared" si="46"/>
        <v>2010</v>
      </c>
      <c r="J495">
        <f t="shared" si="47"/>
        <v>725</v>
      </c>
      <c r="K495">
        <f t="shared" si="48"/>
        <v>2050</v>
      </c>
      <c r="R495" s="11">
        <v>476</v>
      </c>
      <c r="Z495">
        <v>725</v>
      </c>
    </row>
    <row r="496" spans="1:266" x14ac:dyDescent="0.2">
      <c r="A496">
        <f>Data!A491</f>
        <v>0</v>
      </c>
      <c r="B496">
        <f>Data!B491</f>
        <v>0</v>
      </c>
      <c r="C496">
        <f>Data!E491</f>
        <v>2012</v>
      </c>
      <c r="D496" s="8">
        <f>Data!N491</f>
        <v>0.14074074074074072</v>
      </c>
      <c r="E496">
        <f>E$1*(1-Data!BF491)+E$2*Data!BF491</f>
        <v>1</v>
      </c>
      <c r="F496">
        <f t="shared" si="43"/>
        <v>0.14074074074074072</v>
      </c>
      <c r="G496" s="15">
        <f t="shared" si="44"/>
        <v>1.2492823370291894E-2</v>
      </c>
      <c r="H496">
        <f t="shared" si="45"/>
        <v>241</v>
      </c>
      <c r="I496">
        <f t="shared" si="46"/>
        <v>2010</v>
      </c>
      <c r="J496">
        <f t="shared" si="47"/>
        <v>396</v>
      </c>
      <c r="K496">
        <f t="shared" si="48"/>
        <v>2050</v>
      </c>
      <c r="R496" s="11">
        <v>241</v>
      </c>
      <c r="Z496">
        <v>396</v>
      </c>
    </row>
    <row r="497" spans="1:36" x14ac:dyDescent="0.2">
      <c r="A497">
        <f>Data!A492</f>
        <v>0</v>
      </c>
      <c r="B497">
        <f>Data!B492</f>
        <v>0</v>
      </c>
      <c r="C497">
        <f>Data!E492</f>
        <v>2012</v>
      </c>
      <c r="D497" s="8">
        <f>Data!N492</f>
        <v>3.7037037037037038E-3</v>
      </c>
      <c r="E497">
        <f>E$1*(1-Data!BF492)+E$2*Data!BF492</f>
        <v>1</v>
      </c>
      <c r="F497">
        <f t="shared" si="43"/>
        <v>3.7037037037037038E-3</v>
      </c>
      <c r="G497" s="15">
        <f t="shared" si="44"/>
        <v>1.7918366337654312E-2</v>
      </c>
      <c r="H497">
        <f t="shared" si="45"/>
        <v>115</v>
      </c>
      <c r="I497">
        <f t="shared" si="46"/>
        <v>2010</v>
      </c>
      <c r="J497">
        <f t="shared" si="47"/>
        <v>234</v>
      </c>
      <c r="K497">
        <f t="shared" si="48"/>
        <v>2050</v>
      </c>
      <c r="R497" s="11">
        <v>115</v>
      </c>
      <c r="Z497">
        <v>234</v>
      </c>
    </row>
    <row r="498" spans="1:36" x14ac:dyDescent="0.2">
      <c r="A498">
        <f>Data!A493</f>
        <v>0</v>
      </c>
      <c r="B498">
        <f>Data!B493</f>
        <v>0</v>
      </c>
      <c r="C498">
        <f>Data!E493</f>
        <v>2012</v>
      </c>
      <c r="D498" s="8">
        <f>Data!N493</f>
        <v>7.0370370370370361E-2</v>
      </c>
      <c r="E498">
        <f>E$1*(1-Data!BF493)+E$2*Data!BF493</f>
        <v>1</v>
      </c>
      <c r="F498">
        <f t="shared" si="43"/>
        <v>7.0370370370370361E-2</v>
      </c>
      <c r="G498" s="15">
        <f t="shared" si="44"/>
        <v>1.9832106744750888E-2</v>
      </c>
      <c r="H498">
        <f t="shared" si="45"/>
        <v>62</v>
      </c>
      <c r="I498">
        <f t="shared" si="46"/>
        <v>2010</v>
      </c>
      <c r="J498">
        <f t="shared" si="47"/>
        <v>136</v>
      </c>
      <c r="K498">
        <f t="shared" si="48"/>
        <v>2050</v>
      </c>
      <c r="R498" s="11">
        <v>62</v>
      </c>
      <c r="Z498">
        <v>136</v>
      </c>
    </row>
    <row r="499" spans="1:36" x14ac:dyDescent="0.2">
      <c r="A499">
        <f>Data!A494</f>
        <v>0</v>
      </c>
      <c r="B499">
        <f>Data!B494</f>
        <v>0</v>
      </c>
      <c r="C499">
        <f>Data!E494</f>
        <v>2012</v>
      </c>
      <c r="D499" s="8">
        <f>Data!N494</f>
        <v>7.4074074074074077E-3</v>
      </c>
      <c r="E499">
        <f>E$1*(1-Data!BF494)+E$2*Data!BF494</f>
        <v>1</v>
      </c>
      <c r="F499">
        <f t="shared" si="43"/>
        <v>7.4074074074074077E-3</v>
      </c>
      <c r="G499" s="15">
        <f t="shared" si="44"/>
        <v>1.4023379564617633E-2</v>
      </c>
      <c r="H499">
        <f t="shared" si="45"/>
        <v>888</v>
      </c>
      <c r="I499">
        <f t="shared" si="46"/>
        <v>2010</v>
      </c>
      <c r="J499">
        <f t="shared" si="47"/>
        <v>1550</v>
      </c>
      <c r="K499">
        <f t="shared" si="48"/>
        <v>2050</v>
      </c>
      <c r="R499" s="11">
        <v>888</v>
      </c>
      <c r="Z499">
        <v>1550</v>
      </c>
    </row>
    <row r="500" spans="1:36" x14ac:dyDescent="0.2">
      <c r="A500">
        <f>Data!A495</f>
        <v>0</v>
      </c>
      <c r="B500">
        <f>Data!B495</f>
        <v>0</v>
      </c>
      <c r="C500">
        <f>Data!E495</f>
        <v>2012</v>
      </c>
      <c r="D500" s="8">
        <f>Data!N495</f>
        <v>0.14074074074074072</v>
      </c>
      <c r="E500">
        <f>E$1*(1-Data!BF495)+E$2*Data!BF495</f>
        <v>1</v>
      </c>
      <c r="F500">
        <f t="shared" si="43"/>
        <v>0.14074074074074072</v>
      </c>
      <c r="G500" s="15">
        <f t="shared" si="44"/>
        <v>1.5520210220901109E-2</v>
      </c>
      <c r="H500">
        <f t="shared" si="45"/>
        <v>411</v>
      </c>
      <c r="I500">
        <f t="shared" si="46"/>
        <v>2010</v>
      </c>
      <c r="J500">
        <f t="shared" si="47"/>
        <v>761</v>
      </c>
      <c r="K500">
        <f t="shared" si="48"/>
        <v>2050</v>
      </c>
      <c r="R500" s="11">
        <v>411</v>
      </c>
      <c r="Z500">
        <v>761</v>
      </c>
    </row>
    <row r="501" spans="1:36" x14ac:dyDescent="0.2">
      <c r="A501">
        <f>Data!A496</f>
        <v>0</v>
      </c>
      <c r="B501">
        <f>Data!B496</f>
        <v>0</v>
      </c>
      <c r="C501">
        <f>Data!E496</f>
        <v>2012</v>
      </c>
      <c r="D501" s="8">
        <f>Data!N496</f>
        <v>3.7037037037037038E-3</v>
      </c>
      <c r="E501">
        <f>E$1*(1-Data!BF496)+E$2*Data!BF496</f>
        <v>1</v>
      </c>
      <c r="F501">
        <f t="shared" si="43"/>
        <v>3.7037037037037038E-3</v>
      </c>
      <c r="G501" s="15">
        <f t="shared" si="44"/>
        <v>2.4855843088559482E-2</v>
      </c>
      <c r="H501">
        <f t="shared" si="45"/>
        <v>200</v>
      </c>
      <c r="I501">
        <f t="shared" si="46"/>
        <v>2010</v>
      </c>
      <c r="J501">
        <f t="shared" si="47"/>
        <v>534</v>
      </c>
      <c r="K501">
        <f t="shared" si="48"/>
        <v>2050</v>
      </c>
      <c r="R501" s="11">
        <v>200</v>
      </c>
      <c r="Z501">
        <v>534</v>
      </c>
    </row>
    <row r="502" spans="1:36" x14ac:dyDescent="0.2">
      <c r="A502">
        <f>Data!A497</f>
        <v>0</v>
      </c>
      <c r="B502">
        <f>Data!B497</f>
        <v>0</v>
      </c>
      <c r="C502">
        <f>Data!E497</f>
        <v>2012</v>
      </c>
      <c r="D502" s="8">
        <f>Data!N497</f>
        <v>7.0370370370370361E-2</v>
      </c>
      <c r="E502">
        <f>E$1*(1-Data!BF497)+E$2*Data!BF497</f>
        <v>1</v>
      </c>
      <c r="F502">
        <f t="shared" si="43"/>
        <v>7.0370370370370361E-2</v>
      </c>
      <c r="G502" s="15">
        <f t="shared" si="44"/>
        <v>2.7169924594608208E-2</v>
      </c>
      <c r="H502">
        <f t="shared" si="45"/>
        <v>77</v>
      </c>
      <c r="I502">
        <f t="shared" si="46"/>
        <v>2010</v>
      </c>
      <c r="J502">
        <f t="shared" si="47"/>
        <v>225</v>
      </c>
      <c r="K502">
        <f t="shared" si="48"/>
        <v>2050</v>
      </c>
      <c r="R502" s="11">
        <v>77</v>
      </c>
      <c r="Z502">
        <v>225</v>
      </c>
    </row>
    <row r="503" spans="1:36" x14ac:dyDescent="0.2">
      <c r="A503">
        <f>Data!A498</f>
        <v>0</v>
      </c>
      <c r="B503">
        <f>Data!B498</f>
        <v>0</v>
      </c>
      <c r="C503">
        <f>Data!E498</f>
        <v>2012</v>
      </c>
      <c r="D503" s="8">
        <f>Data!N498</f>
        <v>1.4814814814814815E-2</v>
      </c>
      <c r="E503">
        <f>E$1*(1-Data!BF498)+E$2*Data!BF498</f>
        <v>1</v>
      </c>
      <c r="F503">
        <f t="shared" si="43"/>
        <v>1.4814814814814815E-2</v>
      </c>
      <c r="G503" s="15">
        <f t="shared" si="44"/>
        <v>1.3011016822189969E-2</v>
      </c>
      <c r="H503">
        <f t="shared" si="45"/>
        <v>892</v>
      </c>
      <c r="I503">
        <f t="shared" si="46"/>
        <v>2010</v>
      </c>
      <c r="J503">
        <f t="shared" si="47"/>
        <v>1496</v>
      </c>
      <c r="K503">
        <f t="shared" si="48"/>
        <v>2050</v>
      </c>
      <c r="R503" s="11">
        <v>892</v>
      </c>
      <c r="Z503">
        <v>1496</v>
      </c>
    </row>
    <row r="504" spans="1:36" x14ac:dyDescent="0.2">
      <c r="A504">
        <f>Data!A499</f>
        <v>0</v>
      </c>
      <c r="B504">
        <f>Data!B499</f>
        <v>0</v>
      </c>
      <c r="C504">
        <f>Data!E499</f>
        <v>2012</v>
      </c>
      <c r="D504" s="8">
        <f>Data!N499</f>
        <v>0.28148148148148144</v>
      </c>
      <c r="E504">
        <f>E$1*(1-Data!BF499)+E$2*Data!BF499</f>
        <v>1</v>
      </c>
      <c r="F504">
        <f t="shared" si="43"/>
        <v>0.28148148148148144</v>
      </c>
      <c r="G504" s="15">
        <f t="shared" si="44"/>
        <v>1.4452407166355208E-2</v>
      </c>
      <c r="H504">
        <f t="shared" si="45"/>
        <v>445</v>
      </c>
      <c r="I504">
        <f t="shared" si="46"/>
        <v>2010</v>
      </c>
      <c r="J504">
        <f t="shared" si="47"/>
        <v>790</v>
      </c>
      <c r="K504">
        <f t="shared" si="48"/>
        <v>2050</v>
      </c>
      <c r="R504" s="11">
        <v>445</v>
      </c>
      <c r="Z504">
        <v>790</v>
      </c>
    </row>
    <row r="505" spans="1:36" x14ac:dyDescent="0.2">
      <c r="A505">
        <f>Data!A500</f>
        <v>0</v>
      </c>
      <c r="B505">
        <f>Data!B500</f>
        <v>0</v>
      </c>
      <c r="C505">
        <f>Data!E500</f>
        <v>2012</v>
      </c>
      <c r="D505" s="8">
        <f>Data!N500</f>
        <v>7.4074074074074077E-3</v>
      </c>
      <c r="E505">
        <f>E$1*(1-Data!BF500)+E$2*Data!BF500</f>
        <v>1</v>
      </c>
      <c r="F505">
        <f t="shared" si="43"/>
        <v>7.4074074074074077E-3</v>
      </c>
      <c r="G505" s="15">
        <f t="shared" si="44"/>
        <v>2.2402583889008953E-2</v>
      </c>
      <c r="H505">
        <f t="shared" si="45"/>
        <v>216</v>
      </c>
      <c r="I505">
        <f t="shared" si="46"/>
        <v>2010</v>
      </c>
      <c r="J505">
        <f t="shared" si="47"/>
        <v>524</v>
      </c>
      <c r="K505">
        <f t="shared" si="48"/>
        <v>2050</v>
      </c>
      <c r="R505" s="11">
        <v>216</v>
      </c>
      <c r="Z505">
        <v>524</v>
      </c>
    </row>
    <row r="506" spans="1:36" x14ac:dyDescent="0.2">
      <c r="A506">
        <f>Data!A501</f>
        <v>0</v>
      </c>
      <c r="B506">
        <f>Data!B501</f>
        <v>0</v>
      </c>
      <c r="C506">
        <f>Data!E501</f>
        <v>2012</v>
      </c>
      <c r="D506" s="8">
        <f>Data!N501</f>
        <v>0.14074074074074072</v>
      </c>
      <c r="E506">
        <f>E$1*(1-Data!BF501)+E$2*Data!BF501</f>
        <v>1</v>
      </c>
      <c r="F506">
        <f t="shared" si="43"/>
        <v>0.14074074074074072</v>
      </c>
      <c r="G506" s="15">
        <f t="shared" si="44"/>
        <v>2.4113763510722697E-2</v>
      </c>
      <c r="H506">
        <f t="shared" si="45"/>
        <v>96</v>
      </c>
      <c r="I506">
        <f t="shared" si="46"/>
        <v>2010</v>
      </c>
      <c r="J506">
        <f t="shared" si="47"/>
        <v>249</v>
      </c>
      <c r="K506">
        <f t="shared" si="48"/>
        <v>2050</v>
      </c>
      <c r="R506" s="11">
        <v>96</v>
      </c>
      <c r="Z506">
        <v>249</v>
      </c>
    </row>
    <row r="507" spans="1:36" x14ac:dyDescent="0.2">
      <c r="A507" t="str">
        <f>Data!A502</f>
        <v>Ackerman &amp; Munitz</v>
      </c>
      <c r="B507" t="str">
        <f>Data!B502</f>
        <v>RM9622</v>
      </c>
      <c r="C507">
        <f>Data!E502</f>
        <v>2012</v>
      </c>
      <c r="G507" s="15"/>
      <c r="R507" s="11"/>
    </row>
    <row r="508" spans="1:36" x14ac:dyDescent="0.2">
      <c r="A508">
        <f>Data!A503</f>
        <v>0</v>
      </c>
      <c r="B508">
        <f>Data!B503</f>
        <v>0</v>
      </c>
      <c r="C508">
        <f>Data!E503</f>
        <v>2012</v>
      </c>
      <c r="G508" s="15"/>
      <c r="R508" s="11"/>
    </row>
    <row r="509" spans="1:36" x14ac:dyDescent="0.2">
      <c r="A509">
        <f>Data!A504</f>
        <v>0</v>
      </c>
      <c r="B509">
        <f>Data!B504</f>
        <v>0</v>
      </c>
      <c r="C509">
        <f>Data!E504</f>
        <v>2012</v>
      </c>
      <c r="G509" s="15"/>
      <c r="R509" s="11"/>
    </row>
    <row r="510" spans="1:36" x14ac:dyDescent="0.2">
      <c r="A510" t="str">
        <f>Data!A505</f>
        <v>Anthoff et al.</v>
      </c>
      <c r="B510" t="str">
        <f>Data!B505</f>
        <v>RM9664</v>
      </c>
      <c r="C510">
        <f>Data!E505</f>
        <v>2011</v>
      </c>
      <c r="D510" s="8">
        <f>Data!N505</f>
        <v>5.8823529411764705E-2</v>
      </c>
      <c r="E510">
        <f>E$1*(1-Data!BF505)+E$2*Data!BF505</f>
        <v>1</v>
      </c>
      <c r="F510">
        <f>D510*E510</f>
        <v>5.8823529411764705E-2</v>
      </c>
      <c r="G510" s="15">
        <f t="shared" ref="G510:G531" si="49">(J510/H510)^(1/(K510-I510))-1</f>
        <v>2.200000000000002E-2</v>
      </c>
      <c r="H510">
        <f t="shared" ref="H510:H531" si="50">MIN(L510:BE510)</f>
        <v>1.33</v>
      </c>
      <c r="I510">
        <f t="shared" ref="I510:I531" si="51">LOOKUP(H510,L510:BE510,L$8:BE$8)</f>
        <v>2015</v>
      </c>
      <c r="J510">
        <f t="shared" ref="J510:J531" si="52">MAX(L510:BE510)</f>
        <v>8.4562494141956766</v>
      </c>
      <c r="K510">
        <f t="shared" ref="K510:K531" si="53">LOOKUP(J510,L510:BE510,L$8:BE$8)</f>
        <v>2100</v>
      </c>
      <c r="R510" s="11"/>
      <c r="S510">
        <f>Data!P505</f>
        <v>1.33</v>
      </c>
      <c r="AJ510">
        <f>S510*(1.022)^85</f>
        <v>8.4562494141956766</v>
      </c>
    </row>
    <row r="511" spans="1:36" x14ac:dyDescent="0.2">
      <c r="A511">
        <f>Data!A506</f>
        <v>0</v>
      </c>
      <c r="B511" t="str">
        <f>Data!B506</f>
        <v>RM9675</v>
      </c>
      <c r="C511">
        <f>Data!E506</f>
        <v>2011</v>
      </c>
      <c r="D511" s="8">
        <f>Data!N506</f>
        <v>5.8823529411764705E-2</v>
      </c>
      <c r="E511">
        <f>E$1*(1-Data!BF506)+E$2*Data!BF506</f>
        <v>1</v>
      </c>
      <c r="F511">
        <f>D511*E511</f>
        <v>5.8823529411764705E-2</v>
      </c>
      <c r="G511" s="15">
        <f t="shared" si="49"/>
        <v>2.2100000000000009E-2</v>
      </c>
      <c r="H511">
        <f t="shared" si="50"/>
        <v>30.3</v>
      </c>
      <c r="I511">
        <f t="shared" si="51"/>
        <v>2015</v>
      </c>
      <c r="J511">
        <f t="shared" si="52"/>
        <v>194.25876927687338</v>
      </c>
      <c r="K511">
        <f t="shared" si="53"/>
        <v>2100</v>
      </c>
      <c r="R511" s="11"/>
      <c r="S511">
        <f>Data!P506</f>
        <v>30.3</v>
      </c>
      <c r="AJ511">
        <f>S511*(1.0221)^85</f>
        <v>194.25876927687338</v>
      </c>
    </row>
    <row r="512" spans="1:36" x14ac:dyDescent="0.2">
      <c r="A512">
        <f>Data!A507</f>
        <v>0</v>
      </c>
      <c r="B512">
        <f>Data!B507</f>
        <v>0</v>
      </c>
      <c r="C512">
        <f>Data!E507</f>
        <v>2011</v>
      </c>
      <c r="D512" s="8">
        <f>Data!N507</f>
        <v>5.8823529411764705E-2</v>
      </c>
      <c r="E512">
        <f>E$1*(1-Data!BF507)+E$2*Data!BF507</f>
        <v>1</v>
      </c>
      <c r="F512">
        <f>D512*E512</f>
        <v>5.8823529411764705E-2</v>
      </c>
      <c r="G512" s="15">
        <f t="shared" si="49"/>
        <v>3.8999999999999924E-2</v>
      </c>
      <c r="H512">
        <f t="shared" si="50"/>
        <v>186</v>
      </c>
      <c r="I512">
        <f t="shared" si="51"/>
        <v>2015</v>
      </c>
      <c r="J512">
        <f t="shared" si="52"/>
        <v>4806.5613128740879</v>
      </c>
      <c r="K512">
        <f t="shared" si="53"/>
        <v>2100</v>
      </c>
      <c r="R512" s="11"/>
      <c r="S512">
        <f>Data!P507</f>
        <v>186</v>
      </c>
      <c r="AJ512">
        <f>S512*(1.039)^85</f>
        <v>4806.5613128740879</v>
      </c>
    </row>
    <row r="513" spans="1:36" x14ac:dyDescent="0.2">
      <c r="A513">
        <f>Data!A508</f>
        <v>0</v>
      </c>
      <c r="B513">
        <f>Data!B508</f>
        <v>0</v>
      </c>
      <c r="C513">
        <f>Data!E508</f>
        <v>2011</v>
      </c>
      <c r="G513" s="15"/>
      <c r="R513" s="11"/>
      <c r="S513">
        <f>Data!P508</f>
        <v>-2.29</v>
      </c>
    </row>
    <row r="514" spans="1:36" x14ac:dyDescent="0.2">
      <c r="A514">
        <f>Data!A509</f>
        <v>0</v>
      </c>
      <c r="B514">
        <f>Data!B509</f>
        <v>0</v>
      </c>
      <c r="C514">
        <f>Data!E509</f>
        <v>2011</v>
      </c>
      <c r="G514" s="15"/>
      <c r="R514" s="11"/>
      <c r="S514">
        <f>Data!P509</f>
        <v>1.55</v>
      </c>
    </row>
    <row r="515" spans="1:36" x14ac:dyDescent="0.2">
      <c r="A515">
        <f>Data!A510</f>
        <v>0</v>
      </c>
      <c r="B515">
        <f>Data!B510</f>
        <v>0</v>
      </c>
      <c r="C515">
        <f>Data!E510</f>
        <v>2011</v>
      </c>
      <c r="D515" s="8">
        <f>Data!N510</f>
        <v>5.8823529411764705E-2</v>
      </c>
      <c r="E515">
        <f>E$1*(1-Data!BF510)+E$2*Data!BF510</f>
        <v>1</v>
      </c>
      <c r="F515">
        <f>D515*E515</f>
        <v>5.8823529411764705E-2</v>
      </c>
      <c r="G515" s="15">
        <f t="shared" si="49"/>
        <v>3.0000000000000027E-2</v>
      </c>
      <c r="H515">
        <f t="shared" si="50"/>
        <v>8.09</v>
      </c>
      <c r="I515">
        <f t="shared" si="51"/>
        <v>2015</v>
      </c>
      <c r="J515">
        <f t="shared" si="52"/>
        <v>99.795882165723654</v>
      </c>
      <c r="K515">
        <f t="shared" si="53"/>
        <v>2100</v>
      </c>
      <c r="R515" s="11"/>
      <c r="S515">
        <f>Data!P510</f>
        <v>8.09</v>
      </c>
      <c r="AJ515">
        <f>S515*(1.03)^85</f>
        <v>99.795882165723654</v>
      </c>
    </row>
    <row r="516" spans="1:36" x14ac:dyDescent="0.2">
      <c r="A516">
        <f>Data!A511</f>
        <v>0</v>
      </c>
      <c r="B516">
        <f>Data!B511</f>
        <v>0</v>
      </c>
      <c r="C516">
        <f>Data!E511</f>
        <v>2011</v>
      </c>
      <c r="D516" s="8">
        <f>Data!N511</f>
        <v>5.8823529411764705E-2</v>
      </c>
      <c r="E516">
        <f>E$1*(1-Data!BF511)+E$2*Data!BF511</f>
        <v>1</v>
      </c>
      <c r="F516">
        <f>D516*E516</f>
        <v>5.8823529411764705E-2</v>
      </c>
      <c r="G516" s="15">
        <f t="shared" si="49"/>
        <v>2.2999999999999909E-2</v>
      </c>
      <c r="H516">
        <f t="shared" si="50"/>
        <v>45.4</v>
      </c>
      <c r="I516">
        <f t="shared" si="51"/>
        <v>2015</v>
      </c>
      <c r="J516">
        <f t="shared" si="52"/>
        <v>313.67847535259818</v>
      </c>
      <c r="K516">
        <f t="shared" si="53"/>
        <v>2100</v>
      </c>
      <c r="R516" s="11"/>
      <c r="S516">
        <f>Data!P511</f>
        <v>45.4</v>
      </c>
      <c r="AJ516">
        <f>S516*(1.023)^85</f>
        <v>313.67847535259818</v>
      </c>
    </row>
    <row r="517" spans="1:36" x14ac:dyDescent="0.2">
      <c r="A517">
        <f>Data!A512</f>
        <v>0</v>
      </c>
      <c r="B517">
        <f>Data!B512</f>
        <v>0</v>
      </c>
      <c r="C517">
        <f>Data!E512</f>
        <v>2011</v>
      </c>
      <c r="G517" s="15"/>
      <c r="R517" s="11"/>
      <c r="S517">
        <f>Data!P512</f>
        <v>58.1</v>
      </c>
    </row>
    <row r="518" spans="1:36" x14ac:dyDescent="0.2">
      <c r="A518">
        <f>Data!A513</f>
        <v>0</v>
      </c>
      <c r="B518">
        <f>Data!B513</f>
        <v>0</v>
      </c>
      <c r="C518">
        <f>Data!E513</f>
        <v>2011</v>
      </c>
      <c r="G518" s="15"/>
      <c r="R518" s="11"/>
      <c r="S518">
        <f>Data!P513</f>
        <v>1880</v>
      </c>
    </row>
    <row r="519" spans="1:36" x14ac:dyDescent="0.2">
      <c r="A519">
        <f>Data!A514</f>
        <v>0</v>
      </c>
      <c r="B519">
        <f>Data!B514</f>
        <v>0</v>
      </c>
      <c r="C519">
        <f>Data!E514</f>
        <v>2011</v>
      </c>
      <c r="G519" s="15"/>
      <c r="R519" s="11"/>
      <c r="S519">
        <f>Data!P514</f>
        <v>0.70799999999999996</v>
      </c>
    </row>
    <row r="520" spans="1:36" x14ac:dyDescent="0.2">
      <c r="A520">
        <f>Data!A515</f>
        <v>0</v>
      </c>
      <c r="B520">
        <f>Data!B515</f>
        <v>0</v>
      </c>
      <c r="C520">
        <f>Data!E515</f>
        <v>2011</v>
      </c>
      <c r="G520" s="15"/>
      <c r="R520" s="11"/>
      <c r="S520">
        <f>Data!P515</f>
        <v>2.92</v>
      </c>
    </row>
    <row r="521" spans="1:36" x14ac:dyDescent="0.2">
      <c r="A521">
        <f>Data!A516</f>
        <v>0</v>
      </c>
      <c r="B521">
        <f>Data!B516</f>
        <v>0</v>
      </c>
      <c r="C521">
        <f>Data!E516</f>
        <v>2011</v>
      </c>
      <c r="D521" s="8">
        <f>Data!N516</f>
        <v>2.9411764705882353E-2</v>
      </c>
      <c r="E521">
        <f>E$1*(1-Data!BF516)+E$2*Data!BF516</f>
        <v>1</v>
      </c>
      <c r="F521">
        <f>D521*E521</f>
        <v>2.9411764705882353E-2</v>
      </c>
      <c r="G521" s="15">
        <f t="shared" si="49"/>
        <v>2.4999999999999911E-2</v>
      </c>
      <c r="H521">
        <f t="shared" si="50"/>
        <v>11.5</v>
      </c>
      <c r="I521">
        <f t="shared" si="51"/>
        <v>2015</v>
      </c>
      <c r="J521">
        <f t="shared" si="52"/>
        <v>93.80508874475035</v>
      </c>
      <c r="K521">
        <f t="shared" si="53"/>
        <v>2100</v>
      </c>
      <c r="R521" s="11"/>
      <c r="S521">
        <f>Data!P516</f>
        <v>11.5</v>
      </c>
      <c r="AJ521">
        <f>S521*(1.025)^85</f>
        <v>93.80508874475035</v>
      </c>
    </row>
    <row r="522" spans="1:36" x14ac:dyDescent="0.2">
      <c r="A522">
        <f>Data!A517</f>
        <v>0</v>
      </c>
      <c r="B522">
        <f>Data!B517</f>
        <v>0</v>
      </c>
      <c r="C522">
        <f>Data!E517</f>
        <v>2011</v>
      </c>
      <c r="D522" s="8">
        <f>Data!N517</f>
        <v>2.9411764705882353E-2</v>
      </c>
      <c r="E522">
        <f>E$1*(1-Data!BF517)+E$2*Data!BF517</f>
        <v>1</v>
      </c>
      <c r="F522">
        <f>D522*E522</f>
        <v>2.9411764705882353E-2</v>
      </c>
      <c r="G522" s="15">
        <f t="shared" si="49"/>
        <v>2.4999999999999911E-2</v>
      </c>
      <c r="H522">
        <f t="shared" si="50"/>
        <v>64.5</v>
      </c>
      <c r="I522">
        <f t="shared" si="51"/>
        <v>2015</v>
      </c>
      <c r="J522">
        <f t="shared" si="52"/>
        <v>526.12419339446933</v>
      </c>
      <c r="K522">
        <f t="shared" si="53"/>
        <v>2100</v>
      </c>
      <c r="R522" s="11"/>
      <c r="S522">
        <f>Data!P517</f>
        <v>64.5</v>
      </c>
      <c r="AJ522">
        <f>S522*(1.025)^85</f>
        <v>526.12419339446933</v>
      </c>
    </row>
    <row r="523" spans="1:36" x14ac:dyDescent="0.2">
      <c r="A523">
        <f>Data!A518</f>
        <v>0</v>
      </c>
      <c r="B523">
        <f>Data!B518</f>
        <v>0</v>
      </c>
      <c r="C523">
        <f>Data!E518</f>
        <v>2011</v>
      </c>
      <c r="G523" s="15"/>
      <c r="R523" s="11"/>
      <c r="S523">
        <f>Data!P518</f>
        <v>52.8</v>
      </c>
    </row>
    <row r="524" spans="1:36" x14ac:dyDescent="0.2">
      <c r="A524">
        <f>Data!A519</f>
        <v>0</v>
      </c>
      <c r="B524">
        <f>Data!B519</f>
        <v>0</v>
      </c>
      <c r="C524">
        <f>Data!E519</f>
        <v>2011</v>
      </c>
      <c r="G524" s="15"/>
      <c r="R524" s="11"/>
      <c r="S524">
        <f>Data!P519</f>
        <v>1510</v>
      </c>
    </row>
    <row r="525" spans="1:36" x14ac:dyDescent="0.2">
      <c r="A525">
        <f>Data!A520</f>
        <v>0</v>
      </c>
      <c r="B525">
        <f>Data!B520</f>
        <v>0</v>
      </c>
      <c r="C525">
        <f>Data!E520</f>
        <v>2011</v>
      </c>
      <c r="D525" s="8">
        <f>Data!N520</f>
        <v>5.8823529411764705E-2</v>
      </c>
      <c r="E525">
        <f>E$1*(1-Data!BF520)+E$2*Data!BF520</f>
        <v>1</v>
      </c>
      <c r="F525">
        <f>D525*E525</f>
        <v>5.8823529411764705E-2</v>
      </c>
      <c r="G525" s="15">
        <f t="shared" si="49"/>
        <v>1.2999999999999901E-2</v>
      </c>
      <c r="H525">
        <f t="shared" si="50"/>
        <v>91.5</v>
      </c>
      <c r="I525">
        <f t="shared" si="51"/>
        <v>2015</v>
      </c>
      <c r="J525">
        <f t="shared" si="52"/>
        <v>274.29882654556098</v>
      </c>
      <c r="K525">
        <f t="shared" si="53"/>
        <v>2100</v>
      </c>
      <c r="R525" s="11"/>
      <c r="S525">
        <f>Data!P520</f>
        <v>91.5</v>
      </c>
      <c r="AJ525">
        <f>S525*(1.013)^85</f>
        <v>274.29882654556098</v>
      </c>
    </row>
    <row r="526" spans="1:36" x14ac:dyDescent="0.2">
      <c r="A526">
        <f>Data!A521</f>
        <v>0</v>
      </c>
      <c r="B526">
        <f>Data!B521</f>
        <v>0</v>
      </c>
      <c r="C526">
        <f>Data!E521</f>
        <v>2011</v>
      </c>
      <c r="D526" s="8">
        <f>Data!N521</f>
        <v>5.8823529411764705E-2</v>
      </c>
      <c r="E526">
        <f>E$1*(1-Data!BF521)+E$2*Data!BF521</f>
        <v>1</v>
      </c>
      <c r="F526">
        <f>D526*E526</f>
        <v>5.8823529411764705E-2</v>
      </c>
      <c r="G526" s="15">
        <f t="shared" si="49"/>
        <v>3.0999999999999917E-2</v>
      </c>
      <c r="H526">
        <f t="shared" si="50"/>
        <v>12.1</v>
      </c>
      <c r="I526">
        <f t="shared" si="51"/>
        <v>2015</v>
      </c>
      <c r="J526">
        <f t="shared" si="52"/>
        <v>162.09585869308648</v>
      </c>
      <c r="K526">
        <f t="shared" si="53"/>
        <v>2100</v>
      </c>
      <c r="R526" s="11"/>
      <c r="S526">
        <f>Data!P521</f>
        <v>12.1</v>
      </c>
      <c r="AJ526">
        <f>S526*(1.031)^85</f>
        <v>162.09585869308648</v>
      </c>
    </row>
    <row r="527" spans="1:36" x14ac:dyDescent="0.2">
      <c r="A527">
        <f>Data!A522</f>
        <v>0</v>
      </c>
      <c r="B527">
        <f>Data!B522</f>
        <v>0</v>
      </c>
      <c r="C527">
        <f>Data!E522</f>
        <v>2011</v>
      </c>
      <c r="D527" s="8">
        <f>Data!N522</f>
        <v>5.8823529411764705E-2</v>
      </c>
      <c r="E527">
        <f>E$1*(1-Data!BF522)+E$2*Data!BF522</f>
        <v>1</v>
      </c>
      <c r="F527">
        <f>D527*E527</f>
        <v>5.8823529411764705E-2</v>
      </c>
      <c r="G527" s="15">
        <f t="shared" si="49"/>
        <v>2.2999999999999909E-2</v>
      </c>
      <c r="H527">
        <f t="shared" si="50"/>
        <v>29.1</v>
      </c>
      <c r="I527">
        <f t="shared" si="51"/>
        <v>2015</v>
      </c>
      <c r="J527">
        <f t="shared" si="52"/>
        <v>201.05822979648914</v>
      </c>
      <c r="K527">
        <f t="shared" si="53"/>
        <v>2100</v>
      </c>
      <c r="R527" s="11"/>
      <c r="S527">
        <f>Data!P522</f>
        <v>29.1</v>
      </c>
      <c r="AJ527">
        <f>S527*(1.023)^85</f>
        <v>201.05822979648914</v>
      </c>
    </row>
    <row r="528" spans="1:36" x14ac:dyDescent="0.2">
      <c r="A528">
        <f>Data!A523</f>
        <v>0</v>
      </c>
      <c r="B528">
        <f>Data!B523</f>
        <v>0</v>
      </c>
      <c r="C528">
        <f>Data!E523</f>
        <v>2011</v>
      </c>
      <c r="G528" s="15"/>
      <c r="R528" s="11"/>
      <c r="S528">
        <f>Data!P523</f>
        <v>2.41</v>
      </c>
      <c r="AJ528">
        <v>-18.8</v>
      </c>
    </row>
    <row r="529" spans="1:36" x14ac:dyDescent="0.2">
      <c r="A529">
        <f>Data!A524</f>
        <v>0</v>
      </c>
      <c r="B529">
        <f>Data!B524</f>
        <v>0</v>
      </c>
      <c r="C529">
        <f>Data!E524</f>
        <v>2011</v>
      </c>
      <c r="D529" s="8">
        <f>Data!N524</f>
        <v>2.9411764705882353E-2</v>
      </c>
      <c r="E529">
        <f>E$1*(1-Data!BF524)+E$2*Data!BF524</f>
        <v>1</v>
      </c>
      <c r="F529">
        <f>D529*E529</f>
        <v>2.9411764705882353E-2</v>
      </c>
      <c r="G529" s="15">
        <f t="shared" si="49"/>
        <v>2.6000000000000023E-2</v>
      </c>
      <c r="H529">
        <f t="shared" si="50"/>
        <v>75</v>
      </c>
      <c r="I529">
        <f t="shared" si="51"/>
        <v>2015</v>
      </c>
      <c r="J529">
        <f t="shared" si="52"/>
        <v>664.6406955312849</v>
      </c>
      <c r="K529">
        <f t="shared" si="53"/>
        <v>2100</v>
      </c>
      <c r="R529" s="11"/>
      <c r="S529">
        <f>Data!P524</f>
        <v>75</v>
      </c>
      <c r="AJ529">
        <f>S529*(1.026)^85</f>
        <v>664.6406955312849</v>
      </c>
    </row>
    <row r="530" spans="1:36" x14ac:dyDescent="0.2">
      <c r="A530">
        <f>Data!A525</f>
        <v>0</v>
      </c>
      <c r="B530">
        <f>Data!B525</f>
        <v>0</v>
      </c>
      <c r="C530">
        <f>Data!E525</f>
        <v>2011</v>
      </c>
      <c r="D530" s="8">
        <f>Data!N525</f>
        <v>2.9411764705882353E-2</v>
      </c>
      <c r="E530">
        <f>E$1*(1-Data!BF525)+E$2*Data!BF525</f>
        <v>1</v>
      </c>
      <c r="F530">
        <f>D530*E530</f>
        <v>2.9411764705882353E-2</v>
      </c>
      <c r="G530" s="15">
        <f t="shared" si="49"/>
        <v>1.2999999999999901E-2</v>
      </c>
      <c r="H530">
        <f t="shared" si="50"/>
        <v>5.15</v>
      </c>
      <c r="I530">
        <f t="shared" si="51"/>
        <v>2015</v>
      </c>
      <c r="J530">
        <f t="shared" si="52"/>
        <v>15.438677122509718</v>
      </c>
      <c r="K530">
        <f t="shared" si="53"/>
        <v>2100</v>
      </c>
      <c r="R530" s="11"/>
      <c r="S530">
        <f>Data!P525</f>
        <v>5.15</v>
      </c>
      <c r="AJ530">
        <f>S530*(1.013)^85</f>
        <v>15.438677122509718</v>
      </c>
    </row>
    <row r="531" spans="1:36" x14ac:dyDescent="0.2">
      <c r="A531">
        <f>Data!A526</f>
        <v>0</v>
      </c>
      <c r="B531">
        <f>Data!B526</f>
        <v>0</v>
      </c>
      <c r="C531">
        <f>Data!E526</f>
        <v>2011</v>
      </c>
      <c r="D531" s="8">
        <f>Data!N526</f>
        <v>2.9411764705882353E-2</v>
      </c>
      <c r="E531">
        <f>E$1*(1-Data!BF526)+E$2*Data!BF526</f>
        <v>1</v>
      </c>
      <c r="F531">
        <f>D531*E531</f>
        <v>2.9411764705882353E-2</v>
      </c>
      <c r="G531" s="15">
        <f t="shared" si="49"/>
        <v>1.8999999999999906E-2</v>
      </c>
      <c r="H531">
        <f t="shared" si="50"/>
        <v>52</v>
      </c>
      <c r="I531">
        <f t="shared" si="51"/>
        <v>2015</v>
      </c>
      <c r="J531">
        <f t="shared" si="52"/>
        <v>257.51882623702971</v>
      </c>
      <c r="K531">
        <f t="shared" si="53"/>
        <v>2100</v>
      </c>
      <c r="R531" s="11"/>
      <c r="S531">
        <f>Data!P526</f>
        <v>52</v>
      </c>
      <c r="AJ531">
        <f>S531*(1.019)^85</f>
        <v>257.51882623702971</v>
      </c>
    </row>
    <row r="532" spans="1:36" x14ac:dyDescent="0.2">
      <c r="A532" t="str">
        <f>Data!A527</f>
        <v>Waldhoff et al.</v>
      </c>
      <c r="B532" t="str">
        <f>Data!B527</f>
        <v>RM9676</v>
      </c>
      <c r="C532">
        <f>Data!E527</f>
        <v>2011</v>
      </c>
      <c r="G532" s="15"/>
      <c r="R532" s="11"/>
    </row>
    <row r="533" spans="1:36" x14ac:dyDescent="0.2">
      <c r="A533">
        <f>Data!A528</f>
        <v>0</v>
      </c>
      <c r="B533">
        <f>Data!B528</f>
        <v>0</v>
      </c>
      <c r="C533">
        <f>Data!E528</f>
        <v>2011</v>
      </c>
      <c r="G533" s="15"/>
      <c r="R533" s="11"/>
    </row>
    <row r="534" spans="1:36" x14ac:dyDescent="0.2">
      <c r="A534">
        <f>Data!A529</f>
        <v>0</v>
      </c>
      <c r="B534">
        <f>Data!B529</f>
        <v>0</v>
      </c>
      <c r="C534">
        <f>Data!E529</f>
        <v>2011</v>
      </c>
      <c r="G534" s="15"/>
      <c r="R534" s="11"/>
    </row>
    <row r="535" spans="1:36" x14ac:dyDescent="0.2">
      <c r="A535">
        <f>Data!A530</f>
        <v>0</v>
      </c>
      <c r="B535">
        <f>Data!B530</f>
        <v>0</v>
      </c>
      <c r="C535">
        <f>Data!E530</f>
        <v>2011</v>
      </c>
      <c r="G535" s="15"/>
      <c r="R535" s="11"/>
    </row>
    <row r="536" spans="1:36" x14ac:dyDescent="0.2">
      <c r="A536">
        <f>Data!A531</f>
        <v>0</v>
      </c>
      <c r="B536">
        <f>Data!B531</f>
        <v>0</v>
      </c>
      <c r="C536">
        <f>Data!E531</f>
        <v>2011</v>
      </c>
      <c r="G536" s="15"/>
      <c r="R536" s="11"/>
    </row>
    <row r="537" spans="1:36" x14ac:dyDescent="0.2">
      <c r="A537">
        <f>Data!A532</f>
        <v>0</v>
      </c>
      <c r="B537">
        <f>Data!B532</f>
        <v>0</v>
      </c>
      <c r="C537">
        <f>Data!E532</f>
        <v>2011</v>
      </c>
      <c r="G537" s="15"/>
      <c r="R537" s="11"/>
    </row>
    <row r="538" spans="1:36" x14ac:dyDescent="0.2">
      <c r="A538">
        <f>Data!A533</f>
        <v>0</v>
      </c>
      <c r="B538">
        <f>Data!B533</f>
        <v>0</v>
      </c>
      <c r="C538">
        <f>Data!E533</f>
        <v>2011</v>
      </c>
      <c r="G538" s="15"/>
      <c r="R538" s="11"/>
    </row>
    <row r="539" spans="1:36" x14ac:dyDescent="0.2">
      <c r="A539">
        <f>Data!A534</f>
        <v>0</v>
      </c>
      <c r="B539">
        <f>Data!B534</f>
        <v>0</v>
      </c>
      <c r="C539">
        <f>Data!E534</f>
        <v>2011</v>
      </c>
      <c r="G539" s="15"/>
      <c r="R539" s="11"/>
    </row>
    <row r="540" spans="1:36" x14ac:dyDescent="0.2">
      <c r="A540">
        <f>Data!A535</f>
        <v>0</v>
      </c>
      <c r="B540">
        <f>Data!B535</f>
        <v>0</v>
      </c>
      <c r="C540">
        <f>Data!E535</f>
        <v>2011</v>
      </c>
      <c r="G540" s="15"/>
      <c r="R540" s="11"/>
    </row>
    <row r="541" spans="1:36" x14ac:dyDescent="0.2">
      <c r="A541">
        <f>Data!A536</f>
        <v>0</v>
      </c>
      <c r="B541">
        <f>Data!B536</f>
        <v>0</v>
      </c>
      <c r="C541">
        <f>Data!E536</f>
        <v>2011</v>
      </c>
      <c r="G541" s="15"/>
      <c r="R541" s="11"/>
    </row>
    <row r="542" spans="1:36" x14ac:dyDescent="0.2">
      <c r="A542">
        <f>Data!A537</f>
        <v>0</v>
      </c>
      <c r="B542">
        <f>Data!B537</f>
        <v>0</v>
      </c>
      <c r="C542">
        <f>Data!E537</f>
        <v>2011</v>
      </c>
      <c r="G542" s="15"/>
      <c r="R542" s="11"/>
    </row>
    <row r="543" spans="1:36" x14ac:dyDescent="0.2">
      <c r="A543">
        <f>Data!A538</f>
        <v>0</v>
      </c>
      <c r="B543">
        <f>Data!B538</f>
        <v>0</v>
      </c>
      <c r="C543">
        <f>Data!E538</f>
        <v>2011</v>
      </c>
      <c r="G543" s="15"/>
      <c r="R543" s="11"/>
    </row>
    <row r="544" spans="1:36" x14ac:dyDescent="0.2">
      <c r="A544">
        <f>Data!A539</f>
        <v>0</v>
      </c>
      <c r="B544">
        <f>Data!B539</f>
        <v>0</v>
      </c>
      <c r="C544">
        <f>Data!E539</f>
        <v>2011</v>
      </c>
      <c r="G544" s="15"/>
      <c r="R544" s="11"/>
    </row>
    <row r="545" spans="1:58" x14ac:dyDescent="0.2">
      <c r="A545" t="str">
        <f>Data!A540</f>
        <v>Anthoff and Tol</v>
      </c>
      <c r="B545" t="str">
        <f>Data!B540</f>
        <v>RM9663</v>
      </c>
      <c r="C545">
        <f>Data!E540</f>
        <v>2011</v>
      </c>
      <c r="G545" s="15"/>
      <c r="R545" s="11"/>
    </row>
    <row r="546" spans="1:58" x14ac:dyDescent="0.2">
      <c r="A546">
        <f>Data!A541</f>
        <v>0</v>
      </c>
      <c r="B546">
        <f>Data!B541</f>
        <v>0</v>
      </c>
      <c r="C546">
        <f>Data!E541</f>
        <v>2011</v>
      </c>
      <c r="G546" s="15"/>
      <c r="R546" s="11"/>
    </row>
    <row r="547" spans="1:58" x14ac:dyDescent="0.2">
      <c r="A547">
        <f>Data!A542</f>
        <v>0</v>
      </c>
      <c r="B547">
        <f>Data!B542</f>
        <v>0</v>
      </c>
      <c r="C547">
        <f>Data!E542</f>
        <v>2011</v>
      </c>
      <c r="G547" s="15"/>
      <c r="R547" s="11"/>
    </row>
    <row r="548" spans="1:58" x14ac:dyDescent="0.2">
      <c r="A548">
        <f>Data!A543</f>
        <v>0</v>
      </c>
      <c r="B548">
        <f>Data!B543</f>
        <v>0</v>
      </c>
      <c r="C548">
        <f>Data!E543</f>
        <v>2011</v>
      </c>
      <c r="G548" s="15"/>
      <c r="R548" s="11"/>
    </row>
    <row r="549" spans="1:58" x14ac:dyDescent="0.2">
      <c r="A549">
        <f>Data!A544</f>
        <v>0</v>
      </c>
      <c r="B549">
        <f>Data!B544</f>
        <v>0</v>
      </c>
      <c r="C549">
        <f>Data!E544</f>
        <v>2011</v>
      </c>
      <c r="G549" s="15"/>
      <c r="R549" s="11"/>
    </row>
    <row r="550" spans="1:58" x14ac:dyDescent="0.2">
      <c r="A550">
        <f>Data!A545</f>
        <v>0</v>
      </c>
      <c r="B550">
        <f>Data!B545</f>
        <v>0</v>
      </c>
      <c r="C550">
        <f>Data!E545</f>
        <v>2011</v>
      </c>
      <c r="G550" s="15"/>
      <c r="R550" s="11"/>
    </row>
    <row r="551" spans="1:58" x14ac:dyDescent="0.2">
      <c r="A551">
        <f>Data!A546</f>
        <v>0</v>
      </c>
      <c r="B551">
        <f>Data!B546</f>
        <v>0</v>
      </c>
      <c r="C551">
        <f>Data!E546</f>
        <v>2011</v>
      </c>
      <c r="G551" s="15"/>
      <c r="R551" s="11"/>
    </row>
    <row r="552" spans="1:58" x14ac:dyDescent="0.2">
      <c r="A552">
        <f>Data!A547</f>
        <v>0</v>
      </c>
      <c r="B552">
        <f>Data!B547</f>
        <v>0</v>
      </c>
      <c r="C552">
        <f>Data!E547</f>
        <v>2011</v>
      </c>
      <c r="G552" s="15"/>
      <c r="R552" s="11"/>
    </row>
    <row r="553" spans="1:58" x14ac:dyDescent="0.2">
      <c r="A553">
        <f>Data!A548</f>
        <v>0</v>
      </c>
      <c r="B553">
        <f>Data!B548</f>
        <v>0</v>
      </c>
      <c r="C553">
        <f>Data!E548</f>
        <v>2011</v>
      </c>
      <c r="G553" s="15"/>
      <c r="R553" s="11"/>
    </row>
    <row r="554" spans="1:58" x14ac:dyDescent="0.2">
      <c r="A554" t="str">
        <f>Data!A549</f>
        <v>Tol</v>
      </c>
      <c r="B554" t="str">
        <f>Data!B549</f>
        <v>RM9680</v>
      </c>
      <c r="C554">
        <f>Data!E549</f>
        <v>2012</v>
      </c>
      <c r="D554">
        <v>1</v>
      </c>
      <c r="E554">
        <f>E$1*(1-Data!BF549)+E$2*Data!BF549</f>
        <v>1</v>
      </c>
      <c r="F554">
        <f>D554*E554</f>
        <v>1</v>
      </c>
      <c r="G554" s="15">
        <f t="shared" ref="G554" si="54">(J554/H554)^(1/(K554-I554))-1</f>
        <v>1.3267968472160829E-2</v>
      </c>
      <c r="H554">
        <f>MIN(L554:BF554)</f>
        <v>29</v>
      </c>
      <c r="I554">
        <f>LOOKUP(H554,L554:BF554,L$8:BF$8)</f>
        <v>2015</v>
      </c>
      <c r="J554">
        <f>MAX(L554:BF554)</f>
        <v>379</v>
      </c>
      <c r="K554">
        <f>LOOKUP(J554,L554:BF554,L$8:BF$8)</f>
        <v>2210</v>
      </c>
      <c r="R554" s="11"/>
      <c r="S554">
        <v>29</v>
      </c>
      <c r="AC554">
        <v>116</v>
      </c>
      <c r="AM554">
        <v>208</v>
      </c>
      <c r="BF554">
        <v>379</v>
      </c>
    </row>
    <row r="555" spans="1:58" x14ac:dyDescent="0.2">
      <c r="A555" t="str">
        <f>Data!A550</f>
        <v>Perrissin Fabert</v>
      </c>
      <c r="B555" t="str">
        <f>Data!B550</f>
        <v>RM9681</v>
      </c>
      <c r="C555">
        <v>2012</v>
      </c>
      <c r="D555">
        <v>1</v>
      </c>
      <c r="E555">
        <f>E$1*(1-Data!BF550)+E$2*Data!BF550</f>
        <v>1</v>
      </c>
      <c r="F555">
        <f>D555*E555</f>
        <v>1</v>
      </c>
      <c r="G555" s="15">
        <f t="shared" ref="G555" si="55">(J555/H555)^(1/(K555-I555))-1</f>
        <v>1.989044461290046E-2</v>
      </c>
      <c r="H555">
        <f>MIN(L555:BF555)</f>
        <v>106.33333333333333</v>
      </c>
      <c r="I555">
        <f>LOOKUP(H555,L555:BF555,L$8:BF$8)</f>
        <v>2020</v>
      </c>
      <c r="J555">
        <f>MAX(L555:BF555)</f>
        <v>157.66666666666666</v>
      </c>
      <c r="K555">
        <f>LOOKUP(J555,L555:BF555,L$8:BF$8)</f>
        <v>2040</v>
      </c>
      <c r="R555" s="11"/>
      <c r="T555">
        <f>29*44/12</f>
        <v>106.33333333333333</v>
      </c>
      <c r="X555">
        <f>43*44/12</f>
        <v>157.66666666666666</v>
      </c>
    </row>
    <row r="556" spans="1:58" x14ac:dyDescent="0.2">
      <c r="A556" t="str">
        <f>Data!A551</f>
        <v>Marten &amp; Newbold</v>
      </c>
      <c r="B556" t="str">
        <f>Data!B551</f>
        <v>RM9683</v>
      </c>
      <c r="C556">
        <v>2012</v>
      </c>
      <c r="G556" s="15"/>
      <c r="R556" s="11"/>
    </row>
    <row r="557" spans="1:58" x14ac:dyDescent="0.2">
      <c r="A557">
        <f>Data!A552</f>
        <v>0</v>
      </c>
      <c r="B557">
        <f>Data!B552</f>
        <v>0</v>
      </c>
      <c r="C557">
        <v>2012</v>
      </c>
      <c r="G557" s="15"/>
      <c r="R557" s="11"/>
    </row>
    <row r="558" spans="1:58" x14ac:dyDescent="0.2">
      <c r="A558">
        <f>Data!A553</f>
        <v>0</v>
      </c>
      <c r="B558">
        <f>Data!B553</f>
        <v>0</v>
      </c>
      <c r="C558">
        <v>2012</v>
      </c>
      <c r="G558" s="15"/>
      <c r="R558" s="11"/>
    </row>
    <row r="559" spans="1:58" x14ac:dyDescent="0.2">
      <c r="A559">
        <f>Data!A554</f>
        <v>0</v>
      </c>
      <c r="B559">
        <f>Data!B554</f>
        <v>0</v>
      </c>
      <c r="C559">
        <v>2012</v>
      </c>
      <c r="G559" s="15"/>
      <c r="R559" s="11"/>
    </row>
    <row r="560" spans="1:58" x14ac:dyDescent="0.2">
      <c r="A560">
        <f>Data!A555</f>
        <v>0</v>
      </c>
      <c r="B560">
        <f>Data!B555</f>
        <v>0</v>
      </c>
      <c r="C560">
        <v>2012</v>
      </c>
      <c r="G560" s="15"/>
      <c r="R560" s="11"/>
    </row>
    <row r="561" spans="1:18" x14ac:dyDescent="0.2">
      <c r="A561">
        <f>Data!A556</f>
        <v>0</v>
      </c>
      <c r="B561">
        <f>Data!B556</f>
        <v>0</v>
      </c>
      <c r="C561">
        <v>2012</v>
      </c>
      <c r="G561" s="15"/>
      <c r="R561" s="11"/>
    </row>
    <row r="562" spans="1:18" x14ac:dyDescent="0.2">
      <c r="A562">
        <f>Data!A557</f>
        <v>0</v>
      </c>
      <c r="B562">
        <f>Data!B557</f>
        <v>0</v>
      </c>
      <c r="C562">
        <v>2012</v>
      </c>
      <c r="G562" s="15"/>
      <c r="R562" s="11"/>
    </row>
    <row r="563" spans="1:18" x14ac:dyDescent="0.2">
      <c r="A563">
        <f>Data!A558</f>
        <v>0</v>
      </c>
      <c r="B563">
        <f>Data!B558</f>
        <v>0</v>
      </c>
      <c r="C563">
        <v>2012</v>
      </c>
      <c r="G563" s="15"/>
      <c r="R563" s="11"/>
    </row>
    <row r="564" spans="1:18" x14ac:dyDescent="0.2">
      <c r="A564">
        <f>Data!A559</f>
        <v>0</v>
      </c>
      <c r="B564">
        <f>Data!B559</f>
        <v>0</v>
      </c>
      <c r="C564">
        <v>2012</v>
      </c>
      <c r="G564" s="15"/>
      <c r="R564" s="11"/>
    </row>
    <row r="565" spans="1:18" x14ac:dyDescent="0.2">
      <c r="A565">
        <f>Data!A560</f>
        <v>0</v>
      </c>
      <c r="B565">
        <f>Data!B560</f>
        <v>0</v>
      </c>
      <c r="C565">
        <v>2012</v>
      </c>
      <c r="G565" s="15"/>
      <c r="R565" s="11"/>
    </row>
    <row r="566" spans="1:18" x14ac:dyDescent="0.2">
      <c r="A566">
        <f>Data!A561</f>
        <v>0</v>
      </c>
      <c r="B566">
        <f>Data!B561</f>
        <v>0</v>
      </c>
      <c r="C566">
        <v>2012</v>
      </c>
      <c r="G566" s="15"/>
      <c r="R566" s="11"/>
    </row>
    <row r="567" spans="1:18" x14ac:dyDescent="0.2">
      <c r="A567">
        <f>Data!A562</f>
        <v>0</v>
      </c>
      <c r="B567">
        <f>Data!B562</f>
        <v>0</v>
      </c>
      <c r="C567">
        <v>2012</v>
      </c>
      <c r="G567" s="15"/>
      <c r="R567" s="11"/>
    </row>
    <row r="568" spans="1:18" x14ac:dyDescent="0.2">
      <c r="A568">
        <f>Data!A563</f>
        <v>0</v>
      </c>
      <c r="B568">
        <f>Data!B563</f>
        <v>0</v>
      </c>
      <c r="C568">
        <v>2012</v>
      </c>
      <c r="G568" s="15"/>
      <c r="R568" s="11"/>
    </row>
    <row r="569" spans="1:18" x14ac:dyDescent="0.2">
      <c r="A569">
        <f>Data!A564</f>
        <v>0</v>
      </c>
      <c r="B569">
        <f>Data!B564</f>
        <v>0</v>
      </c>
      <c r="C569">
        <v>2012</v>
      </c>
      <c r="G569" s="15"/>
      <c r="R569" s="11"/>
    </row>
    <row r="570" spans="1:18" x14ac:dyDescent="0.2">
      <c r="A570">
        <f>Data!A565</f>
        <v>0</v>
      </c>
      <c r="B570">
        <f>Data!B565</f>
        <v>0</v>
      </c>
      <c r="C570">
        <v>2012</v>
      </c>
      <c r="G570" s="15"/>
      <c r="R570" s="11"/>
    </row>
    <row r="571" spans="1:18" x14ac:dyDescent="0.2">
      <c r="A571">
        <f>Data!A566</f>
        <v>0</v>
      </c>
      <c r="B571">
        <f>Data!B566</f>
        <v>0</v>
      </c>
      <c r="C571">
        <v>2012</v>
      </c>
      <c r="G571" s="15"/>
      <c r="R571" s="11"/>
    </row>
    <row r="572" spans="1:18" x14ac:dyDescent="0.2">
      <c r="A572">
        <f>Data!A567</f>
        <v>0</v>
      </c>
      <c r="B572">
        <f>Data!B567</f>
        <v>0</v>
      </c>
      <c r="C572">
        <v>2012</v>
      </c>
      <c r="G572" s="15"/>
      <c r="R572" s="11"/>
    </row>
    <row r="573" spans="1:18" x14ac:dyDescent="0.2">
      <c r="A573">
        <f>Data!A568</f>
        <v>0</v>
      </c>
      <c r="B573">
        <f>Data!B568</f>
        <v>0</v>
      </c>
      <c r="C573">
        <v>2012</v>
      </c>
      <c r="G573" s="15"/>
      <c r="R573" s="11"/>
    </row>
    <row r="574" spans="1:18" x14ac:dyDescent="0.2">
      <c r="A574">
        <f>Data!A569</f>
        <v>0</v>
      </c>
      <c r="B574">
        <f>Data!B569</f>
        <v>0</v>
      </c>
      <c r="C574">
        <v>2012</v>
      </c>
      <c r="G574" s="15"/>
      <c r="R574" s="11"/>
    </row>
    <row r="575" spans="1:18" x14ac:dyDescent="0.2">
      <c r="A575">
        <f>Data!A570</f>
        <v>0</v>
      </c>
      <c r="B575">
        <f>Data!B570</f>
        <v>0</v>
      </c>
      <c r="C575">
        <v>2012</v>
      </c>
      <c r="G575" s="15"/>
      <c r="R575" s="11"/>
    </row>
    <row r="576" spans="1:18" x14ac:dyDescent="0.2">
      <c r="A576">
        <f>Data!A571</f>
        <v>0</v>
      </c>
      <c r="B576">
        <f>Data!B571</f>
        <v>0</v>
      </c>
      <c r="C576">
        <v>2012</v>
      </c>
      <c r="G576" s="15"/>
      <c r="R576" s="11"/>
    </row>
    <row r="577" spans="1:18" x14ac:dyDescent="0.2">
      <c r="A577">
        <f>Data!A572</f>
        <v>0</v>
      </c>
      <c r="B577">
        <f>Data!B572</f>
        <v>0</v>
      </c>
      <c r="C577">
        <v>2012</v>
      </c>
      <c r="G577" s="15"/>
      <c r="R577" s="11"/>
    </row>
    <row r="578" spans="1:18" x14ac:dyDescent="0.2">
      <c r="A578">
        <f>Data!A573</f>
        <v>0</v>
      </c>
      <c r="B578">
        <f>Data!B573</f>
        <v>0</v>
      </c>
      <c r="C578">
        <v>2012</v>
      </c>
      <c r="G578" s="15"/>
      <c r="R578" s="11"/>
    </row>
    <row r="579" spans="1:18" x14ac:dyDescent="0.2">
      <c r="A579">
        <f>Data!A574</f>
        <v>0</v>
      </c>
      <c r="B579">
        <f>Data!B574</f>
        <v>0</v>
      </c>
      <c r="C579">
        <v>2012</v>
      </c>
      <c r="G579" s="15"/>
      <c r="R579" s="11"/>
    </row>
    <row r="580" spans="1:18" x14ac:dyDescent="0.2">
      <c r="A580">
        <f>Data!A575</f>
        <v>0</v>
      </c>
      <c r="B580">
        <f>Data!B575</f>
        <v>0</v>
      </c>
      <c r="C580">
        <v>2012</v>
      </c>
      <c r="G580" s="15"/>
      <c r="R580" s="11"/>
    </row>
    <row r="581" spans="1:18" x14ac:dyDescent="0.2">
      <c r="A581">
        <f>Data!A576</f>
        <v>0</v>
      </c>
      <c r="B581">
        <f>Data!B576</f>
        <v>0</v>
      </c>
      <c r="C581">
        <v>2012</v>
      </c>
      <c r="G581" s="15"/>
      <c r="R581" s="11"/>
    </row>
    <row r="582" spans="1:18" x14ac:dyDescent="0.2">
      <c r="A582">
        <f>Data!A577</f>
        <v>0</v>
      </c>
      <c r="B582">
        <f>Data!B577</f>
        <v>0</v>
      </c>
      <c r="C582">
        <v>2012</v>
      </c>
      <c r="G582" s="15"/>
      <c r="R582" s="11"/>
    </row>
    <row r="583" spans="1:18" x14ac:dyDescent="0.2">
      <c r="A583">
        <f>Data!A578</f>
        <v>0</v>
      </c>
      <c r="B583">
        <f>Data!B578</f>
        <v>0</v>
      </c>
      <c r="C583">
        <v>2012</v>
      </c>
      <c r="G583" s="15"/>
      <c r="R583" s="11"/>
    </row>
    <row r="584" spans="1:18" x14ac:dyDescent="0.2">
      <c r="A584">
        <f>Data!A579</f>
        <v>0</v>
      </c>
      <c r="B584">
        <f>Data!B579</f>
        <v>0</v>
      </c>
      <c r="C584">
        <v>2012</v>
      </c>
      <c r="G584" s="15"/>
      <c r="R584" s="11"/>
    </row>
    <row r="585" spans="1:18" x14ac:dyDescent="0.2">
      <c r="A585">
        <f>Data!A580</f>
        <v>0</v>
      </c>
      <c r="B585">
        <f>Data!B580</f>
        <v>0</v>
      </c>
      <c r="C585">
        <v>2012</v>
      </c>
      <c r="G585" s="15"/>
      <c r="R585" s="11"/>
    </row>
    <row r="586" spans="1:18" x14ac:dyDescent="0.2">
      <c r="A586">
        <f>Data!A581</f>
        <v>0</v>
      </c>
      <c r="B586">
        <f>Data!B581</f>
        <v>0</v>
      </c>
      <c r="C586">
        <v>2012</v>
      </c>
      <c r="G586" s="15"/>
      <c r="R586" s="11"/>
    </row>
    <row r="587" spans="1:18" x14ac:dyDescent="0.2">
      <c r="A587">
        <f>Data!A582</f>
        <v>0</v>
      </c>
      <c r="B587">
        <f>Data!B582</f>
        <v>0</v>
      </c>
      <c r="C587">
        <v>2012</v>
      </c>
      <c r="G587" s="15"/>
      <c r="R587" s="11"/>
    </row>
    <row r="588" spans="1:18" x14ac:dyDescent="0.2">
      <c r="A588">
        <f>Data!A583</f>
        <v>0</v>
      </c>
      <c r="B588">
        <f>Data!B583</f>
        <v>0</v>
      </c>
      <c r="C588">
        <v>2012</v>
      </c>
      <c r="G588" s="15"/>
      <c r="R588" s="11"/>
    </row>
    <row r="589" spans="1:18" x14ac:dyDescent="0.2">
      <c r="A589">
        <f>Data!A584</f>
        <v>0</v>
      </c>
      <c r="B589">
        <f>Data!B584</f>
        <v>0</v>
      </c>
      <c r="C589">
        <v>2012</v>
      </c>
      <c r="G589" s="15"/>
      <c r="R589" s="11"/>
    </row>
    <row r="590" spans="1:18" x14ac:dyDescent="0.2">
      <c r="A590">
        <f>Data!A585</f>
        <v>0</v>
      </c>
      <c r="B590">
        <f>Data!B585</f>
        <v>0</v>
      </c>
      <c r="C590">
        <v>2012</v>
      </c>
      <c r="G590" s="15"/>
      <c r="R590" s="11"/>
    </row>
    <row r="591" spans="1:18" x14ac:dyDescent="0.2">
      <c r="A591">
        <f>Data!A586</f>
        <v>0</v>
      </c>
      <c r="B591">
        <f>Data!B586</f>
        <v>0</v>
      </c>
      <c r="C591">
        <v>2012</v>
      </c>
      <c r="G591" s="15"/>
      <c r="R591" s="11"/>
    </row>
    <row r="592" spans="1:18" x14ac:dyDescent="0.2">
      <c r="A592">
        <f>Data!A587</f>
        <v>0</v>
      </c>
      <c r="B592">
        <f>Data!B587</f>
        <v>0</v>
      </c>
      <c r="C592">
        <v>2012</v>
      </c>
      <c r="G592" s="15"/>
      <c r="R592" s="11"/>
    </row>
    <row r="593" spans="1:18" x14ac:dyDescent="0.2">
      <c r="A593">
        <f>Data!A588</f>
        <v>0</v>
      </c>
      <c r="B593">
        <f>Data!B588</f>
        <v>0</v>
      </c>
      <c r="C593">
        <v>2012</v>
      </c>
      <c r="G593" s="15"/>
      <c r="R593" s="11"/>
    </row>
    <row r="594" spans="1:18" x14ac:dyDescent="0.2">
      <c r="A594">
        <f>Data!A589</f>
        <v>0</v>
      </c>
      <c r="B594">
        <f>Data!B589</f>
        <v>0</v>
      </c>
      <c r="C594">
        <v>2012</v>
      </c>
      <c r="G594" s="15"/>
      <c r="R594" s="11"/>
    </row>
    <row r="595" spans="1:18" x14ac:dyDescent="0.2">
      <c r="A595">
        <f>Data!A590</f>
        <v>0</v>
      </c>
      <c r="B595">
        <f>Data!B590</f>
        <v>0</v>
      </c>
      <c r="C595">
        <v>2012</v>
      </c>
      <c r="G595" s="15"/>
      <c r="R595" s="11"/>
    </row>
    <row r="596" spans="1:18" x14ac:dyDescent="0.2">
      <c r="A596">
        <f>Data!A591</f>
        <v>0</v>
      </c>
      <c r="B596">
        <f>Data!B591</f>
        <v>0</v>
      </c>
      <c r="C596">
        <v>2012</v>
      </c>
      <c r="G596" s="15"/>
      <c r="R596" s="11"/>
    </row>
    <row r="597" spans="1:18" x14ac:dyDescent="0.2">
      <c r="A597">
        <f>Data!A592</f>
        <v>0</v>
      </c>
      <c r="B597">
        <f>Data!B592</f>
        <v>0</v>
      </c>
      <c r="C597">
        <v>2012</v>
      </c>
      <c r="G597" s="15"/>
      <c r="R597" s="11"/>
    </row>
    <row r="598" spans="1:18" x14ac:dyDescent="0.2">
      <c r="A598">
        <f>Data!A593</f>
        <v>0</v>
      </c>
      <c r="B598">
        <f>Data!B593</f>
        <v>0</v>
      </c>
      <c r="C598">
        <v>2012</v>
      </c>
      <c r="G598" s="15"/>
      <c r="R598" s="11"/>
    </row>
    <row r="599" spans="1:18" x14ac:dyDescent="0.2">
      <c r="A599">
        <f>Data!A594</f>
        <v>0</v>
      </c>
      <c r="B599">
        <f>Data!B594</f>
        <v>0</v>
      </c>
      <c r="C599">
        <v>2012</v>
      </c>
      <c r="G599" s="15"/>
      <c r="R599" s="11"/>
    </row>
    <row r="600" spans="1:18" x14ac:dyDescent="0.2">
      <c r="A600">
        <f>Data!A595</f>
        <v>0</v>
      </c>
      <c r="B600">
        <f>Data!B595</f>
        <v>0</v>
      </c>
      <c r="C600">
        <v>2012</v>
      </c>
      <c r="G600" s="15"/>
      <c r="R600" s="11"/>
    </row>
    <row r="601" spans="1:18" x14ac:dyDescent="0.2">
      <c r="A601" t="str">
        <f>Data!A596</f>
        <v>Johnson &amp; Hope</v>
      </c>
      <c r="B601" t="str">
        <f>Data!B596</f>
        <v>RM9733</v>
      </c>
      <c r="C601">
        <v>2012</v>
      </c>
      <c r="G601" s="15"/>
      <c r="R601" s="11"/>
    </row>
    <row r="602" spans="1:18" x14ac:dyDescent="0.2">
      <c r="A602">
        <f>Data!A597</f>
        <v>0</v>
      </c>
      <c r="B602">
        <f>Data!B597</f>
        <v>0</v>
      </c>
      <c r="C602">
        <v>2012</v>
      </c>
      <c r="G602" s="15"/>
      <c r="R602" s="11"/>
    </row>
    <row r="603" spans="1:18" x14ac:dyDescent="0.2">
      <c r="A603">
        <f>Data!A598</f>
        <v>0</v>
      </c>
      <c r="B603">
        <f>Data!B598</f>
        <v>0</v>
      </c>
      <c r="C603">
        <v>2012</v>
      </c>
      <c r="G603" s="15"/>
      <c r="R603" s="11"/>
    </row>
    <row r="604" spans="1:18" x14ac:dyDescent="0.2">
      <c r="A604">
        <f>Data!A599</f>
        <v>0</v>
      </c>
      <c r="B604">
        <f>Data!B599</f>
        <v>0</v>
      </c>
      <c r="C604">
        <v>2012</v>
      </c>
      <c r="G604" s="15"/>
      <c r="R604" s="11"/>
    </row>
    <row r="605" spans="1:18" x14ac:dyDescent="0.2">
      <c r="A605">
        <f>Data!A600</f>
        <v>0</v>
      </c>
      <c r="B605">
        <f>Data!B600</f>
        <v>0</v>
      </c>
      <c r="C605">
        <v>2012</v>
      </c>
      <c r="G605" s="15"/>
      <c r="R605" s="11"/>
    </row>
    <row r="606" spans="1:18" x14ac:dyDescent="0.2">
      <c r="A606">
        <f>Data!A601</f>
        <v>0</v>
      </c>
      <c r="B606">
        <f>Data!B601</f>
        <v>0</v>
      </c>
      <c r="C606">
        <v>2012</v>
      </c>
      <c r="G606" s="15"/>
      <c r="R606" s="11"/>
    </row>
    <row r="607" spans="1:18" x14ac:dyDescent="0.2">
      <c r="A607">
        <f>Data!A602</f>
        <v>0</v>
      </c>
      <c r="B607">
        <f>Data!B602</f>
        <v>0</v>
      </c>
      <c r="C607">
        <v>2012</v>
      </c>
      <c r="G607" s="15"/>
      <c r="R607" s="11"/>
    </row>
    <row r="608" spans="1:18" x14ac:dyDescent="0.2">
      <c r="A608">
        <f>Data!A603</f>
        <v>0</v>
      </c>
      <c r="B608">
        <f>Data!B603</f>
        <v>0</v>
      </c>
      <c r="C608">
        <v>2012</v>
      </c>
      <c r="G608" s="15"/>
      <c r="R608" s="11"/>
    </row>
    <row r="609" spans="1:57" x14ac:dyDescent="0.2">
      <c r="A609">
        <f>Data!A604</f>
        <v>0</v>
      </c>
      <c r="B609">
        <f>Data!B604</f>
        <v>0</v>
      </c>
      <c r="C609">
        <v>2012</v>
      </c>
      <c r="G609" s="15"/>
      <c r="R609" s="11"/>
    </row>
    <row r="610" spans="1:57" x14ac:dyDescent="0.2">
      <c r="A610">
        <f>Data!A605</f>
        <v>0</v>
      </c>
      <c r="B610">
        <f>Data!B605</f>
        <v>0</v>
      </c>
      <c r="C610">
        <v>2012</v>
      </c>
      <c r="G610" s="15"/>
      <c r="R610" s="11"/>
    </row>
    <row r="611" spans="1:57" x14ac:dyDescent="0.2">
      <c r="A611">
        <f>Data!A606</f>
        <v>0</v>
      </c>
      <c r="B611">
        <f>Data!B606</f>
        <v>0</v>
      </c>
      <c r="C611">
        <v>2012</v>
      </c>
      <c r="G611" s="15"/>
      <c r="R611" s="11"/>
    </row>
    <row r="612" spans="1:57" x14ac:dyDescent="0.2">
      <c r="A612">
        <f>Data!A607</f>
        <v>0</v>
      </c>
      <c r="B612">
        <f>Data!B607</f>
        <v>0</v>
      </c>
      <c r="C612">
        <v>2012</v>
      </c>
      <c r="G612" s="15"/>
      <c r="R612" s="11"/>
    </row>
    <row r="613" spans="1:57" x14ac:dyDescent="0.2">
      <c r="A613">
        <f>Data!A608</f>
        <v>0</v>
      </c>
      <c r="B613">
        <f>Data!B608</f>
        <v>0</v>
      </c>
      <c r="C613">
        <v>2012</v>
      </c>
      <c r="G613" s="15"/>
      <c r="R613" s="11"/>
    </row>
    <row r="614" spans="1:57" x14ac:dyDescent="0.2">
      <c r="A614">
        <f>Data!A609</f>
        <v>0</v>
      </c>
      <c r="B614">
        <f>Data!B609</f>
        <v>0</v>
      </c>
      <c r="C614">
        <v>2012</v>
      </c>
      <c r="G614" s="15"/>
      <c r="R614" s="11"/>
    </row>
    <row r="615" spans="1:57" x14ac:dyDescent="0.2">
      <c r="A615" t="str">
        <f>Data!A610</f>
        <v>Botzen &amp; vd Bergh</v>
      </c>
      <c r="B615" t="str">
        <f>Data!B610</f>
        <v>RM9734</v>
      </c>
      <c r="C615">
        <v>2012</v>
      </c>
      <c r="D615" s="8">
        <f>Data!N610</f>
        <v>0.1</v>
      </c>
      <c r="E615">
        <f>E$1*(1-Data!BF610)+E$2*Data!BF610</f>
        <v>1</v>
      </c>
      <c r="F615">
        <f>D615*E615</f>
        <v>0.1</v>
      </c>
      <c r="G615" s="15">
        <f t="shared" ref="G615" si="56">(J615/H615)^(1/(K615-I615))-1</f>
        <v>1.5645274880812909E-2</v>
      </c>
      <c r="H615">
        <f t="shared" ref="H615" si="57">MIN(L615:BE615)</f>
        <v>41.9</v>
      </c>
      <c r="I615">
        <f t="shared" ref="I615" si="58">LOOKUP(H615,L615:BE615,L$8:BE$8)</f>
        <v>2015</v>
      </c>
      <c r="J615">
        <f t="shared" ref="J615" si="59">MAX(L615:BE615)</f>
        <v>800.21</v>
      </c>
      <c r="K615">
        <f t="shared" ref="K615" si="60">LOOKUP(J615,L615:BE615,L$8:BE$8)</f>
        <v>2205</v>
      </c>
      <c r="R615" s="11"/>
      <c r="S615">
        <v>41.9</v>
      </c>
      <c r="AA615">
        <v>98.01</v>
      </c>
      <c r="AK615">
        <v>217</v>
      </c>
      <c r="AU615">
        <v>426.24</v>
      </c>
      <c r="BE615">
        <v>800.21</v>
      </c>
    </row>
    <row r="616" spans="1:57" x14ac:dyDescent="0.2">
      <c r="A616">
        <f>Data!A611</f>
        <v>0</v>
      </c>
      <c r="B616">
        <f>Data!B611</f>
        <v>0</v>
      </c>
      <c r="C616">
        <v>2012</v>
      </c>
      <c r="D616" s="8">
        <f>Data!N611</f>
        <v>0.9</v>
      </c>
      <c r="E616">
        <f>E$1*(1-Data!BF611)+E$2*Data!BF611</f>
        <v>1</v>
      </c>
      <c r="F616">
        <f>D616*E616</f>
        <v>0.9</v>
      </c>
      <c r="G616" s="15">
        <f t="shared" ref="G616" si="61">(J616/H616)^(1/(K616-I616))-1</f>
        <v>1.5584387564122171E-2</v>
      </c>
      <c r="H616">
        <f t="shared" ref="H616" si="62">MIN(L616:BE616)</f>
        <v>42.38</v>
      </c>
      <c r="I616">
        <f t="shared" ref="I616" si="63">LOOKUP(H616,L616:BE616,L$8:BE$8)</f>
        <v>2015</v>
      </c>
      <c r="J616">
        <f t="shared" ref="J616" si="64">MAX(L616:BE616)</f>
        <v>800.21</v>
      </c>
      <c r="K616">
        <f t="shared" ref="K616" si="65">LOOKUP(J616,L616:BE616,L$8:BE$8)</f>
        <v>2205</v>
      </c>
      <c r="R616" s="11"/>
      <c r="S616">
        <v>42.38</v>
      </c>
      <c r="AA616">
        <v>121.24</v>
      </c>
      <c r="AK616">
        <v>350.79</v>
      </c>
      <c r="AU616">
        <v>683.6</v>
      </c>
      <c r="BE616">
        <v>800.21</v>
      </c>
    </row>
    <row r="617" spans="1:57" x14ac:dyDescent="0.2">
      <c r="A617" t="str">
        <f>Data!A612</f>
        <v>Kopp et al.</v>
      </c>
      <c r="B617" t="str">
        <f>Data!B612</f>
        <v>RM9735</v>
      </c>
      <c r="C617">
        <v>2012</v>
      </c>
      <c r="G617" s="15"/>
      <c r="R617" s="11"/>
    </row>
    <row r="618" spans="1:57" x14ac:dyDescent="0.2">
      <c r="A618">
        <f>Data!A613</f>
        <v>0</v>
      </c>
      <c r="B618">
        <f>Data!B613</f>
        <v>0</v>
      </c>
      <c r="C618">
        <v>2012</v>
      </c>
      <c r="G618" s="15"/>
      <c r="R618" s="11"/>
    </row>
    <row r="619" spans="1:57" x14ac:dyDescent="0.2">
      <c r="A619">
        <f>Data!A614</f>
        <v>0</v>
      </c>
      <c r="B619">
        <f>Data!B614</f>
        <v>0</v>
      </c>
      <c r="C619">
        <v>2012</v>
      </c>
      <c r="G619" s="15"/>
      <c r="R619" s="11"/>
    </row>
    <row r="620" spans="1:57" x14ac:dyDescent="0.2">
      <c r="A620">
        <f>Data!A615</f>
        <v>0</v>
      </c>
      <c r="B620">
        <f>Data!B615</f>
        <v>0</v>
      </c>
      <c r="C620">
        <v>2012</v>
      </c>
      <c r="G620" s="15"/>
      <c r="R620" s="11"/>
    </row>
    <row r="621" spans="1:57" x14ac:dyDescent="0.2">
      <c r="A621">
        <f>Data!A616</f>
        <v>0</v>
      </c>
      <c r="B621">
        <f>Data!B616</f>
        <v>0</v>
      </c>
      <c r="C621">
        <v>2012</v>
      </c>
      <c r="G621" s="15"/>
      <c r="R621" s="11"/>
    </row>
    <row r="622" spans="1:57" x14ac:dyDescent="0.2">
      <c r="A622">
        <f>Data!A617</f>
        <v>0</v>
      </c>
      <c r="B622">
        <f>Data!B617</f>
        <v>0</v>
      </c>
      <c r="C622">
        <v>2012</v>
      </c>
      <c r="G622" s="15"/>
      <c r="R622" s="11"/>
    </row>
    <row r="623" spans="1:57" x14ac:dyDescent="0.2">
      <c r="A623">
        <f>Data!A618</f>
        <v>0</v>
      </c>
      <c r="B623">
        <f>Data!B618</f>
        <v>0</v>
      </c>
      <c r="C623">
        <v>2012</v>
      </c>
      <c r="G623" s="15"/>
      <c r="R623" s="11"/>
    </row>
    <row r="624" spans="1:57" x14ac:dyDescent="0.2">
      <c r="A624">
        <f>Data!A619</f>
        <v>0</v>
      </c>
      <c r="B624">
        <f>Data!B619</f>
        <v>0</v>
      </c>
      <c r="C624">
        <v>2012</v>
      </c>
      <c r="G624" s="15"/>
      <c r="R624" s="11"/>
    </row>
    <row r="625" spans="1:18" x14ac:dyDescent="0.2">
      <c r="A625">
        <f>Data!A620</f>
        <v>0</v>
      </c>
      <c r="B625">
        <f>Data!B620</f>
        <v>0</v>
      </c>
      <c r="C625">
        <v>2012</v>
      </c>
      <c r="G625" s="15"/>
      <c r="R625" s="11"/>
    </row>
    <row r="626" spans="1:18" x14ac:dyDescent="0.2">
      <c r="A626">
        <f>Data!A621</f>
        <v>0</v>
      </c>
      <c r="B626">
        <f>Data!B621</f>
        <v>0</v>
      </c>
      <c r="C626">
        <v>2012</v>
      </c>
      <c r="G626" s="15"/>
      <c r="R626" s="11"/>
    </row>
    <row r="627" spans="1:18" x14ac:dyDescent="0.2">
      <c r="A627">
        <f>Data!A622</f>
        <v>0</v>
      </c>
      <c r="B627">
        <f>Data!B622</f>
        <v>0</v>
      </c>
      <c r="C627">
        <v>2012</v>
      </c>
      <c r="G627" s="15"/>
      <c r="R627" s="11"/>
    </row>
    <row r="628" spans="1:18" x14ac:dyDescent="0.2">
      <c r="A628">
        <f>Data!A623</f>
        <v>0</v>
      </c>
      <c r="B628">
        <f>Data!B623</f>
        <v>0</v>
      </c>
      <c r="C628">
        <v>2012</v>
      </c>
      <c r="G628" s="15"/>
      <c r="R628" s="11"/>
    </row>
    <row r="629" spans="1:18" x14ac:dyDescent="0.2">
      <c r="A629">
        <f>Data!A624</f>
        <v>0</v>
      </c>
      <c r="B629">
        <f>Data!B624</f>
        <v>0</v>
      </c>
      <c r="C629">
        <v>2012</v>
      </c>
      <c r="G629" s="15"/>
      <c r="R629" s="11"/>
    </row>
    <row r="630" spans="1:18" x14ac:dyDescent="0.2">
      <c r="A630">
        <f>Data!A625</f>
        <v>0</v>
      </c>
      <c r="B630">
        <f>Data!B625</f>
        <v>0</v>
      </c>
      <c r="C630">
        <v>2012</v>
      </c>
      <c r="G630" s="15"/>
      <c r="R630" s="11"/>
    </row>
    <row r="631" spans="1:18" x14ac:dyDescent="0.2">
      <c r="A631">
        <f>Data!A626</f>
        <v>0</v>
      </c>
      <c r="B631">
        <f>Data!B626</f>
        <v>0</v>
      </c>
      <c r="C631">
        <v>2012</v>
      </c>
      <c r="G631" s="15"/>
      <c r="R631" s="11"/>
    </row>
    <row r="632" spans="1:18" x14ac:dyDescent="0.2">
      <c r="A632">
        <f>Data!A627</f>
        <v>0</v>
      </c>
      <c r="B632">
        <f>Data!B627</f>
        <v>0</v>
      </c>
      <c r="C632">
        <v>2012</v>
      </c>
      <c r="G632" s="15"/>
      <c r="R632" s="11"/>
    </row>
    <row r="633" spans="1:18" x14ac:dyDescent="0.2">
      <c r="A633">
        <f>Data!A628</f>
        <v>0</v>
      </c>
      <c r="B633">
        <f>Data!B628</f>
        <v>0</v>
      </c>
      <c r="C633">
        <v>2012</v>
      </c>
      <c r="G633" s="15"/>
      <c r="R633" s="11"/>
    </row>
    <row r="634" spans="1:18" x14ac:dyDescent="0.2">
      <c r="A634">
        <f>Data!A629</f>
        <v>0</v>
      </c>
      <c r="B634">
        <f>Data!B629</f>
        <v>0</v>
      </c>
      <c r="C634">
        <v>2012</v>
      </c>
      <c r="G634" s="15"/>
      <c r="R634" s="11"/>
    </row>
    <row r="635" spans="1:18" x14ac:dyDescent="0.2">
      <c r="A635">
        <f>Data!A630</f>
        <v>0</v>
      </c>
      <c r="B635">
        <f>Data!B630</f>
        <v>0</v>
      </c>
      <c r="C635">
        <v>2012</v>
      </c>
      <c r="G635" s="15"/>
      <c r="R635" s="11"/>
    </row>
    <row r="636" spans="1:18" x14ac:dyDescent="0.2">
      <c r="A636">
        <f>Data!A631</f>
        <v>0</v>
      </c>
      <c r="B636">
        <f>Data!B631</f>
        <v>0</v>
      </c>
      <c r="C636">
        <v>2012</v>
      </c>
      <c r="G636" s="15"/>
      <c r="R636" s="11"/>
    </row>
    <row r="637" spans="1:18" x14ac:dyDescent="0.2">
      <c r="A637">
        <f>Data!A632</f>
        <v>0</v>
      </c>
      <c r="B637">
        <f>Data!B632</f>
        <v>0</v>
      </c>
      <c r="C637">
        <v>2012</v>
      </c>
      <c r="G637" s="15"/>
      <c r="R637" s="11"/>
    </row>
    <row r="638" spans="1:18" x14ac:dyDescent="0.2">
      <c r="A638">
        <f>Data!A633</f>
        <v>0</v>
      </c>
      <c r="B638">
        <f>Data!B633</f>
        <v>0</v>
      </c>
      <c r="C638">
        <v>2012</v>
      </c>
      <c r="G638" s="15"/>
      <c r="R638" s="11"/>
    </row>
    <row r="639" spans="1:18" x14ac:dyDescent="0.2">
      <c r="A639">
        <f>Data!A634</f>
        <v>0</v>
      </c>
      <c r="B639">
        <f>Data!B634</f>
        <v>0</v>
      </c>
      <c r="C639">
        <v>2012</v>
      </c>
      <c r="G639" s="15"/>
      <c r="R639" s="11"/>
    </row>
    <row r="640" spans="1:18" x14ac:dyDescent="0.2">
      <c r="A640">
        <f>Data!A635</f>
        <v>0</v>
      </c>
      <c r="B640">
        <f>Data!B635</f>
        <v>0</v>
      </c>
      <c r="C640">
        <v>2012</v>
      </c>
      <c r="G640" s="15"/>
      <c r="R640" s="11"/>
    </row>
    <row r="641" spans="1:18" x14ac:dyDescent="0.2">
      <c r="A641">
        <f>Data!A636</f>
        <v>0</v>
      </c>
      <c r="B641">
        <f>Data!B636</f>
        <v>0</v>
      </c>
      <c r="C641">
        <v>2012</v>
      </c>
      <c r="G641" s="15"/>
      <c r="R641" s="11"/>
    </row>
    <row r="642" spans="1:18" x14ac:dyDescent="0.2">
      <c r="A642">
        <f>Data!A637</f>
        <v>0</v>
      </c>
      <c r="B642">
        <f>Data!B637</f>
        <v>0</v>
      </c>
      <c r="C642">
        <v>2012</v>
      </c>
      <c r="G642" s="15"/>
      <c r="R642" s="11"/>
    </row>
    <row r="643" spans="1:18" x14ac:dyDescent="0.2">
      <c r="A643">
        <f>Data!A638</f>
        <v>0</v>
      </c>
      <c r="B643">
        <f>Data!B638</f>
        <v>0</v>
      </c>
      <c r="C643">
        <v>2012</v>
      </c>
      <c r="G643" s="15"/>
      <c r="R643" s="11"/>
    </row>
    <row r="644" spans="1:18" x14ac:dyDescent="0.2">
      <c r="A644">
        <f>Data!A639</f>
        <v>0</v>
      </c>
      <c r="B644">
        <f>Data!B639</f>
        <v>0</v>
      </c>
      <c r="C644">
        <v>2012</v>
      </c>
      <c r="G644" s="15"/>
      <c r="R644" s="11"/>
    </row>
    <row r="645" spans="1:18" x14ac:dyDescent="0.2">
      <c r="A645">
        <f>Data!A640</f>
        <v>0</v>
      </c>
      <c r="B645">
        <f>Data!B640</f>
        <v>0</v>
      </c>
      <c r="C645">
        <v>2012</v>
      </c>
      <c r="G645" s="15"/>
      <c r="R645" s="11"/>
    </row>
    <row r="646" spans="1:18" x14ac:dyDescent="0.2">
      <c r="A646">
        <f>Data!A641</f>
        <v>0</v>
      </c>
      <c r="B646">
        <f>Data!B641</f>
        <v>0</v>
      </c>
      <c r="C646">
        <v>2012</v>
      </c>
      <c r="G646" s="15"/>
      <c r="R646" s="11"/>
    </row>
    <row r="647" spans="1:18" x14ac:dyDescent="0.2">
      <c r="A647">
        <f>Data!A642</f>
        <v>0</v>
      </c>
      <c r="B647">
        <f>Data!B642</f>
        <v>0</v>
      </c>
      <c r="C647">
        <v>2012</v>
      </c>
      <c r="G647" s="15"/>
      <c r="R647" s="11"/>
    </row>
    <row r="648" spans="1:18" x14ac:dyDescent="0.2">
      <c r="A648">
        <f>Data!A643</f>
        <v>0</v>
      </c>
      <c r="B648">
        <f>Data!B643</f>
        <v>0</v>
      </c>
      <c r="C648">
        <v>2012</v>
      </c>
      <c r="G648" s="15"/>
      <c r="R648" s="11"/>
    </row>
    <row r="649" spans="1:18" x14ac:dyDescent="0.2">
      <c r="A649">
        <f>Data!A644</f>
        <v>0</v>
      </c>
      <c r="B649">
        <f>Data!B644</f>
        <v>0</v>
      </c>
      <c r="C649">
        <v>2012</v>
      </c>
      <c r="G649" s="15"/>
      <c r="R649" s="11"/>
    </row>
    <row r="650" spans="1:18" x14ac:dyDescent="0.2">
      <c r="A650">
        <f>Data!A645</f>
        <v>0</v>
      </c>
      <c r="B650">
        <f>Data!B645</f>
        <v>0</v>
      </c>
      <c r="C650">
        <v>2012</v>
      </c>
      <c r="G650" s="15"/>
      <c r="R650" s="11"/>
    </row>
    <row r="651" spans="1:18" x14ac:dyDescent="0.2">
      <c r="A651">
        <f>Data!A646</f>
        <v>0</v>
      </c>
      <c r="B651">
        <f>Data!B646</f>
        <v>0</v>
      </c>
      <c r="C651">
        <v>2012</v>
      </c>
      <c r="G651" s="15"/>
      <c r="R651" s="11"/>
    </row>
    <row r="652" spans="1:18" x14ac:dyDescent="0.2">
      <c r="A652">
        <f>Data!A647</f>
        <v>0</v>
      </c>
      <c r="B652">
        <f>Data!B647</f>
        <v>0</v>
      </c>
      <c r="C652">
        <v>2012</v>
      </c>
      <c r="G652" s="15"/>
      <c r="R652" s="11"/>
    </row>
    <row r="653" spans="1:18" x14ac:dyDescent="0.2">
      <c r="A653">
        <f>Data!A648</f>
        <v>0</v>
      </c>
      <c r="B653">
        <f>Data!B648</f>
        <v>0</v>
      </c>
      <c r="C653">
        <v>2012</v>
      </c>
      <c r="G653" s="15"/>
      <c r="R653" s="11"/>
    </row>
    <row r="654" spans="1:18" x14ac:dyDescent="0.2">
      <c r="A654">
        <f>Data!A649</f>
        <v>0</v>
      </c>
      <c r="B654">
        <f>Data!B649</f>
        <v>0</v>
      </c>
      <c r="C654">
        <v>2012</v>
      </c>
      <c r="G654" s="15"/>
      <c r="R654" s="11"/>
    </row>
    <row r="655" spans="1:18" x14ac:dyDescent="0.2">
      <c r="A655">
        <f>Data!A650</f>
        <v>0</v>
      </c>
      <c r="B655">
        <f>Data!B650</f>
        <v>0</v>
      </c>
      <c r="C655">
        <v>2012</v>
      </c>
      <c r="G655" s="15"/>
      <c r="R655" s="11"/>
    </row>
    <row r="656" spans="1:18" x14ac:dyDescent="0.2">
      <c r="A656">
        <f>Data!A651</f>
        <v>0</v>
      </c>
      <c r="B656">
        <f>Data!B651</f>
        <v>0</v>
      </c>
      <c r="C656">
        <v>2012</v>
      </c>
      <c r="G656" s="15"/>
      <c r="R656" s="11"/>
    </row>
    <row r="657" spans="1:18" x14ac:dyDescent="0.2">
      <c r="A657">
        <f>Data!A652</f>
        <v>0</v>
      </c>
      <c r="B657">
        <f>Data!B652</f>
        <v>0</v>
      </c>
      <c r="C657">
        <v>2012</v>
      </c>
      <c r="G657" s="15"/>
      <c r="R657" s="11"/>
    </row>
    <row r="658" spans="1:18" x14ac:dyDescent="0.2">
      <c r="A658">
        <f>Data!A653</f>
        <v>0</v>
      </c>
      <c r="B658">
        <f>Data!B653</f>
        <v>0</v>
      </c>
      <c r="C658">
        <v>2012</v>
      </c>
      <c r="G658" s="15"/>
      <c r="R658" s="11"/>
    </row>
    <row r="659" spans="1:18" x14ac:dyDescent="0.2">
      <c r="A659">
        <f>Data!A654</f>
        <v>0</v>
      </c>
      <c r="B659">
        <f>Data!B654</f>
        <v>0</v>
      </c>
      <c r="C659">
        <v>2012</v>
      </c>
      <c r="G659" s="15"/>
      <c r="R659" s="11"/>
    </row>
    <row r="660" spans="1:18" x14ac:dyDescent="0.2">
      <c r="A660">
        <f>Data!A655</f>
        <v>0</v>
      </c>
      <c r="B660">
        <f>Data!B655</f>
        <v>0</v>
      </c>
      <c r="C660">
        <v>2012</v>
      </c>
      <c r="G660" s="15"/>
      <c r="R660" s="11"/>
    </row>
    <row r="661" spans="1:18" x14ac:dyDescent="0.2">
      <c r="A661">
        <f>Data!A656</f>
        <v>0</v>
      </c>
      <c r="B661">
        <f>Data!B656</f>
        <v>0</v>
      </c>
      <c r="C661">
        <v>2012</v>
      </c>
      <c r="G661" s="15"/>
      <c r="R661" s="11"/>
    </row>
    <row r="662" spans="1:18" x14ac:dyDescent="0.2">
      <c r="A662">
        <f>Data!A657</f>
        <v>0</v>
      </c>
      <c r="B662">
        <f>Data!B657</f>
        <v>0</v>
      </c>
      <c r="C662">
        <v>2012</v>
      </c>
      <c r="G662" s="15"/>
      <c r="R662" s="11"/>
    </row>
    <row r="663" spans="1:18" x14ac:dyDescent="0.2">
      <c r="A663">
        <f>Data!A658</f>
        <v>0</v>
      </c>
      <c r="B663">
        <f>Data!B658</f>
        <v>0</v>
      </c>
      <c r="C663">
        <v>2012</v>
      </c>
      <c r="G663" s="15"/>
      <c r="R663" s="11"/>
    </row>
    <row r="664" spans="1:18" x14ac:dyDescent="0.2">
      <c r="A664">
        <f>Data!A659</f>
        <v>0</v>
      </c>
      <c r="B664">
        <f>Data!B659</f>
        <v>0</v>
      </c>
      <c r="C664">
        <v>2012</v>
      </c>
      <c r="G664" s="15"/>
      <c r="R664" s="11"/>
    </row>
    <row r="665" spans="1:18" x14ac:dyDescent="0.2">
      <c r="A665">
        <f>Data!A660</f>
        <v>0</v>
      </c>
      <c r="B665">
        <f>Data!B660</f>
        <v>0</v>
      </c>
      <c r="C665">
        <v>2012</v>
      </c>
      <c r="G665" s="15"/>
      <c r="R665" s="11"/>
    </row>
    <row r="666" spans="1:18" x14ac:dyDescent="0.2">
      <c r="A666">
        <f>Data!A661</f>
        <v>0</v>
      </c>
      <c r="B666">
        <f>Data!B661</f>
        <v>0</v>
      </c>
      <c r="C666">
        <v>2012</v>
      </c>
      <c r="G666" s="15"/>
      <c r="R666" s="11"/>
    </row>
    <row r="667" spans="1:18" x14ac:dyDescent="0.2">
      <c r="A667">
        <f>Data!A662</f>
        <v>0</v>
      </c>
      <c r="B667">
        <f>Data!B662</f>
        <v>0</v>
      </c>
      <c r="C667">
        <v>2012</v>
      </c>
      <c r="G667" s="15"/>
      <c r="R667" s="11"/>
    </row>
    <row r="668" spans="1:18" x14ac:dyDescent="0.2">
      <c r="A668">
        <f>Data!A663</f>
        <v>0</v>
      </c>
      <c r="B668">
        <f>Data!B663</f>
        <v>0</v>
      </c>
      <c r="C668">
        <v>2012</v>
      </c>
      <c r="G668" s="15"/>
      <c r="R668" s="11"/>
    </row>
    <row r="669" spans="1:18" x14ac:dyDescent="0.2">
      <c r="A669">
        <f>Data!A664</f>
        <v>0</v>
      </c>
      <c r="B669">
        <f>Data!B664</f>
        <v>0</v>
      </c>
      <c r="C669">
        <v>2012</v>
      </c>
      <c r="G669" s="15"/>
      <c r="R669" s="11"/>
    </row>
    <row r="670" spans="1:18" x14ac:dyDescent="0.2">
      <c r="A670">
        <f>Data!A665</f>
        <v>0</v>
      </c>
      <c r="B670">
        <f>Data!B665</f>
        <v>0</v>
      </c>
      <c r="C670">
        <v>2012</v>
      </c>
      <c r="G670" s="15"/>
      <c r="R670" s="11"/>
    </row>
    <row r="671" spans="1:18" x14ac:dyDescent="0.2">
      <c r="A671">
        <f>Data!A666</f>
        <v>0</v>
      </c>
      <c r="B671">
        <f>Data!B666</f>
        <v>0</v>
      </c>
      <c r="C671">
        <v>2012</v>
      </c>
      <c r="G671" s="15"/>
      <c r="R671" s="11"/>
    </row>
    <row r="672" spans="1:18" x14ac:dyDescent="0.2">
      <c r="A672">
        <f>Data!A667</f>
        <v>0</v>
      </c>
      <c r="B672">
        <f>Data!B667</f>
        <v>0</v>
      </c>
      <c r="C672">
        <v>2012</v>
      </c>
      <c r="G672" s="15"/>
      <c r="R672" s="11"/>
    </row>
    <row r="673" spans="1:18" x14ac:dyDescent="0.2">
      <c r="A673">
        <f>Data!A668</f>
        <v>0</v>
      </c>
      <c r="B673">
        <f>Data!B668</f>
        <v>0</v>
      </c>
      <c r="C673">
        <v>2012</v>
      </c>
      <c r="G673" s="15"/>
      <c r="R673" s="11"/>
    </row>
    <row r="674" spans="1:18" x14ac:dyDescent="0.2">
      <c r="A674">
        <f>Data!A669</f>
        <v>0</v>
      </c>
      <c r="B674">
        <f>Data!B669</f>
        <v>0</v>
      </c>
      <c r="C674">
        <v>2012</v>
      </c>
      <c r="G674" s="15"/>
      <c r="R674" s="11"/>
    </row>
    <row r="675" spans="1:18" x14ac:dyDescent="0.2">
      <c r="A675">
        <f>Data!A670</f>
        <v>0</v>
      </c>
      <c r="B675">
        <f>Data!B670</f>
        <v>0</v>
      </c>
      <c r="C675">
        <v>2012</v>
      </c>
      <c r="G675" s="15"/>
      <c r="R675" s="11"/>
    </row>
    <row r="676" spans="1:18" x14ac:dyDescent="0.2">
      <c r="A676">
        <f>Data!A671</f>
        <v>0</v>
      </c>
      <c r="B676">
        <f>Data!B671</f>
        <v>0</v>
      </c>
      <c r="C676">
        <v>2012</v>
      </c>
      <c r="G676" s="15"/>
      <c r="R676" s="11"/>
    </row>
    <row r="677" spans="1:18" x14ac:dyDescent="0.2">
      <c r="A677">
        <f>Data!A672</f>
        <v>0</v>
      </c>
      <c r="B677">
        <f>Data!B672</f>
        <v>0</v>
      </c>
      <c r="C677">
        <v>2012</v>
      </c>
      <c r="G677" s="15"/>
      <c r="R677" s="11"/>
    </row>
    <row r="678" spans="1:18" x14ac:dyDescent="0.2">
      <c r="A678">
        <f>Data!A673</f>
        <v>0</v>
      </c>
      <c r="B678">
        <f>Data!B673</f>
        <v>0</v>
      </c>
      <c r="C678">
        <v>2012</v>
      </c>
      <c r="G678" s="15"/>
      <c r="R678" s="11"/>
    </row>
    <row r="679" spans="1:18" x14ac:dyDescent="0.2">
      <c r="A679">
        <f>Data!A674</f>
        <v>0</v>
      </c>
      <c r="B679">
        <f>Data!B674</f>
        <v>0</v>
      </c>
      <c r="C679">
        <v>2012</v>
      </c>
      <c r="G679" s="15"/>
      <c r="R679" s="11"/>
    </row>
    <row r="680" spans="1:18" x14ac:dyDescent="0.2">
      <c r="A680">
        <f>Data!A675</f>
        <v>0</v>
      </c>
      <c r="B680">
        <f>Data!B675</f>
        <v>0</v>
      </c>
      <c r="C680">
        <v>2012</v>
      </c>
      <c r="G680" s="15"/>
      <c r="R680" s="11"/>
    </row>
    <row r="681" spans="1:18" x14ac:dyDescent="0.2">
      <c r="A681">
        <f>Data!A676</f>
        <v>0</v>
      </c>
      <c r="B681">
        <f>Data!B676</f>
        <v>0</v>
      </c>
      <c r="C681">
        <v>2012</v>
      </c>
      <c r="G681" s="15"/>
      <c r="R681" s="11"/>
    </row>
    <row r="682" spans="1:18" x14ac:dyDescent="0.2">
      <c r="A682">
        <f>Data!A677</f>
        <v>0</v>
      </c>
      <c r="B682">
        <f>Data!B677</f>
        <v>0</v>
      </c>
      <c r="C682">
        <v>2012</v>
      </c>
      <c r="G682" s="15"/>
      <c r="R682" s="11"/>
    </row>
    <row r="683" spans="1:18" x14ac:dyDescent="0.2">
      <c r="A683">
        <f>Data!A678</f>
        <v>0</v>
      </c>
      <c r="B683">
        <f>Data!B678</f>
        <v>0</v>
      </c>
      <c r="C683">
        <v>2012</v>
      </c>
      <c r="G683" s="15"/>
      <c r="R683" s="11"/>
    </row>
    <row r="684" spans="1:18" x14ac:dyDescent="0.2">
      <c r="A684">
        <f>Data!A679</f>
        <v>0</v>
      </c>
      <c r="B684">
        <f>Data!B679</f>
        <v>0</v>
      </c>
      <c r="C684">
        <v>2012</v>
      </c>
      <c r="G684" s="15"/>
      <c r="R684" s="11"/>
    </row>
    <row r="685" spans="1:18" x14ac:dyDescent="0.2">
      <c r="A685">
        <f>Data!A680</f>
        <v>0</v>
      </c>
      <c r="B685">
        <f>Data!B680</f>
        <v>0</v>
      </c>
      <c r="C685">
        <v>2012</v>
      </c>
      <c r="G685" s="15"/>
      <c r="R685" s="11"/>
    </row>
    <row r="686" spans="1:18" x14ac:dyDescent="0.2">
      <c r="A686">
        <f>Data!A681</f>
        <v>0</v>
      </c>
      <c r="B686">
        <f>Data!B681</f>
        <v>0</v>
      </c>
      <c r="C686">
        <v>2012</v>
      </c>
      <c r="G686" s="15"/>
      <c r="R686" s="11"/>
    </row>
    <row r="687" spans="1:18" x14ac:dyDescent="0.2">
      <c r="A687">
        <f>Data!A682</f>
        <v>0</v>
      </c>
      <c r="B687">
        <f>Data!B682</f>
        <v>0</v>
      </c>
      <c r="C687">
        <v>2012</v>
      </c>
      <c r="G687" s="15"/>
      <c r="R687" s="11"/>
    </row>
    <row r="688" spans="1:18" x14ac:dyDescent="0.2">
      <c r="A688">
        <f>Data!A683</f>
        <v>0</v>
      </c>
      <c r="B688">
        <f>Data!B683</f>
        <v>0</v>
      </c>
      <c r="C688">
        <v>2012</v>
      </c>
      <c r="G688" s="15"/>
      <c r="R688" s="11"/>
    </row>
    <row r="689" spans="1:18" x14ac:dyDescent="0.2">
      <c r="A689">
        <f>Data!A684</f>
        <v>0</v>
      </c>
      <c r="B689">
        <f>Data!B684</f>
        <v>0</v>
      </c>
      <c r="C689">
        <v>2012</v>
      </c>
      <c r="G689" s="15"/>
      <c r="R689" s="11"/>
    </row>
    <row r="690" spans="1:18" x14ac:dyDescent="0.2">
      <c r="A690">
        <f>Data!A685</f>
        <v>0</v>
      </c>
      <c r="B690">
        <f>Data!B685</f>
        <v>0</v>
      </c>
      <c r="C690">
        <v>2012</v>
      </c>
      <c r="G690" s="15"/>
      <c r="R690" s="11"/>
    </row>
    <row r="691" spans="1:18" x14ac:dyDescent="0.2">
      <c r="A691">
        <f>Data!A686</f>
        <v>0</v>
      </c>
      <c r="B691">
        <f>Data!B686</f>
        <v>0</v>
      </c>
      <c r="C691">
        <v>2012</v>
      </c>
      <c r="G691" s="15"/>
      <c r="R691" s="11"/>
    </row>
    <row r="692" spans="1:18" x14ac:dyDescent="0.2">
      <c r="A692">
        <f>Data!A687</f>
        <v>0</v>
      </c>
      <c r="B692">
        <f>Data!B687</f>
        <v>0</v>
      </c>
      <c r="C692">
        <v>2012</v>
      </c>
      <c r="G692" s="15"/>
      <c r="R692" s="11"/>
    </row>
    <row r="693" spans="1:18" x14ac:dyDescent="0.2">
      <c r="A693">
        <f>Data!A688</f>
        <v>0</v>
      </c>
      <c r="B693">
        <f>Data!B688</f>
        <v>0</v>
      </c>
      <c r="C693">
        <v>2012</v>
      </c>
      <c r="G693" s="15"/>
      <c r="R693" s="11"/>
    </row>
    <row r="694" spans="1:18" x14ac:dyDescent="0.2">
      <c r="A694">
        <f>Data!A689</f>
        <v>0</v>
      </c>
      <c r="B694">
        <f>Data!B689</f>
        <v>0</v>
      </c>
      <c r="C694">
        <v>2012</v>
      </c>
      <c r="G694" s="15"/>
      <c r="R694" s="11"/>
    </row>
    <row r="695" spans="1:18" x14ac:dyDescent="0.2">
      <c r="A695">
        <f>Data!A690</f>
        <v>0</v>
      </c>
      <c r="B695">
        <f>Data!B690</f>
        <v>0</v>
      </c>
      <c r="C695">
        <v>2012</v>
      </c>
      <c r="G695" s="15"/>
      <c r="R695" s="11"/>
    </row>
    <row r="696" spans="1:18" x14ac:dyDescent="0.2">
      <c r="A696">
        <f>Data!A691</f>
        <v>0</v>
      </c>
      <c r="B696">
        <f>Data!B691</f>
        <v>0</v>
      </c>
      <c r="C696">
        <v>2012</v>
      </c>
      <c r="G696" s="15"/>
      <c r="R696" s="11"/>
    </row>
    <row r="697" spans="1:18" x14ac:dyDescent="0.2">
      <c r="A697">
        <f>Data!A692</f>
        <v>0</v>
      </c>
      <c r="B697">
        <f>Data!B692</f>
        <v>0</v>
      </c>
      <c r="C697">
        <v>2012</v>
      </c>
      <c r="G697" s="15"/>
      <c r="R697" s="11"/>
    </row>
    <row r="698" spans="1:18" x14ac:dyDescent="0.2">
      <c r="A698">
        <f>Data!A693</f>
        <v>0</v>
      </c>
      <c r="B698">
        <f>Data!B693</f>
        <v>0</v>
      </c>
      <c r="C698">
        <v>2012</v>
      </c>
      <c r="G698" s="15"/>
      <c r="R698" s="11"/>
    </row>
    <row r="699" spans="1:18" x14ac:dyDescent="0.2">
      <c r="A699">
        <f>Data!A694</f>
        <v>0</v>
      </c>
      <c r="B699">
        <f>Data!B694</f>
        <v>0</v>
      </c>
      <c r="C699">
        <v>2012</v>
      </c>
      <c r="G699" s="15"/>
      <c r="R699" s="11"/>
    </row>
    <row r="700" spans="1:18" x14ac:dyDescent="0.2">
      <c r="A700">
        <f>Data!A695</f>
        <v>0</v>
      </c>
      <c r="B700">
        <f>Data!B695</f>
        <v>0</v>
      </c>
      <c r="C700">
        <v>2012</v>
      </c>
      <c r="G700" s="15"/>
      <c r="R700" s="11"/>
    </row>
    <row r="701" spans="1:18" x14ac:dyDescent="0.2">
      <c r="A701">
        <f>Data!A696</f>
        <v>0</v>
      </c>
      <c r="B701">
        <f>Data!B696</f>
        <v>0</v>
      </c>
      <c r="C701">
        <v>2012</v>
      </c>
      <c r="G701" s="15"/>
      <c r="R701" s="11"/>
    </row>
    <row r="702" spans="1:18" x14ac:dyDescent="0.2">
      <c r="A702">
        <f>Data!A697</f>
        <v>0</v>
      </c>
      <c r="B702">
        <f>Data!B697</f>
        <v>0</v>
      </c>
      <c r="C702">
        <v>2012</v>
      </c>
      <c r="G702" s="15"/>
      <c r="R702" s="11"/>
    </row>
    <row r="703" spans="1:18" x14ac:dyDescent="0.2">
      <c r="A703">
        <f>Data!A698</f>
        <v>0</v>
      </c>
      <c r="B703">
        <f>Data!B698</f>
        <v>0</v>
      </c>
      <c r="C703">
        <v>2012</v>
      </c>
      <c r="G703" s="15"/>
      <c r="R703" s="11"/>
    </row>
    <row r="704" spans="1:18" x14ac:dyDescent="0.2">
      <c r="A704">
        <f>Data!A699</f>
        <v>0</v>
      </c>
      <c r="B704">
        <f>Data!B699</f>
        <v>0</v>
      </c>
      <c r="C704">
        <v>2012</v>
      </c>
      <c r="G704" s="15"/>
      <c r="R704" s="11"/>
    </row>
    <row r="705" spans="1:18" x14ac:dyDescent="0.2">
      <c r="A705">
        <f>Data!A700</f>
        <v>0</v>
      </c>
      <c r="B705">
        <f>Data!B700</f>
        <v>0</v>
      </c>
      <c r="C705">
        <v>2012</v>
      </c>
      <c r="G705" s="15"/>
      <c r="R705" s="11"/>
    </row>
    <row r="706" spans="1:18" x14ac:dyDescent="0.2">
      <c r="A706">
        <f>Data!A701</f>
        <v>0</v>
      </c>
      <c r="B706">
        <f>Data!B701</f>
        <v>0</v>
      </c>
      <c r="C706">
        <v>2012</v>
      </c>
      <c r="G706" s="15"/>
      <c r="R706" s="11"/>
    </row>
    <row r="707" spans="1:18" x14ac:dyDescent="0.2">
      <c r="A707">
        <f>Data!A702</f>
        <v>0</v>
      </c>
      <c r="B707">
        <f>Data!B702</f>
        <v>0</v>
      </c>
      <c r="C707">
        <v>2012</v>
      </c>
      <c r="G707" s="15"/>
      <c r="R707" s="11"/>
    </row>
    <row r="708" spans="1:18" x14ac:dyDescent="0.2">
      <c r="A708">
        <f>Data!A703</f>
        <v>0</v>
      </c>
      <c r="B708">
        <f>Data!B703</f>
        <v>0</v>
      </c>
      <c r="C708">
        <v>2012</v>
      </c>
      <c r="G708" s="15"/>
      <c r="R708" s="11"/>
    </row>
    <row r="709" spans="1:18" x14ac:dyDescent="0.2">
      <c r="A709">
        <f>Data!A704</f>
        <v>0</v>
      </c>
      <c r="B709">
        <f>Data!B704</f>
        <v>0</v>
      </c>
      <c r="C709">
        <v>2012</v>
      </c>
      <c r="G709" s="15"/>
      <c r="R709" s="11"/>
    </row>
    <row r="710" spans="1:18" x14ac:dyDescent="0.2">
      <c r="A710">
        <f>Data!A705</f>
        <v>0</v>
      </c>
      <c r="B710">
        <f>Data!B705</f>
        <v>0</v>
      </c>
      <c r="C710">
        <v>2012</v>
      </c>
      <c r="G710" s="15"/>
      <c r="R710" s="11"/>
    </row>
    <row r="711" spans="1:18" x14ac:dyDescent="0.2">
      <c r="A711">
        <f>Data!A706</f>
        <v>0</v>
      </c>
      <c r="B711">
        <f>Data!B706</f>
        <v>0</v>
      </c>
      <c r="C711">
        <v>2012</v>
      </c>
      <c r="G711" s="15"/>
      <c r="R711" s="11"/>
    </row>
    <row r="712" spans="1:18" x14ac:dyDescent="0.2">
      <c r="A712">
        <f>Data!A707</f>
        <v>0</v>
      </c>
      <c r="B712">
        <f>Data!B707</f>
        <v>0</v>
      </c>
      <c r="C712">
        <v>2012</v>
      </c>
      <c r="G712" s="15"/>
      <c r="R712" s="11"/>
    </row>
    <row r="713" spans="1:18" x14ac:dyDescent="0.2">
      <c r="A713">
        <f>Data!A708</f>
        <v>0</v>
      </c>
      <c r="B713">
        <f>Data!B708</f>
        <v>0</v>
      </c>
      <c r="C713">
        <v>2012</v>
      </c>
      <c r="G713" s="15"/>
      <c r="R713" s="11"/>
    </row>
    <row r="714" spans="1:18" x14ac:dyDescent="0.2">
      <c r="A714">
        <f>Data!A709</f>
        <v>0</v>
      </c>
      <c r="B714">
        <f>Data!B709</f>
        <v>0</v>
      </c>
      <c r="C714">
        <v>2012</v>
      </c>
      <c r="G714" s="15"/>
      <c r="R714" s="11"/>
    </row>
    <row r="715" spans="1:18" x14ac:dyDescent="0.2">
      <c r="A715">
        <f>Data!A710</f>
        <v>0</v>
      </c>
      <c r="B715">
        <f>Data!B710</f>
        <v>0</v>
      </c>
      <c r="C715">
        <v>2012</v>
      </c>
      <c r="G715" s="15"/>
      <c r="R715" s="11"/>
    </row>
    <row r="716" spans="1:18" x14ac:dyDescent="0.2">
      <c r="A716">
        <f>Data!A711</f>
        <v>0</v>
      </c>
      <c r="B716">
        <f>Data!B711</f>
        <v>0</v>
      </c>
      <c r="C716">
        <v>2012</v>
      </c>
      <c r="G716" s="15"/>
      <c r="R716" s="11"/>
    </row>
    <row r="717" spans="1:18" x14ac:dyDescent="0.2">
      <c r="A717">
        <f>Data!A712</f>
        <v>0</v>
      </c>
      <c r="B717">
        <f>Data!B712</f>
        <v>0</v>
      </c>
      <c r="C717">
        <v>2012</v>
      </c>
      <c r="G717" s="15"/>
      <c r="R717" s="11"/>
    </row>
    <row r="718" spans="1:18" x14ac:dyDescent="0.2">
      <c r="A718">
        <f>Data!A713</f>
        <v>0</v>
      </c>
      <c r="B718">
        <f>Data!B713</f>
        <v>0</v>
      </c>
      <c r="C718">
        <v>2012</v>
      </c>
      <c r="G718" s="15"/>
      <c r="R718" s="11"/>
    </row>
    <row r="719" spans="1:18" x14ac:dyDescent="0.2">
      <c r="A719">
        <f>Data!A714</f>
        <v>0</v>
      </c>
      <c r="B719">
        <f>Data!B714</f>
        <v>0</v>
      </c>
      <c r="C719">
        <v>2012</v>
      </c>
      <c r="G719" s="15"/>
      <c r="R719" s="11"/>
    </row>
    <row r="720" spans="1:18" x14ac:dyDescent="0.2">
      <c r="A720">
        <f>Data!A715</f>
        <v>0</v>
      </c>
      <c r="B720">
        <f>Data!B715</f>
        <v>0</v>
      </c>
      <c r="C720">
        <v>2012</v>
      </c>
      <c r="G720" s="15"/>
      <c r="R720" s="11"/>
    </row>
    <row r="721" spans="1:18" x14ac:dyDescent="0.2">
      <c r="A721">
        <f>Data!A716</f>
        <v>0</v>
      </c>
      <c r="B721">
        <f>Data!B716</f>
        <v>0</v>
      </c>
      <c r="C721">
        <v>2012</v>
      </c>
      <c r="G721" s="15"/>
      <c r="R721" s="11"/>
    </row>
    <row r="722" spans="1:18" x14ac:dyDescent="0.2">
      <c r="A722">
        <f>Data!A717</f>
        <v>0</v>
      </c>
      <c r="B722">
        <f>Data!B717</f>
        <v>0</v>
      </c>
      <c r="C722">
        <v>2012</v>
      </c>
      <c r="G722" s="15"/>
      <c r="R722" s="11"/>
    </row>
    <row r="723" spans="1:18" x14ac:dyDescent="0.2">
      <c r="A723">
        <f>Data!A718</f>
        <v>0</v>
      </c>
      <c r="B723">
        <f>Data!B718</f>
        <v>0</v>
      </c>
      <c r="C723">
        <v>2012</v>
      </c>
      <c r="G723" s="15"/>
      <c r="R723" s="11"/>
    </row>
    <row r="724" spans="1:18" x14ac:dyDescent="0.2">
      <c r="A724">
        <f>Data!A719</f>
        <v>0</v>
      </c>
      <c r="B724">
        <f>Data!B719</f>
        <v>0</v>
      </c>
      <c r="C724">
        <v>2012</v>
      </c>
      <c r="G724" s="15"/>
      <c r="R724" s="11"/>
    </row>
    <row r="725" spans="1:18" x14ac:dyDescent="0.2">
      <c r="A725">
        <f>Data!A720</f>
        <v>0</v>
      </c>
      <c r="B725">
        <f>Data!B720</f>
        <v>0</v>
      </c>
      <c r="C725">
        <v>2012</v>
      </c>
      <c r="G725" s="15"/>
      <c r="R725" s="11"/>
    </row>
    <row r="726" spans="1:18" x14ac:dyDescent="0.2">
      <c r="A726">
        <f>Data!A721</f>
        <v>0</v>
      </c>
      <c r="B726">
        <f>Data!B721</f>
        <v>0</v>
      </c>
      <c r="C726">
        <v>2012</v>
      </c>
      <c r="G726" s="15"/>
      <c r="R726" s="11"/>
    </row>
    <row r="727" spans="1:18" x14ac:dyDescent="0.2">
      <c r="A727">
        <f>Data!A722</f>
        <v>0</v>
      </c>
      <c r="B727">
        <f>Data!B722</f>
        <v>0</v>
      </c>
      <c r="C727">
        <v>2012</v>
      </c>
      <c r="G727" s="15"/>
      <c r="R727" s="11"/>
    </row>
    <row r="728" spans="1:18" x14ac:dyDescent="0.2">
      <c r="A728">
        <f>Data!A723</f>
        <v>0</v>
      </c>
      <c r="B728">
        <f>Data!B723</f>
        <v>0</v>
      </c>
      <c r="C728">
        <v>2012</v>
      </c>
      <c r="G728" s="15"/>
      <c r="R728" s="11"/>
    </row>
    <row r="729" spans="1:18" x14ac:dyDescent="0.2">
      <c r="A729">
        <f>Data!A724</f>
        <v>0</v>
      </c>
      <c r="B729">
        <f>Data!B724</f>
        <v>0</v>
      </c>
      <c r="C729">
        <v>2012</v>
      </c>
      <c r="G729" s="15"/>
      <c r="R729" s="11"/>
    </row>
    <row r="730" spans="1:18" x14ac:dyDescent="0.2">
      <c r="A730">
        <f>Data!A725</f>
        <v>0</v>
      </c>
      <c r="B730">
        <f>Data!B725</f>
        <v>0</v>
      </c>
      <c r="C730">
        <v>2012</v>
      </c>
      <c r="G730" s="15"/>
      <c r="R730" s="11"/>
    </row>
    <row r="731" spans="1:18" x14ac:dyDescent="0.2">
      <c r="A731">
        <f>Data!A726</f>
        <v>0</v>
      </c>
      <c r="B731">
        <f>Data!B726</f>
        <v>0</v>
      </c>
      <c r="C731">
        <v>2012</v>
      </c>
      <c r="G731" s="15"/>
      <c r="R731" s="11"/>
    </row>
    <row r="732" spans="1:18" x14ac:dyDescent="0.2">
      <c r="A732">
        <f>Data!A727</f>
        <v>0</v>
      </c>
      <c r="B732">
        <f>Data!B727</f>
        <v>0</v>
      </c>
      <c r="C732">
        <v>2012</v>
      </c>
      <c r="G732" s="15"/>
      <c r="R732" s="11"/>
    </row>
    <row r="733" spans="1:18" x14ac:dyDescent="0.2">
      <c r="A733">
        <f>Data!A728</f>
        <v>0</v>
      </c>
      <c r="B733">
        <f>Data!B728</f>
        <v>0</v>
      </c>
      <c r="C733">
        <v>2012</v>
      </c>
      <c r="G733" s="15"/>
      <c r="R733" s="11"/>
    </row>
    <row r="734" spans="1:18" x14ac:dyDescent="0.2">
      <c r="A734">
        <f>Data!A729</f>
        <v>0</v>
      </c>
      <c r="B734">
        <f>Data!B729</f>
        <v>0</v>
      </c>
      <c r="C734">
        <v>2012</v>
      </c>
      <c r="G734" s="15"/>
      <c r="R734" s="11"/>
    </row>
    <row r="735" spans="1:18" x14ac:dyDescent="0.2">
      <c r="A735">
        <f>Data!A730</f>
        <v>0</v>
      </c>
      <c r="B735">
        <f>Data!B730</f>
        <v>0</v>
      </c>
      <c r="C735">
        <v>2012</v>
      </c>
      <c r="G735" s="15"/>
      <c r="R735" s="11"/>
    </row>
    <row r="736" spans="1:18" x14ac:dyDescent="0.2">
      <c r="A736">
        <f>Data!A731</f>
        <v>0</v>
      </c>
      <c r="B736">
        <f>Data!B731</f>
        <v>0</v>
      </c>
      <c r="C736">
        <v>2012</v>
      </c>
      <c r="G736" s="15"/>
      <c r="R736" s="11"/>
    </row>
    <row r="737" spans="1:18" x14ac:dyDescent="0.2">
      <c r="A737">
        <f>Data!A732</f>
        <v>0</v>
      </c>
      <c r="B737">
        <f>Data!B732</f>
        <v>0</v>
      </c>
      <c r="C737">
        <v>2012</v>
      </c>
      <c r="G737" s="15"/>
      <c r="R737" s="11"/>
    </row>
    <row r="738" spans="1:18" x14ac:dyDescent="0.2">
      <c r="A738">
        <f>Data!A733</f>
        <v>0</v>
      </c>
      <c r="B738">
        <f>Data!B733</f>
        <v>0</v>
      </c>
      <c r="C738">
        <v>2012</v>
      </c>
      <c r="G738" s="15"/>
      <c r="R738" s="11"/>
    </row>
    <row r="739" spans="1:18" x14ac:dyDescent="0.2">
      <c r="A739">
        <f>Data!A734</f>
        <v>0</v>
      </c>
      <c r="B739">
        <f>Data!B734</f>
        <v>0</v>
      </c>
      <c r="C739">
        <v>2012</v>
      </c>
      <c r="G739" s="15"/>
      <c r="R739" s="11"/>
    </row>
    <row r="740" spans="1:18" x14ac:dyDescent="0.2">
      <c r="A740">
        <f>Data!A735</f>
        <v>0</v>
      </c>
      <c r="B740">
        <f>Data!B735</f>
        <v>0</v>
      </c>
      <c r="C740">
        <v>2012</v>
      </c>
      <c r="G740" s="15"/>
      <c r="R740" s="11"/>
    </row>
    <row r="741" spans="1:18" x14ac:dyDescent="0.2">
      <c r="A741">
        <f>Data!A736</f>
        <v>0</v>
      </c>
      <c r="B741">
        <f>Data!B736</f>
        <v>0</v>
      </c>
      <c r="C741">
        <v>2012</v>
      </c>
      <c r="G741" s="15"/>
      <c r="R741" s="11"/>
    </row>
    <row r="742" spans="1:18" x14ac:dyDescent="0.2">
      <c r="A742">
        <f>Data!A737</f>
        <v>0</v>
      </c>
      <c r="B742">
        <f>Data!B737</f>
        <v>0</v>
      </c>
      <c r="C742">
        <v>2012</v>
      </c>
      <c r="G742" s="15"/>
      <c r="R742" s="11"/>
    </row>
    <row r="743" spans="1:18" x14ac:dyDescent="0.2">
      <c r="A743">
        <f>Data!A738</f>
        <v>0</v>
      </c>
      <c r="B743">
        <f>Data!B738</f>
        <v>0</v>
      </c>
      <c r="C743">
        <v>2012</v>
      </c>
      <c r="G743" s="15"/>
      <c r="R743" s="11"/>
    </row>
    <row r="744" spans="1:18" x14ac:dyDescent="0.2">
      <c r="A744">
        <f>Data!A739</f>
        <v>0</v>
      </c>
      <c r="B744">
        <f>Data!B739</f>
        <v>0</v>
      </c>
      <c r="C744">
        <v>2012</v>
      </c>
      <c r="G744" s="15"/>
      <c r="R744" s="11"/>
    </row>
    <row r="745" spans="1:18" x14ac:dyDescent="0.2">
      <c r="A745">
        <f>Data!A740</f>
        <v>0</v>
      </c>
      <c r="B745">
        <f>Data!B740</f>
        <v>0</v>
      </c>
      <c r="C745">
        <v>2012</v>
      </c>
      <c r="G745" s="15"/>
      <c r="R745" s="11"/>
    </row>
    <row r="746" spans="1:18" x14ac:dyDescent="0.2">
      <c r="A746">
        <f>Data!A741</f>
        <v>0</v>
      </c>
      <c r="B746">
        <f>Data!B741</f>
        <v>0</v>
      </c>
      <c r="C746">
        <v>2012</v>
      </c>
      <c r="G746" s="15"/>
      <c r="R746" s="11"/>
    </row>
    <row r="747" spans="1:18" x14ac:dyDescent="0.2">
      <c r="A747">
        <f>Data!A742</f>
        <v>0</v>
      </c>
      <c r="B747">
        <f>Data!B742</f>
        <v>0</v>
      </c>
      <c r="C747">
        <v>2012</v>
      </c>
      <c r="G747" s="15"/>
      <c r="R747" s="11"/>
    </row>
    <row r="748" spans="1:18" x14ac:dyDescent="0.2">
      <c r="A748">
        <f>Data!A743</f>
        <v>0</v>
      </c>
      <c r="B748">
        <f>Data!B743</f>
        <v>0</v>
      </c>
      <c r="C748">
        <v>2012</v>
      </c>
      <c r="G748" s="15"/>
      <c r="R748" s="11"/>
    </row>
    <row r="749" spans="1:18" x14ac:dyDescent="0.2">
      <c r="A749">
        <f>Data!A744</f>
        <v>0</v>
      </c>
      <c r="B749">
        <f>Data!B744</f>
        <v>0</v>
      </c>
      <c r="C749">
        <v>2012</v>
      </c>
      <c r="G749" s="15"/>
      <c r="R749" s="11"/>
    </row>
    <row r="750" spans="1:18" x14ac:dyDescent="0.2">
      <c r="A750">
        <f>Data!A745</f>
        <v>0</v>
      </c>
      <c r="B750">
        <f>Data!B745</f>
        <v>0</v>
      </c>
      <c r="C750">
        <v>2012</v>
      </c>
      <c r="G750" s="15"/>
      <c r="R750" s="11"/>
    </row>
    <row r="751" spans="1:18" x14ac:dyDescent="0.2">
      <c r="A751">
        <f>Data!A746</f>
        <v>0</v>
      </c>
      <c r="B751">
        <f>Data!B746</f>
        <v>0</v>
      </c>
      <c r="C751">
        <v>2012</v>
      </c>
      <c r="G751" s="15"/>
      <c r="R751" s="11"/>
    </row>
    <row r="752" spans="1:18" x14ac:dyDescent="0.2">
      <c r="A752">
        <f>Data!A747</f>
        <v>0</v>
      </c>
      <c r="B752">
        <f>Data!B747</f>
        <v>0</v>
      </c>
      <c r="C752">
        <v>2012</v>
      </c>
      <c r="G752" s="15"/>
      <c r="R752" s="11"/>
    </row>
    <row r="753" spans="1:18" x14ac:dyDescent="0.2">
      <c r="A753">
        <f>Data!A748</f>
        <v>0</v>
      </c>
      <c r="B753">
        <f>Data!B748</f>
        <v>0</v>
      </c>
      <c r="C753">
        <v>2012</v>
      </c>
      <c r="G753" s="15"/>
      <c r="R753" s="11"/>
    </row>
    <row r="754" spans="1:18" x14ac:dyDescent="0.2">
      <c r="A754">
        <f>Data!A749</f>
        <v>0</v>
      </c>
      <c r="B754">
        <f>Data!B749</f>
        <v>0</v>
      </c>
      <c r="C754">
        <v>2012</v>
      </c>
      <c r="G754" s="15"/>
      <c r="R754" s="11"/>
    </row>
    <row r="755" spans="1:18" x14ac:dyDescent="0.2">
      <c r="A755">
        <f>Data!A750</f>
        <v>0</v>
      </c>
      <c r="B755">
        <f>Data!B750</f>
        <v>0</v>
      </c>
      <c r="C755">
        <v>2012</v>
      </c>
      <c r="G755" s="15"/>
      <c r="R755" s="11"/>
    </row>
    <row r="756" spans="1:18" x14ac:dyDescent="0.2">
      <c r="A756">
        <f>Data!A751</f>
        <v>0</v>
      </c>
      <c r="B756">
        <f>Data!B751</f>
        <v>0</v>
      </c>
      <c r="C756">
        <v>2012</v>
      </c>
      <c r="G756" s="15"/>
      <c r="R756" s="11"/>
    </row>
    <row r="757" spans="1:18" x14ac:dyDescent="0.2">
      <c r="A757">
        <f>Data!A752</f>
        <v>0</v>
      </c>
      <c r="B757">
        <f>Data!B752</f>
        <v>0</v>
      </c>
      <c r="C757">
        <v>2012</v>
      </c>
      <c r="G757" s="15"/>
      <c r="R757" s="11"/>
    </row>
    <row r="758" spans="1:18" x14ac:dyDescent="0.2">
      <c r="A758">
        <f>Data!A753</f>
        <v>0</v>
      </c>
      <c r="B758">
        <f>Data!B753</f>
        <v>0</v>
      </c>
      <c r="C758">
        <v>2012</v>
      </c>
      <c r="G758" s="15"/>
      <c r="R758" s="11"/>
    </row>
    <row r="759" spans="1:18" x14ac:dyDescent="0.2">
      <c r="A759">
        <f>Data!A754</f>
        <v>0</v>
      </c>
      <c r="B759">
        <f>Data!B754</f>
        <v>0</v>
      </c>
      <c r="C759">
        <v>2012</v>
      </c>
      <c r="G759" s="15"/>
      <c r="R759" s="11"/>
    </row>
    <row r="760" spans="1:18" x14ac:dyDescent="0.2">
      <c r="A760">
        <f>Data!A755</f>
        <v>0</v>
      </c>
      <c r="B760">
        <f>Data!B755</f>
        <v>0</v>
      </c>
      <c r="C760">
        <v>2012</v>
      </c>
      <c r="G760" s="15"/>
      <c r="R760" s="11"/>
    </row>
    <row r="761" spans="1:18" x14ac:dyDescent="0.2">
      <c r="A761" t="str">
        <f>Data!A756</f>
        <v>Pycroft</v>
      </c>
      <c r="B761" t="str">
        <f>Data!B756</f>
        <v>RM9736</v>
      </c>
      <c r="C761">
        <v>2012</v>
      </c>
      <c r="G761" s="15"/>
      <c r="R761" s="11"/>
    </row>
    <row r="762" spans="1:18" x14ac:dyDescent="0.2">
      <c r="A762">
        <f>Data!A757</f>
        <v>0</v>
      </c>
      <c r="B762">
        <f>Data!B757</f>
        <v>0</v>
      </c>
      <c r="C762">
        <v>2012</v>
      </c>
      <c r="G762" s="15"/>
      <c r="R762" s="11"/>
    </row>
    <row r="763" spans="1:18" x14ac:dyDescent="0.2">
      <c r="A763">
        <f>Data!A758</f>
        <v>0</v>
      </c>
      <c r="B763">
        <f>Data!B758</f>
        <v>0</v>
      </c>
      <c r="C763">
        <v>2012</v>
      </c>
      <c r="G763" s="15"/>
      <c r="R763" s="11"/>
    </row>
    <row r="764" spans="1:18" x14ac:dyDescent="0.2">
      <c r="A764">
        <f>Data!A759</f>
        <v>0</v>
      </c>
      <c r="B764">
        <f>Data!B759</f>
        <v>0</v>
      </c>
      <c r="C764">
        <v>2012</v>
      </c>
      <c r="G764" s="15"/>
      <c r="R764" s="11"/>
    </row>
    <row r="765" spans="1:18" x14ac:dyDescent="0.2">
      <c r="A765">
        <f>Data!A760</f>
        <v>0</v>
      </c>
      <c r="B765">
        <f>Data!B760</f>
        <v>0</v>
      </c>
      <c r="C765">
        <v>2012</v>
      </c>
      <c r="G765" s="15"/>
      <c r="R765" s="11"/>
    </row>
    <row r="766" spans="1:18" x14ac:dyDescent="0.2">
      <c r="A766">
        <f>Data!A761</f>
        <v>0</v>
      </c>
      <c r="B766">
        <f>Data!B761</f>
        <v>0</v>
      </c>
      <c r="C766">
        <v>2012</v>
      </c>
      <c r="G766" s="15"/>
      <c r="R766" s="11"/>
    </row>
    <row r="767" spans="1:18" x14ac:dyDescent="0.2">
      <c r="A767">
        <f>Data!A762</f>
        <v>0</v>
      </c>
      <c r="B767">
        <f>Data!B762</f>
        <v>0</v>
      </c>
      <c r="C767">
        <v>2012</v>
      </c>
      <c r="G767" s="15"/>
      <c r="R767" s="11"/>
    </row>
    <row r="768" spans="1:18" x14ac:dyDescent="0.2">
      <c r="A768">
        <f>Data!A763</f>
        <v>0</v>
      </c>
      <c r="B768">
        <f>Data!B763</f>
        <v>0</v>
      </c>
      <c r="C768">
        <v>2012</v>
      </c>
      <c r="G768" s="15"/>
      <c r="R768" s="11"/>
    </row>
    <row r="769" spans="1:18" x14ac:dyDescent="0.2">
      <c r="A769">
        <f>Data!A764</f>
        <v>0</v>
      </c>
      <c r="B769">
        <f>Data!B764</f>
        <v>0</v>
      </c>
      <c r="C769">
        <v>2012</v>
      </c>
      <c r="G769" s="15"/>
      <c r="R769" s="11"/>
    </row>
    <row r="770" spans="1:18" x14ac:dyDescent="0.2">
      <c r="A770">
        <f>Data!A765</f>
        <v>0</v>
      </c>
      <c r="B770">
        <f>Data!B765</f>
        <v>0</v>
      </c>
      <c r="C770">
        <v>2012</v>
      </c>
      <c r="G770" s="15"/>
      <c r="R770" s="11"/>
    </row>
    <row r="771" spans="1:18" x14ac:dyDescent="0.2">
      <c r="A771">
        <f>Data!A766</f>
        <v>0</v>
      </c>
      <c r="B771">
        <f>Data!B766</f>
        <v>0</v>
      </c>
      <c r="C771">
        <v>2012</v>
      </c>
      <c r="G771" s="15"/>
      <c r="R771" s="11"/>
    </row>
    <row r="772" spans="1:18" x14ac:dyDescent="0.2">
      <c r="A772" t="str">
        <f>Data!A767</f>
        <v>Hope &amp; Hope</v>
      </c>
      <c r="B772" t="str">
        <f>Data!B767</f>
        <v>RM9922</v>
      </c>
      <c r="C772">
        <v>2013</v>
      </c>
      <c r="G772" s="15"/>
      <c r="R772" s="11"/>
    </row>
    <row r="773" spans="1:18" x14ac:dyDescent="0.2">
      <c r="A773">
        <f>Data!A768</f>
        <v>0</v>
      </c>
      <c r="B773">
        <f>Data!B768</f>
        <v>0</v>
      </c>
      <c r="C773">
        <v>2013</v>
      </c>
      <c r="G773" s="15"/>
      <c r="R773" s="11"/>
    </row>
    <row r="774" spans="1:18" x14ac:dyDescent="0.2">
      <c r="A774">
        <f>Data!A769</f>
        <v>0</v>
      </c>
      <c r="B774">
        <f>Data!B769</f>
        <v>0</v>
      </c>
      <c r="C774">
        <v>2013</v>
      </c>
      <c r="G774" s="15"/>
      <c r="R774" s="11"/>
    </row>
    <row r="775" spans="1:18" x14ac:dyDescent="0.2">
      <c r="A775" t="str">
        <f>Data!A770</f>
        <v>Hope</v>
      </c>
      <c r="B775" t="str">
        <f>Data!B770</f>
        <v>RM9923</v>
      </c>
      <c r="C775">
        <v>2013</v>
      </c>
      <c r="D775" s="8">
        <f>Data!N770</f>
        <v>0.01</v>
      </c>
      <c r="E775">
        <f>E$1*(1-Data!BF770)+E$2*Data!BF770</f>
        <v>1</v>
      </c>
      <c r="F775">
        <f>D775*E775</f>
        <v>0.01</v>
      </c>
      <c r="G775" s="15">
        <f t="shared" ref="G775" si="66">(J775/H775)^(1/(K775-I775))-1</f>
        <v>1.9423416234493951E-2</v>
      </c>
      <c r="H775">
        <f t="shared" ref="H775" si="67">MIN(L775:BE775)</f>
        <v>33</v>
      </c>
      <c r="I775">
        <f t="shared" ref="I775" si="68">LOOKUP(H775,L775:BE775,L$8:BE$8)</f>
        <v>2000</v>
      </c>
      <c r="J775">
        <f t="shared" ref="J775" si="69">MAX(L775:BE775)</f>
        <v>40</v>
      </c>
      <c r="K775">
        <f t="shared" ref="K775" si="70">LOOKUP(J775,L775:BE775,L$8:BE$8)</f>
        <v>2010</v>
      </c>
      <c r="P775">
        <v>33</v>
      </c>
      <c r="R775" s="11">
        <v>40</v>
      </c>
    </row>
    <row r="776" spans="1:18" x14ac:dyDescent="0.2">
      <c r="A776">
        <f>Data!A771</f>
        <v>0</v>
      </c>
      <c r="B776">
        <f>Data!B771</f>
        <v>0</v>
      </c>
      <c r="C776">
        <v>2013</v>
      </c>
      <c r="G776" s="15"/>
      <c r="R776" s="11"/>
    </row>
    <row r="777" spans="1:18" x14ac:dyDescent="0.2">
      <c r="A777">
        <f>Data!A772</f>
        <v>0</v>
      </c>
      <c r="B777">
        <f>Data!B772</f>
        <v>0</v>
      </c>
      <c r="C777">
        <v>2013</v>
      </c>
      <c r="G777" s="15"/>
      <c r="R777" s="11"/>
    </row>
    <row r="778" spans="1:18" x14ac:dyDescent="0.2">
      <c r="A778">
        <f>Data!A773</f>
        <v>0</v>
      </c>
      <c r="B778">
        <f>Data!B773</f>
        <v>0</v>
      </c>
      <c r="C778">
        <v>2013</v>
      </c>
      <c r="G778" s="15"/>
      <c r="R778" s="11"/>
    </row>
    <row r="779" spans="1:18" x14ac:dyDescent="0.2">
      <c r="A779">
        <f>Data!A774</f>
        <v>0</v>
      </c>
      <c r="B779">
        <f>Data!B774</f>
        <v>0</v>
      </c>
      <c r="C779">
        <v>2013</v>
      </c>
      <c r="G779" s="15"/>
      <c r="R779" s="11"/>
    </row>
    <row r="780" spans="1:18" x14ac:dyDescent="0.2">
      <c r="A780">
        <f>Data!A775</f>
        <v>0</v>
      </c>
      <c r="B780">
        <f>Data!B775</f>
        <v>0</v>
      </c>
      <c r="C780">
        <v>2013</v>
      </c>
      <c r="G780" s="15"/>
      <c r="R780" s="11"/>
    </row>
    <row r="781" spans="1:18" x14ac:dyDescent="0.2">
      <c r="A781">
        <f>Data!A776</f>
        <v>0</v>
      </c>
      <c r="B781">
        <f>Data!B776</f>
        <v>0</v>
      </c>
      <c r="C781">
        <v>2013</v>
      </c>
      <c r="G781" s="15"/>
      <c r="R781" s="11"/>
    </row>
    <row r="782" spans="1:18" x14ac:dyDescent="0.2">
      <c r="A782">
        <f>Data!A777</f>
        <v>0</v>
      </c>
      <c r="B782">
        <f>Data!B777</f>
        <v>0</v>
      </c>
      <c r="C782">
        <v>2013</v>
      </c>
      <c r="G782" s="15"/>
      <c r="R782" s="11"/>
    </row>
    <row r="783" spans="1:18" x14ac:dyDescent="0.2">
      <c r="A783">
        <f>Data!A778</f>
        <v>0</v>
      </c>
      <c r="B783">
        <f>Data!B778</f>
        <v>0</v>
      </c>
      <c r="C783">
        <v>2013</v>
      </c>
      <c r="G783" s="15"/>
      <c r="R783" s="11"/>
    </row>
    <row r="784" spans="1:18" x14ac:dyDescent="0.2">
      <c r="A784" t="str">
        <f>Data!A779</f>
        <v>Anthoff &amp; Tol</v>
      </c>
      <c r="B784" t="str">
        <f>Data!B779</f>
        <v>RM9924</v>
      </c>
      <c r="C784">
        <v>2013</v>
      </c>
      <c r="G784" s="15"/>
      <c r="R784" s="11"/>
    </row>
    <row r="785" spans="1:26" x14ac:dyDescent="0.2">
      <c r="A785">
        <f>Data!A780</f>
        <v>0</v>
      </c>
      <c r="B785">
        <f>Data!B780</f>
        <v>0</v>
      </c>
      <c r="C785">
        <v>2013</v>
      </c>
      <c r="G785" s="15"/>
      <c r="R785" s="11"/>
    </row>
    <row r="786" spans="1:26" x14ac:dyDescent="0.2">
      <c r="A786">
        <f>Data!A781</f>
        <v>0</v>
      </c>
      <c r="B786">
        <f>Data!B781</f>
        <v>0</v>
      </c>
      <c r="C786">
        <v>2013</v>
      </c>
      <c r="G786" s="15"/>
      <c r="R786" s="11"/>
    </row>
    <row r="787" spans="1:26" x14ac:dyDescent="0.2">
      <c r="A787">
        <f>Data!A782</f>
        <v>0</v>
      </c>
      <c r="B787">
        <f>Data!B782</f>
        <v>0</v>
      </c>
      <c r="C787">
        <v>2013</v>
      </c>
      <c r="G787" s="15"/>
      <c r="R787" s="11"/>
    </row>
    <row r="788" spans="1:26" x14ac:dyDescent="0.2">
      <c r="A788">
        <f>Data!A783</f>
        <v>0</v>
      </c>
      <c r="B788">
        <f>Data!B783</f>
        <v>0</v>
      </c>
      <c r="C788">
        <v>2013</v>
      </c>
      <c r="G788" s="15"/>
      <c r="R788" s="11"/>
    </row>
    <row r="789" spans="1:26" x14ac:dyDescent="0.2">
      <c r="A789">
        <f>Data!A784</f>
        <v>0</v>
      </c>
      <c r="B789">
        <f>Data!B784</f>
        <v>0</v>
      </c>
      <c r="C789">
        <v>2013</v>
      </c>
      <c r="G789" s="15"/>
      <c r="R789" s="11"/>
    </row>
    <row r="790" spans="1:26" x14ac:dyDescent="0.2">
      <c r="A790">
        <f>Data!A785</f>
        <v>0</v>
      </c>
      <c r="B790">
        <f>Data!B785</f>
        <v>0</v>
      </c>
      <c r="C790">
        <v>2013</v>
      </c>
      <c r="G790" s="15"/>
      <c r="R790" s="11"/>
    </row>
    <row r="791" spans="1:26" x14ac:dyDescent="0.2">
      <c r="A791">
        <f>Data!A786</f>
        <v>0</v>
      </c>
      <c r="B791">
        <f>Data!B786</f>
        <v>0</v>
      </c>
      <c r="C791">
        <v>2013</v>
      </c>
      <c r="G791" s="15"/>
      <c r="R791" s="11"/>
    </row>
    <row r="792" spans="1:26" x14ac:dyDescent="0.2">
      <c r="A792">
        <f>Data!A787</f>
        <v>0</v>
      </c>
      <c r="B792">
        <f>Data!B787</f>
        <v>0</v>
      </c>
      <c r="C792">
        <f>Data!E787</f>
        <v>2013</v>
      </c>
      <c r="G792" s="15"/>
      <c r="R792" s="11"/>
    </row>
    <row r="793" spans="1:26" x14ac:dyDescent="0.2">
      <c r="A793">
        <f>Data!A788</f>
        <v>0</v>
      </c>
      <c r="B793">
        <f>Data!B788</f>
        <v>0</v>
      </c>
      <c r="C793">
        <f>Data!E788</f>
        <v>2013</v>
      </c>
      <c r="G793" s="15"/>
      <c r="R793" s="11"/>
    </row>
    <row r="794" spans="1:26" x14ac:dyDescent="0.2">
      <c r="A794">
        <f>Data!A789</f>
        <v>0</v>
      </c>
      <c r="B794">
        <f>Data!B789</f>
        <v>0</v>
      </c>
      <c r="C794">
        <f>Data!E789</f>
        <v>2013</v>
      </c>
      <c r="G794" s="15"/>
      <c r="R794" s="11"/>
    </row>
    <row r="795" spans="1:26" x14ac:dyDescent="0.2">
      <c r="A795" t="str">
        <f>Data!A790</f>
        <v>IAWGSCC</v>
      </c>
      <c r="B795" t="str">
        <f>Data!B790</f>
        <v>RM9925</v>
      </c>
      <c r="C795">
        <f>Data!E790</f>
        <v>2013</v>
      </c>
      <c r="D795" s="8">
        <f>Data!N790</f>
        <v>0.33333333333333331</v>
      </c>
      <c r="E795">
        <f>E$1*(1-Data!BF790)+E$2*Data!BF790</f>
        <v>1</v>
      </c>
      <c r="F795">
        <f t="shared" ref="F795:F797" si="71">D795*E795</f>
        <v>0.33333333333333331</v>
      </c>
      <c r="G795" s="15">
        <f t="shared" ref="G795:G797" si="72">(J795/H795)^(1/(K795-I795))-1</f>
        <v>2.270240437085258E-2</v>
      </c>
      <c r="H795">
        <f t="shared" ref="H795:H797" si="73">MIN(L795:BE795)</f>
        <v>11</v>
      </c>
      <c r="I795">
        <f t="shared" ref="I795:I797" si="74">LOOKUP(H795,L795:BE795,L$8:BE$8)</f>
        <v>2010</v>
      </c>
      <c r="J795">
        <f t="shared" ref="J795:J797" si="75">MAX(L795:BE795)</f>
        <v>27</v>
      </c>
      <c r="K795">
        <f t="shared" ref="K795:K797" si="76">LOOKUP(J795,L795:BE795,L$8:BE$8)</f>
        <v>2050</v>
      </c>
      <c r="R795" s="11">
        <v>11</v>
      </c>
      <c r="S795">
        <v>12</v>
      </c>
      <c r="T795">
        <v>12</v>
      </c>
      <c r="U795">
        <v>14</v>
      </c>
      <c r="V795">
        <v>16</v>
      </c>
      <c r="W795">
        <v>19</v>
      </c>
      <c r="X795">
        <v>21</v>
      </c>
      <c r="Y795">
        <v>24</v>
      </c>
      <c r="Z795">
        <v>27</v>
      </c>
    </row>
    <row r="796" spans="1:26" x14ac:dyDescent="0.2">
      <c r="A796">
        <f>Data!A791</f>
        <v>0</v>
      </c>
      <c r="B796">
        <f>Data!B791</f>
        <v>0</v>
      </c>
      <c r="C796">
        <f>Data!E791</f>
        <v>2013</v>
      </c>
      <c r="D796" s="8">
        <f>Data!N791</f>
        <v>0.33333333333333331</v>
      </c>
      <c r="E796">
        <f>E$1*(1-Data!BF791)+E$2*Data!BF791</f>
        <v>1</v>
      </c>
      <c r="F796">
        <f t="shared" si="71"/>
        <v>0.33333333333333331</v>
      </c>
      <c r="G796" s="15">
        <f t="shared" si="72"/>
        <v>1.9338928520944654E-2</v>
      </c>
      <c r="H796">
        <f t="shared" si="73"/>
        <v>33</v>
      </c>
      <c r="I796">
        <f t="shared" si="74"/>
        <v>2010</v>
      </c>
      <c r="J796">
        <f t="shared" si="75"/>
        <v>71</v>
      </c>
      <c r="K796">
        <f t="shared" si="76"/>
        <v>2050</v>
      </c>
      <c r="R796" s="11">
        <v>33</v>
      </c>
      <c r="S796">
        <v>38</v>
      </c>
      <c r="T796">
        <v>43</v>
      </c>
      <c r="U796">
        <v>48</v>
      </c>
      <c r="V796">
        <v>52</v>
      </c>
      <c r="W796">
        <v>57</v>
      </c>
      <c r="X796">
        <v>62</v>
      </c>
      <c r="Y796">
        <v>66</v>
      </c>
      <c r="Z796">
        <v>71</v>
      </c>
    </row>
    <row r="797" spans="1:26" x14ac:dyDescent="0.2">
      <c r="A797">
        <f>Data!A792</f>
        <v>0</v>
      </c>
      <c r="B797">
        <f>Data!B792</f>
        <v>0</v>
      </c>
      <c r="C797">
        <f>Data!E792</f>
        <v>2013</v>
      </c>
      <c r="D797" s="8">
        <f>Data!N792</f>
        <v>0.33333333333333331</v>
      </c>
      <c r="E797">
        <f>E$1*(1-Data!BF792)+E$2*Data!BF792</f>
        <v>1</v>
      </c>
      <c r="F797">
        <f t="shared" si="71"/>
        <v>0.33333333333333331</v>
      </c>
      <c r="G797" s="15">
        <f t="shared" si="72"/>
        <v>1.596926122847897E-2</v>
      </c>
      <c r="H797">
        <f t="shared" si="73"/>
        <v>52</v>
      </c>
      <c r="I797">
        <f t="shared" si="74"/>
        <v>2010</v>
      </c>
      <c r="J797">
        <f t="shared" si="75"/>
        <v>98</v>
      </c>
      <c r="K797">
        <f t="shared" si="76"/>
        <v>2050</v>
      </c>
      <c r="R797" s="11">
        <v>52</v>
      </c>
      <c r="S797">
        <v>58</v>
      </c>
      <c r="T797">
        <v>65</v>
      </c>
      <c r="U797">
        <v>70</v>
      </c>
      <c r="V797">
        <v>76</v>
      </c>
      <c r="W797">
        <v>81</v>
      </c>
      <c r="X797">
        <v>87</v>
      </c>
      <c r="Y797">
        <v>92</v>
      </c>
      <c r="Z797">
        <v>98</v>
      </c>
    </row>
    <row r="798" spans="1:26" x14ac:dyDescent="0.2">
      <c r="A798" t="str">
        <f>Data!A793</f>
        <v>Shindell</v>
      </c>
      <c r="B798" t="str">
        <f>Data!B793</f>
        <v>none</v>
      </c>
      <c r="C798">
        <f>Data!E793</f>
        <v>2015</v>
      </c>
      <c r="D798" s="8"/>
      <c r="G798" s="15"/>
      <c r="R798" s="11"/>
    </row>
    <row r="799" spans="1:26" x14ac:dyDescent="0.2">
      <c r="A799">
        <f>Data!A794</f>
        <v>0</v>
      </c>
      <c r="B799">
        <f>Data!B794</f>
        <v>0</v>
      </c>
      <c r="C799">
        <f>Data!E794</f>
        <v>2015</v>
      </c>
      <c r="D799" s="8"/>
      <c r="G799" s="15"/>
      <c r="R799" s="11"/>
    </row>
    <row r="800" spans="1:26" x14ac:dyDescent="0.2">
      <c r="A800">
        <f>Data!A795</f>
        <v>0</v>
      </c>
      <c r="B800">
        <f>Data!B795</f>
        <v>0</v>
      </c>
      <c r="C800">
        <f>Data!E795</f>
        <v>2015</v>
      </c>
      <c r="D800" s="8"/>
      <c r="G800" s="15"/>
      <c r="R800" s="11"/>
    </row>
    <row r="801" spans="1:36" x14ac:dyDescent="0.2">
      <c r="A801" t="str">
        <f>Data!A796</f>
        <v>Pottier</v>
      </c>
      <c r="B801" t="str">
        <f>Data!B796</f>
        <v>none</v>
      </c>
      <c r="C801">
        <f>Data!E796</f>
        <v>2015</v>
      </c>
      <c r="D801" s="8">
        <f>Data!N796</f>
        <v>0.125</v>
      </c>
      <c r="E801">
        <f>E$1*(1-Data!BF796)+E$2*Data!BF796</f>
        <v>1</v>
      </c>
      <c r="F801">
        <f t="shared" ref="F801:F808" si="77">D801*E801</f>
        <v>0.125</v>
      </c>
      <c r="G801" s="15">
        <f t="shared" ref="G801:G805" si="78">(J801/H801)^(1/(K801-I801))-1</f>
        <v>1.4980906346897083E-2</v>
      </c>
      <c r="H801">
        <f t="shared" ref="H801:H805" si="79">MIN(L801:BE801)</f>
        <v>14</v>
      </c>
      <c r="I801">
        <f t="shared" ref="I801:I805" si="80">LOOKUP(H801,L801:BE801,L$8:BE$8)</f>
        <v>2020</v>
      </c>
      <c r="J801">
        <f t="shared" ref="J801:J805" si="81">MAX(L801:BE801)</f>
        <v>46</v>
      </c>
      <c r="K801">
        <f t="shared" ref="K801:K805" si="82">LOOKUP(J801,L801:BE801,L$8:BE$8)</f>
        <v>2100</v>
      </c>
      <c r="R801" s="11"/>
      <c r="T801">
        <v>14</v>
      </c>
      <c r="Z801">
        <v>23</v>
      </c>
      <c r="AJ801">
        <v>46</v>
      </c>
    </row>
    <row r="802" spans="1:36" x14ac:dyDescent="0.2">
      <c r="A802">
        <f>Data!A797</f>
        <v>0</v>
      </c>
      <c r="B802">
        <f>Data!B797</f>
        <v>0</v>
      </c>
      <c r="C802">
        <f>Data!E797</f>
        <v>2015</v>
      </c>
      <c r="D802" s="8">
        <f>Data!N797</f>
        <v>0.125</v>
      </c>
      <c r="E802">
        <f>E$1*(1-Data!BF797)+E$2*Data!BF797</f>
        <v>1</v>
      </c>
      <c r="F802">
        <f t="shared" si="77"/>
        <v>0.125</v>
      </c>
      <c r="G802" s="15">
        <f t="shared" si="78"/>
        <v>1.9200159110543735E-2</v>
      </c>
      <c r="H802">
        <f t="shared" si="79"/>
        <v>13</v>
      </c>
      <c r="I802">
        <f t="shared" si="80"/>
        <v>2020</v>
      </c>
      <c r="J802">
        <f t="shared" si="81"/>
        <v>23</v>
      </c>
      <c r="K802">
        <f t="shared" si="82"/>
        <v>2050</v>
      </c>
      <c r="R802" s="11"/>
      <c r="T802">
        <v>13</v>
      </c>
      <c r="Z802">
        <v>23</v>
      </c>
    </row>
    <row r="803" spans="1:36" x14ac:dyDescent="0.2">
      <c r="A803">
        <f>Data!A798</f>
        <v>0</v>
      </c>
      <c r="B803">
        <f>Data!B798</f>
        <v>0</v>
      </c>
      <c r="C803">
        <f>Data!E798</f>
        <v>2015</v>
      </c>
      <c r="D803" s="8">
        <f>Data!N798</f>
        <v>0.125</v>
      </c>
      <c r="E803">
        <f>E$1*(1-Data!BF798)+E$2*Data!BF798</f>
        <v>1</v>
      </c>
      <c r="F803">
        <f t="shared" si="77"/>
        <v>0.125</v>
      </c>
      <c r="G803" s="15">
        <f t="shared" si="78"/>
        <v>1.5642496950139195E-2</v>
      </c>
      <c r="H803">
        <f t="shared" si="79"/>
        <v>13</v>
      </c>
      <c r="I803">
        <f t="shared" si="80"/>
        <v>2020</v>
      </c>
      <c r="J803">
        <f t="shared" si="81"/>
        <v>45</v>
      </c>
      <c r="K803">
        <f t="shared" si="82"/>
        <v>2100</v>
      </c>
      <c r="R803" s="11"/>
      <c r="T803">
        <v>13</v>
      </c>
      <c r="Z803">
        <v>23</v>
      </c>
      <c r="AJ803">
        <v>45</v>
      </c>
    </row>
    <row r="804" spans="1:36" x14ac:dyDescent="0.2">
      <c r="A804">
        <f>Data!A799</f>
        <v>0</v>
      </c>
      <c r="B804">
        <f>Data!B799</f>
        <v>0</v>
      </c>
      <c r="C804">
        <f>Data!E799</f>
        <v>2015</v>
      </c>
      <c r="D804" s="8">
        <f>Data!N799</f>
        <v>0.125</v>
      </c>
      <c r="E804">
        <f>E$1*(1-Data!BF799)+E$2*Data!BF799</f>
        <v>1</v>
      </c>
      <c r="F804">
        <f t="shared" si="77"/>
        <v>0.125</v>
      </c>
      <c r="G804" s="15">
        <f t="shared" si="78"/>
        <v>1.8128919432705448E-2</v>
      </c>
      <c r="H804">
        <f t="shared" si="79"/>
        <v>14</v>
      </c>
      <c r="I804">
        <f t="shared" si="80"/>
        <v>2020</v>
      </c>
      <c r="J804">
        <f t="shared" si="81"/>
        <v>24</v>
      </c>
      <c r="K804">
        <f t="shared" si="82"/>
        <v>2050</v>
      </c>
      <c r="R804" s="11"/>
      <c r="T804">
        <v>14</v>
      </c>
      <c r="Z804">
        <v>24</v>
      </c>
    </row>
    <row r="805" spans="1:36" x14ac:dyDescent="0.2">
      <c r="A805">
        <f>Data!A800</f>
        <v>0</v>
      </c>
      <c r="B805">
        <f>Data!B800</f>
        <v>0</v>
      </c>
      <c r="C805">
        <f>Data!E800</f>
        <v>2015</v>
      </c>
      <c r="D805" s="8">
        <f>Data!N800</f>
        <v>0.125</v>
      </c>
      <c r="E805">
        <f>E$1*(1-Data!BF800)+E$2*Data!BF800</f>
        <v>1</v>
      </c>
      <c r="F805">
        <f t="shared" si="77"/>
        <v>0.125</v>
      </c>
      <c r="G805" s="15">
        <f t="shared" si="78"/>
        <v>1.5521014951953127E-2</v>
      </c>
      <c r="H805">
        <f t="shared" si="79"/>
        <v>14</v>
      </c>
      <c r="I805">
        <f t="shared" si="80"/>
        <v>2020</v>
      </c>
      <c r="J805">
        <f t="shared" si="81"/>
        <v>48</v>
      </c>
      <c r="K805">
        <f t="shared" si="82"/>
        <v>2100</v>
      </c>
      <c r="R805" s="11"/>
      <c r="T805">
        <v>14</v>
      </c>
      <c r="Z805">
        <v>24</v>
      </c>
      <c r="AJ805">
        <v>48</v>
      </c>
    </row>
    <row r="806" spans="1:36" x14ac:dyDescent="0.2">
      <c r="A806">
        <f>Data!A801</f>
        <v>0</v>
      </c>
      <c r="B806">
        <f>Data!B801</f>
        <v>0</v>
      </c>
      <c r="C806">
        <f>Data!E801</f>
        <v>2015</v>
      </c>
      <c r="D806" s="8">
        <f>Data!N801</f>
        <v>0.125</v>
      </c>
      <c r="E806">
        <f>E$1*(1-Data!BF801)+E$2*Data!BF801</f>
        <v>1</v>
      </c>
      <c r="F806">
        <f t="shared" si="77"/>
        <v>0.125</v>
      </c>
      <c r="G806" s="15">
        <f t="shared" ref="G806:G808" si="83">(J806/H806)^(1/(K806-I806))-1</f>
        <v>1.6938541767948845E-2</v>
      </c>
      <c r="H806">
        <f t="shared" ref="H806:H808" si="84">MIN(L806:BE806)</f>
        <v>6</v>
      </c>
      <c r="I806">
        <f t="shared" ref="I806:I808" si="85">LOOKUP(H806,L806:BE806,L$8:BE$8)</f>
        <v>2020</v>
      </c>
      <c r="J806">
        <f t="shared" ref="J806:J808" si="86">MAX(L806:BE806)</f>
        <v>23</v>
      </c>
      <c r="K806">
        <f t="shared" ref="K806:K808" si="87">LOOKUP(J806,L806:BE806,L$8:BE$8)</f>
        <v>2100</v>
      </c>
      <c r="R806" s="11"/>
      <c r="T806">
        <v>6</v>
      </c>
      <c r="Z806">
        <v>12</v>
      </c>
      <c r="AJ806">
        <v>23</v>
      </c>
    </row>
    <row r="807" spans="1:36" x14ac:dyDescent="0.2">
      <c r="A807">
        <f>Data!A802</f>
        <v>0</v>
      </c>
      <c r="B807">
        <f>Data!B802</f>
        <v>0</v>
      </c>
      <c r="C807">
        <f>Data!E802</f>
        <v>2015</v>
      </c>
      <c r="D807" s="8">
        <f>Data!N802</f>
        <v>0.125</v>
      </c>
      <c r="E807">
        <f>E$1*(1-Data!BF802)+E$2*Data!BF802</f>
        <v>1</v>
      </c>
      <c r="F807">
        <f t="shared" si="77"/>
        <v>0.125</v>
      </c>
      <c r="G807" s="15">
        <f t="shared" si="83"/>
        <v>1.6315257519308624E-2</v>
      </c>
      <c r="H807">
        <f t="shared" si="84"/>
        <v>8</v>
      </c>
      <c r="I807">
        <f t="shared" si="85"/>
        <v>2020</v>
      </c>
      <c r="J807">
        <f t="shared" si="86"/>
        <v>13</v>
      </c>
      <c r="K807">
        <f t="shared" si="87"/>
        <v>2050</v>
      </c>
      <c r="R807" s="11"/>
      <c r="T807">
        <v>8</v>
      </c>
      <c r="Z807">
        <v>13</v>
      </c>
    </row>
    <row r="808" spans="1:36" x14ac:dyDescent="0.2">
      <c r="A808">
        <f>Data!A803</f>
        <v>0</v>
      </c>
      <c r="B808">
        <f>Data!B803</f>
        <v>0</v>
      </c>
      <c r="C808">
        <f>Data!E803</f>
        <v>2015</v>
      </c>
      <c r="D808" s="8">
        <f>Data!N803</f>
        <v>0.125</v>
      </c>
      <c r="E808">
        <f>E$1*(1-Data!BF803)+E$2*Data!BF803</f>
        <v>1</v>
      </c>
      <c r="F808">
        <f t="shared" si="77"/>
        <v>0.125</v>
      </c>
      <c r="G808" s="15">
        <f t="shared" si="83"/>
        <v>1.1235371423691909E-2</v>
      </c>
      <c r="H808">
        <f t="shared" si="84"/>
        <v>9</v>
      </c>
      <c r="I808">
        <f t="shared" si="85"/>
        <v>2020</v>
      </c>
      <c r="J808">
        <f t="shared" si="86"/>
        <v>22</v>
      </c>
      <c r="K808">
        <f t="shared" si="87"/>
        <v>2100</v>
      </c>
      <c r="R808" s="11"/>
      <c r="T808">
        <v>9</v>
      </c>
      <c r="Z808">
        <v>20</v>
      </c>
      <c r="AJ808">
        <v>22</v>
      </c>
    </row>
    <row r="809" spans="1:36" x14ac:dyDescent="0.2">
      <c r="A809" t="str">
        <f>Data!A804</f>
        <v>Ploeg</v>
      </c>
      <c r="B809" t="str">
        <f>Data!B804</f>
        <v>none</v>
      </c>
      <c r="C809">
        <f>Data!E804</f>
        <v>2014</v>
      </c>
      <c r="D809" s="8">
        <f>Data!N804</f>
        <v>3.5714285714285712E-2</v>
      </c>
      <c r="G809" s="15"/>
      <c r="R809" s="11"/>
    </row>
    <row r="810" spans="1:36" x14ac:dyDescent="0.2">
      <c r="A810">
        <f>Data!A805</f>
        <v>0</v>
      </c>
      <c r="B810">
        <f>Data!B805</f>
        <v>0</v>
      </c>
      <c r="C810">
        <f>Data!E805</f>
        <v>2014</v>
      </c>
      <c r="D810" s="8">
        <f>Data!N805</f>
        <v>3.5714285714285712E-2</v>
      </c>
      <c r="G810" s="15"/>
      <c r="R810" s="11"/>
    </row>
    <row r="811" spans="1:36" x14ac:dyDescent="0.2">
      <c r="A811">
        <f>Data!A806</f>
        <v>0</v>
      </c>
      <c r="B811">
        <f>Data!B806</f>
        <v>0</v>
      </c>
      <c r="C811">
        <f>Data!E806</f>
        <v>2014</v>
      </c>
      <c r="D811" s="8">
        <f>Data!N806</f>
        <v>3.5714285714285712E-2</v>
      </c>
      <c r="G811" s="15"/>
      <c r="R811" s="11"/>
    </row>
    <row r="812" spans="1:36" x14ac:dyDescent="0.2">
      <c r="A812">
        <f>Data!A807</f>
        <v>0</v>
      </c>
      <c r="B812">
        <f>Data!B807</f>
        <v>0</v>
      </c>
      <c r="C812">
        <f>Data!E807</f>
        <v>2014</v>
      </c>
      <c r="D812" s="8">
        <f>Data!N807</f>
        <v>3.5714285714285712E-2</v>
      </c>
      <c r="G812" s="15"/>
      <c r="R812" s="11"/>
    </row>
    <row r="813" spans="1:36" x14ac:dyDescent="0.2">
      <c r="A813">
        <f>Data!A808</f>
        <v>0</v>
      </c>
      <c r="B813">
        <f>Data!B808</f>
        <v>0</v>
      </c>
      <c r="C813">
        <f>Data!E808</f>
        <v>2014</v>
      </c>
      <c r="D813" s="8">
        <f>Data!N808</f>
        <v>3.5714285714285712E-2</v>
      </c>
      <c r="G813" s="15"/>
      <c r="R813" s="11"/>
    </row>
    <row r="814" spans="1:36" x14ac:dyDescent="0.2">
      <c r="A814">
        <f>Data!A809</f>
        <v>0</v>
      </c>
      <c r="B814">
        <f>Data!B809</f>
        <v>0</v>
      </c>
      <c r="C814">
        <f>Data!E809</f>
        <v>2014</v>
      </c>
      <c r="D814" s="8">
        <f>Data!N809</f>
        <v>3.5714285714285712E-2</v>
      </c>
      <c r="G814" s="15"/>
      <c r="R814" s="11"/>
    </row>
    <row r="815" spans="1:36" x14ac:dyDescent="0.2">
      <c r="A815">
        <f>Data!A810</f>
        <v>0</v>
      </c>
      <c r="B815">
        <f>Data!B810</f>
        <v>0</v>
      </c>
      <c r="C815">
        <f>Data!E810</f>
        <v>2014</v>
      </c>
      <c r="D815" s="8">
        <f>Data!N810</f>
        <v>3.5714285714285712E-2</v>
      </c>
      <c r="G815" s="15"/>
      <c r="R815" s="11"/>
    </row>
    <row r="816" spans="1:36" x14ac:dyDescent="0.2">
      <c r="A816">
        <f>Data!A811</f>
        <v>0</v>
      </c>
      <c r="B816">
        <f>Data!B811</f>
        <v>0</v>
      </c>
      <c r="C816">
        <f>Data!E811</f>
        <v>2014</v>
      </c>
      <c r="D816" s="8">
        <f>Data!N811</f>
        <v>3.5714285714285712E-2</v>
      </c>
      <c r="G816" s="15"/>
      <c r="R816" s="11"/>
    </row>
    <row r="817" spans="1:18" x14ac:dyDescent="0.2">
      <c r="A817">
        <f>Data!A812</f>
        <v>0</v>
      </c>
      <c r="B817">
        <f>Data!B812</f>
        <v>0</v>
      </c>
      <c r="C817">
        <f>Data!E812</f>
        <v>2014</v>
      </c>
      <c r="D817" s="8">
        <f>Data!N812</f>
        <v>3.5714285714285712E-2</v>
      </c>
      <c r="G817" s="15"/>
      <c r="R817" s="11"/>
    </row>
    <row r="818" spans="1:18" x14ac:dyDescent="0.2">
      <c r="A818">
        <f>Data!A813</f>
        <v>0</v>
      </c>
      <c r="B818">
        <f>Data!B813</f>
        <v>0</v>
      </c>
      <c r="C818">
        <f>Data!E813</f>
        <v>2014</v>
      </c>
      <c r="D818" s="8">
        <f>Data!N813</f>
        <v>3.5714285714285712E-2</v>
      </c>
      <c r="G818" s="15"/>
      <c r="R818" s="11"/>
    </row>
    <row r="819" spans="1:18" x14ac:dyDescent="0.2">
      <c r="A819">
        <f>Data!A814</f>
        <v>0</v>
      </c>
      <c r="B819">
        <f>Data!B814</f>
        <v>0</v>
      </c>
      <c r="C819">
        <f>Data!E814</f>
        <v>2014</v>
      </c>
      <c r="D819" s="8">
        <f>Data!N814</f>
        <v>3.5714285714285712E-2</v>
      </c>
      <c r="G819" s="15"/>
      <c r="R819" s="11"/>
    </row>
    <row r="820" spans="1:18" x14ac:dyDescent="0.2">
      <c r="A820">
        <f>Data!A815</f>
        <v>0</v>
      </c>
      <c r="B820">
        <f>Data!B815</f>
        <v>0</v>
      </c>
      <c r="C820">
        <f>Data!E815</f>
        <v>2014</v>
      </c>
      <c r="D820" s="8">
        <f>Data!N815</f>
        <v>3.5714285714285712E-2</v>
      </c>
      <c r="G820" s="15"/>
      <c r="R820" s="11"/>
    </row>
    <row r="821" spans="1:18" x14ac:dyDescent="0.2">
      <c r="A821">
        <f>Data!A816</f>
        <v>0</v>
      </c>
      <c r="B821">
        <f>Data!B816</f>
        <v>0</v>
      </c>
      <c r="C821">
        <f>Data!E816</f>
        <v>2014</v>
      </c>
      <c r="D821" s="8">
        <f>Data!N816</f>
        <v>3.5714285714285712E-2</v>
      </c>
      <c r="G821" s="15"/>
      <c r="R821" s="11"/>
    </row>
    <row r="822" spans="1:18" x14ac:dyDescent="0.2">
      <c r="A822">
        <f>Data!A817</f>
        <v>0</v>
      </c>
      <c r="B822">
        <f>Data!B817</f>
        <v>0</v>
      </c>
      <c r="C822">
        <f>Data!E817</f>
        <v>2014</v>
      </c>
      <c r="D822" s="8">
        <f>Data!N817</f>
        <v>3.5714285714285712E-2</v>
      </c>
      <c r="G822" s="15"/>
      <c r="R822" s="11"/>
    </row>
    <row r="823" spans="1:18" x14ac:dyDescent="0.2">
      <c r="A823">
        <f>Data!A818</f>
        <v>0</v>
      </c>
      <c r="B823">
        <f>Data!B818</f>
        <v>0</v>
      </c>
      <c r="C823">
        <f>Data!E818</f>
        <v>2014</v>
      </c>
      <c r="D823" s="8">
        <f>Data!N818</f>
        <v>3.5714285714285712E-2</v>
      </c>
      <c r="G823" s="15"/>
      <c r="R823" s="11"/>
    </row>
    <row r="824" spans="1:18" x14ac:dyDescent="0.2">
      <c r="A824">
        <f>Data!A819</f>
        <v>0</v>
      </c>
      <c r="B824">
        <f>Data!B819</f>
        <v>0</v>
      </c>
      <c r="C824">
        <f>Data!E819</f>
        <v>2014</v>
      </c>
      <c r="D824" s="8">
        <f>Data!N819</f>
        <v>3.5714285714285712E-2</v>
      </c>
      <c r="G824" s="15"/>
      <c r="R824" s="11"/>
    </row>
    <row r="825" spans="1:18" x14ac:dyDescent="0.2">
      <c r="A825">
        <f>Data!A820</f>
        <v>0</v>
      </c>
      <c r="B825">
        <f>Data!B820</f>
        <v>0</v>
      </c>
      <c r="C825">
        <f>Data!E820</f>
        <v>2014</v>
      </c>
      <c r="D825" s="8">
        <f>Data!N820</f>
        <v>3.5714285714285712E-2</v>
      </c>
      <c r="G825" s="15"/>
      <c r="R825" s="11"/>
    </row>
    <row r="826" spans="1:18" x14ac:dyDescent="0.2">
      <c r="A826">
        <f>Data!A821</f>
        <v>0</v>
      </c>
      <c r="B826">
        <f>Data!B821</f>
        <v>0</v>
      </c>
      <c r="C826">
        <f>Data!E821</f>
        <v>2014</v>
      </c>
      <c r="D826" s="8">
        <f>Data!N821</f>
        <v>3.5714285714285712E-2</v>
      </c>
      <c r="G826" s="15"/>
      <c r="R826" s="11"/>
    </row>
    <row r="827" spans="1:18" x14ac:dyDescent="0.2">
      <c r="A827">
        <f>Data!A822</f>
        <v>0</v>
      </c>
      <c r="B827">
        <f>Data!B822</f>
        <v>0</v>
      </c>
      <c r="C827">
        <f>Data!E822</f>
        <v>2014</v>
      </c>
      <c r="D827" s="8">
        <f>Data!N822</f>
        <v>3.5714285714285712E-2</v>
      </c>
      <c r="G827" s="15"/>
      <c r="R827" s="11"/>
    </row>
    <row r="828" spans="1:18" x14ac:dyDescent="0.2">
      <c r="A828">
        <f>Data!A823</f>
        <v>0</v>
      </c>
      <c r="B828">
        <f>Data!B823</f>
        <v>0</v>
      </c>
      <c r="C828">
        <f>Data!E823</f>
        <v>2014</v>
      </c>
      <c r="D828" s="8">
        <f>Data!N823</f>
        <v>3.5714285714285712E-2</v>
      </c>
      <c r="G828" s="15"/>
      <c r="R828" s="11"/>
    </row>
    <row r="829" spans="1:18" x14ac:dyDescent="0.2">
      <c r="A829">
        <f>Data!A824</f>
        <v>0</v>
      </c>
      <c r="B829">
        <f>Data!B824</f>
        <v>0</v>
      </c>
      <c r="C829">
        <f>Data!E824</f>
        <v>2014</v>
      </c>
      <c r="D829" s="8">
        <f>Data!N824</f>
        <v>3.5714285714285712E-2</v>
      </c>
      <c r="G829" s="15"/>
      <c r="R829" s="11"/>
    </row>
    <row r="830" spans="1:18" x14ac:dyDescent="0.2">
      <c r="A830">
        <f>Data!A825</f>
        <v>0</v>
      </c>
      <c r="B830">
        <f>Data!B825</f>
        <v>0</v>
      </c>
      <c r="C830">
        <f>Data!E825</f>
        <v>2014</v>
      </c>
      <c r="D830" s="8">
        <f>Data!N825</f>
        <v>3.5714285714285712E-2</v>
      </c>
      <c r="G830" s="15"/>
      <c r="R830" s="11"/>
    </row>
    <row r="831" spans="1:18" x14ac:dyDescent="0.2">
      <c r="A831">
        <f>Data!A826</f>
        <v>0</v>
      </c>
      <c r="B831">
        <f>Data!B826</f>
        <v>0</v>
      </c>
      <c r="C831">
        <f>Data!E826</f>
        <v>2014</v>
      </c>
      <c r="D831" s="8">
        <f>Data!N826</f>
        <v>3.5714285714285712E-2</v>
      </c>
      <c r="G831" s="15"/>
      <c r="R831" s="11"/>
    </row>
    <row r="832" spans="1:18" x14ac:dyDescent="0.2">
      <c r="A832">
        <f>Data!A827</f>
        <v>0</v>
      </c>
      <c r="B832">
        <f>Data!B827</f>
        <v>0</v>
      </c>
      <c r="C832">
        <f>Data!E827</f>
        <v>2014</v>
      </c>
      <c r="D832" s="8">
        <f>Data!N827</f>
        <v>3.5714285714285712E-2</v>
      </c>
      <c r="G832" s="15"/>
      <c r="R832" s="11"/>
    </row>
    <row r="833" spans="1:18" x14ac:dyDescent="0.2">
      <c r="A833">
        <f>Data!A828</f>
        <v>0</v>
      </c>
      <c r="B833">
        <f>Data!B828</f>
        <v>0</v>
      </c>
      <c r="C833">
        <f>Data!E828</f>
        <v>2014</v>
      </c>
      <c r="D833" s="8">
        <f>Data!N828</f>
        <v>3.5714285714285712E-2</v>
      </c>
      <c r="G833" s="15"/>
      <c r="R833" s="11"/>
    </row>
    <row r="834" spans="1:18" x14ac:dyDescent="0.2">
      <c r="A834">
        <f>Data!A829</f>
        <v>0</v>
      </c>
      <c r="B834">
        <f>Data!B829</f>
        <v>0</v>
      </c>
      <c r="C834">
        <f>Data!E829</f>
        <v>2014</v>
      </c>
      <c r="D834" s="8">
        <f>Data!N829</f>
        <v>3.5714285714285712E-2</v>
      </c>
      <c r="G834" s="15"/>
      <c r="R834" s="11"/>
    </row>
    <row r="835" spans="1:18" x14ac:dyDescent="0.2">
      <c r="A835">
        <f>Data!A830</f>
        <v>0</v>
      </c>
      <c r="B835">
        <f>Data!B830</f>
        <v>0</v>
      </c>
      <c r="C835">
        <f>Data!E830</f>
        <v>2014</v>
      </c>
      <c r="D835" s="8">
        <f>Data!N830</f>
        <v>3.5714285714285712E-2</v>
      </c>
      <c r="G835" s="15"/>
      <c r="R835" s="11"/>
    </row>
    <row r="836" spans="1:18" x14ac:dyDescent="0.2">
      <c r="A836">
        <f>Data!A831</f>
        <v>0</v>
      </c>
      <c r="B836">
        <f>Data!B831</f>
        <v>0</v>
      </c>
      <c r="C836">
        <f>Data!E831</f>
        <v>2014</v>
      </c>
      <c r="D836" s="8">
        <f>Data!N831</f>
        <v>3.5714285714285712E-2</v>
      </c>
      <c r="G836" s="15"/>
      <c r="R836" s="11"/>
    </row>
    <row r="837" spans="1:18" x14ac:dyDescent="0.2">
      <c r="A837" t="str">
        <f>Data!A832</f>
        <v>Howarth</v>
      </c>
      <c r="B837" t="str">
        <f>Data!B832</f>
        <v>none</v>
      </c>
      <c r="C837">
        <f>Data!E832</f>
        <v>2014</v>
      </c>
      <c r="D837" s="8">
        <f>Data!N832</f>
        <v>5.8823529411764705E-2</v>
      </c>
      <c r="G837" s="15"/>
      <c r="R837" s="11"/>
    </row>
    <row r="838" spans="1:18" x14ac:dyDescent="0.2">
      <c r="A838">
        <f>Data!A833</f>
        <v>0</v>
      </c>
      <c r="B838">
        <f>Data!B833</f>
        <v>0</v>
      </c>
      <c r="C838">
        <f>Data!E833</f>
        <v>2014</v>
      </c>
      <c r="D838" s="8">
        <f>Data!N833</f>
        <v>0.23529411764705882</v>
      </c>
      <c r="G838" s="15"/>
      <c r="R838" s="11"/>
    </row>
    <row r="839" spans="1:18" x14ac:dyDescent="0.2">
      <c r="A839">
        <f>Data!A834</f>
        <v>0</v>
      </c>
      <c r="B839">
        <f>Data!B834</f>
        <v>0</v>
      </c>
      <c r="C839">
        <f>Data!E834</f>
        <v>2014</v>
      </c>
      <c r="D839" s="8">
        <f>Data!N834</f>
        <v>0.47058823529411764</v>
      </c>
      <c r="G839" s="15"/>
      <c r="R839" s="11"/>
    </row>
    <row r="840" spans="1:18" x14ac:dyDescent="0.2">
      <c r="A840">
        <f>Data!A835</f>
        <v>0</v>
      </c>
      <c r="B840">
        <f>Data!B835</f>
        <v>0</v>
      </c>
      <c r="C840">
        <f>Data!E835</f>
        <v>2014</v>
      </c>
      <c r="D840" s="8">
        <f>Data!N835</f>
        <v>0.11764705882352941</v>
      </c>
      <c r="G840" s="15"/>
      <c r="R840" s="11"/>
    </row>
    <row r="841" spans="1:18" x14ac:dyDescent="0.2">
      <c r="A841">
        <f>Data!A836</f>
        <v>0</v>
      </c>
      <c r="B841">
        <f>Data!B836</f>
        <v>0</v>
      </c>
      <c r="C841">
        <f>Data!E836</f>
        <v>2014</v>
      </c>
      <c r="D841" s="8">
        <f>Data!N836</f>
        <v>0.11764705882352941</v>
      </c>
      <c r="G841" s="15"/>
      <c r="R841" s="11"/>
    </row>
    <row r="842" spans="1:18" x14ac:dyDescent="0.2">
      <c r="A842" t="str">
        <f>Data!A837</f>
        <v>Pycroft</v>
      </c>
      <c r="B842" t="str">
        <f>Data!B837</f>
        <v>none</v>
      </c>
      <c r="C842">
        <f>Data!E837</f>
        <v>2014</v>
      </c>
      <c r="D842" s="8">
        <f>Data!N837</f>
        <v>0.13333333333333333</v>
      </c>
      <c r="G842" s="15"/>
      <c r="R842" s="11"/>
    </row>
    <row r="843" spans="1:18" x14ac:dyDescent="0.2">
      <c r="A843">
        <f>Data!A838</f>
        <v>0</v>
      </c>
      <c r="B843">
        <f>Data!B838</f>
        <v>0</v>
      </c>
      <c r="C843">
        <f>Data!E838</f>
        <v>2014</v>
      </c>
      <c r="D843" s="8">
        <f>Data!N838</f>
        <v>6.6666666666666666E-2</v>
      </c>
      <c r="G843" s="15"/>
      <c r="R843" s="11"/>
    </row>
    <row r="844" spans="1:18" x14ac:dyDescent="0.2">
      <c r="A844">
        <f>Data!A839</f>
        <v>0</v>
      </c>
      <c r="B844">
        <f>Data!B839</f>
        <v>0</v>
      </c>
      <c r="C844">
        <f>Data!E839</f>
        <v>2014</v>
      </c>
      <c r="D844" s="8">
        <f>Data!N839</f>
        <v>0.2</v>
      </c>
      <c r="G844" s="15"/>
      <c r="R844" s="11"/>
    </row>
    <row r="845" spans="1:18" x14ac:dyDescent="0.2">
      <c r="A845">
        <f>Data!A840</f>
        <v>0</v>
      </c>
      <c r="B845">
        <f>Data!B840</f>
        <v>0</v>
      </c>
      <c r="C845">
        <f>Data!E840</f>
        <v>2014</v>
      </c>
      <c r="D845" s="8">
        <f>Data!N840</f>
        <v>0.26666666666666666</v>
      </c>
      <c r="G845" s="15"/>
      <c r="R845" s="11"/>
    </row>
    <row r="846" spans="1:18" x14ac:dyDescent="0.2">
      <c r="A846">
        <f>Data!A841</f>
        <v>0</v>
      </c>
      <c r="B846">
        <f>Data!B841</f>
        <v>0</v>
      </c>
      <c r="C846">
        <f>Data!E841</f>
        <v>2014</v>
      </c>
      <c r="D846" s="8">
        <f>Data!N841</f>
        <v>0.33333333333333331</v>
      </c>
      <c r="G846" s="15"/>
      <c r="R846" s="11"/>
    </row>
    <row r="847" spans="1:18" x14ac:dyDescent="0.2">
      <c r="A847" t="str">
        <f>Data!A842</f>
        <v>Moyer</v>
      </c>
      <c r="B847" t="str">
        <f>Data!B842</f>
        <v>none</v>
      </c>
      <c r="C847">
        <f>Data!E842</f>
        <v>2014</v>
      </c>
      <c r="D847" s="8">
        <f>Data!N842</f>
        <v>0.12623274161735701</v>
      </c>
      <c r="G847" s="15"/>
      <c r="R847" s="11"/>
    </row>
    <row r="848" spans="1:18" x14ac:dyDescent="0.2">
      <c r="A848">
        <f>Data!A843</f>
        <v>0</v>
      </c>
      <c r="B848">
        <f>Data!B843</f>
        <v>0</v>
      </c>
      <c r="C848">
        <f>Data!E843</f>
        <v>2014</v>
      </c>
      <c r="D848" s="8">
        <f>Data!N843</f>
        <v>6.3116370808678504E-2</v>
      </c>
      <c r="G848" s="15"/>
      <c r="R848" s="11"/>
    </row>
    <row r="849" spans="1:18" x14ac:dyDescent="0.2">
      <c r="A849">
        <f>Data!A844</f>
        <v>0</v>
      </c>
      <c r="B849">
        <f>Data!B844</f>
        <v>0</v>
      </c>
      <c r="C849">
        <f>Data!E844</f>
        <v>2014</v>
      </c>
      <c r="D849" s="8">
        <f>Data!N844</f>
        <v>6.3116370808678504E-2</v>
      </c>
      <c r="G849" s="15"/>
      <c r="R849" s="11"/>
    </row>
    <row r="850" spans="1:18" x14ac:dyDescent="0.2">
      <c r="A850">
        <f>Data!A845</f>
        <v>0</v>
      </c>
      <c r="B850">
        <f>Data!B845</f>
        <v>0</v>
      </c>
      <c r="C850">
        <f>Data!E845</f>
        <v>2014</v>
      </c>
      <c r="D850" s="8">
        <f>Data!N845</f>
        <v>3.1558185404339252E-2</v>
      </c>
      <c r="G850" s="15"/>
      <c r="R850" s="11"/>
    </row>
    <row r="851" spans="1:18" x14ac:dyDescent="0.2">
      <c r="A851">
        <f>Data!A846</f>
        <v>0</v>
      </c>
      <c r="B851">
        <f>Data!B846</f>
        <v>0</v>
      </c>
      <c r="C851">
        <f>Data!E846</f>
        <v>2014</v>
      </c>
      <c r="D851" s="8">
        <f>Data!N846</f>
        <v>1.5779092702169626E-2</v>
      </c>
      <c r="G851" s="15"/>
      <c r="R851" s="11"/>
    </row>
    <row r="852" spans="1:18" x14ac:dyDescent="0.2">
      <c r="A852">
        <f>Data!A847</f>
        <v>0</v>
      </c>
      <c r="B852">
        <f>Data!B847</f>
        <v>0</v>
      </c>
      <c r="C852">
        <f>Data!E847</f>
        <v>2014</v>
      </c>
      <c r="D852" s="8">
        <f>Data!N847</f>
        <v>7.889546351084813E-3</v>
      </c>
      <c r="G852" s="15"/>
      <c r="R852" s="11"/>
    </row>
    <row r="853" spans="1:18" x14ac:dyDescent="0.2">
      <c r="A853">
        <f>Data!A848</f>
        <v>0</v>
      </c>
      <c r="B853">
        <f>Data!B848</f>
        <v>0</v>
      </c>
      <c r="C853">
        <f>Data!E848</f>
        <v>2014</v>
      </c>
      <c r="D853" s="8">
        <f>Data!N848</f>
        <v>6.3116370808678504E-2</v>
      </c>
      <c r="G853" s="15"/>
      <c r="R853" s="11"/>
    </row>
    <row r="854" spans="1:18" x14ac:dyDescent="0.2">
      <c r="A854">
        <f>Data!A849</f>
        <v>0</v>
      </c>
      <c r="B854">
        <f>Data!B849</f>
        <v>0</v>
      </c>
      <c r="C854">
        <f>Data!E849</f>
        <v>2014</v>
      </c>
      <c r="D854" s="8">
        <f>Data!N849</f>
        <v>3.1558185404339252E-2</v>
      </c>
      <c r="G854" s="15"/>
      <c r="R854" s="11"/>
    </row>
    <row r="855" spans="1:18" x14ac:dyDescent="0.2">
      <c r="A855">
        <f>Data!A850</f>
        <v>0</v>
      </c>
      <c r="B855">
        <f>Data!B850</f>
        <v>0</v>
      </c>
      <c r="C855">
        <f>Data!E850</f>
        <v>2014</v>
      </c>
      <c r="D855" s="8">
        <f>Data!N850</f>
        <v>3.1558185404339252E-2</v>
      </c>
      <c r="G855" s="15"/>
      <c r="R855" s="11"/>
    </row>
    <row r="856" spans="1:18" x14ac:dyDescent="0.2">
      <c r="A856">
        <f>Data!A851</f>
        <v>0</v>
      </c>
      <c r="B856">
        <f>Data!B851</f>
        <v>0</v>
      </c>
      <c r="C856">
        <f>Data!E851</f>
        <v>2014</v>
      </c>
      <c r="D856" s="8">
        <f>Data!N851</f>
        <v>1.5779092702169626E-2</v>
      </c>
      <c r="G856" s="15"/>
      <c r="R856" s="11"/>
    </row>
    <row r="857" spans="1:18" x14ac:dyDescent="0.2">
      <c r="A857">
        <f>Data!A852</f>
        <v>0</v>
      </c>
      <c r="B857">
        <f>Data!B852</f>
        <v>0</v>
      </c>
      <c r="C857">
        <f>Data!E852</f>
        <v>2014</v>
      </c>
      <c r="D857" s="8">
        <f>Data!N852</f>
        <v>7.889546351084813E-3</v>
      </c>
      <c r="G857" s="15"/>
      <c r="R857" s="11"/>
    </row>
    <row r="858" spans="1:18" x14ac:dyDescent="0.2">
      <c r="A858">
        <f>Data!A853</f>
        <v>0</v>
      </c>
      <c r="B858">
        <f>Data!B853</f>
        <v>0</v>
      </c>
      <c r="C858">
        <f>Data!E853</f>
        <v>2014</v>
      </c>
      <c r="D858" s="8">
        <f>Data!N853</f>
        <v>3.9447731755424065E-3</v>
      </c>
      <c r="G858" s="15"/>
      <c r="R858" s="11"/>
    </row>
    <row r="859" spans="1:18" x14ac:dyDescent="0.2">
      <c r="A859">
        <f>Data!A854</f>
        <v>0</v>
      </c>
      <c r="B859">
        <f>Data!B854</f>
        <v>0</v>
      </c>
      <c r="C859">
        <f>Data!E854</f>
        <v>2014</v>
      </c>
      <c r="D859" s="8">
        <f>Data!N854</f>
        <v>6.3116370808678504E-2</v>
      </c>
      <c r="G859" s="15"/>
      <c r="R859" s="11"/>
    </row>
    <row r="860" spans="1:18" x14ac:dyDescent="0.2">
      <c r="A860">
        <f>Data!A855</f>
        <v>0</v>
      </c>
      <c r="B860">
        <f>Data!B855</f>
        <v>0</v>
      </c>
      <c r="C860">
        <f>Data!E855</f>
        <v>2014</v>
      </c>
      <c r="D860" s="8">
        <f>Data!N855</f>
        <v>3.1558185404339252E-2</v>
      </c>
      <c r="G860" s="15"/>
      <c r="R860" s="11"/>
    </row>
    <row r="861" spans="1:18" x14ac:dyDescent="0.2">
      <c r="A861">
        <f>Data!A856</f>
        <v>0</v>
      </c>
      <c r="B861">
        <f>Data!B856</f>
        <v>0</v>
      </c>
      <c r="C861">
        <f>Data!E856</f>
        <v>2014</v>
      </c>
      <c r="D861" s="8">
        <f>Data!N856</f>
        <v>3.1558185404339252E-2</v>
      </c>
      <c r="G861" s="15"/>
      <c r="R861" s="11"/>
    </row>
    <row r="862" spans="1:18" x14ac:dyDescent="0.2">
      <c r="A862">
        <f>Data!A857</f>
        <v>0</v>
      </c>
      <c r="B862">
        <f>Data!B857</f>
        <v>0</v>
      </c>
      <c r="C862">
        <f>Data!E857</f>
        <v>2014</v>
      </c>
      <c r="D862" s="8">
        <f>Data!N857</f>
        <v>1.5779092702169626E-2</v>
      </c>
      <c r="G862" s="15"/>
      <c r="R862" s="11"/>
    </row>
    <row r="863" spans="1:18" x14ac:dyDescent="0.2">
      <c r="A863">
        <f>Data!A858</f>
        <v>0</v>
      </c>
      <c r="B863">
        <f>Data!B858</f>
        <v>0</v>
      </c>
      <c r="C863">
        <f>Data!E858</f>
        <v>2014</v>
      </c>
      <c r="D863" s="8">
        <f>Data!N858</f>
        <v>7.889546351084813E-3</v>
      </c>
      <c r="G863" s="15"/>
      <c r="R863" s="11"/>
    </row>
    <row r="864" spans="1:18" x14ac:dyDescent="0.2">
      <c r="A864">
        <f>Data!A859</f>
        <v>0</v>
      </c>
      <c r="B864">
        <f>Data!B859</f>
        <v>0</v>
      </c>
      <c r="C864">
        <f>Data!E859</f>
        <v>2014</v>
      </c>
      <c r="D864" s="8">
        <f>Data!N859</f>
        <v>3.9447731755424065E-3</v>
      </c>
      <c r="G864" s="15"/>
      <c r="R864" s="11"/>
    </row>
    <row r="865" spans="1:18" x14ac:dyDescent="0.2">
      <c r="A865">
        <f>Data!A860</f>
        <v>0</v>
      </c>
      <c r="B865">
        <f>Data!B860</f>
        <v>0</v>
      </c>
      <c r="C865">
        <f>Data!E860</f>
        <v>2014</v>
      </c>
      <c r="D865" s="8">
        <f>Data!N860</f>
        <v>3.1558185404339252E-2</v>
      </c>
      <c r="G865" s="15"/>
      <c r="R865" s="11"/>
    </row>
    <row r="866" spans="1:18" x14ac:dyDescent="0.2">
      <c r="A866">
        <f>Data!A861</f>
        <v>0</v>
      </c>
      <c r="B866">
        <f>Data!B861</f>
        <v>0</v>
      </c>
      <c r="C866">
        <f>Data!E861</f>
        <v>2014</v>
      </c>
      <c r="D866" s="8">
        <f>Data!N861</f>
        <v>1.5779092702169626E-2</v>
      </c>
      <c r="G866" s="15"/>
      <c r="R866" s="11"/>
    </row>
    <row r="867" spans="1:18" x14ac:dyDescent="0.2">
      <c r="A867">
        <f>Data!A862</f>
        <v>0</v>
      </c>
      <c r="B867">
        <f>Data!B862</f>
        <v>0</v>
      </c>
      <c r="C867">
        <f>Data!E862</f>
        <v>2014</v>
      </c>
      <c r="D867" s="8">
        <f>Data!N862</f>
        <v>1.5779092702169626E-2</v>
      </c>
      <c r="G867" s="15"/>
      <c r="R867" s="11"/>
    </row>
    <row r="868" spans="1:18" x14ac:dyDescent="0.2">
      <c r="A868">
        <f>Data!A863</f>
        <v>0</v>
      </c>
      <c r="B868">
        <f>Data!B863</f>
        <v>0</v>
      </c>
      <c r="C868">
        <f>Data!E863</f>
        <v>2014</v>
      </c>
      <c r="D868" s="8">
        <f>Data!N863</f>
        <v>7.889546351084813E-3</v>
      </c>
      <c r="G868" s="15"/>
      <c r="R868" s="11"/>
    </row>
    <row r="869" spans="1:18" x14ac:dyDescent="0.2">
      <c r="A869">
        <f>Data!A864</f>
        <v>0</v>
      </c>
      <c r="B869">
        <f>Data!B864</f>
        <v>0</v>
      </c>
      <c r="C869">
        <f>Data!E864</f>
        <v>2014</v>
      </c>
      <c r="D869" s="8">
        <f>Data!N864</f>
        <v>3.9447731755424065E-3</v>
      </c>
      <c r="G869" s="15"/>
      <c r="R869" s="11"/>
    </row>
    <row r="870" spans="1:18" x14ac:dyDescent="0.2">
      <c r="A870">
        <f>Data!A865</f>
        <v>0</v>
      </c>
      <c r="B870">
        <f>Data!B865</f>
        <v>0</v>
      </c>
      <c r="C870">
        <f>Data!E865</f>
        <v>2014</v>
      </c>
      <c r="D870" s="8">
        <f>Data!N865</f>
        <v>1.9723865877712033E-3</v>
      </c>
      <c r="G870" s="15"/>
      <c r="R870" s="11"/>
    </row>
    <row r="871" spans="1:18" x14ac:dyDescent="0.2">
      <c r="A871">
        <f>Data!A866</f>
        <v>0</v>
      </c>
      <c r="B871">
        <f>Data!B866</f>
        <v>0</v>
      </c>
      <c r="C871">
        <f>Data!E866</f>
        <v>2014</v>
      </c>
      <c r="D871" s="8">
        <f>Data!N866</f>
        <v>0.12623274161735701</v>
      </c>
      <c r="G871" s="15"/>
      <c r="R871" s="11"/>
    </row>
    <row r="872" spans="1:18" x14ac:dyDescent="0.2">
      <c r="A872">
        <f>Data!A867</f>
        <v>0</v>
      </c>
      <c r="B872">
        <f>Data!B867</f>
        <v>0</v>
      </c>
      <c r="C872">
        <f>Data!E867</f>
        <v>2014</v>
      </c>
      <c r="D872" s="8">
        <f>Data!N867</f>
        <v>6.3116370808678504E-2</v>
      </c>
      <c r="G872" s="15"/>
      <c r="R872" s="11"/>
    </row>
    <row r="873" spans="1:18" x14ac:dyDescent="0.2">
      <c r="A873">
        <f>Data!A868</f>
        <v>0</v>
      </c>
      <c r="B873">
        <f>Data!B868</f>
        <v>0</v>
      </c>
      <c r="C873">
        <f>Data!E868</f>
        <v>2014</v>
      </c>
      <c r="D873" s="8">
        <f>Data!N868</f>
        <v>6.3116370808678504E-2</v>
      </c>
      <c r="G873" s="15"/>
      <c r="R873" s="11"/>
    </row>
    <row r="874" spans="1:18" x14ac:dyDescent="0.2">
      <c r="A874">
        <f>Data!A869</f>
        <v>0</v>
      </c>
      <c r="B874">
        <f>Data!B869</f>
        <v>0</v>
      </c>
      <c r="C874">
        <f>Data!E869</f>
        <v>2014</v>
      </c>
      <c r="D874" s="8">
        <f>Data!N869</f>
        <v>3.1558185404339252E-2</v>
      </c>
      <c r="G874" s="15"/>
      <c r="R874" s="11"/>
    </row>
    <row r="875" spans="1:18" x14ac:dyDescent="0.2">
      <c r="A875">
        <f>Data!A870</f>
        <v>0</v>
      </c>
      <c r="B875">
        <f>Data!B870</f>
        <v>0</v>
      </c>
      <c r="C875">
        <f>Data!E870</f>
        <v>2014</v>
      </c>
      <c r="D875" s="8">
        <f>Data!N870</f>
        <v>1.5779092702169626E-2</v>
      </c>
      <c r="G875" s="15"/>
      <c r="R875" s="11"/>
    </row>
    <row r="876" spans="1:18" x14ac:dyDescent="0.2">
      <c r="A876">
        <f>Data!A871</f>
        <v>0</v>
      </c>
      <c r="B876">
        <f>Data!B871</f>
        <v>0</v>
      </c>
      <c r="C876">
        <f>Data!E871</f>
        <v>2014</v>
      </c>
      <c r="D876" s="8">
        <f>Data!N871</f>
        <v>7.889546351084813E-3</v>
      </c>
      <c r="G876" s="15"/>
      <c r="R876" s="11"/>
    </row>
    <row r="877" spans="1:18" x14ac:dyDescent="0.2">
      <c r="A877" t="str">
        <f>Data!A872</f>
        <v>JensenTraeger</v>
      </c>
      <c r="B877" t="str">
        <f>Data!B872</f>
        <v>none</v>
      </c>
      <c r="C877">
        <f>Data!E872</f>
        <v>2014</v>
      </c>
      <c r="D877" s="8">
        <f>Data!N872</f>
        <v>6.1538461538461542E-2</v>
      </c>
      <c r="G877" s="15"/>
      <c r="R877" s="11"/>
    </row>
    <row r="878" spans="1:18" x14ac:dyDescent="0.2">
      <c r="A878">
        <f>Data!A873</f>
        <v>0</v>
      </c>
      <c r="B878">
        <f>Data!B873</f>
        <v>0</v>
      </c>
      <c r="C878">
        <f>Data!E873</f>
        <v>2014</v>
      </c>
      <c r="D878" s="8">
        <f>Data!N873</f>
        <v>0.12307692307692308</v>
      </c>
      <c r="G878" s="15"/>
      <c r="R878" s="11"/>
    </row>
    <row r="879" spans="1:18" x14ac:dyDescent="0.2">
      <c r="A879">
        <f>Data!A874</f>
        <v>0</v>
      </c>
      <c r="B879">
        <f>Data!B874</f>
        <v>0</v>
      </c>
      <c r="C879">
        <f>Data!E874</f>
        <v>2014</v>
      </c>
      <c r="D879" s="8">
        <f>Data!N874</f>
        <v>3.0769230769230771E-2</v>
      </c>
      <c r="G879" s="15"/>
      <c r="R879" s="11"/>
    </row>
    <row r="880" spans="1:18" x14ac:dyDescent="0.2">
      <c r="A880">
        <f>Data!A875</f>
        <v>0</v>
      </c>
      <c r="B880">
        <f>Data!B875</f>
        <v>0</v>
      </c>
      <c r="C880">
        <f>Data!E875</f>
        <v>2014</v>
      </c>
      <c r="D880" s="8">
        <f>Data!N875</f>
        <v>1.5384615384615385E-2</v>
      </c>
      <c r="G880" s="15"/>
      <c r="R880" s="11"/>
    </row>
    <row r="881" spans="1:18" x14ac:dyDescent="0.2">
      <c r="A881">
        <f>Data!A876</f>
        <v>0</v>
      </c>
      <c r="B881">
        <f>Data!B876</f>
        <v>0</v>
      </c>
      <c r="C881">
        <f>Data!E876</f>
        <v>2014</v>
      </c>
      <c r="D881" s="8">
        <f>Data!N876</f>
        <v>3.0769230769230771E-2</v>
      </c>
      <c r="G881" s="15"/>
      <c r="R881" s="11"/>
    </row>
    <row r="882" spans="1:18" x14ac:dyDescent="0.2">
      <c r="A882">
        <f>Data!A877</f>
        <v>0</v>
      </c>
      <c r="B882">
        <f>Data!B877</f>
        <v>0</v>
      </c>
      <c r="C882">
        <f>Data!E877</f>
        <v>2014</v>
      </c>
      <c r="D882" s="8">
        <f>Data!N877</f>
        <v>0.24615384615384617</v>
      </c>
      <c r="G882" s="15"/>
      <c r="R882" s="11"/>
    </row>
    <row r="883" spans="1:18" x14ac:dyDescent="0.2">
      <c r="A883">
        <f>Data!A878</f>
        <v>0</v>
      </c>
      <c r="B883">
        <f>Data!B878</f>
        <v>0</v>
      </c>
      <c r="C883">
        <f>Data!E878</f>
        <v>2014</v>
      </c>
      <c r="D883" s="8">
        <f>Data!N878</f>
        <v>0.49230769230769234</v>
      </c>
      <c r="G883" s="15"/>
      <c r="R883" s="11"/>
    </row>
    <row r="884" spans="1:18" x14ac:dyDescent="0.2">
      <c r="A884" t="str">
        <f>Data!A879</f>
        <v>CrostTraeger</v>
      </c>
      <c r="B884" t="str">
        <f>Data!B879</f>
        <v>none</v>
      </c>
      <c r="C884">
        <f>Data!E879</f>
        <v>2014</v>
      </c>
      <c r="D884" s="8">
        <f>Data!N879</f>
        <v>1.5873015873015872E-2</v>
      </c>
      <c r="G884" s="15"/>
      <c r="R884" s="11"/>
    </row>
    <row r="885" spans="1:18" x14ac:dyDescent="0.2">
      <c r="A885">
        <f>Data!A880</f>
        <v>0</v>
      </c>
      <c r="B885">
        <f>Data!B880</f>
        <v>0</v>
      </c>
      <c r="C885">
        <f>Data!E880</f>
        <v>2014</v>
      </c>
      <c r="D885" s="8">
        <f>Data!N880</f>
        <v>6.3492063492063489E-2</v>
      </c>
      <c r="G885" s="15"/>
      <c r="R885" s="11"/>
    </row>
    <row r="886" spans="1:18" x14ac:dyDescent="0.2">
      <c r="A886">
        <f>Data!A881</f>
        <v>0</v>
      </c>
      <c r="B886">
        <f>Data!B881</f>
        <v>0</v>
      </c>
      <c r="C886">
        <f>Data!E881</f>
        <v>2014</v>
      </c>
      <c r="D886" s="8">
        <f>Data!N881</f>
        <v>6.3492063492063489E-2</v>
      </c>
      <c r="G886" s="15"/>
      <c r="R886" s="11"/>
    </row>
    <row r="887" spans="1:18" x14ac:dyDescent="0.2">
      <c r="A887">
        <f>Data!A882</f>
        <v>0</v>
      </c>
      <c r="B887">
        <f>Data!B882</f>
        <v>0</v>
      </c>
      <c r="C887">
        <f>Data!E882</f>
        <v>2014</v>
      </c>
      <c r="D887" s="8">
        <f>Data!N882</f>
        <v>6.3492063492063489E-2</v>
      </c>
      <c r="G887" s="15"/>
      <c r="R887" s="11"/>
    </row>
    <row r="888" spans="1:18" x14ac:dyDescent="0.2">
      <c r="A888">
        <f>Data!A883</f>
        <v>0</v>
      </c>
      <c r="B888">
        <f>Data!B883</f>
        <v>0</v>
      </c>
      <c r="C888">
        <f>Data!E883</f>
        <v>2014</v>
      </c>
      <c r="D888" s="8">
        <f>Data!N883</f>
        <v>6.3492063492063489E-2</v>
      </c>
      <c r="G888" s="15"/>
      <c r="R888" s="11"/>
    </row>
    <row r="889" spans="1:18" x14ac:dyDescent="0.2">
      <c r="A889">
        <f>Data!A884</f>
        <v>0</v>
      </c>
      <c r="B889">
        <f>Data!B884</f>
        <v>0</v>
      </c>
      <c r="C889">
        <f>Data!E884</f>
        <v>2014</v>
      </c>
      <c r="D889" s="8">
        <f>Data!N884</f>
        <v>3.1746031746031744E-2</v>
      </c>
      <c r="G889" s="15"/>
      <c r="R889" s="11"/>
    </row>
    <row r="890" spans="1:18" x14ac:dyDescent="0.2">
      <c r="A890">
        <f>Data!A885</f>
        <v>0</v>
      </c>
      <c r="B890">
        <f>Data!B885</f>
        <v>0</v>
      </c>
      <c r="C890">
        <f>Data!E885</f>
        <v>2014</v>
      </c>
      <c r="D890" s="8">
        <f>Data!N885</f>
        <v>3.1746031746031744E-2</v>
      </c>
      <c r="G890" s="15"/>
      <c r="R890" s="11"/>
    </row>
    <row r="891" spans="1:18" x14ac:dyDescent="0.2">
      <c r="A891">
        <f>Data!A886</f>
        <v>0</v>
      </c>
      <c r="B891">
        <f>Data!B886</f>
        <v>0</v>
      </c>
      <c r="C891">
        <f>Data!E886</f>
        <v>2014</v>
      </c>
      <c r="D891" s="8">
        <f>Data!N886</f>
        <v>3.1746031746031744E-2</v>
      </c>
      <c r="G891" s="15"/>
      <c r="R891" s="11"/>
    </row>
    <row r="892" spans="1:18" x14ac:dyDescent="0.2">
      <c r="A892">
        <f>Data!A887</f>
        <v>0</v>
      </c>
      <c r="B892">
        <f>Data!B887</f>
        <v>0</v>
      </c>
      <c r="C892">
        <f>Data!E887</f>
        <v>2014</v>
      </c>
      <c r="D892" s="8">
        <f>Data!N887</f>
        <v>0.12698412698412698</v>
      </c>
      <c r="G892" s="15"/>
      <c r="R892" s="11"/>
    </row>
    <row r="893" spans="1:18" x14ac:dyDescent="0.2">
      <c r="A893">
        <f>Data!A888</f>
        <v>0</v>
      </c>
      <c r="B893">
        <f>Data!B888</f>
        <v>0</v>
      </c>
      <c r="C893">
        <f>Data!E888</f>
        <v>2014</v>
      </c>
      <c r="D893" s="8">
        <f>Data!N888</f>
        <v>0.12698412698412698</v>
      </c>
      <c r="G893" s="15"/>
      <c r="R893" s="11"/>
    </row>
    <row r="894" spans="1:18" x14ac:dyDescent="0.2">
      <c r="A894">
        <f>Data!A889</f>
        <v>0</v>
      </c>
      <c r="B894">
        <f>Data!B889</f>
        <v>0</v>
      </c>
      <c r="C894">
        <f>Data!E889</f>
        <v>2014</v>
      </c>
      <c r="D894" s="8">
        <f>Data!N889</f>
        <v>0.12698412698412698</v>
      </c>
      <c r="G894" s="15"/>
      <c r="R894" s="11"/>
    </row>
    <row r="895" spans="1:18" x14ac:dyDescent="0.2">
      <c r="A895">
        <f>Data!A890</f>
        <v>0</v>
      </c>
      <c r="B895">
        <f>Data!B890</f>
        <v>0</v>
      </c>
      <c r="C895">
        <f>Data!E890</f>
        <v>2014</v>
      </c>
      <c r="D895" s="8">
        <f>Data!N890</f>
        <v>0.12698412698412698</v>
      </c>
      <c r="G895" s="15"/>
      <c r="R895" s="11"/>
    </row>
    <row r="896" spans="1:18" x14ac:dyDescent="0.2">
      <c r="A896">
        <f>Data!A891</f>
        <v>0</v>
      </c>
      <c r="B896">
        <f>Data!B891</f>
        <v>0</v>
      </c>
      <c r="C896">
        <f>Data!E891</f>
        <v>2014</v>
      </c>
      <c r="D896" s="8">
        <f>Data!N891</f>
        <v>6.3492063492063489E-2</v>
      </c>
      <c r="G896" s="15"/>
      <c r="R896" s="11"/>
    </row>
    <row r="897" spans="1:37" x14ac:dyDescent="0.2">
      <c r="A897">
        <f>Data!A892</f>
        <v>0</v>
      </c>
      <c r="B897">
        <f>Data!B892</f>
        <v>0</v>
      </c>
      <c r="C897">
        <f>Data!E892</f>
        <v>2014</v>
      </c>
      <c r="D897" s="8">
        <f>Data!N892</f>
        <v>6.3492063492063489E-2</v>
      </c>
      <c r="G897" s="15"/>
      <c r="R897" s="11"/>
    </row>
    <row r="898" spans="1:37" x14ac:dyDescent="0.2">
      <c r="A898" t="str">
        <f>Data!A893</f>
        <v>Weitzman</v>
      </c>
      <c r="B898" t="str">
        <f>Data!B893</f>
        <v>none</v>
      </c>
      <c r="C898">
        <f>Data!E893</f>
        <v>2013</v>
      </c>
      <c r="D898" s="8">
        <f>Data!N893</f>
        <v>6.25E-2</v>
      </c>
      <c r="G898" s="15"/>
      <c r="R898" s="11"/>
    </row>
    <row r="899" spans="1:37" x14ac:dyDescent="0.2">
      <c r="A899">
        <f>Data!A894</f>
        <v>0</v>
      </c>
      <c r="B899">
        <f>Data!B894</f>
        <v>0</v>
      </c>
      <c r="C899">
        <f>Data!E894</f>
        <v>2013</v>
      </c>
      <c r="D899" s="8">
        <f>Data!N894</f>
        <v>0.125</v>
      </c>
      <c r="G899" s="15"/>
      <c r="R899" s="11"/>
    </row>
    <row r="900" spans="1:37" x14ac:dyDescent="0.2">
      <c r="A900">
        <f>Data!A895</f>
        <v>0</v>
      </c>
      <c r="B900">
        <f>Data!B895</f>
        <v>0</v>
      </c>
      <c r="C900">
        <f>Data!E895</f>
        <v>2013</v>
      </c>
      <c r="D900" s="8">
        <f>Data!N895</f>
        <v>0.1875</v>
      </c>
      <c r="G900" s="15"/>
      <c r="R900" s="11"/>
    </row>
    <row r="901" spans="1:37" x14ac:dyDescent="0.2">
      <c r="A901">
        <f>Data!A896</f>
        <v>0</v>
      </c>
      <c r="B901">
        <f>Data!B896</f>
        <v>0</v>
      </c>
      <c r="C901">
        <f>Data!E896</f>
        <v>2013</v>
      </c>
      <c r="D901" s="8">
        <f>Data!N896</f>
        <v>0.25</v>
      </c>
      <c r="G901" s="15"/>
      <c r="R901" s="11"/>
    </row>
    <row r="902" spans="1:37" x14ac:dyDescent="0.2">
      <c r="A902">
        <f>Data!A897</f>
        <v>0</v>
      </c>
      <c r="B902">
        <f>Data!B897</f>
        <v>0</v>
      </c>
      <c r="C902">
        <f>Data!E897</f>
        <v>2013</v>
      </c>
      <c r="D902" s="8">
        <f>Data!N897</f>
        <v>0.1875</v>
      </c>
      <c r="G902" s="15"/>
      <c r="R902" s="11"/>
    </row>
    <row r="903" spans="1:37" x14ac:dyDescent="0.2">
      <c r="A903">
        <f>Data!A898</f>
        <v>0</v>
      </c>
      <c r="B903">
        <f>Data!B898</f>
        <v>0</v>
      </c>
      <c r="C903">
        <f>Data!E898</f>
        <v>2013</v>
      </c>
      <c r="D903" s="8">
        <f>Data!N898</f>
        <v>0.125</v>
      </c>
      <c r="G903" s="15"/>
      <c r="R903" s="11"/>
    </row>
    <row r="904" spans="1:37" x14ac:dyDescent="0.2">
      <c r="A904">
        <f>Data!A899</f>
        <v>0</v>
      </c>
      <c r="B904">
        <f>Data!B899</f>
        <v>0</v>
      </c>
      <c r="C904">
        <f>Data!E899</f>
        <v>2013</v>
      </c>
      <c r="D904" s="8">
        <f>Data!N899</f>
        <v>6.25E-2</v>
      </c>
      <c r="G904" s="15"/>
      <c r="R904" s="11"/>
    </row>
    <row r="905" spans="1:37" x14ac:dyDescent="0.2">
      <c r="A905" t="str">
        <f>Data!A900</f>
        <v>DietzStern</v>
      </c>
      <c r="B905" t="str">
        <f>Data!B900</f>
        <v>none</v>
      </c>
      <c r="C905">
        <f>Data!E900</f>
        <v>2015</v>
      </c>
      <c r="D905" s="8">
        <f>Data!N900</f>
        <v>1.6393442622950821E-2</v>
      </c>
      <c r="E905">
        <f>E$1*(1-Data!BF900)+E$2*Data!BF900</f>
        <v>1</v>
      </c>
      <c r="F905">
        <f t="shared" ref="F905:F919" si="88">D905*E905</f>
        <v>1.6393442622950821E-2</v>
      </c>
      <c r="G905" s="15">
        <f t="shared" ref="G905:G919" si="89">(J905/H905)^(1/(K905-I905))-1</f>
        <v>1.8764226156851471E-2</v>
      </c>
      <c r="H905">
        <f t="shared" ref="H905:H919" si="90">MIN(L905:BE905)</f>
        <v>44.4</v>
      </c>
      <c r="I905">
        <f t="shared" ref="I905:I919" si="91">LOOKUP(H905,L905:BE905,L$8:BE$8)</f>
        <v>2015</v>
      </c>
      <c r="J905">
        <f t="shared" ref="J905:J919" si="92">MAX(L905:BE905)</f>
        <v>236.6</v>
      </c>
      <c r="K905">
        <f t="shared" ref="K905:K917" si="93">LOOKUP(J905,L905:BE905,L$8:BE$8)</f>
        <v>2105</v>
      </c>
      <c r="R905" s="11"/>
      <c r="S905">
        <v>44.4</v>
      </c>
      <c r="U905">
        <v>57</v>
      </c>
      <c r="W905">
        <v>71.2</v>
      </c>
      <c r="Y905">
        <v>87.8</v>
      </c>
      <c r="AA905">
        <v>106.2</v>
      </c>
      <c r="AC905">
        <v>127.1</v>
      </c>
      <c r="AE905">
        <v>150</v>
      </c>
      <c r="AG905">
        <v>175.8</v>
      </c>
      <c r="AI905">
        <v>204.6</v>
      </c>
      <c r="AK905">
        <v>236.6</v>
      </c>
    </row>
    <row r="906" spans="1:37" x14ac:dyDescent="0.2">
      <c r="A906">
        <f>Data!A901</f>
        <v>0</v>
      </c>
      <c r="B906">
        <f>Data!B901</f>
        <v>0</v>
      </c>
      <c r="C906">
        <f>Data!E901</f>
        <v>2015</v>
      </c>
      <c r="D906" s="8">
        <f>Data!N901</f>
        <v>3.2786885245901641E-2</v>
      </c>
      <c r="E906">
        <f>E$1*(1-Data!BF901)+E$2*Data!BF901</f>
        <v>1</v>
      </c>
      <c r="F906">
        <f t="shared" si="88"/>
        <v>3.2786885245901641E-2</v>
      </c>
      <c r="G906" s="15">
        <f t="shared" si="89"/>
        <v>2.5793746583725907E-2</v>
      </c>
      <c r="H906">
        <f t="shared" si="90"/>
        <v>76</v>
      </c>
      <c r="I906">
        <f t="shared" si="91"/>
        <v>2015</v>
      </c>
      <c r="J906">
        <f t="shared" si="92"/>
        <v>752</v>
      </c>
      <c r="K906">
        <f t="shared" si="93"/>
        <v>2105</v>
      </c>
      <c r="R906" s="11"/>
      <c r="S906">
        <v>76</v>
      </c>
      <c r="U906">
        <v>129</v>
      </c>
      <c r="W906">
        <v>182</v>
      </c>
      <c r="Y906">
        <v>245</v>
      </c>
      <c r="AA906">
        <v>316</v>
      </c>
      <c r="AC906">
        <v>393</v>
      </c>
      <c r="AE906">
        <v>476</v>
      </c>
      <c r="AG906">
        <v>563</v>
      </c>
      <c r="AI906">
        <v>656</v>
      </c>
      <c r="AK906">
        <v>752</v>
      </c>
    </row>
    <row r="907" spans="1:37" x14ac:dyDescent="0.2">
      <c r="A907">
        <f>Data!A902</f>
        <v>0</v>
      </c>
      <c r="B907">
        <f>Data!B902</f>
        <v>0</v>
      </c>
      <c r="C907">
        <f>Data!E902</f>
        <v>2015</v>
      </c>
      <c r="D907" s="8">
        <f>Data!N902</f>
        <v>3.2786885245901641E-2</v>
      </c>
      <c r="E907">
        <f>E$1*(1-Data!BF902)+E$2*Data!BF902</f>
        <v>1</v>
      </c>
      <c r="F907">
        <f t="shared" si="88"/>
        <v>3.2786885245901641E-2</v>
      </c>
      <c r="G907" s="15">
        <f t="shared" si="89"/>
        <v>2.5939391138757539E-2</v>
      </c>
      <c r="H907">
        <f t="shared" si="90"/>
        <v>91</v>
      </c>
      <c r="I907">
        <f t="shared" si="91"/>
        <v>2015</v>
      </c>
      <c r="J907">
        <f t="shared" si="92"/>
        <v>912</v>
      </c>
      <c r="K907">
        <f t="shared" si="93"/>
        <v>2105</v>
      </c>
      <c r="R907" s="11"/>
      <c r="S907">
        <v>91</v>
      </c>
      <c r="U907">
        <v>156</v>
      </c>
      <c r="W907">
        <v>226</v>
      </c>
      <c r="Y907">
        <v>310</v>
      </c>
      <c r="AA907">
        <v>405</v>
      </c>
      <c r="AC907">
        <v>506</v>
      </c>
      <c r="AE907">
        <v>609</v>
      </c>
      <c r="AG907">
        <v>711</v>
      </c>
      <c r="AI907">
        <v>812</v>
      </c>
      <c r="AK907">
        <v>912</v>
      </c>
    </row>
    <row r="908" spans="1:37" x14ac:dyDescent="0.2">
      <c r="A908">
        <f>Data!A903</f>
        <v>0</v>
      </c>
      <c r="B908">
        <f>Data!B903</f>
        <v>0</v>
      </c>
      <c r="C908">
        <f>Data!E903</f>
        <v>2015</v>
      </c>
      <c r="D908" s="8">
        <f>Data!N903</f>
        <v>3.2786885245901641E-2</v>
      </c>
      <c r="E908">
        <f>E$1*(1-Data!BF903)+E$2*Data!BF903</f>
        <v>1</v>
      </c>
      <c r="F908">
        <f t="shared" si="88"/>
        <v>3.2786885245901641E-2</v>
      </c>
      <c r="G908" s="15">
        <f t="shared" si="89"/>
        <v>3.5044474184692032E-2</v>
      </c>
      <c r="H908">
        <f t="shared" si="90"/>
        <v>196</v>
      </c>
      <c r="I908">
        <f t="shared" si="91"/>
        <v>2015</v>
      </c>
      <c r="J908">
        <f t="shared" si="92"/>
        <v>1097</v>
      </c>
      <c r="K908">
        <v>2065</v>
      </c>
      <c r="R908" s="11"/>
      <c r="S908">
        <v>196</v>
      </c>
      <c r="U908">
        <v>337</v>
      </c>
      <c r="W908">
        <v>495</v>
      </c>
      <c r="Y908">
        <v>684</v>
      </c>
      <c r="AA908">
        <v>895</v>
      </c>
      <c r="AC908">
        <v>1097</v>
      </c>
      <c r="AE908">
        <v>1074</v>
      </c>
      <c r="AG908">
        <v>1052</v>
      </c>
      <c r="AI908">
        <v>1032</v>
      </c>
      <c r="AK908">
        <v>1012</v>
      </c>
    </row>
    <row r="909" spans="1:37" x14ac:dyDescent="0.2">
      <c r="A909">
        <f>Data!A904</f>
        <v>0</v>
      </c>
      <c r="B909">
        <f>Data!B904</f>
        <v>0</v>
      </c>
      <c r="C909">
        <f>Data!E904</f>
        <v>2015</v>
      </c>
      <c r="D909" s="8">
        <f>Data!N904</f>
        <v>3.2786885245901641E-2</v>
      </c>
      <c r="E909">
        <f>E$1*(1-Data!BF904)+E$2*Data!BF904</f>
        <v>1</v>
      </c>
      <c r="F909">
        <f t="shared" si="88"/>
        <v>3.2786885245901641E-2</v>
      </c>
      <c r="G909" s="15">
        <f t="shared" si="89"/>
        <v>2.570576444755468E-2</v>
      </c>
      <c r="H909">
        <f t="shared" si="90"/>
        <v>178</v>
      </c>
      <c r="I909">
        <f t="shared" si="91"/>
        <v>2015</v>
      </c>
      <c r="J909">
        <f t="shared" si="92"/>
        <v>1052</v>
      </c>
      <c r="K909">
        <v>2085</v>
      </c>
      <c r="R909" s="11"/>
      <c r="S909">
        <v>178</v>
      </c>
      <c r="U909">
        <v>309</v>
      </c>
      <c r="W909">
        <v>455</v>
      </c>
      <c r="Y909">
        <v>617</v>
      </c>
      <c r="AA909">
        <v>774</v>
      </c>
      <c r="AC909">
        <v>909</v>
      </c>
      <c r="AE909">
        <v>1017</v>
      </c>
      <c r="AG909">
        <v>1052</v>
      </c>
      <c r="AI909">
        <v>1032</v>
      </c>
      <c r="AK909">
        <v>1012</v>
      </c>
    </row>
    <row r="910" spans="1:37" x14ac:dyDescent="0.2">
      <c r="A910">
        <f>Data!A905</f>
        <v>0</v>
      </c>
      <c r="B910">
        <f>Data!B905</f>
        <v>0</v>
      </c>
      <c r="C910">
        <f>Data!E905</f>
        <v>2015</v>
      </c>
      <c r="D910" s="8">
        <f>Data!N905</f>
        <v>6.5573770491803282E-2</v>
      </c>
      <c r="E910">
        <f>E$1*(1-Data!BF905)+E$2*Data!BF905</f>
        <v>1</v>
      </c>
      <c r="F910">
        <f t="shared" si="88"/>
        <v>6.5573770491803282E-2</v>
      </c>
      <c r="G910" s="15">
        <f t="shared" si="89"/>
        <v>2.4165125687164446E-2</v>
      </c>
      <c r="H910">
        <f t="shared" si="90"/>
        <v>118</v>
      </c>
      <c r="I910">
        <f t="shared" si="91"/>
        <v>2015</v>
      </c>
      <c r="J910">
        <f t="shared" si="92"/>
        <v>1012</v>
      </c>
      <c r="K910">
        <f t="shared" si="93"/>
        <v>2105</v>
      </c>
      <c r="R910" s="11"/>
      <c r="S910">
        <v>118</v>
      </c>
      <c r="U910">
        <v>196</v>
      </c>
      <c r="W910">
        <v>272</v>
      </c>
      <c r="Y910">
        <v>363</v>
      </c>
      <c r="AA910">
        <v>466</v>
      </c>
      <c r="AC910">
        <v>580</v>
      </c>
      <c r="AE910">
        <v>705</v>
      </c>
      <c r="AG910">
        <v>840</v>
      </c>
      <c r="AI910">
        <v>984</v>
      </c>
      <c r="AK910">
        <v>1012</v>
      </c>
    </row>
    <row r="911" spans="1:37" x14ac:dyDescent="0.2">
      <c r="A911">
        <f>Data!A906</f>
        <v>0</v>
      </c>
      <c r="B911">
        <f>Data!B906</f>
        <v>0</v>
      </c>
      <c r="C911">
        <f>Data!E906</f>
        <v>2015</v>
      </c>
      <c r="D911" s="8">
        <f>Data!N906</f>
        <v>6.5573770491803282E-2</v>
      </c>
      <c r="E911">
        <f>E$1*(1-Data!BF906)+E$2*Data!BF906</f>
        <v>1</v>
      </c>
      <c r="F911">
        <f t="shared" si="88"/>
        <v>6.5573770491803282E-2</v>
      </c>
      <c r="G911" s="15">
        <f t="shared" si="89"/>
        <v>2.5942097758413496E-2</v>
      </c>
      <c r="H911">
        <f t="shared" si="90"/>
        <v>133</v>
      </c>
      <c r="I911">
        <f t="shared" si="91"/>
        <v>2015</v>
      </c>
      <c r="J911">
        <f t="shared" si="92"/>
        <v>1032</v>
      </c>
      <c r="K911">
        <f t="shared" si="93"/>
        <v>2095</v>
      </c>
      <c r="R911" s="11"/>
      <c r="S911">
        <v>133</v>
      </c>
      <c r="U911">
        <v>222</v>
      </c>
      <c r="W911">
        <v>313</v>
      </c>
      <c r="Y911">
        <v>420</v>
      </c>
      <c r="AA911">
        <v>541</v>
      </c>
      <c r="AC911">
        <v>670</v>
      </c>
      <c r="AE911">
        <v>806</v>
      </c>
      <c r="AG911">
        <v>945</v>
      </c>
      <c r="AI911">
        <v>1032</v>
      </c>
      <c r="AK911">
        <v>1012</v>
      </c>
    </row>
    <row r="912" spans="1:37" x14ac:dyDescent="0.2">
      <c r="A912">
        <f>Data!A907</f>
        <v>0</v>
      </c>
      <c r="B912">
        <f>Data!B907</f>
        <v>0</v>
      </c>
      <c r="C912">
        <f>Data!E907</f>
        <v>2015</v>
      </c>
      <c r="D912" s="8">
        <f>Data!N907</f>
        <v>6.5573770491803282E-2</v>
      </c>
      <c r="E912">
        <f>E$1*(1-Data!BF907)+E$2*Data!BF907</f>
        <v>1</v>
      </c>
      <c r="F912">
        <f t="shared" si="88"/>
        <v>6.5573770491803282E-2</v>
      </c>
      <c r="G912" s="15">
        <f t="shared" si="89"/>
        <v>3.61339595413952E-2</v>
      </c>
      <c r="H912">
        <f t="shared" si="90"/>
        <v>271</v>
      </c>
      <c r="I912">
        <f t="shared" si="91"/>
        <v>2015</v>
      </c>
      <c r="J912">
        <f t="shared" si="92"/>
        <v>1121</v>
      </c>
      <c r="K912">
        <v>2055</v>
      </c>
      <c r="R912" s="11"/>
      <c r="S912">
        <v>271</v>
      </c>
      <c r="U912">
        <v>456</v>
      </c>
      <c r="W912">
        <v>653</v>
      </c>
      <c r="Y912">
        <v>888</v>
      </c>
      <c r="AA912">
        <v>1121</v>
      </c>
      <c r="AC912">
        <v>1087</v>
      </c>
      <c r="AE912">
        <v>1074</v>
      </c>
      <c r="AG912">
        <v>1052</v>
      </c>
      <c r="AI912">
        <v>1032</v>
      </c>
      <c r="AK912">
        <v>1012</v>
      </c>
    </row>
    <row r="913" spans="1:37" x14ac:dyDescent="0.2">
      <c r="A913">
        <f>Data!A908</f>
        <v>0</v>
      </c>
      <c r="B913">
        <f>Data!B908</f>
        <v>0</v>
      </c>
      <c r="C913">
        <f>Data!E908</f>
        <v>2015</v>
      </c>
      <c r="D913" s="8">
        <f>Data!N908</f>
        <v>6.5573770491803282E-2</v>
      </c>
      <c r="E913">
        <f>E$1*(1-Data!BF908)+E$2*Data!BF908</f>
        <v>1</v>
      </c>
      <c r="F913">
        <f t="shared" si="88"/>
        <v>6.5573770491803282E-2</v>
      </c>
      <c r="G913" s="15">
        <f t="shared" si="89"/>
        <v>2.5795538858863543E-2</v>
      </c>
      <c r="H913">
        <f t="shared" si="90"/>
        <v>233</v>
      </c>
      <c r="I913">
        <f t="shared" si="91"/>
        <v>2015</v>
      </c>
      <c r="J913">
        <f t="shared" si="92"/>
        <v>1074</v>
      </c>
      <c r="K913">
        <v>2075</v>
      </c>
      <c r="R913" s="11"/>
      <c r="S913">
        <v>233</v>
      </c>
      <c r="U913">
        <v>393</v>
      </c>
      <c r="W913">
        <v>559</v>
      </c>
      <c r="Y913">
        <v>738</v>
      </c>
      <c r="AA913">
        <v>911</v>
      </c>
      <c r="AC913">
        <v>1066</v>
      </c>
      <c r="AE913">
        <v>1074</v>
      </c>
      <c r="AG913">
        <v>1052</v>
      </c>
      <c r="AI913">
        <v>1032</v>
      </c>
      <c r="AK913">
        <v>1012</v>
      </c>
    </row>
    <row r="914" spans="1:37" x14ac:dyDescent="0.2">
      <c r="A914">
        <f>Data!A909</f>
        <v>0</v>
      </c>
      <c r="B914">
        <f>Data!B909</f>
        <v>0</v>
      </c>
      <c r="C914">
        <f>Data!E909</f>
        <v>2015</v>
      </c>
      <c r="D914" s="8">
        <f>Data!N909</f>
        <v>6.5573770491803282E-2</v>
      </c>
      <c r="E914">
        <f>E$1*(1-Data!BF909)+E$2*Data!BF909</f>
        <v>1</v>
      </c>
      <c r="F914">
        <f t="shared" si="88"/>
        <v>6.5573770491803282E-2</v>
      </c>
      <c r="G914" s="15">
        <f t="shared" si="89"/>
        <v>2.6027796044331142E-2</v>
      </c>
      <c r="H914">
        <f t="shared" si="90"/>
        <v>70</v>
      </c>
      <c r="I914">
        <f t="shared" si="91"/>
        <v>2015</v>
      </c>
      <c r="J914">
        <f t="shared" si="92"/>
        <v>707</v>
      </c>
      <c r="K914">
        <f t="shared" si="93"/>
        <v>2105</v>
      </c>
      <c r="R914" s="11"/>
      <c r="S914">
        <v>70</v>
      </c>
      <c r="U914">
        <v>119</v>
      </c>
      <c r="W914">
        <v>169</v>
      </c>
      <c r="Y914">
        <v>226</v>
      </c>
      <c r="AA914">
        <v>293</v>
      </c>
      <c r="AC914">
        <v>365</v>
      </c>
      <c r="AE914">
        <v>442</v>
      </c>
      <c r="AG914">
        <v>528</v>
      </c>
      <c r="AI914">
        <v>614</v>
      </c>
      <c r="AK914">
        <v>707</v>
      </c>
    </row>
    <row r="915" spans="1:37" x14ac:dyDescent="0.2">
      <c r="A915">
        <f>Data!A910</f>
        <v>0</v>
      </c>
      <c r="B915">
        <f>Data!B910</f>
        <v>0</v>
      </c>
      <c r="C915">
        <f>Data!E910</f>
        <v>2015</v>
      </c>
      <c r="D915" s="8">
        <f>Data!N910</f>
        <v>6.5573770491803282E-2</v>
      </c>
      <c r="E915">
        <f>E$1*(1-Data!BF910)+E$2*Data!BF910</f>
        <v>1</v>
      </c>
      <c r="F915">
        <f t="shared" si="88"/>
        <v>6.5573770491803282E-2</v>
      </c>
      <c r="G915" s="15">
        <f t="shared" si="89"/>
        <v>2.931466444315145E-2</v>
      </c>
      <c r="H915">
        <f t="shared" si="90"/>
        <v>101</v>
      </c>
      <c r="I915">
        <f t="shared" si="91"/>
        <v>2015</v>
      </c>
      <c r="J915">
        <f t="shared" si="92"/>
        <v>1019</v>
      </c>
      <c r="K915">
        <f t="shared" si="93"/>
        <v>2095</v>
      </c>
      <c r="R915" s="11"/>
      <c r="S915">
        <v>101</v>
      </c>
      <c r="U915">
        <v>176</v>
      </c>
      <c r="W915">
        <v>261</v>
      </c>
      <c r="Y915">
        <v>368</v>
      </c>
      <c r="AA915">
        <v>490</v>
      </c>
      <c r="AC915">
        <v>625</v>
      </c>
      <c r="AE915">
        <v>769</v>
      </c>
      <c r="AG915">
        <v>914</v>
      </c>
      <c r="AI915">
        <v>1019</v>
      </c>
      <c r="AK915">
        <v>999</v>
      </c>
    </row>
    <row r="916" spans="1:37" x14ac:dyDescent="0.2">
      <c r="A916">
        <f>Data!A911</f>
        <v>0</v>
      </c>
      <c r="B916">
        <f>Data!B911</f>
        <v>0</v>
      </c>
      <c r="C916">
        <f>Data!E911</f>
        <v>2015</v>
      </c>
      <c r="D916" s="8">
        <f>Data!N911</f>
        <v>6.5573770491803282E-2</v>
      </c>
      <c r="E916">
        <f>E$1*(1-Data!BF911)+E$2*Data!BF911</f>
        <v>1</v>
      </c>
      <c r="F916">
        <f t="shared" si="88"/>
        <v>6.5573770491803282E-2</v>
      </c>
      <c r="G916" s="15">
        <f t="shared" si="89"/>
        <v>3.984741611505549E-2</v>
      </c>
      <c r="H916">
        <f t="shared" si="90"/>
        <v>229</v>
      </c>
      <c r="I916">
        <f t="shared" si="91"/>
        <v>2015</v>
      </c>
      <c r="J916">
        <f t="shared" si="92"/>
        <v>1093</v>
      </c>
      <c r="K916">
        <v>2055</v>
      </c>
      <c r="R916" s="11"/>
      <c r="S916">
        <v>229</v>
      </c>
      <c r="U916">
        <v>399</v>
      </c>
      <c r="W916">
        <v>598</v>
      </c>
      <c r="Y916">
        <v>838</v>
      </c>
      <c r="AA916">
        <v>1093</v>
      </c>
      <c r="AC916">
        <v>1092</v>
      </c>
      <c r="AE916">
        <v>1071</v>
      </c>
      <c r="AG916">
        <v>1050</v>
      </c>
      <c r="AI916">
        <v>1030</v>
      </c>
      <c r="AK916">
        <v>1010</v>
      </c>
    </row>
    <row r="917" spans="1:37" x14ac:dyDescent="0.2">
      <c r="A917">
        <f>Data!A912</f>
        <v>0</v>
      </c>
      <c r="B917">
        <f>Data!B912</f>
        <v>0</v>
      </c>
      <c r="C917">
        <f>Data!E912</f>
        <v>2015</v>
      </c>
      <c r="D917" s="8">
        <f>Data!N912</f>
        <v>0.13114754098360656</v>
      </c>
      <c r="E917">
        <f>E$1*(1-Data!BF912)+E$2*Data!BF912</f>
        <v>1</v>
      </c>
      <c r="F917">
        <f t="shared" si="88"/>
        <v>0.13114754098360656</v>
      </c>
      <c r="G917" s="15">
        <f t="shared" si="89"/>
        <v>2.4964334617118444E-2</v>
      </c>
      <c r="H917">
        <f t="shared" si="90"/>
        <v>110</v>
      </c>
      <c r="I917">
        <f t="shared" si="91"/>
        <v>2015</v>
      </c>
      <c r="J917">
        <f t="shared" si="92"/>
        <v>1012</v>
      </c>
      <c r="K917">
        <f t="shared" si="93"/>
        <v>2105</v>
      </c>
      <c r="R917" s="11"/>
      <c r="S917">
        <v>110</v>
      </c>
      <c r="U917">
        <v>181</v>
      </c>
      <c r="W917">
        <v>253</v>
      </c>
      <c r="Y917">
        <v>338</v>
      </c>
      <c r="AA917">
        <v>435</v>
      </c>
      <c r="AC917">
        <v>543</v>
      </c>
      <c r="AE917">
        <v>664</v>
      </c>
      <c r="AG917">
        <v>792</v>
      </c>
      <c r="AI917">
        <v>932</v>
      </c>
      <c r="AK917">
        <v>1012</v>
      </c>
    </row>
    <row r="918" spans="1:37" x14ac:dyDescent="0.2">
      <c r="A918">
        <f>Data!A913</f>
        <v>0</v>
      </c>
      <c r="B918">
        <f>Data!B913</f>
        <v>0</v>
      </c>
      <c r="C918">
        <f>Data!E913</f>
        <v>2015</v>
      </c>
      <c r="D918" s="8">
        <f>Data!N913</f>
        <v>0.13114754098360656</v>
      </c>
      <c r="E918">
        <f>E$1*(1-Data!BF913)+E$2*Data!BF913</f>
        <v>1</v>
      </c>
      <c r="F918">
        <f t="shared" si="88"/>
        <v>0.13114754098360656</v>
      </c>
      <c r="G918" s="15">
        <f t="shared" si="89"/>
        <v>2.8485494558675661E-2</v>
      </c>
      <c r="H918">
        <f t="shared" si="90"/>
        <v>147</v>
      </c>
      <c r="I918">
        <f t="shared" si="91"/>
        <v>2015</v>
      </c>
      <c r="J918">
        <f t="shared" si="92"/>
        <v>1050</v>
      </c>
      <c r="K918">
        <v>2085</v>
      </c>
      <c r="R918" s="11"/>
      <c r="S918">
        <v>147</v>
      </c>
      <c r="U918">
        <v>248</v>
      </c>
      <c r="W918">
        <v>359</v>
      </c>
      <c r="Y918">
        <v>494</v>
      </c>
      <c r="AA918">
        <v>657</v>
      </c>
      <c r="AC918">
        <v>839</v>
      </c>
      <c r="AE918">
        <v>1040</v>
      </c>
      <c r="AG918">
        <v>1050</v>
      </c>
      <c r="AI918">
        <v>1032</v>
      </c>
      <c r="AK918">
        <v>1012</v>
      </c>
    </row>
    <row r="919" spans="1:37" x14ac:dyDescent="0.2">
      <c r="A919">
        <f>Data!A914</f>
        <v>0</v>
      </c>
      <c r="B919">
        <f>Data!B914</f>
        <v>0</v>
      </c>
      <c r="C919">
        <f>Data!E914</f>
        <v>2015</v>
      </c>
      <c r="D919" s="8">
        <f>Data!N914</f>
        <v>0.13114754098360656</v>
      </c>
      <c r="E919">
        <f>E$1*(1-Data!BF914)+E$2*Data!BF914</f>
        <v>1</v>
      </c>
      <c r="F919">
        <f t="shared" si="88"/>
        <v>0.13114754098360656</v>
      </c>
      <c r="G919" s="15">
        <f t="shared" si="89"/>
        <v>4.2476540739973867E-2</v>
      </c>
      <c r="H919">
        <f t="shared" si="90"/>
        <v>329</v>
      </c>
      <c r="I919">
        <f t="shared" si="91"/>
        <v>2015</v>
      </c>
      <c r="J919">
        <f t="shared" si="92"/>
        <v>1146</v>
      </c>
      <c r="K919">
        <v>2045</v>
      </c>
      <c r="R919" s="11"/>
      <c r="S919">
        <v>329</v>
      </c>
      <c r="U919">
        <v>563</v>
      </c>
      <c r="W919">
        <v>830</v>
      </c>
      <c r="Y919">
        <v>1146</v>
      </c>
      <c r="AA919">
        <v>1121</v>
      </c>
      <c r="AC919">
        <v>1097</v>
      </c>
      <c r="AE919">
        <v>1074</v>
      </c>
      <c r="AG919">
        <v>1053</v>
      </c>
      <c r="AI919">
        <v>1032</v>
      </c>
      <c r="AK919">
        <v>1012</v>
      </c>
    </row>
    <row r="920" spans="1:37" x14ac:dyDescent="0.2">
      <c r="A920" t="str">
        <f>Data!A915</f>
        <v>MooreDiaz</v>
      </c>
      <c r="B920" t="str">
        <f>Data!B915</f>
        <v>none</v>
      </c>
      <c r="C920">
        <f>Data!E915</f>
        <v>2015</v>
      </c>
      <c r="D920" s="8">
        <f>Data!N915</f>
        <v>0.21052631578947367</v>
      </c>
      <c r="E920">
        <f>E$1*(1-Data!BF915)+E$2*Data!BF915</f>
        <v>1</v>
      </c>
      <c r="F920">
        <f t="shared" ref="F920:F933" si="94">D920*E920</f>
        <v>0.21052631578947367</v>
      </c>
      <c r="G920" s="15">
        <f t="shared" ref="G920:G923" si="95">(J920/H920)^(1/(K920-I920))-1</f>
        <v>2.3467297055047576E-2</v>
      </c>
      <c r="H920">
        <f t="shared" ref="H920:H923" si="96">MIN(L920:BE920)</f>
        <v>220.77952999999999</v>
      </c>
      <c r="I920">
        <f t="shared" ref="I920:I923" si="97">LOOKUP(H920,L920:BE920,L$8:BE$8)</f>
        <v>2015</v>
      </c>
      <c r="J920">
        <f t="shared" ref="J920:J923" si="98">MAX(L920:BE920)</f>
        <v>997.16462999999999</v>
      </c>
      <c r="K920">
        <v>2080</v>
      </c>
      <c r="R920" s="11"/>
      <c r="S920">
        <v>220.77952999999999</v>
      </c>
      <c r="T920">
        <v>251.56294</v>
      </c>
      <c r="U920">
        <v>287.13718</v>
      </c>
      <c r="V920">
        <v>329.04669999999999</v>
      </c>
      <c r="W920">
        <v>378.28404</v>
      </c>
      <c r="X920">
        <v>434.8811</v>
      </c>
      <c r="Y920">
        <v>498.82731999999999</v>
      </c>
      <c r="Z920">
        <v>569.87064999999996</v>
      </c>
      <c r="AA920">
        <v>647.23182999999995</v>
      </c>
      <c r="AB920">
        <v>729.19618000000003</v>
      </c>
      <c r="AC920">
        <v>812.52972</v>
      </c>
      <c r="AD920">
        <v>891.67152999999996</v>
      </c>
      <c r="AE920">
        <v>957.69488000000001</v>
      </c>
      <c r="AF920">
        <v>997.16462999999999</v>
      </c>
      <c r="AG920">
        <v>991.38238000000001</v>
      </c>
      <c r="AH920">
        <v>917.40072999999995</v>
      </c>
      <c r="AI920">
        <v>754.26328999999998</v>
      </c>
      <c r="AJ920">
        <v>502.62297999999998</v>
      </c>
    </row>
    <row r="921" spans="1:37" x14ac:dyDescent="0.2">
      <c r="A921">
        <f>Data!A916</f>
        <v>0</v>
      </c>
      <c r="B921">
        <f>Data!B916</f>
        <v>0</v>
      </c>
      <c r="C921">
        <f>Data!E916</f>
        <v>2015</v>
      </c>
      <c r="D921" s="8">
        <f>Data!N916</f>
        <v>5.2631578947368418E-2</v>
      </c>
      <c r="E921">
        <f>E$1*(1-Data!BF916)+E$2*Data!BF916</f>
        <v>1</v>
      </c>
      <c r="F921">
        <f t="shared" si="94"/>
        <v>5.2631578947368418E-2</v>
      </c>
      <c r="G921" s="15">
        <f t="shared" si="95"/>
        <v>2.6940658954833996E-2</v>
      </c>
      <c r="H921">
        <f t="shared" si="96"/>
        <v>33.050759999999997</v>
      </c>
      <c r="I921">
        <f t="shared" si="97"/>
        <v>2015</v>
      </c>
      <c r="J921">
        <f t="shared" si="98"/>
        <v>316.61837000000003</v>
      </c>
      <c r="K921">
        <f t="shared" ref="K921" si="99">LOOKUP(J921,L921:BE921,L$8:BE$8)</f>
        <v>2100</v>
      </c>
      <c r="R921" s="11"/>
      <c r="S921">
        <v>33.050759999999997</v>
      </c>
      <c r="T921">
        <v>38.26041</v>
      </c>
      <c r="U921">
        <v>44.116439999999997</v>
      </c>
      <c r="V921">
        <v>50.693680000000001</v>
      </c>
      <c r="W921">
        <v>58.080370000000002</v>
      </c>
      <c r="X921">
        <v>66.381209999999996</v>
      </c>
      <c r="Y921">
        <v>75.720879999999994</v>
      </c>
      <c r="Z921">
        <v>86.248170000000002</v>
      </c>
      <c r="AA921">
        <v>98.140510000000006</v>
      </c>
      <c r="AB921">
        <v>111.60888</v>
      </c>
      <c r="AC921">
        <v>126.90439000000001</v>
      </c>
      <c r="AD921">
        <v>144.32037</v>
      </c>
      <c r="AE921">
        <v>164.20721</v>
      </c>
      <c r="AF921">
        <v>186.96881999999999</v>
      </c>
      <c r="AG921">
        <v>213.08975000000001</v>
      </c>
      <c r="AH921">
        <v>243.13301999999999</v>
      </c>
      <c r="AI921">
        <v>277.48558000000003</v>
      </c>
      <c r="AJ921">
        <v>316.61837000000003</v>
      </c>
    </row>
    <row r="922" spans="1:37" x14ac:dyDescent="0.2">
      <c r="A922">
        <f>Data!A917</f>
        <v>0</v>
      </c>
      <c r="B922">
        <f>Data!B917</f>
        <v>0</v>
      </c>
      <c r="C922">
        <f>Data!E917</f>
        <v>2015</v>
      </c>
      <c r="D922" s="8">
        <f>Data!N917</f>
        <v>0.10526315789473684</v>
      </c>
      <c r="E922">
        <f>E$1*(1-Data!BF917)+E$2*Data!BF917</f>
        <v>1</v>
      </c>
      <c r="F922">
        <f t="shared" si="94"/>
        <v>0.10526315789473684</v>
      </c>
      <c r="G922" s="15">
        <f t="shared" si="95"/>
        <v>1.8021215052921313E-3</v>
      </c>
      <c r="H922">
        <f>S922</f>
        <v>145.4041</v>
      </c>
      <c r="I922">
        <v>2015</v>
      </c>
      <c r="J922">
        <f t="shared" si="98"/>
        <v>146.71901</v>
      </c>
      <c r="K922">
        <v>2020</v>
      </c>
      <c r="R922" s="11"/>
      <c r="S922">
        <v>145.4041</v>
      </c>
      <c r="T922">
        <v>146.71901</v>
      </c>
      <c r="U922">
        <v>144.20491000000001</v>
      </c>
      <c r="V922">
        <v>137.08239</v>
      </c>
      <c r="W922">
        <v>125.01532</v>
      </c>
      <c r="X922">
        <v>108.4067</v>
      </c>
      <c r="Y922">
        <v>88.693650000000005</v>
      </c>
      <c r="Z922">
        <v>68.493759999999995</v>
      </c>
      <c r="AA922">
        <v>51.398479999999999</v>
      </c>
      <c r="AB922">
        <v>41.153619999999997</v>
      </c>
      <c r="AC922">
        <v>39.78181</v>
      </c>
      <c r="AD922">
        <v>42.170299999999997</v>
      </c>
      <c r="AE922">
        <v>44.835610000000003</v>
      </c>
      <c r="AF922">
        <v>47.80789</v>
      </c>
      <c r="AG922">
        <v>51.131039999999999</v>
      </c>
      <c r="AH922">
        <v>54.866799999999998</v>
      </c>
      <c r="AI922">
        <v>59.097740000000002</v>
      </c>
      <c r="AJ922">
        <v>63.930160000000001</v>
      </c>
    </row>
    <row r="923" spans="1:37" x14ac:dyDescent="0.2">
      <c r="A923">
        <f>Data!A918</f>
        <v>0</v>
      </c>
      <c r="B923">
        <f>Data!B918</f>
        <v>0</v>
      </c>
      <c r="C923">
        <f>Data!E918</f>
        <v>2015</v>
      </c>
      <c r="D923" s="8">
        <f>Data!N918</f>
        <v>0.10526315789473684</v>
      </c>
      <c r="E923">
        <f>E$1*(1-Data!BF918)+E$2*Data!BF918</f>
        <v>1</v>
      </c>
      <c r="F923">
        <f t="shared" si="94"/>
        <v>0.10526315789473684</v>
      </c>
      <c r="G923" s="15">
        <f t="shared" si="95"/>
        <v>2.264133359658671E-2</v>
      </c>
      <c r="H923">
        <f t="shared" si="96"/>
        <v>236.08494999999999</v>
      </c>
      <c r="I923">
        <f t="shared" si="97"/>
        <v>2015</v>
      </c>
      <c r="J923">
        <f t="shared" si="98"/>
        <v>1011.77874</v>
      </c>
      <c r="K923">
        <v>2080</v>
      </c>
      <c r="R923" s="11"/>
      <c r="S923">
        <v>236.08494999999999</v>
      </c>
      <c r="T923">
        <v>267.22386</v>
      </c>
      <c r="U923">
        <v>303.26589999999999</v>
      </c>
      <c r="V923">
        <v>346.07357999999999</v>
      </c>
      <c r="W923">
        <v>395.89258000000001</v>
      </c>
      <c r="X923">
        <v>452.80623000000003</v>
      </c>
      <c r="Y923">
        <v>516.86138000000005</v>
      </c>
      <c r="Z923">
        <v>587.85452999999995</v>
      </c>
      <c r="AA923">
        <v>665.04186000000004</v>
      </c>
      <c r="AB923">
        <v>746.72586999999999</v>
      </c>
      <c r="AC923">
        <v>829.66499999999996</v>
      </c>
      <c r="AD923">
        <v>908.25707999999997</v>
      </c>
      <c r="AE923">
        <v>973.48864000000003</v>
      </c>
      <c r="AF923">
        <v>1011.77874</v>
      </c>
      <c r="AG923">
        <v>1004.21489</v>
      </c>
      <c r="AH923">
        <v>927.58145000000002</v>
      </c>
      <c r="AI923">
        <v>760.68785000000003</v>
      </c>
      <c r="AJ923">
        <v>504.27328</v>
      </c>
    </row>
    <row r="924" spans="1:37" x14ac:dyDescent="0.2">
      <c r="A924">
        <f>Data!A919</f>
        <v>0</v>
      </c>
      <c r="B924">
        <f>Data!B919</f>
        <v>0</v>
      </c>
      <c r="C924">
        <f>Data!E919</f>
        <v>2015</v>
      </c>
      <c r="D924" s="8">
        <f>Data!N919</f>
        <v>5.2631578947368418E-2</v>
      </c>
      <c r="E924">
        <f>E$1*(1-Data!BF919)+E$2*Data!BF919</f>
        <v>1</v>
      </c>
      <c r="F924">
        <f t="shared" si="94"/>
        <v>5.2631578947368418E-2</v>
      </c>
      <c r="G924" s="15"/>
      <c r="R924" s="11"/>
    </row>
    <row r="925" spans="1:37" x14ac:dyDescent="0.2">
      <c r="A925">
        <f>Data!A920</f>
        <v>0</v>
      </c>
      <c r="B925">
        <f>Data!B920</f>
        <v>0</v>
      </c>
      <c r="C925">
        <f>Data!E920</f>
        <v>2015</v>
      </c>
      <c r="D925" s="8">
        <f>Data!N920</f>
        <v>5.2631578947368418E-2</v>
      </c>
      <c r="E925">
        <f>E$1*(1-Data!BF920)+E$2*Data!BF920</f>
        <v>1</v>
      </c>
      <c r="F925">
        <f t="shared" si="94"/>
        <v>5.2631578947368418E-2</v>
      </c>
      <c r="G925" s="15"/>
      <c r="R925" s="11"/>
    </row>
    <row r="926" spans="1:37" x14ac:dyDescent="0.2">
      <c r="A926">
        <f>Data!A921</f>
        <v>0</v>
      </c>
      <c r="B926">
        <f>Data!B921</f>
        <v>0</v>
      </c>
      <c r="C926">
        <f>Data!E921</f>
        <v>2015</v>
      </c>
      <c r="D926" s="8">
        <f>Data!N921</f>
        <v>5.2631578947368418E-2</v>
      </c>
      <c r="E926">
        <f>E$1*(1-Data!BF921)+E$2*Data!BF921</f>
        <v>1</v>
      </c>
      <c r="F926">
        <f t="shared" si="94"/>
        <v>5.2631578947368418E-2</v>
      </c>
      <c r="G926" s="15"/>
      <c r="R926" s="11"/>
    </row>
    <row r="927" spans="1:37" x14ac:dyDescent="0.2">
      <c r="A927">
        <f>Data!A922</f>
        <v>0</v>
      </c>
      <c r="B927">
        <f>Data!B922</f>
        <v>0</v>
      </c>
      <c r="C927">
        <f>Data!E922</f>
        <v>2015</v>
      </c>
      <c r="D927" s="8">
        <f>Data!N922</f>
        <v>5.2631578947368418E-2</v>
      </c>
      <c r="E927">
        <f>E$1*(1-Data!BF922)+E$2*Data!BF922</f>
        <v>1</v>
      </c>
      <c r="F927">
        <f t="shared" si="94"/>
        <v>5.2631578947368418E-2</v>
      </c>
      <c r="G927" s="15"/>
      <c r="R927" s="11"/>
    </row>
    <row r="928" spans="1:37" x14ac:dyDescent="0.2">
      <c r="A928">
        <f>Data!A923</f>
        <v>0</v>
      </c>
      <c r="B928">
        <f>Data!B923</f>
        <v>0</v>
      </c>
      <c r="C928">
        <f>Data!E923</f>
        <v>2015</v>
      </c>
      <c r="D928" s="8">
        <f>Data!N923</f>
        <v>5.2631578947368418E-2</v>
      </c>
      <c r="E928">
        <f>E$1*(1-Data!BF923)+E$2*Data!BF923</f>
        <v>1</v>
      </c>
      <c r="F928">
        <f t="shared" si="94"/>
        <v>5.2631578947368418E-2</v>
      </c>
      <c r="G928" s="15"/>
      <c r="R928" s="11"/>
    </row>
    <row r="929" spans="1:18" x14ac:dyDescent="0.2">
      <c r="A929">
        <f>Data!A924</f>
        <v>0</v>
      </c>
      <c r="B929">
        <f>Data!B924</f>
        <v>0</v>
      </c>
      <c r="C929">
        <f>Data!E924</f>
        <v>2015</v>
      </c>
      <c r="D929" s="8">
        <f>Data!N924</f>
        <v>5.2631578947368418E-2</v>
      </c>
      <c r="E929">
        <f>E$1*(1-Data!BF924)+E$2*Data!BF924</f>
        <v>1</v>
      </c>
      <c r="F929">
        <f t="shared" si="94"/>
        <v>5.2631578947368418E-2</v>
      </c>
      <c r="G929" s="15"/>
      <c r="R929" s="11"/>
    </row>
    <row r="930" spans="1:18" x14ac:dyDescent="0.2">
      <c r="A930">
        <f>Data!A925</f>
        <v>0</v>
      </c>
      <c r="B930">
        <f>Data!B925</f>
        <v>0</v>
      </c>
      <c r="C930">
        <f>Data!E925</f>
        <v>2015</v>
      </c>
      <c r="D930" s="8">
        <f>Data!N925</f>
        <v>5.2631578947368418E-2</v>
      </c>
      <c r="E930">
        <f>E$1*(1-Data!BF925)+E$2*Data!BF925</f>
        <v>1</v>
      </c>
      <c r="F930">
        <f t="shared" si="94"/>
        <v>5.2631578947368418E-2</v>
      </c>
      <c r="G930" s="15"/>
      <c r="R930" s="11"/>
    </row>
    <row r="931" spans="1:18" x14ac:dyDescent="0.2">
      <c r="A931">
        <f>Data!A926</f>
        <v>0</v>
      </c>
      <c r="B931">
        <f>Data!B926</f>
        <v>0</v>
      </c>
      <c r="C931">
        <f>Data!E926</f>
        <v>2015</v>
      </c>
      <c r="D931" s="8">
        <f>Data!N926</f>
        <v>5.2631578947368418E-2</v>
      </c>
      <c r="E931">
        <f>E$1*(1-Data!BF926)+E$2*Data!BF926</f>
        <v>1</v>
      </c>
      <c r="F931">
        <f t="shared" si="94"/>
        <v>5.2631578947368418E-2</v>
      </c>
      <c r="G931" s="15"/>
      <c r="R931" s="11"/>
    </row>
    <row r="932" spans="1:18" x14ac:dyDescent="0.2">
      <c r="A932">
        <f>Data!A927</f>
        <v>0</v>
      </c>
      <c r="B932">
        <f>Data!B927</f>
        <v>0</v>
      </c>
      <c r="C932">
        <f>Data!E927</f>
        <v>2015</v>
      </c>
      <c r="D932" s="8">
        <f>Data!N927</f>
        <v>5.2631578947368418E-2</v>
      </c>
      <c r="E932">
        <f>E$1*(1-Data!BF927)+E$2*Data!BF927</f>
        <v>1</v>
      </c>
      <c r="F932">
        <f t="shared" si="94"/>
        <v>5.2631578947368418E-2</v>
      </c>
      <c r="G932" s="15"/>
      <c r="R932" s="11"/>
    </row>
    <row r="933" spans="1:18" x14ac:dyDescent="0.2">
      <c r="A933">
        <f>Data!A928</f>
        <v>0</v>
      </c>
      <c r="B933">
        <f>Data!B928</f>
        <v>0</v>
      </c>
      <c r="C933">
        <f>Data!E928</f>
        <v>2015</v>
      </c>
      <c r="D933" s="8">
        <f>Data!N928</f>
        <v>5.2631578947368418E-2</v>
      </c>
      <c r="E933">
        <f>E$1*(1-Data!BF928)+E$2*Data!BF928</f>
        <v>1</v>
      </c>
      <c r="F933">
        <f t="shared" si="94"/>
        <v>5.2631578947368418E-2</v>
      </c>
      <c r="G933" s="15"/>
      <c r="R933" s="11"/>
    </row>
    <row r="934" spans="1:18" x14ac:dyDescent="0.2">
      <c r="A934" t="str">
        <f>Data!A929</f>
        <v>Waldhof</v>
      </c>
      <c r="B934" t="str">
        <f>Data!B929</f>
        <v>none</v>
      </c>
      <c r="C934">
        <f>Data!E929</f>
        <v>2014</v>
      </c>
      <c r="D934" s="8">
        <f>Data!N929</f>
        <v>0.1111111111111111</v>
      </c>
      <c r="E934">
        <f>E$1*(1-Data!BF929)+E$2*Data!BF929</f>
        <v>1</v>
      </c>
      <c r="F934">
        <f t="shared" ref="F934:F945" si="100">D934*E934</f>
        <v>0.1111111111111111</v>
      </c>
      <c r="G934" s="15"/>
      <c r="R934" s="11"/>
    </row>
    <row r="935" spans="1:18" x14ac:dyDescent="0.2">
      <c r="A935">
        <f>Data!A930</f>
        <v>0</v>
      </c>
      <c r="B935">
        <f>Data!B930</f>
        <v>0</v>
      </c>
      <c r="C935">
        <f>Data!E930</f>
        <v>2014</v>
      </c>
      <c r="D935" s="8">
        <f>Data!N930</f>
        <v>2.7777777777777776E-2</v>
      </c>
      <c r="E935">
        <f>E$1*(1-Data!BF930)+E$2*Data!BF930</f>
        <v>1</v>
      </c>
      <c r="F935">
        <f t="shared" si="100"/>
        <v>2.7777777777777776E-2</v>
      </c>
      <c r="G935" s="15"/>
      <c r="R935" s="11"/>
    </row>
    <row r="936" spans="1:18" x14ac:dyDescent="0.2">
      <c r="A936">
        <f>Data!A931</f>
        <v>0</v>
      </c>
      <c r="B936">
        <f>Data!B931</f>
        <v>0</v>
      </c>
      <c r="C936">
        <f>Data!E931</f>
        <v>2014</v>
      </c>
      <c r="D936" s="8">
        <f>Data!N931</f>
        <v>2.7777777777777776E-2</v>
      </c>
      <c r="E936">
        <f>E$1*(1-Data!BF931)+E$2*Data!BF931</f>
        <v>1</v>
      </c>
      <c r="F936">
        <f t="shared" si="100"/>
        <v>2.7777777777777776E-2</v>
      </c>
      <c r="G936" s="15"/>
      <c r="R936" s="11"/>
    </row>
    <row r="937" spans="1:18" x14ac:dyDescent="0.2">
      <c r="A937">
        <f>Data!A932</f>
        <v>0</v>
      </c>
      <c r="B937">
        <f>Data!B932</f>
        <v>0</v>
      </c>
      <c r="C937">
        <f>Data!E932</f>
        <v>2014</v>
      </c>
      <c r="D937" s="8">
        <f>Data!N932</f>
        <v>2.7777777777777776E-2</v>
      </c>
      <c r="E937">
        <f>E$1*(1-Data!BF932)+E$2*Data!BF932</f>
        <v>1</v>
      </c>
      <c r="F937">
        <f t="shared" si="100"/>
        <v>2.7777777777777776E-2</v>
      </c>
      <c r="G937" s="15"/>
      <c r="R937" s="11"/>
    </row>
    <row r="938" spans="1:18" x14ac:dyDescent="0.2">
      <c r="A938">
        <f>Data!A933</f>
        <v>0</v>
      </c>
      <c r="B938">
        <f>Data!B933</f>
        <v>0</v>
      </c>
      <c r="C938">
        <f>Data!E933</f>
        <v>2014</v>
      </c>
      <c r="D938" s="8">
        <f>Data!N933</f>
        <v>2.7777777777777776E-2</v>
      </c>
      <c r="E938">
        <f>E$1*(1-Data!BF933)+E$2*Data!BF933</f>
        <v>1</v>
      </c>
      <c r="F938">
        <f t="shared" si="100"/>
        <v>2.7777777777777776E-2</v>
      </c>
      <c r="G938" s="15"/>
      <c r="R938" s="11"/>
    </row>
    <row r="939" spans="1:18" x14ac:dyDescent="0.2">
      <c r="A939">
        <f>Data!A934</f>
        <v>0</v>
      </c>
      <c r="B939">
        <f>Data!B934</f>
        <v>0</v>
      </c>
      <c r="C939">
        <f>Data!E934</f>
        <v>2014</v>
      </c>
      <c r="D939" s="8">
        <f>Data!N934</f>
        <v>0.1111111111111111</v>
      </c>
      <c r="E939">
        <f>E$1*(1-Data!BF934)+E$2*Data!BF934</f>
        <v>1</v>
      </c>
      <c r="F939">
        <f t="shared" si="100"/>
        <v>0.1111111111111111</v>
      </c>
      <c r="G939" s="15"/>
      <c r="R939" s="11"/>
    </row>
    <row r="940" spans="1:18" x14ac:dyDescent="0.2">
      <c r="A940">
        <f>Data!A935</f>
        <v>0</v>
      </c>
      <c r="B940">
        <f>Data!B935</f>
        <v>0</v>
      </c>
      <c r="C940">
        <f>Data!E935</f>
        <v>2014</v>
      </c>
      <c r="D940" s="8">
        <f>Data!N935</f>
        <v>0.1111111111111111</v>
      </c>
      <c r="E940">
        <f>E$1*(1-Data!BF935)+E$2*Data!BF935</f>
        <v>1</v>
      </c>
      <c r="F940">
        <f t="shared" si="100"/>
        <v>0.1111111111111111</v>
      </c>
      <c r="G940" s="15"/>
      <c r="R940" s="11"/>
    </row>
    <row r="941" spans="1:18" x14ac:dyDescent="0.2">
      <c r="A941">
        <f>Data!A936</f>
        <v>0</v>
      </c>
      <c r="B941">
        <f>Data!B936</f>
        <v>0</v>
      </c>
      <c r="C941">
        <f>Data!E936</f>
        <v>2014</v>
      </c>
      <c r="D941" s="8">
        <f>Data!N936</f>
        <v>0.1111111111111111</v>
      </c>
      <c r="E941">
        <f>E$1*(1-Data!BF936)+E$2*Data!BF936</f>
        <v>1</v>
      </c>
      <c r="F941">
        <f t="shared" si="100"/>
        <v>0.1111111111111111</v>
      </c>
      <c r="G941" s="15"/>
      <c r="R941" s="11"/>
    </row>
    <row r="942" spans="1:18" x14ac:dyDescent="0.2">
      <c r="A942">
        <f>Data!A937</f>
        <v>0</v>
      </c>
      <c r="B942">
        <f>Data!B937</f>
        <v>0</v>
      </c>
      <c r="C942">
        <f>Data!E937</f>
        <v>2014</v>
      </c>
      <c r="D942" s="8">
        <f>Data!N937</f>
        <v>0.1111111111111111</v>
      </c>
      <c r="E942">
        <f>E$1*(1-Data!BF937)+E$2*Data!BF937</f>
        <v>1</v>
      </c>
      <c r="F942">
        <f t="shared" si="100"/>
        <v>0.1111111111111111</v>
      </c>
      <c r="G942" s="15"/>
      <c r="R942" s="11"/>
    </row>
    <row r="943" spans="1:18" x14ac:dyDescent="0.2">
      <c r="A943">
        <f>Data!A938</f>
        <v>0</v>
      </c>
      <c r="B943">
        <f>Data!B938</f>
        <v>0</v>
      </c>
      <c r="C943">
        <f>Data!E938</f>
        <v>2014</v>
      </c>
      <c r="D943" s="8">
        <f>Data!N938</f>
        <v>0.1111111111111111</v>
      </c>
      <c r="E943">
        <f>E$1*(1-Data!BF938)+E$2*Data!BF938</f>
        <v>1</v>
      </c>
      <c r="F943">
        <f t="shared" si="100"/>
        <v>0.1111111111111111</v>
      </c>
      <c r="G943" s="15"/>
      <c r="R943" s="11"/>
    </row>
    <row r="944" spans="1:18" x14ac:dyDescent="0.2">
      <c r="A944">
        <f>Data!A939</f>
        <v>0</v>
      </c>
      <c r="B944">
        <f>Data!B939</f>
        <v>0</v>
      </c>
      <c r="C944">
        <f>Data!E939</f>
        <v>2014</v>
      </c>
      <c r="D944" s="8">
        <f>Data!N939</f>
        <v>0.1111111111111111</v>
      </c>
      <c r="E944">
        <f>E$1*(1-Data!BF939)+E$2*Data!BF939</f>
        <v>1</v>
      </c>
      <c r="F944">
        <f t="shared" si="100"/>
        <v>0.1111111111111111</v>
      </c>
      <c r="G944" s="15"/>
      <c r="R944" s="11"/>
    </row>
    <row r="945" spans="1:18" x14ac:dyDescent="0.2">
      <c r="A945">
        <f>Data!A940</f>
        <v>0</v>
      </c>
      <c r="B945">
        <f>Data!B940</f>
        <v>0</v>
      </c>
      <c r="C945">
        <f>Data!E940</f>
        <v>2014</v>
      </c>
      <c r="D945" s="8">
        <f>Data!N940</f>
        <v>0.1111111111111111</v>
      </c>
      <c r="E945">
        <f>E$1*(1-Data!BF940)+E$2*Data!BF940</f>
        <v>1</v>
      </c>
      <c r="F945">
        <f t="shared" si="100"/>
        <v>0.1111111111111111</v>
      </c>
      <c r="G945" s="15"/>
      <c r="R945" s="11"/>
    </row>
    <row r="946" spans="1:18" x14ac:dyDescent="0.2">
      <c r="A946" t="str">
        <f>Data!A941</f>
        <v>Rezai</v>
      </c>
      <c r="B946" t="str">
        <f>Data!B941</f>
        <v>none</v>
      </c>
      <c r="C946">
        <f>Data!E941</f>
        <v>2012</v>
      </c>
      <c r="D946" s="8">
        <f>Data!N941</f>
        <v>0.5</v>
      </c>
      <c r="E946">
        <f>E$1*(1-Data!BF941)+E$2*Data!BF941</f>
        <v>1</v>
      </c>
      <c r="F946">
        <f t="shared" ref="F946:F947" si="101">D946*E946</f>
        <v>0.5</v>
      </c>
      <c r="G946" s="15">
        <f t="shared" ref="G946:G947" si="102">(J946/H946)^(1/(K946-I946))-1</f>
        <v>1.1101863209106E-2</v>
      </c>
      <c r="H946">
        <v>75</v>
      </c>
      <c r="I946">
        <v>2010</v>
      </c>
      <c r="J946">
        <v>490</v>
      </c>
      <c r="K946">
        <v>2180</v>
      </c>
      <c r="R946" s="11"/>
    </row>
    <row r="947" spans="1:18" x14ac:dyDescent="0.2">
      <c r="A947">
        <f>Data!A942</f>
        <v>0</v>
      </c>
      <c r="B947">
        <f>Data!B942</f>
        <v>0</v>
      </c>
      <c r="C947">
        <f>Data!E942</f>
        <v>2012</v>
      </c>
      <c r="D947" s="8">
        <f>Data!N942</f>
        <v>0.5</v>
      </c>
      <c r="E947">
        <f>E$1*(1-Data!BF942)+E$2*Data!BF942</f>
        <v>1</v>
      </c>
      <c r="F947">
        <f t="shared" si="101"/>
        <v>0.5</v>
      </c>
      <c r="G947" s="15">
        <f t="shared" si="102"/>
        <v>1.5784798808864187E-2</v>
      </c>
      <c r="H947">
        <v>37.5</v>
      </c>
      <c r="I947">
        <v>2010</v>
      </c>
      <c r="J947">
        <v>210</v>
      </c>
      <c r="K947">
        <v>2120</v>
      </c>
      <c r="R947" s="11"/>
    </row>
    <row r="948" spans="1:18" x14ac:dyDescent="0.2">
      <c r="A948" t="str">
        <f>Data!A943</f>
        <v>Foley</v>
      </c>
      <c r="B948" t="str">
        <f>Data!B943</f>
        <v>none</v>
      </c>
      <c r="C948">
        <f>Data!E943</f>
        <v>2013</v>
      </c>
      <c r="D948" s="8">
        <f>Data!N943</f>
        <v>0.5</v>
      </c>
      <c r="E948">
        <f>E$1*(1-Data!BF943)+E$2*Data!BF943</f>
        <v>1</v>
      </c>
      <c r="F948">
        <f t="shared" ref="F948:F949" si="103">D948*E948</f>
        <v>0.5</v>
      </c>
      <c r="G948" s="15"/>
      <c r="R948" s="11"/>
    </row>
    <row r="949" spans="1:18" x14ac:dyDescent="0.2">
      <c r="A949">
        <f>Data!A944</f>
        <v>0</v>
      </c>
      <c r="B949">
        <f>Data!B944</f>
        <v>0</v>
      </c>
      <c r="C949">
        <f>Data!E944</f>
        <v>2013</v>
      </c>
      <c r="D949" s="8">
        <f>Data!N944</f>
        <v>0.5</v>
      </c>
      <c r="E949">
        <f>E$1*(1-Data!BF944)+E$2*Data!BF944</f>
        <v>1</v>
      </c>
      <c r="F949">
        <f t="shared" si="103"/>
        <v>0.5</v>
      </c>
      <c r="G949" s="15"/>
      <c r="R949" s="11"/>
    </row>
    <row r="950" spans="1:18" x14ac:dyDescent="0.2">
      <c r="A950" t="str">
        <f>Data!A945</f>
        <v>Ploeg, Zeeuw</v>
      </c>
      <c r="B950" t="str">
        <f>Data!B945</f>
        <v>none</v>
      </c>
      <c r="C950">
        <f>Data!E945</f>
        <v>2013</v>
      </c>
      <c r="D950" s="8">
        <f>Data!N945</f>
        <v>0.22222222222222221</v>
      </c>
      <c r="E950">
        <f>E$1*(1-Data!BF945)+E$2*Data!BF945</f>
        <v>1</v>
      </c>
      <c r="F950">
        <f t="shared" ref="F950:F953" si="104">D950*E950</f>
        <v>0.22222222222222221</v>
      </c>
      <c r="G950" s="15">
        <f t="shared" ref="G950:G951" si="105">(J950/H950)^(1/(K950-I950))-1</f>
        <v>1.3217932947710453E-2</v>
      </c>
      <c r="H950">
        <v>293</v>
      </c>
      <c r="I950">
        <v>2010</v>
      </c>
      <c r="J950">
        <v>381</v>
      </c>
      <c r="K950">
        <v>2030</v>
      </c>
      <c r="R950" s="11"/>
    </row>
    <row r="951" spans="1:18" x14ac:dyDescent="0.2">
      <c r="A951">
        <f>Data!A946</f>
        <v>0</v>
      </c>
      <c r="B951">
        <f>Data!B946</f>
        <v>0</v>
      </c>
      <c r="C951">
        <f>Data!E946</f>
        <v>2013</v>
      </c>
      <c r="D951" s="8">
        <f>Data!N946</f>
        <v>0.44444444444444442</v>
      </c>
      <c r="E951">
        <f>E$1*(1-Data!BF946)+E$2*Data!BF946</f>
        <v>1</v>
      </c>
      <c r="F951">
        <f t="shared" si="104"/>
        <v>0.44444444444444442</v>
      </c>
      <c r="G951" s="15">
        <f t="shared" si="105"/>
        <v>4.9244685694590062E-2</v>
      </c>
      <c r="H951">
        <v>52</v>
      </c>
      <c r="I951">
        <v>2010</v>
      </c>
      <c r="J951">
        <v>136</v>
      </c>
      <c r="K951">
        <v>2030</v>
      </c>
      <c r="R951" s="11"/>
    </row>
    <row r="952" spans="1:18" x14ac:dyDescent="0.2">
      <c r="A952">
        <f>Data!A947</f>
        <v>0</v>
      </c>
      <c r="B952">
        <f>Data!B947</f>
        <v>0</v>
      </c>
      <c r="C952">
        <f>Data!E947</f>
        <v>2013</v>
      </c>
      <c r="D952" s="8">
        <f>Data!N947</f>
        <v>0.1111111111111111</v>
      </c>
      <c r="E952">
        <f>E$1*(1-Data!BF947)+E$2*Data!BF947</f>
        <v>1</v>
      </c>
      <c r="F952">
        <f t="shared" si="104"/>
        <v>0.1111111111111111</v>
      </c>
      <c r="G952" s="15"/>
      <c r="R952" s="11"/>
    </row>
    <row r="953" spans="1:18" x14ac:dyDescent="0.2">
      <c r="A953">
        <f>Data!A948</f>
        <v>0</v>
      </c>
      <c r="B953">
        <f>Data!B948</f>
        <v>0</v>
      </c>
      <c r="C953">
        <f>Data!E948</f>
        <v>2013</v>
      </c>
      <c r="D953" s="8">
        <f>Data!N948</f>
        <v>0.22222222222222221</v>
      </c>
      <c r="E953">
        <f>E$1*(1-Data!BF948)+E$2*Data!BF948</f>
        <v>1</v>
      </c>
      <c r="F953">
        <f t="shared" si="104"/>
        <v>0.22222222222222221</v>
      </c>
      <c r="G953" s="15"/>
      <c r="R953" s="11"/>
    </row>
    <row r="954" spans="1:18" x14ac:dyDescent="0.2">
      <c r="A954" t="str">
        <f>Data!A949</f>
        <v>Ploeg, Zeeuw</v>
      </c>
      <c r="B954" t="str">
        <f>Data!B949</f>
        <v>none</v>
      </c>
      <c r="C954">
        <f>Data!E949</f>
        <v>2015</v>
      </c>
      <c r="D954" s="8">
        <f>Data!N949</f>
        <v>0.23529411764705882</v>
      </c>
      <c r="E954">
        <f>E$1*(1-Data!BF949)+E$2*Data!BF949</f>
        <v>1</v>
      </c>
      <c r="F954">
        <f t="shared" ref="F954:F964" si="106">D954*E954</f>
        <v>0.23529411764705882</v>
      </c>
      <c r="G954" s="15"/>
      <c r="R954" s="11"/>
    </row>
    <row r="955" spans="1:18" x14ac:dyDescent="0.2">
      <c r="A955">
        <f>Data!A950</f>
        <v>0</v>
      </c>
      <c r="B955">
        <f>Data!B950</f>
        <v>0</v>
      </c>
      <c r="C955">
        <f>Data!E950</f>
        <v>2015</v>
      </c>
      <c r="D955" s="8">
        <f>Data!N950</f>
        <v>0.23529411764705882</v>
      </c>
      <c r="E955">
        <f>E$1*(1-Data!BF950)+E$2*Data!BF950</f>
        <v>1</v>
      </c>
      <c r="F955">
        <f t="shared" si="106"/>
        <v>0.23529411764705882</v>
      </c>
      <c r="G955" s="15"/>
      <c r="R955" s="11"/>
    </row>
    <row r="956" spans="1:18" x14ac:dyDescent="0.2">
      <c r="A956">
        <f>Data!A951</f>
        <v>0</v>
      </c>
      <c r="B956">
        <f>Data!B951</f>
        <v>0</v>
      </c>
      <c r="C956">
        <f>Data!E951</f>
        <v>2015</v>
      </c>
      <c r="D956" s="8">
        <f>Data!N951</f>
        <v>5.8823529411764705E-2</v>
      </c>
      <c r="E956">
        <f>E$1*(1-Data!BF951)+E$2*Data!BF951</f>
        <v>1</v>
      </c>
      <c r="F956">
        <f t="shared" si="106"/>
        <v>5.8823529411764705E-2</v>
      </c>
      <c r="G956" s="15"/>
      <c r="R956" s="11"/>
    </row>
    <row r="957" spans="1:18" x14ac:dyDescent="0.2">
      <c r="A957">
        <f>Data!A952</f>
        <v>0</v>
      </c>
      <c r="B957">
        <f>Data!B952</f>
        <v>0</v>
      </c>
      <c r="C957">
        <f>Data!E952</f>
        <v>2015</v>
      </c>
      <c r="D957" s="8">
        <f>Data!N952</f>
        <v>5.8823529411764705E-2</v>
      </c>
      <c r="E957">
        <f>E$1*(1-Data!BF952)+E$2*Data!BF952</f>
        <v>1</v>
      </c>
      <c r="F957">
        <f t="shared" si="106"/>
        <v>5.8823529411764705E-2</v>
      </c>
      <c r="G957" s="15"/>
      <c r="R957" s="11"/>
    </row>
    <row r="958" spans="1:18" x14ac:dyDescent="0.2">
      <c r="A958">
        <f>Data!A953</f>
        <v>0</v>
      </c>
      <c r="B958">
        <f>Data!B953</f>
        <v>0</v>
      </c>
      <c r="C958">
        <f>Data!E953</f>
        <v>2015</v>
      </c>
      <c r="D958" s="8">
        <f>Data!N953</f>
        <v>5.8823529411764705E-2</v>
      </c>
      <c r="E958">
        <f>E$1*(1-Data!BF953)+E$2*Data!BF953</f>
        <v>1</v>
      </c>
      <c r="F958">
        <f t="shared" si="106"/>
        <v>5.8823529411764705E-2</v>
      </c>
      <c r="G958" s="15"/>
      <c r="R958" s="11"/>
    </row>
    <row r="959" spans="1:18" x14ac:dyDescent="0.2">
      <c r="A959">
        <f>Data!A954</f>
        <v>0</v>
      </c>
      <c r="B959">
        <f>Data!B954</f>
        <v>0</v>
      </c>
      <c r="C959">
        <f>Data!E954</f>
        <v>2015</v>
      </c>
      <c r="D959" s="8">
        <f>Data!N954</f>
        <v>5.8823529411764705E-2</v>
      </c>
      <c r="E959">
        <f>E$1*(1-Data!BF954)+E$2*Data!BF954</f>
        <v>1</v>
      </c>
      <c r="F959">
        <f t="shared" si="106"/>
        <v>5.8823529411764705E-2</v>
      </c>
      <c r="G959" s="15"/>
      <c r="R959" s="11"/>
    </row>
    <row r="960" spans="1:18" x14ac:dyDescent="0.2">
      <c r="A960">
        <f>Data!A955</f>
        <v>0</v>
      </c>
      <c r="B960">
        <f>Data!B955</f>
        <v>0</v>
      </c>
      <c r="C960">
        <f>Data!E955</f>
        <v>2015</v>
      </c>
      <c r="D960" s="8">
        <f>Data!N955</f>
        <v>5.8823529411764705E-2</v>
      </c>
      <c r="E960">
        <f>E$1*(1-Data!BF955)+E$2*Data!BF955</f>
        <v>1</v>
      </c>
      <c r="F960">
        <f t="shared" si="106"/>
        <v>5.8823529411764705E-2</v>
      </c>
      <c r="G960" s="15"/>
      <c r="R960" s="11"/>
    </row>
    <row r="961" spans="1:26" x14ac:dyDescent="0.2">
      <c r="A961">
        <f>Data!A956</f>
        <v>0</v>
      </c>
      <c r="B961">
        <f>Data!B956</f>
        <v>0</v>
      </c>
      <c r="C961">
        <f>Data!E956</f>
        <v>2015</v>
      </c>
      <c r="D961" s="8">
        <f>Data!N956</f>
        <v>5.8823529411764705E-2</v>
      </c>
      <c r="E961">
        <f>E$1*(1-Data!BF956)+E$2*Data!BF956</f>
        <v>1</v>
      </c>
      <c r="F961">
        <f t="shared" si="106"/>
        <v>5.8823529411764705E-2</v>
      </c>
      <c r="G961" s="15"/>
      <c r="R961" s="11"/>
    </row>
    <row r="962" spans="1:26" x14ac:dyDescent="0.2">
      <c r="A962">
        <f>Data!A957</f>
        <v>0</v>
      </c>
      <c r="B962">
        <f>Data!B957</f>
        <v>0</v>
      </c>
      <c r="C962">
        <f>Data!E957</f>
        <v>2015</v>
      </c>
      <c r="D962" s="8">
        <f>Data!N957</f>
        <v>5.8823529411764705E-2</v>
      </c>
      <c r="E962">
        <f>E$1*(1-Data!BF957)+E$2*Data!BF957</f>
        <v>1</v>
      </c>
      <c r="F962">
        <f t="shared" si="106"/>
        <v>5.8823529411764705E-2</v>
      </c>
      <c r="G962" s="15"/>
      <c r="R962" s="11"/>
    </row>
    <row r="963" spans="1:26" x14ac:dyDescent="0.2">
      <c r="A963">
        <f>Data!A958</f>
        <v>0</v>
      </c>
      <c r="B963">
        <f>Data!B958</f>
        <v>0</v>
      </c>
      <c r="C963">
        <f>Data!E958</f>
        <v>2015</v>
      </c>
      <c r="D963" s="8">
        <f>Data!N958</f>
        <v>5.8823529411764705E-2</v>
      </c>
      <c r="E963">
        <f>E$1*(1-Data!BF958)+E$2*Data!BF958</f>
        <v>1</v>
      </c>
      <c r="F963">
        <f t="shared" si="106"/>
        <v>5.8823529411764705E-2</v>
      </c>
      <c r="G963" s="15"/>
      <c r="R963" s="11"/>
    </row>
    <row r="964" spans="1:26" x14ac:dyDescent="0.2">
      <c r="A964">
        <f>Data!A959</f>
        <v>0</v>
      </c>
      <c r="B964">
        <f>Data!B959</f>
        <v>0</v>
      </c>
      <c r="C964">
        <f>Data!E959</f>
        <v>2015</v>
      </c>
      <c r="D964" s="8">
        <f>Data!N959</f>
        <v>5.8823529411764705E-2</v>
      </c>
      <c r="E964">
        <f>E$1*(1-Data!BF959)+E$2*Data!BF959</f>
        <v>1</v>
      </c>
      <c r="F964">
        <f t="shared" si="106"/>
        <v>5.8823529411764705E-2</v>
      </c>
      <c r="G964" s="15"/>
      <c r="R964" s="11"/>
    </row>
    <row r="965" spans="1:26" x14ac:dyDescent="0.2">
      <c r="A965" t="str">
        <f>Data!A960</f>
        <v>Nordhaus</v>
      </c>
      <c r="B965" t="str">
        <f>Data!B960</f>
        <v>none</v>
      </c>
      <c r="C965">
        <f>Data!E960</f>
        <v>2014</v>
      </c>
      <c r="D965" s="8">
        <f>Data!N960</f>
        <v>7.1428571428571425E-2</v>
      </c>
      <c r="E965">
        <f>E$1*(1-Data!BF960)+E$2*Data!BF960</f>
        <v>1</v>
      </c>
      <c r="F965">
        <f t="shared" ref="F965:F971" si="107">D965*E965</f>
        <v>7.1428571428571425E-2</v>
      </c>
      <c r="G965" s="15">
        <f t="shared" ref="G965:G971" si="108">(J965/H965)^(1/(K965-I965))-1</f>
        <v>3.0425544658341908E-2</v>
      </c>
      <c r="H965">
        <f t="shared" ref="H965:H971" si="109">MIN(L965:BE965)</f>
        <v>18.600000000000001</v>
      </c>
      <c r="I965">
        <f t="shared" ref="I965:I971" si="110">LOOKUP(H965,L965:BE965,L$8:BE$8)</f>
        <v>2015</v>
      </c>
      <c r="J965">
        <f t="shared" ref="J965:J971" si="111">MAX(L965:BE965)</f>
        <v>53.1</v>
      </c>
      <c r="K965">
        <f t="shared" ref="K965:K971" si="112">LOOKUP(J965,L965:BE965,L$8:BE$8)</f>
        <v>2050</v>
      </c>
      <c r="R965" s="11"/>
      <c r="S965">
        <v>18.600000000000001</v>
      </c>
      <c r="T965">
        <v>22.1</v>
      </c>
      <c r="U965">
        <v>26.2</v>
      </c>
      <c r="V965">
        <v>30.6</v>
      </c>
      <c r="Z965">
        <v>53.1</v>
      </c>
    </row>
    <row r="966" spans="1:26" x14ac:dyDescent="0.2">
      <c r="A966">
        <f>Data!A961</f>
        <v>0</v>
      </c>
      <c r="B966">
        <f>Data!B961</f>
        <v>0</v>
      </c>
      <c r="C966">
        <f>Data!E961</f>
        <v>2014</v>
      </c>
      <c r="D966" s="8">
        <f>Data!N961</f>
        <v>0.14285714285714285</v>
      </c>
      <c r="E966">
        <f>E$1*(1-Data!BF961)+E$2*Data!BF961</f>
        <v>1</v>
      </c>
      <c r="F966">
        <f t="shared" si="107"/>
        <v>0.14285714285714285</v>
      </c>
      <c r="G966" s="15">
        <f t="shared" si="108"/>
        <v>3.098512401072484E-2</v>
      </c>
      <c r="H966">
        <f t="shared" si="109"/>
        <v>17.7</v>
      </c>
      <c r="I966">
        <f t="shared" si="110"/>
        <v>2015</v>
      </c>
      <c r="J966">
        <f t="shared" si="111"/>
        <v>51.5</v>
      </c>
      <c r="K966">
        <f t="shared" si="112"/>
        <v>2050</v>
      </c>
      <c r="R966" s="11"/>
      <c r="S966">
        <v>17.7</v>
      </c>
      <c r="T966">
        <v>21.2</v>
      </c>
      <c r="U966">
        <v>25</v>
      </c>
      <c r="V966">
        <v>29.3</v>
      </c>
      <c r="Z966">
        <v>51.5</v>
      </c>
    </row>
    <row r="967" spans="1:26" x14ac:dyDescent="0.2">
      <c r="A967">
        <f>Data!A962</f>
        <v>0</v>
      </c>
      <c r="B967">
        <f>Data!B962</f>
        <v>0</v>
      </c>
      <c r="C967">
        <f>Data!E962</f>
        <v>2014</v>
      </c>
      <c r="D967" s="8">
        <f>Data!N962</f>
        <v>7.1428571428571425E-2</v>
      </c>
      <c r="E967">
        <f>E$1*(1-Data!BF962)+E$2*Data!BF962</f>
        <v>1</v>
      </c>
      <c r="F967">
        <f t="shared" si="107"/>
        <v>7.1428571428571425E-2</v>
      </c>
      <c r="G967" s="15">
        <f t="shared" si="108"/>
        <v>4.4215195187650824E-2</v>
      </c>
      <c r="H967">
        <f t="shared" si="109"/>
        <v>47.6</v>
      </c>
      <c r="I967">
        <f t="shared" si="110"/>
        <v>2015</v>
      </c>
      <c r="J967">
        <f t="shared" si="111"/>
        <v>216.4</v>
      </c>
      <c r="K967">
        <f t="shared" si="112"/>
        <v>2050</v>
      </c>
      <c r="R967" s="11"/>
      <c r="S967">
        <v>47.6</v>
      </c>
      <c r="T967">
        <v>60.1</v>
      </c>
      <c r="U967">
        <v>75.5</v>
      </c>
      <c r="V967">
        <v>92.4</v>
      </c>
      <c r="Z967">
        <v>216.4</v>
      </c>
    </row>
    <row r="968" spans="1:26" x14ac:dyDescent="0.2">
      <c r="A968">
        <f>Data!A963</f>
        <v>0</v>
      </c>
      <c r="B968">
        <f>Data!B963</f>
        <v>0</v>
      </c>
      <c r="C968">
        <f>Data!E963</f>
        <v>2014</v>
      </c>
      <c r="D968" s="8">
        <f>Data!N963</f>
        <v>7.1428571428571425E-2</v>
      </c>
      <c r="E968">
        <f>E$1*(1-Data!BF963)+E$2*Data!BF963</f>
        <v>1</v>
      </c>
      <c r="F968">
        <f t="shared" si="107"/>
        <v>7.1428571428571425E-2</v>
      </c>
      <c r="G968" s="15">
        <f t="shared" si="108"/>
        <v>3.6576589179110774E-2</v>
      </c>
      <c r="H968">
        <f t="shared" si="109"/>
        <v>25</v>
      </c>
      <c r="I968">
        <f t="shared" si="110"/>
        <v>2015</v>
      </c>
      <c r="J968">
        <f t="shared" si="111"/>
        <v>87.9</v>
      </c>
      <c r="K968">
        <f t="shared" si="112"/>
        <v>2050</v>
      </c>
      <c r="R968" s="11"/>
      <c r="S968">
        <v>25</v>
      </c>
      <c r="T968">
        <v>30.6</v>
      </c>
      <c r="U968">
        <v>37.1</v>
      </c>
      <c r="V968">
        <v>44.7</v>
      </c>
      <c r="Z968">
        <v>87.9</v>
      </c>
    </row>
    <row r="969" spans="1:26" x14ac:dyDescent="0.2">
      <c r="A969">
        <f>Data!A964</f>
        <v>0</v>
      </c>
      <c r="B969">
        <f>Data!B964</f>
        <v>0</v>
      </c>
      <c r="C969">
        <f>Data!E964</f>
        <v>2014</v>
      </c>
      <c r="D969" s="8">
        <f>Data!N964</f>
        <v>3.5714285714285712E-2</v>
      </c>
      <c r="E969">
        <f>E$1*(1-Data!BF964)+E$2*Data!BF964</f>
        <v>1</v>
      </c>
      <c r="F969">
        <f t="shared" si="107"/>
        <v>3.5714285714285712E-2</v>
      </c>
      <c r="G969" s="15">
        <f t="shared" si="108"/>
        <v>2.1643439241253448E-2</v>
      </c>
      <c r="H969">
        <f t="shared" si="109"/>
        <v>89.8</v>
      </c>
      <c r="I969">
        <f t="shared" si="110"/>
        <v>2015</v>
      </c>
      <c r="J969">
        <f t="shared" si="111"/>
        <v>190</v>
      </c>
      <c r="K969">
        <f t="shared" si="112"/>
        <v>2050</v>
      </c>
      <c r="R969" s="11"/>
      <c r="S969">
        <v>89.8</v>
      </c>
      <c r="T969">
        <v>103.7</v>
      </c>
      <c r="U969">
        <v>117.4</v>
      </c>
      <c r="V969">
        <v>131.30000000000001</v>
      </c>
      <c r="Z969">
        <v>190</v>
      </c>
    </row>
    <row r="970" spans="1:26" x14ac:dyDescent="0.2">
      <c r="A970">
        <f>Data!A965</f>
        <v>0</v>
      </c>
      <c r="B970">
        <f>Data!B965</f>
        <v>0</v>
      </c>
      <c r="C970">
        <f>Data!E965</f>
        <v>2014</v>
      </c>
      <c r="D970" s="8">
        <f>Data!N965</f>
        <v>7.1428571428571425E-2</v>
      </c>
      <c r="E970">
        <f>E$1*(1-Data!BF965)+E$2*Data!BF965</f>
        <v>1</v>
      </c>
      <c r="F970">
        <f t="shared" si="107"/>
        <v>7.1428571428571425E-2</v>
      </c>
      <c r="G970" s="15">
        <f t="shared" si="108"/>
        <v>3.4084144548567119E-2</v>
      </c>
      <c r="H970">
        <f t="shared" si="109"/>
        <v>20.7</v>
      </c>
      <c r="I970">
        <f t="shared" si="110"/>
        <v>2015</v>
      </c>
      <c r="J970">
        <f t="shared" si="111"/>
        <v>66.900000000000006</v>
      </c>
      <c r="K970">
        <f t="shared" si="112"/>
        <v>2050</v>
      </c>
      <c r="R970" s="11"/>
      <c r="S970">
        <v>20.7</v>
      </c>
      <c r="T970">
        <v>25</v>
      </c>
      <c r="U970">
        <v>30.1</v>
      </c>
      <c r="V970">
        <v>35.9</v>
      </c>
      <c r="Z970">
        <v>66.900000000000006</v>
      </c>
    </row>
    <row r="971" spans="1:26" x14ac:dyDescent="0.2">
      <c r="A971">
        <f>Data!A966</f>
        <v>0</v>
      </c>
      <c r="B971">
        <f>Data!B966</f>
        <v>0</v>
      </c>
      <c r="C971">
        <f>Data!E966</f>
        <v>2014</v>
      </c>
      <c r="D971" s="8">
        <f>Data!N966</f>
        <v>7.1428571428571425E-2</v>
      </c>
      <c r="E971">
        <f>E$1*(1-Data!BF966)+E$2*Data!BF966</f>
        <v>1</v>
      </c>
      <c r="F971">
        <f t="shared" si="107"/>
        <v>7.1428571428571425E-2</v>
      </c>
      <c r="G971" s="15">
        <f t="shared" si="108"/>
        <v>3.2494836657825488E-2</v>
      </c>
      <c r="H971">
        <f t="shared" si="109"/>
        <v>6.4</v>
      </c>
      <c r="I971">
        <f t="shared" si="110"/>
        <v>2015</v>
      </c>
      <c r="J971">
        <f t="shared" si="111"/>
        <v>19.600000000000001</v>
      </c>
      <c r="K971">
        <f t="shared" si="112"/>
        <v>2050</v>
      </c>
      <c r="R971" s="11"/>
      <c r="S971">
        <v>6.4</v>
      </c>
      <c r="T971">
        <v>7.7</v>
      </c>
      <c r="U971">
        <v>9.1999999999999993</v>
      </c>
      <c r="V971">
        <v>10.9</v>
      </c>
      <c r="Z971">
        <v>19.600000000000001</v>
      </c>
    </row>
    <row r="972" spans="1:26" x14ac:dyDescent="0.2">
      <c r="A972">
        <f>Data!A967</f>
        <v>0</v>
      </c>
      <c r="B972">
        <f>Data!B967</f>
        <v>0</v>
      </c>
      <c r="C972">
        <f>Data!E967</f>
        <v>2014</v>
      </c>
      <c r="D972" s="8">
        <f>Data!N967</f>
        <v>1.7857142857142856E-2</v>
      </c>
      <c r="E972">
        <f>E$1*(1-Data!BF967)+E$2*Data!BF967</f>
        <v>1</v>
      </c>
      <c r="F972">
        <f t="shared" ref="F972:F985" si="113">D972*E972</f>
        <v>1.7857142857142856E-2</v>
      </c>
      <c r="G972" s="15"/>
      <c r="R972" s="11"/>
    </row>
    <row r="973" spans="1:26" x14ac:dyDescent="0.2">
      <c r="A973">
        <f>Data!A968</f>
        <v>0</v>
      </c>
      <c r="B973">
        <f>Data!B968</f>
        <v>0</v>
      </c>
      <c r="C973">
        <f>Data!E968</f>
        <v>2014</v>
      </c>
      <c r="D973" s="8">
        <f>Data!N968</f>
        <v>1.7857142857142856E-2</v>
      </c>
      <c r="E973">
        <f>E$1*(1-Data!BF968)+E$2*Data!BF968</f>
        <v>1</v>
      </c>
      <c r="F973">
        <f t="shared" si="113"/>
        <v>1.7857142857142856E-2</v>
      </c>
      <c r="G973" s="15"/>
      <c r="R973" s="11"/>
    </row>
    <row r="974" spans="1:26" x14ac:dyDescent="0.2">
      <c r="A974">
        <f>Data!A969</f>
        <v>0</v>
      </c>
      <c r="B974">
        <f>Data!B969</f>
        <v>0</v>
      </c>
      <c r="C974">
        <f>Data!E969</f>
        <v>2014</v>
      </c>
      <c r="D974" s="8">
        <f>Data!N969</f>
        <v>1.7857142857142856E-2</v>
      </c>
      <c r="E974">
        <f>E$1*(1-Data!BF969)+E$2*Data!BF969</f>
        <v>1</v>
      </c>
      <c r="F974">
        <f t="shared" si="113"/>
        <v>1.7857142857142856E-2</v>
      </c>
      <c r="G974" s="15"/>
      <c r="R974" s="11"/>
    </row>
    <row r="975" spans="1:26" x14ac:dyDescent="0.2">
      <c r="A975">
        <f>Data!A970</f>
        <v>0</v>
      </c>
      <c r="B975">
        <f>Data!B970</f>
        <v>0</v>
      </c>
      <c r="C975">
        <f>Data!E970</f>
        <v>2014</v>
      </c>
      <c r="D975" s="8">
        <f>Data!N970</f>
        <v>1.7857142857142856E-2</v>
      </c>
      <c r="E975">
        <f>E$1*(1-Data!BF970)+E$2*Data!BF970</f>
        <v>1</v>
      </c>
      <c r="F975">
        <f t="shared" si="113"/>
        <v>1.7857142857142856E-2</v>
      </c>
      <c r="G975" s="15"/>
      <c r="R975" s="11"/>
    </row>
    <row r="976" spans="1:26" x14ac:dyDescent="0.2">
      <c r="A976">
        <f>Data!A971</f>
        <v>0</v>
      </c>
      <c r="B976">
        <f>Data!B971</f>
        <v>0</v>
      </c>
      <c r="C976">
        <f>Data!E971</f>
        <v>2014</v>
      </c>
      <c r="D976" s="8">
        <f>Data!N971</f>
        <v>1.7857142857142856E-2</v>
      </c>
      <c r="E976">
        <f>E$1*(1-Data!BF971)+E$2*Data!BF971</f>
        <v>1</v>
      </c>
      <c r="F976">
        <f t="shared" si="113"/>
        <v>1.7857142857142856E-2</v>
      </c>
      <c r="G976" s="15"/>
      <c r="R976" s="11"/>
    </row>
    <row r="977" spans="1:18" x14ac:dyDescent="0.2">
      <c r="A977">
        <f>Data!A972</f>
        <v>0</v>
      </c>
      <c r="B977">
        <f>Data!B972</f>
        <v>0</v>
      </c>
      <c r="C977">
        <f>Data!E972</f>
        <v>2014</v>
      </c>
      <c r="D977" s="8">
        <f>Data!N972</f>
        <v>1.7857142857142856E-2</v>
      </c>
      <c r="E977">
        <f>E$1*(1-Data!BF972)+E$2*Data!BF972</f>
        <v>1</v>
      </c>
      <c r="F977">
        <f t="shared" si="113"/>
        <v>1.7857142857142856E-2</v>
      </c>
      <c r="G977" s="15"/>
      <c r="R977" s="11"/>
    </row>
    <row r="978" spans="1:18" x14ac:dyDescent="0.2">
      <c r="A978">
        <f>Data!A973</f>
        <v>0</v>
      </c>
      <c r="B978">
        <f>Data!B973</f>
        <v>0</v>
      </c>
      <c r="C978">
        <f>Data!E973</f>
        <v>2014</v>
      </c>
      <c r="D978" s="8">
        <f>Data!N973</f>
        <v>1.7857142857142856E-2</v>
      </c>
      <c r="E978">
        <f>E$1*(1-Data!BF973)+E$2*Data!BF973</f>
        <v>1</v>
      </c>
      <c r="F978">
        <f t="shared" si="113"/>
        <v>1.7857142857142856E-2</v>
      </c>
      <c r="G978" s="15"/>
      <c r="R978" s="11"/>
    </row>
    <row r="979" spans="1:18" x14ac:dyDescent="0.2">
      <c r="A979">
        <f>Data!A974</f>
        <v>0</v>
      </c>
      <c r="B979">
        <f>Data!B974</f>
        <v>0</v>
      </c>
      <c r="C979">
        <f>Data!E974</f>
        <v>2014</v>
      </c>
      <c r="D979" s="8">
        <f>Data!N974</f>
        <v>1.7857142857142856E-2</v>
      </c>
      <c r="E979">
        <f>E$1*(1-Data!BF974)+E$2*Data!BF974</f>
        <v>1</v>
      </c>
      <c r="F979">
        <f t="shared" si="113"/>
        <v>1.7857142857142856E-2</v>
      </c>
      <c r="G979" s="15"/>
      <c r="R979" s="11"/>
    </row>
    <row r="980" spans="1:18" x14ac:dyDescent="0.2">
      <c r="A980">
        <f>Data!A975</f>
        <v>0</v>
      </c>
      <c r="B980">
        <f>Data!B975</f>
        <v>0</v>
      </c>
      <c r="C980">
        <f>Data!E975</f>
        <v>2014</v>
      </c>
      <c r="D980" s="8">
        <f>Data!N975</f>
        <v>1.7857142857142856E-2</v>
      </c>
      <c r="E980">
        <f>E$1*(1-Data!BF975)+E$2*Data!BF975</f>
        <v>1</v>
      </c>
      <c r="F980">
        <f t="shared" si="113"/>
        <v>1.7857142857142856E-2</v>
      </c>
      <c r="G980" s="15"/>
      <c r="R980" s="11"/>
    </row>
    <row r="981" spans="1:18" x14ac:dyDescent="0.2">
      <c r="A981">
        <f>Data!A976</f>
        <v>0</v>
      </c>
      <c r="B981">
        <f>Data!B976</f>
        <v>0</v>
      </c>
      <c r="C981">
        <f>Data!E976</f>
        <v>2014</v>
      </c>
      <c r="D981" s="8">
        <f>Data!N976</f>
        <v>1.7857142857142856E-2</v>
      </c>
      <c r="E981">
        <f>E$1*(1-Data!BF976)+E$2*Data!BF976</f>
        <v>1</v>
      </c>
      <c r="F981">
        <f t="shared" si="113"/>
        <v>1.7857142857142856E-2</v>
      </c>
      <c r="G981" s="15"/>
      <c r="R981" s="11"/>
    </row>
    <row r="982" spans="1:18" x14ac:dyDescent="0.2">
      <c r="A982">
        <f>Data!A977</f>
        <v>0</v>
      </c>
      <c r="B982">
        <f>Data!B977</f>
        <v>0</v>
      </c>
      <c r="C982">
        <f>Data!E977</f>
        <v>2014</v>
      </c>
      <c r="D982" s="8">
        <f>Data!N977</f>
        <v>1.7857142857142856E-2</v>
      </c>
      <c r="E982">
        <f>E$1*(1-Data!BF977)+E$2*Data!BF977</f>
        <v>1</v>
      </c>
      <c r="F982">
        <f t="shared" si="113"/>
        <v>1.7857142857142856E-2</v>
      </c>
      <c r="G982" s="15"/>
      <c r="R982" s="11"/>
    </row>
    <row r="983" spans="1:18" x14ac:dyDescent="0.2">
      <c r="A983">
        <f>Data!A978</f>
        <v>0</v>
      </c>
      <c r="B983">
        <f>Data!B978</f>
        <v>0</v>
      </c>
      <c r="C983">
        <f>Data!E978</f>
        <v>2014</v>
      </c>
      <c r="D983" s="8">
        <f>Data!N978</f>
        <v>1.7857142857142856E-2</v>
      </c>
      <c r="E983">
        <f>E$1*(1-Data!BF978)+E$2*Data!BF978</f>
        <v>1</v>
      </c>
      <c r="F983">
        <f t="shared" si="113"/>
        <v>1.7857142857142856E-2</v>
      </c>
      <c r="G983" s="15"/>
      <c r="R983" s="11"/>
    </row>
    <row r="984" spans="1:18" x14ac:dyDescent="0.2">
      <c r="A984">
        <f>Data!A979</f>
        <v>0</v>
      </c>
      <c r="B984">
        <f>Data!B979</f>
        <v>0</v>
      </c>
      <c r="C984">
        <f>Data!E979</f>
        <v>2014</v>
      </c>
      <c r="D984" s="8">
        <f>Data!N979</f>
        <v>1.7857142857142856E-2</v>
      </c>
      <c r="E984">
        <f>E$1*(1-Data!BF979)+E$2*Data!BF979</f>
        <v>1</v>
      </c>
      <c r="F984">
        <f t="shared" si="113"/>
        <v>1.7857142857142856E-2</v>
      </c>
      <c r="G984" s="15"/>
      <c r="R984" s="11"/>
    </row>
    <row r="985" spans="1:18" x14ac:dyDescent="0.2">
      <c r="A985">
        <f>Data!A980</f>
        <v>0</v>
      </c>
      <c r="B985">
        <f>Data!B980</f>
        <v>0</v>
      </c>
      <c r="C985">
        <f>Data!E980</f>
        <v>2014</v>
      </c>
      <c r="D985" s="8">
        <f>Data!N980</f>
        <v>1.7857142857142856E-2</v>
      </c>
      <c r="E985">
        <f>E$1*(1-Data!BF980)+E$2*Data!BF980</f>
        <v>1</v>
      </c>
      <c r="F985">
        <f t="shared" si="113"/>
        <v>1.7857142857142856E-2</v>
      </c>
      <c r="G985" s="15"/>
      <c r="R985" s="11"/>
    </row>
    <row r="986" spans="1:18" x14ac:dyDescent="0.2">
      <c r="A986">
        <f>Data!A981</f>
        <v>0</v>
      </c>
      <c r="B986">
        <f>Data!B981</f>
        <v>0</v>
      </c>
      <c r="C986">
        <f>Data!E981</f>
        <v>2014</v>
      </c>
      <c r="D986" s="8">
        <f>Data!N981</f>
        <v>3.5714285714285712E-2</v>
      </c>
      <c r="E986">
        <f>E$1*(1-Data!BF981)+E$2*Data!BF981</f>
        <v>1</v>
      </c>
      <c r="F986">
        <f t="shared" ref="F986:F993" si="114">D986*E986</f>
        <v>3.5714285714285712E-2</v>
      </c>
      <c r="G986" s="15"/>
      <c r="R986" s="11"/>
    </row>
    <row r="987" spans="1:18" x14ac:dyDescent="0.2">
      <c r="A987">
        <f>Data!A982</f>
        <v>0</v>
      </c>
      <c r="B987">
        <f>Data!B982</f>
        <v>0</v>
      </c>
      <c r="C987">
        <f>Data!E982</f>
        <v>2014</v>
      </c>
      <c r="D987" s="8">
        <f>Data!N982</f>
        <v>3.5714285714285712E-2</v>
      </c>
      <c r="E987">
        <f>E$1*(1-Data!BF982)+E$2*Data!BF982</f>
        <v>1</v>
      </c>
      <c r="F987">
        <f t="shared" si="114"/>
        <v>3.5714285714285712E-2</v>
      </c>
      <c r="G987" s="15"/>
      <c r="R987" s="11"/>
    </row>
    <row r="988" spans="1:18" x14ac:dyDescent="0.2">
      <c r="A988">
        <f>Data!A983</f>
        <v>0</v>
      </c>
      <c r="B988">
        <f>Data!B983</f>
        <v>0</v>
      </c>
      <c r="C988">
        <f>Data!E983</f>
        <v>2014</v>
      </c>
      <c r="D988" s="8">
        <f>Data!N983</f>
        <v>3.5714285714285712E-2</v>
      </c>
      <c r="E988">
        <f>E$1*(1-Data!BF983)+E$2*Data!BF983</f>
        <v>1</v>
      </c>
      <c r="F988">
        <f t="shared" si="114"/>
        <v>3.5714285714285712E-2</v>
      </c>
      <c r="G988" s="15"/>
      <c r="R988" s="11"/>
    </row>
    <row r="989" spans="1:18" x14ac:dyDescent="0.2">
      <c r="A989">
        <f>Data!A984</f>
        <v>0</v>
      </c>
      <c r="B989">
        <f>Data!B984</f>
        <v>0</v>
      </c>
      <c r="C989">
        <f>Data!E984</f>
        <v>2014</v>
      </c>
      <c r="D989" s="8">
        <f>Data!N984</f>
        <v>3.5714285714285712E-2</v>
      </c>
      <c r="E989">
        <f>E$1*(1-Data!BF984)+E$2*Data!BF984</f>
        <v>1</v>
      </c>
      <c r="F989">
        <f t="shared" si="114"/>
        <v>3.5714285714285712E-2</v>
      </c>
      <c r="G989" s="15"/>
      <c r="R989" s="11"/>
    </row>
    <row r="990" spans="1:18" x14ac:dyDescent="0.2">
      <c r="A990">
        <f>Data!A985</f>
        <v>0</v>
      </c>
      <c r="B990">
        <f>Data!B985</f>
        <v>0</v>
      </c>
      <c r="C990">
        <f>Data!E985</f>
        <v>2014</v>
      </c>
      <c r="D990" s="8">
        <f>Data!N985</f>
        <v>1.7857142857142856E-2</v>
      </c>
      <c r="E990">
        <f>E$1*(1-Data!BF985)+E$2*Data!BF985</f>
        <v>1</v>
      </c>
      <c r="F990">
        <f t="shared" si="114"/>
        <v>1.7857142857142856E-2</v>
      </c>
      <c r="G990" s="15"/>
      <c r="R990" s="11"/>
    </row>
    <row r="991" spans="1:18" x14ac:dyDescent="0.2">
      <c r="A991">
        <f>Data!A986</f>
        <v>0</v>
      </c>
      <c r="B991">
        <f>Data!B986</f>
        <v>0</v>
      </c>
      <c r="C991">
        <f>Data!E986</f>
        <v>2014</v>
      </c>
      <c r="D991" s="8">
        <f>Data!N986</f>
        <v>1.7857142857142856E-2</v>
      </c>
      <c r="E991">
        <f>E$1*(1-Data!BF986)+E$2*Data!BF986</f>
        <v>1</v>
      </c>
      <c r="F991">
        <f t="shared" si="114"/>
        <v>1.7857142857142856E-2</v>
      </c>
      <c r="G991" s="15"/>
      <c r="R991" s="11"/>
    </row>
    <row r="992" spans="1:18" x14ac:dyDescent="0.2">
      <c r="A992">
        <f>Data!A987</f>
        <v>0</v>
      </c>
      <c r="B992">
        <f>Data!B987</f>
        <v>0</v>
      </c>
      <c r="C992">
        <f>Data!E987</f>
        <v>2014</v>
      </c>
      <c r="D992" s="8">
        <f>Data!N987</f>
        <v>1.7857142857142856E-2</v>
      </c>
      <c r="E992">
        <f>E$1*(1-Data!BF987)+E$2*Data!BF987</f>
        <v>1</v>
      </c>
      <c r="F992">
        <f t="shared" si="114"/>
        <v>1.7857142857142856E-2</v>
      </c>
      <c r="G992" s="15"/>
      <c r="R992" s="11"/>
    </row>
    <row r="993" spans="1:37" x14ac:dyDescent="0.2">
      <c r="A993">
        <f>Data!A988</f>
        <v>0</v>
      </c>
      <c r="B993">
        <f>Data!B988</f>
        <v>0</v>
      </c>
      <c r="C993">
        <f>Data!E988</f>
        <v>2014</v>
      </c>
      <c r="D993" s="8">
        <f>Data!N988</f>
        <v>1.7857142857142856E-2</v>
      </c>
      <c r="E993">
        <f>E$1*(1-Data!BF988)+E$2*Data!BF988</f>
        <v>1</v>
      </c>
      <c r="F993">
        <f t="shared" si="114"/>
        <v>1.7857142857142856E-2</v>
      </c>
      <c r="G993" s="15"/>
      <c r="R993" s="11"/>
    </row>
    <row r="994" spans="1:37" x14ac:dyDescent="0.2">
      <c r="A994" t="str">
        <f>Data!A989</f>
        <v>Nordhaus</v>
      </c>
      <c r="B994" t="str">
        <f>Data!B989</f>
        <v>none</v>
      </c>
      <c r="C994">
        <f>Data!E989</f>
        <v>2013</v>
      </c>
      <c r="D994" s="8">
        <f>Data!N989</f>
        <v>0.10666666666666667</v>
      </c>
      <c r="E994">
        <f>E$1*(1-Data!BF989)+E$2*Data!BF989</f>
        <v>1</v>
      </c>
      <c r="F994">
        <f t="shared" ref="F994" si="115">D994*E994</f>
        <v>0.10666666666666667</v>
      </c>
      <c r="G994" s="15">
        <f t="shared" ref="G994" si="116">(J994/H994)^(1/(K994-I994))-1</f>
        <v>2.8831786779357715E-2</v>
      </c>
      <c r="H994">
        <f t="shared" ref="H994" si="117">MIN(L994:BE994)</f>
        <v>28.93</v>
      </c>
      <c r="I994">
        <f t="shared" ref="I994" si="118">LOOKUP(H994,L994:BE994,L$8:BE$8)</f>
        <v>2010</v>
      </c>
      <c r="J994">
        <f t="shared" ref="J994" si="119">MAX(L994:BE994)</f>
        <v>430.59</v>
      </c>
      <c r="K994">
        <f t="shared" ref="K994" si="120">LOOKUP(J994,L994:BE994,L$8:BE$8)</f>
        <v>2105</v>
      </c>
      <c r="R994" s="11">
        <v>28.93</v>
      </c>
      <c r="S994">
        <v>37.700000000000003</v>
      </c>
      <c r="T994">
        <v>49.13</v>
      </c>
      <c r="U994">
        <v>64.02</v>
      </c>
      <c r="AA994">
        <v>153.44999999999999</v>
      </c>
      <c r="AK994">
        <v>430.59</v>
      </c>
    </row>
    <row r="995" spans="1:37" x14ac:dyDescent="0.2">
      <c r="A995">
        <f>Data!A990</f>
        <v>0</v>
      </c>
      <c r="B995">
        <f>Data!B990</f>
        <v>0</v>
      </c>
      <c r="C995">
        <f>Data!E990</f>
        <v>2013</v>
      </c>
      <c r="D995" s="8">
        <f>Data!N990</f>
        <v>1.3333333333333334E-2</v>
      </c>
      <c r="E995">
        <f>E$1*(1-Data!BF990)+E$2*Data!BF990</f>
        <v>1</v>
      </c>
      <c r="F995">
        <f t="shared" ref="F995:F1001" si="121">D995*E995</f>
        <v>1.3333333333333334E-2</v>
      </c>
      <c r="G995" s="15"/>
      <c r="R995" s="11"/>
    </row>
    <row r="996" spans="1:37" x14ac:dyDescent="0.2">
      <c r="A996">
        <f>Data!A991</f>
        <v>0</v>
      </c>
      <c r="B996">
        <f>Data!B991</f>
        <v>0</v>
      </c>
      <c r="C996">
        <f>Data!E991</f>
        <v>2013</v>
      </c>
      <c r="D996" s="8">
        <f>Data!N991</f>
        <v>2.6666666666666668E-2</v>
      </c>
      <c r="E996">
        <f>E$1*(1-Data!BF991)+E$2*Data!BF991</f>
        <v>1</v>
      </c>
      <c r="F996">
        <f t="shared" si="121"/>
        <v>2.6666666666666668E-2</v>
      </c>
      <c r="G996" s="15"/>
      <c r="R996" s="11"/>
    </row>
    <row r="997" spans="1:37" x14ac:dyDescent="0.2">
      <c r="A997">
        <f>Data!A992</f>
        <v>0</v>
      </c>
      <c r="B997">
        <f>Data!B992</f>
        <v>0</v>
      </c>
      <c r="C997">
        <f>Data!E992</f>
        <v>2013</v>
      </c>
      <c r="D997" s="8">
        <f>Data!N992</f>
        <v>5.3333333333333337E-2</v>
      </c>
      <c r="E997">
        <f>E$1*(1-Data!BF992)+E$2*Data!BF992</f>
        <v>1</v>
      </c>
      <c r="F997">
        <f t="shared" si="121"/>
        <v>5.3333333333333337E-2</v>
      </c>
      <c r="G997" s="15"/>
      <c r="R997" s="11"/>
    </row>
    <row r="998" spans="1:37" x14ac:dyDescent="0.2">
      <c r="A998">
        <f>Data!A993</f>
        <v>0</v>
      </c>
      <c r="B998">
        <f>Data!B993</f>
        <v>0</v>
      </c>
      <c r="C998">
        <f>Data!E993</f>
        <v>2013</v>
      </c>
      <c r="D998" s="8">
        <f>Data!N993</f>
        <v>5.3333333333333337E-2</v>
      </c>
      <c r="E998">
        <f>E$1*(1-Data!BF993)+E$2*Data!BF993</f>
        <v>1</v>
      </c>
      <c r="F998">
        <f t="shared" si="121"/>
        <v>5.3333333333333337E-2</v>
      </c>
      <c r="G998" s="15"/>
      <c r="R998" s="11"/>
    </row>
    <row r="999" spans="1:37" x14ac:dyDescent="0.2">
      <c r="A999">
        <f>Data!A994</f>
        <v>0</v>
      </c>
      <c r="B999">
        <f>Data!B994</f>
        <v>0</v>
      </c>
      <c r="C999">
        <f>Data!E994</f>
        <v>2013</v>
      </c>
      <c r="D999" s="8">
        <f>Data!N994</f>
        <v>2.6666666666666668E-2</v>
      </c>
      <c r="E999">
        <f>E$1*(1-Data!BF994)+E$2*Data!BF994</f>
        <v>1</v>
      </c>
      <c r="F999">
        <f t="shared" si="121"/>
        <v>2.6666666666666668E-2</v>
      </c>
      <c r="G999" s="15"/>
      <c r="R999" s="11"/>
    </row>
    <row r="1000" spans="1:37" x14ac:dyDescent="0.2">
      <c r="A1000">
        <f>Data!A995</f>
        <v>0</v>
      </c>
      <c r="B1000">
        <f>Data!B995</f>
        <v>0</v>
      </c>
      <c r="C1000">
        <f>Data!E995</f>
        <v>2013</v>
      </c>
      <c r="D1000" s="8">
        <f>Data!N995</f>
        <v>2.6666666666666668E-2</v>
      </c>
      <c r="E1000">
        <f>E$1*(1-Data!BF995)+E$2*Data!BF995</f>
        <v>1</v>
      </c>
      <c r="F1000">
        <f t="shared" si="121"/>
        <v>2.6666666666666668E-2</v>
      </c>
      <c r="G1000" s="15"/>
      <c r="R1000" s="11"/>
    </row>
    <row r="1001" spans="1:37" x14ac:dyDescent="0.2">
      <c r="A1001">
        <f>Data!A996</f>
        <v>0</v>
      </c>
      <c r="B1001">
        <f>Data!B996</f>
        <v>0</v>
      </c>
      <c r="C1001">
        <f>Data!E996</f>
        <v>2013</v>
      </c>
      <c r="D1001" s="8">
        <f>Data!N996</f>
        <v>1.3333333333333334E-2</v>
      </c>
      <c r="E1001">
        <f>E$1*(1-Data!BF996)+E$2*Data!BF996</f>
        <v>1</v>
      </c>
      <c r="F1001">
        <f t="shared" si="121"/>
        <v>1.3333333333333334E-2</v>
      </c>
      <c r="G1001" s="15">
        <f t="shared" ref="G1001" si="122">(J1001/H1001)^(1/(K1001-I1001))-1</f>
        <v>4.0383677414004282E-2</v>
      </c>
      <c r="H1001">
        <f t="shared" ref="H1001" si="123">MIN(L1001:BE1001)</f>
        <v>35</v>
      </c>
      <c r="I1001">
        <f t="shared" ref="I1001" si="124">LOOKUP(H1001,L1001:BE1001,L$8:BE$8)</f>
        <v>2010</v>
      </c>
      <c r="J1001">
        <f t="shared" ref="J1001" si="125">MAX(L1001:BE1001)</f>
        <v>52</v>
      </c>
      <c r="K1001">
        <f t="shared" ref="K1001" si="126">LOOKUP(J1001,L1001:BE1001,L$8:BE$8)</f>
        <v>2020</v>
      </c>
      <c r="R1001" s="11">
        <v>35</v>
      </c>
      <c r="T1001">
        <v>52</v>
      </c>
    </row>
    <row r="1002" spans="1:37" x14ac:dyDescent="0.2">
      <c r="A1002">
        <f>Data!A997</f>
        <v>0</v>
      </c>
      <c r="B1002">
        <f>Data!B997</f>
        <v>0</v>
      </c>
      <c r="C1002">
        <f>Data!E997</f>
        <v>2013</v>
      </c>
      <c r="D1002" s="8">
        <f>Data!N997</f>
        <v>6.6666666666666666E-2</v>
      </c>
      <c r="E1002">
        <f>E$1*(1-Data!BF997)+E$2*Data!BF997</f>
        <v>1</v>
      </c>
      <c r="F1002">
        <f t="shared" ref="F1002:F1011" si="127">D1002*E1002</f>
        <v>6.6666666666666666E-2</v>
      </c>
      <c r="G1002" s="15"/>
      <c r="R1002" s="11"/>
    </row>
    <row r="1003" spans="1:37" x14ac:dyDescent="0.2">
      <c r="A1003">
        <f>Data!A998</f>
        <v>0</v>
      </c>
      <c r="B1003">
        <f>Data!B998</f>
        <v>0</v>
      </c>
      <c r="C1003">
        <f>Data!E998</f>
        <v>2013</v>
      </c>
      <c r="D1003" s="8">
        <f>Data!N998</f>
        <v>1.3333333333333334E-2</v>
      </c>
      <c r="E1003">
        <f>E$1*(1-Data!BF998)+E$2*Data!BF998</f>
        <v>1</v>
      </c>
      <c r="F1003">
        <f t="shared" si="127"/>
        <v>1.3333333333333334E-2</v>
      </c>
      <c r="G1003" s="15"/>
      <c r="R1003" s="11"/>
    </row>
    <row r="1004" spans="1:37" x14ac:dyDescent="0.2">
      <c r="A1004">
        <f>Data!A999</f>
        <v>0</v>
      </c>
      <c r="B1004">
        <f>Data!B999</f>
        <v>0</v>
      </c>
      <c r="C1004">
        <f>Data!E999</f>
        <v>2013</v>
      </c>
      <c r="D1004" s="8">
        <f>Data!N999</f>
        <v>2.6666666666666668E-2</v>
      </c>
      <c r="E1004">
        <f>E$1*(1-Data!BF999)+E$2*Data!BF999</f>
        <v>1</v>
      </c>
      <c r="F1004">
        <f t="shared" si="127"/>
        <v>2.6666666666666668E-2</v>
      </c>
      <c r="G1004" s="15"/>
      <c r="R1004" s="11"/>
    </row>
    <row r="1005" spans="1:37" x14ac:dyDescent="0.2">
      <c r="A1005">
        <f>Data!A1000</f>
        <v>0</v>
      </c>
      <c r="B1005">
        <f>Data!B1000</f>
        <v>0</v>
      </c>
      <c r="C1005">
        <f>Data!E1000</f>
        <v>2013</v>
      </c>
      <c r="D1005" s="8">
        <f>Data!N1000</f>
        <v>0.04</v>
      </c>
      <c r="E1005">
        <f>E$1*(1-Data!BF1000)+E$2*Data!BF1000</f>
        <v>1</v>
      </c>
      <c r="F1005">
        <f t="shared" si="127"/>
        <v>0.04</v>
      </c>
      <c r="G1005" s="15"/>
      <c r="R1005" s="11"/>
    </row>
    <row r="1006" spans="1:37" x14ac:dyDescent="0.2">
      <c r="A1006">
        <f>Data!A1001</f>
        <v>0</v>
      </c>
      <c r="B1006">
        <f>Data!B1001</f>
        <v>0</v>
      </c>
      <c r="C1006">
        <f>Data!E1001</f>
        <v>2013</v>
      </c>
      <c r="D1006" s="8">
        <f>Data!N1001</f>
        <v>5.3333333333333337E-2</v>
      </c>
      <c r="E1006">
        <f>E$1*(1-Data!BF1001)+E$2*Data!BF1001</f>
        <v>1</v>
      </c>
      <c r="F1006">
        <f t="shared" si="127"/>
        <v>5.3333333333333337E-2</v>
      </c>
      <c r="G1006" s="15"/>
      <c r="R1006" s="11"/>
    </row>
    <row r="1007" spans="1:37" x14ac:dyDescent="0.2">
      <c r="A1007">
        <f>Data!A1002</f>
        <v>0</v>
      </c>
      <c r="B1007">
        <f>Data!B1002</f>
        <v>0</v>
      </c>
      <c r="C1007">
        <f>Data!E1002</f>
        <v>2013</v>
      </c>
      <c r="D1007" s="8">
        <f>Data!N1002</f>
        <v>6.6666666666666666E-2</v>
      </c>
      <c r="E1007">
        <f>E$1*(1-Data!BF1002)+E$2*Data!BF1002</f>
        <v>1</v>
      </c>
      <c r="F1007">
        <f t="shared" si="127"/>
        <v>6.6666666666666666E-2</v>
      </c>
      <c r="G1007" s="15"/>
      <c r="R1007" s="11"/>
    </row>
    <row r="1008" spans="1:37" x14ac:dyDescent="0.2">
      <c r="A1008">
        <f>Data!A1003</f>
        <v>0</v>
      </c>
      <c r="B1008">
        <f>Data!B1003</f>
        <v>0</v>
      </c>
      <c r="C1008">
        <f>Data!E1003</f>
        <v>2013</v>
      </c>
      <c r="D1008" s="8">
        <f>Data!N1003</f>
        <v>0.10666666666666667</v>
      </c>
      <c r="E1008">
        <f>E$1*(1-Data!BF1003)+E$2*Data!BF1003</f>
        <v>1</v>
      </c>
      <c r="F1008">
        <f t="shared" si="127"/>
        <v>0.10666666666666667</v>
      </c>
      <c r="G1008" s="15"/>
      <c r="R1008" s="11"/>
    </row>
    <row r="1009" spans="1:18" x14ac:dyDescent="0.2">
      <c r="A1009">
        <f>Data!A1004</f>
        <v>0</v>
      </c>
      <c r="B1009">
        <f>Data!B1004</f>
        <v>0</v>
      </c>
      <c r="C1009">
        <f>Data!E1004</f>
        <v>2013</v>
      </c>
      <c r="D1009" s="8">
        <f>Data!N1004</f>
        <v>5.3333333333333337E-2</v>
      </c>
      <c r="E1009">
        <f>E$1*(1-Data!BF1004)+E$2*Data!BF1004</f>
        <v>1</v>
      </c>
      <c r="F1009">
        <f t="shared" si="127"/>
        <v>5.3333333333333337E-2</v>
      </c>
      <c r="G1009" s="15"/>
      <c r="R1009" s="11"/>
    </row>
    <row r="1010" spans="1:18" x14ac:dyDescent="0.2">
      <c r="A1010">
        <f>Data!A1005</f>
        <v>0</v>
      </c>
      <c r="B1010">
        <f>Data!B1005</f>
        <v>0</v>
      </c>
      <c r="C1010">
        <f>Data!E1005</f>
        <v>2013</v>
      </c>
      <c r="D1010" s="8">
        <f>Data!N1005</f>
        <v>5.3333333333333337E-2</v>
      </c>
      <c r="E1010">
        <f>E$1*(1-Data!BF1005)+E$2*Data!BF1005</f>
        <v>1</v>
      </c>
      <c r="F1010">
        <f t="shared" si="127"/>
        <v>5.3333333333333337E-2</v>
      </c>
      <c r="G1010" s="15"/>
      <c r="R1010" s="11"/>
    </row>
    <row r="1011" spans="1:18" x14ac:dyDescent="0.2">
      <c r="A1011">
        <f>Data!A1006</f>
        <v>0</v>
      </c>
      <c r="B1011">
        <f>Data!B1006</f>
        <v>0</v>
      </c>
      <c r="C1011">
        <f>Data!E1006</f>
        <v>2013</v>
      </c>
      <c r="D1011" s="8">
        <f>Data!N1006</f>
        <v>2.6666666666666668E-2</v>
      </c>
      <c r="E1011">
        <f>E$1*(1-Data!BF1006)+E$2*Data!BF1006</f>
        <v>1</v>
      </c>
      <c r="F1011">
        <f t="shared" si="127"/>
        <v>2.6666666666666668E-2</v>
      </c>
      <c r="G1011" s="15"/>
      <c r="R1011" s="11"/>
    </row>
    <row r="1012" spans="1:18" x14ac:dyDescent="0.2">
      <c r="A1012">
        <f>Data!A1007</f>
        <v>0</v>
      </c>
      <c r="B1012">
        <f>Data!B1007</f>
        <v>0</v>
      </c>
      <c r="C1012">
        <f>Data!E1007</f>
        <v>2013</v>
      </c>
      <c r="D1012" s="8">
        <f>Data!N1007</f>
        <v>5.3333333333333337E-2</v>
      </c>
      <c r="E1012">
        <f>E$1*(1-Data!BF1007)+E$2*Data!BF1007</f>
        <v>1</v>
      </c>
      <c r="F1012">
        <f t="shared" ref="F1012:F1075" si="128">D1012*E1012</f>
        <v>5.3333333333333337E-2</v>
      </c>
      <c r="G1012" s="15"/>
      <c r="R1012" s="11"/>
    </row>
    <row r="1013" spans="1:18" x14ac:dyDescent="0.2">
      <c r="A1013">
        <f>Data!A1008</f>
        <v>0</v>
      </c>
      <c r="B1013">
        <f>Data!B1008</f>
        <v>0</v>
      </c>
      <c r="C1013">
        <f>Data!E1008</f>
        <v>2013</v>
      </c>
      <c r="D1013" s="8">
        <f>Data!N1008</f>
        <v>5.3333333333333337E-2</v>
      </c>
      <c r="E1013">
        <f>E$1*(1-Data!BF1008)+E$2*Data!BF1008</f>
        <v>1</v>
      </c>
      <c r="F1013">
        <f t="shared" si="128"/>
        <v>5.3333333333333337E-2</v>
      </c>
      <c r="G1013" s="15"/>
      <c r="R1013" s="11"/>
    </row>
    <row r="1014" spans="1:18" x14ac:dyDescent="0.2">
      <c r="A1014">
        <f>Data!A1009</f>
        <v>0</v>
      </c>
      <c r="B1014">
        <f>Data!B1009</f>
        <v>0</v>
      </c>
      <c r="C1014">
        <f>Data!E1009</f>
        <v>2013</v>
      </c>
      <c r="D1014" s="8">
        <f>Data!N1009</f>
        <v>2.6666666666666668E-2</v>
      </c>
      <c r="E1014">
        <f>E$1*(1-Data!BF1009)+E$2*Data!BF1009</f>
        <v>1</v>
      </c>
      <c r="F1014">
        <f t="shared" si="128"/>
        <v>2.6666666666666668E-2</v>
      </c>
      <c r="G1014" s="15"/>
      <c r="R1014" s="11"/>
    </row>
    <row r="1015" spans="1:18" x14ac:dyDescent="0.2">
      <c r="A1015">
        <f>Data!A1010</f>
        <v>0</v>
      </c>
      <c r="B1015">
        <f>Data!B1010</f>
        <v>0</v>
      </c>
      <c r="C1015">
        <f>Data!E1010</f>
        <v>2013</v>
      </c>
      <c r="D1015" s="8">
        <f>Data!N1010</f>
        <v>2.6666666666666668E-2</v>
      </c>
      <c r="E1015">
        <f>E$1*(1-Data!BF1010)+E$2*Data!BF1010</f>
        <v>1</v>
      </c>
      <c r="F1015">
        <f t="shared" si="128"/>
        <v>2.6666666666666668E-2</v>
      </c>
      <c r="G1015" s="15"/>
      <c r="R1015" s="11"/>
    </row>
    <row r="1016" spans="1:18" x14ac:dyDescent="0.2">
      <c r="A1016">
        <f>Data!A1011</f>
        <v>0</v>
      </c>
      <c r="B1016">
        <f>Data!B1011</f>
        <v>0</v>
      </c>
      <c r="C1016">
        <f>Data!E1011</f>
        <v>2013</v>
      </c>
      <c r="D1016" s="8">
        <f>Data!N1011</f>
        <v>1.3333333333333334E-2</v>
      </c>
      <c r="E1016">
        <f>E$1*(1-Data!BF1011)+E$2*Data!BF1011</f>
        <v>1</v>
      </c>
      <c r="F1016">
        <f t="shared" si="128"/>
        <v>1.3333333333333334E-2</v>
      </c>
      <c r="G1016" s="15"/>
      <c r="R1016" s="11"/>
    </row>
    <row r="1017" spans="1:18" x14ac:dyDescent="0.2">
      <c r="A1017" t="str">
        <f>Data!A1012</f>
        <v>Marten</v>
      </c>
      <c r="B1017" t="str">
        <f>Data!B1012</f>
        <v>none</v>
      </c>
      <c r="C1017">
        <f>Data!E1012</f>
        <v>2014</v>
      </c>
      <c r="D1017" s="8">
        <f>Data!N1012</f>
        <v>2.8571428571428571E-2</v>
      </c>
      <c r="E1017">
        <f>E$1*(1-Data!BF1012)+E$2*Data!BF1012</f>
        <v>1</v>
      </c>
      <c r="F1017">
        <f t="shared" si="128"/>
        <v>2.8571428571428571E-2</v>
      </c>
      <c r="G1017" s="15"/>
      <c r="R1017" s="11"/>
    </row>
    <row r="1018" spans="1:18" x14ac:dyDescent="0.2">
      <c r="A1018">
        <f>Data!A1013</f>
        <v>0</v>
      </c>
      <c r="B1018">
        <f>Data!B1013</f>
        <v>0</v>
      </c>
      <c r="C1018">
        <f>Data!E1013</f>
        <v>2014</v>
      </c>
      <c r="D1018" s="8">
        <f>Data!N1013</f>
        <v>2.8571428571428571E-2</v>
      </c>
      <c r="E1018">
        <f>E$1*(1-Data!BF1013)+E$2*Data!BF1013</f>
        <v>1</v>
      </c>
      <c r="F1018">
        <f t="shared" si="128"/>
        <v>2.8571428571428571E-2</v>
      </c>
      <c r="G1018" s="15"/>
      <c r="R1018" s="11"/>
    </row>
    <row r="1019" spans="1:18" x14ac:dyDescent="0.2">
      <c r="A1019">
        <f>Data!A1014</f>
        <v>0</v>
      </c>
      <c r="B1019">
        <f>Data!B1014</f>
        <v>0</v>
      </c>
      <c r="C1019">
        <f>Data!E1014</f>
        <v>2014</v>
      </c>
      <c r="D1019" s="8">
        <f>Data!N1014</f>
        <v>2.8571428571428571E-2</v>
      </c>
      <c r="E1019">
        <f>E$1*(1-Data!BF1014)+E$2*Data!BF1014</f>
        <v>1</v>
      </c>
      <c r="F1019">
        <f t="shared" si="128"/>
        <v>2.8571428571428571E-2</v>
      </c>
      <c r="G1019" s="15"/>
      <c r="R1019" s="11"/>
    </row>
    <row r="1020" spans="1:18" x14ac:dyDescent="0.2">
      <c r="A1020">
        <f>Data!A1015</f>
        <v>0</v>
      </c>
      <c r="B1020">
        <f>Data!B1015</f>
        <v>0</v>
      </c>
      <c r="C1020">
        <f>Data!E1015</f>
        <v>2014</v>
      </c>
      <c r="D1020" s="8">
        <f>Data!N1015</f>
        <v>2.8571428571428571E-2</v>
      </c>
      <c r="E1020">
        <f>E$1*(1-Data!BF1015)+E$2*Data!BF1015</f>
        <v>1</v>
      </c>
      <c r="F1020">
        <f t="shared" si="128"/>
        <v>2.8571428571428571E-2</v>
      </c>
      <c r="G1020" s="15"/>
      <c r="R1020" s="11"/>
    </row>
    <row r="1021" spans="1:18" x14ac:dyDescent="0.2">
      <c r="A1021">
        <f>Data!A1016</f>
        <v>0</v>
      </c>
      <c r="B1021">
        <f>Data!B1016</f>
        <v>0</v>
      </c>
      <c r="C1021">
        <f>Data!E1016</f>
        <v>2014</v>
      </c>
      <c r="D1021" s="8">
        <f>Data!N1016</f>
        <v>2.8571428571428571E-2</v>
      </c>
      <c r="E1021">
        <f>E$1*(1-Data!BF1016)+E$2*Data!BF1016</f>
        <v>1</v>
      </c>
      <c r="F1021">
        <f t="shared" si="128"/>
        <v>2.8571428571428571E-2</v>
      </c>
      <c r="G1021" s="15"/>
      <c r="R1021" s="11"/>
    </row>
    <row r="1022" spans="1:18" x14ac:dyDescent="0.2">
      <c r="A1022">
        <f>Data!A1017</f>
        <v>0</v>
      </c>
      <c r="B1022">
        <f>Data!B1017</f>
        <v>0</v>
      </c>
      <c r="C1022">
        <f>Data!E1017</f>
        <v>2014</v>
      </c>
      <c r="D1022" s="8">
        <f>Data!N1017</f>
        <v>2.8571428571428571E-2</v>
      </c>
      <c r="E1022">
        <f>E$1*(1-Data!BF1017)+E$2*Data!BF1017</f>
        <v>1</v>
      </c>
      <c r="F1022">
        <f t="shared" si="128"/>
        <v>2.8571428571428571E-2</v>
      </c>
      <c r="G1022" s="15"/>
      <c r="R1022" s="11"/>
    </row>
    <row r="1023" spans="1:18" x14ac:dyDescent="0.2">
      <c r="A1023">
        <f>Data!A1018</f>
        <v>0</v>
      </c>
      <c r="B1023">
        <f>Data!B1018</f>
        <v>0</v>
      </c>
      <c r="C1023">
        <f>Data!E1018</f>
        <v>2014</v>
      </c>
      <c r="D1023" s="8">
        <f>Data!N1018</f>
        <v>2.8571428571428571E-2</v>
      </c>
      <c r="E1023">
        <f>E$1*(1-Data!BF1018)+E$2*Data!BF1018</f>
        <v>1</v>
      </c>
      <c r="F1023">
        <f t="shared" si="128"/>
        <v>2.8571428571428571E-2</v>
      </c>
      <c r="G1023" s="15"/>
      <c r="R1023" s="11"/>
    </row>
    <row r="1024" spans="1:18" x14ac:dyDescent="0.2">
      <c r="A1024">
        <f>Data!A1019</f>
        <v>0</v>
      </c>
      <c r="B1024">
        <f>Data!B1019</f>
        <v>0</v>
      </c>
      <c r="C1024">
        <f>Data!E1019</f>
        <v>2014</v>
      </c>
      <c r="D1024" s="8">
        <f>Data!N1019</f>
        <v>2.8571428571428571E-2</v>
      </c>
      <c r="E1024">
        <f>E$1*(1-Data!BF1019)+E$2*Data!BF1019</f>
        <v>1</v>
      </c>
      <c r="F1024">
        <f t="shared" si="128"/>
        <v>2.8571428571428571E-2</v>
      </c>
      <c r="G1024" s="15"/>
      <c r="R1024" s="11"/>
    </row>
    <row r="1025" spans="1:18" x14ac:dyDescent="0.2">
      <c r="A1025">
        <f>Data!A1020</f>
        <v>0</v>
      </c>
      <c r="B1025">
        <f>Data!B1020</f>
        <v>0</v>
      </c>
      <c r="C1025">
        <f>Data!E1020</f>
        <v>2014</v>
      </c>
      <c r="D1025" s="8">
        <f>Data!N1020</f>
        <v>2.8571428571428571E-2</v>
      </c>
      <c r="E1025">
        <f>E$1*(1-Data!BF1020)+E$2*Data!BF1020</f>
        <v>1</v>
      </c>
      <c r="F1025">
        <f t="shared" si="128"/>
        <v>2.8571428571428571E-2</v>
      </c>
      <c r="G1025" s="15"/>
      <c r="R1025" s="11"/>
    </row>
    <row r="1026" spans="1:18" x14ac:dyDescent="0.2">
      <c r="A1026">
        <f>Data!A1021</f>
        <v>0</v>
      </c>
      <c r="B1026">
        <f>Data!B1021</f>
        <v>0</v>
      </c>
      <c r="C1026">
        <f>Data!E1021</f>
        <v>2014</v>
      </c>
      <c r="D1026" s="8">
        <f>Data!N1021</f>
        <v>2.8571428571428571E-2</v>
      </c>
      <c r="E1026">
        <f>E$1*(1-Data!BF1021)+E$2*Data!BF1021</f>
        <v>1</v>
      </c>
      <c r="F1026">
        <f t="shared" si="128"/>
        <v>2.8571428571428571E-2</v>
      </c>
      <c r="G1026" s="15"/>
      <c r="R1026" s="11"/>
    </row>
    <row r="1027" spans="1:18" x14ac:dyDescent="0.2">
      <c r="A1027">
        <f>Data!A1022</f>
        <v>0</v>
      </c>
      <c r="B1027">
        <f>Data!B1022</f>
        <v>0</v>
      </c>
      <c r="C1027">
        <f>Data!E1022</f>
        <v>2014</v>
      </c>
      <c r="D1027" s="8">
        <f>Data!N1022</f>
        <v>2.8571428571428571E-2</v>
      </c>
      <c r="E1027">
        <f>E$1*(1-Data!BF1022)+E$2*Data!BF1022</f>
        <v>1</v>
      </c>
      <c r="F1027">
        <f t="shared" si="128"/>
        <v>2.8571428571428571E-2</v>
      </c>
      <c r="G1027" s="15"/>
      <c r="R1027" s="11"/>
    </row>
    <row r="1028" spans="1:18" x14ac:dyDescent="0.2">
      <c r="A1028">
        <f>Data!A1023</f>
        <v>0</v>
      </c>
      <c r="B1028">
        <f>Data!B1023</f>
        <v>0</v>
      </c>
      <c r="C1028">
        <f>Data!E1023</f>
        <v>2014</v>
      </c>
      <c r="D1028" s="8">
        <f>Data!N1023</f>
        <v>2.8571428571428571E-2</v>
      </c>
      <c r="E1028">
        <f>E$1*(1-Data!BF1023)+E$2*Data!BF1023</f>
        <v>1</v>
      </c>
      <c r="F1028">
        <f t="shared" si="128"/>
        <v>2.8571428571428571E-2</v>
      </c>
      <c r="G1028" s="15"/>
      <c r="R1028" s="11"/>
    </row>
    <row r="1029" spans="1:18" x14ac:dyDescent="0.2">
      <c r="A1029">
        <f>Data!A1024</f>
        <v>0</v>
      </c>
      <c r="B1029">
        <f>Data!B1024</f>
        <v>0</v>
      </c>
      <c r="C1029">
        <f>Data!E1024</f>
        <v>2014</v>
      </c>
      <c r="D1029" s="8">
        <f>Data!N1024</f>
        <v>2.8571428571428571E-2</v>
      </c>
      <c r="E1029">
        <f>E$1*(1-Data!BF1024)+E$2*Data!BF1024</f>
        <v>1</v>
      </c>
      <c r="F1029">
        <f t="shared" si="128"/>
        <v>2.8571428571428571E-2</v>
      </c>
      <c r="G1029" s="15"/>
      <c r="R1029" s="11"/>
    </row>
    <row r="1030" spans="1:18" x14ac:dyDescent="0.2">
      <c r="A1030">
        <f>Data!A1025</f>
        <v>0</v>
      </c>
      <c r="B1030">
        <f>Data!B1025</f>
        <v>0</v>
      </c>
      <c r="C1030">
        <f>Data!E1025</f>
        <v>2014</v>
      </c>
      <c r="D1030" s="8">
        <f>Data!N1025</f>
        <v>2.8571428571428571E-2</v>
      </c>
      <c r="E1030">
        <f>E$1*(1-Data!BF1025)+E$2*Data!BF1025</f>
        <v>1</v>
      </c>
      <c r="F1030">
        <f t="shared" si="128"/>
        <v>2.8571428571428571E-2</v>
      </c>
      <c r="G1030" s="15"/>
      <c r="R1030" s="11"/>
    </row>
    <row r="1031" spans="1:18" x14ac:dyDescent="0.2">
      <c r="A1031">
        <f>Data!A1026</f>
        <v>0</v>
      </c>
      <c r="B1031">
        <f>Data!B1026</f>
        <v>0</v>
      </c>
      <c r="C1031">
        <f>Data!E1026</f>
        <v>2014</v>
      </c>
      <c r="D1031" s="8">
        <f>Data!N1026</f>
        <v>2.8571428571428571E-2</v>
      </c>
      <c r="E1031">
        <f>E$1*(1-Data!BF1026)+E$2*Data!BF1026</f>
        <v>1</v>
      </c>
      <c r="F1031">
        <f t="shared" si="128"/>
        <v>2.8571428571428571E-2</v>
      </c>
      <c r="G1031" s="15"/>
      <c r="R1031" s="11"/>
    </row>
    <row r="1032" spans="1:18" x14ac:dyDescent="0.2">
      <c r="A1032">
        <f>Data!A1027</f>
        <v>0</v>
      </c>
      <c r="B1032">
        <f>Data!B1027</f>
        <v>0</v>
      </c>
      <c r="C1032">
        <f>Data!E1027</f>
        <v>2014</v>
      </c>
      <c r="D1032" s="8">
        <f>Data!N1027</f>
        <v>2.8571428571428571E-2</v>
      </c>
      <c r="E1032">
        <f>E$1*(1-Data!BF1027)+E$2*Data!BF1027</f>
        <v>1</v>
      </c>
      <c r="F1032">
        <f t="shared" si="128"/>
        <v>2.8571428571428571E-2</v>
      </c>
      <c r="G1032" s="15"/>
      <c r="R1032" s="11"/>
    </row>
    <row r="1033" spans="1:18" x14ac:dyDescent="0.2">
      <c r="A1033">
        <f>Data!A1028</f>
        <v>0</v>
      </c>
      <c r="B1033">
        <f>Data!B1028</f>
        <v>0</v>
      </c>
      <c r="C1033">
        <f>Data!E1028</f>
        <v>2014</v>
      </c>
      <c r="D1033" s="8">
        <f>Data!N1028</f>
        <v>2.8571428571428571E-2</v>
      </c>
      <c r="E1033">
        <f>E$1*(1-Data!BF1028)+E$2*Data!BF1028</f>
        <v>1</v>
      </c>
      <c r="F1033">
        <f t="shared" si="128"/>
        <v>2.8571428571428571E-2</v>
      </c>
      <c r="G1033" s="15"/>
      <c r="R1033" s="11"/>
    </row>
    <row r="1034" spans="1:18" x14ac:dyDescent="0.2">
      <c r="A1034">
        <f>Data!A1029</f>
        <v>0</v>
      </c>
      <c r="B1034">
        <f>Data!B1029</f>
        <v>0</v>
      </c>
      <c r="C1034">
        <f>Data!E1029</f>
        <v>2014</v>
      </c>
      <c r="D1034" s="8">
        <f>Data!N1029</f>
        <v>2.8571428571428571E-2</v>
      </c>
      <c r="E1034">
        <f>E$1*(1-Data!BF1029)+E$2*Data!BF1029</f>
        <v>1</v>
      </c>
      <c r="F1034">
        <f t="shared" si="128"/>
        <v>2.8571428571428571E-2</v>
      </c>
      <c r="G1034" s="15"/>
      <c r="R1034" s="11"/>
    </row>
    <row r="1035" spans="1:18" x14ac:dyDescent="0.2">
      <c r="A1035">
        <f>Data!A1030</f>
        <v>0</v>
      </c>
      <c r="B1035">
        <f>Data!B1030</f>
        <v>0</v>
      </c>
      <c r="C1035">
        <f>Data!E1030</f>
        <v>2014</v>
      </c>
      <c r="D1035" s="8">
        <f>Data!N1030</f>
        <v>2.8571428571428571E-2</v>
      </c>
      <c r="E1035">
        <f>E$1*(1-Data!BF1030)+E$2*Data!BF1030</f>
        <v>1</v>
      </c>
      <c r="F1035">
        <f t="shared" si="128"/>
        <v>2.8571428571428571E-2</v>
      </c>
      <c r="G1035" s="15"/>
      <c r="R1035" s="11"/>
    </row>
    <row r="1036" spans="1:18" x14ac:dyDescent="0.2">
      <c r="A1036">
        <f>Data!A1031</f>
        <v>0</v>
      </c>
      <c r="B1036">
        <f>Data!B1031</f>
        <v>0</v>
      </c>
      <c r="C1036">
        <f>Data!E1031</f>
        <v>2014</v>
      </c>
      <c r="D1036" s="8">
        <f>Data!N1031</f>
        <v>2.8571428571428571E-2</v>
      </c>
      <c r="E1036">
        <f>E$1*(1-Data!BF1031)+E$2*Data!BF1031</f>
        <v>1</v>
      </c>
      <c r="F1036">
        <f t="shared" si="128"/>
        <v>2.8571428571428571E-2</v>
      </c>
      <c r="G1036" s="15"/>
      <c r="R1036" s="11"/>
    </row>
    <row r="1037" spans="1:18" x14ac:dyDescent="0.2">
      <c r="A1037">
        <f>Data!A1032</f>
        <v>0</v>
      </c>
      <c r="B1037">
        <f>Data!B1032</f>
        <v>0</v>
      </c>
      <c r="C1037">
        <f>Data!E1032</f>
        <v>2014</v>
      </c>
      <c r="D1037" s="8">
        <f>Data!N1032</f>
        <v>2.8571428571428571E-2</v>
      </c>
      <c r="E1037">
        <f>E$1*(1-Data!BF1032)+E$2*Data!BF1032</f>
        <v>1</v>
      </c>
      <c r="F1037">
        <f t="shared" si="128"/>
        <v>2.8571428571428571E-2</v>
      </c>
      <c r="G1037" s="15"/>
      <c r="R1037" s="11"/>
    </row>
    <row r="1038" spans="1:18" x14ac:dyDescent="0.2">
      <c r="A1038">
        <f>Data!A1033</f>
        <v>0</v>
      </c>
      <c r="B1038">
        <f>Data!B1033</f>
        <v>0</v>
      </c>
      <c r="C1038">
        <f>Data!E1033</f>
        <v>2014</v>
      </c>
      <c r="D1038" s="8">
        <f>Data!N1033</f>
        <v>2.8571428571428571E-2</v>
      </c>
      <c r="E1038">
        <f>E$1*(1-Data!BF1033)+E$2*Data!BF1033</f>
        <v>1</v>
      </c>
      <c r="F1038">
        <f t="shared" si="128"/>
        <v>2.8571428571428571E-2</v>
      </c>
      <c r="G1038" s="15"/>
      <c r="R1038" s="11"/>
    </row>
    <row r="1039" spans="1:18" x14ac:dyDescent="0.2">
      <c r="A1039">
        <f>Data!A1034</f>
        <v>0</v>
      </c>
      <c r="B1039">
        <f>Data!B1034</f>
        <v>0</v>
      </c>
      <c r="C1039">
        <f>Data!E1034</f>
        <v>2014</v>
      </c>
      <c r="D1039" s="8">
        <f>Data!N1034</f>
        <v>2.8571428571428571E-2</v>
      </c>
      <c r="E1039">
        <f>E$1*(1-Data!BF1034)+E$2*Data!BF1034</f>
        <v>1</v>
      </c>
      <c r="F1039">
        <f t="shared" si="128"/>
        <v>2.8571428571428571E-2</v>
      </c>
      <c r="G1039" s="15"/>
      <c r="R1039" s="11"/>
    </row>
    <row r="1040" spans="1:18" x14ac:dyDescent="0.2">
      <c r="A1040">
        <f>Data!A1035</f>
        <v>0</v>
      </c>
      <c r="B1040">
        <f>Data!B1035</f>
        <v>0</v>
      </c>
      <c r="C1040">
        <f>Data!E1035</f>
        <v>2014</v>
      </c>
      <c r="D1040" s="8">
        <f>Data!N1035</f>
        <v>2.8571428571428571E-2</v>
      </c>
      <c r="E1040">
        <f>E$1*(1-Data!BF1035)+E$2*Data!BF1035</f>
        <v>1</v>
      </c>
      <c r="F1040">
        <f t="shared" si="128"/>
        <v>2.8571428571428571E-2</v>
      </c>
      <c r="G1040" s="15"/>
      <c r="R1040" s="11"/>
    </row>
    <row r="1041" spans="1:27" x14ac:dyDescent="0.2">
      <c r="A1041">
        <f>Data!A1036</f>
        <v>0</v>
      </c>
      <c r="B1041">
        <f>Data!B1036</f>
        <v>0</v>
      </c>
      <c r="C1041">
        <f>Data!E1036</f>
        <v>2014</v>
      </c>
      <c r="D1041" s="8">
        <f>Data!N1036</f>
        <v>2.8571428571428571E-2</v>
      </c>
      <c r="E1041">
        <f>E$1*(1-Data!BF1036)+E$2*Data!BF1036</f>
        <v>1</v>
      </c>
      <c r="F1041">
        <f t="shared" si="128"/>
        <v>2.8571428571428571E-2</v>
      </c>
      <c r="G1041" s="15"/>
      <c r="R1041" s="11"/>
    </row>
    <row r="1042" spans="1:27" x14ac:dyDescent="0.2">
      <c r="A1042">
        <f>Data!A1037</f>
        <v>0</v>
      </c>
      <c r="B1042">
        <f>Data!B1037</f>
        <v>0</v>
      </c>
      <c r="C1042">
        <f>Data!E1037</f>
        <v>2014</v>
      </c>
      <c r="D1042" s="8">
        <f>Data!N1037</f>
        <v>2.8571428571428571E-2</v>
      </c>
      <c r="E1042">
        <f>E$1*(1-Data!BF1037)+E$2*Data!BF1037</f>
        <v>1</v>
      </c>
      <c r="F1042">
        <f t="shared" si="128"/>
        <v>2.8571428571428571E-2</v>
      </c>
      <c r="G1042" s="15"/>
      <c r="R1042" s="11"/>
    </row>
    <row r="1043" spans="1:27" x14ac:dyDescent="0.2">
      <c r="A1043">
        <f>Data!A1038</f>
        <v>0</v>
      </c>
      <c r="B1043">
        <f>Data!B1038</f>
        <v>0</v>
      </c>
      <c r="C1043">
        <f>Data!E1038</f>
        <v>2014</v>
      </c>
      <c r="D1043" s="8">
        <f>Data!N1038</f>
        <v>2.8571428571428571E-2</v>
      </c>
      <c r="E1043">
        <f>E$1*(1-Data!BF1038)+E$2*Data!BF1038</f>
        <v>1</v>
      </c>
      <c r="F1043">
        <f t="shared" si="128"/>
        <v>2.8571428571428571E-2</v>
      </c>
      <c r="G1043" s="15"/>
      <c r="R1043" s="11"/>
    </row>
    <row r="1044" spans="1:27" x14ac:dyDescent="0.2">
      <c r="A1044">
        <f>Data!A1039</f>
        <v>0</v>
      </c>
      <c r="B1044">
        <f>Data!B1039</f>
        <v>0</v>
      </c>
      <c r="C1044">
        <f>Data!E1039</f>
        <v>2014</v>
      </c>
      <c r="D1044" s="8">
        <f>Data!N1039</f>
        <v>2.8571428571428571E-2</v>
      </c>
      <c r="E1044">
        <f>E$1*(1-Data!BF1039)+E$2*Data!BF1039</f>
        <v>1</v>
      </c>
      <c r="F1044">
        <f t="shared" si="128"/>
        <v>2.8571428571428571E-2</v>
      </c>
      <c r="G1044" s="15"/>
      <c r="R1044" s="11"/>
    </row>
    <row r="1045" spans="1:27" x14ac:dyDescent="0.2">
      <c r="A1045">
        <f>Data!A1040</f>
        <v>0</v>
      </c>
      <c r="B1045">
        <f>Data!B1040</f>
        <v>0</v>
      </c>
      <c r="C1045">
        <f>Data!E1040</f>
        <v>2014</v>
      </c>
      <c r="D1045" s="8">
        <f>Data!N1040</f>
        <v>2.8571428571428571E-2</v>
      </c>
      <c r="E1045">
        <f>E$1*(1-Data!BF1040)+E$2*Data!BF1040</f>
        <v>1</v>
      </c>
      <c r="F1045">
        <f t="shared" si="128"/>
        <v>2.8571428571428571E-2</v>
      </c>
      <c r="G1045" s="15"/>
      <c r="R1045" s="11"/>
    </row>
    <row r="1046" spans="1:27" x14ac:dyDescent="0.2">
      <c r="A1046">
        <f>Data!A1041</f>
        <v>0</v>
      </c>
      <c r="B1046">
        <f>Data!B1041</f>
        <v>0</v>
      </c>
      <c r="C1046">
        <f>Data!E1041</f>
        <v>2014</v>
      </c>
      <c r="D1046" s="8">
        <f>Data!N1041</f>
        <v>2.8571428571428571E-2</v>
      </c>
      <c r="E1046">
        <f>E$1*(1-Data!BF1041)+E$2*Data!BF1041</f>
        <v>1</v>
      </c>
      <c r="F1046">
        <f t="shared" si="128"/>
        <v>2.8571428571428571E-2</v>
      </c>
      <c r="G1046" s="15"/>
      <c r="R1046" s="11"/>
    </row>
    <row r="1047" spans="1:27" x14ac:dyDescent="0.2">
      <c r="A1047">
        <f>Data!A1042</f>
        <v>0</v>
      </c>
      <c r="B1047">
        <f>Data!B1042</f>
        <v>0</v>
      </c>
      <c r="C1047">
        <f>Data!E1042</f>
        <v>2014</v>
      </c>
      <c r="D1047" s="8">
        <f>Data!N1042</f>
        <v>2.8571428571428571E-2</v>
      </c>
      <c r="E1047">
        <f>E$1*(1-Data!BF1042)+E$2*Data!BF1042</f>
        <v>1</v>
      </c>
      <c r="F1047">
        <f t="shared" si="128"/>
        <v>2.8571428571428571E-2</v>
      </c>
      <c r="G1047" s="15"/>
      <c r="R1047" s="11"/>
    </row>
    <row r="1048" spans="1:27" x14ac:dyDescent="0.2">
      <c r="A1048">
        <f>Data!A1043</f>
        <v>0</v>
      </c>
      <c r="B1048">
        <f>Data!B1043</f>
        <v>0</v>
      </c>
      <c r="C1048">
        <f>Data!E1043</f>
        <v>2014</v>
      </c>
      <c r="D1048" s="8">
        <f>Data!N1043</f>
        <v>2.8571428571428571E-2</v>
      </c>
      <c r="E1048">
        <f>E$1*(1-Data!BF1043)+E$2*Data!BF1043</f>
        <v>1</v>
      </c>
      <c r="F1048">
        <f t="shared" si="128"/>
        <v>2.8571428571428571E-2</v>
      </c>
      <c r="G1048" s="15"/>
      <c r="R1048" s="11"/>
    </row>
    <row r="1049" spans="1:27" x14ac:dyDescent="0.2">
      <c r="A1049">
        <f>Data!A1044</f>
        <v>0</v>
      </c>
      <c r="B1049">
        <f>Data!B1044</f>
        <v>0</v>
      </c>
      <c r="C1049">
        <f>Data!E1044</f>
        <v>2014</v>
      </c>
      <c r="D1049" s="8">
        <f>Data!N1044</f>
        <v>2.8571428571428571E-2</v>
      </c>
      <c r="E1049">
        <f>E$1*(1-Data!BF1044)+E$2*Data!BF1044</f>
        <v>1</v>
      </c>
      <c r="F1049">
        <f t="shared" si="128"/>
        <v>2.8571428571428571E-2</v>
      </c>
      <c r="G1049" s="15"/>
      <c r="R1049" s="11"/>
    </row>
    <row r="1050" spans="1:27" x14ac:dyDescent="0.2">
      <c r="A1050">
        <f>Data!A1045</f>
        <v>0</v>
      </c>
      <c r="B1050">
        <f>Data!B1045</f>
        <v>0</v>
      </c>
      <c r="C1050">
        <f>Data!E1045</f>
        <v>2014</v>
      </c>
      <c r="D1050" s="8">
        <f>Data!N1045</f>
        <v>2.8571428571428571E-2</v>
      </c>
      <c r="E1050">
        <f>E$1*(1-Data!BF1045)+E$2*Data!BF1045</f>
        <v>1</v>
      </c>
      <c r="F1050">
        <f t="shared" si="128"/>
        <v>2.8571428571428571E-2</v>
      </c>
      <c r="G1050" s="15"/>
      <c r="R1050" s="11"/>
    </row>
    <row r="1051" spans="1:27" x14ac:dyDescent="0.2">
      <c r="A1051">
        <f>Data!A1046</f>
        <v>0</v>
      </c>
      <c r="B1051">
        <f>Data!B1046</f>
        <v>0</v>
      </c>
      <c r="C1051">
        <f>Data!E1046</f>
        <v>2014</v>
      </c>
      <c r="D1051" s="8">
        <f>Data!N1046</f>
        <v>2.8571428571428571E-2</v>
      </c>
      <c r="E1051">
        <f>E$1*(1-Data!BF1046)+E$2*Data!BF1046</f>
        <v>1</v>
      </c>
      <c r="F1051">
        <f t="shared" si="128"/>
        <v>2.8571428571428571E-2</v>
      </c>
      <c r="G1051" s="15"/>
      <c r="R1051" s="11"/>
    </row>
    <row r="1052" spans="1:27" x14ac:dyDescent="0.2">
      <c r="A1052" t="str">
        <f>Data!A1047</f>
        <v>Newbold</v>
      </c>
      <c r="B1052" t="str">
        <f>Data!B1047</f>
        <v>none</v>
      </c>
      <c r="C1052">
        <f>Data!E1047</f>
        <v>2013</v>
      </c>
      <c r="D1052" s="8">
        <f>Data!N1047</f>
        <v>2.564102564102564E-2</v>
      </c>
      <c r="E1052">
        <f>E$1*(1-Data!BF1047)+E$2*Data!BF1047</f>
        <v>1</v>
      </c>
      <c r="F1052">
        <f t="shared" si="128"/>
        <v>2.564102564102564E-2</v>
      </c>
      <c r="G1052" s="15">
        <f t="shared" ref="G1052:G1056" si="129">(J1052/H1052)^(1/(K1052-I1052))-1</f>
        <v>2.4089156420250779E-2</v>
      </c>
      <c r="H1052">
        <f t="shared" ref="H1052:H1056" si="130">MIN(L1052:BE1052)</f>
        <v>7.3</v>
      </c>
      <c r="I1052">
        <f t="shared" ref="I1052:I1056" si="131">LOOKUP(H1052,L1052:BE1052,L$8:BE$8)</f>
        <v>2005</v>
      </c>
      <c r="J1052">
        <f t="shared" ref="J1052:J1056" si="132">MAX(L1052:BE1052)</f>
        <v>24</v>
      </c>
      <c r="K1052">
        <f t="shared" ref="K1052:K1056" si="133">LOOKUP(J1052,L1052:BE1052,L$8:BE$8)</f>
        <v>2055</v>
      </c>
      <c r="Q1052">
        <v>7.3</v>
      </c>
      <c r="R1052" s="11"/>
      <c r="S1052">
        <v>9.6999999999999993</v>
      </c>
      <c r="U1052">
        <v>13</v>
      </c>
      <c r="W1052">
        <v>16</v>
      </c>
      <c r="Y1052">
        <v>20</v>
      </c>
      <c r="AA1052">
        <v>24</v>
      </c>
    </row>
    <row r="1053" spans="1:27" x14ac:dyDescent="0.2">
      <c r="A1053">
        <f>Data!A1048</f>
        <v>0</v>
      </c>
      <c r="B1053">
        <f>Data!B1048</f>
        <v>0</v>
      </c>
      <c r="C1053">
        <f>Data!E1048</f>
        <v>2013</v>
      </c>
      <c r="D1053" s="8">
        <f>Data!N1048</f>
        <v>2.564102564102564E-2</v>
      </c>
      <c r="E1053">
        <f>E$1*(1-Data!BF1048)+E$2*Data!BF1048</f>
        <v>1</v>
      </c>
      <c r="F1053">
        <f t="shared" si="128"/>
        <v>2.564102564102564E-2</v>
      </c>
      <c r="G1053" s="15">
        <f t="shared" si="129"/>
        <v>2.1047516724294946E-2</v>
      </c>
      <c r="H1053">
        <f t="shared" si="130"/>
        <v>12</v>
      </c>
      <c r="I1053">
        <f t="shared" si="131"/>
        <v>2005</v>
      </c>
      <c r="J1053">
        <f t="shared" si="132"/>
        <v>34</v>
      </c>
      <c r="K1053">
        <f t="shared" si="133"/>
        <v>2055</v>
      </c>
      <c r="Q1053">
        <v>12</v>
      </c>
      <c r="R1053" s="11"/>
      <c r="S1053">
        <v>15</v>
      </c>
      <c r="U1053">
        <v>19</v>
      </c>
      <c r="W1053">
        <v>24</v>
      </c>
      <c r="Y1053">
        <v>28</v>
      </c>
      <c r="AA1053">
        <v>34</v>
      </c>
    </row>
    <row r="1054" spans="1:27" x14ac:dyDescent="0.2">
      <c r="A1054">
        <f>Data!A1049</f>
        <v>0</v>
      </c>
      <c r="B1054">
        <f>Data!B1049</f>
        <v>0</v>
      </c>
      <c r="C1054">
        <f>Data!E1049</f>
        <v>2013</v>
      </c>
      <c r="D1054" s="8">
        <f>Data!N1049</f>
        <v>2.564102564102564E-2</v>
      </c>
      <c r="E1054">
        <f>E$1*(1-Data!BF1049)+E$2*Data!BF1049</f>
        <v>1</v>
      </c>
      <c r="F1054">
        <f t="shared" si="128"/>
        <v>2.564102564102564E-2</v>
      </c>
      <c r="G1054" s="15">
        <f t="shared" si="129"/>
        <v>2.1047516724294946E-2</v>
      </c>
      <c r="H1054">
        <f t="shared" si="130"/>
        <v>12</v>
      </c>
      <c r="I1054">
        <f t="shared" si="131"/>
        <v>2005</v>
      </c>
      <c r="J1054">
        <f t="shared" si="132"/>
        <v>34</v>
      </c>
      <c r="K1054">
        <f t="shared" si="133"/>
        <v>2055</v>
      </c>
      <c r="Q1054">
        <v>12</v>
      </c>
      <c r="R1054" s="11"/>
      <c r="S1054">
        <v>16</v>
      </c>
      <c r="U1054">
        <v>20</v>
      </c>
      <c r="W1054">
        <v>25</v>
      </c>
      <c r="Y1054">
        <v>29</v>
      </c>
      <c r="AA1054">
        <v>34</v>
      </c>
    </row>
    <row r="1055" spans="1:27" x14ac:dyDescent="0.2">
      <c r="A1055">
        <f>Data!A1050</f>
        <v>0</v>
      </c>
      <c r="B1055">
        <f>Data!B1050</f>
        <v>0</v>
      </c>
      <c r="C1055">
        <f>Data!E1050</f>
        <v>2013</v>
      </c>
      <c r="D1055" s="8">
        <f>Data!N1050</f>
        <v>0.10256410256410256</v>
      </c>
      <c r="E1055">
        <f>E$1*(1-Data!BF1050)+E$2*Data!BF1050</f>
        <v>1</v>
      </c>
      <c r="F1055">
        <f t="shared" si="128"/>
        <v>0.10256410256410256</v>
      </c>
      <c r="G1055" s="15">
        <f t="shared" si="129"/>
        <v>2.1335470755331487E-2</v>
      </c>
      <c r="H1055">
        <f t="shared" si="130"/>
        <v>87</v>
      </c>
      <c r="I1055">
        <f t="shared" si="131"/>
        <v>2005</v>
      </c>
      <c r="J1055">
        <f t="shared" si="132"/>
        <v>250</v>
      </c>
      <c r="K1055">
        <f t="shared" si="133"/>
        <v>2055</v>
      </c>
      <c r="Q1055">
        <v>87</v>
      </c>
      <c r="R1055" s="11"/>
      <c r="S1055">
        <v>110</v>
      </c>
      <c r="U1055">
        <v>140</v>
      </c>
      <c r="W1055">
        <v>170</v>
      </c>
      <c r="Y1055">
        <v>210</v>
      </c>
      <c r="AA1055">
        <v>250</v>
      </c>
    </row>
    <row r="1056" spans="1:27" x14ac:dyDescent="0.2">
      <c r="A1056">
        <f>Data!A1051</f>
        <v>0</v>
      </c>
      <c r="B1056">
        <f>Data!B1051</f>
        <v>0</v>
      </c>
      <c r="C1056">
        <f>Data!E1051</f>
        <v>2013</v>
      </c>
      <c r="D1056" s="8">
        <f>Data!N1051</f>
        <v>5.128205128205128E-2</v>
      </c>
      <c r="E1056">
        <f>E$1*(1-Data!BF1051)+E$2*Data!BF1051</f>
        <v>1</v>
      </c>
      <c r="F1056">
        <f t="shared" si="128"/>
        <v>5.128205128205128E-2</v>
      </c>
      <c r="G1056" s="15">
        <f t="shared" si="129"/>
        <v>1.9682386274360919E-2</v>
      </c>
      <c r="H1056">
        <f t="shared" si="130"/>
        <v>20</v>
      </c>
      <c r="I1056">
        <f t="shared" si="131"/>
        <v>2005</v>
      </c>
      <c r="J1056">
        <f t="shared" si="132"/>
        <v>53</v>
      </c>
      <c r="K1056">
        <f t="shared" si="133"/>
        <v>2055</v>
      </c>
      <c r="Q1056">
        <v>20</v>
      </c>
      <c r="R1056" s="11"/>
      <c r="S1056">
        <v>25</v>
      </c>
      <c r="U1056">
        <v>31</v>
      </c>
      <c r="W1056">
        <v>38</v>
      </c>
      <c r="Y1056">
        <v>45</v>
      </c>
      <c r="AA1056">
        <v>53</v>
      </c>
    </row>
    <row r="1057" spans="1:18" x14ac:dyDescent="0.2">
      <c r="A1057">
        <f>Data!A1052</f>
        <v>0</v>
      </c>
      <c r="B1057">
        <f>Data!B1052</f>
        <v>0</v>
      </c>
      <c r="C1057">
        <f>Data!E1052</f>
        <v>2013</v>
      </c>
      <c r="D1057" s="8">
        <f>Data!N1052</f>
        <v>2.564102564102564E-2</v>
      </c>
      <c r="E1057">
        <f>E$1*(1-Data!BF1052)+E$2*Data!BF1052</f>
        <v>1</v>
      </c>
      <c r="F1057">
        <f t="shared" si="128"/>
        <v>2.564102564102564E-2</v>
      </c>
      <c r="G1057" s="15"/>
      <c r="R1057" s="11"/>
    </row>
    <row r="1058" spans="1:18" x14ac:dyDescent="0.2">
      <c r="A1058">
        <f>Data!A1053</f>
        <v>0</v>
      </c>
      <c r="B1058">
        <f>Data!B1053</f>
        <v>0</v>
      </c>
      <c r="C1058">
        <f>Data!E1053</f>
        <v>2013</v>
      </c>
      <c r="D1058" s="8">
        <f>Data!N1053</f>
        <v>2.564102564102564E-2</v>
      </c>
      <c r="E1058">
        <f>E$1*(1-Data!BF1053)+E$2*Data!BF1053</f>
        <v>1</v>
      </c>
      <c r="F1058">
        <f t="shared" si="128"/>
        <v>2.564102564102564E-2</v>
      </c>
      <c r="G1058" s="15"/>
      <c r="R1058" s="11"/>
    </row>
    <row r="1059" spans="1:18" x14ac:dyDescent="0.2">
      <c r="A1059">
        <f>Data!A1054</f>
        <v>0</v>
      </c>
      <c r="B1059">
        <f>Data!B1054</f>
        <v>0</v>
      </c>
      <c r="C1059">
        <f>Data!E1054</f>
        <v>2013</v>
      </c>
      <c r="D1059" s="8">
        <f>Data!N1054</f>
        <v>2.564102564102564E-2</v>
      </c>
      <c r="E1059">
        <f>E$1*(1-Data!BF1054)+E$2*Data!BF1054</f>
        <v>1</v>
      </c>
      <c r="F1059">
        <f t="shared" si="128"/>
        <v>2.564102564102564E-2</v>
      </c>
      <c r="G1059" s="15"/>
      <c r="R1059" s="11"/>
    </row>
    <row r="1060" spans="1:18" x14ac:dyDescent="0.2">
      <c r="A1060">
        <f>Data!A1055</f>
        <v>0</v>
      </c>
      <c r="B1060">
        <f>Data!B1055</f>
        <v>0</v>
      </c>
      <c r="C1060">
        <f>Data!E1055</f>
        <v>2013</v>
      </c>
      <c r="D1060" s="8">
        <f>Data!N1055</f>
        <v>2.564102564102564E-2</v>
      </c>
      <c r="E1060">
        <f>E$1*(1-Data!BF1055)+E$2*Data!BF1055</f>
        <v>1</v>
      </c>
      <c r="F1060">
        <f t="shared" si="128"/>
        <v>2.564102564102564E-2</v>
      </c>
      <c r="G1060" s="15"/>
      <c r="R1060" s="11"/>
    </row>
    <row r="1061" spans="1:18" x14ac:dyDescent="0.2">
      <c r="A1061">
        <f>Data!A1056</f>
        <v>0</v>
      </c>
      <c r="B1061">
        <f>Data!B1056</f>
        <v>0</v>
      </c>
      <c r="C1061">
        <f>Data!E1056</f>
        <v>2013</v>
      </c>
      <c r="D1061" s="8">
        <f>Data!N1056</f>
        <v>2.564102564102564E-2</v>
      </c>
      <c r="E1061">
        <f>E$1*(1-Data!BF1056)+E$2*Data!BF1056</f>
        <v>1</v>
      </c>
      <c r="F1061">
        <f t="shared" si="128"/>
        <v>2.564102564102564E-2</v>
      </c>
      <c r="G1061" s="15"/>
      <c r="R1061" s="11"/>
    </row>
    <row r="1062" spans="1:18" x14ac:dyDescent="0.2">
      <c r="A1062">
        <f>Data!A1057</f>
        <v>0</v>
      </c>
      <c r="B1062">
        <f>Data!B1057</f>
        <v>0</v>
      </c>
      <c r="C1062">
        <f>Data!E1057</f>
        <v>2013</v>
      </c>
      <c r="D1062" s="8">
        <f>Data!N1057</f>
        <v>2.564102564102564E-2</v>
      </c>
      <c r="E1062">
        <f>E$1*(1-Data!BF1057)+E$2*Data!BF1057</f>
        <v>1</v>
      </c>
      <c r="F1062">
        <f t="shared" si="128"/>
        <v>2.564102564102564E-2</v>
      </c>
      <c r="G1062" s="15"/>
      <c r="R1062" s="11"/>
    </row>
    <row r="1063" spans="1:18" x14ac:dyDescent="0.2">
      <c r="A1063">
        <f>Data!A1058</f>
        <v>0</v>
      </c>
      <c r="B1063">
        <f>Data!B1058</f>
        <v>0</v>
      </c>
      <c r="C1063">
        <f>Data!E1058</f>
        <v>2013</v>
      </c>
      <c r="D1063" s="8">
        <f>Data!N1058</f>
        <v>2.564102564102564E-2</v>
      </c>
      <c r="E1063">
        <f>E$1*(1-Data!BF1058)+E$2*Data!BF1058</f>
        <v>1</v>
      </c>
      <c r="F1063">
        <f t="shared" si="128"/>
        <v>2.564102564102564E-2</v>
      </c>
      <c r="G1063" s="15"/>
      <c r="R1063" s="11"/>
    </row>
    <row r="1064" spans="1:18" x14ac:dyDescent="0.2">
      <c r="A1064">
        <f>Data!A1059</f>
        <v>0</v>
      </c>
      <c r="B1064">
        <f>Data!B1059</f>
        <v>0</v>
      </c>
      <c r="C1064">
        <f>Data!E1059</f>
        <v>2013</v>
      </c>
      <c r="D1064" s="8">
        <f>Data!N1059</f>
        <v>2.564102564102564E-2</v>
      </c>
      <c r="E1064">
        <f>E$1*(1-Data!BF1059)+E$2*Data!BF1059</f>
        <v>1</v>
      </c>
      <c r="F1064">
        <f t="shared" si="128"/>
        <v>2.564102564102564E-2</v>
      </c>
      <c r="G1064" s="15"/>
      <c r="R1064" s="11"/>
    </row>
    <row r="1065" spans="1:18" x14ac:dyDescent="0.2">
      <c r="A1065">
        <f>Data!A1060</f>
        <v>0</v>
      </c>
      <c r="B1065">
        <f>Data!B1060</f>
        <v>0</v>
      </c>
      <c r="C1065">
        <f>Data!E1060</f>
        <v>2013</v>
      </c>
      <c r="D1065" s="8">
        <f>Data!N1060</f>
        <v>2.564102564102564E-2</v>
      </c>
      <c r="E1065">
        <f>E$1*(1-Data!BF1060)+E$2*Data!BF1060</f>
        <v>1</v>
      </c>
      <c r="F1065">
        <f t="shared" si="128"/>
        <v>2.564102564102564E-2</v>
      </c>
      <c r="G1065" s="15"/>
      <c r="R1065" s="11"/>
    </row>
    <row r="1066" spans="1:18" x14ac:dyDescent="0.2">
      <c r="A1066">
        <f>Data!A1061</f>
        <v>0</v>
      </c>
      <c r="B1066">
        <f>Data!B1061</f>
        <v>0</v>
      </c>
      <c r="C1066">
        <f>Data!E1061</f>
        <v>2013</v>
      </c>
      <c r="D1066" s="8">
        <f>Data!N1061</f>
        <v>2.564102564102564E-2</v>
      </c>
      <c r="E1066">
        <f>E$1*(1-Data!BF1061)+E$2*Data!BF1061</f>
        <v>1</v>
      </c>
      <c r="F1066">
        <f t="shared" si="128"/>
        <v>2.564102564102564E-2</v>
      </c>
      <c r="G1066" s="15"/>
      <c r="R1066" s="11"/>
    </row>
    <row r="1067" spans="1:18" x14ac:dyDescent="0.2">
      <c r="A1067">
        <f>Data!A1062</f>
        <v>0</v>
      </c>
      <c r="B1067">
        <f>Data!B1062</f>
        <v>0</v>
      </c>
      <c r="C1067">
        <f>Data!E1062</f>
        <v>2013</v>
      </c>
      <c r="D1067" s="8">
        <f>Data!N1062</f>
        <v>2.564102564102564E-2</v>
      </c>
      <c r="E1067">
        <f>E$1*(1-Data!BF1062)+E$2*Data!BF1062</f>
        <v>1</v>
      </c>
      <c r="F1067">
        <f t="shared" si="128"/>
        <v>2.564102564102564E-2</v>
      </c>
      <c r="G1067" s="15"/>
      <c r="R1067" s="11"/>
    </row>
    <row r="1068" spans="1:18" x14ac:dyDescent="0.2">
      <c r="A1068">
        <f>Data!A1063</f>
        <v>0</v>
      </c>
      <c r="B1068">
        <f>Data!B1063</f>
        <v>0</v>
      </c>
      <c r="C1068">
        <f>Data!E1063</f>
        <v>2013</v>
      </c>
      <c r="D1068" s="8">
        <f>Data!N1063</f>
        <v>2.564102564102564E-2</v>
      </c>
      <c r="E1068">
        <f>E$1*(1-Data!BF1063)+E$2*Data!BF1063</f>
        <v>1</v>
      </c>
      <c r="F1068">
        <f t="shared" si="128"/>
        <v>2.564102564102564E-2</v>
      </c>
      <c r="G1068" s="15"/>
      <c r="R1068" s="11"/>
    </row>
    <row r="1069" spans="1:18" x14ac:dyDescent="0.2">
      <c r="A1069">
        <f>Data!A1064</f>
        <v>0</v>
      </c>
      <c r="B1069">
        <f>Data!B1064</f>
        <v>0</v>
      </c>
      <c r="C1069">
        <f>Data!E1064</f>
        <v>2013</v>
      </c>
      <c r="D1069" s="8">
        <f>Data!N1064</f>
        <v>2.564102564102564E-2</v>
      </c>
      <c r="E1069">
        <f>E$1*(1-Data!BF1064)+E$2*Data!BF1064</f>
        <v>1</v>
      </c>
      <c r="F1069">
        <f t="shared" si="128"/>
        <v>2.564102564102564E-2</v>
      </c>
      <c r="G1069" s="15"/>
      <c r="R1069" s="11"/>
    </row>
    <row r="1070" spans="1:18" x14ac:dyDescent="0.2">
      <c r="A1070">
        <f>Data!A1065</f>
        <v>0</v>
      </c>
      <c r="B1070">
        <f>Data!B1065</f>
        <v>0</v>
      </c>
      <c r="C1070">
        <f>Data!E1065</f>
        <v>2013</v>
      </c>
      <c r="D1070" s="8">
        <f>Data!N1065</f>
        <v>2.564102564102564E-2</v>
      </c>
      <c r="E1070">
        <f>E$1*(1-Data!BF1065)+E$2*Data!BF1065</f>
        <v>1</v>
      </c>
      <c r="F1070">
        <f t="shared" si="128"/>
        <v>2.564102564102564E-2</v>
      </c>
      <c r="G1070" s="15"/>
      <c r="R1070" s="11"/>
    </row>
    <row r="1071" spans="1:18" x14ac:dyDescent="0.2">
      <c r="A1071">
        <f>Data!A1066</f>
        <v>0</v>
      </c>
      <c r="B1071">
        <f>Data!B1066</f>
        <v>0</v>
      </c>
      <c r="C1071">
        <f>Data!E1066</f>
        <v>2013</v>
      </c>
      <c r="D1071" s="8">
        <f>Data!N1066</f>
        <v>2.564102564102564E-2</v>
      </c>
      <c r="E1071">
        <f>E$1*(1-Data!BF1066)+E$2*Data!BF1066</f>
        <v>1</v>
      </c>
      <c r="F1071">
        <f t="shared" si="128"/>
        <v>2.564102564102564E-2</v>
      </c>
      <c r="G1071" s="15"/>
      <c r="R1071" s="11"/>
    </row>
    <row r="1072" spans="1:18" x14ac:dyDescent="0.2">
      <c r="A1072">
        <f>Data!A1067</f>
        <v>0</v>
      </c>
      <c r="B1072">
        <f>Data!B1067</f>
        <v>0</v>
      </c>
      <c r="C1072">
        <f>Data!E1067</f>
        <v>2013</v>
      </c>
      <c r="D1072" s="8">
        <f>Data!N1067</f>
        <v>2.564102564102564E-2</v>
      </c>
      <c r="E1072">
        <f>E$1*(1-Data!BF1067)+E$2*Data!BF1067</f>
        <v>1</v>
      </c>
      <c r="F1072">
        <f t="shared" si="128"/>
        <v>2.564102564102564E-2</v>
      </c>
      <c r="G1072" s="15"/>
      <c r="R1072" s="11"/>
    </row>
    <row r="1073" spans="1:18" x14ac:dyDescent="0.2">
      <c r="A1073">
        <f>Data!A1068</f>
        <v>0</v>
      </c>
      <c r="B1073">
        <f>Data!B1068</f>
        <v>0</v>
      </c>
      <c r="C1073">
        <f>Data!E1068</f>
        <v>2013</v>
      </c>
      <c r="D1073" s="8">
        <f>Data!N1068</f>
        <v>2.564102564102564E-2</v>
      </c>
      <c r="E1073">
        <f>E$1*(1-Data!BF1068)+E$2*Data!BF1068</f>
        <v>1</v>
      </c>
      <c r="F1073">
        <f t="shared" si="128"/>
        <v>2.564102564102564E-2</v>
      </c>
      <c r="G1073" s="15"/>
      <c r="R1073" s="11"/>
    </row>
    <row r="1074" spans="1:18" x14ac:dyDescent="0.2">
      <c r="A1074">
        <f>Data!A1069</f>
        <v>0</v>
      </c>
      <c r="B1074">
        <f>Data!B1069</f>
        <v>0</v>
      </c>
      <c r="C1074">
        <f>Data!E1069</f>
        <v>2013</v>
      </c>
      <c r="D1074" s="8">
        <f>Data!N1069</f>
        <v>2.564102564102564E-2</v>
      </c>
      <c r="E1074">
        <f>E$1*(1-Data!BF1069)+E$2*Data!BF1069</f>
        <v>1</v>
      </c>
      <c r="F1074">
        <f t="shared" si="128"/>
        <v>2.564102564102564E-2</v>
      </c>
      <c r="G1074" s="15"/>
      <c r="R1074" s="11"/>
    </row>
    <row r="1075" spans="1:18" x14ac:dyDescent="0.2">
      <c r="A1075">
        <f>Data!A1070</f>
        <v>0</v>
      </c>
      <c r="B1075">
        <f>Data!B1070</f>
        <v>0</v>
      </c>
      <c r="C1075">
        <f>Data!E1070</f>
        <v>2013</v>
      </c>
      <c r="D1075" s="8">
        <f>Data!N1070</f>
        <v>2.564102564102564E-2</v>
      </c>
      <c r="E1075">
        <f>E$1*(1-Data!BF1070)+E$2*Data!BF1070</f>
        <v>1</v>
      </c>
      <c r="F1075">
        <f t="shared" si="128"/>
        <v>2.564102564102564E-2</v>
      </c>
      <c r="G1075" s="15"/>
      <c r="R1075" s="11"/>
    </row>
    <row r="1076" spans="1:18" x14ac:dyDescent="0.2">
      <c r="A1076">
        <f>Data!A1071</f>
        <v>0</v>
      </c>
      <c r="B1076">
        <f>Data!B1071</f>
        <v>0</v>
      </c>
      <c r="C1076">
        <f>Data!E1071</f>
        <v>2013</v>
      </c>
      <c r="D1076" s="8">
        <f>Data!N1071</f>
        <v>2.564102564102564E-2</v>
      </c>
      <c r="E1076">
        <f>E$1*(1-Data!BF1071)+E$2*Data!BF1071</f>
        <v>1</v>
      </c>
      <c r="F1076">
        <f t="shared" ref="F1076:F1081" si="134">D1076*E1076</f>
        <v>2.564102564102564E-2</v>
      </c>
      <c r="G1076" s="15"/>
      <c r="R1076" s="11"/>
    </row>
    <row r="1077" spans="1:18" x14ac:dyDescent="0.2">
      <c r="A1077">
        <f>Data!A1072</f>
        <v>0</v>
      </c>
      <c r="B1077">
        <f>Data!B1072</f>
        <v>0</v>
      </c>
      <c r="C1077">
        <f>Data!E1072</f>
        <v>2013</v>
      </c>
      <c r="D1077" s="8">
        <f>Data!N1072</f>
        <v>2.564102564102564E-2</v>
      </c>
      <c r="E1077">
        <f>E$1*(1-Data!BF1072)+E$2*Data!BF1072</f>
        <v>1</v>
      </c>
      <c r="F1077">
        <f t="shared" si="134"/>
        <v>2.564102564102564E-2</v>
      </c>
      <c r="G1077" s="15"/>
      <c r="R1077" s="11"/>
    </row>
    <row r="1078" spans="1:18" x14ac:dyDescent="0.2">
      <c r="A1078">
        <f>Data!A1073</f>
        <v>0</v>
      </c>
      <c r="B1078">
        <f>Data!B1073</f>
        <v>0</v>
      </c>
      <c r="C1078">
        <f>Data!E1073</f>
        <v>2013</v>
      </c>
      <c r="D1078" s="8">
        <f>Data!N1073</f>
        <v>2.564102564102564E-2</v>
      </c>
      <c r="E1078">
        <f>E$1*(1-Data!BF1073)+E$2*Data!BF1073</f>
        <v>1</v>
      </c>
      <c r="F1078">
        <f t="shared" si="134"/>
        <v>2.564102564102564E-2</v>
      </c>
      <c r="G1078" s="15"/>
      <c r="R1078" s="11"/>
    </row>
    <row r="1079" spans="1:18" x14ac:dyDescent="0.2">
      <c r="A1079">
        <f>Data!A1074</f>
        <v>0</v>
      </c>
      <c r="B1079">
        <f>Data!B1074</f>
        <v>0</v>
      </c>
      <c r="C1079">
        <f>Data!E1074</f>
        <v>2013</v>
      </c>
      <c r="D1079" s="8">
        <f>Data!N1074</f>
        <v>2.564102564102564E-2</v>
      </c>
      <c r="E1079">
        <f>E$1*(1-Data!BF1074)+E$2*Data!BF1074</f>
        <v>1</v>
      </c>
      <c r="F1079">
        <f t="shared" si="134"/>
        <v>2.564102564102564E-2</v>
      </c>
      <c r="G1079" s="15"/>
      <c r="R1079" s="11"/>
    </row>
    <row r="1080" spans="1:18" x14ac:dyDescent="0.2">
      <c r="A1080">
        <f>Data!A1075</f>
        <v>0</v>
      </c>
      <c r="B1080">
        <f>Data!B1075</f>
        <v>0</v>
      </c>
      <c r="C1080">
        <f>Data!E1075</f>
        <v>2013</v>
      </c>
      <c r="D1080" s="8">
        <f>Data!N1075</f>
        <v>2.564102564102564E-2</v>
      </c>
      <c r="E1080">
        <f>E$1*(1-Data!BF1075)+E$2*Data!BF1075</f>
        <v>1</v>
      </c>
      <c r="F1080">
        <f t="shared" si="134"/>
        <v>2.564102564102564E-2</v>
      </c>
      <c r="G1080" s="15"/>
      <c r="R1080" s="11"/>
    </row>
    <row r="1081" spans="1:18" x14ac:dyDescent="0.2">
      <c r="A1081">
        <f>Data!A1076</f>
        <v>0</v>
      </c>
      <c r="B1081">
        <f>Data!B1076</f>
        <v>0</v>
      </c>
      <c r="C1081">
        <f>Data!E1076</f>
        <v>2013</v>
      </c>
      <c r="D1081" s="8">
        <f>Data!N1076</f>
        <v>2.564102564102564E-2</v>
      </c>
      <c r="E1081">
        <f>E$1*(1-Data!BF1076)+E$2*Data!BF1076</f>
        <v>1</v>
      </c>
      <c r="F1081">
        <f t="shared" si="134"/>
        <v>2.564102564102564E-2</v>
      </c>
      <c r="G1081" s="15"/>
      <c r="R1081" s="11"/>
    </row>
    <row r="1082" spans="1:18" x14ac:dyDescent="0.2">
      <c r="A1082">
        <f>Data!A1077</f>
        <v>0</v>
      </c>
      <c r="B1082">
        <f>Data!B1077</f>
        <v>0</v>
      </c>
      <c r="C1082">
        <f>Data!E1077</f>
        <v>2013</v>
      </c>
      <c r="D1082" s="8">
        <f>Data!N1077</f>
        <v>2.564102564102564E-2</v>
      </c>
      <c r="E1082">
        <f>E$1*(1-Data!BF1077)+E$2*Data!BF1077</f>
        <v>1</v>
      </c>
      <c r="F1082">
        <f t="shared" ref="F1082:F1091" si="135">D1082*E1082</f>
        <v>2.564102564102564E-2</v>
      </c>
      <c r="G1082" s="15"/>
      <c r="R1082" s="11"/>
    </row>
    <row r="1083" spans="1:18" x14ac:dyDescent="0.2">
      <c r="A1083">
        <f>Data!A1078</f>
        <v>0</v>
      </c>
      <c r="B1083">
        <f>Data!B1078</f>
        <v>0</v>
      </c>
      <c r="C1083">
        <f>Data!E1078</f>
        <v>2013</v>
      </c>
      <c r="D1083" s="8">
        <f>Data!N1078</f>
        <v>2.564102564102564E-2</v>
      </c>
      <c r="E1083">
        <f>E$1*(1-Data!BF1078)+E$2*Data!BF1078</f>
        <v>1</v>
      </c>
      <c r="F1083">
        <f t="shared" si="135"/>
        <v>2.564102564102564E-2</v>
      </c>
      <c r="G1083" s="15"/>
      <c r="R1083" s="11"/>
    </row>
    <row r="1084" spans="1:18" x14ac:dyDescent="0.2">
      <c r="A1084">
        <f>Data!A1079</f>
        <v>0</v>
      </c>
      <c r="B1084">
        <f>Data!B1079</f>
        <v>0</v>
      </c>
      <c r="C1084">
        <f>Data!E1079</f>
        <v>2013</v>
      </c>
      <c r="D1084" s="8">
        <f>Data!N1079</f>
        <v>2.564102564102564E-2</v>
      </c>
      <c r="E1084">
        <f>E$1*(1-Data!BF1079)+E$2*Data!BF1079</f>
        <v>1</v>
      </c>
      <c r="F1084">
        <f t="shared" si="135"/>
        <v>2.564102564102564E-2</v>
      </c>
      <c r="G1084" s="15"/>
      <c r="R1084" s="11"/>
    </row>
    <row r="1085" spans="1:18" x14ac:dyDescent="0.2">
      <c r="A1085">
        <f>Data!A1080</f>
        <v>0</v>
      </c>
      <c r="B1085">
        <f>Data!B1080</f>
        <v>0</v>
      </c>
      <c r="C1085">
        <f>Data!E1080</f>
        <v>2013</v>
      </c>
      <c r="D1085" s="8">
        <f>Data!N1080</f>
        <v>2.564102564102564E-2</v>
      </c>
      <c r="E1085">
        <f>E$1*(1-Data!BF1080)+E$2*Data!BF1080</f>
        <v>1</v>
      </c>
      <c r="F1085">
        <f t="shared" si="135"/>
        <v>2.564102564102564E-2</v>
      </c>
      <c r="G1085" s="15"/>
      <c r="R1085" s="11"/>
    </row>
    <row r="1086" spans="1:18" x14ac:dyDescent="0.2">
      <c r="A1086">
        <f>Data!A1081</f>
        <v>0</v>
      </c>
      <c r="B1086">
        <f>Data!B1081</f>
        <v>0</v>
      </c>
      <c r="C1086">
        <f>Data!E1081</f>
        <v>2013</v>
      </c>
      <c r="D1086" s="8">
        <f>Data!N1081</f>
        <v>2.564102564102564E-2</v>
      </c>
      <c r="E1086">
        <f>E$1*(1-Data!BF1081)+E$2*Data!BF1081</f>
        <v>1</v>
      </c>
      <c r="F1086">
        <f t="shared" si="135"/>
        <v>2.564102564102564E-2</v>
      </c>
      <c r="G1086" s="15"/>
      <c r="R1086" s="11"/>
    </row>
    <row r="1087" spans="1:18" x14ac:dyDescent="0.2">
      <c r="A1087" t="str">
        <f>Data!A1082</f>
        <v>Bijgaart</v>
      </c>
      <c r="B1087" t="str">
        <f>Data!B1082</f>
        <v>none</v>
      </c>
      <c r="C1087">
        <f>Data!E1082</f>
        <v>2013</v>
      </c>
      <c r="D1087" s="8">
        <f>Data!N1082</f>
        <v>7.6923076923076927E-2</v>
      </c>
      <c r="E1087">
        <f>E$1*(1-Data!BF1082)+E$2*Data!BF1082</f>
        <v>1</v>
      </c>
      <c r="F1087">
        <f t="shared" si="135"/>
        <v>7.6923076923076927E-2</v>
      </c>
      <c r="G1087" s="15"/>
      <c r="R1087" s="11"/>
    </row>
    <row r="1088" spans="1:18" x14ac:dyDescent="0.2">
      <c r="A1088">
        <f>Data!A1083</f>
        <v>0</v>
      </c>
      <c r="B1088">
        <f>Data!B1083</f>
        <v>0</v>
      </c>
      <c r="C1088">
        <f>Data!E1083</f>
        <v>2013</v>
      </c>
      <c r="D1088" s="8">
        <f>Data!N1083</f>
        <v>7.6923076923076927E-2</v>
      </c>
      <c r="E1088">
        <f>E$1*(1-Data!BF1083)+E$2*Data!BF1083</f>
        <v>1</v>
      </c>
      <c r="F1088">
        <f t="shared" si="135"/>
        <v>7.6923076923076927E-2</v>
      </c>
      <c r="G1088" s="15"/>
      <c r="R1088" s="11"/>
    </row>
    <row r="1089" spans="1:27" x14ac:dyDescent="0.2">
      <c r="A1089">
        <f>Data!A1084</f>
        <v>0</v>
      </c>
      <c r="B1089">
        <f>Data!B1084</f>
        <v>0</v>
      </c>
      <c r="C1089">
        <f>Data!E1084</f>
        <v>2013</v>
      </c>
      <c r="D1089" s="8">
        <f>Data!N1084</f>
        <v>7.6923076923076927E-2</v>
      </c>
      <c r="E1089">
        <f>E$1*(1-Data!BF1084)+E$2*Data!BF1084</f>
        <v>1</v>
      </c>
      <c r="F1089">
        <f t="shared" si="135"/>
        <v>7.6923076923076927E-2</v>
      </c>
      <c r="G1089" s="15"/>
      <c r="R1089" s="11"/>
    </row>
    <row r="1090" spans="1:27" x14ac:dyDescent="0.2">
      <c r="A1090">
        <f>Data!A1085</f>
        <v>0</v>
      </c>
      <c r="B1090">
        <f>Data!B1085</f>
        <v>0</v>
      </c>
      <c r="C1090">
        <f>Data!E1085</f>
        <v>2013</v>
      </c>
      <c r="D1090" s="8">
        <f>Data!N1085</f>
        <v>7.6923076923076927E-2</v>
      </c>
      <c r="E1090">
        <f>E$1*(1-Data!BF1085)+E$2*Data!BF1085</f>
        <v>1</v>
      </c>
      <c r="F1090">
        <f t="shared" si="135"/>
        <v>7.6923076923076927E-2</v>
      </c>
      <c r="G1090" s="15"/>
      <c r="R1090" s="11"/>
    </row>
    <row r="1091" spans="1:27" x14ac:dyDescent="0.2">
      <c r="A1091">
        <f>Data!A1086</f>
        <v>0</v>
      </c>
      <c r="B1091">
        <f>Data!B1086</f>
        <v>0</v>
      </c>
      <c r="C1091">
        <f>Data!E1086</f>
        <v>2013</v>
      </c>
      <c r="D1091" s="8">
        <f>Data!N1086</f>
        <v>7.6923076923076927E-2</v>
      </c>
      <c r="E1091">
        <f>E$1*(1-Data!BF1086)+E$2*Data!BF1086</f>
        <v>1</v>
      </c>
      <c r="F1091">
        <f t="shared" si="135"/>
        <v>7.6923076923076927E-2</v>
      </c>
      <c r="G1091" s="15"/>
      <c r="R1091" s="11"/>
    </row>
    <row r="1092" spans="1:27" x14ac:dyDescent="0.2">
      <c r="A1092">
        <f>Data!A1087</f>
        <v>0</v>
      </c>
      <c r="B1092">
        <f>Data!B1087</f>
        <v>0</v>
      </c>
      <c r="C1092">
        <f>Data!E1087</f>
        <v>2013</v>
      </c>
      <c r="D1092" s="8">
        <f>Data!N1087</f>
        <v>0.30769230769230771</v>
      </c>
      <c r="E1092">
        <f>E$1*(1-Data!BF1087)+E$2*Data!BF1087</f>
        <v>1</v>
      </c>
      <c r="F1092">
        <f t="shared" ref="F1092:F1096" si="136">D1092*E1092</f>
        <v>0.30769230769230771</v>
      </c>
      <c r="G1092" s="15"/>
      <c r="R1092" s="11"/>
    </row>
    <row r="1093" spans="1:27" x14ac:dyDescent="0.2">
      <c r="A1093">
        <f>Data!A1088</f>
        <v>0</v>
      </c>
      <c r="B1093">
        <f>Data!B1088</f>
        <v>0</v>
      </c>
      <c r="C1093">
        <f>Data!E1088</f>
        <v>2013</v>
      </c>
      <c r="D1093" s="8">
        <f>Data!N1088</f>
        <v>7.6923076923076927E-2</v>
      </c>
      <c r="E1093">
        <f>E$1*(1-Data!BF1088)+E$2*Data!BF1088</f>
        <v>1</v>
      </c>
      <c r="F1093">
        <f t="shared" si="136"/>
        <v>7.6923076923076927E-2</v>
      </c>
      <c r="G1093" s="15"/>
      <c r="R1093" s="11"/>
    </row>
    <row r="1094" spans="1:27" x14ac:dyDescent="0.2">
      <c r="A1094">
        <f>Data!A1089</f>
        <v>0</v>
      </c>
      <c r="B1094">
        <f>Data!B1089</f>
        <v>0</v>
      </c>
      <c r="C1094">
        <f>Data!E1089</f>
        <v>2013</v>
      </c>
      <c r="D1094" s="8">
        <f>Data!N1089</f>
        <v>7.6923076923076927E-2</v>
      </c>
      <c r="E1094">
        <f>E$1*(1-Data!BF1089)+E$2*Data!BF1089</f>
        <v>1</v>
      </c>
      <c r="F1094">
        <f t="shared" si="136"/>
        <v>7.6923076923076927E-2</v>
      </c>
      <c r="G1094" s="15"/>
      <c r="R1094" s="11"/>
    </row>
    <row r="1095" spans="1:27" x14ac:dyDescent="0.2">
      <c r="A1095">
        <f>Data!A1090</f>
        <v>0</v>
      </c>
      <c r="B1095">
        <f>Data!B1090</f>
        <v>0</v>
      </c>
      <c r="C1095">
        <f>Data!E1090</f>
        <v>2013</v>
      </c>
      <c r="D1095" s="8">
        <f>Data!N1090</f>
        <v>7.6923076923076927E-2</v>
      </c>
      <c r="E1095">
        <f>E$1*(1-Data!BF1090)+E$2*Data!BF1090</f>
        <v>1</v>
      </c>
      <c r="F1095">
        <f t="shared" si="136"/>
        <v>7.6923076923076927E-2</v>
      </c>
      <c r="G1095" s="15"/>
      <c r="R1095" s="11"/>
    </row>
    <row r="1096" spans="1:27" x14ac:dyDescent="0.2">
      <c r="A1096">
        <f>Data!A1091</f>
        <v>0</v>
      </c>
      <c r="B1096">
        <f>Data!B1091</f>
        <v>0</v>
      </c>
      <c r="C1096">
        <f>Data!E1091</f>
        <v>2013</v>
      </c>
      <c r="D1096" s="8">
        <f>Data!N1091</f>
        <v>7.6923076923076927E-2</v>
      </c>
      <c r="E1096">
        <f>E$1*(1-Data!BF1091)+E$2*Data!BF1091</f>
        <v>1</v>
      </c>
      <c r="F1096">
        <f t="shared" si="136"/>
        <v>7.6923076923076927E-2</v>
      </c>
      <c r="G1096" s="15"/>
      <c r="R1096" s="11"/>
    </row>
    <row r="1097" spans="1:27" x14ac:dyDescent="0.2">
      <c r="A1097" t="str">
        <f>Data!A1092</f>
        <v>Nordhaus</v>
      </c>
      <c r="B1097" t="str">
        <f>Data!B1092</f>
        <v>none</v>
      </c>
      <c r="C1097">
        <f>Data!E1092</f>
        <v>2011</v>
      </c>
      <c r="D1097" s="8">
        <f>Data!N1092</f>
        <v>6.4516129032258063E-2</v>
      </c>
      <c r="E1097">
        <f>E$1*(1-Data!BF1092)+E$2*Data!BF1092</f>
        <v>1</v>
      </c>
      <c r="F1097">
        <f t="shared" ref="F1097:F1122" si="137">D1097*E1097</f>
        <v>6.4516129032258063E-2</v>
      </c>
      <c r="G1097" s="15">
        <f t="shared" ref="G1097:G1102" si="138">(J1097/H1097)^(1/(K1097-I1097))-1</f>
        <v>3.3758472797116301E-2</v>
      </c>
      <c r="H1097">
        <f t="shared" ref="H1097:H1102" si="139">MIN(L1097:BE1097)</f>
        <v>42.68</v>
      </c>
      <c r="I1097">
        <f t="shared" ref="I1097:I1102" si="140">LOOKUP(H1097,L1097:BE1097,L$8:BE$8)</f>
        <v>2015</v>
      </c>
      <c r="J1097">
        <f t="shared" ref="J1097:J1102" si="141">MAX(L1097:BE1097)</f>
        <v>161.06</v>
      </c>
      <c r="K1097">
        <f t="shared" ref="K1097:K1102" si="142">LOOKUP(J1097,L1097:BE1097,L$8:BE$8)</f>
        <v>2055</v>
      </c>
      <c r="R1097" s="11"/>
      <c r="S1097" s="24">
        <v>42.68</v>
      </c>
      <c r="U1097">
        <v>69.680000000000007</v>
      </c>
      <c r="W1097">
        <v>88.58</v>
      </c>
      <c r="Y1097">
        <v>121.1</v>
      </c>
      <c r="AA1097">
        <v>161.06</v>
      </c>
    </row>
    <row r="1098" spans="1:27" x14ac:dyDescent="0.2">
      <c r="A1098">
        <f>Data!A1093</f>
        <v>0</v>
      </c>
      <c r="B1098">
        <f>Data!B1093</f>
        <v>0</v>
      </c>
      <c r="C1098">
        <f>Data!E1093</f>
        <v>2011</v>
      </c>
      <c r="D1098" s="8">
        <f>Data!N1093</f>
        <v>0.12903225806451613</v>
      </c>
      <c r="E1098">
        <f>E$1*(1-Data!BF1093)+E$2*Data!BF1093</f>
        <v>1</v>
      </c>
      <c r="F1098">
        <f t="shared" si="137"/>
        <v>0.12903225806451613</v>
      </c>
      <c r="G1098" s="15">
        <f t="shared" si="138"/>
        <v>3.3075012334036424E-2</v>
      </c>
      <c r="H1098">
        <f t="shared" si="139"/>
        <v>40.11</v>
      </c>
      <c r="I1098">
        <f t="shared" si="140"/>
        <v>2015</v>
      </c>
      <c r="J1098">
        <f t="shared" si="141"/>
        <v>147.41</v>
      </c>
      <c r="K1098">
        <f t="shared" si="142"/>
        <v>2055</v>
      </c>
      <c r="R1098" s="11"/>
      <c r="S1098" s="24">
        <v>40.11</v>
      </c>
      <c r="U1098">
        <v>65.319999999999993</v>
      </c>
      <c r="W1098">
        <v>82.51</v>
      </c>
      <c r="Y1098">
        <v>111.91</v>
      </c>
      <c r="AA1098">
        <v>147.41</v>
      </c>
    </row>
    <row r="1099" spans="1:27" x14ac:dyDescent="0.2">
      <c r="A1099">
        <f>Data!A1094</f>
        <v>0</v>
      </c>
      <c r="B1099">
        <f>Data!B1094</f>
        <v>0</v>
      </c>
      <c r="C1099">
        <f>Data!E1094</f>
        <v>2011</v>
      </c>
      <c r="D1099" s="8">
        <f>Data!N1094</f>
        <v>6.4516129032258063E-2</v>
      </c>
      <c r="E1099">
        <f>E$1*(1-Data!BF1094)+E$2*Data!BF1094</f>
        <v>1</v>
      </c>
      <c r="F1099">
        <f t="shared" si="137"/>
        <v>6.4516129032258063E-2</v>
      </c>
      <c r="G1099" s="15">
        <f t="shared" si="138"/>
        <v>2.9542787477675692E-2</v>
      </c>
      <c r="H1099">
        <f t="shared" si="139"/>
        <v>138.21</v>
      </c>
      <c r="I1099">
        <f t="shared" si="140"/>
        <v>2015</v>
      </c>
      <c r="J1099">
        <f t="shared" si="141"/>
        <v>442.91</v>
      </c>
      <c r="K1099">
        <f t="shared" si="142"/>
        <v>2055</v>
      </c>
      <c r="R1099" s="11"/>
      <c r="S1099" s="24">
        <v>138.21</v>
      </c>
      <c r="U1099">
        <v>221.43</v>
      </c>
      <c r="W1099">
        <v>246.01</v>
      </c>
      <c r="Y1099">
        <v>333.95</v>
      </c>
      <c r="AA1099">
        <v>442.91</v>
      </c>
    </row>
    <row r="1100" spans="1:27" x14ac:dyDescent="0.2">
      <c r="A1100">
        <f>Data!A1095</f>
        <v>0</v>
      </c>
      <c r="B1100">
        <f>Data!B1095</f>
        <v>0</v>
      </c>
      <c r="C1100">
        <f>Data!E1095</f>
        <v>2011</v>
      </c>
      <c r="D1100" s="8">
        <f>Data!N1095</f>
        <v>3.2258064516129031E-2</v>
      </c>
      <c r="E1100">
        <f>E$1*(1-Data!BF1095)+E$2*Data!BF1095</f>
        <v>1</v>
      </c>
      <c r="F1100">
        <f t="shared" si="137"/>
        <v>3.2258064516129031E-2</v>
      </c>
      <c r="G1100" s="15">
        <f t="shared" si="138"/>
        <v>2.4491096739389429E-2</v>
      </c>
      <c r="H1100">
        <f t="shared" si="139"/>
        <v>288.35000000000002</v>
      </c>
      <c r="I1100">
        <f t="shared" si="140"/>
        <v>2015</v>
      </c>
      <c r="J1100">
        <f t="shared" si="141"/>
        <v>759.01</v>
      </c>
      <c r="K1100">
        <f t="shared" si="142"/>
        <v>2055</v>
      </c>
      <c r="R1100" s="11"/>
      <c r="S1100" s="24">
        <v>288.35000000000002</v>
      </c>
      <c r="U1100">
        <v>364.21</v>
      </c>
      <c r="W1100">
        <v>487.67</v>
      </c>
      <c r="Y1100">
        <v>627.47</v>
      </c>
      <c r="AA1100">
        <v>759.01</v>
      </c>
    </row>
    <row r="1101" spans="1:27" x14ac:dyDescent="0.2">
      <c r="A1101">
        <f>Data!A1096</f>
        <v>0</v>
      </c>
      <c r="B1101">
        <f>Data!B1096</f>
        <v>0</v>
      </c>
      <c r="C1101">
        <f>Data!E1096</f>
        <v>2011</v>
      </c>
      <c r="D1101" s="8">
        <f>Data!N1096</f>
        <v>3.2258064516129031E-2</v>
      </c>
      <c r="E1101">
        <f>E$1*(1-Data!BF1096)+E$2*Data!BF1096</f>
        <v>1</v>
      </c>
      <c r="F1101">
        <f t="shared" si="137"/>
        <v>3.2258064516129031E-2</v>
      </c>
      <c r="G1101" s="15">
        <f t="shared" si="138"/>
        <v>3.376906898826304E-2</v>
      </c>
      <c r="H1101">
        <f t="shared" si="139"/>
        <v>97.87</v>
      </c>
      <c r="I1101">
        <f t="shared" si="140"/>
        <v>2015</v>
      </c>
      <c r="J1101">
        <f t="shared" si="141"/>
        <v>369.48</v>
      </c>
      <c r="K1101">
        <f t="shared" si="142"/>
        <v>2055</v>
      </c>
      <c r="R1101" s="11"/>
      <c r="S1101" s="24">
        <v>97.87</v>
      </c>
      <c r="U1101">
        <v>160.07</v>
      </c>
      <c r="W1101">
        <v>203.57</v>
      </c>
      <c r="Y1101">
        <v>278.5</v>
      </c>
      <c r="AA1101">
        <v>369.48</v>
      </c>
    </row>
    <row r="1102" spans="1:27" x14ac:dyDescent="0.2">
      <c r="A1102">
        <f>Data!A1097</f>
        <v>0</v>
      </c>
      <c r="B1102">
        <f>Data!B1097</f>
        <v>0</v>
      </c>
      <c r="C1102">
        <f>Data!E1097</f>
        <v>2011</v>
      </c>
      <c r="D1102" s="8">
        <f>Data!N1097</f>
        <v>3.2258064516129031E-2</v>
      </c>
      <c r="E1102">
        <f>E$1*(1-Data!BF1097)+E$2*Data!BF1097</f>
        <v>1</v>
      </c>
      <c r="F1102">
        <f t="shared" si="137"/>
        <v>3.2258064516129031E-2</v>
      </c>
      <c r="G1102" s="15">
        <f t="shared" si="138"/>
        <v>3.2571685929585037E-2</v>
      </c>
      <c r="H1102">
        <f t="shared" si="139"/>
        <v>124.86</v>
      </c>
      <c r="I1102">
        <f t="shared" si="140"/>
        <v>2015</v>
      </c>
      <c r="J1102">
        <f t="shared" si="141"/>
        <v>450.02</v>
      </c>
      <c r="K1102">
        <f t="shared" si="142"/>
        <v>2055</v>
      </c>
      <c r="R1102" s="11"/>
      <c r="S1102" s="24">
        <v>124.86</v>
      </c>
      <c r="U1102">
        <v>202.84</v>
      </c>
      <c r="W1102">
        <v>254.48</v>
      </c>
      <c r="Y1102">
        <v>343.97</v>
      </c>
      <c r="AA1102">
        <v>450.02</v>
      </c>
    </row>
    <row r="1103" spans="1:27" x14ac:dyDescent="0.2">
      <c r="A1103">
        <f>Data!A1098</f>
        <v>0</v>
      </c>
      <c r="B1103">
        <f>Data!B1098</f>
        <v>0</v>
      </c>
      <c r="C1103">
        <f>Data!E1098</f>
        <v>2011</v>
      </c>
      <c r="D1103" s="8">
        <f>Data!N1098</f>
        <v>3.2258064516129031E-2</v>
      </c>
      <c r="E1103">
        <f>E$1*(1-Data!BF1098)+E$2*Data!BF1098</f>
        <v>1</v>
      </c>
      <c r="F1103">
        <f t="shared" si="137"/>
        <v>3.2258064516129031E-2</v>
      </c>
      <c r="G1103" s="15"/>
      <c r="R1103" s="11"/>
    </row>
    <row r="1104" spans="1:27" x14ac:dyDescent="0.2">
      <c r="A1104">
        <f>Data!A1099</f>
        <v>0</v>
      </c>
      <c r="B1104">
        <f>Data!B1099</f>
        <v>0</v>
      </c>
      <c r="C1104">
        <f>Data!E1099</f>
        <v>2011</v>
      </c>
      <c r="D1104" s="8">
        <f>Data!N1099</f>
        <v>3.2258064516129031E-2</v>
      </c>
      <c r="E1104">
        <f>E$1*(1-Data!BF1099)+E$2*Data!BF1099</f>
        <v>1</v>
      </c>
      <c r="F1104">
        <f t="shared" si="137"/>
        <v>3.2258064516129031E-2</v>
      </c>
      <c r="G1104" s="15"/>
      <c r="R1104" s="11"/>
    </row>
    <row r="1105" spans="1:21" x14ac:dyDescent="0.2">
      <c r="A1105">
        <f>Data!A1100</f>
        <v>0</v>
      </c>
      <c r="B1105">
        <f>Data!B1100</f>
        <v>0</v>
      </c>
      <c r="C1105">
        <f>Data!E1100</f>
        <v>2011</v>
      </c>
      <c r="D1105" s="8">
        <f>Data!N1100</f>
        <v>3.2258064516129031E-2</v>
      </c>
      <c r="E1105">
        <f>E$1*(1-Data!BF1100)+E$2*Data!BF1100</f>
        <v>1</v>
      </c>
      <c r="F1105">
        <f t="shared" si="137"/>
        <v>3.2258064516129031E-2</v>
      </c>
      <c r="G1105" s="15"/>
      <c r="R1105" s="11"/>
    </row>
    <row r="1106" spans="1:21" x14ac:dyDescent="0.2">
      <c r="A1106">
        <f>Data!A1101</f>
        <v>0</v>
      </c>
      <c r="B1106">
        <f>Data!B1101</f>
        <v>0</v>
      </c>
      <c r="C1106">
        <f>Data!E1101</f>
        <v>2011</v>
      </c>
      <c r="D1106" s="8">
        <f>Data!N1101</f>
        <v>3.2258064516129031E-2</v>
      </c>
      <c r="E1106">
        <f>E$1*(1-Data!BF1101)+E$2*Data!BF1101</f>
        <v>1</v>
      </c>
      <c r="F1106">
        <f t="shared" si="137"/>
        <v>3.2258064516129031E-2</v>
      </c>
      <c r="G1106" s="15"/>
      <c r="R1106" s="11"/>
    </row>
    <row r="1107" spans="1:21" x14ac:dyDescent="0.2">
      <c r="A1107">
        <f>Data!A1102</f>
        <v>0</v>
      </c>
      <c r="B1107">
        <f>Data!B1102</f>
        <v>0</v>
      </c>
      <c r="C1107">
        <f>Data!E1102</f>
        <v>2011</v>
      </c>
      <c r="D1107" s="8">
        <f>Data!N1102</f>
        <v>3.2258064516129031E-2</v>
      </c>
      <c r="E1107">
        <f>E$1*(1-Data!BF1102)+E$2*Data!BF1102</f>
        <v>1</v>
      </c>
      <c r="F1107">
        <f t="shared" si="137"/>
        <v>3.2258064516129031E-2</v>
      </c>
      <c r="G1107" s="15"/>
      <c r="R1107" s="11"/>
    </row>
    <row r="1108" spans="1:21" x14ac:dyDescent="0.2">
      <c r="A1108">
        <f>Data!A1103</f>
        <v>0</v>
      </c>
      <c r="B1108">
        <f>Data!B1103</f>
        <v>0</v>
      </c>
      <c r="C1108">
        <f>Data!E1103</f>
        <v>2011</v>
      </c>
      <c r="D1108" s="8">
        <f>Data!N1103</f>
        <v>3.2258064516129031E-2</v>
      </c>
      <c r="E1108">
        <f>E$1*(1-Data!BF1103)+E$2*Data!BF1103</f>
        <v>1</v>
      </c>
      <c r="F1108">
        <f t="shared" si="137"/>
        <v>3.2258064516129031E-2</v>
      </c>
      <c r="G1108" s="15"/>
      <c r="R1108" s="11"/>
    </row>
    <row r="1109" spans="1:21" x14ac:dyDescent="0.2">
      <c r="A1109">
        <f>Data!A1104</f>
        <v>0</v>
      </c>
      <c r="B1109">
        <f>Data!B1104</f>
        <v>0</v>
      </c>
      <c r="C1109">
        <f>Data!E1104</f>
        <v>2011</v>
      </c>
      <c r="D1109" s="8">
        <f>Data!N1104</f>
        <v>3.2258064516129031E-2</v>
      </c>
      <c r="E1109">
        <f>E$1*(1-Data!BF1104)+E$2*Data!BF1104</f>
        <v>1</v>
      </c>
      <c r="F1109">
        <f t="shared" si="137"/>
        <v>3.2258064516129031E-2</v>
      </c>
      <c r="G1109" s="15"/>
      <c r="R1109" s="11"/>
    </row>
    <row r="1110" spans="1:21" x14ac:dyDescent="0.2">
      <c r="A1110">
        <f>Data!A1105</f>
        <v>0</v>
      </c>
      <c r="B1110">
        <f>Data!B1105</f>
        <v>0</v>
      </c>
      <c r="C1110">
        <f>Data!E1105</f>
        <v>2011</v>
      </c>
      <c r="D1110" s="8">
        <f>Data!N1105</f>
        <v>3.2258064516129031E-2</v>
      </c>
      <c r="E1110">
        <f>E$1*(1-Data!BF1105)+E$2*Data!BF1105</f>
        <v>1</v>
      </c>
      <c r="F1110">
        <f t="shared" si="137"/>
        <v>3.2258064516129031E-2</v>
      </c>
      <c r="G1110" s="15"/>
      <c r="R1110" s="11"/>
    </row>
    <row r="1111" spans="1:21" x14ac:dyDescent="0.2">
      <c r="A1111">
        <f>Data!A1106</f>
        <v>0</v>
      </c>
      <c r="B1111">
        <f>Data!B1106</f>
        <v>0</v>
      </c>
      <c r="C1111">
        <f>Data!E1106</f>
        <v>2011</v>
      </c>
      <c r="D1111" s="8">
        <f>Data!N1106</f>
        <v>3.2258064516129031E-2</v>
      </c>
      <c r="E1111">
        <f>E$1*(1-Data!BF1106)+E$2*Data!BF1106</f>
        <v>1</v>
      </c>
      <c r="F1111">
        <f t="shared" si="137"/>
        <v>3.2258064516129031E-2</v>
      </c>
      <c r="G1111" s="15"/>
      <c r="R1111" s="11"/>
    </row>
    <row r="1112" spans="1:21" x14ac:dyDescent="0.2">
      <c r="A1112">
        <f>Data!A1107</f>
        <v>0</v>
      </c>
      <c r="B1112">
        <f>Data!B1107</f>
        <v>0</v>
      </c>
      <c r="C1112">
        <f>Data!E1107</f>
        <v>2011</v>
      </c>
      <c r="D1112" s="8">
        <f>Data!N1107</f>
        <v>3.2258064516129031E-2</v>
      </c>
      <c r="E1112">
        <f>E$1*(1-Data!BF1107)+E$2*Data!BF1107</f>
        <v>1</v>
      </c>
      <c r="F1112">
        <f t="shared" si="137"/>
        <v>3.2258064516129031E-2</v>
      </c>
      <c r="G1112" s="15"/>
      <c r="R1112" s="11"/>
    </row>
    <row r="1113" spans="1:21" x14ac:dyDescent="0.2">
      <c r="A1113">
        <f>Data!A1108</f>
        <v>0</v>
      </c>
      <c r="B1113">
        <f>Data!B1108</f>
        <v>0</v>
      </c>
      <c r="C1113">
        <f>Data!E1108</f>
        <v>2011</v>
      </c>
      <c r="D1113" s="8">
        <f>Data!N1108</f>
        <v>3.2258064516129031E-2</v>
      </c>
      <c r="E1113">
        <f>E$1*(1-Data!BF1108)+E$2*Data!BF1108</f>
        <v>1</v>
      </c>
      <c r="F1113">
        <f t="shared" si="137"/>
        <v>3.2258064516129031E-2</v>
      </c>
      <c r="G1113" s="15"/>
      <c r="R1113" s="11"/>
    </row>
    <row r="1114" spans="1:21" x14ac:dyDescent="0.2">
      <c r="A1114">
        <f>Data!A1109</f>
        <v>0</v>
      </c>
      <c r="B1114">
        <f>Data!B1109</f>
        <v>0</v>
      </c>
      <c r="C1114">
        <f>Data!E1109</f>
        <v>2011</v>
      </c>
      <c r="D1114" s="8">
        <f>Data!N1109</f>
        <v>3.2258064516129031E-2</v>
      </c>
      <c r="E1114">
        <f>E$1*(1-Data!BF1109)+E$2*Data!BF1109</f>
        <v>1</v>
      </c>
      <c r="F1114">
        <f t="shared" si="137"/>
        <v>3.2258064516129031E-2</v>
      </c>
      <c r="G1114" s="15"/>
      <c r="R1114" s="11"/>
    </row>
    <row r="1115" spans="1:21" x14ac:dyDescent="0.2">
      <c r="A1115">
        <f>Data!A1110</f>
        <v>0</v>
      </c>
      <c r="B1115">
        <f>Data!B1110</f>
        <v>0</v>
      </c>
      <c r="C1115">
        <f>Data!E1110</f>
        <v>2011</v>
      </c>
      <c r="D1115" s="8">
        <f>Data!N1110</f>
        <v>3.2258064516129031E-2</v>
      </c>
      <c r="E1115">
        <f>E$1*(1-Data!BF1110)+E$2*Data!BF1110</f>
        <v>1</v>
      </c>
      <c r="F1115">
        <f t="shared" si="137"/>
        <v>3.2258064516129031E-2</v>
      </c>
      <c r="G1115" s="15"/>
      <c r="R1115" s="11"/>
    </row>
    <row r="1116" spans="1:21" x14ac:dyDescent="0.2">
      <c r="A1116">
        <f>Data!A1111</f>
        <v>0</v>
      </c>
      <c r="B1116">
        <f>Data!B1111</f>
        <v>0</v>
      </c>
      <c r="C1116">
        <f>Data!E1111</f>
        <v>2011</v>
      </c>
      <c r="D1116" s="8">
        <f>Data!N1111</f>
        <v>3.2258064516129031E-2</v>
      </c>
      <c r="E1116">
        <f>E$1*(1-Data!BF1111)+E$2*Data!BF1111</f>
        <v>1</v>
      </c>
      <c r="F1116">
        <f t="shared" si="137"/>
        <v>3.2258064516129031E-2</v>
      </c>
      <c r="G1116" s="15"/>
      <c r="R1116" s="11"/>
    </row>
    <row r="1117" spans="1:21" x14ac:dyDescent="0.2">
      <c r="A1117">
        <f>Data!A1112</f>
        <v>0</v>
      </c>
      <c r="B1117">
        <f>Data!B1112</f>
        <v>0</v>
      </c>
      <c r="C1117">
        <f>Data!E1112</f>
        <v>2011</v>
      </c>
      <c r="D1117" s="8">
        <f>Data!N1112</f>
        <v>3.2258064516129031E-2</v>
      </c>
      <c r="E1117">
        <f>E$1*(1-Data!BF1112)+E$2*Data!BF1112</f>
        <v>1</v>
      </c>
      <c r="F1117">
        <f t="shared" si="137"/>
        <v>3.2258064516129031E-2</v>
      </c>
      <c r="G1117" s="15"/>
      <c r="R1117" s="11"/>
    </row>
    <row r="1118" spans="1:21" x14ac:dyDescent="0.2">
      <c r="A1118">
        <f>Data!A1113</f>
        <v>0</v>
      </c>
      <c r="B1118">
        <f>Data!B1113</f>
        <v>0</v>
      </c>
      <c r="C1118">
        <f>Data!E1113</f>
        <v>2011</v>
      </c>
      <c r="D1118" s="8">
        <f>Data!N1113</f>
        <v>3.2258064516129031E-2</v>
      </c>
      <c r="E1118">
        <f>E$1*(1-Data!BF1113)+E$2*Data!BF1113</f>
        <v>1</v>
      </c>
      <c r="F1118">
        <f t="shared" si="137"/>
        <v>3.2258064516129031E-2</v>
      </c>
      <c r="G1118" s="15"/>
      <c r="R1118" s="11"/>
    </row>
    <row r="1119" spans="1:21" x14ac:dyDescent="0.2">
      <c r="A1119">
        <f>Data!A1114</f>
        <v>0</v>
      </c>
      <c r="B1119">
        <f>Data!B1114</f>
        <v>0</v>
      </c>
      <c r="C1119">
        <f>Data!E1114</f>
        <v>2011</v>
      </c>
      <c r="D1119" s="8">
        <f>Data!N1114</f>
        <v>3.2258064516129031E-2</v>
      </c>
      <c r="E1119">
        <f>E$1*(1-Data!BF1114)+E$2*Data!BF1114</f>
        <v>1</v>
      </c>
      <c r="F1119">
        <f t="shared" si="137"/>
        <v>3.2258064516129031E-2</v>
      </c>
      <c r="G1119" s="15">
        <f t="shared" ref="G1119:G1122" si="143">(J1119/H1119)^(1/(K1119-I1119))-1</f>
        <v>3.7855282682871527E-2</v>
      </c>
      <c r="H1119">
        <f t="shared" ref="H1119:H1122" si="144">MIN(L1119:BE1119)</f>
        <v>20</v>
      </c>
      <c r="I1119">
        <f t="shared" ref="I1119:I1122" si="145">LOOKUP(H1119,L1119:BE1119,L$8:BE$8)</f>
        <v>2015</v>
      </c>
      <c r="J1119">
        <f t="shared" ref="J1119:J1122" si="146">MAX(L1119:BE1119)</f>
        <v>29</v>
      </c>
      <c r="K1119">
        <f t="shared" ref="K1119:K1122" si="147">LOOKUP(J1119,L1119:BE1119,L$8:BE$8)</f>
        <v>2025</v>
      </c>
      <c r="R1119" s="11"/>
      <c r="S1119">
        <v>20</v>
      </c>
      <c r="U1119">
        <v>29</v>
      </c>
    </row>
    <row r="1120" spans="1:21" x14ac:dyDescent="0.2">
      <c r="A1120">
        <f>Data!A1115</f>
        <v>0</v>
      </c>
      <c r="B1120">
        <f>Data!B1115</f>
        <v>0</v>
      </c>
      <c r="C1120">
        <f>Data!E1115</f>
        <v>2011</v>
      </c>
      <c r="D1120" s="8">
        <f>Data!N1115</f>
        <v>3.2258064516129031E-2</v>
      </c>
      <c r="E1120">
        <f>E$1*(1-Data!BF1115)+E$2*Data!BF1115</f>
        <v>1</v>
      </c>
      <c r="F1120">
        <f t="shared" si="137"/>
        <v>3.2258064516129031E-2</v>
      </c>
      <c r="G1120" s="15">
        <f t="shared" si="143"/>
        <v>2.7923962631948518E-2</v>
      </c>
      <c r="H1120">
        <f t="shared" si="144"/>
        <v>41</v>
      </c>
      <c r="I1120">
        <f t="shared" si="145"/>
        <v>2015</v>
      </c>
      <c r="J1120">
        <f t="shared" si="146"/>
        <v>54</v>
      </c>
      <c r="K1120">
        <f t="shared" si="147"/>
        <v>2025</v>
      </c>
      <c r="R1120" s="11"/>
      <c r="S1120">
        <v>41</v>
      </c>
      <c r="U1120">
        <v>54</v>
      </c>
    </row>
    <row r="1121" spans="1:26" x14ac:dyDescent="0.2">
      <c r="A1121">
        <f>Data!A1116</f>
        <v>0</v>
      </c>
      <c r="B1121">
        <f>Data!B1116</f>
        <v>0</v>
      </c>
      <c r="C1121">
        <f>Data!E1116</f>
        <v>2011</v>
      </c>
      <c r="D1121" s="8">
        <f>Data!N1116</f>
        <v>3.2258064516129031E-2</v>
      </c>
      <c r="E1121">
        <f>E$1*(1-Data!BF1116)+E$2*Data!BF1116</f>
        <v>1</v>
      </c>
      <c r="F1121">
        <f t="shared" si="137"/>
        <v>3.2258064516129031E-2</v>
      </c>
      <c r="G1121" s="15">
        <f t="shared" si="143"/>
        <v>2.1823563111232902E-2</v>
      </c>
      <c r="H1121">
        <f t="shared" si="144"/>
        <v>83</v>
      </c>
      <c r="I1121">
        <f t="shared" si="145"/>
        <v>2015</v>
      </c>
      <c r="J1121">
        <f t="shared" si="146"/>
        <v>103</v>
      </c>
      <c r="K1121">
        <f t="shared" si="147"/>
        <v>2025</v>
      </c>
      <c r="R1121" s="11"/>
      <c r="S1121">
        <v>83</v>
      </c>
      <c r="U1121">
        <v>103</v>
      </c>
    </row>
    <row r="1122" spans="1:26" x14ac:dyDescent="0.2">
      <c r="A1122">
        <f>Data!A1117</f>
        <v>0</v>
      </c>
      <c r="B1122">
        <f>Data!B1117</f>
        <v>0</v>
      </c>
      <c r="C1122">
        <f>Data!E1117</f>
        <v>2011</v>
      </c>
      <c r="D1122" s="8">
        <f>Data!N1117</f>
        <v>3.2258064516129031E-2</v>
      </c>
      <c r="E1122">
        <f>E$1*(1-Data!BF1117)+E$2*Data!BF1117</f>
        <v>1</v>
      </c>
      <c r="F1122">
        <f t="shared" si="137"/>
        <v>3.2258064516129031E-2</v>
      </c>
      <c r="G1122" s="15">
        <f t="shared" si="143"/>
        <v>1.7891571875960022E-2</v>
      </c>
      <c r="H1122">
        <f t="shared" si="144"/>
        <v>134</v>
      </c>
      <c r="I1122">
        <f t="shared" si="145"/>
        <v>2015</v>
      </c>
      <c r="J1122">
        <f t="shared" si="146"/>
        <v>160</v>
      </c>
      <c r="K1122">
        <f t="shared" si="147"/>
        <v>2025</v>
      </c>
      <c r="R1122" s="11"/>
      <c r="S1122">
        <v>134</v>
      </c>
      <c r="U1122">
        <v>160</v>
      </c>
    </row>
    <row r="1123" spans="1:26" x14ac:dyDescent="0.2">
      <c r="A1123" t="str">
        <f>Data!A1118</f>
        <v>Lemoine Traeger</v>
      </c>
      <c r="B1123" t="str">
        <f>Data!B1118</f>
        <v>none</v>
      </c>
      <c r="C1123">
        <f>Data!E1118</f>
        <v>2014</v>
      </c>
      <c r="D1123" s="8">
        <f>Data!N1118</f>
        <v>5.2631578947368418E-2</v>
      </c>
      <c r="E1123">
        <f>E$1*(1-Data!BF1118)+E$2*Data!BF1118</f>
        <v>1</v>
      </c>
      <c r="F1123">
        <f t="shared" ref="F1123:F1130" si="148">D1123*E1123</f>
        <v>5.2631578947368418E-2</v>
      </c>
      <c r="G1123" s="15">
        <f t="shared" ref="G1123:G1130" si="149">(J1123/H1123)^(1/(K1123-I1123))-1</f>
        <v>2.4082821289717504E-2</v>
      </c>
      <c r="H1123">
        <f t="shared" ref="H1123:H1130" si="150">MIN(L1123:BE1123)</f>
        <v>10</v>
      </c>
      <c r="I1123">
        <f t="shared" ref="I1123:I1130" si="151">LOOKUP(H1123,L1123:BE1123,L$8:BE$8)</f>
        <v>2015</v>
      </c>
      <c r="J1123">
        <f t="shared" ref="J1123:J1130" si="152">MAX(L1123:BE1123)</f>
        <v>23</v>
      </c>
      <c r="K1123">
        <f t="shared" ref="K1123:K1130" si="153">LOOKUP(J1123,L1123:BE1123,L$8:BE$8)</f>
        <v>2050</v>
      </c>
      <c r="R1123" s="11"/>
      <c r="S1123">
        <v>10</v>
      </c>
      <c r="Z1123">
        <v>23</v>
      </c>
    </row>
    <row r="1124" spans="1:26" x14ac:dyDescent="0.2">
      <c r="A1124">
        <f>Data!A1119</f>
        <v>0</v>
      </c>
      <c r="B1124">
        <f>Data!B1119</f>
        <v>0</v>
      </c>
      <c r="C1124">
        <f>Data!E1119</f>
        <v>2014</v>
      </c>
      <c r="D1124" s="8">
        <f>Data!N1119</f>
        <v>0.10526315789473684</v>
      </c>
      <c r="E1124">
        <f>E$1*(1-Data!BF1119)+E$2*Data!BF1119</f>
        <v>1</v>
      </c>
      <c r="F1124">
        <f t="shared" si="148"/>
        <v>0.10526315789473684</v>
      </c>
      <c r="G1124" s="15"/>
      <c r="R1124" s="11"/>
    </row>
    <row r="1125" spans="1:26" x14ac:dyDescent="0.2">
      <c r="A1125">
        <f>Data!A1120</f>
        <v>0</v>
      </c>
      <c r="B1125">
        <f>Data!B1120</f>
        <v>0</v>
      </c>
      <c r="C1125">
        <f>Data!E1120</f>
        <v>2014</v>
      </c>
      <c r="D1125" s="8">
        <f>Data!N1120</f>
        <v>0.10526315789473684</v>
      </c>
      <c r="E1125">
        <f>E$1*(1-Data!BF1120)+E$2*Data!BF1120</f>
        <v>1</v>
      </c>
      <c r="F1125">
        <f t="shared" si="148"/>
        <v>0.10526315789473684</v>
      </c>
      <c r="G1125" s="15"/>
      <c r="R1125" s="11"/>
    </row>
    <row r="1126" spans="1:26" x14ac:dyDescent="0.2">
      <c r="A1126">
        <f>Data!A1121</f>
        <v>0</v>
      </c>
      <c r="B1126">
        <f>Data!B1121</f>
        <v>0</v>
      </c>
      <c r="C1126">
        <f>Data!E1121</f>
        <v>2014</v>
      </c>
      <c r="D1126" s="8">
        <f>Data!N1121</f>
        <v>0.10526315789473684</v>
      </c>
      <c r="E1126">
        <f>E$1*(1-Data!BF1121)+E$2*Data!BF1121</f>
        <v>1</v>
      </c>
      <c r="F1126">
        <f t="shared" si="148"/>
        <v>0.10526315789473684</v>
      </c>
      <c r="G1126" s="15"/>
      <c r="R1126" s="11"/>
    </row>
    <row r="1127" spans="1:26" x14ac:dyDescent="0.2">
      <c r="A1127">
        <f>Data!A1122</f>
        <v>0</v>
      </c>
      <c r="B1127">
        <f>Data!B1122</f>
        <v>0</v>
      </c>
      <c r="C1127">
        <f>Data!E1122</f>
        <v>2014</v>
      </c>
      <c r="D1127" s="8">
        <f>Data!N1122</f>
        <v>0.10526315789473684</v>
      </c>
      <c r="E1127">
        <f>E$1*(1-Data!BF1122)+E$2*Data!BF1122</f>
        <v>1</v>
      </c>
      <c r="F1127">
        <f t="shared" si="148"/>
        <v>0.10526315789473684</v>
      </c>
      <c r="G1127" s="15">
        <f t="shared" si="149"/>
        <v>2.4503915236640195E-2</v>
      </c>
      <c r="H1127">
        <f t="shared" si="150"/>
        <v>15</v>
      </c>
      <c r="I1127">
        <f t="shared" si="151"/>
        <v>2015</v>
      </c>
      <c r="J1127">
        <f t="shared" si="152"/>
        <v>35</v>
      </c>
      <c r="K1127">
        <f t="shared" si="153"/>
        <v>2050</v>
      </c>
      <c r="R1127" s="11"/>
      <c r="S1127">
        <v>15</v>
      </c>
      <c r="Z1127">
        <v>35</v>
      </c>
    </row>
    <row r="1128" spans="1:26" x14ac:dyDescent="0.2">
      <c r="A1128">
        <f>Data!A1123</f>
        <v>0</v>
      </c>
      <c r="B1128">
        <f>Data!B1123</f>
        <v>0</v>
      </c>
      <c r="C1128">
        <f>Data!E1123</f>
        <v>2014</v>
      </c>
      <c r="D1128" s="8">
        <f>Data!N1123</f>
        <v>0.10526315789473684</v>
      </c>
      <c r="E1128">
        <f>E$1*(1-Data!BF1123)+E$2*Data!BF1123</f>
        <v>1</v>
      </c>
      <c r="F1128">
        <f t="shared" si="148"/>
        <v>0.10526315789473684</v>
      </c>
      <c r="G1128" s="15">
        <f t="shared" si="149"/>
        <v>2.1024785192012008E-2</v>
      </c>
      <c r="H1128">
        <f t="shared" si="150"/>
        <v>14</v>
      </c>
      <c r="I1128">
        <f t="shared" si="151"/>
        <v>2015</v>
      </c>
      <c r="J1128">
        <f t="shared" si="152"/>
        <v>29</v>
      </c>
      <c r="K1128">
        <f t="shared" si="153"/>
        <v>2050</v>
      </c>
      <c r="R1128" s="11"/>
      <c r="S1128">
        <v>14</v>
      </c>
      <c r="Z1128">
        <v>29</v>
      </c>
    </row>
    <row r="1129" spans="1:26" x14ac:dyDescent="0.2">
      <c r="A1129">
        <f>Data!A1124</f>
        <v>0</v>
      </c>
      <c r="B1129">
        <f>Data!B1124</f>
        <v>0</v>
      </c>
      <c r="C1129">
        <f>Data!E1124</f>
        <v>2014</v>
      </c>
      <c r="D1129" s="8">
        <f>Data!N1124</f>
        <v>0.21052631578947367</v>
      </c>
      <c r="E1129">
        <f>E$1*(1-Data!BF1124)+E$2*Data!BF1124</f>
        <v>1</v>
      </c>
      <c r="F1129">
        <f t="shared" si="148"/>
        <v>0.21052631578947367</v>
      </c>
      <c r="G1129" s="15">
        <f t="shared" si="149"/>
        <v>2.5531607324075001E-2</v>
      </c>
      <c r="H1129">
        <f t="shared" si="150"/>
        <v>12</v>
      </c>
      <c r="I1129">
        <f t="shared" si="151"/>
        <v>2015</v>
      </c>
      <c r="J1129">
        <f t="shared" si="152"/>
        <v>29</v>
      </c>
      <c r="K1129">
        <f t="shared" si="153"/>
        <v>2050</v>
      </c>
      <c r="R1129" s="11"/>
      <c r="S1129">
        <v>12</v>
      </c>
      <c r="Z1129">
        <v>29</v>
      </c>
    </row>
    <row r="1130" spans="1:26" x14ac:dyDescent="0.2">
      <c r="A1130">
        <f>Data!A1125</f>
        <v>0</v>
      </c>
      <c r="B1130">
        <f>Data!B1125</f>
        <v>0</v>
      </c>
      <c r="C1130">
        <f>Data!E1125</f>
        <v>2014</v>
      </c>
      <c r="D1130" s="8">
        <f>Data!N1125</f>
        <v>0.21052631578947367</v>
      </c>
      <c r="E1130">
        <f>E$1*(1-Data!BF1125)+E$2*Data!BF1125</f>
        <v>1</v>
      </c>
      <c r="F1130">
        <f t="shared" si="148"/>
        <v>0.21052631578947367</v>
      </c>
      <c r="G1130" s="15">
        <f t="shared" si="149"/>
        <v>2.9324624897659302E-2</v>
      </c>
      <c r="H1130">
        <f t="shared" si="150"/>
        <v>12</v>
      </c>
      <c r="I1130">
        <f t="shared" si="151"/>
        <v>2015</v>
      </c>
      <c r="J1130">
        <f t="shared" si="152"/>
        <v>33</v>
      </c>
      <c r="K1130">
        <f t="shared" si="153"/>
        <v>2050</v>
      </c>
      <c r="R1130" s="11"/>
      <c r="S1130">
        <v>12</v>
      </c>
      <c r="Z1130">
        <v>33</v>
      </c>
    </row>
    <row r="1131" spans="1:26" x14ac:dyDescent="0.2">
      <c r="A1131" t="str">
        <f>Data!A1126</f>
        <v>Lemoine</v>
      </c>
      <c r="B1131" t="str">
        <f>Data!B1126</f>
        <v>none</v>
      </c>
      <c r="C1131">
        <f>Data!E1126</f>
        <v>2015</v>
      </c>
      <c r="D1131" s="8">
        <f>Data!N1126</f>
        <v>1.5384615384615385E-2</v>
      </c>
      <c r="E1131">
        <f>E$1*(1-Data!BF1126)+E$2*Data!BF1126</f>
        <v>1</v>
      </c>
      <c r="F1131">
        <f t="shared" ref="F1131:F1149" si="154">D1131*E1131</f>
        <v>1.5384615384615385E-2</v>
      </c>
      <c r="G1131" s="15"/>
      <c r="R1131" s="11"/>
    </row>
    <row r="1132" spans="1:26" x14ac:dyDescent="0.2">
      <c r="A1132">
        <f>Data!A1127</f>
        <v>0</v>
      </c>
      <c r="B1132">
        <f>Data!B1127</f>
        <v>0</v>
      </c>
      <c r="C1132">
        <f>Data!E1127</f>
        <v>2015</v>
      </c>
      <c r="D1132" s="8">
        <f>Data!N1127</f>
        <v>1.5384615384615385E-2</v>
      </c>
      <c r="E1132">
        <f>E$1*(1-Data!BF1127)+E$2*Data!BF1127</f>
        <v>1</v>
      </c>
      <c r="F1132">
        <f t="shared" si="154"/>
        <v>1.5384615384615385E-2</v>
      </c>
      <c r="G1132" s="15"/>
      <c r="R1132" s="11"/>
    </row>
    <row r="1133" spans="1:26" x14ac:dyDescent="0.2">
      <c r="A1133">
        <f>Data!A1128</f>
        <v>0</v>
      </c>
      <c r="B1133">
        <f>Data!B1128</f>
        <v>0</v>
      </c>
      <c r="C1133">
        <f>Data!E1128</f>
        <v>2015</v>
      </c>
      <c r="D1133" s="8">
        <f>Data!N1128</f>
        <v>4.6153846153846156E-2</v>
      </c>
      <c r="E1133">
        <f>E$1*(1-Data!BF1128)+E$2*Data!BF1128</f>
        <v>1</v>
      </c>
      <c r="F1133">
        <f t="shared" si="154"/>
        <v>4.6153846153846156E-2</v>
      </c>
      <c r="G1133" s="15"/>
      <c r="R1133" s="11"/>
    </row>
    <row r="1134" spans="1:26" x14ac:dyDescent="0.2">
      <c r="A1134">
        <f>Data!A1129</f>
        <v>0</v>
      </c>
      <c r="B1134">
        <f>Data!B1129</f>
        <v>0</v>
      </c>
      <c r="C1134">
        <f>Data!E1129</f>
        <v>2015</v>
      </c>
      <c r="D1134" s="8">
        <f>Data!N1129</f>
        <v>6.1538461538461542E-2</v>
      </c>
      <c r="E1134">
        <f>E$1*(1-Data!BF1129)+E$2*Data!BF1129</f>
        <v>1</v>
      </c>
      <c r="F1134">
        <f t="shared" si="154"/>
        <v>6.1538461538461542E-2</v>
      </c>
      <c r="G1134" s="15"/>
      <c r="R1134" s="11"/>
    </row>
    <row r="1135" spans="1:26" x14ac:dyDescent="0.2">
      <c r="A1135">
        <f>Data!A1130</f>
        <v>0</v>
      </c>
      <c r="B1135">
        <f>Data!B1130</f>
        <v>0</v>
      </c>
      <c r="C1135">
        <f>Data!E1130</f>
        <v>2015</v>
      </c>
      <c r="D1135" s="8">
        <f>Data!N1130</f>
        <v>7.6923076923076927E-2</v>
      </c>
      <c r="E1135">
        <f>E$1*(1-Data!BF1130)+E$2*Data!BF1130</f>
        <v>1</v>
      </c>
      <c r="F1135">
        <f t="shared" si="154"/>
        <v>7.6923076923076927E-2</v>
      </c>
      <c r="G1135" s="15"/>
      <c r="R1135" s="11"/>
    </row>
    <row r="1136" spans="1:26" x14ac:dyDescent="0.2">
      <c r="A1136">
        <f>Data!A1131</f>
        <v>0</v>
      </c>
      <c r="B1136">
        <f>Data!B1131</f>
        <v>0</v>
      </c>
      <c r="C1136">
        <f>Data!E1131</f>
        <v>2015</v>
      </c>
      <c r="D1136" s="8">
        <f>Data!N1131</f>
        <v>9.2307692307692313E-2</v>
      </c>
      <c r="E1136">
        <f>E$1*(1-Data!BF1131)+E$2*Data!BF1131</f>
        <v>1</v>
      </c>
      <c r="F1136">
        <f t="shared" si="154"/>
        <v>9.2307692307692313E-2</v>
      </c>
      <c r="G1136" s="15"/>
      <c r="R1136" s="11"/>
    </row>
    <row r="1137" spans="1:95" x14ac:dyDescent="0.2">
      <c r="A1137">
        <f>Data!A1132</f>
        <v>0</v>
      </c>
      <c r="B1137">
        <f>Data!B1132</f>
        <v>0</v>
      </c>
      <c r="C1137">
        <f>Data!E1132</f>
        <v>2015</v>
      </c>
      <c r="D1137" s="8">
        <f>Data!N1132</f>
        <v>7.6923076923076927E-2</v>
      </c>
      <c r="E1137">
        <f>E$1*(1-Data!BF1132)+E$2*Data!BF1132</f>
        <v>1</v>
      </c>
      <c r="F1137">
        <f t="shared" si="154"/>
        <v>7.6923076923076927E-2</v>
      </c>
      <c r="G1137" s="15"/>
      <c r="R1137" s="11"/>
    </row>
    <row r="1138" spans="1:95" x14ac:dyDescent="0.2">
      <c r="A1138">
        <f>Data!A1133</f>
        <v>0</v>
      </c>
      <c r="B1138">
        <f>Data!B1133</f>
        <v>0</v>
      </c>
      <c r="C1138">
        <f>Data!E1133</f>
        <v>2015</v>
      </c>
      <c r="D1138" s="8">
        <f>Data!N1133</f>
        <v>1.5384615384615385E-2</v>
      </c>
      <c r="E1138">
        <f>E$1*(1-Data!BF1133)+E$2*Data!BF1133</f>
        <v>1</v>
      </c>
      <c r="F1138">
        <f t="shared" si="154"/>
        <v>1.5384615384615385E-2</v>
      </c>
      <c r="G1138" s="15"/>
      <c r="R1138" s="11"/>
    </row>
    <row r="1139" spans="1:95" x14ac:dyDescent="0.2">
      <c r="A1139">
        <f>Data!A1134</f>
        <v>0</v>
      </c>
      <c r="B1139">
        <f>Data!B1134</f>
        <v>0</v>
      </c>
      <c r="C1139">
        <f>Data!E1134</f>
        <v>2015</v>
      </c>
      <c r="D1139" s="8">
        <f>Data!N1134</f>
        <v>4.6153846153846156E-2</v>
      </c>
      <c r="E1139">
        <f>E$1*(1-Data!BF1134)+E$2*Data!BF1134</f>
        <v>1</v>
      </c>
      <c r="F1139">
        <f t="shared" si="154"/>
        <v>4.6153846153846156E-2</v>
      </c>
      <c r="G1139" s="15"/>
      <c r="R1139" s="11"/>
    </row>
    <row r="1140" spans="1:95" x14ac:dyDescent="0.2">
      <c r="A1140">
        <f>Data!A1135</f>
        <v>0</v>
      </c>
      <c r="B1140">
        <f>Data!B1135</f>
        <v>0</v>
      </c>
      <c r="C1140">
        <f>Data!E1135</f>
        <v>2015</v>
      </c>
      <c r="D1140" s="8">
        <f>Data!N1135</f>
        <v>9.2307692307692313E-2</v>
      </c>
      <c r="E1140">
        <f>E$1*(1-Data!BF1135)+E$2*Data!BF1135</f>
        <v>1</v>
      </c>
      <c r="F1140">
        <f t="shared" si="154"/>
        <v>9.2307692307692313E-2</v>
      </c>
      <c r="G1140" s="15"/>
      <c r="R1140" s="11"/>
    </row>
    <row r="1141" spans="1:95" x14ac:dyDescent="0.2">
      <c r="A1141">
        <f>Data!A1136</f>
        <v>0</v>
      </c>
      <c r="B1141">
        <f>Data!B1136</f>
        <v>0</v>
      </c>
      <c r="C1141">
        <f>Data!E1136</f>
        <v>2015</v>
      </c>
      <c r="D1141" s="8">
        <f>Data!N1136</f>
        <v>4.6153846153846156E-2</v>
      </c>
      <c r="E1141">
        <f>E$1*(1-Data!BF1136)+E$2*Data!BF1136</f>
        <v>1</v>
      </c>
      <c r="F1141">
        <f t="shared" si="154"/>
        <v>4.6153846153846156E-2</v>
      </c>
      <c r="G1141" s="15"/>
      <c r="R1141" s="11"/>
    </row>
    <row r="1142" spans="1:95" x14ac:dyDescent="0.2">
      <c r="A1142">
        <f>Data!A1137</f>
        <v>0</v>
      </c>
      <c r="B1142">
        <f>Data!B1137</f>
        <v>0</v>
      </c>
      <c r="C1142">
        <f>Data!E1137</f>
        <v>2015</v>
      </c>
      <c r="D1142" s="8">
        <f>Data!N1137</f>
        <v>3.0769230769230771E-2</v>
      </c>
      <c r="E1142">
        <f>E$1*(1-Data!BF1137)+E$2*Data!BF1137</f>
        <v>1</v>
      </c>
      <c r="F1142">
        <f t="shared" si="154"/>
        <v>3.0769230769230771E-2</v>
      </c>
      <c r="G1142" s="15"/>
      <c r="R1142" s="11"/>
    </row>
    <row r="1143" spans="1:95" x14ac:dyDescent="0.2">
      <c r="A1143">
        <f>Data!A1138</f>
        <v>0</v>
      </c>
      <c r="B1143">
        <f>Data!B1138</f>
        <v>0</v>
      </c>
      <c r="C1143">
        <f>Data!E1138</f>
        <v>2015</v>
      </c>
      <c r="D1143" s="8">
        <f>Data!N1138</f>
        <v>1.5384615384615385E-2</v>
      </c>
      <c r="E1143">
        <f>E$1*(1-Data!BF1138)+E$2*Data!BF1138</f>
        <v>1</v>
      </c>
      <c r="F1143">
        <f t="shared" si="154"/>
        <v>1.5384615384615385E-2</v>
      </c>
      <c r="G1143" s="15"/>
      <c r="R1143" s="11"/>
    </row>
    <row r="1144" spans="1:95" x14ac:dyDescent="0.2">
      <c r="A1144">
        <f>Data!A1139</f>
        <v>0</v>
      </c>
      <c r="B1144">
        <f>Data!B1139</f>
        <v>0</v>
      </c>
      <c r="C1144">
        <f>Data!E1139</f>
        <v>2015</v>
      </c>
      <c r="D1144" s="8">
        <f>Data!N1139</f>
        <v>1.5384615384615385E-2</v>
      </c>
      <c r="E1144">
        <f>E$1*(1-Data!BF1139)+E$2*Data!BF1139</f>
        <v>1</v>
      </c>
      <c r="F1144">
        <f t="shared" si="154"/>
        <v>1.5384615384615385E-2</v>
      </c>
      <c r="G1144" s="15"/>
      <c r="R1144" s="11"/>
    </row>
    <row r="1145" spans="1:95" x14ac:dyDescent="0.2">
      <c r="A1145">
        <f>Data!A1140</f>
        <v>0</v>
      </c>
      <c r="B1145">
        <f>Data!B1140</f>
        <v>0</v>
      </c>
      <c r="C1145">
        <f>Data!E1140</f>
        <v>2015</v>
      </c>
      <c r="D1145" s="8">
        <f>Data!N1140</f>
        <v>4.6153846153846156E-2</v>
      </c>
      <c r="E1145">
        <f>E$1*(1-Data!BF1140)+E$2*Data!BF1140</f>
        <v>1</v>
      </c>
      <c r="F1145">
        <f t="shared" si="154"/>
        <v>4.6153846153846156E-2</v>
      </c>
      <c r="G1145" s="15"/>
      <c r="R1145" s="11"/>
    </row>
    <row r="1146" spans="1:95" x14ac:dyDescent="0.2">
      <c r="A1146">
        <f>Data!A1141</f>
        <v>0</v>
      </c>
      <c r="B1146">
        <f>Data!B1141</f>
        <v>0</v>
      </c>
      <c r="C1146">
        <f>Data!E1141</f>
        <v>2015</v>
      </c>
      <c r="D1146" s="8">
        <f>Data!N1141</f>
        <v>6.1538461538461542E-2</v>
      </c>
      <c r="E1146">
        <f>E$1*(1-Data!BF1141)+E$2*Data!BF1141</f>
        <v>1</v>
      </c>
      <c r="F1146">
        <f t="shared" si="154"/>
        <v>6.1538461538461542E-2</v>
      </c>
      <c r="G1146" s="15"/>
      <c r="R1146" s="11"/>
    </row>
    <row r="1147" spans="1:95" x14ac:dyDescent="0.2">
      <c r="A1147">
        <f>Data!A1142</f>
        <v>0</v>
      </c>
      <c r="B1147">
        <f>Data!B1142</f>
        <v>0</v>
      </c>
      <c r="C1147">
        <f>Data!E1142</f>
        <v>2015</v>
      </c>
      <c r="D1147" s="8">
        <f>Data!N1142</f>
        <v>7.6923076923076927E-2</v>
      </c>
      <c r="E1147">
        <f>E$1*(1-Data!BF1142)+E$2*Data!BF1142</f>
        <v>1</v>
      </c>
      <c r="F1147">
        <f t="shared" si="154"/>
        <v>7.6923076923076927E-2</v>
      </c>
      <c r="G1147" s="15"/>
      <c r="R1147" s="11"/>
    </row>
    <row r="1148" spans="1:95" x14ac:dyDescent="0.2">
      <c r="A1148">
        <f>Data!A1143</f>
        <v>0</v>
      </c>
      <c r="B1148">
        <f>Data!B1143</f>
        <v>0</v>
      </c>
      <c r="C1148">
        <f>Data!E1143</f>
        <v>2015</v>
      </c>
      <c r="D1148" s="8">
        <f>Data!N1143</f>
        <v>9.2307692307692313E-2</v>
      </c>
      <c r="E1148">
        <f>E$1*(1-Data!BF1143)+E$2*Data!BF1143</f>
        <v>1</v>
      </c>
      <c r="F1148">
        <f t="shared" si="154"/>
        <v>9.2307692307692313E-2</v>
      </c>
      <c r="G1148" s="15"/>
      <c r="R1148" s="11"/>
    </row>
    <row r="1149" spans="1:95" x14ac:dyDescent="0.2">
      <c r="A1149">
        <f>Data!A1144</f>
        <v>0</v>
      </c>
      <c r="B1149">
        <f>Data!B1144</f>
        <v>0</v>
      </c>
      <c r="C1149">
        <f>Data!E1144</f>
        <v>2015</v>
      </c>
      <c r="D1149" s="8">
        <f>Data!N1144</f>
        <v>7.6923076923076927E-2</v>
      </c>
      <c r="E1149">
        <f>E$1*(1-Data!BF1144)+E$2*Data!BF1144</f>
        <v>1</v>
      </c>
      <c r="F1149">
        <f t="shared" si="154"/>
        <v>7.6923076923076927E-2</v>
      </c>
      <c r="G1149" s="15"/>
      <c r="R1149" s="11"/>
    </row>
    <row r="1150" spans="1:95" ht="15" x14ac:dyDescent="0.25">
      <c r="A1150" t="str">
        <f>Data!A1145</f>
        <v>RezaiPloeg</v>
      </c>
      <c r="B1150" t="str">
        <f>Data!B1145</f>
        <v>none</v>
      </c>
      <c r="C1150">
        <f>Data!E1145</f>
        <v>2014</v>
      </c>
      <c r="D1150" s="8">
        <f>Data!N1145</f>
        <v>0.36363636363636365</v>
      </c>
      <c r="E1150">
        <f>E$1*(1-Data!BF1145)+E$2*Data!BF1145</f>
        <v>1</v>
      </c>
      <c r="F1150">
        <f t="shared" ref="F1150:F1156" si="155">D1150*E1150</f>
        <v>0.36363636363636365</v>
      </c>
      <c r="G1150" s="15">
        <f t="shared" ref="G1150:G1157" ca="1" si="156">(J1150/H1150)^(1/(K1150-I1150))-1</f>
        <v>1.0789568333220201E-2</v>
      </c>
      <c r="H1150">
        <f t="shared" ref="H1150:H1157" si="157">MIN(L1150:BF1150)</f>
        <v>81.02</v>
      </c>
      <c r="I1150">
        <f t="shared" ref="I1150:I1157" ca="1" si="158">LOOKUP(H1150,L1150:BF1150,L$8:BE$8)</f>
        <v>2015</v>
      </c>
      <c r="J1150">
        <f t="shared" ref="J1150:J1157" si="159">MAX(L1150:BF1150)</f>
        <v>502.25</v>
      </c>
      <c r="K1150">
        <f t="shared" ref="K1150:K1157" ca="1" si="160">LOOKUP(J1150,L1150:BF1150,L$8:BE$8)</f>
        <v>2185</v>
      </c>
      <c r="R1150" s="11"/>
      <c r="S1150" s="27">
        <v>81.02</v>
      </c>
      <c r="U1150" s="27">
        <v>119.3</v>
      </c>
      <c r="W1150" s="27">
        <v>173.07</v>
      </c>
      <c r="Y1150" s="27">
        <v>234.46</v>
      </c>
      <c r="AA1150" s="27">
        <v>291.02999999999997</v>
      </c>
      <c r="AC1150" s="27">
        <v>325.14</v>
      </c>
      <c r="AE1150" s="27">
        <v>358.65</v>
      </c>
      <c r="AG1150" s="27">
        <v>389.39</v>
      </c>
      <c r="AI1150" s="27">
        <v>416.26</v>
      </c>
      <c r="AK1150" s="27">
        <v>438.88</v>
      </c>
      <c r="AM1150" s="27">
        <v>457.3</v>
      </c>
      <c r="AO1150" s="27">
        <v>471.84</v>
      </c>
      <c r="AQ1150" s="27">
        <v>482.93</v>
      </c>
      <c r="AS1150" s="27">
        <v>491.05</v>
      </c>
      <c r="AU1150" s="27">
        <v>496.65</v>
      </c>
      <c r="AW1150" s="27">
        <v>500.14</v>
      </c>
      <c r="AY1150" s="27">
        <v>501.9</v>
      </c>
      <c r="BA1150" s="27">
        <v>502.25</v>
      </c>
      <c r="BC1150" s="27">
        <v>501.43</v>
      </c>
      <c r="BE1150" s="27">
        <v>499.69</v>
      </c>
      <c r="BG1150" s="27">
        <v>497.2</v>
      </c>
      <c r="BI1150" s="27">
        <v>494.1</v>
      </c>
      <c r="BK1150" s="27">
        <v>490.52</v>
      </c>
      <c r="BM1150" s="27">
        <v>486.55</v>
      </c>
      <c r="BO1150" s="27">
        <v>482.27</v>
      </c>
      <c r="BQ1150" s="27">
        <v>477.74</v>
      </c>
      <c r="BS1150" s="27">
        <v>473</v>
      </c>
      <c r="BU1150" s="27">
        <v>468.09</v>
      </c>
      <c r="BW1150" s="27">
        <v>463.03</v>
      </c>
      <c r="BY1150" s="27">
        <v>457.84</v>
      </c>
      <c r="CA1150" s="27">
        <v>452.53</v>
      </c>
      <c r="CC1150" s="27">
        <v>447.11</v>
      </c>
      <c r="CE1150" s="27">
        <v>441.57</v>
      </c>
      <c r="CG1150" s="27">
        <v>435.91</v>
      </c>
      <c r="CI1150" s="27">
        <v>430.13</v>
      </c>
      <c r="CK1150" s="27">
        <v>424.2</v>
      </c>
      <c r="CM1150" s="27">
        <v>418.11</v>
      </c>
      <c r="CO1150" s="27">
        <v>411.85</v>
      </c>
      <c r="CQ1150" s="27">
        <v>405.38</v>
      </c>
    </row>
    <row r="1151" spans="1:95" ht="15" x14ac:dyDescent="0.25">
      <c r="A1151">
        <f>Data!A1146</f>
        <v>0</v>
      </c>
      <c r="B1151">
        <f>Data!B1146</f>
        <v>0</v>
      </c>
      <c r="C1151">
        <f>Data!E1146</f>
        <v>2014</v>
      </c>
      <c r="D1151" s="8">
        <f>Data!N1146</f>
        <v>9.0909090909090912E-2</v>
      </c>
      <c r="E1151">
        <f>E$1*(1-Data!BF1146)+E$2*Data!BF1146</f>
        <v>1</v>
      </c>
      <c r="F1151">
        <f t="shared" si="155"/>
        <v>9.0909090909090912E-2</v>
      </c>
      <c r="G1151" s="15">
        <f t="shared" ca="1" si="156"/>
        <v>2.7900746425062906E-2</v>
      </c>
      <c r="H1151">
        <f t="shared" si="157"/>
        <v>0.52</v>
      </c>
      <c r="I1151">
        <f t="shared" ca="1" si="158"/>
        <v>2015</v>
      </c>
      <c r="J1151">
        <f t="shared" si="159"/>
        <v>4.7</v>
      </c>
      <c r="K1151">
        <f t="shared" ca="1" si="160"/>
        <v>2095</v>
      </c>
      <c r="R1151" s="11"/>
      <c r="S1151" s="28">
        <v>0.52</v>
      </c>
      <c r="U1151" s="28">
        <v>0.82</v>
      </c>
      <c r="W1151" s="28">
        <v>1.27</v>
      </c>
      <c r="Y1151" s="28">
        <v>1.87</v>
      </c>
      <c r="AA1151" s="28">
        <v>2.57</v>
      </c>
      <c r="AC1151" s="28">
        <v>3.29</v>
      </c>
      <c r="AE1151" s="28">
        <v>3.96</v>
      </c>
      <c r="AG1151" s="28">
        <v>4.47</v>
      </c>
      <c r="AI1151" s="28">
        <v>4.7</v>
      </c>
      <c r="AK1151" s="28">
        <v>4.5599999999999996</v>
      </c>
      <c r="AM1151" s="28">
        <v>4.51</v>
      </c>
      <c r="AO1151" s="28">
        <v>4.47</v>
      </c>
      <c r="AQ1151" s="28">
        <v>4.45</v>
      </c>
      <c r="AS1151" s="28">
        <v>4.43</v>
      </c>
      <c r="AU1151" s="28">
        <v>4.4000000000000004</v>
      </c>
      <c r="AW1151" s="28">
        <v>4.37</v>
      </c>
      <c r="AY1151" s="28">
        <v>4.3099999999999996</v>
      </c>
      <c r="BA1151" s="28">
        <v>4.26</v>
      </c>
      <c r="BC1151" s="28">
        <v>4.2</v>
      </c>
      <c r="BE1151" s="28">
        <v>4.1399999999999997</v>
      </c>
      <c r="BG1151" s="28">
        <v>4.05</v>
      </c>
      <c r="BI1151" s="28">
        <v>3.97</v>
      </c>
      <c r="BK1151" s="28">
        <v>3.91</v>
      </c>
      <c r="BM1151" s="28">
        <v>3.81</v>
      </c>
      <c r="BO1151" s="28">
        <v>3.72</v>
      </c>
      <c r="BQ1151" s="28">
        <v>3.65</v>
      </c>
      <c r="BS1151" s="28">
        <v>3.55</v>
      </c>
      <c r="BU1151" s="28">
        <v>3.48</v>
      </c>
      <c r="BW1151" s="28">
        <v>3.4</v>
      </c>
      <c r="BY1151" s="28">
        <v>3.3</v>
      </c>
      <c r="CA1151" s="28">
        <v>3.23</v>
      </c>
      <c r="CC1151" s="28">
        <v>3.16</v>
      </c>
      <c r="CE1151" s="28">
        <v>3.08</v>
      </c>
      <c r="CG1151" s="28">
        <v>3</v>
      </c>
      <c r="CI1151" s="28">
        <v>2.95</v>
      </c>
      <c r="CK1151" s="28">
        <v>2.89</v>
      </c>
      <c r="CM1151" s="28">
        <v>2.82</v>
      </c>
      <c r="CO1151" s="28">
        <v>2.72</v>
      </c>
      <c r="CQ1151" s="28">
        <v>2.64</v>
      </c>
    </row>
    <row r="1152" spans="1:95" ht="15" x14ac:dyDescent="0.25">
      <c r="A1152">
        <f>Data!A1147</f>
        <v>0</v>
      </c>
      <c r="B1152">
        <f>Data!B1147</f>
        <v>0</v>
      </c>
      <c r="C1152">
        <f>Data!E1147</f>
        <v>2014</v>
      </c>
      <c r="D1152" s="8">
        <f>Data!N1147</f>
        <v>9.0909090909090912E-2</v>
      </c>
      <c r="E1152">
        <f>E$1*(1-Data!BF1147)+E$2*Data!BF1147</f>
        <v>1</v>
      </c>
      <c r="F1152">
        <f t="shared" si="155"/>
        <v>9.0909090909090912E-2</v>
      </c>
      <c r="G1152" s="15">
        <f t="shared" ca="1" si="156"/>
        <v>7.915269288003568E-3</v>
      </c>
      <c r="H1152">
        <f t="shared" si="157"/>
        <v>75.13</v>
      </c>
      <c r="I1152">
        <f t="shared" ca="1" si="158"/>
        <v>2015</v>
      </c>
      <c r="J1152">
        <f t="shared" si="159"/>
        <v>336.03</v>
      </c>
      <c r="K1152">
        <f t="shared" ca="1" si="160"/>
        <v>2205</v>
      </c>
      <c r="R1152" s="11"/>
      <c r="S1152" s="29">
        <v>75.13</v>
      </c>
      <c r="U1152" s="29">
        <v>101.63</v>
      </c>
      <c r="W1152" s="29">
        <v>131.33000000000001</v>
      </c>
      <c r="Y1152" s="29">
        <v>161.44</v>
      </c>
      <c r="AA1152" s="29">
        <v>189.79</v>
      </c>
      <c r="AC1152" s="29">
        <v>215.06</v>
      </c>
      <c r="AE1152" s="29">
        <v>236.61</v>
      </c>
      <c r="AG1152" s="29">
        <v>252.52</v>
      </c>
      <c r="AI1152" s="29">
        <v>266.76</v>
      </c>
      <c r="AK1152" s="29">
        <v>279.26</v>
      </c>
      <c r="AM1152" s="29">
        <v>289.99</v>
      </c>
      <c r="AO1152" s="29">
        <v>299.12</v>
      </c>
      <c r="AQ1152" s="29">
        <v>306.82</v>
      </c>
      <c r="AS1152" s="29">
        <v>313.27999999999997</v>
      </c>
      <c r="AU1152" s="29">
        <v>318.81</v>
      </c>
      <c r="AW1152" s="29">
        <v>323.49</v>
      </c>
      <c r="AY1152" s="29">
        <v>327.44</v>
      </c>
      <c r="BA1152" s="29">
        <v>330.72</v>
      </c>
      <c r="BC1152" s="29">
        <v>333.52</v>
      </c>
      <c r="BE1152" s="29">
        <v>336.03</v>
      </c>
      <c r="BG1152" s="29">
        <v>338.16</v>
      </c>
      <c r="BI1152" s="29">
        <v>339.84</v>
      </c>
      <c r="BK1152" s="29">
        <v>341.34</v>
      </c>
      <c r="BM1152" s="29">
        <v>342.54</v>
      </c>
      <c r="BO1152" s="29">
        <v>343.54</v>
      </c>
      <c r="BQ1152" s="29">
        <v>344.47</v>
      </c>
      <c r="BS1152" s="29">
        <v>345.28</v>
      </c>
      <c r="BU1152" s="29">
        <v>345.93</v>
      </c>
      <c r="BW1152" s="29">
        <v>346.45</v>
      </c>
      <c r="BY1152" s="29">
        <v>346.85</v>
      </c>
      <c r="CA1152" s="29">
        <v>347.16</v>
      </c>
      <c r="CC1152" s="29">
        <v>347.4</v>
      </c>
      <c r="CE1152" s="29">
        <v>347.58</v>
      </c>
      <c r="CG1152" s="29">
        <v>347.72</v>
      </c>
      <c r="CI1152" s="29">
        <v>347.84</v>
      </c>
      <c r="CK1152" s="29">
        <v>347.93</v>
      </c>
      <c r="CM1152" s="29">
        <v>348</v>
      </c>
      <c r="CO1152" s="29">
        <v>348.06</v>
      </c>
      <c r="CQ1152" s="29">
        <v>348.12</v>
      </c>
    </row>
    <row r="1153" spans="1:95" ht="15" x14ac:dyDescent="0.25">
      <c r="A1153">
        <f>Data!A1148</f>
        <v>0</v>
      </c>
      <c r="B1153">
        <f>Data!B1148</f>
        <v>0</v>
      </c>
      <c r="C1153">
        <f>Data!E1148</f>
        <v>2014</v>
      </c>
      <c r="D1153" s="8">
        <f>Data!N1148</f>
        <v>9.0909090909090912E-2</v>
      </c>
      <c r="E1153">
        <f>E$1*(1-Data!BF1148)+E$2*Data!BF1148</f>
        <v>1</v>
      </c>
      <c r="F1153">
        <f t="shared" si="155"/>
        <v>9.0909090909090912E-2</v>
      </c>
      <c r="G1153" s="15">
        <f t="shared" si="156"/>
        <v>-1.8581445273324615E-3</v>
      </c>
      <c r="H1153" s="7">
        <f>S1153</f>
        <v>72.39</v>
      </c>
      <c r="I1153">
        <v>2015</v>
      </c>
      <c r="J1153" s="7">
        <f>AA1153</f>
        <v>67.2</v>
      </c>
      <c r="K1153">
        <v>2055</v>
      </c>
      <c r="R1153" s="11"/>
      <c r="S1153" s="30">
        <v>72.39</v>
      </c>
      <c r="U1153" s="30">
        <v>68.62</v>
      </c>
      <c r="W1153" s="30">
        <v>67.55</v>
      </c>
      <c r="Y1153" s="30">
        <v>67.260000000000005</v>
      </c>
      <c r="AA1153" s="30">
        <v>67.2</v>
      </c>
      <c r="AC1153" s="30">
        <v>67.2</v>
      </c>
      <c r="AE1153" s="30">
        <v>67.22</v>
      </c>
      <c r="AG1153" s="30">
        <v>67.25</v>
      </c>
      <c r="AI1153" s="30">
        <v>67.290000000000006</v>
      </c>
      <c r="AK1153" s="30">
        <v>67.319999999999993</v>
      </c>
      <c r="AM1153" s="30">
        <v>67.349999999999994</v>
      </c>
      <c r="AO1153" s="30">
        <v>67.38</v>
      </c>
      <c r="AQ1153" s="30">
        <v>67.41</v>
      </c>
      <c r="AS1153" s="30">
        <v>67.44</v>
      </c>
      <c r="AU1153" s="30">
        <v>67.47</v>
      </c>
      <c r="AW1153" s="30">
        <v>67.5</v>
      </c>
      <c r="AY1153" s="30">
        <v>67.53</v>
      </c>
      <c r="BA1153" s="30">
        <v>67.56</v>
      </c>
      <c r="BC1153" s="30">
        <v>67.59</v>
      </c>
      <c r="BE1153" s="30">
        <v>67.61</v>
      </c>
      <c r="BG1153" s="30">
        <v>67.64</v>
      </c>
      <c r="BI1153" s="30">
        <v>67.67</v>
      </c>
      <c r="BK1153" s="30">
        <v>67.69</v>
      </c>
      <c r="BM1153" s="30">
        <v>67.72</v>
      </c>
      <c r="BO1153" s="30">
        <v>67.739999999999995</v>
      </c>
      <c r="BQ1153" s="30">
        <v>67.77</v>
      </c>
      <c r="BS1153" s="30">
        <v>67.790000000000006</v>
      </c>
      <c r="BU1153" s="30">
        <v>67.81</v>
      </c>
      <c r="BW1153" s="30">
        <v>67.83</v>
      </c>
      <c r="BY1153" s="30">
        <v>67.86</v>
      </c>
      <c r="CA1153" s="30">
        <v>67.88</v>
      </c>
      <c r="CC1153" s="30">
        <v>67.89</v>
      </c>
      <c r="CE1153" s="30">
        <v>67.91</v>
      </c>
      <c r="CG1153" s="30">
        <v>67.930000000000007</v>
      </c>
      <c r="CI1153" s="30">
        <v>67.95</v>
      </c>
      <c r="CK1153" s="30">
        <v>67.959999999999994</v>
      </c>
      <c r="CM1153" s="30">
        <v>67.98</v>
      </c>
      <c r="CO1153" s="30">
        <v>67.989999999999995</v>
      </c>
      <c r="CQ1153" s="30">
        <v>68</v>
      </c>
    </row>
    <row r="1154" spans="1:95" ht="15" x14ac:dyDescent="0.25">
      <c r="A1154">
        <f>Data!A1149</f>
        <v>0</v>
      </c>
      <c r="B1154">
        <f>Data!B1149</f>
        <v>0</v>
      </c>
      <c r="C1154">
        <f>Data!E1149</f>
        <v>2014</v>
      </c>
      <c r="D1154" s="8">
        <f>Data!N1149</f>
        <v>9.0909090909090912E-2</v>
      </c>
      <c r="E1154">
        <f>E$1*(1-Data!BF1149)+E$2*Data!BF1149</f>
        <v>1</v>
      </c>
      <c r="F1154">
        <f t="shared" si="155"/>
        <v>9.0909090909090912E-2</v>
      </c>
      <c r="G1154" s="15">
        <f t="shared" ca="1" si="156"/>
        <v>1.1082867338124247E-2</v>
      </c>
      <c r="H1154">
        <f t="shared" si="157"/>
        <v>76</v>
      </c>
      <c r="I1154">
        <f t="shared" ca="1" si="158"/>
        <v>2015</v>
      </c>
      <c r="J1154">
        <f t="shared" si="159"/>
        <v>494.95</v>
      </c>
      <c r="K1154">
        <f t="shared" ca="1" si="160"/>
        <v>2185</v>
      </c>
      <c r="R1154" s="11"/>
      <c r="S1154" s="31">
        <v>76</v>
      </c>
      <c r="U1154" s="31">
        <v>111.14</v>
      </c>
      <c r="W1154" s="31">
        <v>160.37</v>
      </c>
      <c r="Y1154" s="31">
        <v>217.5</v>
      </c>
      <c r="AA1154" s="31">
        <v>274.31</v>
      </c>
      <c r="AC1154" s="31">
        <v>320.95999999999998</v>
      </c>
      <c r="AE1154" s="31">
        <v>353.69</v>
      </c>
      <c r="AG1154" s="31">
        <v>383.68</v>
      </c>
      <c r="AI1154" s="31">
        <v>409.88</v>
      </c>
      <c r="AK1154" s="31">
        <v>431.95</v>
      </c>
      <c r="AM1154" s="31">
        <v>449.95</v>
      </c>
      <c r="AO1154" s="31">
        <v>464.2</v>
      </c>
      <c r="AQ1154" s="31">
        <v>475.13</v>
      </c>
      <c r="AS1154" s="31">
        <v>483.2</v>
      </c>
      <c r="AU1154" s="31">
        <v>488.84</v>
      </c>
      <c r="AW1154" s="31">
        <v>492.45</v>
      </c>
      <c r="AY1154" s="31">
        <v>494.38</v>
      </c>
      <c r="BA1154" s="31">
        <v>494.95</v>
      </c>
      <c r="BC1154" s="31">
        <v>494.39</v>
      </c>
      <c r="BE1154" s="31">
        <v>492.91</v>
      </c>
      <c r="BG1154" s="31">
        <v>490.7</v>
      </c>
      <c r="BI1154" s="31">
        <v>487.89</v>
      </c>
      <c r="BK1154" s="31">
        <v>484.6</v>
      </c>
      <c r="BM1154" s="31">
        <v>480.91</v>
      </c>
      <c r="BO1154" s="31">
        <v>476.9</v>
      </c>
      <c r="BQ1154" s="31">
        <v>472.63</v>
      </c>
      <c r="BS1154" s="31">
        <v>468.13</v>
      </c>
      <c r="BU1154" s="31">
        <v>463.45</v>
      </c>
      <c r="BW1154" s="31">
        <v>458.6</v>
      </c>
      <c r="BY1154" s="31">
        <v>453.61</v>
      </c>
      <c r="CA1154" s="31">
        <v>448.49</v>
      </c>
      <c r="CC1154" s="31">
        <v>443.24</v>
      </c>
      <c r="CE1154" s="31">
        <v>437.85</v>
      </c>
      <c r="CG1154" s="31">
        <v>432.34</v>
      </c>
      <c r="CI1154" s="31">
        <v>426.69</v>
      </c>
      <c r="CK1154" s="31">
        <v>420.87</v>
      </c>
      <c r="CM1154" s="31">
        <v>414.9</v>
      </c>
      <c r="CO1154" s="31">
        <v>408.74</v>
      </c>
      <c r="CQ1154" s="31">
        <v>402.38</v>
      </c>
    </row>
    <row r="1155" spans="1:95" ht="15" x14ac:dyDescent="0.25">
      <c r="A1155">
        <f>Data!A1150</f>
        <v>0</v>
      </c>
      <c r="B1155">
        <f>Data!B1150</f>
        <v>0</v>
      </c>
      <c r="C1155">
        <f>Data!E1150</f>
        <v>2014</v>
      </c>
      <c r="D1155" s="8">
        <f>Data!N1150</f>
        <v>9.0909090909090912E-2</v>
      </c>
      <c r="E1155">
        <f>E$1*(1-Data!BF1150)+E$2*Data!BF1150</f>
        <v>1</v>
      </c>
      <c r="F1155">
        <f t="shared" si="155"/>
        <v>9.0909090909090912E-2</v>
      </c>
      <c r="G1155" s="15">
        <f t="shared" ca="1" si="156"/>
        <v>8.1623519420745971E-3</v>
      </c>
      <c r="H1155">
        <f t="shared" si="157"/>
        <v>151.65</v>
      </c>
      <c r="I1155">
        <f t="shared" ca="1" si="158"/>
        <v>2015</v>
      </c>
      <c r="J1155">
        <f t="shared" si="159"/>
        <v>473.27</v>
      </c>
      <c r="K1155">
        <f t="shared" ca="1" si="160"/>
        <v>2155</v>
      </c>
      <c r="R1155" s="11"/>
      <c r="S1155" s="32">
        <v>151.65</v>
      </c>
      <c r="U1155" s="32">
        <v>208.56</v>
      </c>
      <c r="W1155" s="32">
        <v>270.63</v>
      </c>
      <c r="Y1155" s="32">
        <v>325.79000000000002</v>
      </c>
      <c r="AA1155" s="32">
        <v>360.73</v>
      </c>
      <c r="AC1155" s="32">
        <v>387.21</v>
      </c>
      <c r="AE1155" s="32">
        <v>410.36</v>
      </c>
      <c r="AG1155" s="32">
        <v>429.32</v>
      </c>
      <c r="AI1155" s="32">
        <v>444.14</v>
      </c>
      <c r="AK1155" s="32">
        <v>455.25</v>
      </c>
      <c r="AM1155" s="32">
        <v>463.2</v>
      </c>
      <c r="AO1155" s="32">
        <v>468.52</v>
      </c>
      <c r="AQ1155" s="32">
        <v>471.71</v>
      </c>
      <c r="AS1155" s="32">
        <v>473.18</v>
      </c>
      <c r="AU1155" s="32">
        <v>473.27</v>
      </c>
      <c r="AW1155" s="32">
        <v>472.27</v>
      </c>
      <c r="AY1155" s="32">
        <v>470.39</v>
      </c>
      <c r="BA1155" s="32">
        <v>467.82</v>
      </c>
      <c r="BC1155" s="32">
        <v>464.71</v>
      </c>
      <c r="BE1155" s="32">
        <v>461.17</v>
      </c>
      <c r="BG1155" s="32">
        <v>457.28</v>
      </c>
      <c r="BI1155" s="32">
        <v>453.14</v>
      </c>
      <c r="BK1155" s="32">
        <v>448.78</v>
      </c>
      <c r="BM1155" s="32">
        <v>444.26</v>
      </c>
      <c r="BO1155" s="32">
        <v>439.61</v>
      </c>
      <c r="BQ1155" s="32">
        <v>434.85</v>
      </c>
      <c r="BS1155" s="32">
        <v>430</v>
      </c>
      <c r="BU1155" s="32">
        <v>425.07</v>
      </c>
      <c r="BW1155" s="32">
        <v>420.08</v>
      </c>
      <c r="BY1155" s="32">
        <v>415.03</v>
      </c>
      <c r="CA1155" s="32">
        <v>409.91</v>
      </c>
      <c r="CC1155" s="32">
        <v>404.72</v>
      </c>
      <c r="CE1155" s="32">
        <v>399.46</v>
      </c>
      <c r="CG1155" s="32">
        <v>394.12</v>
      </c>
      <c r="CI1155" s="32">
        <v>388.69</v>
      </c>
      <c r="CK1155" s="32">
        <v>383.16</v>
      </c>
      <c r="CM1155" s="32">
        <v>377.5</v>
      </c>
      <c r="CO1155" s="32">
        <v>371.71</v>
      </c>
      <c r="CQ1155" s="32">
        <v>365.75</v>
      </c>
    </row>
    <row r="1156" spans="1:95" ht="15" x14ac:dyDescent="0.25">
      <c r="A1156">
        <f>Data!A1151</f>
        <v>0</v>
      </c>
      <c r="B1156">
        <f>Data!B1151</f>
        <v>0</v>
      </c>
      <c r="C1156">
        <f>Data!E1151</f>
        <v>2014</v>
      </c>
      <c r="D1156" s="8">
        <f>Data!N1151</f>
        <v>9.0909090909090912E-2</v>
      </c>
      <c r="E1156">
        <f>E$1*(1-Data!BF1151)+E$2*Data!BF1151</f>
        <v>1</v>
      </c>
      <c r="F1156">
        <f t="shared" si="155"/>
        <v>9.0909090909090912E-2</v>
      </c>
      <c r="G1156" s="15">
        <f t="shared" ca="1" si="156"/>
        <v>1.020585614474756E-2</v>
      </c>
      <c r="H1156">
        <f t="shared" si="157"/>
        <v>79.19</v>
      </c>
      <c r="I1156">
        <f t="shared" ca="1" si="158"/>
        <v>2015</v>
      </c>
      <c r="J1156">
        <f t="shared" si="159"/>
        <v>545.19000000000005</v>
      </c>
      <c r="K1156">
        <f t="shared" ca="1" si="160"/>
        <v>2205</v>
      </c>
      <c r="R1156" s="11"/>
      <c r="S1156" s="33">
        <v>79.19</v>
      </c>
      <c r="U1156" s="33">
        <v>114.48</v>
      </c>
      <c r="W1156" s="33">
        <v>163.07</v>
      </c>
      <c r="Y1156" s="33">
        <v>217.68</v>
      </c>
      <c r="AA1156" s="33">
        <v>269.47000000000003</v>
      </c>
      <c r="AC1156" s="33">
        <v>309</v>
      </c>
      <c r="AE1156" s="33">
        <v>344.08</v>
      </c>
      <c r="AG1156" s="33">
        <v>377.75</v>
      </c>
      <c r="AI1156" s="33">
        <v>408.6</v>
      </c>
      <c r="AK1156" s="33">
        <v>435.92</v>
      </c>
      <c r="AM1156" s="33">
        <v>459.5</v>
      </c>
      <c r="AO1156" s="33">
        <v>479.43</v>
      </c>
      <c r="AQ1156" s="33">
        <v>495.95</v>
      </c>
      <c r="AS1156" s="33">
        <v>509.42</v>
      </c>
      <c r="AU1156" s="33">
        <v>520.20000000000005</v>
      </c>
      <c r="AW1156" s="33">
        <v>528.65</v>
      </c>
      <c r="AY1156" s="33">
        <v>535.09</v>
      </c>
      <c r="BA1156" s="33">
        <v>539.83000000000004</v>
      </c>
      <c r="BC1156" s="33">
        <v>543.13</v>
      </c>
      <c r="BE1156" s="33">
        <v>545.19000000000005</v>
      </c>
      <c r="BG1156" s="33">
        <v>546.22</v>
      </c>
      <c r="BI1156" s="33">
        <v>546.37</v>
      </c>
      <c r="BK1156" s="33">
        <v>545.76</v>
      </c>
      <c r="BM1156" s="33">
        <v>544.52</v>
      </c>
      <c r="BO1156" s="33">
        <v>542.72</v>
      </c>
      <c r="BQ1156" s="33">
        <v>540.45000000000005</v>
      </c>
      <c r="BS1156" s="33">
        <v>537.75</v>
      </c>
      <c r="BU1156" s="33">
        <v>534.67999999999995</v>
      </c>
      <c r="BW1156" s="33">
        <v>531.27</v>
      </c>
      <c r="BY1156" s="33">
        <v>527.54999999999995</v>
      </c>
      <c r="CA1156" s="33">
        <v>523.53</v>
      </c>
      <c r="CC1156" s="33">
        <v>519.24</v>
      </c>
      <c r="CE1156" s="33">
        <v>514.67999999999995</v>
      </c>
      <c r="CG1156" s="33">
        <v>509.83</v>
      </c>
      <c r="CI1156" s="33">
        <v>504.72</v>
      </c>
      <c r="CK1156" s="33">
        <v>499.31</v>
      </c>
      <c r="CM1156" s="33">
        <v>493.6</v>
      </c>
      <c r="CO1156" s="33">
        <v>487.59</v>
      </c>
      <c r="CQ1156" s="33">
        <v>481.22</v>
      </c>
    </row>
    <row r="1157" spans="1:95" ht="15" x14ac:dyDescent="0.25">
      <c r="A1157">
        <f>Data!A1152</f>
        <v>0</v>
      </c>
      <c r="B1157">
        <f>Data!B1152</f>
        <v>0</v>
      </c>
      <c r="C1157">
        <f>Data!E1152</f>
        <v>2014</v>
      </c>
      <c r="D1157" s="8">
        <f>Data!N1152</f>
        <v>9.0909090909090912E-2</v>
      </c>
      <c r="E1157">
        <f>E$1*(1-Data!BF1152)+E$2*Data!BF1152</f>
        <v>1</v>
      </c>
      <c r="F1157">
        <f t="shared" ref="F1157" si="161">D1157*E1157</f>
        <v>9.0909090909090912E-2</v>
      </c>
      <c r="G1157" s="15">
        <f t="shared" ca="1" si="156"/>
        <v>1.0206497396570091E-2</v>
      </c>
      <c r="H1157">
        <f t="shared" si="157"/>
        <v>42.5</v>
      </c>
      <c r="I1157">
        <f t="shared" ca="1" si="158"/>
        <v>2015</v>
      </c>
      <c r="J1157">
        <f t="shared" si="159"/>
        <v>292.63</v>
      </c>
      <c r="K1157">
        <f t="shared" ca="1" si="160"/>
        <v>2205</v>
      </c>
      <c r="R1157" s="11"/>
      <c r="S1157" s="34">
        <v>42.5</v>
      </c>
      <c r="U1157" s="34">
        <v>58.53</v>
      </c>
      <c r="W1157" s="34">
        <v>80.81</v>
      </c>
      <c r="Y1157" s="34">
        <v>106.57</v>
      </c>
      <c r="AA1157" s="34">
        <v>133.01</v>
      </c>
      <c r="AC1157" s="34">
        <v>157.66</v>
      </c>
      <c r="AE1157" s="34">
        <v>178.54</v>
      </c>
      <c r="AG1157" s="34">
        <v>193.44</v>
      </c>
      <c r="AI1157" s="34">
        <v>208.11</v>
      </c>
      <c r="AK1157" s="34">
        <v>221.87</v>
      </c>
      <c r="AM1157" s="34">
        <v>234.37</v>
      </c>
      <c r="AO1157" s="34">
        <v>245.45</v>
      </c>
      <c r="AQ1157" s="34">
        <v>255.12</v>
      </c>
      <c r="AS1157" s="34">
        <v>263.47000000000003</v>
      </c>
      <c r="AU1157" s="34">
        <v>270.61</v>
      </c>
      <c r="AW1157" s="34">
        <v>276.66000000000003</v>
      </c>
      <c r="AY1157" s="34">
        <v>281.77999999999997</v>
      </c>
      <c r="BA1157" s="34">
        <v>286.07</v>
      </c>
      <c r="BC1157" s="34">
        <v>289.64999999999998</v>
      </c>
      <c r="BE1157" s="34">
        <v>292.63</v>
      </c>
      <c r="BG1157" s="34">
        <v>295.08999999999997</v>
      </c>
      <c r="BI1157" s="34">
        <v>297.08999999999997</v>
      </c>
      <c r="BK1157" s="34">
        <v>298.70999999999998</v>
      </c>
      <c r="BM1157" s="34">
        <v>299.98</v>
      </c>
      <c r="BO1157" s="34">
        <v>300.95999999999998</v>
      </c>
      <c r="BQ1157" s="34">
        <v>301.67</v>
      </c>
      <c r="BS1157" s="34">
        <v>302.14</v>
      </c>
      <c r="BU1157" s="34">
        <v>302.39</v>
      </c>
      <c r="BW1157" s="34">
        <v>302.43</v>
      </c>
      <c r="BY1157" s="34">
        <v>302.29000000000002</v>
      </c>
      <c r="CA1157" s="34">
        <v>301.95</v>
      </c>
      <c r="CC1157" s="34">
        <v>301.43</v>
      </c>
      <c r="CE1157" s="34">
        <v>300.72000000000003</v>
      </c>
      <c r="CG1157" s="34">
        <v>299.81</v>
      </c>
      <c r="CI1157" s="34">
        <v>298.70999999999998</v>
      </c>
      <c r="CK1157" s="34">
        <v>297.39999999999998</v>
      </c>
      <c r="CM1157" s="34">
        <v>295.87</v>
      </c>
      <c r="CO1157" s="34">
        <v>294.10000000000002</v>
      </c>
      <c r="CQ1157" s="34">
        <v>292.08</v>
      </c>
    </row>
    <row r="1158" spans="1:95" ht="15" x14ac:dyDescent="0.25">
      <c r="A1158" t="str">
        <f>Data!A1153</f>
        <v>HealMillner</v>
      </c>
      <c r="B1158" t="str">
        <f>Data!B1153</f>
        <v>none</v>
      </c>
      <c r="C1158">
        <f>Data!E1153</f>
        <v>2014</v>
      </c>
      <c r="D1158" s="8">
        <f>Data!N1153</f>
        <v>3.2679738562091504E-3</v>
      </c>
      <c r="E1158">
        <f>E$1*(1-Data!BF1153)+E$2*Data!BF1153</f>
        <v>1</v>
      </c>
      <c r="F1158">
        <f t="shared" ref="F1158:F1220" si="162">D1158*E1158</f>
        <v>3.2679738562091504E-3</v>
      </c>
      <c r="G1158" s="15"/>
      <c r="R1158" s="11"/>
      <c r="S1158" s="34"/>
      <c r="U1158" s="34"/>
      <c r="W1158" s="34"/>
      <c r="Y1158" s="34"/>
      <c r="AA1158" s="34"/>
      <c r="AC1158" s="34"/>
      <c r="AE1158" s="34"/>
      <c r="AG1158" s="34"/>
      <c r="AI1158" s="34"/>
      <c r="AK1158" s="34"/>
      <c r="AM1158" s="34"/>
      <c r="AO1158" s="34"/>
      <c r="AQ1158" s="34"/>
      <c r="AS1158" s="34"/>
      <c r="AU1158" s="34"/>
      <c r="AW1158" s="34"/>
      <c r="AY1158" s="34"/>
      <c r="BA1158" s="34"/>
      <c r="BC1158" s="34"/>
      <c r="BE1158" s="34"/>
      <c r="BG1158" s="34"/>
      <c r="BI1158" s="34"/>
      <c r="BK1158" s="34"/>
      <c r="BM1158" s="34"/>
      <c r="BO1158" s="34"/>
      <c r="BQ1158" s="34"/>
      <c r="BS1158" s="34"/>
      <c r="BU1158" s="34"/>
      <c r="BW1158" s="34"/>
      <c r="BY1158" s="34"/>
      <c r="CA1158" s="34"/>
      <c r="CC1158" s="34"/>
      <c r="CE1158" s="34"/>
      <c r="CG1158" s="34"/>
      <c r="CI1158" s="34"/>
      <c r="CK1158" s="34"/>
      <c r="CM1158" s="34"/>
      <c r="CO1158" s="34"/>
      <c r="CQ1158" s="34"/>
    </row>
    <row r="1159" spans="1:95" ht="15" x14ac:dyDescent="0.25">
      <c r="A1159">
        <f>Data!A1154</f>
        <v>0</v>
      </c>
      <c r="B1159">
        <f>Data!B1154</f>
        <v>0</v>
      </c>
      <c r="C1159">
        <f>Data!E1154</f>
        <v>2014</v>
      </c>
      <c r="D1159" s="8">
        <f>Data!N1154</f>
        <v>4.2483660130718959E-3</v>
      </c>
      <c r="E1159">
        <f>E$1*(1-Data!BF1154)+E$2*Data!BF1154</f>
        <v>1</v>
      </c>
      <c r="F1159">
        <f t="shared" si="162"/>
        <v>4.2483660130718959E-3</v>
      </c>
      <c r="G1159" s="15"/>
      <c r="R1159" s="11"/>
      <c r="S1159" s="34"/>
      <c r="U1159" s="34"/>
      <c r="W1159" s="34"/>
      <c r="Y1159" s="34"/>
      <c r="AA1159" s="34"/>
      <c r="AC1159" s="34"/>
      <c r="AE1159" s="34"/>
      <c r="AG1159" s="34"/>
      <c r="AI1159" s="34"/>
      <c r="AK1159" s="34"/>
      <c r="AM1159" s="34"/>
      <c r="AO1159" s="34"/>
      <c r="AQ1159" s="34"/>
      <c r="AS1159" s="34"/>
      <c r="AU1159" s="34"/>
      <c r="AW1159" s="34"/>
      <c r="AY1159" s="34"/>
      <c r="BA1159" s="34"/>
      <c r="BC1159" s="34"/>
      <c r="BE1159" s="34"/>
      <c r="BG1159" s="34"/>
      <c r="BI1159" s="34"/>
      <c r="BK1159" s="34"/>
      <c r="BM1159" s="34"/>
      <c r="BO1159" s="34"/>
      <c r="BQ1159" s="34"/>
      <c r="BS1159" s="34"/>
      <c r="BU1159" s="34"/>
      <c r="BW1159" s="34"/>
      <c r="BY1159" s="34"/>
      <c r="CA1159" s="34"/>
      <c r="CC1159" s="34"/>
      <c r="CE1159" s="34"/>
      <c r="CG1159" s="34"/>
      <c r="CI1159" s="34"/>
      <c r="CK1159" s="34"/>
      <c r="CM1159" s="34"/>
      <c r="CO1159" s="34"/>
      <c r="CQ1159" s="34"/>
    </row>
    <row r="1160" spans="1:95" ht="15" x14ac:dyDescent="0.25">
      <c r="A1160">
        <f>Data!A1155</f>
        <v>0</v>
      </c>
      <c r="B1160">
        <f>Data!B1155</f>
        <v>0</v>
      </c>
      <c r="C1160">
        <f>Data!E1155</f>
        <v>2014</v>
      </c>
      <c r="D1160" s="8">
        <f>Data!N1155</f>
        <v>5.228758169934641E-3</v>
      </c>
      <c r="E1160">
        <f>E$1*(1-Data!BF1155)+E$2*Data!BF1155</f>
        <v>1</v>
      </c>
      <c r="F1160">
        <f t="shared" si="162"/>
        <v>5.228758169934641E-3</v>
      </c>
      <c r="G1160" s="15"/>
      <c r="R1160" s="11"/>
      <c r="S1160" s="34"/>
      <c r="U1160" s="34"/>
      <c r="W1160" s="34"/>
      <c r="Y1160" s="34"/>
      <c r="AA1160" s="34"/>
      <c r="AC1160" s="34"/>
      <c r="AE1160" s="34"/>
      <c r="AG1160" s="34"/>
      <c r="AI1160" s="34"/>
      <c r="AK1160" s="34"/>
      <c r="AM1160" s="34"/>
      <c r="AO1160" s="34"/>
      <c r="AQ1160" s="34"/>
      <c r="AS1160" s="34"/>
      <c r="AU1160" s="34"/>
      <c r="AW1160" s="34"/>
      <c r="AY1160" s="34"/>
      <c r="BA1160" s="34"/>
      <c r="BC1160" s="34"/>
      <c r="BE1160" s="34"/>
      <c r="BG1160" s="34"/>
      <c r="BI1160" s="34"/>
      <c r="BK1160" s="34"/>
      <c r="BM1160" s="34"/>
      <c r="BO1160" s="34"/>
      <c r="BQ1160" s="34"/>
      <c r="BS1160" s="34"/>
      <c r="BU1160" s="34"/>
      <c r="BW1160" s="34"/>
      <c r="BY1160" s="34"/>
      <c r="CA1160" s="34"/>
      <c r="CC1160" s="34"/>
      <c r="CE1160" s="34"/>
      <c r="CG1160" s="34"/>
      <c r="CI1160" s="34"/>
      <c r="CK1160" s="34"/>
      <c r="CM1160" s="34"/>
      <c r="CO1160" s="34"/>
      <c r="CQ1160" s="34"/>
    </row>
    <row r="1161" spans="1:95" ht="15" x14ac:dyDescent="0.25">
      <c r="A1161">
        <f>Data!A1156</f>
        <v>0</v>
      </c>
      <c r="B1161">
        <f>Data!B1156</f>
        <v>0</v>
      </c>
      <c r="C1161">
        <f>Data!E1156</f>
        <v>2014</v>
      </c>
      <c r="D1161" s="8">
        <f>Data!N1156</f>
        <v>6.2091503267973861E-3</v>
      </c>
      <c r="E1161">
        <f>E$1*(1-Data!BF1156)+E$2*Data!BF1156</f>
        <v>1</v>
      </c>
      <c r="F1161">
        <f t="shared" si="162"/>
        <v>6.2091503267973861E-3</v>
      </c>
      <c r="G1161" s="15"/>
      <c r="R1161" s="11"/>
      <c r="S1161" s="34"/>
      <c r="U1161" s="34"/>
      <c r="W1161" s="34"/>
      <c r="Y1161" s="34"/>
      <c r="AA1161" s="34"/>
      <c r="AC1161" s="34"/>
      <c r="AE1161" s="34"/>
      <c r="AG1161" s="34"/>
      <c r="AI1161" s="34"/>
      <c r="AK1161" s="34"/>
      <c r="AM1161" s="34"/>
      <c r="AO1161" s="34"/>
      <c r="AQ1161" s="34"/>
      <c r="AS1161" s="34"/>
      <c r="AU1161" s="34"/>
      <c r="AW1161" s="34"/>
      <c r="AY1161" s="34"/>
      <c r="BA1161" s="34"/>
      <c r="BC1161" s="34"/>
      <c r="BE1161" s="34"/>
      <c r="BG1161" s="34"/>
      <c r="BI1161" s="34"/>
      <c r="BK1161" s="34"/>
      <c r="BM1161" s="34"/>
      <c r="BO1161" s="34"/>
      <c r="BQ1161" s="34"/>
      <c r="BS1161" s="34"/>
      <c r="BU1161" s="34"/>
      <c r="BW1161" s="34"/>
      <c r="BY1161" s="34"/>
      <c r="CA1161" s="34"/>
      <c r="CC1161" s="34"/>
      <c r="CE1161" s="34"/>
      <c r="CG1161" s="34"/>
      <c r="CI1161" s="34"/>
      <c r="CK1161" s="34"/>
      <c r="CM1161" s="34"/>
      <c r="CO1161" s="34"/>
      <c r="CQ1161" s="34"/>
    </row>
    <row r="1162" spans="1:95" ht="15" x14ac:dyDescent="0.25">
      <c r="A1162">
        <f>Data!A1157</f>
        <v>0</v>
      </c>
      <c r="B1162">
        <f>Data!B1157</f>
        <v>0</v>
      </c>
      <c r="C1162">
        <f>Data!E1157</f>
        <v>2014</v>
      </c>
      <c r="D1162" s="8">
        <f>Data!N1157</f>
        <v>7.1895424836601312E-3</v>
      </c>
      <c r="E1162">
        <f>E$1*(1-Data!BF1157)+E$2*Data!BF1157</f>
        <v>1</v>
      </c>
      <c r="F1162">
        <f t="shared" si="162"/>
        <v>7.1895424836601312E-3</v>
      </c>
      <c r="G1162" s="15"/>
      <c r="R1162" s="11"/>
      <c r="S1162" s="34"/>
      <c r="U1162" s="34"/>
      <c r="W1162" s="34"/>
      <c r="Y1162" s="34"/>
      <c r="AA1162" s="34"/>
      <c r="AC1162" s="34"/>
      <c r="AE1162" s="34"/>
      <c r="AG1162" s="34"/>
      <c r="AI1162" s="34"/>
      <c r="AK1162" s="34"/>
      <c r="AM1162" s="34"/>
      <c r="AO1162" s="34"/>
      <c r="AQ1162" s="34"/>
      <c r="AS1162" s="34"/>
      <c r="AU1162" s="34"/>
      <c r="AW1162" s="34"/>
      <c r="AY1162" s="34"/>
      <c r="BA1162" s="34"/>
      <c r="BC1162" s="34"/>
      <c r="BE1162" s="34"/>
      <c r="BG1162" s="34"/>
      <c r="BI1162" s="34"/>
      <c r="BK1162" s="34"/>
      <c r="BM1162" s="34"/>
      <c r="BO1162" s="34"/>
      <c r="BQ1162" s="34"/>
      <c r="BS1162" s="34"/>
      <c r="BU1162" s="34"/>
      <c r="BW1162" s="34"/>
      <c r="BY1162" s="34"/>
      <c r="CA1162" s="34"/>
      <c r="CC1162" s="34"/>
      <c r="CE1162" s="34"/>
      <c r="CG1162" s="34"/>
      <c r="CI1162" s="34"/>
      <c r="CK1162" s="34"/>
      <c r="CM1162" s="34"/>
      <c r="CO1162" s="34"/>
      <c r="CQ1162" s="34"/>
    </row>
    <row r="1163" spans="1:95" ht="15" x14ac:dyDescent="0.25">
      <c r="A1163">
        <f>Data!A1158</f>
        <v>0</v>
      </c>
      <c r="B1163">
        <f>Data!B1158</f>
        <v>0</v>
      </c>
      <c r="C1163">
        <f>Data!E1158</f>
        <v>2014</v>
      </c>
      <c r="D1163" s="8">
        <f>Data!N1158</f>
        <v>8.1699346405228763E-3</v>
      </c>
      <c r="E1163">
        <f>E$1*(1-Data!BF1158)+E$2*Data!BF1158</f>
        <v>1</v>
      </c>
      <c r="F1163">
        <f t="shared" si="162"/>
        <v>8.1699346405228763E-3</v>
      </c>
      <c r="G1163" s="15"/>
      <c r="R1163" s="11"/>
      <c r="S1163" s="34"/>
      <c r="U1163" s="34"/>
      <c r="W1163" s="34"/>
      <c r="Y1163" s="34"/>
      <c r="AA1163" s="34"/>
      <c r="AC1163" s="34"/>
      <c r="AE1163" s="34"/>
      <c r="AG1163" s="34"/>
      <c r="AI1163" s="34"/>
      <c r="AK1163" s="34"/>
      <c r="AM1163" s="34"/>
      <c r="AO1163" s="34"/>
      <c r="AQ1163" s="34"/>
      <c r="AS1163" s="34"/>
      <c r="AU1163" s="34"/>
      <c r="AW1163" s="34"/>
      <c r="AY1163" s="34"/>
      <c r="BA1163" s="34"/>
      <c r="BC1163" s="34"/>
      <c r="BE1163" s="34"/>
      <c r="BG1163" s="34"/>
      <c r="BI1163" s="34"/>
      <c r="BK1163" s="34"/>
      <c r="BM1163" s="34"/>
      <c r="BO1163" s="34"/>
      <c r="BQ1163" s="34"/>
      <c r="BS1163" s="34"/>
      <c r="BU1163" s="34"/>
      <c r="BW1163" s="34"/>
      <c r="BY1163" s="34"/>
      <c r="CA1163" s="34"/>
      <c r="CC1163" s="34"/>
      <c r="CE1163" s="34"/>
      <c r="CG1163" s="34"/>
      <c r="CI1163" s="34"/>
      <c r="CK1163" s="34"/>
      <c r="CM1163" s="34"/>
      <c r="CO1163" s="34"/>
      <c r="CQ1163" s="34"/>
    </row>
    <row r="1164" spans="1:95" ht="15" x14ac:dyDescent="0.25">
      <c r="A1164">
        <f>Data!A1159</f>
        <v>0</v>
      </c>
      <c r="B1164">
        <f>Data!B1159</f>
        <v>0</v>
      </c>
      <c r="C1164">
        <f>Data!E1159</f>
        <v>2014</v>
      </c>
      <c r="D1164" s="8">
        <f>Data!N1159</f>
        <v>9.1503267973856196E-3</v>
      </c>
      <c r="E1164">
        <f>E$1*(1-Data!BF1159)+E$2*Data!BF1159</f>
        <v>1</v>
      </c>
      <c r="F1164">
        <f t="shared" si="162"/>
        <v>9.1503267973856196E-3</v>
      </c>
      <c r="G1164" s="15"/>
      <c r="R1164" s="11"/>
      <c r="S1164" s="34"/>
      <c r="U1164" s="34"/>
      <c r="W1164" s="34"/>
      <c r="Y1164" s="34"/>
      <c r="AA1164" s="34"/>
      <c r="AC1164" s="34"/>
      <c r="AE1164" s="34"/>
      <c r="AG1164" s="34"/>
      <c r="AI1164" s="34"/>
      <c r="AK1164" s="34"/>
      <c r="AM1164" s="34"/>
      <c r="AO1164" s="34"/>
      <c r="AQ1164" s="34"/>
      <c r="AS1164" s="34"/>
      <c r="AU1164" s="34"/>
      <c r="AW1164" s="34"/>
      <c r="AY1164" s="34"/>
      <c r="BA1164" s="34"/>
      <c r="BC1164" s="34"/>
      <c r="BE1164" s="34"/>
      <c r="BG1164" s="34"/>
      <c r="BI1164" s="34"/>
      <c r="BK1164" s="34"/>
      <c r="BM1164" s="34"/>
      <c r="BO1164" s="34"/>
      <c r="BQ1164" s="34"/>
      <c r="BS1164" s="34"/>
      <c r="BU1164" s="34"/>
      <c r="BW1164" s="34"/>
      <c r="BY1164" s="34"/>
      <c r="CA1164" s="34"/>
      <c r="CC1164" s="34"/>
      <c r="CE1164" s="34"/>
      <c r="CG1164" s="34"/>
      <c r="CI1164" s="34"/>
      <c r="CK1164" s="34"/>
      <c r="CM1164" s="34"/>
      <c r="CO1164" s="34"/>
      <c r="CQ1164" s="34"/>
    </row>
    <row r="1165" spans="1:95" ht="15" x14ac:dyDescent="0.25">
      <c r="A1165">
        <f>Data!A1160</f>
        <v>0</v>
      </c>
      <c r="B1165">
        <f>Data!B1160</f>
        <v>0</v>
      </c>
      <c r="C1165">
        <f>Data!E1160</f>
        <v>2014</v>
      </c>
      <c r="D1165" s="8">
        <f>Data!N1160</f>
        <v>1.0130718954248365E-2</v>
      </c>
      <c r="E1165">
        <f>E$1*(1-Data!BF1160)+E$2*Data!BF1160</f>
        <v>1</v>
      </c>
      <c r="F1165">
        <f t="shared" si="162"/>
        <v>1.0130718954248365E-2</v>
      </c>
      <c r="G1165" s="15"/>
      <c r="R1165" s="11"/>
      <c r="S1165" s="34"/>
      <c r="U1165" s="34"/>
      <c r="W1165" s="34"/>
      <c r="Y1165" s="34"/>
      <c r="AA1165" s="34"/>
      <c r="AC1165" s="34"/>
      <c r="AE1165" s="34"/>
      <c r="AG1165" s="34"/>
      <c r="AI1165" s="34"/>
      <c r="AK1165" s="34"/>
      <c r="AM1165" s="34"/>
      <c r="AO1165" s="34"/>
      <c r="AQ1165" s="34"/>
      <c r="AS1165" s="34"/>
      <c r="AU1165" s="34"/>
      <c r="AW1165" s="34"/>
      <c r="AY1165" s="34"/>
      <c r="BA1165" s="34"/>
      <c r="BC1165" s="34"/>
      <c r="BE1165" s="34"/>
      <c r="BG1165" s="34"/>
      <c r="BI1165" s="34"/>
      <c r="BK1165" s="34"/>
      <c r="BM1165" s="34"/>
      <c r="BO1165" s="34"/>
      <c r="BQ1165" s="34"/>
      <c r="BS1165" s="34"/>
      <c r="BU1165" s="34"/>
      <c r="BW1165" s="34"/>
      <c r="BY1165" s="34"/>
      <c r="CA1165" s="34"/>
      <c r="CC1165" s="34"/>
      <c r="CE1165" s="34"/>
      <c r="CG1165" s="34"/>
      <c r="CI1165" s="34"/>
      <c r="CK1165" s="34"/>
      <c r="CM1165" s="34"/>
      <c r="CO1165" s="34"/>
      <c r="CQ1165" s="34"/>
    </row>
    <row r="1166" spans="1:95" ht="15" x14ac:dyDescent="0.25">
      <c r="A1166">
        <f>Data!A1161</f>
        <v>0</v>
      </c>
      <c r="B1166">
        <f>Data!B1161</f>
        <v>0</v>
      </c>
      <c r="C1166">
        <f>Data!E1161</f>
        <v>2014</v>
      </c>
      <c r="D1166" s="8">
        <f>Data!N1161</f>
        <v>1.111111111111111E-2</v>
      </c>
      <c r="E1166">
        <f>E$1*(1-Data!BF1161)+E$2*Data!BF1161</f>
        <v>1</v>
      </c>
      <c r="F1166">
        <f t="shared" si="162"/>
        <v>1.111111111111111E-2</v>
      </c>
      <c r="G1166" s="15"/>
      <c r="R1166" s="11"/>
      <c r="S1166" s="34"/>
      <c r="U1166" s="34"/>
      <c r="W1166" s="34"/>
      <c r="Y1166" s="34"/>
      <c r="AA1166" s="34"/>
      <c r="AC1166" s="34"/>
      <c r="AE1166" s="34"/>
      <c r="AG1166" s="34"/>
      <c r="AI1166" s="34"/>
      <c r="AK1166" s="34"/>
      <c r="AM1166" s="34"/>
      <c r="AO1166" s="34"/>
      <c r="AQ1166" s="34"/>
      <c r="AS1166" s="34"/>
      <c r="AU1166" s="34"/>
      <c r="AW1166" s="34"/>
      <c r="AY1166" s="34"/>
      <c r="BA1166" s="34"/>
      <c r="BC1166" s="34"/>
      <c r="BE1166" s="34"/>
      <c r="BG1166" s="34"/>
      <c r="BI1166" s="34"/>
      <c r="BK1166" s="34"/>
      <c r="BM1166" s="34"/>
      <c r="BO1166" s="34"/>
      <c r="BQ1166" s="34"/>
      <c r="BS1166" s="34"/>
      <c r="BU1166" s="34"/>
      <c r="BW1166" s="34"/>
      <c r="BY1166" s="34"/>
      <c r="CA1166" s="34"/>
      <c r="CC1166" s="34"/>
      <c r="CE1166" s="34"/>
      <c r="CG1166" s="34"/>
      <c r="CI1166" s="34"/>
      <c r="CK1166" s="34"/>
      <c r="CM1166" s="34"/>
      <c r="CO1166" s="34"/>
      <c r="CQ1166" s="34"/>
    </row>
    <row r="1167" spans="1:95" ht="15" x14ac:dyDescent="0.25">
      <c r="A1167">
        <f>Data!A1162</f>
        <v>0</v>
      </c>
      <c r="B1167">
        <f>Data!B1162</f>
        <v>0</v>
      </c>
      <c r="C1167">
        <f>Data!E1162</f>
        <v>2014</v>
      </c>
      <c r="D1167" s="8">
        <f>Data!N1162</f>
        <v>1.2091503267973853E-2</v>
      </c>
      <c r="E1167">
        <f>E$1*(1-Data!BF1162)+E$2*Data!BF1162</f>
        <v>1</v>
      </c>
      <c r="F1167">
        <f t="shared" si="162"/>
        <v>1.2091503267973853E-2</v>
      </c>
      <c r="G1167" s="15"/>
      <c r="R1167" s="11"/>
      <c r="S1167" s="34"/>
      <c r="U1167" s="34"/>
      <c r="W1167" s="34"/>
      <c r="Y1167" s="34"/>
      <c r="AA1167" s="34"/>
      <c r="AC1167" s="34"/>
      <c r="AE1167" s="34"/>
      <c r="AG1167" s="34"/>
      <c r="AI1167" s="34"/>
      <c r="AK1167" s="34"/>
      <c r="AM1167" s="34"/>
      <c r="AO1167" s="34"/>
      <c r="AQ1167" s="34"/>
      <c r="AS1167" s="34"/>
      <c r="AU1167" s="34"/>
      <c r="AW1167" s="34"/>
      <c r="AY1167" s="34"/>
      <c r="BA1167" s="34"/>
      <c r="BC1167" s="34"/>
      <c r="BE1167" s="34"/>
      <c r="BG1167" s="34"/>
      <c r="BI1167" s="34"/>
      <c r="BK1167" s="34"/>
      <c r="BM1167" s="34"/>
      <c r="BO1167" s="34"/>
      <c r="BQ1167" s="34"/>
      <c r="BS1167" s="34"/>
      <c r="BU1167" s="34"/>
      <c r="BW1167" s="34"/>
      <c r="BY1167" s="34"/>
      <c r="CA1167" s="34"/>
      <c r="CC1167" s="34"/>
      <c r="CE1167" s="34"/>
      <c r="CG1167" s="34"/>
      <c r="CI1167" s="34"/>
      <c r="CK1167" s="34"/>
      <c r="CM1167" s="34"/>
      <c r="CO1167" s="34"/>
      <c r="CQ1167" s="34"/>
    </row>
    <row r="1168" spans="1:95" ht="15" x14ac:dyDescent="0.25">
      <c r="A1168">
        <f>Data!A1163</f>
        <v>0</v>
      </c>
      <c r="B1168">
        <f>Data!B1163</f>
        <v>0</v>
      </c>
      <c r="C1168">
        <f>Data!E1163</f>
        <v>2014</v>
      </c>
      <c r="D1168" s="8">
        <f>Data!N1163</f>
        <v>1.3071895424836602E-2</v>
      </c>
      <c r="E1168">
        <f>E$1*(1-Data!BF1163)+E$2*Data!BF1163</f>
        <v>1</v>
      </c>
      <c r="F1168">
        <f t="shared" si="162"/>
        <v>1.3071895424836602E-2</v>
      </c>
      <c r="G1168" s="15"/>
      <c r="R1168" s="11"/>
      <c r="S1168" s="34"/>
      <c r="U1168" s="34"/>
      <c r="W1168" s="34"/>
      <c r="Y1168" s="34"/>
      <c r="AA1168" s="34"/>
      <c r="AC1168" s="34"/>
      <c r="AE1168" s="34"/>
      <c r="AG1168" s="34"/>
      <c r="AI1168" s="34"/>
      <c r="AK1168" s="34"/>
      <c r="AM1168" s="34"/>
      <c r="AO1168" s="34"/>
      <c r="AQ1168" s="34"/>
      <c r="AS1168" s="34"/>
      <c r="AU1168" s="34"/>
      <c r="AW1168" s="34"/>
      <c r="AY1168" s="34"/>
      <c r="BA1168" s="34"/>
      <c r="BC1168" s="34"/>
      <c r="BE1168" s="34"/>
      <c r="BG1168" s="34"/>
      <c r="BI1168" s="34"/>
      <c r="BK1168" s="34"/>
      <c r="BM1168" s="34"/>
      <c r="BO1168" s="34"/>
      <c r="BQ1168" s="34"/>
      <c r="BS1168" s="34"/>
      <c r="BU1168" s="34"/>
      <c r="BW1168" s="34"/>
      <c r="BY1168" s="34"/>
      <c r="CA1168" s="34"/>
      <c r="CC1168" s="34"/>
      <c r="CE1168" s="34"/>
      <c r="CG1168" s="34"/>
      <c r="CI1168" s="34"/>
      <c r="CK1168" s="34"/>
      <c r="CM1168" s="34"/>
      <c r="CO1168" s="34"/>
      <c r="CQ1168" s="34"/>
    </row>
    <row r="1169" spans="1:95" ht="15" x14ac:dyDescent="0.25">
      <c r="A1169">
        <f>Data!A1164</f>
        <v>0</v>
      </c>
      <c r="B1169">
        <f>Data!B1164</f>
        <v>0</v>
      </c>
      <c r="C1169">
        <f>Data!E1164</f>
        <v>2014</v>
      </c>
      <c r="D1169" s="8">
        <f>Data!N1164</f>
        <v>1.2091503267973857E-2</v>
      </c>
      <c r="E1169">
        <f>E$1*(1-Data!BF1164)+E$2*Data!BF1164</f>
        <v>1</v>
      </c>
      <c r="F1169">
        <f t="shared" si="162"/>
        <v>1.2091503267973857E-2</v>
      </c>
      <c r="G1169" s="15"/>
      <c r="R1169" s="11"/>
      <c r="S1169" s="34"/>
      <c r="U1169" s="34"/>
      <c r="W1169" s="34"/>
      <c r="Y1169" s="34"/>
      <c r="AA1169" s="34"/>
      <c r="AC1169" s="34"/>
      <c r="AE1169" s="34"/>
      <c r="AG1169" s="34"/>
      <c r="AI1169" s="34"/>
      <c r="AK1169" s="34"/>
      <c r="AM1169" s="34"/>
      <c r="AO1169" s="34"/>
      <c r="AQ1169" s="34"/>
      <c r="AS1169" s="34"/>
      <c r="AU1169" s="34"/>
      <c r="AW1169" s="34"/>
      <c r="AY1169" s="34"/>
      <c r="BA1169" s="34"/>
      <c r="BC1169" s="34"/>
      <c r="BE1169" s="34"/>
      <c r="BG1169" s="34"/>
      <c r="BI1169" s="34"/>
      <c r="BK1169" s="34"/>
      <c r="BM1169" s="34"/>
      <c r="BO1169" s="34"/>
      <c r="BQ1169" s="34"/>
      <c r="BS1169" s="34"/>
      <c r="BU1169" s="34"/>
      <c r="BW1169" s="34"/>
      <c r="BY1169" s="34"/>
      <c r="CA1169" s="34"/>
      <c r="CC1169" s="34"/>
      <c r="CE1169" s="34"/>
      <c r="CG1169" s="34"/>
      <c r="CI1169" s="34"/>
      <c r="CK1169" s="34"/>
      <c r="CM1169" s="34"/>
      <c r="CO1169" s="34"/>
      <c r="CQ1169" s="34"/>
    </row>
    <row r="1170" spans="1:95" ht="15" x14ac:dyDescent="0.25">
      <c r="A1170">
        <f>Data!A1165</f>
        <v>0</v>
      </c>
      <c r="B1170">
        <f>Data!B1165</f>
        <v>0</v>
      </c>
      <c r="C1170">
        <f>Data!E1165</f>
        <v>2014</v>
      </c>
      <c r="D1170" s="8">
        <f>Data!N1165</f>
        <v>1.1111111111111112E-2</v>
      </c>
      <c r="E1170">
        <f>E$1*(1-Data!BF1165)+E$2*Data!BF1165</f>
        <v>1</v>
      </c>
      <c r="F1170">
        <f t="shared" si="162"/>
        <v>1.1111111111111112E-2</v>
      </c>
      <c r="G1170" s="15"/>
      <c r="R1170" s="11"/>
      <c r="S1170" s="34"/>
      <c r="U1170" s="34"/>
      <c r="W1170" s="34"/>
      <c r="Y1170" s="34"/>
      <c r="AA1170" s="34"/>
      <c r="AC1170" s="34"/>
      <c r="AE1170" s="34"/>
      <c r="AG1170" s="34"/>
      <c r="AI1170" s="34"/>
      <c r="AK1170" s="34"/>
      <c r="AM1170" s="34"/>
      <c r="AO1170" s="34"/>
      <c r="AQ1170" s="34"/>
      <c r="AS1170" s="34"/>
      <c r="AU1170" s="34"/>
      <c r="AW1170" s="34"/>
      <c r="AY1170" s="34"/>
      <c r="BA1170" s="34"/>
      <c r="BC1170" s="34"/>
      <c r="BE1170" s="34"/>
      <c r="BG1170" s="34"/>
      <c r="BI1170" s="34"/>
      <c r="BK1170" s="34"/>
      <c r="BM1170" s="34"/>
      <c r="BO1170" s="34"/>
      <c r="BQ1170" s="34"/>
      <c r="BS1170" s="34"/>
      <c r="BU1170" s="34"/>
      <c r="BW1170" s="34"/>
      <c r="BY1170" s="34"/>
      <c r="CA1170" s="34"/>
      <c r="CC1170" s="34"/>
      <c r="CE1170" s="34"/>
      <c r="CG1170" s="34"/>
      <c r="CI1170" s="34"/>
      <c r="CK1170" s="34"/>
      <c r="CM1170" s="34"/>
      <c r="CO1170" s="34"/>
      <c r="CQ1170" s="34"/>
    </row>
    <row r="1171" spans="1:95" ht="15" x14ac:dyDescent="0.25">
      <c r="A1171">
        <f>Data!A1166</f>
        <v>0</v>
      </c>
      <c r="B1171">
        <f>Data!B1166</f>
        <v>0</v>
      </c>
      <c r="C1171">
        <f>Data!E1166</f>
        <v>2014</v>
      </c>
      <c r="D1171" s="8">
        <f>Data!N1166</f>
        <v>1.0130718954248368E-2</v>
      </c>
      <c r="E1171">
        <f>E$1*(1-Data!BF1166)+E$2*Data!BF1166</f>
        <v>1</v>
      </c>
      <c r="F1171">
        <f t="shared" si="162"/>
        <v>1.0130718954248368E-2</v>
      </c>
      <c r="G1171" s="15"/>
      <c r="R1171" s="11"/>
      <c r="S1171" s="34"/>
      <c r="U1171" s="34"/>
      <c r="W1171" s="34"/>
      <c r="Y1171" s="34"/>
      <c r="AA1171" s="34"/>
      <c r="AC1171" s="34"/>
      <c r="AE1171" s="34"/>
      <c r="AG1171" s="34"/>
      <c r="AI1171" s="34"/>
      <c r="AK1171" s="34"/>
      <c r="AM1171" s="34"/>
      <c r="AO1171" s="34"/>
      <c r="AQ1171" s="34"/>
      <c r="AS1171" s="34"/>
      <c r="AU1171" s="34"/>
      <c r="AW1171" s="34"/>
      <c r="AY1171" s="34"/>
      <c r="BA1171" s="34"/>
      <c r="BC1171" s="34"/>
      <c r="BE1171" s="34"/>
      <c r="BG1171" s="34"/>
      <c r="BI1171" s="34"/>
      <c r="BK1171" s="34"/>
      <c r="BM1171" s="34"/>
      <c r="BO1171" s="34"/>
      <c r="BQ1171" s="34"/>
      <c r="BS1171" s="34"/>
      <c r="BU1171" s="34"/>
      <c r="BW1171" s="34"/>
      <c r="BY1171" s="34"/>
      <c r="CA1171" s="34"/>
      <c r="CC1171" s="34"/>
      <c r="CE1171" s="34"/>
      <c r="CG1171" s="34"/>
      <c r="CI1171" s="34"/>
      <c r="CK1171" s="34"/>
      <c r="CM1171" s="34"/>
      <c r="CO1171" s="34"/>
      <c r="CQ1171" s="34"/>
    </row>
    <row r="1172" spans="1:95" ht="15" x14ac:dyDescent="0.25">
      <c r="A1172">
        <f>Data!A1167</f>
        <v>0</v>
      </c>
      <c r="B1172">
        <f>Data!B1167</f>
        <v>0</v>
      </c>
      <c r="C1172">
        <f>Data!E1167</f>
        <v>2014</v>
      </c>
      <c r="D1172" s="8">
        <f>Data!N1167</f>
        <v>9.1503267973856231E-3</v>
      </c>
      <c r="E1172">
        <f>E$1*(1-Data!BF1167)+E$2*Data!BF1167</f>
        <v>1</v>
      </c>
      <c r="F1172">
        <f t="shared" si="162"/>
        <v>9.1503267973856231E-3</v>
      </c>
      <c r="G1172" s="15"/>
      <c r="R1172" s="11"/>
      <c r="S1172" s="34"/>
      <c r="U1172" s="34"/>
      <c r="W1172" s="34"/>
      <c r="Y1172" s="34"/>
      <c r="AA1172" s="34"/>
      <c r="AC1172" s="34"/>
      <c r="AE1172" s="34"/>
      <c r="AG1172" s="34"/>
      <c r="AI1172" s="34"/>
      <c r="AK1172" s="34"/>
      <c r="AM1172" s="34"/>
      <c r="AO1172" s="34"/>
      <c r="AQ1172" s="34"/>
      <c r="AS1172" s="34"/>
      <c r="AU1172" s="34"/>
      <c r="AW1172" s="34"/>
      <c r="AY1172" s="34"/>
      <c r="BA1172" s="34"/>
      <c r="BC1172" s="34"/>
      <c r="BE1172" s="34"/>
      <c r="BG1172" s="34"/>
      <c r="BI1172" s="34"/>
      <c r="BK1172" s="34"/>
      <c r="BM1172" s="34"/>
      <c r="BO1172" s="34"/>
      <c r="BQ1172" s="34"/>
      <c r="BS1172" s="34"/>
      <c r="BU1172" s="34"/>
      <c r="BW1172" s="34"/>
      <c r="BY1172" s="34"/>
      <c r="CA1172" s="34"/>
      <c r="CC1172" s="34"/>
      <c r="CE1172" s="34"/>
      <c r="CG1172" s="34"/>
      <c r="CI1172" s="34"/>
      <c r="CK1172" s="34"/>
      <c r="CM1172" s="34"/>
      <c r="CO1172" s="34"/>
      <c r="CQ1172" s="34"/>
    </row>
    <row r="1173" spans="1:95" ht="15" x14ac:dyDescent="0.25">
      <c r="A1173">
        <f>Data!A1168</f>
        <v>0</v>
      </c>
      <c r="B1173">
        <f>Data!B1168</f>
        <v>0</v>
      </c>
      <c r="C1173">
        <f>Data!E1168</f>
        <v>2014</v>
      </c>
      <c r="D1173" s="8">
        <f>Data!N1168</f>
        <v>8.169934640522878E-3</v>
      </c>
      <c r="E1173">
        <f>E$1*(1-Data!BF1168)+E$2*Data!BF1168</f>
        <v>1</v>
      </c>
      <c r="F1173">
        <f t="shared" si="162"/>
        <v>8.169934640522878E-3</v>
      </c>
      <c r="G1173" s="15"/>
      <c r="R1173" s="11"/>
      <c r="S1173" s="34"/>
      <c r="U1173" s="34"/>
      <c r="W1173" s="34"/>
      <c r="Y1173" s="34"/>
      <c r="AA1173" s="34"/>
      <c r="AC1173" s="34"/>
      <c r="AE1173" s="34"/>
      <c r="AG1173" s="34"/>
      <c r="AI1173" s="34"/>
      <c r="AK1173" s="34"/>
      <c r="AM1173" s="34"/>
      <c r="AO1173" s="34"/>
      <c r="AQ1173" s="34"/>
      <c r="AS1173" s="34"/>
      <c r="AU1173" s="34"/>
      <c r="AW1173" s="34"/>
      <c r="AY1173" s="34"/>
      <c r="BA1173" s="34"/>
      <c r="BC1173" s="34"/>
      <c r="BE1173" s="34"/>
      <c r="BG1173" s="34"/>
      <c r="BI1173" s="34"/>
      <c r="BK1173" s="34"/>
      <c r="BM1173" s="34"/>
      <c r="BO1173" s="34"/>
      <c r="BQ1173" s="34"/>
      <c r="BS1173" s="34"/>
      <c r="BU1173" s="34"/>
      <c r="BW1173" s="34"/>
      <c r="BY1173" s="34"/>
      <c r="CA1173" s="34"/>
      <c r="CC1173" s="34"/>
      <c r="CE1173" s="34"/>
      <c r="CG1173" s="34"/>
      <c r="CI1173" s="34"/>
      <c r="CK1173" s="34"/>
      <c r="CM1173" s="34"/>
      <c r="CO1173" s="34"/>
      <c r="CQ1173" s="34"/>
    </row>
    <row r="1174" spans="1:95" ht="15" x14ac:dyDescent="0.25">
      <c r="A1174">
        <f>Data!A1169</f>
        <v>0</v>
      </c>
      <c r="B1174">
        <f>Data!B1169</f>
        <v>0</v>
      </c>
      <c r="C1174">
        <f>Data!E1169</f>
        <v>2014</v>
      </c>
      <c r="D1174" s="8">
        <f>Data!N1169</f>
        <v>7.1895424836601338E-3</v>
      </c>
      <c r="E1174">
        <f>E$1*(1-Data!BF1169)+E$2*Data!BF1169</f>
        <v>1</v>
      </c>
      <c r="F1174">
        <f t="shared" si="162"/>
        <v>7.1895424836601338E-3</v>
      </c>
      <c r="G1174" s="15"/>
      <c r="R1174" s="11"/>
      <c r="S1174" s="34"/>
      <c r="U1174" s="34"/>
      <c r="W1174" s="34"/>
      <c r="Y1174" s="34"/>
      <c r="AA1174" s="34"/>
      <c r="AC1174" s="34"/>
      <c r="AE1174" s="34"/>
      <c r="AG1174" s="34"/>
      <c r="AI1174" s="34"/>
      <c r="AK1174" s="34"/>
      <c r="AM1174" s="34"/>
      <c r="AO1174" s="34"/>
      <c r="AQ1174" s="34"/>
      <c r="AS1174" s="34"/>
      <c r="AU1174" s="34"/>
      <c r="AW1174" s="34"/>
      <c r="AY1174" s="34"/>
      <c r="BA1174" s="34"/>
      <c r="BC1174" s="34"/>
      <c r="BE1174" s="34"/>
      <c r="BG1174" s="34"/>
      <c r="BI1174" s="34"/>
      <c r="BK1174" s="34"/>
      <c r="BM1174" s="34"/>
      <c r="BO1174" s="34"/>
      <c r="BQ1174" s="34"/>
      <c r="BS1174" s="34"/>
      <c r="BU1174" s="34"/>
      <c r="BW1174" s="34"/>
      <c r="BY1174" s="34"/>
      <c r="CA1174" s="34"/>
      <c r="CC1174" s="34"/>
      <c r="CE1174" s="34"/>
      <c r="CG1174" s="34"/>
      <c r="CI1174" s="34"/>
      <c r="CK1174" s="34"/>
      <c r="CM1174" s="34"/>
      <c r="CO1174" s="34"/>
      <c r="CQ1174" s="34"/>
    </row>
    <row r="1175" spans="1:95" ht="15" x14ac:dyDescent="0.25">
      <c r="A1175">
        <f>Data!A1170</f>
        <v>0</v>
      </c>
      <c r="B1175">
        <f>Data!B1170</f>
        <v>0</v>
      </c>
      <c r="C1175">
        <f>Data!E1170</f>
        <v>2014</v>
      </c>
      <c r="D1175" s="8">
        <f>Data!N1170</f>
        <v>6.2091503267973887E-3</v>
      </c>
      <c r="E1175">
        <f>E$1*(1-Data!BF1170)+E$2*Data!BF1170</f>
        <v>1</v>
      </c>
      <c r="F1175">
        <f t="shared" si="162"/>
        <v>6.2091503267973887E-3</v>
      </c>
      <c r="G1175" s="15"/>
      <c r="R1175" s="11"/>
      <c r="S1175" s="34"/>
      <c r="U1175" s="34"/>
      <c r="W1175" s="34"/>
      <c r="Y1175" s="34"/>
      <c r="AA1175" s="34"/>
      <c r="AC1175" s="34"/>
      <c r="AE1175" s="34"/>
      <c r="AG1175" s="34"/>
      <c r="AI1175" s="34"/>
      <c r="AK1175" s="34"/>
      <c r="AM1175" s="34"/>
      <c r="AO1175" s="34"/>
      <c r="AQ1175" s="34"/>
      <c r="AS1175" s="34"/>
      <c r="AU1175" s="34"/>
      <c r="AW1175" s="34"/>
      <c r="AY1175" s="34"/>
      <c r="BA1175" s="34"/>
      <c r="BC1175" s="34"/>
      <c r="BE1175" s="34"/>
      <c r="BG1175" s="34"/>
      <c r="BI1175" s="34"/>
      <c r="BK1175" s="34"/>
      <c r="BM1175" s="34"/>
      <c r="BO1175" s="34"/>
      <c r="BQ1175" s="34"/>
      <c r="BS1175" s="34"/>
      <c r="BU1175" s="34"/>
      <c r="BW1175" s="34"/>
      <c r="BY1175" s="34"/>
      <c r="CA1175" s="34"/>
      <c r="CC1175" s="34"/>
      <c r="CE1175" s="34"/>
      <c r="CG1175" s="34"/>
      <c r="CI1175" s="34"/>
      <c r="CK1175" s="34"/>
      <c r="CM1175" s="34"/>
      <c r="CO1175" s="34"/>
      <c r="CQ1175" s="34"/>
    </row>
    <row r="1176" spans="1:95" ht="15" x14ac:dyDescent="0.25">
      <c r="A1176">
        <f>Data!A1171</f>
        <v>0</v>
      </c>
      <c r="B1176">
        <f>Data!B1171</f>
        <v>0</v>
      </c>
      <c r="C1176">
        <f>Data!E1171</f>
        <v>2014</v>
      </c>
      <c r="D1176" s="8">
        <f>Data!N1171</f>
        <v>5.2287581699346436E-3</v>
      </c>
      <c r="E1176">
        <f>E$1*(1-Data!BF1171)+E$2*Data!BF1171</f>
        <v>1</v>
      </c>
      <c r="F1176">
        <f t="shared" si="162"/>
        <v>5.2287581699346436E-3</v>
      </c>
      <c r="G1176" s="15"/>
      <c r="R1176" s="11"/>
      <c r="S1176" s="34"/>
      <c r="U1176" s="34"/>
      <c r="W1176" s="34"/>
      <c r="Y1176" s="34"/>
      <c r="AA1176" s="34"/>
      <c r="AC1176" s="34"/>
      <c r="AE1176" s="34"/>
      <c r="AG1176" s="34"/>
      <c r="AI1176" s="34"/>
      <c r="AK1176" s="34"/>
      <c r="AM1176" s="34"/>
      <c r="AO1176" s="34"/>
      <c r="AQ1176" s="34"/>
      <c r="AS1176" s="34"/>
      <c r="AU1176" s="34"/>
      <c r="AW1176" s="34"/>
      <c r="AY1176" s="34"/>
      <c r="BA1176" s="34"/>
      <c r="BC1176" s="34"/>
      <c r="BE1176" s="34"/>
      <c r="BG1176" s="34"/>
      <c r="BI1176" s="34"/>
      <c r="BK1176" s="34"/>
      <c r="BM1176" s="34"/>
      <c r="BO1176" s="34"/>
      <c r="BQ1176" s="34"/>
      <c r="BS1176" s="34"/>
      <c r="BU1176" s="34"/>
      <c r="BW1176" s="34"/>
      <c r="BY1176" s="34"/>
      <c r="CA1176" s="34"/>
      <c r="CC1176" s="34"/>
      <c r="CE1176" s="34"/>
      <c r="CG1176" s="34"/>
      <c r="CI1176" s="34"/>
      <c r="CK1176" s="34"/>
      <c r="CM1176" s="34"/>
      <c r="CO1176" s="34"/>
      <c r="CQ1176" s="34"/>
    </row>
    <row r="1177" spans="1:95" ht="15" x14ac:dyDescent="0.25">
      <c r="A1177">
        <f>Data!A1172</f>
        <v>0</v>
      </c>
      <c r="B1177">
        <f>Data!B1172</f>
        <v>0</v>
      </c>
      <c r="C1177">
        <f>Data!E1172</f>
        <v>2014</v>
      </c>
      <c r="D1177" s="8">
        <f>Data!N1172</f>
        <v>4.2483660130718985E-3</v>
      </c>
      <c r="E1177">
        <f>E$1*(1-Data!BF1172)+E$2*Data!BF1172</f>
        <v>1</v>
      </c>
      <c r="F1177">
        <f t="shared" si="162"/>
        <v>4.2483660130718985E-3</v>
      </c>
      <c r="G1177" s="15"/>
      <c r="R1177" s="11"/>
      <c r="S1177" s="34"/>
      <c r="U1177" s="34"/>
      <c r="W1177" s="34"/>
      <c r="Y1177" s="34"/>
      <c r="AA1177" s="34"/>
      <c r="AC1177" s="34"/>
      <c r="AE1177" s="34"/>
      <c r="AG1177" s="34"/>
      <c r="AI1177" s="34"/>
      <c r="AK1177" s="34"/>
      <c r="AM1177" s="34"/>
      <c r="AO1177" s="34"/>
      <c r="AQ1177" s="34"/>
      <c r="AS1177" s="34"/>
      <c r="AU1177" s="34"/>
      <c r="AW1177" s="34"/>
      <c r="AY1177" s="34"/>
      <c r="BA1177" s="34"/>
      <c r="BC1177" s="34"/>
      <c r="BE1177" s="34"/>
      <c r="BG1177" s="34"/>
      <c r="BI1177" s="34"/>
      <c r="BK1177" s="34"/>
      <c r="BM1177" s="34"/>
      <c r="BO1177" s="34"/>
      <c r="BQ1177" s="34"/>
      <c r="BS1177" s="34"/>
      <c r="BU1177" s="34"/>
      <c r="BW1177" s="34"/>
      <c r="BY1177" s="34"/>
      <c r="CA1177" s="34"/>
      <c r="CC1177" s="34"/>
      <c r="CE1177" s="34"/>
      <c r="CG1177" s="34"/>
      <c r="CI1177" s="34"/>
      <c r="CK1177" s="34"/>
      <c r="CM1177" s="34"/>
      <c r="CO1177" s="34"/>
      <c r="CQ1177" s="34"/>
    </row>
    <row r="1178" spans="1:95" ht="15" x14ac:dyDescent="0.25">
      <c r="A1178">
        <f>Data!A1173</f>
        <v>0</v>
      </c>
      <c r="B1178">
        <f>Data!B1173</f>
        <v>0</v>
      </c>
      <c r="C1178">
        <f>Data!E1173</f>
        <v>2014</v>
      </c>
      <c r="D1178" s="8">
        <f>Data!N1173</f>
        <v>3.2679738562091504E-3</v>
      </c>
      <c r="E1178">
        <f>E$1*(1-Data!BF1173)+E$2*Data!BF1173</f>
        <v>1</v>
      </c>
      <c r="F1178">
        <f t="shared" si="162"/>
        <v>3.2679738562091504E-3</v>
      </c>
      <c r="G1178" s="15"/>
      <c r="R1178" s="11"/>
      <c r="S1178" s="34"/>
      <c r="U1178" s="34"/>
      <c r="W1178" s="34"/>
      <c r="Y1178" s="34"/>
      <c r="AA1178" s="34"/>
      <c r="AC1178" s="34"/>
      <c r="AE1178" s="34"/>
      <c r="AG1178" s="34"/>
      <c r="AI1178" s="34"/>
      <c r="AK1178" s="34"/>
      <c r="AM1178" s="34"/>
      <c r="AO1178" s="34"/>
      <c r="AQ1178" s="34"/>
      <c r="AS1178" s="34"/>
      <c r="AU1178" s="34"/>
      <c r="AW1178" s="34"/>
      <c r="AY1178" s="34"/>
      <c r="BA1178" s="34"/>
      <c r="BC1178" s="34"/>
      <c r="BE1178" s="34"/>
      <c r="BG1178" s="34"/>
      <c r="BI1178" s="34"/>
      <c r="BK1178" s="34"/>
      <c r="BM1178" s="34"/>
      <c r="BO1178" s="34"/>
      <c r="BQ1178" s="34"/>
      <c r="BS1178" s="34"/>
      <c r="BU1178" s="34"/>
      <c r="BW1178" s="34"/>
      <c r="BY1178" s="34"/>
      <c r="CA1178" s="34"/>
      <c r="CC1178" s="34"/>
      <c r="CE1178" s="34"/>
      <c r="CG1178" s="34"/>
      <c r="CI1178" s="34"/>
      <c r="CK1178" s="34"/>
      <c r="CM1178" s="34"/>
      <c r="CO1178" s="34"/>
      <c r="CQ1178" s="34"/>
    </row>
    <row r="1179" spans="1:95" ht="15" x14ac:dyDescent="0.25">
      <c r="A1179">
        <f>Data!A1174</f>
        <v>0</v>
      </c>
      <c r="B1179">
        <f>Data!B1174</f>
        <v>0</v>
      </c>
      <c r="C1179">
        <f>Data!E1174</f>
        <v>2014</v>
      </c>
      <c r="D1179" s="8">
        <f>Data!N1174</f>
        <v>1.3071895424836602E-2</v>
      </c>
      <c r="E1179">
        <f>E$1*(1-Data!BF1174)+E$2*Data!BF1174</f>
        <v>1</v>
      </c>
      <c r="F1179">
        <f t="shared" si="162"/>
        <v>1.3071895424836602E-2</v>
      </c>
      <c r="G1179" s="15"/>
      <c r="R1179" s="11"/>
      <c r="S1179" s="34"/>
      <c r="U1179" s="34"/>
      <c r="W1179" s="34"/>
      <c r="Y1179" s="34"/>
      <c r="AA1179" s="34"/>
      <c r="AC1179" s="34"/>
      <c r="AE1179" s="34"/>
      <c r="AG1179" s="34"/>
      <c r="AI1179" s="34"/>
      <c r="AK1179" s="34"/>
      <c r="AM1179" s="34"/>
      <c r="AO1179" s="34"/>
      <c r="AQ1179" s="34"/>
      <c r="AS1179" s="34"/>
      <c r="AU1179" s="34"/>
      <c r="AW1179" s="34"/>
      <c r="AY1179" s="34"/>
      <c r="BA1179" s="34"/>
      <c r="BC1179" s="34"/>
      <c r="BE1179" s="34"/>
      <c r="BG1179" s="34"/>
      <c r="BI1179" s="34"/>
      <c r="BK1179" s="34"/>
      <c r="BM1179" s="34"/>
      <c r="BO1179" s="34"/>
      <c r="BQ1179" s="34"/>
      <c r="BS1179" s="34"/>
      <c r="BU1179" s="34"/>
      <c r="BW1179" s="34"/>
      <c r="BY1179" s="34"/>
      <c r="CA1179" s="34"/>
      <c r="CC1179" s="34"/>
      <c r="CE1179" s="34"/>
      <c r="CG1179" s="34"/>
      <c r="CI1179" s="34"/>
      <c r="CK1179" s="34"/>
      <c r="CM1179" s="34"/>
      <c r="CO1179" s="34"/>
      <c r="CQ1179" s="34"/>
    </row>
    <row r="1180" spans="1:95" ht="15" x14ac:dyDescent="0.25">
      <c r="A1180">
        <f>Data!A1175</f>
        <v>0</v>
      </c>
      <c r="B1180">
        <f>Data!B1175</f>
        <v>0</v>
      </c>
      <c r="C1180">
        <f>Data!E1175</f>
        <v>2014</v>
      </c>
      <c r="D1180" s="8">
        <f>Data!N1175</f>
        <v>1.6993464052287584E-2</v>
      </c>
      <c r="E1180">
        <f>E$1*(1-Data!BF1175)+E$2*Data!BF1175</f>
        <v>1</v>
      </c>
      <c r="F1180">
        <f t="shared" si="162"/>
        <v>1.6993464052287584E-2</v>
      </c>
      <c r="G1180" s="15"/>
      <c r="R1180" s="11"/>
      <c r="S1180" s="34"/>
      <c r="U1180" s="34"/>
      <c r="W1180" s="34"/>
      <c r="Y1180" s="34"/>
      <c r="AA1180" s="34"/>
      <c r="AC1180" s="34"/>
      <c r="AE1180" s="34"/>
      <c r="AG1180" s="34"/>
      <c r="AI1180" s="34"/>
      <c r="AK1180" s="34"/>
      <c r="AM1180" s="34"/>
      <c r="AO1180" s="34"/>
      <c r="AQ1180" s="34"/>
      <c r="AS1180" s="34"/>
      <c r="AU1180" s="34"/>
      <c r="AW1180" s="34"/>
      <c r="AY1180" s="34"/>
      <c r="BA1180" s="34"/>
      <c r="BC1180" s="34"/>
      <c r="BE1180" s="34"/>
      <c r="BG1180" s="34"/>
      <c r="BI1180" s="34"/>
      <c r="BK1180" s="34"/>
      <c r="BM1180" s="34"/>
      <c r="BO1180" s="34"/>
      <c r="BQ1180" s="34"/>
      <c r="BS1180" s="34"/>
      <c r="BU1180" s="34"/>
      <c r="BW1180" s="34"/>
      <c r="BY1180" s="34"/>
      <c r="CA1180" s="34"/>
      <c r="CC1180" s="34"/>
      <c r="CE1180" s="34"/>
      <c r="CG1180" s="34"/>
      <c r="CI1180" s="34"/>
      <c r="CK1180" s="34"/>
      <c r="CM1180" s="34"/>
      <c r="CO1180" s="34"/>
      <c r="CQ1180" s="34"/>
    </row>
    <row r="1181" spans="1:95" ht="15" x14ac:dyDescent="0.25">
      <c r="A1181">
        <f>Data!A1176</f>
        <v>0</v>
      </c>
      <c r="B1181">
        <f>Data!B1176</f>
        <v>0</v>
      </c>
      <c r="C1181">
        <f>Data!E1176</f>
        <v>2014</v>
      </c>
      <c r="D1181" s="8">
        <f>Data!N1176</f>
        <v>2.0915032679738564E-2</v>
      </c>
      <c r="E1181">
        <f>E$1*(1-Data!BF1176)+E$2*Data!BF1176</f>
        <v>1</v>
      </c>
      <c r="F1181">
        <f t="shared" si="162"/>
        <v>2.0915032679738564E-2</v>
      </c>
      <c r="G1181" s="15"/>
      <c r="R1181" s="11"/>
      <c r="S1181" s="34"/>
      <c r="U1181" s="34"/>
      <c r="W1181" s="34"/>
      <c r="Y1181" s="34"/>
      <c r="AA1181" s="34"/>
      <c r="AC1181" s="34"/>
      <c r="AE1181" s="34"/>
      <c r="AG1181" s="34"/>
      <c r="AI1181" s="34"/>
      <c r="AK1181" s="34"/>
      <c r="AM1181" s="34"/>
      <c r="AO1181" s="34"/>
      <c r="AQ1181" s="34"/>
      <c r="AS1181" s="34"/>
      <c r="AU1181" s="34"/>
      <c r="AW1181" s="34"/>
      <c r="AY1181" s="34"/>
      <c r="BA1181" s="34"/>
      <c r="BC1181" s="34"/>
      <c r="BE1181" s="34"/>
      <c r="BG1181" s="34"/>
      <c r="BI1181" s="34"/>
      <c r="BK1181" s="34"/>
      <c r="BM1181" s="34"/>
      <c r="BO1181" s="34"/>
      <c r="BQ1181" s="34"/>
      <c r="BS1181" s="34"/>
      <c r="BU1181" s="34"/>
      <c r="BW1181" s="34"/>
      <c r="BY1181" s="34"/>
      <c r="CA1181" s="34"/>
      <c r="CC1181" s="34"/>
      <c r="CE1181" s="34"/>
      <c r="CG1181" s="34"/>
      <c r="CI1181" s="34"/>
      <c r="CK1181" s="34"/>
      <c r="CM1181" s="34"/>
      <c r="CO1181" s="34"/>
      <c r="CQ1181" s="34"/>
    </row>
    <row r="1182" spans="1:95" ht="15" x14ac:dyDescent="0.25">
      <c r="A1182">
        <f>Data!A1177</f>
        <v>0</v>
      </c>
      <c r="B1182">
        <f>Data!B1177</f>
        <v>0</v>
      </c>
      <c r="C1182">
        <f>Data!E1177</f>
        <v>2014</v>
      </c>
      <c r="D1182" s="8">
        <f>Data!N1177</f>
        <v>2.4836601307189544E-2</v>
      </c>
      <c r="E1182">
        <f>E$1*(1-Data!BF1177)+E$2*Data!BF1177</f>
        <v>1</v>
      </c>
      <c r="F1182">
        <f t="shared" si="162"/>
        <v>2.4836601307189544E-2</v>
      </c>
      <c r="G1182" s="15"/>
      <c r="R1182" s="11"/>
      <c r="S1182" s="34"/>
      <c r="U1182" s="34"/>
      <c r="W1182" s="34"/>
      <c r="Y1182" s="34"/>
      <c r="AA1182" s="34"/>
      <c r="AC1182" s="34"/>
      <c r="AE1182" s="34"/>
      <c r="AG1182" s="34"/>
      <c r="AI1182" s="34"/>
      <c r="AK1182" s="34"/>
      <c r="AM1182" s="34"/>
      <c r="AO1182" s="34"/>
      <c r="AQ1182" s="34"/>
      <c r="AS1182" s="34"/>
      <c r="AU1182" s="34"/>
      <c r="AW1182" s="34"/>
      <c r="AY1182" s="34"/>
      <c r="BA1182" s="34"/>
      <c r="BC1182" s="34"/>
      <c r="BE1182" s="34"/>
      <c r="BG1182" s="34"/>
      <c r="BI1182" s="34"/>
      <c r="BK1182" s="34"/>
      <c r="BM1182" s="34"/>
      <c r="BO1182" s="34"/>
      <c r="BQ1182" s="34"/>
      <c r="BS1182" s="34"/>
      <c r="BU1182" s="34"/>
      <c r="BW1182" s="34"/>
      <c r="BY1182" s="34"/>
      <c r="CA1182" s="34"/>
      <c r="CC1182" s="34"/>
      <c r="CE1182" s="34"/>
      <c r="CG1182" s="34"/>
      <c r="CI1182" s="34"/>
      <c r="CK1182" s="34"/>
      <c r="CM1182" s="34"/>
      <c r="CO1182" s="34"/>
      <c r="CQ1182" s="34"/>
    </row>
    <row r="1183" spans="1:95" ht="15" x14ac:dyDescent="0.25">
      <c r="A1183">
        <f>Data!A1178</f>
        <v>0</v>
      </c>
      <c r="B1183">
        <f>Data!B1178</f>
        <v>0</v>
      </c>
      <c r="C1183">
        <f>Data!E1178</f>
        <v>2014</v>
      </c>
      <c r="D1183" s="8">
        <f>Data!N1178</f>
        <v>2.8758169934640525E-2</v>
      </c>
      <c r="E1183">
        <f>E$1*(1-Data!BF1178)+E$2*Data!BF1178</f>
        <v>1</v>
      </c>
      <c r="F1183">
        <f t="shared" si="162"/>
        <v>2.8758169934640525E-2</v>
      </c>
      <c r="G1183" s="15"/>
      <c r="R1183" s="11"/>
      <c r="S1183" s="34"/>
      <c r="U1183" s="34"/>
      <c r="W1183" s="34"/>
      <c r="Y1183" s="34"/>
      <c r="AA1183" s="34"/>
      <c r="AC1183" s="34"/>
      <c r="AE1183" s="34"/>
      <c r="AG1183" s="34"/>
      <c r="AI1183" s="34"/>
      <c r="AK1183" s="34"/>
      <c r="AM1183" s="34"/>
      <c r="AO1183" s="34"/>
      <c r="AQ1183" s="34"/>
      <c r="AS1183" s="34"/>
      <c r="AU1183" s="34"/>
      <c r="AW1183" s="34"/>
      <c r="AY1183" s="34"/>
      <c r="BA1183" s="34"/>
      <c r="BC1183" s="34"/>
      <c r="BE1183" s="34"/>
      <c r="BG1183" s="34"/>
      <c r="BI1183" s="34"/>
      <c r="BK1183" s="34"/>
      <c r="BM1183" s="34"/>
      <c r="BO1183" s="34"/>
      <c r="BQ1183" s="34"/>
      <c r="BS1183" s="34"/>
      <c r="BU1183" s="34"/>
      <c r="BW1183" s="34"/>
      <c r="BY1183" s="34"/>
      <c r="CA1183" s="34"/>
      <c r="CC1183" s="34"/>
      <c r="CE1183" s="34"/>
      <c r="CG1183" s="34"/>
      <c r="CI1183" s="34"/>
      <c r="CK1183" s="34"/>
      <c r="CM1183" s="34"/>
      <c r="CO1183" s="34"/>
      <c r="CQ1183" s="34"/>
    </row>
    <row r="1184" spans="1:95" ht="15" x14ac:dyDescent="0.25">
      <c r="A1184">
        <f>Data!A1179</f>
        <v>0</v>
      </c>
      <c r="B1184">
        <f>Data!B1179</f>
        <v>0</v>
      </c>
      <c r="C1184">
        <f>Data!E1179</f>
        <v>2014</v>
      </c>
      <c r="D1184" s="8">
        <f>Data!N1179</f>
        <v>3.2679738562091505E-2</v>
      </c>
      <c r="E1184">
        <f>E$1*(1-Data!BF1179)+E$2*Data!BF1179</f>
        <v>1</v>
      </c>
      <c r="F1184">
        <f t="shared" si="162"/>
        <v>3.2679738562091505E-2</v>
      </c>
      <c r="G1184" s="15"/>
      <c r="R1184" s="11"/>
      <c r="S1184" s="34"/>
      <c r="U1184" s="34"/>
      <c r="W1184" s="34"/>
      <c r="Y1184" s="34"/>
      <c r="AA1184" s="34"/>
      <c r="AC1184" s="34"/>
      <c r="AE1184" s="34"/>
      <c r="AG1184" s="34"/>
      <c r="AI1184" s="34"/>
      <c r="AK1184" s="34"/>
      <c r="AM1184" s="34"/>
      <c r="AO1184" s="34"/>
      <c r="AQ1184" s="34"/>
      <c r="AS1184" s="34"/>
      <c r="AU1184" s="34"/>
      <c r="AW1184" s="34"/>
      <c r="AY1184" s="34"/>
      <c r="BA1184" s="34"/>
      <c r="BC1184" s="34"/>
      <c r="BE1184" s="34"/>
      <c r="BG1184" s="34"/>
      <c r="BI1184" s="34"/>
      <c r="BK1184" s="34"/>
      <c r="BM1184" s="34"/>
      <c r="BO1184" s="34"/>
      <c r="BQ1184" s="34"/>
      <c r="BS1184" s="34"/>
      <c r="BU1184" s="34"/>
      <c r="BW1184" s="34"/>
      <c r="BY1184" s="34"/>
      <c r="CA1184" s="34"/>
      <c r="CC1184" s="34"/>
      <c r="CE1184" s="34"/>
      <c r="CG1184" s="34"/>
      <c r="CI1184" s="34"/>
      <c r="CK1184" s="34"/>
      <c r="CM1184" s="34"/>
      <c r="CO1184" s="34"/>
      <c r="CQ1184" s="34"/>
    </row>
    <row r="1185" spans="1:95" ht="15" x14ac:dyDescent="0.25">
      <c r="A1185">
        <f>Data!A1180</f>
        <v>0</v>
      </c>
      <c r="B1185">
        <f>Data!B1180</f>
        <v>0</v>
      </c>
      <c r="C1185">
        <f>Data!E1180</f>
        <v>2014</v>
      </c>
      <c r="D1185" s="8">
        <f>Data!N1180</f>
        <v>3.6601307189542479E-2</v>
      </c>
      <c r="E1185">
        <f>E$1*(1-Data!BF1180)+E$2*Data!BF1180</f>
        <v>1</v>
      </c>
      <c r="F1185">
        <f t="shared" si="162"/>
        <v>3.6601307189542479E-2</v>
      </c>
      <c r="G1185" s="15"/>
      <c r="R1185" s="11"/>
      <c r="S1185" s="34"/>
      <c r="U1185" s="34"/>
      <c r="W1185" s="34"/>
      <c r="Y1185" s="34"/>
      <c r="AA1185" s="34"/>
      <c r="AC1185" s="34"/>
      <c r="AE1185" s="34"/>
      <c r="AG1185" s="34"/>
      <c r="AI1185" s="34"/>
      <c r="AK1185" s="34"/>
      <c r="AM1185" s="34"/>
      <c r="AO1185" s="34"/>
      <c r="AQ1185" s="34"/>
      <c r="AS1185" s="34"/>
      <c r="AU1185" s="34"/>
      <c r="AW1185" s="34"/>
      <c r="AY1185" s="34"/>
      <c r="BA1185" s="34"/>
      <c r="BC1185" s="34"/>
      <c r="BE1185" s="34"/>
      <c r="BG1185" s="34"/>
      <c r="BI1185" s="34"/>
      <c r="BK1185" s="34"/>
      <c r="BM1185" s="34"/>
      <c r="BO1185" s="34"/>
      <c r="BQ1185" s="34"/>
      <c r="BS1185" s="34"/>
      <c r="BU1185" s="34"/>
      <c r="BW1185" s="34"/>
      <c r="BY1185" s="34"/>
      <c r="CA1185" s="34"/>
      <c r="CC1185" s="34"/>
      <c r="CE1185" s="34"/>
      <c r="CG1185" s="34"/>
      <c r="CI1185" s="34"/>
      <c r="CK1185" s="34"/>
      <c r="CM1185" s="34"/>
      <c r="CO1185" s="34"/>
      <c r="CQ1185" s="34"/>
    </row>
    <row r="1186" spans="1:95" ht="15" x14ac:dyDescent="0.25">
      <c r="A1186">
        <f>Data!A1181</f>
        <v>0</v>
      </c>
      <c r="B1186">
        <f>Data!B1181</f>
        <v>0</v>
      </c>
      <c r="C1186">
        <f>Data!E1181</f>
        <v>2014</v>
      </c>
      <c r="D1186" s="8">
        <f>Data!N1181</f>
        <v>4.0522875816993459E-2</v>
      </c>
      <c r="E1186">
        <f>E$1*(1-Data!BF1181)+E$2*Data!BF1181</f>
        <v>1</v>
      </c>
      <c r="F1186">
        <f t="shared" si="162"/>
        <v>4.0522875816993459E-2</v>
      </c>
      <c r="G1186" s="15"/>
      <c r="R1186" s="11"/>
      <c r="S1186" s="34"/>
      <c r="U1186" s="34"/>
      <c r="W1186" s="34"/>
      <c r="Y1186" s="34"/>
      <c r="AA1186" s="34"/>
      <c r="AC1186" s="34"/>
      <c r="AE1186" s="34"/>
      <c r="AG1186" s="34"/>
      <c r="AI1186" s="34"/>
      <c r="AK1186" s="34"/>
      <c r="AM1186" s="34"/>
      <c r="AO1186" s="34"/>
      <c r="AQ1186" s="34"/>
      <c r="AS1186" s="34"/>
      <c r="AU1186" s="34"/>
      <c r="AW1186" s="34"/>
      <c r="AY1186" s="34"/>
      <c r="BA1186" s="34"/>
      <c r="BC1186" s="34"/>
      <c r="BE1186" s="34"/>
      <c r="BG1186" s="34"/>
      <c r="BI1186" s="34"/>
      <c r="BK1186" s="34"/>
      <c r="BM1186" s="34"/>
      <c r="BO1186" s="34"/>
      <c r="BQ1186" s="34"/>
      <c r="BS1186" s="34"/>
      <c r="BU1186" s="34"/>
      <c r="BW1186" s="34"/>
      <c r="BY1186" s="34"/>
      <c r="CA1186" s="34"/>
      <c r="CC1186" s="34"/>
      <c r="CE1186" s="34"/>
      <c r="CG1186" s="34"/>
      <c r="CI1186" s="34"/>
      <c r="CK1186" s="34"/>
      <c r="CM1186" s="34"/>
      <c r="CO1186" s="34"/>
      <c r="CQ1186" s="34"/>
    </row>
    <row r="1187" spans="1:95" ht="15" x14ac:dyDescent="0.25">
      <c r="A1187">
        <f>Data!A1182</f>
        <v>0</v>
      </c>
      <c r="B1187">
        <f>Data!B1182</f>
        <v>0</v>
      </c>
      <c r="C1187">
        <f>Data!E1182</f>
        <v>2014</v>
      </c>
      <c r="D1187" s="8">
        <f>Data!N1182</f>
        <v>4.4444444444444439E-2</v>
      </c>
      <c r="E1187">
        <f>E$1*(1-Data!BF1182)+E$2*Data!BF1182</f>
        <v>1</v>
      </c>
      <c r="F1187">
        <f t="shared" si="162"/>
        <v>4.4444444444444439E-2</v>
      </c>
      <c r="G1187" s="15"/>
      <c r="R1187" s="11"/>
      <c r="S1187" s="34"/>
      <c r="U1187" s="34"/>
      <c r="W1187" s="34"/>
      <c r="Y1187" s="34"/>
      <c r="AA1187" s="34"/>
      <c r="AC1187" s="34"/>
      <c r="AE1187" s="34"/>
      <c r="AG1187" s="34"/>
      <c r="AI1187" s="34"/>
      <c r="AK1187" s="34"/>
      <c r="AM1187" s="34"/>
      <c r="AO1187" s="34"/>
      <c r="AQ1187" s="34"/>
      <c r="AS1187" s="34"/>
      <c r="AU1187" s="34"/>
      <c r="AW1187" s="34"/>
      <c r="AY1187" s="34"/>
      <c r="BA1187" s="34"/>
      <c r="BC1187" s="34"/>
      <c r="BE1187" s="34"/>
      <c r="BG1187" s="34"/>
      <c r="BI1187" s="34"/>
      <c r="BK1187" s="34"/>
      <c r="BM1187" s="34"/>
      <c r="BO1187" s="34"/>
      <c r="BQ1187" s="34"/>
      <c r="BS1187" s="34"/>
      <c r="BU1187" s="34"/>
      <c r="BW1187" s="34"/>
      <c r="BY1187" s="34"/>
      <c r="CA1187" s="34"/>
      <c r="CC1187" s="34"/>
      <c r="CE1187" s="34"/>
      <c r="CG1187" s="34"/>
      <c r="CI1187" s="34"/>
      <c r="CK1187" s="34"/>
      <c r="CM1187" s="34"/>
      <c r="CO1187" s="34"/>
      <c r="CQ1187" s="34"/>
    </row>
    <row r="1188" spans="1:95" ht="15" x14ac:dyDescent="0.25">
      <c r="A1188">
        <f>Data!A1183</f>
        <v>0</v>
      </c>
      <c r="B1188">
        <f>Data!B1183</f>
        <v>0</v>
      </c>
      <c r="C1188">
        <f>Data!E1183</f>
        <v>2014</v>
      </c>
      <c r="D1188" s="8">
        <f>Data!N1183</f>
        <v>4.8366013071895413E-2</v>
      </c>
      <c r="E1188">
        <f>E$1*(1-Data!BF1183)+E$2*Data!BF1183</f>
        <v>1</v>
      </c>
      <c r="F1188">
        <f t="shared" si="162"/>
        <v>4.8366013071895413E-2</v>
      </c>
      <c r="G1188" s="15"/>
      <c r="R1188" s="11"/>
      <c r="S1188" s="34"/>
      <c r="U1188" s="34"/>
      <c r="W1188" s="34"/>
      <c r="Y1188" s="34"/>
      <c r="AA1188" s="34"/>
      <c r="AC1188" s="34"/>
      <c r="AE1188" s="34"/>
      <c r="AG1188" s="34"/>
      <c r="AI1188" s="34"/>
      <c r="AK1188" s="34"/>
      <c r="AM1188" s="34"/>
      <c r="AO1188" s="34"/>
      <c r="AQ1188" s="34"/>
      <c r="AS1188" s="34"/>
      <c r="AU1188" s="34"/>
      <c r="AW1188" s="34"/>
      <c r="AY1188" s="34"/>
      <c r="BA1188" s="34"/>
      <c r="BC1188" s="34"/>
      <c r="BE1188" s="34"/>
      <c r="BG1188" s="34"/>
      <c r="BI1188" s="34"/>
      <c r="BK1188" s="34"/>
      <c r="BM1188" s="34"/>
      <c r="BO1188" s="34"/>
      <c r="BQ1188" s="34"/>
      <c r="BS1188" s="34"/>
      <c r="BU1188" s="34"/>
      <c r="BW1188" s="34"/>
      <c r="BY1188" s="34"/>
      <c r="CA1188" s="34"/>
      <c r="CC1188" s="34"/>
      <c r="CE1188" s="34"/>
      <c r="CG1188" s="34"/>
      <c r="CI1188" s="34"/>
      <c r="CK1188" s="34"/>
      <c r="CM1188" s="34"/>
      <c r="CO1188" s="34"/>
      <c r="CQ1188" s="34"/>
    </row>
    <row r="1189" spans="1:95" ht="15" x14ac:dyDescent="0.25">
      <c r="A1189">
        <f>Data!A1184</f>
        <v>0</v>
      </c>
      <c r="B1189">
        <f>Data!B1184</f>
        <v>0</v>
      </c>
      <c r="C1189">
        <f>Data!E1184</f>
        <v>2014</v>
      </c>
      <c r="D1189" s="8">
        <f>Data!N1184</f>
        <v>5.2287581699346407E-2</v>
      </c>
      <c r="E1189">
        <f>E$1*(1-Data!BF1184)+E$2*Data!BF1184</f>
        <v>1</v>
      </c>
      <c r="F1189">
        <f t="shared" si="162"/>
        <v>5.2287581699346407E-2</v>
      </c>
      <c r="G1189" s="15"/>
      <c r="R1189" s="11"/>
      <c r="S1189" s="34"/>
      <c r="U1189" s="34"/>
      <c r="W1189" s="34"/>
      <c r="Y1189" s="34"/>
      <c r="AA1189" s="34"/>
      <c r="AC1189" s="34"/>
      <c r="AE1189" s="34"/>
      <c r="AG1189" s="34"/>
      <c r="AI1189" s="34"/>
      <c r="AK1189" s="34"/>
      <c r="AM1189" s="34"/>
      <c r="AO1189" s="34"/>
      <c r="AQ1189" s="34"/>
      <c r="AS1189" s="34"/>
      <c r="AU1189" s="34"/>
      <c r="AW1189" s="34"/>
      <c r="AY1189" s="34"/>
      <c r="BA1189" s="34"/>
      <c r="BC1189" s="34"/>
      <c r="BE1189" s="34"/>
      <c r="BG1189" s="34"/>
      <c r="BI1189" s="34"/>
      <c r="BK1189" s="34"/>
      <c r="BM1189" s="34"/>
      <c r="BO1189" s="34"/>
      <c r="BQ1189" s="34"/>
      <c r="BS1189" s="34"/>
      <c r="BU1189" s="34"/>
      <c r="BW1189" s="34"/>
      <c r="BY1189" s="34"/>
      <c r="CA1189" s="34"/>
      <c r="CC1189" s="34"/>
      <c r="CE1189" s="34"/>
      <c r="CG1189" s="34"/>
      <c r="CI1189" s="34"/>
      <c r="CK1189" s="34"/>
      <c r="CM1189" s="34"/>
      <c r="CO1189" s="34"/>
      <c r="CQ1189" s="34"/>
    </row>
    <row r="1190" spans="1:95" ht="15" x14ac:dyDescent="0.25">
      <c r="A1190">
        <f>Data!A1185</f>
        <v>0</v>
      </c>
      <c r="B1190">
        <f>Data!B1185</f>
        <v>0</v>
      </c>
      <c r="C1190">
        <f>Data!E1185</f>
        <v>2014</v>
      </c>
      <c r="D1190" s="8">
        <f>Data!N1185</f>
        <v>4.8366013071895426E-2</v>
      </c>
      <c r="E1190">
        <f>E$1*(1-Data!BF1185)+E$2*Data!BF1185</f>
        <v>1</v>
      </c>
      <c r="F1190">
        <f t="shared" si="162"/>
        <v>4.8366013071895426E-2</v>
      </c>
      <c r="G1190" s="15"/>
      <c r="R1190" s="11"/>
      <c r="S1190" s="34"/>
      <c r="U1190" s="34"/>
      <c r="W1190" s="34"/>
      <c r="Y1190" s="34"/>
      <c r="AA1190" s="34"/>
      <c r="AC1190" s="34"/>
      <c r="AE1190" s="34"/>
      <c r="AG1190" s="34"/>
      <c r="AI1190" s="34"/>
      <c r="AK1190" s="34"/>
      <c r="AM1190" s="34"/>
      <c r="AO1190" s="34"/>
      <c r="AQ1190" s="34"/>
      <c r="AS1190" s="34"/>
      <c r="AU1190" s="34"/>
      <c r="AW1190" s="34"/>
      <c r="AY1190" s="34"/>
      <c r="BA1190" s="34"/>
      <c r="BC1190" s="34"/>
      <c r="BE1190" s="34"/>
      <c r="BG1190" s="34"/>
      <c r="BI1190" s="34"/>
      <c r="BK1190" s="34"/>
      <c r="BM1190" s="34"/>
      <c r="BO1190" s="34"/>
      <c r="BQ1190" s="34"/>
      <c r="BS1190" s="34"/>
      <c r="BU1190" s="34"/>
      <c r="BW1190" s="34"/>
      <c r="BY1190" s="34"/>
      <c r="CA1190" s="34"/>
      <c r="CC1190" s="34"/>
      <c r="CE1190" s="34"/>
      <c r="CG1190" s="34"/>
      <c r="CI1190" s="34"/>
      <c r="CK1190" s="34"/>
      <c r="CM1190" s="34"/>
      <c r="CO1190" s="34"/>
      <c r="CQ1190" s="34"/>
    </row>
    <row r="1191" spans="1:95" ht="15" x14ac:dyDescent="0.25">
      <c r="A1191">
        <f>Data!A1186</f>
        <v>0</v>
      </c>
      <c r="B1191">
        <f>Data!B1186</f>
        <v>0</v>
      </c>
      <c r="C1191">
        <f>Data!E1186</f>
        <v>2014</v>
      </c>
      <c r="D1191" s="8">
        <f>Data!N1186</f>
        <v>4.4444444444444446E-2</v>
      </c>
      <c r="E1191">
        <f>E$1*(1-Data!BF1186)+E$2*Data!BF1186</f>
        <v>1</v>
      </c>
      <c r="F1191">
        <f t="shared" si="162"/>
        <v>4.4444444444444446E-2</v>
      </c>
      <c r="G1191" s="15"/>
      <c r="R1191" s="11"/>
      <c r="S1191" s="34"/>
      <c r="U1191" s="34"/>
      <c r="W1191" s="34"/>
      <c r="Y1191" s="34"/>
      <c r="AA1191" s="34"/>
      <c r="AC1191" s="34"/>
      <c r="AE1191" s="34"/>
      <c r="AG1191" s="34"/>
      <c r="AI1191" s="34"/>
      <c r="AK1191" s="34"/>
      <c r="AM1191" s="34"/>
      <c r="AO1191" s="34"/>
      <c r="AQ1191" s="34"/>
      <c r="AS1191" s="34"/>
      <c r="AU1191" s="34"/>
      <c r="AW1191" s="34"/>
      <c r="AY1191" s="34"/>
      <c r="BA1191" s="34"/>
      <c r="BC1191" s="34"/>
      <c r="BE1191" s="34"/>
      <c r="BG1191" s="34"/>
      <c r="BI1191" s="34"/>
      <c r="BK1191" s="34"/>
      <c r="BM1191" s="34"/>
      <c r="BO1191" s="34"/>
      <c r="BQ1191" s="34"/>
      <c r="BS1191" s="34"/>
      <c r="BU1191" s="34"/>
      <c r="BW1191" s="34"/>
      <c r="BY1191" s="34"/>
      <c r="CA1191" s="34"/>
      <c r="CC1191" s="34"/>
      <c r="CE1191" s="34"/>
      <c r="CG1191" s="34"/>
      <c r="CI1191" s="34"/>
      <c r="CK1191" s="34"/>
      <c r="CM1191" s="34"/>
      <c r="CO1191" s="34"/>
      <c r="CQ1191" s="34"/>
    </row>
    <row r="1192" spans="1:95" ht="15" x14ac:dyDescent="0.25">
      <c r="A1192">
        <f>Data!A1187</f>
        <v>0</v>
      </c>
      <c r="B1192">
        <f>Data!B1187</f>
        <v>0</v>
      </c>
      <c r="C1192">
        <f>Data!E1187</f>
        <v>2014</v>
      </c>
      <c r="D1192" s="8">
        <f>Data!N1187</f>
        <v>4.0522875816993473E-2</v>
      </c>
      <c r="E1192">
        <f>E$1*(1-Data!BF1187)+E$2*Data!BF1187</f>
        <v>1</v>
      </c>
      <c r="F1192">
        <f t="shared" si="162"/>
        <v>4.0522875816993473E-2</v>
      </c>
      <c r="G1192" s="15"/>
      <c r="R1192" s="11"/>
      <c r="S1192" s="34"/>
      <c r="U1192" s="34"/>
      <c r="W1192" s="34"/>
      <c r="Y1192" s="34"/>
      <c r="AA1192" s="34"/>
      <c r="AC1192" s="34"/>
      <c r="AE1192" s="34"/>
      <c r="AG1192" s="34"/>
      <c r="AI1192" s="34"/>
      <c r="AK1192" s="34"/>
      <c r="AM1192" s="34"/>
      <c r="AO1192" s="34"/>
      <c r="AQ1192" s="34"/>
      <c r="AS1192" s="34"/>
      <c r="AU1192" s="34"/>
      <c r="AW1192" s="34"/>
      <c r="AY1192" s="34"/>
      <c r="BA1192" s="34"/>
      <c r="BC1192" s="34"/>
      <c r="BE1192" s="34"/>
      <c r="BG1192" s="34"/>
      <c r="BI1192" s="34"/>
      <c r="BK1192" s="34"/>
      <c r="BM1192" s="34"/>
      <c r="BO1192" s="34"/>
      <c r="BQ1192" s="34"/>
      <c r="BS1192" s="34"/>
      <c r="BU1192" s="34"/>
      <c r="BW1192" s="34"/>
      <c r="BY1192" s="34"/>
      <c r="CA1192" s="34"/>
      <c r="CC1192" s="34"/>
      <c r="CE1192" s="34"/>
      <c r="CG1192" s="34"/>
      <c r="CI1192" s="34"/>
      <c r="CK1192" s="34"/>
      <c r="CM1192" s="34"/>
      <c r="CO1192" s="34"/>
      <c r="CQ1192" s="34"/>
    </row>
    <row r="1193" spans="1:95" ht="15" x14ac:dyDescent="0.25">
      <c r="A1193">
        <f>Data!A1188</f>
        <v>0</v>
      </c>
      <c r="B1193">
        <f>Data!B1188</f>
        <v>0</v>
      </c>
      <c r="C1193">
        <f>Data!E1188</f>
        <v>2014</v>
      </c>
      <c r="D1193" s="8">
        <f>Data!N1188</f>
        <v>3.6601307189542492E-2</v>
      </c>
      <c r="E1193">
        <f>E$1*(1-Data!BF1188)+E$2*Data!BF1188</f>
        <v>1</v>
      </c>
      <c r="F1193">
        <f t="shared" si="162"/>
        <v>3.6601307189542492E-2</v>
      </c>
      <c r="G1193" s="15"/>
      <c r="R1193" s="11"/>
      <c r="S1193" s="34"/>
      <c r="U1193" s="34"/>
      <c r="W1193" s="34"/>
      <c r="Y1193" s="34"/>
      <c r="AA1193" s="34"/>
      <c r="AC1193" s="34"/>
      <c r="AE1193" s="34"/>
      <c r="AG1193" s="34"/>
      <c r="AI1193" s="34"/>
      <c r="AK1193" s="34"/>
      <c r="AM1193" s="34"/>
      <c r="AO1193" s="34"/>
      <c r="AQ1193" s="34"/>
      <c r="AS1193" s="34"/>
      <c r="AU1193" s="34"/>
      <c r="AW1193" s="34"/>
      <c r="AY1193" s="34"/>
      <c r="BA1193" s="34"/>
      <c r="BC1193" s="34"/>
      <c r="BE1193" s="34"/>
      <c r="BG1193" s="34"/>
      <c r="BI1193" s="34"/>
      <c r="BK1193" s="34"/>
      <c r="BM1193" s="34"/>
      <c r="BO1193" s="34"/>
      <c r="BQ1193" s="34"/>
      <c r="BS1193" s="34"/>
      <c r="BU1193" s="34"/>
      <c r="BW1193" s="34"/>
      <c r="BY1193" s="34"/>
      <c r="CA1193" s="34"/>
      <c r="CC1193" s="34"/>
      <c r="CE1193" s="34"/>
      <c r="CG1193" s="34"/>
      <c r="CI1193" s="34"/>
      <c r="CK1193" s="34"/>
      <c r="CM1193" s="34"/>
      <c r="CO1193" s="34"/>
      <c r="CQ1193" s="34"/>
    </row>
    <row r="1194" spans="1:95" ht="15" x14ac:dyDescent="0.25">
      <c r="A1194">
        <f>Data!A1189</f>
        <v>0</v>
      </c>
      <c r="B1194">
        <f>Data!B1189</f>
        <v>0</v>
      </c>
      <c r="C1194">
        <f>Data!E1189</f>
        <v>2014</v>
      </c>
      <c r="D1194" s="8">
        <f>Data!N1189</f>
        <v>3.2679738562091512E-2</v>
      </c>
      <c r="E1194">
        <f>E$1*(1-Data!BF1189)+E$2*Data!BF1189</f>
        <v>1</v>
      </c>
      <c r="F1194">
        <f t="shared" si="162"/>
        <v>3.2679738562091512E-2</v>
      </c>
      <c r="G1194" s="15"/>
      <c r="R1194" s="11"/>
      <c r="S1194" s="34"/>
      <c r="U1194" s="34"/>
      <c r="W1194" s="34"/>
      <c r="Y1194" s="34"/>
      <c r="AA1194" s="34"/>
      <c r="AC1194" s="34"/>
      <c r="AE1194" s="34"/>
      <c r="AG1194" s="34"/>
      <c r="AI1194" s="34"/>
      <c r="AK1194" s="34"/>
      <c r="AM1194" s="34"/>
      <c r="AO1194" s="34"/>
      <c r="AQ1194" s="34"/>
      <c r="AS1194" s="34"/>
      <c r="AU1194" s="34"/>
      <c r="AW1194" s="34"/>
      <c r="AY1194" s="34"/>
      <c r="BA1194" s="34"/>
      <c r="BC1194" s="34"/>
      <c r="BE1194" s="34"/>
      <c r="BG1194" s="34"/>
      <c r="BI1194" s="34"/>
      <c r="BK1194" s="34"/>
      <c r="BM1194" s="34"/>
      <c r="BO1194" s="34"/>
      <c r="BQ1194" s="34"/>
      <c r="BS1194" s="34"/>
      <c r="BU1194" s="34"/>
      <c r="BW1194" s="34"/>
      <c r="BY1194" s="34"/>
      <c r="CA1194" s="34"/>
      <c r="CC1194" s="34"/>
      <c r="CE1194" s="34"/>
      <c r="CG1194" s="34"/>
      <c r="CI1194" s="34"/>
      <c r="CK1194" s="34"/>
      <c r="CM1194" s="34"/>
      <c r="CO1194" s="34"/>
      <c r="CQ1194" s="34"/>
    </row>
    <row r="1195" spans="1:95" ht="15" x14ac:dyDescent="0.25">
      <c r="A1195">
        <f>Data!A1190</f>
        <v>0</v>
      </c>
      <c r="B1195">
        <f>Data!B1190</f>
        <v>0</v>
      </c>
      <c r="C1195">
        <f>Data!E1190</f>
        <v>2014</v>
      </c>
      <c r="D1195" s="8">
        <f>Data!N1190</f>
        <v>2.8758169934640535E-2</v>
      </c>
      <c r="E1195">
        <f>E$1*(1-Data!BF1190)+E$2*Data!BF1190</f>
        <v>1</v>
      </c>
      <c r="F1195">
        <f t="shared" si="162"/>
        <v>2.8758169934640535E-2</v>
      </c>
      <c r="G1195" s="15"/>
      <c r="R1195" s="11"/>
      <c r="S1195" s="34"/>
      <c r="U1195" s="34"/>
      <c r="W1195" s="34"/>
      <c r="Y1195" s="34"/>
      <c r="AA1195" s="34"/>
      <c r="AC1195" s="34"/>
      <c r="AE1195" s="34"/>
      <c r="AG1195" s="34"/>
      <c r="AI1195" s="34"/>
      <c r="AK1195" s="34"/>
      <c r="AM1195" s="34"/>
      <c r="AO1195" s="34"/>
      <c r="AQ1195" s="34"/>
      <c r="AS1195" s="34"/>
      <c r="AU1195" s="34"/>
      <c r="AW1195" s="34"/>
      <c r="AY1195" s="34"/>
      <c r="BA1195" s="34"/>
      <c r="BC1195" s="34"/>
      <c r="BE1195" s="34"/>
      <c r="BG1195" s="34"/>
      <c r="BI1195" s="34"/>
      <c r="BK1195" s="34"/>
      <c r="BM1195" s="34"/>
      <c r="BO1195" s="34"/>
      <c r="BQ1195" s="34"/>
      <c r="BS1195" s="34"/>
      <c r="BU1195" s="34"/>
      <c r="BW1195" s="34"/>
      <c r="BY1195" s="34"/>
      <c r="CA1195" s="34"/>
      <c r="CC1195" s="34"/>
      <c r="CE1195" s="34"/>
      <c r="CG1195" s="34"/>
      <c r="CI1195" s="34"/>
      <c r="CK1195" s="34"/>
      <c r="CM1195" s="34"/>
      <c r="CO1195" s="34"/>
      <c r="CQ1195" s="34"/>
    </row>
    <row r="1196" spans="1:95" ht="15" x14ac:dyDescent="0.25">
      <c r="A1196">
        <f>Data!A1191</f>
        <v>0</v>
      </c>
      <c r="B1196">
        <f>Data!B1191</f>
        <v>0</v>
      </c>
      <c r="C1196">
        <f>Data!E1191</f>
        <v>2014</v>
      </c>
      <c r="D1196" s="8">
        <f>Data!N1191</f>
        <v>2.4836601307189555E-2</v>
      </c>
      <c r="E1196">
        <f>E$1*(1-Data!BF1191)+E$2*Data!BF1191</f>
        <v>1</v>
      </c>
      <c r="F1196">
        <f t="shared" si="162"/>
        <v>2.4836601307189555E-2</v>
      </c>
      <c r="G1196" s="15"/>
      <c r="R1196" s="11"/>
      <c r="S1196" s="34"/>
      <c r="U1196" s="34"/>
      <c r="W1196" s="34"/>
      <c r="Y1196" s="34"/>
      <c r="AA1196" s="34"/>
      <c r="AC1196" s="34"/>
      <c r="AE1196" s="34"/>
      <c r="AG1196" s="34"/>
      <c r="AI1196" s="34"/>
      <c r="AK1196" s="34"/>
      <c r="AM1196" s="34"/>
      <c r="AO1196" s="34"/>
      <c r="AQ1196" s="34"/>
      <c r="AS1196" s="34"/>
      <c r="AU1196" s="34"/>
      <c r="AW1196" s="34"/>
      <c r="AY1196" s="34"/>
      <c r="BA1196" s="34"/>
      <c r="BC1196" s="34"/>
      <c r="BE1196" s="34"/>
      <c r="BG1196" s="34"/>
      <c r="BI1196" s="34"/>
      <c r="BK1196" s="34"/>
      <c r="BM1196" s="34"/>
      <c r="BO1196" s="34"/>
      <c r="BQ1196" s="34"/>
      <c r="BS1196" s="34"/>
      <c r="BU1196" s="34"/>
      <c r="BW1196" s="34"/>
      <c r="BY1196" s="34"/>
      <c r="CA1196" s="34"/>
      <c r="CC1196" s="34"/>
      <c r="CE1196" s="34"/>
      <c r="CG1196" s="34"/>
      <c r="CI1196" s="34"/>
      <c r="CK1196" s="34"/>
      <c r="CM1196" s="34"/>
      <c r="CO1196" s="34"/>
      <c r="CQ1196" s="34"/>
    </row>
    <row r="1197" spans="1:95" ht="15" x14ac:dyDescent="0.25">
      <c r="A1197">
        <f>Data!A1192</f>
        <v>0</v>
      </c>
      <c r="B1197">
        <f>Data!B1192</f>
        <v>0</v>
      </c>
      <c r="C1197">
        <f>Data!E1192</f>
        <v>2014</v>
      </c>
      <c r="D1197" s="8">
        <f>Data!N1192</f>
        <v>2.0915032679738575E-2</v>
      </c>
      <c r="E1197">
        <f>E$1*(1-Data!BF1192)+E$2*Data!BF1192</f>
        <v>1</v>
      </c>
      <c r="F1197">
        <f t="shared" si="162"/>
        <v>2.0915032679738575E-2</v>
      </c>
      <c r="G1197" s="15"/>
      <c r="R1197" s="11"/>
      <c r="S1197" s="34"/>
      <c r="U1197" s="34"/>
      <c r="W1197" s="34"/>
      <c r="Y1197" s="34"/>
      <c r="AA1197" s="34"/>
      <c r="AC1197" s="34"/>
      <c r="AE1197" s="34"/>
      <c r="AG1197" s="34"/>
      <c r="AI1197" s="34"/>
      <c r="AK1197" s="34"/>
      <c r="AM1197" s="34"/>
      <c r="AO1197" s="34"/>
      <c r="AQ1197" s="34"/>
      <c r="AS1197" s="34"/>
      <c r="AU1197" s="34"/>
      <c r="AW1197" s="34"/>
      <c r="AY1197" s="34"/>
      <c r="BA1197" s="34"/>
      <c r="BC1197" s="34"/>
      <c r="BE1197" s="34"/>
      <c r="BG1197" s="34"/>
      <c r="BI1197" s="34"/>
      <c r="BK1197" s="34"/>
      <c r="BM1197" s="34"/>
      <c r="BO1197" s="34"/>
      <c r="BQ1197" s="34"/>
      <c r="BS1197" s="34"/>
      <c r="BU1197" s="34"/>
      <c r="BW1197" s="34"/>
      <c r="BY1197" s="34"/>
      <c r="CA1197" s="34"/>
      <c r="CC1197" s="34"/>
      <c r="CE1197" s="34"/>
      <c r="CG1197" s="34"/>
      <c r="CI1197" s="34"/>
      <c r="CK1197" s="34"/>
      <c r="CM1197" s="34"/>
      <c r="CO1197" s="34"/>
      <c r="CQ1197" s="34"/>
    </row>
    <row r="1198" spans="1:95" ht="15" x14ac:dyDescent="0.25">
      <c r="A1198">
        <f>Data!A1193</f>
        <v>0</v>
      </c>
      <c r="B1198">
        <f>Data!B1193</f>
        <v>0</v>
      </c>
      <c r="C1198">
        <f>Data!E1193</f>
        <v>2014</v>
      </c>
      <c r="D1198" s="8">
        <f>Data!N1193</f>
        <v>1.6993464052287594E-2</v>
      </c>
      <c r="E1198">
        <f>E$1*(1-Data!BF1193)+E$2*Data!BF1193</f>
        <v>1</v>
      </c>
      <c r="F1198">
        <f t="shared" si="162"/>
        <v>1.6993464052287594E-2</v>
      </c>
      <c r="G1198" s="15"/>
      <c r="R1198" s="11"/>
      <c r="S1198" s="34"/>
      <c r="U1198" s="34"/>
      <c r="W1198" s="34"/>
      <c r="Y1198" s="34"/>
      <c r="AA1198" s="34"/>
      <c r="AC1198" s="34"/>
      <c r="AE1198" s="34"/>
      <c r="AG1198" s="34"/>
      <c r="AI1198" s="34"/>
      <c r="AK1198" s="34"/>
      <c r="AM1198" s="34"/>
      <c r="AO1198" s="34"/>
      <c r="AQ1198" s="34"/>
      <c r="AS1198" s="34"/>
      <c r="AU1198" s="34"/>
      <c r="AW1198" s="34"/>
      <c r="AY1198" s="34"/>
      <c r="BA1198" s="34"/>
      <c r="BC1198" s="34"/>
      <c r="BE1198" s="34"/>
      <c r="BG1198" s="34"/>
      <c r="BI1198" s="34"/>
      <c r="BK1198" s="34"/>
      <c r="BM1198" s="34"/>
      <c r="BO1198" s="34"/>
      <c r="BQ1198" s="34"/>
      <c r="BS1198" s="34"/>
      <c r="BU1198" s="34"/>
      <c r="BW1198" s="34"/>
      <c r="BY1198" s="34"/>
      <c r="CA1198" s="34"/>
      <c r="CC1198" s="34"/>
      <c r="CE1198" s="34"/>
      <c r="CG1198" s="34"/>
      <c r="CI1198" s="34"/>
      <c r="CK1198" s="34"/>
      <c r="CM1198" s="34"/>
      <c r="CO1198" s="34"/>
      <c r="CQ1198" s="34"/>
    </row>
    <row r="1199" spans="1:95" ht="15" x14ac:dyDescent="0.25">
      <c r="A1199">
        <f>Data!A1194</f>
        <v>0</v>
      </c>
      <c r="B1199">
        <f>Data!B1194</f>
        <v>0</v>
      </c>
      <c r="C1199">
        <f>Data!E1194</f>
        <v>2014</v>
      </c>
      <c r="D1199" s="8">
        <f>Data!N1194</f>
        <v>1.3071895424836602E-2</v>
      </c>
      <c r="E1199">
        <f>E$1*(1-Data!BF1194)+E$2*Data!BF1194</f>
        <v>1</v>
      </c>
      <c r="F1199">
        <f t="shared" si="162"/>
        <v>1.3071895424836602E-2</v>
      </c>
      <c r="G1199" s="15"/>
      <c r="R1199" s="11"/>
      <c r="S1199" s="34"/>
      <c r="U1199" s="34"/>
      <c r="W1199" s="34"/>
      <c r="Y1199" s="34"/>
      <c r="AA1199" s="34"/>
      <c r="AC1199" s="34"/>
      <c r="AE1199" s="34"/>
      <c r="AG1199" s="34"/>
      <c r="AI1199" s="34"/>
      <c r="AK1199" s="34"/>
      <c r="AM1199" s="34"/>
      <c r="AO1199" s="34"/>
      <c r="AQ1199" s="34"/>
      <c r="AS1199" s="34"/>
      <c r="AU1199" s="34"/>
      <c r="AW1199" s="34"/>
      <c r="AY1199" s="34"/>
      <c r="BA1199" s="34"/>
      <c r="BC1199" s="34"/>
      <c r="BE1199" s="34"/>
      <c r="BG1199" s="34"/>
      <c r="BI1199" s="34"/>
      <c r="BK1199" s="34"/>
      <c r="BM1199" s="34"/>
      <c r="BO1199" s="34"/>
      <c r="BQ1199" s="34"/>
      <c r="BS1199" s="34"/>
      <c r="BU1199" s="34"/>
      <c r="BW1199" s="34"/>
      <c r="BY1199" s="34"/>
      <c r="CA1199" s="34"/>
      <c r="CC1199" s="34"/>
      <c r="CE1199" s="34"/>
      <c r="CG1199" s="34"/>
      <c r="CI1199" s="34"/>
      <c r="CK1199" s="34"/>
      <c r="CM1199" s="34"/>
      <c r="CO1199" s="34"/>
      <c r="CQ1199" s="34"/>
    </row>
    <row r="1200" spans="1:95" ht="15" x14ac:dyDescent="0.25">
      <c r="A1200">
        <f>Data!A1195</f>
        <v>0</v>
      </c>
      <c r="B1200">
        <f>Data!B1195</f>
        <v>0</v>
      </c>
      <c r="C1200">
        <f>Data!E1195</f>
        <v>2014</v>
      </c>
      <c r="D1200" s="8">
        <f>Data!N1195</f>
        <v>3.2679738562091504E-3</v>
      </c>
      <c r="E1200">
        <f>E$1*(1-Data!BF1195)+E$2*Data!BF1195</f>
        <v>1</v>
      </c>
      <c r="F1200">
        <f t="shared" si="162"/>
        <v>3.2679738562091504E-3</v>
      </c>
      <c r="G1200" s="15"/>
      <c r="R1200" s="11"/>
      <c r="S1200" s="34"/>
      <c r="U1200" s="34"/>
      <c r="W1200" s="34"/>
      <c r="Y1200" s="34"/>
      <c r="AA1200" s="34"/>
      <c r="AC1200" s="34"/>
      <c r="AE1200" s="34"/>
      <c r="AG1200" s="34"/>
      <c r="AI1200" s="34"/>
      <c r="AK1200" s="34"/>
      <c r="AM1200" s="34"/>
      <c r="AO1200" s="34"/>
      <c r="AQ1200" s="34"/>
      <c r="AS1200" s="34"/>
      <c r="AU1200" s="34"/>
      <c r="AW1200" s="34"/>
      <c r="AY1200" s="34"/>
      <c r="BA1200" s="34"/>
      <c r="BC1200" s="34"/>
      <c r="BE1200" s="34"/>
      <c r="BG1200" s="34"/>
      <c r="BI1200" s="34"/>
      <c r="BK1200" s="34"/>
      <c r="BM1200" s="34"/>
      <c r="BO1200" s="34"/>
      <c r="BQ1200" s="34"/>
      <c r="BS1200" s="34"/>
      <c r="BU1200" s="34"/>
      <c r="BW1200" s="34"/>
      <c r="BY1200" s="34"/>
      <c r="CA1200" s="34"/>
      <c r="CC1200" s="34"/>
      <c r="CE1200" s="34"/>
      <c r="CG1200" s="34"/>
      <c r="CI1200" s="34"/>
      <c r="CK1200" s="34"/>
      <c r="CM1200" s="34"/>
      <c r="CO1200" s="34"/>
      <c r="CQ1200" s="34"/>
    </row>
    <row r="1201" spans="1:95" ht="15" x14ac:dyDescent="0.25">
      <c r="A1201">
        <f>Data!A1196</f>
        <v>0</v>
      </c>
      <c r="B1201">
        <f>Data!B1196</f>
        <v>0</v>
      </c>
      <c r="C1201">
        <f>Data!E1196</f>
        <v>2014</v>
      </c>
      <c r="D1201" s="8">
        <f>Data!N1196</f>
        <v>4.2483660130718959E-3</v>
      </c>
      <c r="E1201">
        <f>E$1*(1-Data!BF1196)+E$2*Data!BF1196</f>
        <v>1</v>
      </c>
      <c r="F1201">
        <f t="shared" si="162"/>
        <v>4.2483660130718959E-3</v>
      </c>
      <c r="G1201" s="15"/>
      <c r="R1201" s="11"/>
      <c r="S1201" s="34"/>
      <c r="U1201" s="34"/>
      <c r="W1201" s="34"/>
      <c r="Y1201" s="34"/>
      <c r="AA1201" s="34"/>
      <c r="AC1201" s="34"/>
      <c r="AE1201" s="34"/>
      <c r="AG1201" s="34"/>
      <c r="AI1201" s="34"/>
      <c r="AK1201" s="34"/>
      <c r="AM1201" s="34"/>
      <c r="AO1201" s="34"/>
      <c r="AQ1201" s="34"/>
      <c r="AS1201" s="34"/>
      <c r="AU1201" s="34"/>
      <c r="AW1201" s="34"/>
      <c r="AY1201" s="34"/>
      <c r="BA1201" s="34"/>
      <c r="BC1201" s="34"/>
      <c r="BE1201" s="34"/>
      <c r="BG1201" s="34"/>
      <c r="BI1201" s="34"/>
      <c r="BK1201" s="34"/>
      <c r="BM1201" s="34"/>
      <c r="BO1201" s="34"/>
      <c r="BQ1201" s="34"/>
      <c r="BS1201" s="34"/>
      <c r="BU1201" s="34"/>
      <c r="BW1201" s="34"/>
      <c r="BY1201" s="34"/>
      <c r="CA1201" s="34"/>
      <c r="CC1201" s="34"/>
      <c r="CE1201" s="34"/>
      <c r="CG1201" s="34"/>
      <c r="CI1201" s="34"/>
      <c r="CK1201" s="34"/>
      <c r="CM1201" s="34"/>
      <c r="CO1201" s="34"/>
      <c r="CQ1201" s="34"/>
    </row>
    <row r="1202" spans="1:95" ht="15" x14ac:dyDescent="0.25">
      <c r="A1202">
        <f>Data!A1197</f>
        <v>0</v>
      </c>
      <c r="B1202">
        <f>Data!B1197</f>
        <v>0</v>
      </c>
      <c r="C1202">
        <f>Data!E1197</f>
        <v>2014</v>
      </c>
      <c r="D1202" s="8">
        <f>Data!N1197</f>
        <v>5.228758169934641E-3</v>
      </c>
      <c r="E1202">
        <f>E$1*(1-Data!BF1197)+E$2*Data!BF1197</f>
        <v>1</v>
      </c>
      <c r="F1202">
        <f t="shared" si="162"/>
        <v>5.228758169934641E-3</v>
      </c>
      <c r="G1202" s="15"/>
      <c r="R1202" s="11"/>
      <c r="S1202" s="34"/>
      <c r="U1202" s="34"/>
      <c r="W1202" s="34"/>
      <c r="Y1202" s="34"/>
      <c r="AA1202" s="34"/>
      <c r="AC1202" s="34"/>
      <c r="AE1202" s="34"/>
      <c r="AG1202" s="34"/>
      <c r="AI1202" s="34"/>
      <c r="AK1202" s="34"/>
      <c r="AM1202" s="34"/>
      <c r="AO1202" s="34"/>
      <c r="AQ1202" s="34"/>
      <c r="AS1202" s="34"/>
      <c r="AU1202" s="34"/>
      <c r="AW1202" s="34"/>
      <c r="AY1202" s="34"/>
      <c r="BA1202" s="34"/>
      <c r="BC1202" s="34"/>
      <c r="BE1202" s="34"/>
      <c r="BG1202" s="34"/>
      <c r="BI1202" s="34"/>
      <c r="BK1202" s="34"/>
      <c r="BM1202" s="34"/>
      <c r="BO1202" s="34"/>
      <c r="BQ1202" s="34"/>
      <c r="BS1202" s="34"/>
      <c r="BU1202" s="34"/>
      <c r="BW1202" s="34"/>
      <c r="BY1202" s="34"/>
      <c r="CA1202" s="34"/>
      <c r="CC1202" s="34"/>
      <c r="CE1202" s="34"/>
      <c r="CG1202" s="34"/>
      <c r="CI1202" s="34"/>
      <c r="CK1202" s="34"/>
      <c r="CM1202" s="34"/>
      <c r="CO1202" s="34"/>
      <c r="CQ1202" s="34"/>
    </row>
    <row r="1203" spans="1:95" ht="15" x14ac:dyDescent="0.25">
      <c r="A1203">
        <f>Data!A1198</f>
        <v>0</v>
      </c>
      <c r="B1203">
        <f>Data!B1198</f>
        <v>0</v>
      </c>
      <c r="C1203">
        <f>Data!E1198</f>
        <v>2014</v>
      </c>
      <c r="D1203" s="8">
        <f>Data!N1198</f>
        <v>6.2091503267973861E-3</v>
      </c>
      <c r="E1203">
        <f>E$1*(1-Data!BF1198)+E$2*Data!BF1198</f>
        <v>1</v>
      </c>
      <c r="F1203">
        <f t="shared" si="162"/>
        <v>6.2091503267973861E-3</v>
      </c>
      <c r="G1203" s="15"/>
      <c r="R1203" s="11"/>
      <c r="S1203" s="34"/>
      <c r="U1203" s="34"/>
      <c r="W1203" s="34"/>
      <c r="Y1203" s="34"/>
      <c r="AA1203" s="34"/>
      <c r="AC1203" s="34"/>
      <c r="AE1203" s="34"/>
      <c r="AG1203" s="34"/>
      <c r="AI1203" s="34"/>
      <c r="AK1203" s="34"/>
      <c r="AM1203" s="34"/>
      <c r="AO1203" s="34"/>
      <c r="AQ1203" s="34"/>
      <c r="AS1203" s="34"/>
      <c r="AU1203" s="34"/>
      <c r="AW1203" s="34"/>
      <c r="AY1203" s="34"/>
      <c r="BA1203" s="34"/>
      <c r="BC1203" s="34"/>
      <c r="BE1203" s="34"/>
      <c r="BG1203" s="34"/>
      <c r="BI1203" s="34"/>
      <c r="BK1203" s="34"/>
      <c r="BM1203" s="34"/>
      <c r="BO1203" s="34"/>
      <c r="BQ1203" s="34"/>
      <c r="BS1203" s="34"/>
      <c r="BU1203" s="34"/>
      <c r="BW1203" s="34"/>
      <c r="BY1203" s="34"/>
      <c r="CA1203" s="34"/>
      <c r="CC1203" s="34"/>
      <c r="CE1203" s="34"/>
      <c r="CG1203" s="34"/>
      <c r="CI1203" s="34"/>
      <c r="CK1203" s="34"/>
      <c r="CM1203" s="34"/>
      <c r="CO1203" s="34"/>
      <c r="CQ1203" s="34"/>
    </row>
    <row r="1204" spans="1:95" ht="15" x14ac:dyDescent="0.25">
      <c r="A1204">
        <f>Data!A1199</f>
        <v>0</v>
      </c>
      <c r="B1204">
        <f>Data!B1199</f>
        <v>0</v>
      </c>
      <c r="C1204">
        <f>Data!E1199</f>
        <v>2014</v>
      </c>
      <c r="D1204" s="8">
        <f>Data!N1199</f>
        <v>7.1895424836601312E-3</v>
      </c>
      <c r="E1204">
        <f>E$1*(1-Data!BF1199)+E$2*Data!BF1199</f>
        <v>1</v>
      </c>
      <c r="F1204">
        <f t="shared" si="162"/>
        <v>7.1895424836601312E-3</v>
      </c>
      <c r="G1204" s="15"/>
      <c r="R1204" s="11"/>
      <c r="S1204" s="34"/>
      <c r="U1204" s="34"/>
      <c r="W1204" s="34"/>
      <c r="Y1204" s="34"/>
      <c r="AA1204" s="34"/>
      <c r="AC1204" s="34"/>
      <c r="AE1204" s="34"/>
      <c r="AG1204" s="34"/>
      <c r="AI1204" s="34"/>
      <c r="AK1204" s="34"/>
      <c r="AM1204" s="34"/>
      <c r="AO1204" s="34"/>
      <c r="AQ1204" s="34"/>
      <c r="AS1204" s="34"/>
      <c r="AU1204" s="34"/>
      <c r="AW1204" s="34"/>
      <c r="AY1204" s="34"/>
      <c r="BA1204" s="34"/>
      <c r="BC1204" s="34"/>
      <c r="BE1204" s="34"/>
      <c r="BG1204" s="34"/>
      <c r="BI1204" s="34"/>
      <c r="BK1204" s="34"/>
      <c r="BM1204" s="34"/>
      <c r="BO1204" s="34"/>
      <c r="BQ1204" s="34"/>
      <c r="BS1204" s="34"/>
      <c r="BU1204" s="34"/>
      <c r="BW1204" s="34"/>
      <c r="BY1204" s="34"/>
      <c r="CA1204" s="34"/>
      <c r="CC1204" s="34"/>
      <c r="CE1204" s="34"/>
      <c r="CG1204" s="34"/>
      <c r="CI1204" s="34"/>
      <c r="CK1204" s="34"/>
      <c r="CM1204" s="34"/>
      <c r="CO1204" s="34"/>
      <c r="CQ1204" s="34"/>
    </row>
    <row r="1205" spans="1:95" ht="15" x14ac:dyDescent="0.25">
      <c r="A1205">
        <f>Data!A1200</f>
        <v>0</v>
      </c>
      <c r="B1205">
        <f>Data!B1200</f>
        <v>0</v>
      </c>
      <c r="C1205">
        <f>Data!E1200</f>
        <v>2014</v>
      </c>
      <c r="D1205" s="8">
        <f>Data!N1200</f>
        <v>8.1699346405228763E-3</v>
      </c>
      <c r="E1205">
        <f>E$1*(1-Data!BF1200)+E$2*Data!BF1200</f>
        <v>1</v>
      </c>
      <c r="F1205">
        <f t="shared" si="162"/>
        <v>8.1699346405228763E-3</v>
      </c>
      <c r="G1205" s="15"/>
      <c r="R1205" s="11"/>
      <c r="S1205" s="34"/>
      <c r="U1205" s="34"/>
      <c r="W1205" s="34"/>
      <c r="Y1205" s="34"/>
      <c r="AA1205" s="34"/>
      <c r="AC1205" s="34"/>
      <c r="AE1205" s="34"/>
      <c r="AG1205" s="34"/>
      <c r="AI1205" s="34"/>
      <c r="AK1205" s="34"/>
      <c r="AM1205" s="34"/>
      <c r="AO1205" s="34"/>
      <c r="AQ1205" s="34"/>
      <c r="AS1205" s="34"/>
      <c r="AU1205" s="34"/>
      <c r="AW1205" s="34"/>
      <c r="AY1205" s="34"/>
      <c r="BA1205" s="34"/>
      <c r="BC1205" s="34"/>
      <c r="BE1205" s="34"/>
      <c r="BG1205" s="34"/>
      <c r="BI1205" s="34"/>
      <c r="BK1205" s="34"/>
      <c r="BM1205" s="34"/>
      <c r="BO1205" s="34"/>
      <c r="BQ1205" s="34"/>
      <c r="BS1205" s="34"/>
      <c r="BU1205" s="34"/>
      <c r="BW1205" s="34"/>
      <c r="BY1205" s="34"/>
      <c r="CA1205" s="34"/>
      <c r="CC1205" s="34"/>
      <c r="CE1205" s="34"/>
      <c r="CG1205" s="34"/>
      <c r="CI1205" s="34"/>
      <c r="CK1205" s="34"/>
      <c r="CM1205" s="34"/>
      <c r="CO1205" s="34"/>
      <c r="CQ1205" s="34"/>
    </row>
    <row r="1206" spans="1:95" ht="15" x14ac:dyDescent="0.25">
      <c r="A1206">
        <f>Data!A1201</f>
        <v>0</v>
      </c>
      <c r="B1206">
        <f>Data!B1201</f>
        <v>0</v>
      </c>
      <c r="C1206">
        <f>Data!E1201</f>
        <v>2014</v>
      </c>
      <c r="D1206" s="8">
        <f>Data!N1201</f>
        <v>9.1503267973856196E-3</v>
      </c>
      <c r="E1206">
        <f>E$1*(1-Data!BF1201)+E$2*Data!BF1201</f>
        <v>1</v>
      </c>
      <c r="F1206">
        <f t="shared" si="162"/>
        <v>9.1503267973856196E-3</v>
      </c>
      <c r="G1206" s="15"/>
      <c r="R1206" s="11"/>
      <c r="S1206" s="34"/>
      <c r="U1206" s="34"/>
      <c r="W1206" s="34"/>
      <c r="Y1206" s="34"/>
      <c r="AA1206" s="34"/>
      <c r="AC1206" s="34"/>
      <c r="AE1206" s="34"/>
      <c r="AG1206" s="34"/>
      <c r="AI1206" s="34"/>
      <c r="AK1206" s="34"/>
      <c r="AM1206" s="34"/>
      <c r="AO1206" s="34"/>
      <c r="AQ1206" s="34"/>
      <c r="AS1206" s="34"/>
      <c r="AU1206" s="34"/>
      <c r="AW1206" s="34"/>
      <c r="AY1206" s="34"/>
      <c r="BA1206" s="34"/>
      <c r="BC1206" s="34"/>
      <c r="BE1206" s="34"/>
      <c r="BG1206" s="34"/>
      <c r="BI1206" s="34"/>
      <c r="BK1206" s="34"/>
      <c r="BM1206" s="34"/>
      <c r="BO1206" s="34"/>
      <c r="BQ1206" s="34"/>
      <c r="BS1206" s="34"/>
      <c r="BU1206" s="34"/>
      <c r="BW1206" s="34"/>
      <c r="BY1206" s="34"/>
      <c r="CA1206" s="34"/>
      <c r="CC1206" s="34"/>
      <c r="CE1206" s="34"/>
      <c r="CG1206" s="34"/>
      <c r="CI1206" s="34"/>
      <c r="CK1206" s="34"/>
      <c r="CM1206" s="34"/>
      <c r="CO1206" s="34"/>
      <c r="CQ1206" s="34"/>
    </row>
    <row r="1207" spans="1:95" ht="15" x14ac:dyDescent="0.25">
      <c r="A1207">
        <f>Data!A1202</f>
        <v>0</v>
      </c>
      <c r="B1207">
        <f>Data!B1202</f>
        <v>0</v>
      </c>
      <c r="C1207">
        <f>Data!E1202</f>
        <v>2014</v>
      </c>
      <c r="D1207" s="8">
        <f>Data!N1202</f>
        <v>1.0130718954248365E-2</v>
      </c>
      <c r="E1207">
        <f>E$1*(1-Data!BF1202)+E$2*Data!BF1202</f>
        <v>1</v>
      </c>
      <c r="F1207">
        <f t="shared" si="162"/>
        <v>1.0130718954248365E-2</v>
      </c>
      <c r="G1207" s="15"/>
      <c r="R1207" s="11"/>
      <c r="S1207" s="34"/>
      <c r="U1207" s="34"/>
      <c r="W1207" s="34"/>
      <c r="Y1207" s="34"/>
      <c r="AA1207" s="34"/>
      <c r="AC1207" s="34"/>
      <c r="AE1207" s="34"/>
      <c r="AG1207" s="34"/>
      <c r="AI1207" s="34"/>
      <c r="AK1207" s="34"/>
      <c r="AM1207" s="34"/>
      <c r="AO1207" s="34"/>
      <c r="AQ1207" s="34"/>
      <c r="AS1207" s="34"/>
      <c r="AU1207" s="34"/>
      <c r="AW1207" s="34"/>
      <c r="AY1207" s="34"/>
      <c r="BA1207" s="34"/>
      <c r="BC1207" s="34"/>
      <c r="BE1207" s="34"/>
      <c r="BG1207" s="34"/>
      <c r="BI1207" s="34"/>
      <c r="BK1207" s="34"/>
      <c r="BM1207" s="34"/>
      <c r="BO1207" s="34"/>
      <c r="BQ1207" s="34"/>
      <c r="BS1207" s="34"/>
      <c r="BU1207" s="34"/>
      <c r="BW1207" s="34"/>
      <c r="BY1207" s="34"/>
      <c r="CA1207" s="34"/>
      <c r="CC1207" s="34"/>
      <c r="CE1207" s="34"/>
      <c r="CG1207" s="34"/>
      <c r="CI1207" s="34"/>
      <c r="CK1207" s="34"/>
      <c r="CM1207" s="34"/>
      <c r="CO1207" s="34"/>
      <c r="CQ1207" s="34"/>
    </row>
    <row r="1208" spans="1:95" ht="15" x14ac:dyDescent="0.25">
      <c r="A1208">
        <f>Data!A1203</f>
        <v>0</v>
      </c>
      <c r="B1208">
        <f>Data!B1203</f>
        <v>0</v>
      </c>
      <c r="C1208">
        <f>Data!E1203</f>
        <v>2014</v>
      </c>
      <c r="D1208" s="8">
        <f>Data!N1203</f>
        <v>1.111111111111111E-2</v>
      </c>
      <c r="E1208">
        <f>E$1*(1-Data!BF1203)+E$2*Data!BF1203</f>
        <v>1</v>
      </c>
      <c r="F1208">
        <f t="shared" si="162"/>
        <v>1.111111111111111E-2</v>
      </c>
      <c r="G1208" s="15"/>
      <c r="R1208" s="11"/>
      <c r="S1208" s="34"/>
      <c r="U1208" s="34"/>
      <c r="W1208" s="34"/>
      <c r="Y1208" s="34"/>
      <c r="AA1208" s="34"/>
      <c r="AC1208" s="34"/>
      <c r="AE1208" s="34"/>
      <c r="AG1208" s="34"/>
      <c r="AI1208" s="34"/>
      <c r="AK1208" s="34"/>
      <c r="AM1208" s="34"/>
      <c r="AO1208" s="34"/>
      <c r="AQ1208" s="34"/>
      <c r="AS1208" s="34"/>
      <c r="AU1208" s="34"/>
      <c r="AW1208" s="34"/>
      <c r="AY1208" s="34"/>
      <c r="BA1208" s="34"/>
      <c r="BC1208" s="34"/>
      <c r="BE1208" s="34"/>
      <c r="BG1208" s="34"/>
      <c r="BI1208" s="34"/>
      <c r="BK1208" s="34"/>
      <c r="BM1208" s="34"/>
      <c r="BO1208" s="34"/>
      <c r="BQ1208" s="34"/>
      <c r="BS1208" s="34"/>
      <c r="BU1208" s="34"/>
      <c r="BW1208" s="34"/>
      <c r="BY1208" s="34"/>
      <c r="CA1208" s="34"/>
      <c r="CC1208" s="34"/>
      <c r="CE1208" s="34"/>
      <c r="CG1208" s="34"/>
      <c r="CI1208" s="34"/>
      <c r="CK1208" s="34"/>
      <c r="CM1208" s="34"/>
      <c r="CO1208" s="34"/>
      <c r="CQ1208" s="34"/>
    </row>
    <row r="1209" spans="1:95" ht="15" x14ac:dyDescent="0.25">
      <c r="A1209">
        <f>Data!A1204</f>
        <v>0</v>
      </c>
      <c r="B1209">
        <f>Data!B1204</f>
        <v>0</v>
      </c>
      <c r="C1209">
        <f>Data!E1204</f>
        <v>2014</v>
      </c>
      <c r="D1209" s="8">
        <f>Data!N1204</f>
        <v>1.2091503267973853E-2</v>
      </c>
      <c r="E1209">
        <f>E$1*(1-Data!BF1204)+E$2*Data!BF1204</f>
        <v>1</v>
      </c>
      <c r="F1209">
        <f t="shared" si="162"/>
        <v>1.2091503267973853E-2</v>
      </c>
      <c r="G1209" s="15"/>
      <c r="R1209" s="11"/>
      <c r="S1209" s="34"/>
      <c r="U1209" s="34"/>
      <c r="W1209" s="34"/>
      <c r="Y1209" s="34"/>
      <c r="AA1209" s="34"/>
      <c r="AC1209" s="34"/>
      <c r="AE1209" s="34"/>
      <c r="AG1209" s="34"/>
      <c r="AI1209" s="34"/>
      <c r="AK1209" s="34"/>
      <c r="AM1209" s="34"/>
      <c r="AO1209" s="34"/>
      <c r="AQ1209" s="34"/>
      <c r="AS1209" s="34"/>
      <c r="AU1209" s="34"/>
      <c r="AW1209" s="34"/>
      <c r="AY1209" s="34"/>
      <c r="BA1209" s="34"/>
      <c r="BC1209" s="34"/>
      <c r="BE1209" s="34"/>
      <c r="BG1209" s="34"/>
      <c r="BI1209" s="34"/>
      <c r="BK1209" s="34"/>
      <c r="BM1209" s="34"/>
      <c r="BO1209" s="34"/>
      <c r="BQ1209" s="34"/>
      <c r="BS1209" s="34"/>
      <c r="BU1209" s="34"/>
      <c r="BW1209" s="34"/>
      <c r="BY1209" s="34"/>
      <c r="CA1209" s="34"/>
      <c r="CC1209" s="34"/>
      <c r="CE1209" s="34"/>
      <c r="CG1209" s="34"/>
      <c r="CI1209" s="34"/>
      <c r="CK1209" s="34"/>
      <c r="CM1209" s="34"/>
      <c r="CO1209" s="34"/>
      <c r="CQ1209" s="34"/>
    </row>
    <row r="1210" spans="1:95" ht="15" x14ac:dyDescent="0.25">
      <c r="A1210">
        <f>Data!A1205</f>
        <v>0</v>
      </c>
      <c r="B1210">
        <f>Data!B1205</f>
        <v>0</v>
      </c>
      <c r="C1210">
        <f>Data!E1205</f>
        <v>2014</v>
      </c>
      <c r="D1210" s="8">
        <f>Data!N1205</f>
        <v>1.3071895424836602E-2</v>
      </c>
      <c r="E1210">
        <f>E$1*(1-Data!BF1205)+E$2*Data!BF1205</f>
        <v>1</v>
      </c>
      <c r="F1210">
        <f t="shared" si="162"/>
        <v>1.3071895424836602E-2</v>
      </c>
      <c r="G1210" s="15"/>
      <c r="R1210" s="11"/>
      <c r="S1210" s="34"/>
      <c r="U1210" s="34"/>
      <c r="W1210" s="34"/>
      <c r="Y1210" s="34"/>
      <c r="AA1210" s="34"/>
      <c r="AC1210" s="34"/>
      <c r="AE1210" s="34"/>
      <c r="AG1210" s="34"/>
      <c r="AI1210" s="34"/>
      <c r="AK1210" s="34"/>
      <c r="AM1210" s="34"/>
      <c r="AO1210" s="34"/>
      <c r="AQ1210" s="34"/>
      <c r="AS1210" s="34"/>
      <c r="AU1210" s="34"/>
      <c r="AW1210" s="34"/>
      <c r="AY1210" s="34"/>
      <c r="BA1210" s="34"/>
      <c r="BC1210" s="34"/>
      <c r="BE1210" s="34"/>
      <c r="BG1210" s="34"/>
      <c r="BI1210" s="34"/>
      <c r="BK1210" s="34"/>
      <c r="BM1210" s="34"/>
      <c r="BO1210" s="34"/>
      <c r="BQ1210" s="34"/>
      <c r="BS1210" s="34"/>
      <c r="BU1210" s="34"/>
      <c r="BW1210" s="34"/>
      <c r="BY1210" s="34"/>
      <c r="CA1210" s="34"/>
      <c r="CC1210" s="34"/>
      <c r="CE1210" s="34"/>
      <c r="CG1210" s="34"/>
      <c r="CI1210" s="34"/>
      <c r="CK1210" s="34"/>
      <c r="CM1210" s="34"/>
      <c r="CO1210" s="34"/>
      <c r="CQ1210" s="34"/>
    </row>
    <row r="1211" spans="1:95" ht="15" x14ac:dyDescent="0.25">
      <c r="A1211">
        <f>Data!A1206</f>
        <v>0</v>
      </c>
      <c r="B1211">
        <f>Data!B1206</f>
        <v>0</v>
      </c>
      <c r="C1211">
        <f>Data!E1206</f>
        <v>2014</v>
      </c>
      <c r="D1211" s="8">
        <f>Data!N1206</f>
        <v>1.2091503267973857E-2</v>
      </c>
      <c r="E1211">
        <f>E$1*(1-Data!BF1206)+E$2*Data!BF1206</f>
        <v>1</v>
      </c>
      <c r="F1211">
        <f t="shared" si="162"/>
        <v>1.2091503267973857E-2</v>
      </c>
      <c r="G1211" s="15"/>
      <c r="R1211" s="11"/>
      <c r="S1211" s="34"/>
      <c r="U1211" s="34"/>
      <c r="W1211" s="34"/>
      <c r="Y1211" s="34"/>
      <c r="AA1211" s="34"/>
      <c r="AC1211" s="34"/>
      <c r="AE1211" s="34"/>
      <c r="AG1211" s="34"/>
      <c r="AI1211" s="34"/>
      <c r="AK1211" s="34"/>
      <c r="AM1211" s="34"/>
      <c r="AO1211" s="34"/>
      <c r="AQ1211" s="34"/>
      <c r="AS1211" s="34"/>
      <c r="AU1211" s="34"/>
      <c r="AW1211" s="34"/>
      <c r="AY1211" s="34"/>
      <c r="BA1211" s="34"/>
      <c r="BC1211" s="34"/>
      <c r="BE1211" s="34"/>
      <c r="BG1211" s="34"/>
      <c r="BI1211" s="34"/>
      <c r="BK1211" s="34"/>
      <c r="BM1211" s="34"/>
      <c r="BO1211" s="34"/>
      <c r="BQ1211" s="34"/>
      <c r="BS1211" s="34"/>
      <c r="BU1211" s="34"/>
      <c r="BW1211" s="34"/>
      <c r="BY1211" s="34"/>
      <c r="CA1211" s="34"/>
      <c r="CC1211" s="34"/>
      <c r="CE1211" s="34"/>
      <c r="CG1211" s="34"/>
      <c r="CI1211" s="34"/>
      <c r="CK1211" s="34"/>
      <c r="CM1211" s="34"/>
      <c r="CO1211" s="34"/>
      <c r="CQ1211" s="34"/>
    </row>
    <row r="1212" spans="1:95" ht="15" x14ac:dyDescent="0.25">
      <c r="A1212">
        <f>Data!A1207</f>
        <v>0</v>
      </c>
      <c r="B1212">
        <f>Data!B1207</f>
        <v>0</v>
      </c>
      <c r="C1212">
        <f>Data!E1207</f>
        <v>2014</v>
      </c>
      <c r="D1212" s="8">
        <f>Data!N1207</f>
        <v>1.1111111111111112E-2</v>
      </c>
      <c r="E1212">
        <f>E$1*(1-Data!BF1207)+E$2*Data!BF1207</f>
        <v>1</v>
      </c>
      <c r="F1212">
        <f t="shared" si="162"/>
        <v>1.1111111111111112E-2</v>
      </c>
      <c r="G1212" s="15"/>
      <c r="R1212" s="11"/>
      <c r="S1212" s="34"/>
      <c r="U1212" s="34"/>
      <c r="W1212" s="34"/>
      <c r="Y1212" s="34"/>
      <c r="AA1212" s="34"/>
      <c r="AC1212" s="34"/>
      <c r="AE1212" s="34"/>
      <c r="AG1212" s="34"/>
      <c r="AI1212" s="34"/>
      <c r="AK1212" s="34"/>
      <c r="AM1212" s="34"/>
      <c r="AO1212" s="34"/>
      <c r="AQ1212" s="34"/>
      <c r="AS1212" s="34"/>
      <c r="AU1212" s="34"/>
      <c r="AW1212" s="34"/>
      <c r="AY1212" s="34"/>
      <c r="BA1212" s="34"/>
      <c r="BC1212" s="34"/>
      <c r="BE1212" s="34"/>
      <c r="BG1212" s="34"/>
      <c r="BI1212" s="34"/>
      <c r="BK1212" s="34"/>
      <c r="BM1212" s="34"/>
      <c r="BO1212" s="34"/>
      <c r="BQ1212" s="34"/>
      <c r="BS1212" s="34"/>
      <c r="BU1212" s="34"/>
      <c r="BW1212" s="34"/>
      <c r="BY1212" s="34"/>
      <c r="CA1212" s="34"/>
      <c r="CC1212" s="34"/>
      <c r="CE1212" s="34"/>
      <c r="CG1212" s="34"/>
      <c r="CI1212" s="34"/>
      <c r="CK1212" s="34"/>
      <c r="CM1212" s="34"/>
      <c r="CO1212" s="34"/>
      <c r="CQ1212" s="34"/>
    </row>
    <row r="1213" spans="1:95" ht="15" x14ac:dyDescent="0.25">
      <c r="A1213">
        <f>Data!A1208</f>
        <v>0</v>
      </c>
      <c r="B1213">
        <f>Data!B1208</f>
        <v>0</v>
      </c>
      <c r="C1213">
        <f>Data!E1208</f>
        <v>2014</v>
      </c>
      <c r="D1213" s="8">
        <f>Data!N1208</f>
        <v>1.0130718954248368E-2</v>
      </c>
      <c r="E1213">
        <f>E$1*(1-Data!BF1208)+E$2*Data!BF1208</f>
        <v>1</v>
      </c>
      <c r="F1213">
        <f t="shared" si="162"/>
        <v>1.0130718954248368E-2</v>
      </c>
      <c r="G1213" s="15"/>
      <c r="R1213" s="11"/>
      <c r="S1213" s="34"/>
      <c r="U1213" s="34"/>
      <c r="W1213" s="34"/>
      <c r="Y1213" s="34"/>
      <c r="AA1213" s="34"/>
      <c r="AC1213" s="34"/>
      <c r="AE1213" s="34"/>
      <c r="AG1213" s="34"/>
      <c r="AI1213" s="34"/>
      <c r="AK1213" s="34"/>
      <c r="AM1213" s="34"/>
      <c r="AO1213" s="34"/>
      <c r="AQ1213" s="34"/>
      <c r="AS1213" s="34"/>
      <c r="AU1213" s="34"/>
      <c r="AW1213" s="34"/>
      <c r="AY1213" s="34"/>
      <c r="BA1213" s="34"/>
      <c r="BC1213" s="34"/>
      <c r="BE1213" s="34"/>
      <c r="BG1213" s="34"/>
      <c r="BI1213" s="34"/>
      <c r="BK1213" s="34"/>
      <c r="BM1213" s="34"/>
      <c r="BO1213" s="34"/>
      <c r="BQ1213" s="34"/>
      <c r="BS1213" s="34"/>
      <c r="BU1213" s="34"/>
      <c r="BW1213" s="34"/>
      <c r="BY1213" s="34"/>
      <c r="CA1213" s="34"/>
      <c r="CC1213" s="34"/>
      <c r="CE1213" s="34"/>
      <c r="CG1213" s="34"/>
      <c r="CI1213" s="34"/>
      <c r="CK1213" s="34"/>
      <c r="CM1213" s="34"/>
      <c r="CO1213" s="34"/>
      <c r="CQ1213" s="34"/>
    </row>
    <row r="1214" spans="1:95" ht="15" x14ac:dyDescent="0.25">
      <c r="A1214">
        <f>Data!A1209</f>
        <v>0</v>
      </c>
      <c r="B1214">
        <f>Data!B1209</f>
        <v>0</v>
      </c>
      <c r="C1214">
        <f>Data!E1209</f>
        <v>2014</v>
      </c>
      <c r="D1214" s="8">
        <f>Data!N1209</f>
        <v>9.1503267973856231E-3</v>
      </c>
      <c r="E1214">
        <f>E$1*(1-Data!BF1209)+E$2*Data!BF1209</f>
        <v>1</v>
      </c>
      <c r="F1214">
        <f t="shared" si="162"/>
        <v>9.1503267973856231E-3</v>
      </c>
      <c r="G1214" s="15"/>
      <c r="R1214" s="11"/>
      <c r="S1214" s="34"/>
      <c r="U1214" s="34"/>
      <c r="W1214" s="34"/>
      <c r="Y1214" s="34"/>
      <c r="AA1214" s="34"/>
      <c r="AC1214" s="34"/>
      <c r="AE1214" s="34"/>
      <c r="AG1214" s="34"/>
      <c r="AI1214" s="34"/>
      <c r="AK1214" s="34"/>
      <c r="AM1214" s="34"/>
      <c r="AO1214" s="34"/>
      <c r="AQ1214" s="34"/>
      <c r="AS1214" s="34"/>
      <c r="AU1214" s="34"/>
      <c r="AW1214" s="34"/>
      <c r="AY1214" s="34"/>
      <c r="BA1214" s="34"/>
      <c r="BC1214" s="34"/>
      <c r="BE1214" s="34"/>
      <c r="BG1214" s="34"/>
      <c r="BI1214" s="34"/>
      <c r="BK1214" s="34"/>
      <c r="BM1214" s="34"/>
      <c r="BO1214" s="34"/>
      <c r="BQ1214" s="34"/>
      <c r="BS1214" s="34"/>
      <c r="BU1214" s="34"/>
      <c r="BW1214" s="34"/>
      <c r="BY1214" s="34"/>
      <c r="CA1214" s="34"/>
      <c r="CC1214" s="34"/>
      <c r="CE1214" s="34"/>
      <c r="CG1214" s="34"/>
      <c r="CI1214" s="34"/>
      <c r="CK1214" s="34"/>
      <c r="CM1214" s="34"/>
      <c r="CO1214" s="34"/>
      <c r="CQ1214" s="34"/>
    </row>
    <row r="1215" spans="1:95" ht="15" x14ac:dyDescent="0.25">
      <c r="A1215">
        <f>Data!A1210</f>
        <v>0</v>
      </c>
      <c r="B1215">
        <f>Data!B1210</f>
        <v>0</v>
      </c>
      <c r="C1215">
        <f>Data!E1210</f>
        <v>2014</v>
      </c>
      <c r="D1215" s="8">
        <f>Data!N1210</f>
        <v>8.169934640522878E-3</v>
      </c>
      <c r="E1215">
        <f>E$1*(1-Data!BF1210)+E$2*Data!BF1210</f>
        <v>1</v>
      </c>
      <c r="F1215">
        <f t="shared" si="162"/>
        <v>8.169934640522878E-3</v>
      </c>
      <c r="G1215" s="15"/>
      <c r="R1215" s="11"/>
      <c r="S1215" s="34"/>
      <c r="U1215" s="34"/>
      <c r="W1215" s="34"/>
      <c r="Y1215" s="34"/>
      <c r="AA1215" s="34"/>
      <c r="AC1215" s="34"/>
      <c r="AE1215" s="34"/>
      <c r="AG1215" s="34"/>
      <c r="AI1215" s="34"/>
      <c r="AK1215" s="34"/>
      <c r="AM1215" s="34"/>
      <c r="AO1215" s="34"/>
      <c r="AQ1215" s="34"/>
      <c r="AS1215" s="34"/>
      <c r="AU1215" s="34"/>
      <c r="AW1215" s="34"/>
      <c r="AY1215" s="34"/>
      <c r="BA1215" s="34"/>
      <c r="BC1215" s="34"/>
      <c r="BE1215" s="34"/>
      <c r="BG1215" s="34"/>
      <c r="BI1215" s="34"/>
      <c r="BK1215" s="34"/>
      <c r="BM1215" s="34"/>
      <c r="BO1215" s="34"/>
      <c r="BQ1215" s="34"/>
      <c r="BS1215" s="34"/>
      <c r="BU1215" s="34"/>
      <c r="BW1215" s="34"/>
      <c r="BY1215" s="34"/>
      <c r="CA1215" s="34"/>
      <c r="CC1215" s="34"/>
      <c r="CE1215" s="34"/>
      <c r="CG1215" s="34"/>
      <c r="CI1215" s="34"/>
      <c r="CK1215" s="34"/>
      <c r="CM1215" s="34"/>
      <c r="CO1215" s="34"/>
      <c r="CQ1215" s="34"/>
    </row>
    <row r="1216" spans="1:95" ht="15" x14ac:dyDescent="0.25">
      <c r="A1216">
        <f>Data!A1211</f>
        <v>0</v>
      </c>
      <c r="B1216">
        <f>Data!B1211</f>
        <v>0</v>
      </c>
      <c r="C1216">
        <f>Data!E1211</f>
        <v>2014</v>
      </c>
      <c r="D1216" s="8">
        <f>Data!N1211</f>
        <v>7.1895424836601338E-3</v>
      </c>
      <c r="E1216">
        <f>E$1*(1-Data!BF1211)+E$2*Data!BF1211</f>
        <v>1</v>
      </c>
      <c r="F1216">
        <f t="shared" si="162"/>
        <v>7.1895424836601338E-3</v>
      </c>
      <c r="G1216" s="15"/>
      <c r="R1216" s="11"/>
      <c r="S1216" s="34"/>
      <c r="U1216" s="34"/>
      <c r="W1216" s="34"/>
      <c r="Y1216" s="34"/>
      <c r="AA1216" s="34"/>
      <c r="AC1216" s="34"/>
      <c r="AE1216" s="34"/>
      <c r="AG1216" s="34"/>
      <c r="AI1216" s="34"/>
      <c r="AK1216" s="34"/>
      <c r="AM1216" s="34"/>
      <c r="AO1216" s="34"/>
      <c r="AQ1216" s="34"/>
      <c r="AS1216" s="34"/>
      <c r="AU1216" s="34"/>
      <c r="AW1216" s="34"/>
      <c r="AY1216" s="34"/>
      <c r="BA1216" s="34"/>
      <c r="BC1216" s="34"/>
      <c r="BE1216" s="34"/>
      <c r="BG1216" s="34"/>
      <c r="BI1216" s="34"/>
      <c r="BK1216" s="34"/>
      <c r="BM1216" s="34"/>
      <c r="BO1216" s="34"/>
      <c r="BQ1216" s="34"/>
      <c r="BS1216" s="34"/>
      <c r="BU1216" s="34"/>
      <c r="BW1216" s="34"/>
      <c r="BY1216" s="34"/>
      <c r="CA1216" s="34"/>
      <c r="CC1216" s="34"/>
      <c r="CE1216" s="34"/>
      <c r="CG1216" s="34"/>
      <c r="CI1216" s="34"/>
      <c r="CK1216" s="34"/>
      <c r="CM1216" s="34"/>
      <c r="CO1216" s="34"/>
      <c r="CQ1216" s="34"/>
    </row>
    <row r="1217" spans="1:266" ht="15" x14ac:dyDescent="0.25">
      <c r="A1217">
        <f>Data!A1212</f>
        <v>0</v>
      </c>
      <c r="B1217">
        <f>Data!B1212</f>
        <v>0</v>
      </c>
      <c r="C1217">
        <f>Data!E1212</f>
        <v>2014</v>
      </c>
      <c r="D1217" s="8">
        <f>Data!N1212</f>
        <v>6.2091503267973887E-3</v>
      </c>
      <c r="E1217">
        <f>E$1*(1-Data!BF1212)+E$2*Data!BF1212</f>
        <v>1</v>
      </c>
      <c r="F1217">
        <f t="shared" si="162"/>
        <v>6.2091503267973887E-3</v>
      </c>
      <c r="G1217" s="15"/>
      <c r="R1217" s="11"/>
      <c r="S1217" s="34"/>
      <c r="U1217" s="34"/>
      <c r="W1217" s="34"/>
      <c r="Y1217" s="34"/>
      <c r="AA1217" s="34"/>
      <c r="AC1217" s="34"/>
      <c r="AE1217" s="34"/>
      <c r="AG1217" s="34"/>
      <c r="AI1217" s="34"/>
      <c r="AK1217" s="34"/>
      <c r="AM1217" s="34"/>
      <c r="AO1217" s="34"/>
      <c r="AQ1217" s="34"/>
      <c r="AS1217" s="34"/>
      <c r="AU1217" s="34"/>
      <c r="AW1217" s="34"/>
      <c r="AY1217" s="34"/>
      <c r="BA1217" s="34"/>
      <c r="BC1217" s="34"/>
      <c r="BE1217" s="34"/>
      <c r="BG1217" s="34"/>
      <c r="BI1217" s="34"/>
      <c r="BK1217" s="34"/>
      <c r="BM1217" s="34"/>
      <c r="BO1217" s="34"/>
      <c r="BQ1217" s="34"/>
      <c r="BS1217" s="34"/>
      <c r="BU1217" s="34"/>
      <c r="BW1217" s="34"/>
      <c r="BY1217" s="34"/>
      <c r="CA1217" s="34"/>
      <c r="CC1217" s="34"/>
      <c r="CE1217" s="34"/>
      <c r="CG1217" s="34"/>
      <c r="CI1217" s="34"/>
      <c r="CK1217" s="34"/>
      <c r="CM1217" s="34"/>
      <c r="CO1217" s="34"/>
      <c r="CQ1217" s="34"/>
    </row>
    <row r="1218" spans="1:266" ht="15" x14ac:dyDescent="0.25">
      <c r="A1218">
        <f>Data!A1213</f>
        <v>0</v>
      </c>
      <c r="B1218">
        <f>Data!B1213</f>
        <v>0</v>
      </c>
      <c r="C1218">
        <f>Data!E1213</f>
        <v>2014</v>
      </c>
      <c r="D1218" s="8">
        <f>Data!N1213</f>
        <v>5.2287581699346436E-3</v>
      </c>
      <c r="E1218">
        <f>E$1*(1-Data!BF1213)+E$2*Data!BF1213</f>
        <v>1</v>
      </c>
      <c r="F1218">
        <f t="shared" si="162"/>
        <v>5.2287581699346436E-3</v>
      </c>
      <c r="G1218" s="15"/>
      <c r="R1218" s="11"/>
      <c r="S1218" s="34"/>
      <c r="U1218" s="34"/>
      <c r="W1218" s="34"/>
      <c r="Y1218" s="34"/>
      <c r="AA1218" s="34"/>
      <c r="AC1218" s="34"/>
      <c r="AE1218" s="34"/>
      <c r="AG1218" s="34"/>
      <c r="AI1218" s="34"/>
      <c r="AK1218" s="34"/>
      <c r="AM1218" s="34"/>
      <c r="AO1218" s="34"/>
      <c r="AQ1218" s="34"/>
      <c r="AS1218" s="34"/>
      <c r="AU1218" s="34"/>
      <c r="AW1218" s="34"/>
      <c r="AY1218" s="34"/>
      <c r="BA1218" s="34"/>
      <c r="BC1218" s="34"/>
      <c r="BE1218" s="34"/>
      <c r="BG1218" s="34"/>
      <c r="BI1218" s="34"/>
      <c r="BK1218" s="34"/>
      <c r="BM1218" s="34"/>
      <c r="BO1218" s="34"/>
      <c r="BQ1218" s="34"/>
      <c r="BS1218" s="34"/>
      <c r="BU1218" s="34"/>
      <c r="BW1218" s="34"/>
      <c r="BY1218" s="34"/>
      <c r="CA1218" s="34"/>
      <c r="CC1218" s="34"/>
      <c r="CE1218" s="34"/>
      <c r="CG1218" s="34"/>
      <c r="CI1218" s="34"/>
      <c r="CK1218" s="34"/>
      <c r="CM1218" s="34"/>
      <c r="CO1218" s="34"/>
      <c r="CQ1218" s="34"/>
    </row>
    <row r="1219" spans="1:266" ht="15" x14ac:dyDescent="0.25">
      <c r="A1219">
        <f>Data!A1214</f>
        <v>0</v>
      </c>
      <c r="B1219">
        <f>Data!B1214</f>
        <v>0</v>
      </c>
      <c r="C1219">
        <f>Data!E1214</f>
        <v>2014</v>
      </c>
      <c r="D1219" s="8">
        <f>Data!N1214</f>
        <v>4.2483660130718985E-3</v>
      </c>
      <c r="E1219">
        <f>E$1*(1-Data!BF1214)+E$2*Data!BF1214</f>
        <v>1</v>
      </c>
      <c r="F1219">
        <f t="shared" si="162"/>
        <v>4.2483660130718985E-3</v>
      </c>
      <c r="G1219" s="15"/>
      <c r="R1219" s="11"/>
      <c r="S1219" s="34"/>
      <c r="U1219" s="34"/>
      <c r="W1219" s="34"/>
      <c r="Y1219" s="34"/>
      <c r="AA1219" s="34"/>
      <c r="AC1219" s="34"/>
      <c r="AE1219" s="34"/>
      <c r="AG1219" s="34"/>
      <c r="AI1219" s="34"/>
      <c r="AK1219" s="34"/>
      <c r="AM1219" s="34"/>
      <c r="AO1219" s="34"/>
      <c r="AQ1219" s="34"/>
      <c r="AS1219" s="34"/>
      <c r="AU1219" s="34"/>
      <c r="AW1219" s="34"/>
      <c r="AY1219" s="34"/>
      <c r="BA1219" s="34"/>
      <c r="BC1219" s="34"/>
      <c r="BE1219" s="34"/>
      <c r="BG1219" s="34"/>
      <c r="BI1219" s="34"/>
      <c r="BK1219" s="34"/>
      <c r="BM1219" s="34"/>
      <c r="BO1219" s="34"/>
      <c r="BQ1219" s="34"/>
      <c r="BS1219" s="34"/>
      <c r="BU1219" s="34"/>
      <c r="BW1219" s="34"/>
      <c r="BY1219" s="34"/>
      <c r="CA1219" s="34"/>
      <c r="CC1219" s="34"/>
      <c r="CE1219" s="34"/>
      <c r="CG1219" s="34"/>
      <c r="CI1219" s="34"/>
      <c r="CK1219" s="34"/>
      <c r="CM1219" s="34"/>
      <c r="CO1219" s="34"/>
      <c r="CQ1219" s="34"/>
    </row>
    <row r="1220" spans="1:266" ht="15" x14ac:dyDescent="0.25">
      <c r="A1220">
        <f>Data!A1215</f>
        <v>0</v>
      </c>
      <c r="B1220">
        <f>Data!B1215</f>
        <v>0</v>
      </c>
      <c r="C1220">
        <f>Data!E1215</f>
        <v>2014</v>
      </c>
      <c r="D1220" s="8">
        <f>Data!N1215</f>
        <v>3.2679738562091504E-3</v>
      </c>
      <c r="E1220">
        <f>E$1*(1-Data!BF1215)+E$2*Data!BF1215</f>
        <v>1</v>
      </c>
      <c r="F1220">
        <f t="shared" si="162"/>
        <v>3.2679738562091504E-3</v>
      </c>
      <c r="G1220" s="15"/>
      <c r="R1220" s="11"/>
      <c r="S1220" s="34"/>
      <c r="U1220" s="34"/>
      <c r="W1220" s="34"/>
      <c r="Y1220" s="34"/>
      <c r="AA1220" s="34"/>
      <c r="AC1220" s="34"/>
      <c r="AE1220" s="34"/>
      <c r="AG1220" s="34"/>
      <c r="AI1220" s="34"/>
      <c r="AK1220" s="34"/>
      <c r="AM1220" s="34"/>
      <c r="AO1220" s="34"/>
      <c r="AQ1220" s="34"/>
      <c r="AS1220" s="34"/>
      <c r="AU1220" s="34"/>
      <c r="AW1220" s="34"/>
      <c r="AY1220" s="34"/>
      <c r="BA1220" s="34"/>
      <c r="BC1220" s="34"/>
      <c r="BE1220" s="34"/>
      <c r="BG1220" s="34"/>
      <c r="BI1220" s="34"/>
      <c r="BK1220" s="34"/>
      <c r="BM1220" s="34"/>
      <c r="BO1220" s="34"/>
      <c r="BQ1220" s="34"/>
      <c r="BS1220" s="34"/>
      <c r="BU1220" s="34"/>
      <c r="BW1220" s="34"/>
      <c r="BY1220" s="34"/>
      <c r="CA1220" s="34"/>
      <c r="CC1220" s="34"/>
      <c r="CE1220" s="34"/>
      <c r="CG1220" s="34"/>
      <c r="CI1220" s="34"/>
      <c r="CK1220" s="34"/>
      <c r="CM1220" s="34"/>
      <c r="CO1220" s="34"/>
      <c r="CQ1220" s="34"/>
    </row>
    <row r="1221" spans="1:266" x14ac:dyDescent="0.2">
      <c r="A1221" t="str">
        <f>Data!A1216</f>
        <v>Mendelsohn</v>
      </c>
      <c r="B1221" t="str">
        <f>Data!B1216</f>
        <v>RM9679</v>
      </c>
      <c r="C1221">
        <f>Data!E1216</f>
        <v>2004</v>
      </c>
      <c r="D1221">
        <v>1</v>
      </c>
      <c r="E1221">
        <f>E$1*(1-Data!BF1216)+E$2*Data!BF1216</f>
        <v>1</v>
      </c>
      <c r="F1221">
        <f>D1221*E1221</f>
        <v>1</v>
      </c>
      <c r="G1221" s="15">
        <f t="shared" ref="G1221" ca="1" si="163">(J1221/H1221)^(1/(K1221-I1221))-1</f>
        <v>2.2171598042168839E-2</v>
      </c>
      <c r="H1221">
        <f>MIN(L1221:BF1221)</f>
        <v>1.5</v>
      </c>
      <c r="I1221">
        <f ca="1">LOOKUP(H1221,L1221:BF1221,L$8:BE$8)</f>
        <v>2000</v>
      </c>
      <c r="J1221">
        <f>MAX(L1221:BF1221)</f>
        <v>15</v>
      </c>
      <c r="K1221">
        <f ca="1">LOOKUP(J1221,L1221:BF1221,L$8:BE$8)</f>
        <v>2105</v>
      </c>
      <c r="P1221">
        <v>1.5</v>
      </c>
      <c r="AK1221">
        <v>15</v>
      </c>
      <c r="JF1221" t="e">
        <f>1/SUM(BM1221:JD1221)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4"/>
  <sheetViews>
    <sheetView topLeftCell="A88" workbookViewId="0">
      <selection activeCell="N99" sqref="N99"/>
    </sheetView>
  </sheetViews>
  <sheetFormatPr defaultRowHeight="12.75" x14ac:dyDescent="0.2"/>
  <sheetData>
    <row r="1" spans="1:15" x14ac:dyDescent="0.2">
      <c r="A1" t="s">
        <v>115</v>
      </c>
      <c r="B1" t="s">
        <v>116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128</v>
      </c>
    </row>
    <row r="2" spans="1:15" x14ac:dyDescent="0.2">
      <c r="A2">
        <v>1913</v>
      </c>
      <c r="B2">
        <v>9.8000000000000007</v>
      </c>
      <c r="C2">
        <v>9.8000000000000007</v>
      </c>
      <c r="D2">
        <v>9.8000000000000007</v>
      </c>
      <c r="E2">
        <v>9.8000000000000007</v>
      </c>
      <c r="F2">
        <v>9.6999999999999993</v>
      </c>
      <c r="G2">
        <v>9.8000000000000007</v>
      </c>
      <c r="H2">
        <v>9.9</v>
      </c>
      <c r="I2">
        <v>9.9</v>
      </c>
      <c r="J2">
        <v>10</v>
      </c>
      <c r="K2">
        <v>10</v>
      </c>
      <c r="L2">
        <v>10.1</v>
      </c>
      <c r="M2">
        <v>10</v>
      </c>
      <c r="N2">
        <v>9.9</v>
      </c>
      <c r="O2">
        <f t="shared" ref="O2:O65" si="0">N$99/N2</f>
        <v>22.025858585858586</v>
      </c>
    </row>
    <row r="3" spans="1:15" x14ac:dyDescent="0.2">
      <c r="A3">
        <v>1914</v>
      </c>
      <c r="B3">
        <v>10</v>
      </c>
      <c r="C3">
        <v>9.9</v>
      </c>
      <c r="D3">
        <v>9.9</v>
      </c>
      <c r="E3">
        <v>9.8000000000000007</v>
      </c>
      <c r="F3">
        <v>9.9</v>
      </c>
      <c r="G3">
        <v>9.9</v>
      </c>
      <c r="H3">
        <v>10</v>
      </c>
      <c r="I3">
        <v>10.199999999999999</v>
      </c>
      <c r="J3">
        <v>10.199999999999999</v>
      </c>
      <c r="K3">
        <v>10.1</v>
      </c>
      <c r="L3">
        <v>10.199999999999999</v>
      </c>
      <c r="M3">
        <v>10.1</v>
      </c>
      <c r="N3">
        <v>10</v>
      </c>
      <c r="O3">
        <f t="shared" si="0"/>
        <v>21.805600000000002</v>
      </c>
    </row>
    <row r="4" spans="1:15" x14ac:dyDescent="0.2">
      <c r="A4">
        <v>1915</v>
      </c>
      <c r="B4">
        <v>10.1</v>
      </c>
      <c r="C4">
        <v>10</v>
      </c>
      <c r="D4">
        <v>9.9</v>
      </c>
      <c r="E4">
        <v>10</v>
      </c>
      <c r="F4">
        <v>10.1</v>
      </c>
      <c r="G4">
        <v>10.1</v>
      </c>
      <c r="H4">
        <v>10.1</v>
      </c>
      <c r="I4">
        <v>10.1</v>
      </c>
      <c r="J4">
        <v>10.1</v>
      </c>
      <c r="K4">
        <v>10.199999999999999</v>
      </c>
      <c r="L4">
        <v>10.3</v>
      </c>
      <c r="M4">
        <v>10.3</v>
      </c>
      <c r="N4">
        <v>10.1</v>
      </c>
      <c r="O4">
        <f t="shared" si="0"/>
        <v>21.589702970297033</v>
      </c>
    </row>
    <row r="5" spans="1:15" x14ac:dyDescent="0.2">
      <c r="A5">
        <v>1916</v>
      </c>
      <c r="B5">
        <v>10.4</v>
      </c>
      <c r="C5">
        <v>10.4</v>
      </c>
      <c r="D5">
        <v>10.5</v>
      </c>
      <c r="E5">
        <v>10.6</v>
      </c>
      <c r="F5">
        <v>10.7</v>
      </c>
      <c r="G5">
        <v>10.8</v>
      </c>
      <c r="H5">
        <v>10.8</v>
      </c>
      <c r="I5">
        <v>10.9</v>
      </c>
      <c r="J5">
        <v>11.1</v>
      </c>
      <c r="K5">
        <v>11.3</v>
      </c>
      <c r="L5">
        <v>11.5</v>
      </c>
      <c r="M5">
        <v>11.6</v>
      </c>
      <c r="N5">
        <v>10.9</v>
      </c>
      <c r="O5">
        <f t="shared" si="0"/>
        <v>20.005137614678901</v>
      </c>
    </row>
    <row r="6" spans="1:15" x14ac:dyDescent="0.2">
      <c r="A6">
        <v>1917</v>
      </c>
      <c r="B6">
        <v>11.7</v>
      </c>
      <c r="C6">
        <v>12</v>
      </c>
      <c r="D6">
        <v>12</v>
      </c>
      <c r="E6">
        <v>12.6</v>
      </c>
      <c r="F6">
        <v>12.8</v>
      </c>
      <c r="G6">
        <v>13</v>
      </c>
      <c r="H6">
        <v>12.8</v>
      </c>
      <c r="I6">
        <v>13</v>
      </c>
      <c r="J6">
        <v>13.3</v>
      </c>
      <c r="K6">
        <v>13.5</v>
      </c>
      <c r="L6">
        <v>13.5</v>
      </c>
      <c r="M6">
        <v>13.7</v>
      </c>
      <c r="N6">
        <v>12.8</v>
      </c>
      <c r="O6">
        <f t="shared" si="0"/>
        <v>17.035625</v>
      </c>
    </row>
    <row r="7" spans="1:15" x14ac:dyDescent="0.2">
      <c r="A7">
        <v>1918</v>
      </c>
      <c r="B7">
        <v>14</v>
      </c>
      <c r="C7">
        <v>14.1</v>
      </c>
      <c r="D7">
        <v>14</v>
      </c>
      <c r="E7">
        <v>14.2</v>
      </c>
      <c r="F7">
        <v>14.5</v>
      </c>
      <c r="G7">
        <v>14.7</v>
      </c>
      <c r="H7">
        <v>15.1</v>
      </c>
      <c r="I7">
        <v>15.4</v>
      </c>
      <c r="J7">
        <v>15.7</v>
      </c>
      <c r="K7">
        <v>16</v>
      </c>
      <c r="L7">
        <v>16.3</v>
      </c>
      <c r="M7">
        <v>16.5</v>
      </c>
      <c r="N7">
        <v>15.1</v>
      </c>
      <c r="O7">
        <f t="shared" si="0"/>
        <v>14.440794701986755</v>
      </c>
    </row>
    <row r="8" spans="1:15" x14ac:dyDescent="0.2">
      <c r="A8">
        <v>1919</v>
      </c>
      <c r="B8">
        <v>16.5</v>
      </c>
      <c r="C8">
        <v>16.2</v>
      </c>
      <c r="D8">
        <v>16.399999999999999</v>
      </c>
      <c r="E8">
        <v>16.7</v>
      </c>
      <c r="F8">
        <v>16.899999999999999</v>
      </c>
      <c r="G8">
        <v>16.899999999999999</v>
      </c>
      <c r="H8">
        <v>17.399999999999999</v>
      </c>
      <c r="I8">
        <v>17.7</v>
      </c>
      <c r="J8">
        <v>17.8</v>
      </c>
      <c r="K8">
        <v>18.100000000000001</v>
      </c>
      <c r="L8">
        <v>18.5</v>
      </c>
      <c r="M8">
        <v>18.899999999999999</v>
      </c>
      <c r="N8">
        <v>17.3</v>
      </c>
      <c r="O8">
        <f t="shared" si="0"/>
        <v>12.604393063583816</v>
      </c>
    </row>
    <row r="9" spans="1:15" x14ac:dyDescent="0.2">
      <c r="A9">
        <v>1920</v>
      </c>
      <c r="B9">
        <v>19.3</v>
      </c>
      <c r="C9">
        <v>19.5</v>
      </c>
      <c r="D9">
        <v>19.7</v>
      </c>
      <c r="E9">
        <v>20.3</v>
      </c>
      <c r="F9">
        <v>20.6</v>
      </c>
      <c r="G9">
        <v>20.9</v>
      </c>
      <c r="H9">
        <v>20.8</v>
      </c>
      <c r="I9">
        <v>20.3</v>
      </c>
      <c r="J9">
        <v>20</v>
      </c>
      <c r="K9">
        <v>19.899999999999999</v>
      </c>
      <c r="L9">
        <v>19.8</v>
      </c>
      <c r="M9">
        <v>19.399999999999999</v>
      </c>
      <c r="N9">
        <v>20</v>
      </c>
      <c r="O9">
        <f t="shared" si="0"/>
        <v>10.902800000000001</v>
      </c>
    </row>
    <row r="10" spans="1:15" x14ac:dyDescent="0.2">
      <c r="A10">
        <v>1921</v>
      </c>
      <c r="B10">
        <v>19</v>
      </c>
      <c r="C10">
        <v>18.399999999999999</v>
      </c>
      <c r="D10">
        <v>18.3</v>
      </c>
      <c r="E10">
        <v>18.100000000000001</v>
      </c>
      <c r="F10">
        <v>17.7</v>
      </c>
      <c r="G10">
        <v>17.600000000000001</v>
      </c>
      <c r="H10">
        <v>17.7</v>
      </c>
      <c r="I10">
        <v>17.7</v>
      </c>
      <c r="J10">
        <v>17.5</v>
      </c>
      <c r="K10">
        <v>17.5</v>
      </c>
      <c r="L10">
        <v>17.399999999999999</v>
      </c>
      <c r="M10">
        <v>17.3</v>
      </c>
      <c r="N10">
        <v>17.899999999999999</v>
      </c>
      <c r="O10">
        <f t="shared" si="0"/>
        <v>12.181899441340784</v>
      </c>
    </row>
    <row r="11" spans="1:15" x14ac:dyDescent="0.2">
      <c r="A11">
        <v>1922</v>
      </c>
      <c r="B11">
        <v>16.899999999999999</v>
      </c>
      <c r="C11">
        <v>16.899999999999999</v>
      </c>
      <c r="D11">
        <v>16.7</v>
      </c>
      <c r="E11">
        <v>16.7</v>
      </c>
      <c r="F11">
        <v>16.7</v>
      </c>
      <c r="G11">
        <v>16.7</v>
      </c>
      <c r="H11">
        <v>16.8</v>
      </c>
      <c r="I11">
        <v>16.600000000000001</v>
      </c>
      <c r="J11">
        <v>16.600000000000001</v>
      </c>
      <c r="K11">
        <v>16.7</v>
      </c>
      <c r="L11">
        <v>16.8</v>
      </c>
      <c r="M11">
        <v>16.899999999999999</v>
      </c>
      <c r="N11">
        <v>16.8</v>
      </c>
      <c r="O11">
        <f t="shared" si="0"/>
        <v>12.97952380952381</v>
      </c>
    </row>
    <row r="12" spans="1:15" x14ac:dyDescent="0.2">
      <c r="A12">
        <v>1923</v>
      </c>
      <c r="B12">
        <v>16.8</v>
      </c>
      <c r="C12">
        <v>16.8</v>
      </c>
      <c r="D12">
        <v>16.8</v>
      </c>
      <c r="E12">
        <v>16.899999999999999</v>
      </c>
      <c r="F12">
        <v>16.899999999999999</v>
      </c>
      <c r="G12">
        <v>17</v>
      </c>
      <c r="H12">
        <v>17.2</v>
      </c>
      <c r="I12">
        <v>17.100000000000001</v>
      </c>
      <c r="J12">
        <v>17.2</v>
      </c>
      <c r="K12">
        <v>17.3</v>
      </c>
      <c r="L12">
        <v>17.3</v>
      </c>
      <c r="M12">
        <v>17.3</v>
      </c>
      <c r="N12">
        <v>17.100000000000001</v>
      </c>
      <c r="O12">
        <f t="shared" si="0"/>
        <v>12.751812865497076</v>
      </c>
    </row>
    <row r="13" spans="1:15" x14ac:dyDescent="0.2">
      <c r="A13">
        <v>1924</v>
      </c>
      <c r="B13">
        <v>17.3</v>
      </c>
      <c r="C13">
        <v>17.2</v>
      </c>
      <c r="D13">
        <v>17.100000000000001</v>
      </c>
      <c r="E13">
        <v>17</v>
      </c>
      <c r="F13">
        <v>17</v>
      </c>
      <c r="G13">
        <v>17</v>
      </c>
      <c r="H13">
        <v>17.100000000000001</v>
      </c>
      <c r="I13">
        <v>17</v>
      </c>
      <c r="J13">
        <v>17.100000000000001</v>
      </c>
      <c r="K13">
        <v>17.2</v>
      </c>
      <c r="L13">
        <v>17.2</v>
      </c>
      <c r="M13">
        <v>17.3</v>
      </c>
      <c r="N13">
        <v>17.100000000000001</v>
      </c>
      <c r="O13">
        <f t="shared" si="0"/>
        <v>12.751812865497076</v>
      </c>
    </row>
    <row r="14" spans="1:15" x14ac:dyDescent="0.2">
      <c r="A14">
        <v>1925</v>
      </c>
      <c r="B14">
        <v>17.3</v>
      </c>
      <c r="C14">
        <v>17.2</v>
      </c>
      <c r="D14">
        <v>17.3</v>
      </c>
      <c r="E14">
        <v>17.2</v>
      </c>
      <c r="F14">
        <v>17.3</v>
      </c>
      <c r="G14">
        <v>17.5</v>
      </c>
      <c r="H14">
        <v>17.7</v>
      </c>
      <c r="I14">
        <v>17.7</v>
      </c>
      <c r="J14">
        <v>17.7</v>
      </c>
      <c r="K14">
        <v>17.7</v>
      </c>
      <c r="L14">
        <v>18</v>
      </c>
      <c r="M14">
        <v>17.899999999999999</v>
      </c>
      <c r="N14">
        <v>17.5</v>
      </c>
      <c r="O14">
        <f t="shared" si="0"/>
        <v>12.460342857142857</v>
      </c>
    </row>
    <row r="15" spans="1:15" x14ac:dyDescent="0.2">
      <c r="A15">
        <v>1926</v>
      </c>
      <c r="B15">
        <v>17.899999999999999</v>
      </c>
      <c r="C15">
        <v>17.899999999999999</v>
      </c>
      <c r="D15">
        <v>17.8</v>
      </c>
      <c r="E15">
        <v>17.899999999999999</v>
      </c>
      <c r="F15">
        <v>17.8</v>
      </c>
      <c r="G15">
        <v>17.7</v>
      </c>
      <c r="H15">
        <v>17.5</v>
      </c>
      <c r="I15">
        <v>17.399999999999999</v>
      </c>
      <c r="J15">
        <v>17.5</v>
      </c>
      <c r="K15">
        <v>17.600000000000001</v>
      </c>
      <c r="L15">
        <v>17.7</v>
      </c>
      <c r="M15">
        <v>17.7</v>
      </c>
      <c r="N15">
        <v>17.7</v>
      </c>
      <c r="O15">
        <f t="shared" si="0"/>
        <v>12.319548022598871</v>
      </c>
    </row>
    <row r="16" spans="1:15" x14ac:dyDescent="0.2">
      <c r="A16">
        <v>1927</v>
      </c>
      <c r="B16">
        <v>17.5</v>
      </c>
      <c r="C16">
        <v>17.399999999999999</v>
      </c>
      <c r="D16">
        <v>17.3</v>
      </c>
      <c r="E16">
        <v>17.3</v>
      </c>
      <c r="F16">
        <v>17.399999999999999</v>
      </c>
      <c r="G16">
        <v>17.600000000000001</v>
      </c>
      <c r="H16">
        <v>17.3</v>
      </c>
      <c r="I16">
        <v>17.2</v>
      </c>
      <c r="J16">
        <v>17.3</v>
      </c>
      <c r="K16">
        <v>17.399999999999999</v>
      </c>
      <c r="L16">
        <v>17.3</v>
      </c>
      <c r="M16">
        <v>17.3</v>
      </c>
      <c r="N16">
        <v>17.399999999999999</v>
      </c>
      <c r="O16">
        <f t="shared" si="0"/>
        <v>12.531954022988508</v>
      </c>
    </row>
    <row r="17" spans="1:15" x14ac:dyDescent="0.2">
      <c r="A17">
        <v>1928</v>
      </c>
      <c r="B17">
        <v>17.3</v>
      </c>
      <c r="C17">
        <v>17.100000000000001</v>
      </c>
      <c r="D17">
        <v>17.100000000000001</v>
      </c>
      <c r="E17">
        <v>17.100000000000001</v>
      </c>
      <c r="F17">
        <v>17.2</v>
      </c>
      <c r="G17">
        <v>17.100000000000001</v>
      </c>
      <c r="H17">
        <v>17.100000000000001</v>
      </c>
      <c r="I17">
        <v>17.100000000000001</v>
      </c>
      <c r="J17">
        <v>17.3</v>
      </c>
      <c r="K17">
        <v>17.2</v>
      </c>
      <c r="L17">
        <v>17.2</v>
      </c>
      <c r="M17">
        <v>17.100000000000001</v>
      </c>
      <c r="N17">
        <v>17.100000000000001</v>
      </c>
      <c r="O17">
        <f t="shared" si="0"/>
        <v>12.751812865497076</v>
      </c>
    </row>
    <row r="18" spans="1:15" x14ac:dyDescent="0.2">
      <c r="A18">
        <v>1929</v>
      </c>
      <c r="B18">
        <v>17.100000000000001</v>
      </c>
      <c r="C18">
        <v>17.100000000000001</v>
      </c>
      <c r="D18">
        <v>17</v>
      </c>
      <c r="E18">
        <v>16.899999999999999</v>
      </c>
      <c r="F18">
        <v>17</v>
      </c>
      <c r="G18">
        <v>17.100000000000001</v>
      </c>
      <c r="H18">
        <v>17.3</v>
      </c>
      <c r="I18">
        <v>17.3</v>
      </c>
      <c r="J18">
        <v>17.3</v>
      </c>
      <c r="K18">
        <v>17.3</v>
      </c>
      <c r="L18">
        <v>17.3</v>
      </c>
      <c r="M18">
        <v>17.2</v>
      </c>
      <c r="N18">
        <v>17.100000000000001</v>
      </c>
      <c r="O18">
        <f t="shared" si="0"/>
        <v>12.751812865497076</v>
      </c>
    </row>
    <row r="19" spans="1:15" x14ac:dyDescent="0.2">
      <c r="A19">
        <v>1930</v>
      </c>
      <c r="B19">
        <v>17.100000000000001</v>
      </c>
      <c r="C19">
        <v>17</v>
      </c>
      <c r="D19">
        <v>16.899999999999999</v>
      </c>
      <c r="E19">
        <v>17</v>
      </c>
      <c r="F19">
        <v>16.899999999999999</v>
      </c>
      <c r="G19">
        <v>16.8</v>
      </c>
      <c r="H19">
        <v>16.600000000000001</v>
      </c>
      <c r="I19">
        <v>16.5</v>
      </c>
      <c r="J19">
        <v>16.600000000000001</v>
      </c>
      <c r="K19">
        <v>16.5</v>
      </c>
      <c r="L19">
        <v>16.399999999999999</v>
      </c>
      <c r="M19">
        <v>16.100000000000001</v>
      </c>
      <c r="N19">
        <v>16.7</v>
      </c>
      <c r="O19">
        <f t="shared" si="0"/>
        <v>13.057245508982037</v>
      </c>
    </row>
    <row r="20" spans="1:15" x14ac:dyDescent="0.2">
      <c r="A20">
        <v>1931</v>
      </c>
      <c r="B20">
        <v>15.9</v>
      </c>
      <c r="C20">
        <v>15.7</v>
      </c>
      <c r="D20">
        <v>15.6</v>
      </c>
      <c r="E20">
        <v>15.5</v>
      </c>
      <c r="F20">
        <v>15.3</v>
      </c>
      <c r="G20">
        <v>15.1</v>
      </c>
      <c r="H20">
        <v>15.1</v>
      </c>
      <c r="I20">
        <v>15.1</v>
      </c>
      <c r="J20">
        <v>15</v>
      </c>
      <c r="K20">
        <v>14.9</v>
      </c>
      <c r="L20">
        <v>14.7</v>
      </c>
      <c r="M20">
        <v>14.6</v>
      </c>
      <c r="N20">
        <v>15.2</v>
      </c>
      <c r="O20">
        <f t="shared" si="0"/>
        <v>14.345789473684212</v>
      </c>
    </row>
    <row r="21" spans="1:15" x14ac:dyDescent="0.2">
      <c r="A21">
        <v>1932</v>
      </c>
      <c r="B21">
        <v>14.3</v>
      </c>
      <c r="C21">
        <v>14.1</v>
      </c>
      <c r="D21">
        <v>14</v>
      </c>
      <c r="E21">
        <v>13.9</v>
      </c>
      <c r="F21">
        <v>13.7</v>
      </c>
      <c r="G21">
        <v>13.6</v>
      </c>
      <c r="H21">
        <v>13.6</v>
      </c>
      <c r="I21">
        <v>13.5</v>
      </c>
      <c r="J21">
        <v>13.4</v>
      </c>
      <c r="K21">
        <v>13.3</v>
      </c>
      <c r="L21">
        <v>13.2</v>
      </c>
      <c r="M21">
        <v>13.1</v>
      </c>
      <c r="N21">
        <v>13.7</v>
      </c>
      <c r="O21">
        <f t="shared" si="0"/>
        <v>15.916496350364966</v>
      </c>
    </row>
    <row r="22" spans="1:15" x14ac:dyDescent="0.2">
      <c r="A22">
        <v>1933</v>
      </c>
      <c r="B22">
        <v>12.9</v>
      </c>
      <c r="C22">
        <v>12.7</v>
      </c>
      <c r="D22">
        <v>12.6</v>
      </c>
      <c r="E22">
        <v>12.6</v>
      </c>
      <c r="F22">
        <v>12.6</v>
      </c>
      <c r="G22">
        <v>12.7</v>
      </c>
      <c r="H22">
        <v>13.1</v>
      </c>
      <c r="I22">
        <v>13.2</v>
      </c>
      <c r="J22">
        <v>13.2</v>
      </c>
      <c r="K22">
        <v>13.2</v>
      </c>
      <c r="L22">
        <v>13.2</v>
      </c>
      <c r="M22">
        <v>13.2</v>
      </c>
      <c r="N22">
        <v>13</v>
      </c>
      <c r="O22">
        <f t="shared" si="0"/>
        <v>16.773538461538461</v>
      </c>
    </row>
    <row r="23" spans="1:15" x14ac:dyDescent="0.2">
      <c r="A23">
        <v>1934</v>
      </c>
      <c r="B23">
        <v>13.2</v>
      </c>
      <c r="C23">
        <v>13.3</v>
      </c>
      <c r="D23">
        <v>13.3</v>
      </c>
      <c r="E23">
        <v>13.3</v>
      </c>
      <c r="F23">
        <v>13.3</v>
      </c>
      <c r="G23">
        <v>13.4</v>
      </c>
      <c r="H23">
        <v>13.4</v>
      </c>
      <c r="I23">
        <v>13.4</v>
      </c>
      <c r="J23">
        <v>13.6</v>
      </c>
      <c r="K23">
        <v>13.5</v>
      </c>
      <c r="L23">
        <v>13.5</v>
      </c>
      <c r="M23">
        <v>13.4</v>
      </c>
      <c r="N23">
        <v>13.4</v>
      </c>
      <c r="O23">
        <f t="shared" si="0"/>
        <v>16.272835820895523</v>
      </c>
    </row>
    <row r="24" spans="1:15" x14ac:dyDescent="0.2">
      <c r="A24">
        <v>1935</v>
      </c>
      <c r="B24">
        <v>13.6</v>
      </c>
      <c r="C24">
        <v>13.7</v>
      </c>
      <c r="D24">
        <v>13.7</v>
      </c>
      <c r="E24">
        <v>13.8</v>
      </c>
      <c r="F24">
        <v>13.8</v>
      </c>
      <c r="G24">
        <v>13.7</v>
      </c>
      <c r="H24">
        <v>13.7</v>
      </c>
      <c r="I24">
        <v>13.7</v>
      </c>
      <c r="J24">
        <v>13.7</v>
      </c>
      <c r="K24">
        <v>13.7</v>
      </c>
      <c r="L24">
        <v>13.8</v>
      </c>
      <c r="M24">
        <v>13.8</v>
      </c>
      <c r="N24">
        <v>13.7</v>
      </c>
      <c r="O24">
        <f t="shared" si="0"/>
        <v>15.916496350364966</v>
      </c>
    </row>
    <row r="25" spans="1:15" x14ac:dyDescent="0.2">
      <c r="A25">
        <v>1936</v>
      </c>
      <c r="B25">
        <v>13.8</v>
      </c>
      <c r="C25">
        <v>13.8</v>
      </c>
      <c r="D25">
        <v>13.7</v>
      </c>
      <c r="E25">
        <v>13.7</v>
      </c>
      <c r="F25">
        <v>13.7</v>
      </c>
      <c r="G25">
        <v>13.8</v>
      </c>
      <c r="H25">
        <v>13.9</v>
      </c>
      <c r="I25">
        <v>14</v>
      </c>
      <c r="J25">
        <v>14</v>
      </c>
      <c r="K25">
        <v>14</v>
      </c>
      <c r="L25">
        <v>14</v>
      </c>
      <c r="M25">
        <v>14</v>
      </c>
      <c r="N25">
        <v>13.9</v>
      </c>
      <c r="O25">
        <f t="shared" si="0"/>
        <v>15.68748201438849</v>
      </c>
    </row>
    <row r="26" spans="1:15" x14ac:dyDescent="0.2">
      <c r="A26">
        <v>1937</v>
      </c>
      <c r="B26">
        <v>14.1</v>
      </c>
      <c r="C26">
        <v>14.1</v>
      </c>
      <c r="D26">
        <v>14.2</v>
      </c>
      <c r="E26">
        <v>14.3</v>
      </c>
      <c r="F26">
        <v>14.4</v>
      </c>
      <c r="G26">
        <v>14.4</v>
      </c>
      <c r="H26">
        <v>14.5</v>
      </c>
      <c r="I26">
        <v>14.5</v>
      </c>
      <c r="J26">
        <v>14.6</v>
      </c>
      <c r="K26">
        <v>14.6</v>
      </c>
      <c r="L26">
        <v>14.5</v>
      </c>
      <c r="M26">
        <v>14.4</v>
      </c>
      <c r="N26">
        <v>14.4</v>
      </c>
      <c r="O26">
        <f t="shared" si="0"/>
        <v>15.142777777777779</v>
      </c>
    </row>
    <row r="27" spans="1:15" x14ac:dyDescent="0.2">
      <c r="A27">
        <v>1938</v>
      </c>
      <c r="B27">
        <v>14.2</v>
      </c>
      <c r="C27">
        <v>14.1</v>
      </c>
      <c r="D27">
        <v>14.1</v>
      </c>
      <c r="E27">
        <v>14.2</v>
      </c>
      <c r="F27">
        <v>14.1</v>
      </c>
      <c r="G27">
        <v>14.1</v>
      </c>
      <c r="H27">
        <v>14.1</v>
      </c>
      <c r="I27">
        <v>14.1</v>
      </c>
      <c r="J27">
        <v>14.1</v>
      </c>
      <c r="K27">
        <v>14</v>
      </c>
      <c r="L27">
        <v>14</v>
      </c>
      <c r="M27">
        <v>14</v>
      </c>
      <c r="N27">
        <v>14.1</v>
      </c>
      <c r="O27">
        <f t="shared" si="0"/>
        <v>15.464964539007093</v>
      </c>
    </row>
    <row r="28" spans="1:15" x14ac:dyDescent="0.2">
      <c r="A28">
        <v>1939</v>
      </c>
      <c r="B28">
        <v>14</v>
      </c>
      <c r="C28">
        <v>13.9</v>
      </c>
      <c r="D28">
        <v>13.9</v>
      </c>
      <c r="E28">
        <v>13.8</v>
      </c>
      <c r="F28">
        <v>13.8</v>
      </c>
      <c r="G28">
        <v>13.8</v>
      </c>
      <c r="H28">
        <v>13.8</v>
      </c>
      <c r="I28">
        <v>13.8</v>
      </c>
      <c r="J28">
        <v>14.1</v>
      </c>
      <c r="K28">
        <v>14</v>
      </c>
      <c r="L28">
        <v>14</v>
      </c>
      <c r="M28">
        <v>14</v>
      </c>
      <c r="N28">
        <v>13.9</v>
      </c>
      <c r="O28">
        <f t="shared" si="0"/>
        <v>15.68748201438849</v>
      </c>
    </row>
    <row r="29" spans="1:15" x14ac:dyDescent="0.2">
      <c r="A29">
        <v>1940</v>
      </c>
      <c r="B29">
        <v>13.9</v>
      </c>
      <c r="C29">
        <v>14</v>
      </c>
      <c r="D29">
        <v>14</v>
      </c>
      <c r="E29">
        <v>14</v>
      </c>
      <c r="F29">
        <v>14</v>
      </c>
      <c r="G29">
        <v>14.1</v>
      </c>
      <c r="H29">
        <v>14</v>
      </c>
      <c r="I29">
        <v>14</v>
      </c>
      <c r="J29">
        <v>14</v>
      </c>
      <c r="K29">
        <v>14</v>
      </c>
      <c r="L29">
        <v>14</v>
      </c>
      <c r="M29">
        <v>14.1</v>
      </c>
      <c r="N29">
        <v>14</v>
      </c>
      <c r="O29">
        <f t="shared" si="0"/>
        <v>15.575428571428573</v>
      </c>
    </row>
    <row r="30" spans="1:15" x14ac:dyDescent="0.2">
      <c r="A30">
        <v>1941</v>
      </c>
      <c r="B30">
        <v>14.1</v>
      </c>
      <c r="C30">
        <v>14.1</v>
      </c>
      <c r="D30">
        <v>14.2</v>
      </c>
      <c r="E30">
        <v>14.3</v>
      </c>
      <c r="F30">
        <v>14.4</v>
      </c>
      <c r="G30">
        <v>14.7</v>
      </c>
      <c r="H30">
        <v>14.7</v>
      </c>
      <c r="I30">
        <v>14.9</v>
      </c>
      <c r="J30">
        <v>15.1</v>
      </c>
      <c r="K30">
        <v>15.3</v>
      </c>
      <c r="L30">
        <v>15.4</v>
      </c>
      <c r="M30">
        <v>15.5</v>
      </c>
      <c r="N30">
        <v>14.7</v>
      </c>
      <c r="O30">
        <f t="shared" si="0"/>
        <v>14.833741496598641</v>
      </c>
    </row>
    <row r="31" spans="1:15" x14ac:dyDescent="0.2">
      <c r="A31">
        <v>1942</v>
      </c>
      <c r="B31">
        <v>15.7</v>
      </c>
      <c r="C31">
        <v>15.8</v>
      </c>
      <c r="D31">
        <v>16</v>
      </c>
      <c r="E31">
        <v>16.100000000000001</v>
      </c>
      <c r="F31">
        <v>16.3</v>
      </c>
      <c r="G31">
        <v>16.3</v>
      </c>
      <c r="H31">
        <v>16.399999999999999</v>
      </c>
      <c r="I31">
        <v>16.5</v>
      </c>
      <c r="J31">
        <v>16.5</v>
      </c>
      <c r="K31">
        <v>16.7</v>
      </c>
      <c r="L31">
        <v>16.8</v>
      </c>
      <c r="M31">
        <v>16.899999999999999</v>
      </c>
      <c r="N31">
        <v>16.3</v>
      </c>
      <c r="O31">
        <f t="shared" si="0"/>
        <v>13.377668711656442</v>
      </c>
    </row>
    <row r="32" spans="1:15" x14ac:dyDescent="0.2">
      <c r="A32">
        <v>1943</v>
      </c>
      <c r="B32">
        <v>16.899999999999999</v>
      </c>
      <c r="C32">
        <v>16.899999999999999</v>
      </c>
      <c r="D32">
        <v>17.2</v>
      </c>
      <c r="E32">
        <v>17.399999999999999</v>
      </c>
      <c r="F32">
        <v>17.5</v>
      </c>
      <c r="G32">
        <v>17.5</v>
      </c>
      <c r="H32">
        <v>17.399999999999999</v>
      </c>
      <c r="I32">
        <v>17.3</v>
      </c>
      <c r="J32">
        <v>17.399999999999999</v>
      </c>
      <c r="K32">
        <v>17.399999999999999</v>
      </c>
      <c r="L32">
        <v>17.399999999999999</v>
      </c>
      <c r="M32">
        <v>17.399999999999999</v>
      </c>
      <c r="N32">
        <v>17.3</v>
      </c>
      <c r="O32">
        <f t="shared" si="0"/>
        <v>12.604393063583816</v>
      </c>
    </row>
    <row r="33" spans="1:15" x14ac:dyDescent="0.2">
      <c r="A33">
        <v>1944</v>
      </c>
      <c r="B33">
        <v>17.399999999999999</v>
      </c>
      <c r="C33">
        <v>17.399999999999999</v>
      </c>
      <c r="D33">
        <v>17.399999999999999</v>
      </c>
      <c r="E33">
        <v>17.5</v>
      </c>
      <c r="F33">
        <v>17.5</v>
      </c>
      <c r="G33">
        <v>17.600000000000001</v>
      </c>
      <c r="H33">
        <v>17.7</v>
      </c>
      <c r="I33">
        <v>17.7</v>
      </c>
      <c r="J33">
        <v>17.7</v>
      </c>
      <c r="K33">
        <v>17.7</v>
      </c>
      <c r="L33">
        <v>17.7</v>
      </c>
      <c r="M33">
        <v>17.8</v>
      </c>
      <c r="N33">
        <v>17.600000000000001</v>
      </c>
      <c r="O33">
        <f t="shared" si="0"/>
        <v>12.389545454545454</v>
      </c>
    </row>
    <row r="34" spans="1:15" x14ac:dyDescent="0.2">
      <c r="A34">
        <v>1945</v>
      </c>
      <c r="B34">
        <v>17.8</v>
      </c>
      <c r="C34">
        <v>17.8</v>
      </c>
      <c r="D34">
        <v>17.8</v>
      </c>
      <c r="E34">
        <v>17.8</v>
      </c>
      <c r="F34">
        <v>17.899999999999999</v>
      </c>
      <c r="G34">
        <v>18.100000000000001</v>
      </c>
      <c r="H34">
        <v>18.100000000000001</v>
      </c>
      <c r="I34">
        <v>18.100000000000001</v>
      </c>
      <c r="J34">
        <v>18.100000000000001</v>
      </c>
      <c r="K34">
        <v>18.100000000000001</v>
      </c>
      <c r="L34">
        <v>18.100000000000001</v>
      </c>
      <c r="M34">
        <v>18.2</v>
      </c>
      <c r="N34">
        <v>18</v>
      </c>
      <c r="O34">
        <f t="shared" si="0"/>
        <v>12.114222222222223</v>
      </c>
    </row>
    <row r="35" spans="1:15" x14ac:dyDescent="0.2">
      <c r="A35">
        <v>1946</v>
      </c>
      <c r="B35">
        <v>18.2</v>
      </c>
      <c r="C35">
        <v>18.100000000000001</v>
      </c>
      <c r="D35">
        <v>18.3</v>
      </c>
      <c r="E35">
        <v>18.399999999999999</v>
      </c>
      <c r="F35">
        <v>18.5</v>
      </c>
      <c r="G35">
        <v>18.7</v>
      </c>
      <c r="H35">
        <v>19.8</v>
      </c>
      <c r="I35">
        <v>20.2</v>
      </c>
      <c r="J35">
        <v>20.399999999999999</v>
      </c>
      <c r="K35">
        <v>20.8</v>
      </c>
      <c r="L35">
        <v>21.3</v>
      </c>
      <c r="M35">
        <v>21.5</v>
      </c>
      <c r="N35">
        <v>19.5</v>
      </c>
      <c r="O35">
        <f t="shared" si="0"/>
        <v>11.182358974358975</v>
      </c>
    </row>
    <row r="36" spans="1:15" x14ac:dyDescent="0.2">
      <c r="A36">
        <v>1947</v>
      </c>
      <c r="B36">
        <v>21.5</v>
      </c>
      <c r="C36">
        <v>21.5</v>
      </c>
      <c r="D36">
        <v>21.9</v>
      </c>
      <c r="E36">
        <v>21.9</v>
      </c>
      <c r="F36">
        <v>21.9</v>
      </c>
      <c r="G36">
        <v>22</v>
      </c>
      <c r="H36">
        <v>22.2</v>
      </c>
      <c r="I36">
        <v>22.5</v>
      </c>
      <c r="J36">
        <v>23</v>
      </c>
      <c r="K36">
        <v>23</v>
      </c>
      <c r="L36">
        <v>23.1</v>
      </c>
      <c r="M36">
        <v>23.4</v>
      </c>
      <c r="N36">
        <v>22.3</v>
      </c>
      <c r="O36">
        <f t="shared" si="0"/>
        <v>9.7782959641255616</v>
      </c>
    </row>
    <row r="37" spans="1:15" x14ac:dyDescent="0.2">
      <c r="A37">
        <v>1948</v>
      </c>
      <c r="B37">
        <v>23.7</v>
      </c>
      <c r="C37">
        <v>23.5</v>
      </c>
      <c r="D37">
        <v>23.4</v>
      </c>
      <c r="E37">
        <v>23.8</v>
      </c>
      <c r="F37">
        <v>23.9</v>
      </c>
      <c r="G37">
        <v>24.1</v>
      </c>
      <c r="H37">
        <v>24.4</v>
      </c>
      <c r="I37">
        <v>24.5</v>
      </c>
      <c r="J37">
        <v>24.5</v>
      </c>
      <c r="K37">
        <v>24.4</v>
      </c>
      <c r="L37">
        <v>24.2</v>
      </c>
      <c r="M37">
        <v>24.1</v>
      </c>
      <c r="N37">
        <v>24.1</v>
      </c>
      <c r="O37">
        <f t="shared" si="0"/>
        <v>9.0479668049792537</v>
      </c>
    </row>
    <row r="38" spans="1:15" x14ac:dyDescent="0.2">
      <c r="A38">
        <v>1949</v>
      </c>
      <c r="B38">
        <v>24</v>
      </c>
      <c r="C38">
        <v>23.8</v>
      </c>
      <c r="D38">
        <v>23.8</v>
      </c>
      <c r="E38">
        <v>23.9</v>
      </c>
      <c r="F38">
        <v>23.8</v>
      </c>
      <c r="G38">
        <v>23.9</v>
      </c>
      <c r="H38">
        <v>23.7</v>
      </c>
      <c r="I38">
        <v>23.8</v>
      </c>
      <c r="J38">
        <v>23.9</v>
      </c>
      <c r="K38">
        <v>23.7</v>
      </c>
      <c r="L38">
        <v>23.8</v>
      </c>
      <c r="M38">
        <v>23.6</v>
      </c>
      <c r="N38">
        <v>23.8</v>
      </c>
      <c r="O38">
        <f t="shared" si="0"/>
        <v>9.1620168067226899</v>
      </c>
    </row>
    <row r="39" spans="1:15" x14ac:dyDescent="0.2">
      <c r="A39">
        <v>1950</v>
      </c>
      <c r="B39">
        <v>23.5</v>
      </c>
      <c r="C39">
        <v>23.5</v>
      </c>
      <c r="D39">
        <v>23.6</v>
      </c>
      <c r="E39">
        <v>23.6</v>
      </c>
      <c r="F39">
        <v>23.7</v>
      </c>
      <c r="G39">
        <v>23.8</v>
      </c>
      <c r="H39">
        <v>24.1</v>
      </c>
      <c r="I39">
        <v>24.3</v>
      </c>
      <c r="J39">
        <v>24.4</v>
      </c>
      <c r="K39">
        <v>24.6</v>
      </c>
      <c r="L39">
        <v>24.7</v>
      </c>
      <c r="M39">
        <v>25</v>
      </c>
      <c r="N39">
        <v>24.1</v>
      </c>
      <c r="O39">
        <f t="shared" si="0"/>
        <v>9.0479668049792537</v>
      </c>
    </row>
    <row r="40" spans="1:15" x14ac:dyDescent="0.2">
      <c r="A40">
        <v>1951</v>
      </c>
      <c r="B40">
        <v>25.4</v>
      </c>
      <c r="C40">
        <v>25.7</v>
      </c>
      <c r="D40">
        <v>25.8</v>
      </c>
      <c r="E40">
        <v>25.8</v>
      </c>
      <c r="F40">
        <v>25.9</v>
      </c>
      <c r="G40">
        <v>25.9</v>
      </c>
      <c r="H40">
        <v>25.9</v>
      </c>
      <c r="I40">
        <v>25.9</v>
      </c>
      <c r="J40">
        <v>26.1</v>
      </c>
      <c r="K40">
        <v>26.2</v>
      </c>
      <c r="L40">
        <v>26.4</v>
      </c>
      <c r="M40">
        <v>26.5</v>
      </c>
      <c r="N40">
        <v>26</v>
      </c>
      <c r="O40">
        <f t="shared" si="0"/>
        <v>8.3867692307692305</v>
      </c>
    </row>
    <row r="41" spans="1:15" x14ac:dyDescent="0.2">
      <c r="A41">
        <v>1952</v>
      </c>
      <c r="B41">
        <v>26.5</v>
      </c>
      <c r="C41">
        <v>26.3</v>
      </c>
      <c r="D41">
        <v>26.3</v>
      </c>
      <c r="E41">
        <v>26.4</v>
      </c>
      <c r="F41">
        <v>26.4</v>
      </c>
      <c r="G41">
        <v>26.5</v>
      </c>
      <c r="H41">
        <v>26.7</v>
      </c>
      <c r="I41">
        <v>26.7</v>
      </c>
      <c r="J41">
        <v>26.7</v>
      </c>
      <c r="K41">
        <v>26.7</v>
      </c>
      <c r="L41">
        <v>26.7</v>
      </c>
      <c r="M41">
        <v>26.7</v>
      </c>
      <c r="N41">
        <v>26.5</v>
      </c>
      <c r="O41">
        <f t="shared" si="0"/>
        <v>8.2285283018867936</v>
      </c>
    </row>
    <row r="42" spans="1:15" x14ac:dyDescent="0.2">
      <c r="A42">
        <v>1953</v>
      </c>
      <c r="B42">
        <v>26.6</v>
      </c>
      <c r="C42">
        <v>26.5</v>
      </c>
      <c r="D42">
        <v>26.6</v>
      </c>
      <c r="E42">
        <v>26.6</v>
      </c>
      <c r="F42">
        <v>26.7</v>
      </c>
      <c r="G42">
        <v>26.8</v>
      </c>
      <c r="H42">
        <v>26.8</v>
      </c>
      <c r="I42">
        <v>26.9</v>
      </c>
      <c r="J42">
        <v>26.9</v>
      </c>
      <c r="K42">
        <v>27</v>
      </c>
      <c r="L42">
        <v>26.9</v>
      </c>
      <c r="M42">
        <v>26.9</v>
      </c>
      <c r="N42">
        <v>26.7</v>
      </c>
      <c r="O42">
        <f t="shared" si="0"/>
        <v>8.1668913857677907</v>
      </c>
    </row>
    <row r="43" spans="1:15" x14ac:dyDescent="0.2">
      <c r="A43">
        <v>1954</v>
      </c>
      <c r="B43">
        <v>26.9</v>
      </c>
      <c r="C43">
        <v>26.9</v>
      </c>
      <c r="D43">
        <v>26.9</v>
      </c>
      <c r="E43">
        <v>26.8</v>
      </c>
      <c r="F43">
        <v>26.9</v>
      </c>
      <c r="G43">
        <v>26.9</v>
      </c>
      <c r="H43">
        <v>26.9</v>
      </c>
      <c r="I43">
        <v>26.9</v>
      </c>
      <c r="J43">
        <v>26.8</v>
      </c>
      <c r="K43">
        <v>26.8</v>
      </c>
      <c r="L43">
        <v>26.8</v>
      </c>
      <c r="M43">
        <v>26.7</v>
      </c>
      <c r="N43">
        <v>26.9</v>
      </c>
      <c r="O43">
        <f t="shared" si="0"/>
        <v>8.1061710037174723</v>
      </c>
    </row>
    <row r="44" spans="1:15" x14ac:dyDescent="0.2">
      <c r="A44">
        <v>1955</v>
      </c>
      <c r="B44">
        <v>26.7</v>
      </c>
      <c r="C44">
        <v>26.7</v>
      </c>
      <c r="D44">
        <v>26.7</v>
      </c>
      <c r="E44">
        <v>26.7</v>
      </c>
      <c r="F44">
        <v>26.7</v>
      </c>
      <c r="G44">
        <v>26.7</v>
      </c>
      <c r="H44">
        <v>26.8</v>
      </c>
      <c r="I44">
        <v>26.8</v>
      </c>
      <c r="J44">
        <v>26.9</v>
      </c>
      <c r="K44">
        <v>26.9</v>
      </c>
      <c r="L44">
        <v>26.9</v>
      </c>
      <c r="M44">
        <v>26.8</v>
      </c>
      <c r="N44">
        <v>26.8</v>
      </c>
      <c r="O44">
        <f t="shared" si="0"/>
        <v>8.1364179104477614</v>
      </c>
    </row>
    <row r="45" spans="1:15" x14ac:dyDescent="0.2">
      <c r="A45">
        <v>1956</v>
      </c>
      <c r="B45">
        <v>26.8</v>
      </c>
      <c r="C45">
        <v>26.8</v>
      </c>
      <c r="D45">
        <v>26.8</v>
      </c>
      <c r="E45">
        <v>26.9</v>
      </c>
      <c r="F45">
        <v>27</v>
      </c>
      <c r="G45">
        <v>27.2</v>
      </c>
      <c r="H45">
        <v>27.4</v>
      </c>
      <c r="I45">
        <v>27.3</v>
      </c>
      <c r="J45">
        <v>27.4</v>
      </c>
      <c r="K45">
        <v>27.5</v>
      </c>
      <c r="L45">
        <v>27.5</v>
      </c>
      <c r="M45">
        <v>27.6</v>
      </c>
      <c r="N45">
        <v>27.2</v>
      </c>
      <c r="O45">
        <f t="shared" si="0"/>
        <v>8.0167647058823537</v>
      </c>
    </row>
    <row r="46" spans="1:15" x14ac:dyDescent="0.2">
      <c r="A46">
        <v>1957</v>
      </c>
      <c r="B46">
        <v>27.6</v>
      </c>
      <c r="C46">
        <v>27.7</v>
      </c>
      <c r="D46">
        <v>27.8</v>
      </c>
      <c r="E46">
        <v>27.9</v>
      </c>
      <c r="F46">
        <v>28</v>
      </c>
      <c r="G46">
        <v>28.1</v>
      </c>
      <c r="H46">
        <v>28.3</v>
      </c>
      <c r="I46">
        <v>28.3</v>
      </c>
      <c r="J46">
        <v>28.3</v>
      </c>
      <c r="K46">
        <v>28.3</v>
      </c>
      <c r="L46">
        <v>28.4</v>
      </c>
      <c r="M46">
        <v>28.4</v>
      </c>
      <c r="N46">
        <v>28.1</v>
      </c>
      <c r="O46">
        <f t="shared" si="0"/>
        <v>7.76</v>
      </c>
    </row>
    <row r="47" spans="1:15" x14ac:dyDescent="0.2">
      <c r="A47">
        <v>1958</v>
      </c>
      <c r="B47">
        <v>28.6</v>
      </c>
      <c r="C47">
        <v>28.6</v>
      </c>
      <c r="D47">
        <v>28.8</v>
      </c>
      <c r="E47">
        <v>28.9</v>
      </c>
      <c r="F47">
        <v>28.9</v>
      </c>
      <c r="G47">
        <v>28.9</v>
      </c>
      <c r="H47">
        <v>29</v>
      </c>
      <c r="I47">
        <v>28.9</v>
      </c>
      <c r="J47">
        <v>28.9</v>
      </c>
      <c r="K47">
        <v>28.9</v>
      </c>
      <c r="L47">
        <v>29</v>
      </c>
      <c r="M47">
        <v>28.9</v>
      </c>
      <c r="N47">
        <v>28.9</v>
      </c>
      <c r="O47">
        <f t="shared" si="0"/>
        <v>7.5451903114186862</v>
      </c>
    </row>
    <row r="48" spans="1:15" x14ac:dyDescent="0.2">
      <c r="A48">
        <v>1959</v>
      </c>
      <c r="B48">
        <v>29</v>
      </c>
      <c r="C48">
        <v>28.9</v>
      </c>
      <c r="D48">
        <v>28.9</v>
      </c>
      <c r="E48">
        <v>29</v>
      </c>
      <c r="F48">
        <v>29</v>
      </c>
      <c r="G48">
        <v>29.1</v>
      </c>
      <c r="H48">
        <v>29.2</v>
      </c>
      <c r="I48">
        <v>29.2</v>
      </c>
      <c r="J48">
        <v>29.3</v>
      </c>
      <c r="K48">
        <v>29.4</v>
      </c>
      <c r="L48">
        <v>29.4</v>
      </c>
      <c r="M48">
        <v>29.4</v>
      </c>
      <c r="N48">
        <v>29.1</v>
      </c>
      <c r="O48">
        <f t="shared" si="0"/>
        <v>7.4933333333333332</v>
      </c>
    </row>
    <row r="49" spans="1:15" x14ac:dyDescent="0.2">
      <c r="A49">
        <v>1960</v>
      </c>
      <c r="B49">
        <v>29.3</v>
      </c>
      <c r="C49">
        <v>29.4</v>
      </c>
      <c r="D49">
        <v>29.4</v>
      </c>
      <c r="E49">
        <v>29.5</v>
      </c>
      <c r="F49">
        <v>29.5</v>
      </c>
      <c r="G49">
        <v>29.6</v>
      </c>
      <c r="H49">
        <v>29.6</v>
      </c>
      <c r="I49">
        <v>29.6</v>
      </c>
      <c r="J49">
        <v>29.6</v>
      </c>
      <c r="K49">
        <v>29.8</v>
      </c>
      <c r="L49">
        <v>29.8</v>
      </c>
      <c r="M49">
        <v>29.8</v>
      </c>
      <c r="N49">
        <v>29.6</v>
      </c>
      <c r="O49">
        <f t="shared" si="0"/>
        <v>7.3667567567567565</v>
      </c>
    </row>
    <row r="50" spans="1:15" x14ac:dyDescent="0.2">
      <c r="A50">
        <v>1961</v>
      </c>
      <c r="B50">
        <v>29.8</v>
      </c>
      <c r="C50">
        <v>29.8</v>
      </c>
      <c r="D50">
        <v>29.8</v>
      </c>
      <c r="E50">
        <v>29.8</v>
      </c>
      <c r="F50">
        <v>29.8</v>
      </c>
      <c r="G50">
        <v>29.8</v>
      </c>
      <c r="H50">
        <v>30</v>
      </c>
      <c r="I50">
        <v>29.9</v>
      </c>
      <c r="J50">
        <v>30</v>
      </c>
      <c r="K50">
        <v>30</v>
      </c>
      <c r="L50">
        <v>30</v>
      </c>
      <c r="M50">
        <v>30</v>
      </c>
      <c r="N50">
        <v>29.9</v>
      </c>
      <c r="O50">
        <f t="shared" si="0"/>
        <v>7.292842809364549</v>
      </c>
    </row>
    <row r="51" spans="1:15" x14ac:dyDescent="0.2">
      <c r="A51">
        <v>1962</v>
      </c>
      <c r="B51">
        <v>30</v>
      </c>
      <c r="C51">
        <v>30.1</v>
      </c>
      <c r="D51">
        <v>30.1</v>
      </c>
      <c r="E51">
        <v>30.2</v>
      </c>
      <c r="F51">
        <v>30.2</v>
      </c>
      <c r="G51">
        <v>30.2</v>
      </c>
      <c r="H51">
        <v>30.3</v>
      </c>
      <c r="I51">
        <v>30.3</v>
      </c>
      <c r="J51">
        <v>30.4</v>
      </c>
      <c r="K51">
        <v>30.4</v>
      </c>
      <c r="L51">
        <v>30.4</v>
      </c>
      <c r="M51">
        <v>30.4</v>
      </c>
      <c r="N51">
        <v>30.2</v>
      </c>
      <c r="O51">
        <f t="shared" si="0"/>
        <v>7.2203973509933776</v>
      </c>
    </row>
    <row r="52" spans="1:15" x14ac:dyDescent="0.2">
      <c r="A52">
        <v>1963</v>
      </c>
      <c r="B52">
        <v>30.4</v>
      </c>
      <c r="C52">
        <v>30.4</v>
      </c>
      <c r="D52">
        <v>30.5</v>
      </c>
      <c r="E52">
        <v>30.5</v>
      </c>
      <c r="F52">
        <v>30.5</v>
      </c>
      <c r="G52">
        <v>30.6</v>
      </c>
      <c r="H52">
        <v>30.7</v>
      </c>
      <c r="I52">
        <v>30.7</v>
      </c>
      <c r="J52">
        <v>30.7</v>
      </c>
      <c r="K52">
        <v>30.8</v>
      </c>
      <c r="L52">
        <v>30.8</v>
      </c>
      <c r="M52">
        <v>30.9</v>
      </c>
      <c r="N52">
        <v>30.6</v>
      </c>
      <c r="O52">
        <f t="shared" si="0"/>
        <v>7.1260130718954251</v>
      </c>
    </row>
    <row r="53" spans="1:15" x14ac:dyDescent="0.2">
      <c r="A53">
        <v>1964</v>
      </c>
      <c r="B53">
        <v>30.9</v>
      </c>
      <c r="C53">
        <v>30.9</v>
      </c>
      <c r="D53">
        <v>30.9</v>
      </c>
      <c r="E53">
        <v>30.9</v>
      </c>
      <c r="F53">
        <v>30.9</v>
      </c>
      <c r="G53">
        <v>31</v>
      </c>
      <c r="H53">
        <v>31.1</v>
      </c>
      <c r="I53">
        <v>31</v>
      </c>
      <c r="J53">
        <v>31.1</v>
      </c>
      <c r="K53">
        <v>31.1</v>
      </c>
      <c r="L53">
        <v>31.2</v>
      </c>
      <c r="M53">
        <v>31.2</v>
      </c>
      <c r="N53">
        <v>31</v>
      </c>
      <c r="O53">
        <f t="shared" si="0"/>
        <v>7.0340645161290327</v>
      </c>
    </row>
    <row r="54" spans="1:15" x14ac:dyDescent="0.2">
      <c r="A54">
        <v>1965</v>
      </c>
      <c r="B54">
        <v>31.2</v>
      </c>
      <c r="C54">
        <v>31.2</v>
      </c>
      <c r="D54">
        <v>31.3</v>
      </c>
      <c r="E54">
        <v>31.4</v>
      </c>
      <c r="F54">
        <v>31.4</v>
      </c>
      <c r="G54">
        <v>31.6</v>
      </c>
      <c r="H54">
        <v>31.6</v>
      </c>
      <c r="I54">
        <v>31.6</v>
      </c>
      <c r="J54">
        <v>31.6</v>
      </c>
      <c r="K54">
        <v>31.7</v>
      </c>
      <c r="L54">
        <v>31.7</v>
      </c>
      <c r="M54">
        <v>31.8</v>
      </c>
      <c r="N54">
        <v>31.5</v>
      </c>
      <c r="O54">
        <f t="shared" si="0"/>
        <v>6.9224126984126988</v>
      </c>
    </row>
    <row r="55" spans="1:15" x14ac:dyDescent="0.2">
      <c r="A55">
        <v>1966</v>
      </c>
      <c r="B55">
        <v>31.8</v>
      </c>
      <c r="C55">
        <v>32</v>
      </c>
      <c r="D55">
        <v>32.1</v>
      </c>
      <c r="E55">
        <v>32.299999999999997</v>
      </c>
      <c r="F55">
        <v>32.299999999999997</v>
      </c>
      <c r="G55">
        <v>32.4</v>
      </c>
      <c r="H55">
        <v>32.5</v>
      </c>
      <c r="I55">
        <v>32.700000000000003</v>
      </c>
      <c r="J55">
        <v>32.700000000000003</v>
      </c>
      <c r="K55">
        <v>32.9</v>
      </c>
      <c r="L55">
        <v>32.9</v>
      </c>
      <c r="M55">
        <v>32.9</v>
      </c>
      <c r="N55">
        <v>32.4</v>
      </c>
      <c r="O55">
        <f t="shared" si="0"/>
        <v>6.7301234567901238</v>
      </c>
    </row>
    <row r="56" spans="1:15" x14ac:dyDescent="0.2">
      <c r="A56">
        <v>1967</v>
      </c>
      <c r="B56">
        <v>32.9</v>
      </c>
      <c r="C56">
        <v>32.9</v>
      </c>
      <c r="D56">
        <v>33</v>
      </c>
      <c r="E56">
        <v>33.1</v>
      </c>
      <c r="F56">
        <v>33.200000000000003</v>
      </c>
      <c r="G56">
        <v>33.299999999999997</v>
      </c>
      <c r="H56">
        <v>33.4</v>
      </c>
      <c r="I56">
        <v>33.5</v>
      </c>
      <c r="J56">
        <v>33.6</v>
      </c>
      <c r="K56">
        <v>33.700000000000003</v>
      </c>
      <c r="L56">
        <v>33.799999999999997</v>
      </c>
      <c r="M56">
        <v>33.9</v>
      </c>
      <c r="N56">
        <v>33.4</v>
      </c>
      <c r="O56">
        <f t="shared" si="0"/>
        <v>6.5286227544910185</v>
      </c>
    </row>
    <row r="57" spans="1:15" x14ac:dyDescent="0.2">
      <c r="A57">
        <v>1968</v>
      </c>
      <c r="B57">
        <v>34.1</v>
      </c>
      <c r="C57">
        <v>34.200000000000003</v>
      </c>
      <c r="D57">
        <v>34.299999999999997</v>
      </c>
      <c r="E57">
        <v>34.4</v>
      </c>
      <c r="F57">
        <v>34.5</v>
      </c>
      <c r="G57">
        <v>34.700000000000003</v>
      </c>
      <c r="H57">
        <v>34.9</v>
      </c>
      <c r="I57">
        <v>35</v>
      </c>
      <c r="J57">
        <v>35.1</v>
      </c>
      <c r="K57">
        <v>35.299999999999997</v>
      </c>
      <c r="L57">
        <v>35.4</v>
      </c>
      <c r="M57">
        <v>35.5</v>
      </c>
      <c r="N57">
        <v>34.799999999999997</v>
      </c>
      <c r="O57">
        <f t="shared" si="0"/>
        <v>6.2659770114942539</v>
      </c>
    </row>
    <row r="58" spans="1:15" x14ac:dyDescent="0.2">
      <c r="A58">
        <v>1969</v>
      </c>
      <c r="B58">
        <v>35.6</v>
      </c>
      <c r="C58">
        <v>35.799999999999997</v>
      </c>
      <c r="D58">
        <v>36.1</v>
      </c>
      <c r="E58">
        <v>36.299999999999997</v>
      </c>
      <c r="F58">
        <v>36.4</v>
      </c>
      <c r="G58">
        <v>36.6</v>
      </c>
      <c r="H58">
        <v>36.799999999999997</v>
      </c>
      <c r="I58">
        <v>37</v>
      </c>
      <c r="J58">
        <v>37.1</v>
      </c>
      <c r="K58">
        <v>37.299999999999997</v>
      </c>
      <c r="L58">
        <v>37.5</v>
      </c>
      <c r="M58">
        <v>37.700000000000003</v>
      </c>
      <c r="N58">
        <v>36.700000000000003</v>
      </c>
      <c r="O58">
        <f t="shared" si="0"/>
        <v>5.9415803814713897</v>
      </c>
    </row>
    <row r="59" spans="1:15" x14ac:dyDescent="0.2">
      <c r="A59">
        <v>1970</v>
      </c>
      <c r="B59">
        <v>37.799999999999997</v>
      </c>
      <c r="C59">
        <v>38</v>
      </c>
      <c r="D59">
        <v>38.200000000000003</v>
      </c>
      <c r="E59">
        <v>38.5</v>
      </c>
      <c r="F59">
        <v>38.6</v>
      </c>
      <c r="G59">
        <v>38.799999999999997</v>
      </c>
      <c r="H59">
        <v>39</v>
      </c>
      <c r="I59">
        <v>39</v>
      </c>
      <c r="J59">
        <v>39.200000000000003</v>
      </c>
      <c r="K59">
        <v>39.4</v>
      </c>
      <c r="L59">
        <v>39.6</v>
      </c>
      <c r="M59">
        <v>39.799999999999997</v>
      </c>
      <c r="N59">
        <v>38.799999999999997</v>
      </c>
      <c r="O59">
        <f t="shared" si="0"/>
        <v>5.620000000000001</v>
      </c>
    </row>
    <row r="60" spans="1:15" x14ac:dyDescent="0.2">
      <c r="A60">
        <v>1971</v>
      </c>
      <c r="B60">
        <v>39.799999999999997</v>
      </c>
      <c r="C60">
        <v>39.9</v>
      </c>
      <c r="D60">
        <v>40</v>
      </c>
      <c r="E60">
        <v>40.1</v>
      </c>
      <c r="F60">
        <v>40.299999999999997</v>
      </c>
      <c r="G60">
        <v>40.6</v>
      </c>
      <c r="H60">
        <v>40.700000000000003</v>
      </c>
      <c r="I60">
        <v>40.799999999999997</v>
      </c>
      <c r="J60">
        <v>40.799999999999997</v>
      </c>
      <c r="K60">
        <v>40.9</v>
      </c>
      <c r="L60">
        <v>40.9</v>
      </c>
      <c r="M60">
        <v>41.1</v>
      </c>
      <c r="N60">
        <v>40.5</v>
      </c>
      <c r="O60">
        <f t="shared" si="0"/>
        <v>5.3840987654320989</v>
      </c>
    </row>
    <row r="61" spans="1:15" x14ac:dyDescent="0.2">
      <c r="A61">
        <v>1972</v>
      </c>
      <c r="B61">
        <v>41.1</v>
      </c>
      <c r="C61">
        <v>41.3</v>
      </c>
      <c r="D61">
        <v>41.4</v>
      </c>
      <c r="E61">
        <v>41.5</v>
      </c>
      <c r="F61">
        <v>41.6</v>
      </c>
      <c r="G61">
        <v>41.7</v>
      </c>
      <c r="H61">
        <v>41.9</v>
      </c>
      <c r="I61">
        <v>42</v>
      </c>
      <c r="J61">
        <v>42.1</v>
      </c>
      <c r="K61">
        <v>42.3</v>
      </c>
      <c r="L61">
        <v>42.4</v>
      </c>
      <c r="M61">
        <v>42.5</v>
      </c>
      <c r="N61">
        <v>41.8</v>
      </c>
      <c r="O61">
        <f t="shared" si="0"/>
        <v>5.2166507177033496</v>
      </c>
    </row>
    <row r="62" spans="1:15" x14ac:dyDescent="0.2">
      <c r="A62">
        <v>1973</v>
      </c>
      <c r="B62">
        <v>42.6</v>
      </c>
      <c r="C62">
        <v>42.9</v>
      </c>
      <c r="D62">
        <v>43.3</v>
      </c>
      <c r="E62">
        <v>43.6</v>
      </c>
      <c r="F62">
        <v>43.9</v>
      </c>
      <c r="G62">
        <v>44.2</v>
      </c>
      <c r="H62">
        <v>44.3</v>
      </c>
      <c r="I62">
        <v>45.1</v>
      </c>
      <c r="J62">
        <v>45.2</v>
      </c>
      <c r="K62">
        <v>45.6</v>
      </c>
      <c r="L62">
        <v>45.9</v>
      </c>
      <c r="M62">
        <v>46.2</v>
      </c>
      <c r="N62">
        <v>44.4</v>
      </c>
      <c r="O62">
        <f t="shared" si="0"/>
        <v>4.9111711711711719</v>
      </c>
    </row>
    <row r="63" spans="1:15" x14ac:dyDescent="0.2">
      <c r="A63">
        <v>1974</v>
      </c>
      <c r="B63">
        <v>46.6</v>
      </c>
      <c r="C63">
        <v>47.2</v>
      </c>
      <c r="D63">
        <v>47.8</v>
      </c>
      <c r="E63">
        <v>48</v>
      </c>
      <c r="F63">
        <v>48.6</v>
      </c>
      <c r="G63">
        <v>49</v>
      </c>
      <c r="H63">
        <v>49.4</v>
      </c>
      <c r="I63">
        <v>50</v>
      </c>
      <c r="J63">
        <v>50.6</v>
      </c>
      <c r="K63">
        <v>51.1</v>
      </c>
      <c r="L63">
        <v>51.5</v>
      </c>
      <c r="M63">
        <v>51.9</v>
      </c>
      <c r="N63">
        <v>49.3</v>
      </c>
      <c r="O63">
        <f t="shared" si="0"/>
        <v>4.4230425963488846</v>
      </c>
    </row>
    <row r="64" spans="1:15" x14ac:dyDescent="0.2">
      <c r="A64">
        <v>1975</v>
      </c>
      <c r="B64">
        <v>52.1</v>
      </c>
      <c r="C64">
        <v>52.5</v>
      </c>
      <c r="D64">
        <v>52.7</v>
      </c>
      <c r="E64">
        <v>52.9</v>
      </c>
      <c r="F64">
        <v>53.2</v>
      </c>
      <c r="G64">
        <v>53.6</v>
      </c>
      <c r="H64">
        <v>54.2</v>
      </c>
      <c r="I64">
        <v>54.3</v>
      </c>
      <c r="J64">
        <v>54.6</v>
      </c>
      <c r="K64">
        <v>54.9</v>
      </c>
      <c r="L64">
        <v>55.3</v>
      </c>
      <c r="M64">
        <v>55.5</v>
      </c>
      <c r="N64">
        <v>53.8</v>
      </c>
      <c r="O64">
        <f t="shared" si="0"/>
        <v>4.0530855018587362</v>
      </c>
    </row>
    <row r="65" spans="1:15" x14ac:dyDescent="0.2">
      <c r="A65">
        <v>1976</v>
      </c>
      <c r="B65">
        <v>55.6</v>
      </c>
      <c r="C65">
        <v>55.8</v>
      </c>
      <c r="D65">
        <v>55.9</v>
      </c>
      <c r="E65">
        <v>56.1</v>
      </c>
      <c r="F65">
        <v>56.5</v>
      </c>
      <c r="G65">
        <v>56.8</v>
      </c>
      <c r="H65">
        <v>57.1</v>
      </c>
      <c r="I65">
        <v>57.4</v>
      </c>
      <c r="J65">
        <v>57.6</v>
      </c>
      <c r="K65">
        <v>57.9</v>
      </c>
      <c r="L65">
        <v>58</v>
      </c>
      <c r="M65">
        <v>58.2</v>
      </c>
      <c r="N65">
        <v>56.9</v>
      </c>
      <c r="O65">
        <f t="shared" si="0"/>
        <v>3.8322671353251323</v>
      </c>
    </row>
    <row r="66" spans="1:15" x14ac:dyDescent="0.2">
      <c r="A66">
        <v>1977</v>
      </c>
      <c r="B66">
        <v>58.5</v>
      </c>
      <c r="C66">
        <v>59.1</v>
      </c>
      <c r="D66">
        <v>59.5</v>
      </c>
      <c r="E66">
        <v>60</v>
      </c>
      <c r="F66">
        <v>60.3</v>
      </c>
      <c r="G66">
        <v>60.7</v>
      </c>
      <c r="H66">
        <v>61</v>
      </c>
      <c r="I66">
        <v>61.2</v>
      </c>
      <c r="J66">
        <v>61.4</v>
      </c>
      <c r="K66">
        <v>61.6</v>
      </c>
      <c r="L66">
        <v>61.9</v>
      </c>
      <c r="M66">
        <v>62.1</v>
      </c>
      <c r="N66">
        <v>60.6</v>
      </c>
      <c r="O66">
        <f t="shared" ref="O66:O98" si="1">N$99/N66</f>
        <v>3.5982838283828382</v>
      </c>
    </row>
    <row r="67" spans="1:15" x14ac:dyDescent="0.2">
      <c r="A67">
        <v>1978</v>
      </c>
      <c r="B67">
        <v>62.5</v>
      </c>
      <c r="C67">
        <v>62.9</v>
      </c>
      <c r="D67">
        <v>63.4</v>
      </c>
      <c r="E67">
        <v>63.9</v>
      </c>
      <c r="F67">
        <v>64.5</v>
      </c>
      <c r="G67">
        <v>65.2</v>
      </c>
      <c r="H67">
        <v>65.7</v>
      </c>
      <c r="I67">
        <v>66</v>
      </c>
      <c r="J67">
        <v>66.5</v>
      </c>
      <c r="K67">
        <v>67.099999999999994</v>
      </c>
      <c r="L67">
        <v>67.400000000000006</v>
      </c>
      <c r="M67">
        <v>67.7</v>
      </c>
      <c r="N67">
        <v>65.2</v>
      </c>
      <c r="O67">
        <f t="shared" si="1"/>
        <v>3.3444171779141105</v>
      </c>
    </row>
    <row r="68" spans="1:15" x14ac:dyDescent="0.2">
      <c r="A68">
        <v>1979</v>
      </c>
      <c r="B68">
        <v>68.3</v>
      </c>
      <c r="C68">
        <v>69.099999999999994</v>
      </c>
      <c r="D68">
        <v>69.8</v>
      </c>
      <c r="E68">
        <v>70.599999999999994</v>
      </c>
      <c r="F68">
        <v>71.5</v>
      </c>
      <c r="G68">
        <v>72.3</v>
      </c>
      <c r="H68">
        <v>73.099999999999994</v>
      </c>
      <c r="I68">
        <v>73.8</v>
      </c>
      <c r="J68">
        <v>74.599999999999994</v>
      </c>
      <c r="K68">
        <v>75.2</v>
      </c>
      <c r="L68">
        <v>75.900000000000006</v>
      </c>
      <c r="M68">
        <v>76.7</v>
      </c>
      <c r="N68">
        <v>72.599999999999994</v>
      </c>
      <c r="O68">
        <f t="shared" si="1"/>
        <v>3.0035261707988985</v>
      </c>
    </row>
    <row r="69" spans="1:15" x14ac:dyDescent="0.2">
      <c r="A69">
        <v>1980</v>
      </c>
      <c r="B69">
        <v>77.8</v>
      </c>
      <c r="C69">
        <v>78.900000000000006</v>
      </c>
      <c r="D69">
        <v>80.099999999999994</v>
      </c>
      <c r="E69">
        <v>81</v>
      </c>
      <c r="F69">
        <v>81.8</v>
      </c>
      <c r="G69">
        <v>82.7</v>
      </c>
      <c r="H69">
        <v>82.7</v>
      </c>
      <c r="I69">
        <v>83.3</v>
      </c>
      <c r="J69">
        <v>84</v>
      </c>
      <c r="K69">
        <v>84.8</v>
      </c>
      <c r="L69">
        <v>85.5</v>
      </c>
      <c r="M69">
        <v>86.3</v>
      </c>
      <c r="N69">
        <v>82.4</v>
      </c>
      <c r="O69">
        <f t="shared" si="1"/>
        <v>2.6463106796116502</v>
      </c>
    </row>
    <row r="70" spans="1:15" x14ac:dyDescent="0.2">
      <c r="A70">
        <v>1981</v>
      </c>
      <c r="B70">
        <v>87</v>
      </c>
      <c r="C70">
        <v>87.9</v>
      </c>
      <c r="D70">
        <v>88.5</v>
      </c>
      <c r="E70">
        <v>89.1</v>
      </c>
      <c r="F70">
        <v>89.8</v>
      </c>
      <c r="G70">
        <v>90.6</v>
      </c>
      <c r="H70">
        <v>91.6</v>
      </c>
      <c r="I70">
        <v>92.3</v>
      </c>
      <c r="J70">
        <v>93.2</v>
      </c>
      <c r="K70">
        <v>93.4</v>
      </c>
      <c r="L70">
        <v>93.7</v>
      </c>
      <c r="M70">
        <v>94</v>
      </c>
      <c r="N70">
        <v>90.9</v>
      </c>
      <c r="O70">
        <f t="shared" si="1"/>
        <v>2.3988558855885587</v>
      </c>
    </row>
    <row r="71" spans="1:15" x14ac:dyDescent="0.2">
      <c r="A71">
        <v>1982</v>
      </c>
      <c r="B71">
        <v>94.3</v>
      </c>
      <c r="C71">
        <v>94.6</v>
      </c>
      <c r="D71">
        <v>94.5</v>
      </c>
      <c r="E71">
        <v>94.9</v>
      </c>
      <c r="F71">
        <v>95.8</v>
      </c>
      <c r="G71">
        <v>97</v>
      </c>
      <c r="H71">
        <v>97.5</v>
      </c>
      <c r="I71">
        <v>97.7</v>
      </c>
      <c r="J71">
        <v>97.9</v>
      </c>
      <c r="K71">
        <v>98.2</v>
      </c>
      <c r="L71">
        <v>98</v>
      </c>
      <c r="M71">
        <v>97.6</v>
      </c>
      <c r="N71">
        <v>96.5</v>
      </c>
      <c r="O71">
        <f t="shared" si="1"/>
        <v>2.2596476683937823</v>
      </c>
    </row>
    <row r="72" spans="1:15" x14ac:dyDescent="0.2">
      <c r="A72">
        <v>1983</v>
      </c>
      <c r="B72">
        <v>97.8</v>
      </c>
      <c r="C72">
        <v>97.9</v>
      </c>
      <c r="D72">
        <v>97.9</v>
      </c>
      <c r="E72">
        <v>98.6</v>
      </c>
      <c r="F72">
        <v>99.2</v>
      </c>
      <c r="G72">
        <v>99.5</v>
      </c>
      <c r="H72">
        <v>99.9</v>
      </c>
      <c r="I72">
        <v>100.2</v>
      </c>
      <c r="J72">
        <v>100.7</v>
      </c>
      <c r="K72">
        <v>101</v>
      </c>
      <c r="L72">
        <v>101.2</v>
      </c>
      <c r="M72">
        <v>101.3</v>
      </c>
      <c r="N72">
        <v>99.6</v>
      </c>
      <c r="O72">
        <f t="shared" si="1"/>
        <v>2.1893172690763056</v>
      </c>
    </row>
    <row r="73" spans="1:15" x14ac:dyDescent="0.2">
      <c r="A73">
        <v>1984</v>
      </c>
      <c r="B73">
        <v>101.9</v>
      </c>
      <c r="C73">
        <v>102.4</v>
      </c>
      <c r="D73">
        <v>102.6</v>
      </c>
      <c r="E73">
        <v>103.1</v>
      </c>
      <c r="F73">
        <v>103.4</v>
      </c>
      <c r="G73">
        <v>103.7</v>
      </c>
      <c r="H73">
        <v>104.1</v>
      </c>
      <c r="I73">
        <v>104.5</v>
      </c>
      <c r="J73">
        <v>105</v>
      </c>
      <c r="K73">
        <v>105.3</v>
      </c>
      <c r="L73">
        <v>105.3</v>
      </c>
      <c r="M73">
        <v>105.3</v>
      </c>
      <c r="N73">
        <v>103.9</v>
      </c>
      <c r="O73">
        <f t="shared" si="1"/>
        <v>2.0987102983638115</v>
      </c>
    </row>
    <row r="74" spans="1:15" x14ac:dyDescent="0.2">
      <c r="A74">
        <v>1985</v>
      </c>
      <c r="B74">
        <v>105.5</v>
      </c>
      <c r="C74">
        <v>106</v>
      </c>
      <c r="D74">
        <v>106.4</v>
      </c>
      <c r="E74">
        <v>106.9</v>
      </c>
      <c r="F74">
        <v>107.3</v>
      </c>
      <c r="G74">
        <v>107.6</v>
      </c>
      <c r="H74">
        <v>107.8</v>
      </c>
      <c r="I74">
        <v>108</v>
      </c>
      <c r="J74">
        <v>108.3</v>
      </c>
      <c r="K74">
        <v>108.7</v>
      </c>
      <c r="L74">
        <v>109</v>
      </c>
      <c r="M74">
        <v>109.3</v>
      </c>
      <c r="N74">
        <v>107.6</v>
      </c>
      <c r="O74">
        <f t="shared" si="1"/>
        <v>2.0265427509293681</v>
      </c>
    </row>
    <row r="75" spans="1:15" x14ac:dyDescent="0.2">
      <c r="A75">
        <v>1986</v>
      </c>
      <c r="B75">
        <v>109.6</v>
      </c>
      <c r="C75">
        <v>109.3</v>
      </c>
      <c r="D75">
        <v>108.8</v>
      </c>
      <c r="E75">
        <v>108.6</v>
      </c>
      <c r="F75">
        <v>108.9</v>
      </c>
      <c r="G75">
        <v>109.5</v>
      </c>
      <c r="H75">
        <v>109.5</v>
      </c>
      <c r="I75">
        <v>109.7</v>
      </c>
      <c r="J75">
        <v>110.2</v>
      </c>
      <c r="K75">
        <v>110.3</v>
      </c>
      <c r="L75">
        <v>110.4</v>
      </c>
      <c r="M75">
        <v>110.5</v>
      </c>
      <c r="N75">
        <v>109.6</v>
      </c>
      <c r="O75">
        <f t="shared" si="1"/>
        <v>1.9895620437956207</v>
      </c>
    </row>
    <row r="76" spans="1:15" x14ac:dyDescent="0.2">
      <c r="A76">
        <v>1987</v>
      </c>
      <c r="B76">
        <v>111.2</v>
      </c>
      <c r="C76">
        <v>111.6</v>
      </c>
      <c r="D76">
        <v>112.1</v>
      </c>
      <c r="E76">
        <v>112.7</v>
      </c>
      <c r="F76">
        <v>113.1</v>
      </c>
      <c r="G76">
        <v>113.5</v>
      </c>
      <c r="H76">
        <v>113.8</v>
      </c>
      <c r="I76">
        <v>114.4</v>
      </c>
      <c r="J76">
        <v>115</v>
      </c>
      <c r="K76">
        <v>115.3</v>
      </c>
      <c r="L76">
        <v>115.4</v>
      </c>
      <c r="M76">
        <v>115.4</v>
      </c>
      <c r="N76">
        <v>113.6</v>
      </c>
      <c r="O76">
        <f t="shared" si="1"/>
        <v>1.9195070422535214</v>
      </c>
    </row>
    <row r="77" spans="1:15" x14ac:dyDescent="0.2">
      <c r="A77">
        <v>1988</v>
      </c>
      <c r="B77">
        <v>115.7</v>
      </c>
      <c r="C77">
        <v>116</v>
      </c>
      <c r="D77">
        <v>116.5</v>
      </c>
      <c r="E77">
        <v>117.1</v>
      </c>
      <c r="F77">
        <v>117.5</v>
      </c>
      <c r="G77">
        <v>118</v>
      </c>
      <c r="H77">
        <v>118.5</v>
      </c>
      <c r="I77">
        <v>119</v>
      </c>
      <c r="J77">
        <v>119.8</v>
      </c>
      <c r="K77">
        <v>120.2</v>
      </c>
      <c r="L77">
        <v>120.3</v>
      </c>
      <c r="M77">
        <v>120.5</v>
      </c>
      <c r="N77">
        <v>118.3</v>
      </c>
      <c r="O77">
        <f t="shared" si="1"/>
        <v>1.8432459847844465</v>
      </c>
    </row>
    <row r="78" spans="1:15" x14ac:dyDescent="0.2">
      <c r="A78">
        <v>1989</v>
      </c>
      <c r="B78">
        <v>121.1</v>
      </c>
      <c r="C78">
        <v>121.6</v>
      </c>
      <c r="D78">
        <v>122.3</v>
      </c>
      <c r="E78">
        <v>123.1</v>
      </c>
      <c r="F78">
        <v>123.8</v>
      </c>
      <c r="G78">
        <v>124.1</v>
      </c>
      <c r="H78">
        <v>124.4</v>
      </c>
      <c r="I78">
        <v>124.6</v>
      </c>
      <c r="J78">
        <v>125</v>
      </c>
      <c r="K78">
        <v>125.6</v>
      </c>
      <c r="L78">
        <v>125.9</v>
      </c>
      <c r="M78">
        <v>126.1</v>
      </c>
      <c r="N78">
        <v>124</v>
      </c>
      <c r="O78">
        <f t="shared" si="1"/>
        <v>1.7585161290322582</v>
      </c>
    </row>
    <row r="79" spans="1:15" x14ac:dyDescent="0.2">
      <c r="A79">
        <v>1990</v>
      </c>
      <c r="B79">
        <v>127.4</v>
      </c>
      <c r="C79">
        <v>128</v>
      </c>
      <c r="D79">
        <v>128.69999999999999</v>
      </c>
      <c r="E79">
        <v>128.9</v>
      </c>
      <c r="F79">
        <v>129.19999999999999</v>
      </c>
      <c r="G79">
        <v>129.9</v>
      </c>
      <c r="H79">
        <v>130.4</v>
      </c>
      <c r="I79">
        <v>131.6</v>
      </c>
      <c r="J79">
        <v>132.69999999999999</v>
      </c>
      <c r="K79">
        <v>133.5</v>
      </c>
      <c r="L79">
        <v>133.80000000000001</v>
      </c>
      <c r="M79">
        <v>133.80000000000001</v>
      </c>
      <c r="N79">
        <v>130.69999999999999</v>
      </c>
      <c r="O79">
        <f t="shared" si="1"/>
        <v>1.6683703136954862</v>
      </c>
    </row>
    <row r="80" spans="1:15" x14ac:dyDescent="0.2">
      <c r="A80">
        <v>1991</v>
      </c>
      <c r="B80">
        <v>134.6</v>
      </c>
      <c r="C80">
        <v>134.80000000000001</v>
      </c>
      <c r="D80">
        <v>135</v>
      </c>
      <c r="E80">
        <v>135.19999999999999</v>
      </c>
      <c r="F80">
        <v>135.6</v>
      </c>
      <c r="G80">
        <v>136</v>
      </c>
      <c r="H80">
        <v>136.19999999999999</v>
      </c>
      <c r="I80">
        <v>136.6</v>
      </c>
      <c r="J80">
        <v>137.19999999999999</v>
      </c>
      <c r="K80">
        <v>137.4</v>
      </c>
      <c r="L80">
        <v>137.80000000000001</v>
      </c>
      <c r="M80">
        <v>137.9</v>
      </c>
      <c r="N80">
        <v>136.19999999999999</v>
      </c>
      <c r="O80">
        <f t="shared" si="1"/>
        <v>1.600998531571219</v>
      </c>
    </row>
    <row r="81" spans="1:15" x14ac:dyDescent="0.2">
      <c r="A81">
        <v>1992</v>
      </c>
      <c r="B81">
        <v>138.1</v>
      </c>
      <c r="C81">
        <v>138.6</v>
      </c>
      <c r="D81">
        <v>139.30000000000001</v>
      </c>
      <c r="E81">
        <v>139.5</v>
      </c>
      <c r="F81">
        <v>139.69999999999999</v>
      </c>
      <c r="G81">
        <v>140.19999999999999</v>
      </c>
      <c r="H81">
        <v>140.5</v>
      </c>
      <c r="I81">
        <v>140.9</v>
      </c>
      <c r="J81">
        <v>141.30000000000001</v>
      </c>
      <c r="K81">
        <v>141.80000000000001</v>
      </c>
      <c r="L81">
        <v>142</v>
      </c>
      <c r="M81">
        <v>141.9</v>
      </c>
      <c r="N81">
        <v>140.30000000000001</v>
      </c>
      <c r="O81">
        <f t="shared" si="1"/>
        <v>1.5542124019957233</v>
      </c>
    </row>
    <row r="82" spans="1:15" x14ac:dyDescent="0.2">
      <c r="A82">
        <v>1993</v>
      </c>
      <c r="B82">
        <v>142.6</v>
      </c>
      <c r="C82">
        <v>143.1</v>
      </c>
      <c r="D82">
        <v>143.6</v>
      </c>
      <c r="E82">
        <v>144</v>
      </c>
      <c r="F82">
        <v>144.19999999999999</v>
      </c>
      <c r="G82">
        <v>144.4</v>
      </c>
      <c r="H82">
        <v>144.4</v>
      </c>
      <c r="I82">
        <v>144.80000000000001</v>
      </c>
      <c r="J82">
        <v>145.1</v>
      </c>
      <c r="K82">
        <v>145.69999999999999</v>
      </c>
      <c r="L82">
        <v>145.80000000000001</v>
      </c>
      <c r="M82">
        <v>145.80000000000001</v>
      </c>
      <c r="N82">
        <v>144.5</v>
      </c>
      <c r="O82">
        <f t="shared" si="1"/>
        <v>1.5090380622837372</v>
      </c>
    </row>
    <row r="83" spans="1:15" x14ac:dyDescent="0.2">
      <c r="A83">
        <v>1994</v>
      </c>
      <c r="B83">
        <v>146.19999999999999</v>
      </c>
      <c r="C83">
        <v>146.69999999999999</v>
      </c>
      <c r="D83">
        <v>147.19999999999999</v>
      </c>
      <c r="E83">
        <v>147.4</v>
      </c>
      <c r="F83">
        <v>147.5</v>
      </c>
      <c r="G83">
        <v>148</v>
      </c>
      <c r="H83">
        <v>148.4</v>
      </c>
      <c r="I83">
        <v>149</v>
      </c>
      <c r="J83">
        <v>149.4</v>
      </c>
      <c r="K83">
        <v>149.5</v>
      </c>
      <c r="L83">
        <v>149.69999999999999</v>
      </c>
      <c r="M83">
        <v>149.69999999999999</v>
      </c>
      <c r="N83">
        <v>148.19999999999999</v>
      </c>
      <c r="O83">
        <f t="shared" si="1"/>
        <v>1.4713630229419705</v>
      </c>
    </row>
    <row r="84" spans="1:15" x14ac:dyDescent="0.2">
      <c r="A84">
        <v>1995</v>
      </c>
      <c r="B84">
        <v>150.30000000000001</v>
      </c>
      <c r="C84">
        <v>150.9</v>
      </c>
      <c r="D84">
        <v>151.4</v>
      </c>
      <c r="E84">
        <v>151.9</v>
      </c>
      <c r="F84">
        <v>152.19999999999999</v>
      </c>
      <c r="G84">
        <v>152.5</v>
      </c>
      <c r="H84">
        <v>152.5</v>
      </c>
      <c r="I84">
        <v>152.9</v>
      </c>
      <c r="J84">
        <v>153.19999999999999</v>
      </c>
      <c r="K84">
        <v>153.69999999999999</v>
      </c>
      <c r="L84">
        <v>153.6</v>
      </c>
      <c r="M84">
        <v>153.5</v>
      </c>
      <c r="N84">
        <v>152.4</v>
      </c>
      <c r="O84">
        <f t="shared" si="1"/>
        <v>1.4308136482939633</v>
      </c>
    </row>
    <row r="85" spans="1:15" x14ac:dyDescent="0.2">
      <c r="A85">
        <v>1996</v>
      </c>
      <c r="B85">
        <v>154.4</v>
      </c>
      <c r="C85">
        <v>154.9</v>
      </c>
      <c r="D85">
        <v>155.69999999999999</v>
      </c>
      <c r="E85">
        <v>156.30000000000001</v>
      </c>
      <c r="F85">
        <v>156.6</v>
      </c>
      <c r="G85">
        <v>156.69999999999999</v>
      </c>
      <c r="H85">
        <v>157</v>
      </c>
      <c r="I85">
        <v>157.30000000000001</v>
      </c>
      <c r="J85">
        <v>157.80000000000001</v>
      </c>
      <c r="K85">
        <v>158.30000000000001</v>
      </c>
      <c r="L85">
        <v>158.6</v>
      </c>
      <c r="M85">
        <v>158.6</v>
      </c>
      <c r="N85">
        <v>156.9</v>
      </c>
      <c r="O85">
        <f t="shared" si="1"/>
        <v>1.3897769279796048</v>
      </c>
    </row>
    <row r="86" spans="1:15" x14ac:dyDescent="0.2">
      <c r="A86">
        <v>1997</v>
      </c>
      <c r="B86">
        <v>159.1</v>
      </c>
      <c r="C86">
        <v>159.6</v>
      </c>
      <c r="D86">
        <v>160</v>
      </c>
      <c r="E86">
        <v>160.19999999999999</v>
      </c>
      <c r="F86">
        <v>160.1</v>
      </c>
      <c r="G86">
        <v>160.30000000000001</v>
      </c>
      <c r="H86">
        <v>160.5</v>
      </c>
      <c r="I86">
        <v>160.80000000000001</v>
      </c>
      <c r="J86">
        <v>161.19999999999999</v>
      </c>
      <c r="K86">
        <v>161.6</v>
      </c>
      <c r="L86">
        <v>161.5</v>
      </c>
      <c r="M86">
        <v>161.30000000000001</v>
      </c>
      <c r="N86">
        <v>160.5</v>
      </c>
      <c r="O86">
        <f t="shared" si="1"/>
        <v>1.3586043613707166</v>
      </c>
    </row>
    <row r="87" spans="1:15" x14ac:dyDescent="0.2">
      <c r="A87">
        <v>1998</v>
      </c>
      <c r="B87">
        <v>161.6</v>
      </c>
      <c r="C87">
        <v>161.9</v>
      </c>
      <c r="D87">
        <v>162.19999999999999</v>
      </c>
      <c r="E87">
        <v>162.5</v>
      </c>
      <c r="F87">
        <v>162.80000000000001</v>
      </c>
      <c r="G87">
        <v>163</v>
      </c>
      <c r="H87">
        <v>163.19999999999999</v>
      </c>
      <c r="I87">
        <v>163.4</v>
      </c>
      <c r="J87">
        <v>163.6</v>
      </c>
      <c r="K87">
        <v>164</v>
      </c>
      <c r="L87">
        <v>164</v>
      </c>
      <c r="M87">
        <v>163.9</v>
      </c>
      <c r="N87">
        <v>163</v>
      </c>
      <c r="O87">
        <f t="shared" si="1"/>
        <v>1.3377668711656443</v>
      </c>
    </row>
    <row r="88" spans="1:15" x14ac:dyDescent="0.2">
      <c r="A88">
        <v>1999</v>
      </c>
      <c r="B88">
        <v>164.3</v>
      </c>
      <c r="C88">
        <v>164.5</v>
      </c>
      <c r="D88">
        <v>165</v>
      </c>
      <c r="E88">
        <v>166.2</v>
      </c>
      <c r="F88">
        <v>166.2</v>
      </c>
      <c r="G88">
        <v>166.2</v>
      </c>
      <c r="H88">
        <v>166.7</v>
      </c>
      <c r="I88">
        <v>167.1</v>
      </c>
      <c r="J88">
        <v>167.9</v>
      </c>
      <c r="K88">
        <v>168.2</v>
      </c>
      <c r="L88">
        <v>168.3</v>
      </c>
      <c r="M88">
        <v>168.3</v>
      </c>
      <c r="N88">
        <v>166.6</v>
      </c>
      <c r="O88">
        <f t="shared" si="1"/>
        <v>1.3088595438175272</v>
      </c>
    </row>
    <row r="89" spans="1:15" x14ac:dyDescent="0.2">
      <c r="A89">
        <v>2000</v>
      </c>
      <c r="B89">
        <v>168.8</v>
      </c>
      <c r="C89">
        <v>169.8</v>
      </c>
      <c r="D89">
        <v>171.2</v>
      </c>
      <c r="E89">
        <v>171.3</v>
      </c>
      <c r="F89">
        <v>171.5</v>
      </c>
      <c r="G89">
        <v>172.4</v>
      </c>
      <c r="H89">
        <v>172.8</v>
      </c>
      <c r="I89">
        <v>172.8</v>
      </c>
      <c r="J89">
        <v>173.7</v>
      </c>
      <c r="K89">
        <v>174</v>
      </c>
      <c r="L89">
        <v>174.1</v>
      </c>
      <c r="M89">
        <v>174</v>
      </c>
      <c r="N89">
        <v>172.2</v>
      </c>
      <c r="O89">
        <f t="shared" si="1"/>
        <v>1.2662950058072011</v>
      </c>
    </row>
    <row r="90" spans="1:15" x14ac:dyDescent="0.2">
      <c r="A90">
        <v>2001</v>
      </c>
      <c r="B90">
        <v>175.1</v>
      </c>
      <c r="C90">
        <v>175.8</v>
      </c>
      <c r="D90">
        <v>176.2</v>
      </c>
      <c r="E90">
        <v>176.9</v>
      </c>
      <c r="F90">
        <v>177.7</v>
      </c>
      <c r="G90">
        <v>178</v>
      </c>
      <c r="H90">
        <v>177.5</v>
      </c>
      <c r="I90">
        <v>177.5</v>
      </c>
      <c r="J90">
        <v>178.3</v>
      </c>
      <c r="K90">
        <v>177.7</v>
      </c>
      <c r="L90">
        <v>177.4</v>
      </c>
      <c r="M90">
        <v>176.7</v>
      </c>
      <c r="N90">
        <v>177.1</v>
      </c>
      <c r="O90">
        <f t="shared" si="1"/>
        <v>1.2312591756070017</v>
      </c>
    </row>
    <row r="91" spans="1:15" x14ac:dyDescent="0.2">
      <c r="A91">
        <v>2002</v>
      </c>
      <c r="B91">
        <v>177.1</v>
      </c>
      <c r="C91">
        <v>177.8</v>
      </c>
      <c r="D91">
        <v>178.8</v>
      </c>
      <c r="E91">
        <v>179.8</v>
      </c>
      <c r="F91">
        <v>179.8</v>
      </c>
      <c r="G91">
        <v>179.9</v>
      </c>
      <c r="H91">
        <v>180.1</v>
      </c>
      <c r="I91">
        <v>180.7</v>
      </c>
      <c r="J91">
        <v>181</v>
      </c>
      <c r="K91">
        <v>181.3</v>
      </c>
      <c r="L91">
        <v>181.3</v>
      </c>
      <c r="M91">
        <v>180.9</v>
      </c>
      <c r="N91">
        <v>179.9</v>
      </c>
      <c r="O91">
        <f t="shared" si="1"/>
        <v>1.2120956086714842</v>
      </c>
    </row>
    <row r="92" spans="1:15" x14ac:dyDescent="0.2">
      <c r="A92">
        <v>2003</v>
      </c>
      <c r="B92">
        <v>181.7</v>
      </c>
      <c r="C92">
        <v>183.1</v>
      </c>
      <c r="D92">
        <v>184.2</v>
      </c>
      <c r="E92">
        <v>183.8</v>
      </c>
      <c r="F92">
        <v>183.5</v>
      </c>
      <c r="G92">
        <v>183.7</v>
      </c>
      <c r="H92">
        <v>183.9</v>
      </c>
      <c r="I92">
        <v>184.6</v>
      </c>
      <c r="J92">
        <v>185.2</v>
      </c>
      <c r="K92">
        <v>185</v>
      </c>
      <c r="L92">
        <v>184.5</v>
      </c>
      <c r="M92">
        <v>184.3</v>
      </c>
      <c r="N92">
        <v>184</v>
      </c>
      <c r="O92">
        <f t="shared" si="1"/>
        <v>1.1850869565217392</v>
      </c>
    </row>
    <row r="93" spans="1:15" x14ac:dyDescent="0.2">
      <c r="A93">
        <v>2004</v>
      </c>
      <c r="B93">
        <v>185.2</v>
      </c>
      <c r="C93">
        <v>186.2</v>
      </c>
      <c r="D93">
        <v>187.4</v>
      </c>
      <c r="E93">
        <v>188</v>
      </c>
      <c r="F93">
        <v>189.1</v>
      </c>
      <c r="G93">
        <v>189.7</v>
      </c>
      <c r="H93">
        <v>189.4</v>
      </c>
      <c r="I93">
        <v>189.5</v>
      </c>
      <c r="J93">
        <v>189.9</v>
      </c>
      <c r="K93">
        <v>190.9</v>
      </c>
      <c r="L93">
        <v>191</v>
      </c>
      <c r="M93">
        <v>190.3</v>
      </c>
      <c r="N93">
        <v>188.9</v>
      </c>
      <c r="O93">
        <f t="shared" si="1"/>
        <v>1.1543462149285337</v>
      </c>
    </row>
    <row r="94" spans="1:15" x14ac:dyDescent="0.2">
      <c r="A94">
        <v>2005</v>
      </c>
      <c r="B94">
        <v>190.7</v>
      </c>
      <c r="C94">
        <v>191.8</v>
      </c>
      <c r="D94">
        <v>193.3</v>
      </c>
      <c r="E94">
        <v>194.6</v>
      </c>
      <c r="F94">
        <v>194.4</v>
      </c>
      <c r="G94">
        <v>194.5</v>
      </c>
      <c r="H94">
        <v>195.4</v>
      </c>
      <c r="I94">
        <v>196.4</v>
      </c>
      <c r="J94">
        <v>198.8</v>
      </c>
      <c r="K94">
        <v>199.2</v>
      </c>
      <c r="L94">
        <v>197.6</v>
      </c>
      <c r="M94">
        <v>196.8</v>
      </c>
      <c r="N94">
        <v>195.3</v>
      </c>
      <c r="O94">
        <f t="shared" si="1"/>
        <v>1.1165181771633383</v>
      </c>
    </row>
    <row r="95" spans="1:15" x14ac:dyDescent="0.2">
      <c r="A95">
        <v>2006</v>
      </c>
      <c r="B95">
        <v>198.3</v>
      </c>
      <c r="C95">
        <v>198.7</v>
      </c>
      <c r="D95">
        <v>199.8</v>
      </c>
      <c r="E95">
        <v>201.5</v>
      </c>
      <c r="F95">
        <v>202.5</v>
      </c>
      <c r="G95">
        <v>202.9</v>
      </c>
      <c r="H95">
        <v>203.5</v>
      </c>
      <c r="I95">
        <v>203.9</v>
      </c>
      <c r="J95">
        <v>202.9</v>
      </c>
      <c r="K95">
        <v>201.8</v>
      </c>
      <c r="L95">
        <v>201.5</v>
      </c>
      <c r="M95">
        <v>201.8</v>
      </c>
      <c r="N95">
        <v>201.6</v>
      </c>
      <c r="O95">
        <f t="shared" si="1"/>
        <v>1.0816269841269843</v>
      </c>
    </row>
    <row r="96" spans="1:15" x14ac:dyDescent="0.2">
      <c r="A96">
        <v>2007</v>
      </c>
      <c r="B96">
        <v>202.416</v>
      </c>
      <c r="C96">
        <v>203.499</v>
      </c>
      <c r="D96">
        <v>205.352</v>
      </c>
      <c r="E96">
        <v>206.68600000000001</v>
      </c>
      <c r="F96">
        <v>207.94900000000001</v>
      </c>
      <c r="G96">
        <v>208.352</v>
      </c>
      <c r="H96">
        <v>208.29900000000001</v>
      </c>
      <c r="I96">
        <v>207.917</v>
      </c>
      <c r="J96">
        <v>208.49</v>
      </c>
      <c r="K96">
        <v>208.93600000000001</v>
      </c>
      <c r="L96">
        <v>210.17699999999999</v>
      </c>
      <c r="M96">
        <v>210.036</v>
      </c>
      <c r="N96">
        <v>207.34200000000001</v>
      </c>
      <c r="O96">
        <f t="shared" si="1"/>
        <v>1.0516730811895323</v>
      </c>
    </row>
    <row r="97" spans="1:15" x14ac:dyDescent="0.2">
      <c r="A97">
        <v>2008</v>
      </c>
      <c r="B97">
        <v>211.08</v>
      </c>
      <c r="C97">
        <v>211.69300000000001</v>
      </c>
      <c r="D97">
        <v>213.52799999999999</v>
      </c>
      <c r="E97">
        <v>214.82300000000001</v>
      </c>
      <c r="F97">
        <v>216.63200000000001</v>
      </c>
      <c r="G97">
        <v>218.815</v>
      </c>
      <c r="H97">
        <v>219.964</v>
      </c>
      <c r="I97">
        <v>219.08600000000001</v>
      </c>
      <c r="J97">
        <v>218.78299999999999</v>
      </c>
      <c r="K97">
        <v>216.57300000000001</v>
      </c>
      <c r="L97">
        <v>212.42500000000001</v>
      </c>
      <c r="M97">
        <v>210.22800000000001</v>
      </c>
      <c r="N97">
        <v>215.303</v>
      </c>
      <c r="O97">
        <f t="shared" si="1"/>
        <v>1.0127866309340789</v>
      </c>
    </row>
    <row r="98" spans="1:15" x14ac:dyDescent="0.2">
      <c r="A98">
        <v>2009</v>
      </c>
      <c r="B98">
        <v>211.143</v>
      </c>
      <c r="C98">
        <v>212.19300000000001</v>
      </c>
      <c r="D98">
        <v>212.709</v>
      </c>
      <c r="E98">
        <v>213.24</v>
      </c>
      <c r="F98">
        <v>213.85599999999999</v>
      </c>
      <c r="G98">
        <v>215.69300000000001</v>
      </c>
      <c r="H98">
        <v>215.351</v>
      </c>
      <c r="I98">
        <v>215.834</v>
      </c>
      <c r="J98">
        <v>215.96899999999999</v>
      </c>
      <c r="K98">
        <v>216.17699999999999</v>
      </c>
      <c r="L98">
        <v>216.33</v>
      </c>
      <c r="M98">
        <v>215.94900000000001</v>
      </c>
      <c r="N98">
        <v>214.53700000000001</v>
      </c>
      <c r="O98">
        <f t="shared" si="1"/>
        <v>1.0164027650242149</v>
      </c>
    </row>
    <row r="99" spans="1:15" x14ac:dyDescent="0.2">
      <c r="A99">
        <v>2010</v>
      </c>
      <c r="B99">
        <v>216.68700000000001</v>
      </c>
      <c r="C99">
        <v>216.74100000000001</v>
      </c>
      <c r="D99">
        <v>217.631</v>
      </c>
      <c r="E99">
        <v>218.00899999999999</v>
      </c>
      <c r="F99">
        <v>218.178</v>
      </c>
      <c r="G99">
        <v>217.965</v>
      </c>
      <c r="H99">
        <v>218.011</v>
      </c>
      <c r="I99">
        <v>218.31200000000001</v>
      </c>
      <c r="J99">
        <v>218.43899999999999</v>
      </c>
      <c r="K99">
        <v>218.71100000000001</v>
      </c>
      <c r="L99">
        <v>218.803</v>
      </c>
      <c r="M99">
        <v>219.179</v>
      </c>
      <c r="N99">
        <v>218.05600000000001</v>
      </c>
      <c r="O99">
        <f>N$99/N99</f>
        <v>1</v>
      </c>
    </row>
    <row r="100" spans="1:15" x14ac:dyDescent="0.2">
      <c r="A100">
        <v>2011</v>
      </c>
      <c r="B100">
        <v>220.22300000000001</v>
      </c>
      <c r="C100">
        <v>221.309</v>
      </c>
      <c r="D100">
        <v>223.46700000000001</v>
      </c>
      <c r="E100">
        <v>224.90600000000001</v>
      </c>
      <c r="F100">
        <v>225.964</v>
      </c>
      <c r="G100">
        <v>225.72200000000001</v>
      </c>
      <c r="H100">
        <v>225.922</v>
      </c>
      <c r="I100">
        <v>226.54499999999999</v>
      </c>
      <c r="J100">
        <v>226.88900000000001</v>
      </c>
      <c r="K100">
        <v>226.42099999999999</v>
      </c>
      <c r="L100">
        <v>226.23</v>
      </c>
      <c r="M100">
        <v>225.672</v>
      </c>
      <c r="N100">
        <v>224.93899999999999</v>
      </c>
      <c r="O100">
        <f>N$99/N100</f>
        <v>0.9694005930496713</v>
      </c>
    </row>
    <row r="101" spans="1:15" x14ac:dyDescent="0.2">
      <c r="A101" s="17">
        <v>2012</v>
      </c>
      <c r="B101" s="17">
        <v>226.66499999999999</v>
      </c>
      <c r="C101">
        <v>227.66300000000001</v>
      </c>
      <c r="D101">
        <v>229.392</v>
      </c>
      <c r="E101">
        <v>230.08500000000001</v>
      </c>
      <c r="F101">
        <v>229.815</v>
      </c>
      <c r="G101">
        <v>229.47800000000001</v>
      </c>
      <c r="H101">
        <v>229.10400000000001</v>
      </c>
      <c r="I101">
        <v>230.37899999999999</v>
      </c>
      <c r="J101">
        <v>231.40700000000001</v>
      </c>
      <c r="K101">
        <v>231.31700000000001</v>
      </c>
      <c r="L101">
        <v>230.221</v>
      </c>
      <c r="M101">
        <v>229.601</v>
      </c>
      <c r="N101" s="17">
        <v>229.59399999999999</v>
      </c>
      <c r="O101">
        <f>N$99/N101</f>
        <v>0.94974607350366302</v>
      </c>
    </row>
    <row r="102" spans="1:15" x14ac:dyDescent="0.2">
      <c r="A102" s="17">
        <v>2013</v>
      </c>
      <c r="B102">
        <v>230.28</v>
      </c>
      <c r="C102">
        <v>232.166</v>
      </c>
      <c r="D102">
        <v>232.773</v>
      </c>
      <c r="E102">
        <v>232.53100000000001</v>
      </c>
      <c r="F102">
        <v>232.94499999999999</v>
      </c>
      <c r="G102">
        <v>233.50399999999999</v>
      </c>
      <c r="H102">
        <v>233.596</v>
      </c>
      <c r="I102">
        <v>233.87700000000001</v>
      </c>
      <c r="J102">
        <v>234.149</v>
      </c>
      <c r="K102">
        <v>233.54599999999999</v>
      </c>
      <c r="L102">
        <v>233.06899999999999</v>
      </c>
      <c r="M102">
        <v>233.04900000000001</v>
      </c>
      <c r="N102" s="17">
        <v>232.95699999999999</v>
      </c>
      <c r="O102">
        <f>N$99/N102</f>
        <v>0.93603540567572563</v>
      </c>
    </row>
    <row r="103" spans="1:15" x14ac:dyDescent="0.2">
      <c r="A103" s="17">
        <v>2014</v>
      </c>
      <c r="B103">
        <v>233.916</v>
      </c>
      <c r="C103">
        <v>234.78100000000001</v>
      </c>
      <c r="D103">
        <v>236.29300000000001</v>
      </c>
      <c r="E103">
        <v>237.072</v>
      </c>
      <c r="F103">
        <v>237.9</v>
      </c>
      <c r="G103">
        <v>238.34299999999999</v>
      </c>
      <c r="H103">
        <v>238.25</v>
      </c>
      <c r="I103">
        <v>237.852</v>
      </c>
      <c r="J103">
        <v>238.03100000000001</v>
      </c>
      <c r="K103">
        <v>237.43299999999999</v>
      </c>
      <c r="L103">
        <v>236.15100000000001</v>
      </c>
      <c r="M103">
        <v>234.81200000000001</v>
      </c>
      <c r="N103" s="17">
        <v>236.73599999999999</v>
      </c>
      <c r="O103">
        <f>N$99/N103</f>
        <v>0.92109353879426881</v>
      </c>
    </row>
    <row r="104" spans="1:15" x14ac:dyDescent="0.2">
      <c r="A104" s="17">
        <v>2015</v>
      </c>
      <c r="B104" s="17">
        <v>233.70699999999999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048576"/>
  <sheetViews>
    <sheetView topLeftCell="AA43" workbookViewId="0">
      <selection activeCell="AA80" sqref="AA80"/>
    </sheetView>
  </sheetViews>
  <sheetFormatPr defaultRowHeight="12.75" x14ac:dyDescent="0.2"/>
  <cols>
    <col min="6" max="6" width="10.85546875" customWidth="1"/>
    <col min="14" max="14" width="11.5703125" bestFit="1" customWidth="1"/>
    <col min="53" max="53" width="10.7109375" customWidth="1"/>
  </cols>
  <sheetData>
    <row r="1" spans="1:94" x14ac:dyDescent="0.2">
      <c r="B1" s="17" t="s">
        <v>163</v>
      </c>
      <c r="C1" s="17" t="s">
        <v>162</v>
      </c>
      <c r="D1" t="s">
        <v>184</v>
      </c>
      <c r="E1" t="s">
        <v>2</v>
      </c>
      <c r="F1" s="17" t="s">
        <v>186</v>
      </c>
      <c r="G1" s="17" t="s">
        <v>59</v>
      </c>
      <c r="J1" s="17" t="s">
        <v>185</v>
      </c>
      <c r="N1" s="17"/>
      <c r="W1" s="17" t="s">
        <v>222</v>
      </c>
      <c r="X1">
        <v>0</v>
      </c>
      <c r="Y1">
        <v>0.1</v>
      </c>
      <c r="Z1">
        <v>1</v>
      </c>
      <c r="AA1">
        <v>1.5</v>
      </c>
      <c r="AB1">
        <v>2</v>
      </c>
      <c r="AC1">
        <v>3</v>
      </c>
      <c r="AH1">
        <f t="shared" ref="AH1:AM1" si="0">X1</f>
        <v>0</v>
      </c>
      <c r="AI1">
        <f t="shared" si="0"/>
        <v>0.1</v>
      </c>
      <c r="AJ1">
        <f t="shared" si="0"/>
        <v>1</v>
      </c>
      <c r="AK1">
        <f t="shared" si="0"/>
        <v>1.5</v>
      </c>
      <c r="AL1">
        <f t="shared" si="0"/>
        <v>2</v>
      </c>
      <c r="AM1">
        <f t="shared" si="0"/>
        <v>3</v>
      </c>
      <c r="AR1">
        <f t="shared" ref="AR1" si="1">AH1</f>
        <v>0</v>
      </c>
      <c r="AS1">
        <f t="shared" ref="AS1" si="2">AI1</f>
        <v>0.1</v>
      </c>
      <c r="AT1">
        <f t="shared" ref="AT1" si="3">AJ1</f>
        <v>1</v>
      </c>
      <c r="AU1">
        <f t="shared" ref="AU1" si="4">AK1</f>
        <v>1.5</v>
      </c>
      <c r="AV1">
        <f t="shared" ref="AV1" si="5">AL1</f>
        <v>2</v>
      </c>
      <c r="AW1">
        <f t="shared" ref="AW1" si="6">AM1</f>
        <v>3</v>
      </c>
      <c r="BB1">
        <f t="shared" ref="BB1" si="7">AR1</f>
        <v>0</v>
      </c>
      <c r="BC1">
        <f t="shared" ref="BC1" si="8">AS1</f>
        <v>0.1</v>
      </c>
      <c r="BD1">
        <f t="shared" ref="BD1" si="9">AT1</f>
        <v>1</v>
      </c>
      <c r="BE1">
        <f t="shared" ref="BE1" si="10">AU1</f>
        <v>1.5</v>
      </c>
      <c r="BF1">
        <f t="shared" ref="BF1" si="11">AV1</f>
        <v>2</v>
      </c>
      <c r="BG1">
        <f t="shared" ref="BG1" si="12">AW1</f>
        <v>3</v>
      </c>
      <c r="BL1" s="17" t="s">
        <v>2</v>
      </c>
      <c r="BM1" s="17" t="s">
        <v>232</v>
      </c>
      <c r="BN1" s="17" t="s">
        <v>233</v>
      </c>
      <c r="BU1" t="s">
        <v>234</v>
      </c>
      <c r="CH1" t="s">
        <v>234</v>
      </c>
    </row>
    <row r="2" spans="1:94" ht="13.5" thickBot="1" x14ac:dyDescent="0.25">
      <c r="A2">
        <v>1982</v>
      </c>
      <c r="B2">
        <f>COUNTIF(Data!D$4:D$1216,"="&amp;A2)</f>
        <v>1</v>
      </c>
      <c r="C2">
        <f>COUNTIF(Data!$E$4:$E$1216,"="&amp;$A2)</f>
        <v>2</v>
      </c>
      <c r="D2">
        <f>C2/B2</f>
        <v>2</v>
      </c>
      <c r="E2" s="5">
        <f ca="1">SUMIF(Data!$E$4:$E$1216,"="&amp;$A2,Data!O$4:O$1216)/$C2</f>
        <v>608.87816739753373</v>
      </c>
      <c r="F2" s="5">
        <f ca="1">SUMIF(Data!$E$4:$E$1216,"="&amp;$A2,Data!R$4:R$1216)/$C2</f>
        <v>579269.72302090493</v>
      </c>
      <c r="G2" s="5">
        <f ca="1">SQRT(F2-E2*E2)</f>
        <v>456.65862554815033</v>
      </c>
      <c r="H2" s="5">
        <f ca="1">E2-2*G2</f>
        <v>-304.43908369876692</v>
      </c>
      <c r="I2" s="5">
        <f ca="1">E2+2*G2</f>
        <v>1522.1954184938345</v>
      </c>
      <c r="J2" s="5"/>
      <c r="K2" s="5"/>
      <c r="L2" s="5"/>
      <c r="M2" s="5"/>
      <c r="V2">
        <v>1982</v>
      </c>
      <c r="W2">
        <f>C2</f>
        <v>2</v>
      </c>
      <c r="X2">
        <f>COUNTIFS(Data!$E$4:$E$1216,"="&amp;$A2,Data!$AQ$4:$AQ$1216,"="&amp;X$1)</f>
        <v>0</v>
      </c>
      <c r="Y2">
        <f>COUNTIFS(Data!$E$4:$E$1216,"="&amp;$A2,Data!$AQ$4:$AQ$1216,"="&amp;Y$1)</f>
        <v>0</v>
      </c>
      <c r="Z2">
        <f>COUNTIFS(Data!$E$4:$E$1216,"="&amp;$A2,Data!$AQ$4:$AQ$1216,"="&amp;Z$1)</f>
        <v>2</v>
      </c>
      <c r="AA2">
        <f>COUNTIFS(Data!$E$4:$E$1216,"="&amp;$A2,Data!$AQ$4:$AQ$1216,"="&amp;AA$1)</f>
        <v>0</v>
      </c>
      <c r="AB2">
        <f>COUNTIFS(Data!$E$4:$E$1216,"="&amp;$A2,Data!$AQ$4:$AQ$1216,"="&amp;AB$1)</f>
        <v>0</v>
      </c>
      <c r="AC2">
        <f>COUNTIFS(Data!$E$4:$E$1216,"="&amp;$A2,Data!$AQ$4:$AQ$1216,"="&amp;AC$1)</f>
        <v>0</v>
      </c>
      <c r="AD2" s="7">
        <f>SUMPRODUCT(X$1:AC$1,X2:AC2)/SUM(X2:AC2)</f>
        <v>1</v>
      </c>
      <c r="AF2">
        <f>V2</f>
        <v>1982</v>
      </c>
      <c r="AG2" s="5">
        <f ca="1">IF(W2&gt;0,SUMIFS(Data!$O$4:$O$1216,Data!$E$4:$E$1216,"="&amp;$AF2)/W2,"-")</f>
        <v>608.87816739753373</v>
      </c>
      <c r="AH2" s="5" t="str">
        <f>IF(X2&gt;0,SUMIFS(Data!$O$4:$O$1216,Data!$E$4:$E$1216,"="&amp;$AF2,Data!$AQ$4:$AQ$1216,"="&amp;AH$1)/X2,"-")</f>
        <v>-</v>
      </c>
      <c r="AI2" s="5" t="str">
        <f>IF(Y2&gt;0,SUMIFS(Data!$O$4:$O$1216,Data!$E$4:$E$1216,"="&amp;$AF2,Data!$AQ$4:$AQ$1216,"="&amp;AI$1)/Y2,"-")</f>
        <v>-</v>
      </c>
      <c r="AJ2" s="5">
        <f ca="1">IF(Z2&gt;0,SUMIFS(Data!$O$4:$O$1216,Data!$E$4:$E$1216,"="&amp;$AF2,Data!$AQ$4:$AQ$1216,"="&amp;AJ$1)/Z2,"-")</f>
        <v>608.87816739753373</v>
      </c>
      <c r="AK2" s="5" t="str">
        <f>IF(AA2&gt;0,SUMIFS(Data!$O$4:$O$1216,Data!$E$4:$E$1216,"="&amp;$AF2,Data!$AQ$4:$AQ$1216,"="&amp;AK$1)/AA2,"-")</f>
        <v>-</v>
      </c>
      <c r="AL2" s="5" t="str">
        <f>IF(AB2&gt;0,SUMIFS(Data!$O$4:$O$1216,Data!$E$4:$E$1216,"="&amp;$AF2,Data!$AQ$4:$AQ$1216,"="&amp;AL$1)/AB2,"-")</f>
        <v>-</v>
      </c>
      <c r="AM2" s="5" t="str">
        <f>IF(AC2&gt;0,SUMIFS(Data!$O$4:$O$1216,Data!$E$4:$E$1216,"="&amp;$AF2,Data!$AQ$4:$AQ$1216,"="&amp;AM$1)/AC2,"-")</f>
        <v>-</v>
      </c>
      <c r="AP2">
        <f>AF2</f>
        <v>1982</v>
      </c>
      <c r="AQ2" s="5">
        <f ca="1">IF(W2&gt;0,SUMIFS(Data!$R$4:$R$1216,Data!$E$4:$E$1216,"="&amp;$AF2)/W2,"-")</f>
        <v>579269.72302090493</v>
      </c>
      <c r="AR2" s="5" t="str">
        <f>IF(X2&gt;0,SUMIFS(Data!$R$4:$R$1216,Data!$E$4:$E$1216,"="&amp;$AF2,Data!$AQ$4:$AQ$1216,"="&amp;AR$1)/X2,"-")</f>
        <v>-</v>
      </c>
      <c r="AS2" s="5" t="str">
        <f>IF(Y2&gt;0,SUMIFS(Data!$R$4:$R$1216,Data!$E$4:$E$1216,"="&amp;$AF2,Data!$AQ$4:$AQ$1216,"="&amp;AS$1)/Y2,"-")</f>
        <v>-</v>
      </c>
      <c r="AT2" s="5">
        <f ca="1">IF(Z2&gt;0,SUMIFS(Data!$R$4:$R$1216,Data!$E$4:$E$1216,"="&amp;$AF2,Data!$AQ$4:$AQ$1216,"="&amp;AT$1)/Z2,"-")</f>
        <v>579269.72302090493</v>
      </c>
      <c r="AU2" s="5" t="str">
        <f>IF(AA2&gt;0,SUMIFS(Data!$R$4:$R$1216,Data!$E$4:$E$1216,"="&amp;$AF2,Data!$AQ$4:$AQ$1216,"="&amp;AU$1)/AA2,"-")</f>
        <v>-</v>
      </c>
      <c r="AV2" s="5" t="str">
        <f>IF(AB2&gt;0,SUMIFS(Data!$R$4:$R$1216,Data!$E$4:$E$1216,"="&amp;$AF2,Data!$AQ$4:$AQ$1216,"="&amp;AV$1)/AB2,"-")</f>
        <v>-</v>
      </c>
      <c r="AW2" s="5" t="str">
        <f>IF(AC2&gt;0,SUMIFS(Data!$R$4:$R$1216,Data!$E$4:$E$1216,"="&amp;$AF2,Data!$AQ$4:$AQ$1216,"="&amp;AW$1)/AC2,"-")</f>
        <v>-</v>
      </c>
      <c r="AZ2">
        <f>AP2</f>
        <v>1982</v>
      </c>
      <c r="BA2" s="1">
        <f ca="1">IF(W2&gt;0,SQRT(AQ2-AG2^2)/SQRT(W2),"-")</f>
        <v>322.90641081242546</v>
      </c>
      <c r="BB2" s="1" t="str">
        <f t="shared" ref="BB2:BG2" si="13">IF(X2&gt;0,SQRT(AR2-AH2^2)/SQRT(X2),"-")</f>
        <v>-</v>
      </c>
      <c r="BC2" s="1" t="str">
        <f t="shared" si="13"/>
        <v>-</v>
      </c>
      <c r="BD2" s="1">
        <f t="shared" ca="1" si="13"/>
        <v>322.90641081242546</v>
      </c>
      <c r="BE2" s="1" t="str">
        <f t="shared" si="13"/>
        <v>-</v>
      </c>
      <c r="BF2" s="1" t="str">
        <f t="shared" si="13"/>
        <v>-</v>
      </c>
      <c r="BG2" s="1" t="str">
        <f t="shared" si="13"/>
        <v>-</v>
      </c>
      <c r="BJ2">
        <v>1982</v>
      </c>
      <c r="BK2" s="5">
        <f>SUMPRODUCT(Data!$N$4:$N$1216,Data!BG$4:BG$1216)</f>
        <v>1</v>
      </c>
      <c r="BL2">
        <f ca="1">SUMPRODUCT(Data!$N$4:$N$1216,Data!$O$4:$O$1216,Data!BG$4:BG$1216)/$BK2</f>
        <v>608.87816739753373</v>
      </c>
      <c r="BM2">
        <f ca="1">SQRT(BN2-BL2^2)/SQRT(BK2)</f>
        <v>456.65862554815033</v>
      </c>
      <c r="BN2">
        <f ca="1">SUMPRODUCT(Data!$N$4:$N$1216,Data!$R$4:$R$1216,Data!BG$4:BG$1216)/$BK2</f>
        <v>579269.72302090493</v>
      </c>
      <c r="BO2" s="5">
        <f>BK2</f>
        <v>1</v>
      </c>
      <c r="BP2">
        <f ca="1">BL2</f>
        <v>608.87816739753373</v>
      </c>
      <c r="BQ2">
        <f ca="1">SQRT(BR2-BP2^2)/SQRT(BO2)</f>
        <v>456.65862554815033</v>
      </c>
      <c r="BR2">
        <f ca="1">BN2</f>
        <v>579269.72302090493</v>
      </c>
      <c r="CE2">
        <f t="shared" ref="CE2:CE10" si="14">V2</f>
        <v>1982</v>
      </c>
      <c r="CF2" s="7">
        <f t="shared" ref="CF2:CF10" si="15">AD2</f>
        <v>1</v>
      </c>
    </row>
    <row r="3" spans="1:94" x14ac:dyDescent="0.2">
      <c r="A3">
        <f>A2+1</f>
        <v>1983</v>
      </c>
      <c r="B3">
        <f>COUNTIF(Data!D$4:D$1216,"="&amp;A3)</f>
        <v>0</v>
      </c>
      <c r="C3">
        <f>COUNTIF(Data!E$4:E$1216,"="&amp;A3)</f>
        <v>0</v>
      </c>
      <c r="V3">
        <v>1991</v>
      </c>
      <c r="W3">
        <f t="shared" ref="W3:W9" si="16">C11</f>
        <v>10</v>
      </c>
      <c r="X3">
        <f>COUNTIFS(Data!$E$4:$E$1216,"="&amp;$A11,Data!$AQ$4:$AQ$1216,"="&amp;X$1)</f>
        <v>3</v>
      </c>
      <c r="Y3">
        <f>COUNTIFS(Data!$E$4:$E$1216,"="&amp;$A11,Data!$AQ$4:$AQ$1216,"="&amp;Y$1)</f>
        <v>0</v>
      </c>
      <c r="Z3">
        <f>COUNTIFS(Data!$E$4:$E$1216,"="&amp;$A11,Data!$AQ$4:$AQ$1216,"="&amp;Z$1)</f>
        <v>4</v>
      </c>
      <c r="AA3">
        <f>COUNTIFS(Data!$E$4:$E$1216,"="&amp;$A11,Data!$AQ$4:$AQ$1216,"="&amp;AA$1)</f>
        <v>0</v>
      </c>
      <c r="AB3">
        <f>COUNTIFS(Data!$E$4:$E$1216,"="&amp;$A11,Data!$AQ$4:$AQ$1216,"="&amp;AB$1)</f>
        <v>0</v>
      </c>
      <c r="AC3">
        <f>COUNTIFS(Data!$E$4:$E$1216,"="&amp;$A11,Data!$AQ$4:$AQ$1216,"="&amp;AC$1)</f>
        <v>0</v>
      </c>
      <c r="AD3" s="7">
        <f t="shared" ref="AD3:AD10" si="17">SUMPRODUCT(X$1:AC$1,X3:AC3)/SUM(X3:AC3)</f>
        <v>0.5714285714285714</v>
      </c>
      <c r="AF3">
        <f t="shared" ref="AF3:AF26" si="18">V3</f>
        <v>1991</v>
      </c>
      <c r="AG3" s="5">
        <f ca="1">IF(W3&gt;0,SUMIFS(Data!$O$4:$O$1216,Data!$E$4:$E$1216,"="&amp;$AF3)/W3,"-")</f>
        <v>145.7549000763251</v>
      </c>
      <c r="AH3" s="5">
        <f ca="1">IF(X3&gt;0,SUMIFS(Data!$O$4:$O$1216,Data!$E$4:$E$1216,"="&amp;$AF3,Data!$AQ$4:$AQ$1216,"="&amp;AH$1)/X3,"-")</f>
        <v>310.92869742933834</v>
      </c>
      <c r="AI3" s="5" t="str">
        <f>IF(Y3&gt;0,SUMIFS(Data!$O$4:$O$1216,Data!$E$4:$E$1216,"="&amp;$AF3,Data!$AQ$4:$AQ$1216,"="&amp;AI$1)/Y3,"-")</f>
        <v>-</v>
      </c>
      <c r="AJ3" s="5">
        <f ca="1">IF(Z3&gt;0,SUMIFS(Data!$O$4:$O$1216,Data!$E$4:$E$1216,"="&amp;$AF3,Data!$AQ$4:$AQ$1216,"="&amp;AJ$1)/Z3,"-")</f>
        <v>122.55059462608058</v>
      </c>
      <c r="AK3" s="5" t="str">
        <f>IF(AA3&gt;0,SUMIFS(Data!$O$4:$O$1216,Data!$E$4:$E$1216,"="&amp;$AF3,Data!$AQ$4:$AQ$1216,"="&amp;AK$1)/AA3,"-")</f>
        <v>-</v>
      </c>
      <c r="AL3" s="5" t="str">
        <f>IF(AB3&gt;0,SUMIFS(Data!$O$4:$O$1216,Data!$E$4:$E$1216,"="&amp;$AF3,Data!$AQ$4:$AQ$1216,"="&amp;AL$1)/AB3,"-")</f>
        <v>-</v>
      </c>
      <c r="AM3" s="5" t="str">
        <f>IF(AC3&gt;0,SUMIFS(Data!$O$4:$O$1216,Data!$E$4:$E$1216,"="&amp;$AF3,Data!$AQ$4:$AQ$1216,"="&amp;AM$1)/AC3,"-")</f>
        <v>-</v>
      </c>
      <c r="AP3">
        <f t="shared" ref="AP3:AP26" si="19">AF3</f>
        <v>1991</v>
      </c>
      <c r="AQ3" s="5">
        <f ca="1">IF(W3&gt;0,SUMIFS(Data!$R$4:$R$1216,Data!$E$4:$E$1216,"="&amp;$AF3)/W3,"-")</f>
        <v>51825.084821036653</v>
      </c>
      <c r="AR3" s="5">
        <f ca="1">IF(X3&gt;0,SUMIFS(Data!$R$4:$R$1216,Data!$E$4:$E$1216,"="&amp;$AF3,Data!$AQ$4:$AQ$1216,"="&amp;AR$1)/X3,"-")</f>
        <v>139013.89037188</v>
      </c>
      <c r="AS3" s="5" t="str">
        <f>IF(Y3&gt;0,SUMIFS(Data!$R$4:$R$1216,Data!$E$4:$E$1216,"="&amp;$AF3,Data!$AQ$4:$AQ$1216,"="&amp;AS$1)/Y3,"-")</f>
        <v>-</v>
      </c>
      <c r="AT3" s="5">
        <f ca="1">IF(Z3&gt;0,SUMIFS(Data!$R$4:$R$1216,Data!$E$4:$E$1216,"="&amp;$AF3,Data!$AQ$4:$AQ$1216,"="&amp;AT$1)/Z3,"-")</f>
        <v>25159.476691391581</v>
      </c>
      <c r="AU3" s="5" t="str">
        <f>IF(AA3&gt;0,SUMIFS(Data!$R$4:$R$1216,Data!$E$4:$E$1216,"="&amp;$AF3,Data!$AQ$4:$AQ$1216,"="&amp;AU$1)/AA3,"-")</f>
        <v>-</v>
      </c>
      <c r="AV3" s="5" t="str">
        <f>IF(AB3&gt;0,SUMIFS(Data!$R$4:$R$1216,Data!$E$4:$E$1216,"="&amp;$AF3,Data!$AQ$4:$AQ$1216,"="&amp;AV$1)/AB3,"-")</f>
        <v>-</v>
      </c>
      <c r="AW3" s="5" t="str">
        <f>IF(AC3&gt;0,SUMIFS(Data!$R$4:$R$1216,Data!$E$4:$E$1216,"="&amp;$AF3,Data!$AQ$4:$AQ$1216,"="&amp;AW$1)/AC3,"-")</f>
        <v>-</v>
      </c>
      <c r="AZ3">
        <f t="shared" ref="AZ3:AZ26" si="20">AP3</f>
        <v>1991</v>
      </c>
      <c r="BA3" s="1">
        <f t="shared" ref="BA3:BA26" ca="1" si="21">IF(W3&gt;0,SQRT(AQ3-AG3^2)/SQRT(W3),"-")</f>
        <v>55.299723258599705</v>
      </c>
      <c r="BB3" s="1">
        <f t="shared" ref="BB3:BB26" ca="1" si="22">IF(X3&gt;0,SQRT(AR3-AH3^2)/SQRT(X3),"-")</f>
        <v>118.79567260184602</v>
      </c>
      <c r="BC3" s="1" t="str">
        <f t="shared" ref="BC3:BC26" si="23">IF(Y3&gt;0,SQRT(AS3-AI3^2)/SQRT(Y3),"-")</f>
        <v>-</v>
      </c>
      <c r="BD3" s="1">
        <f t="shared" ref="BD3:BD26" ca="1" si="24">IF(Z3&gt;0,SQRT(AT3-AJ3^2)/SQRT(Z3),"-")</f>
        <v>50.35084023178176</v>
      </c>
      <c r="BE3" s="1" t="str">
        <f t="shared" ref="BE3:BE26" si="25">IF(AA3&gt;0,SQRT(AU3-AK3^2)/SQRT(AA3),"-")</f>
        <v>-</v>
      </c>
      <c r="BF3" s="1" t="str">
        <f t="shared" ref="BF3:BF26" si="26">IF(AB3&gt;0,SQRT(AV3-AL3^2)/SQRT(AB3),"-")</f>
        <v>-</v>
      </c>
      <c r="BG3" s="1" t="str">
        <f t="shared" ref="BG3:BG26" si="27">IF(AC3&gt;0,SQRT(AW3-AM3^2)/SQRT(AC3),"-")</f>
        <v>-</v>
      </c>
      <c r="BJ3">
        <v>1991</v>
      </c>
      <c r="BK3" s="5">
        <f>SUMPRODUCT(Data!$N$4:$N$1216,Data!BH$4:BH$1216)</f>
        <v>2</v>
      </c>
      <c r="BL3">
        <f ca="1">SUMPRODUCT(Data!$N$4:$N$1216,Data!$O$4:$O$1216,Data!BH$4:BH$1216)/$BK3</f>
        <v>197.93683880303229</v>
      </c>
      <c r="BM3">
        <f t="shared" ref="BM3:BM26" ca="1" si="28">SQRT(BN3-BL3^2)/SQRT(BK3)</f>
        <v>94.906067899167326</v>
      </c>
      <c r="BN3">
        <f ca="1">SUMPRODUCT(Data!$N$4:$N$1216,Data!$R$4:$R$1216,Data!BH$4:BH$1216)/$BK3</f>
        <v>57193.315603500312</v>
      </c>
      <c r="BO3" s="5">
        <f>BO2+BK3</f>
        <v>3</v>
      </c>
      <c r="BP3">
        <f ca="1">(BP2*BO2+BL3*BK3)/BO3</f>
        <v>334.91728166786612</v>
      </c>
      <c r="BQ3">
        <f ca="1">SQRT(BR3-BP3^2)/SQRT(BO3)</f>
        <v>199.20609025399</v>
      </c>
      <c r="BR3">
        <f ca="1">(BR2*BO2+BN3*BK3)/BO3</f>
        <v>231218.78474263518</v>
      </c>
      <c r="BU3" s="39" t="s">
        <v>235</v>
      </c>
      <c r="BV3" s="39"/>
      <c r="CE3">
        <f t="shared" si="14"/>
        <v>1991</v>
      </c>
      <c r="CF3" s="7">
        <f t="shared" si="15"/>
        <v>0.5714285714285714</v>
      </c>
      <c r="CH3" s="39" t="s">
        <v>235</v>
      </c>
      <c r="CI3" s="39"/>
    </row>
    <row r="4" spans="1:94" x14ac:dyDescent="0.2">
      <c r="A4">
        <f t="shared" ref="A4:A32" si="29">A3+1</f>
        <v>1984</v>
      </c>
      <c r="B4">
        <f>COUNTIF(Data!D$4:D$1216,"="&amp;A4)</f>
        <v>0</v>
      </c>
      <c r="C4">
        <f>COUNTIF(Data!E$4:E$1216,"="&amp;A4)</f>
        <v>0</v>
      </c>
      <c r="V4">
        <v>1992</v>
      </c>
      <c r="W4">
        <f t="shared" si="16"/>
        <v>4</v>
      </c>
      <c r="X4">
        <f>COUNTIFS(Data!$E$4:$E$1216,"="&amp;$A12,Data!$AQ$4:$AQ$1216,"="&amp;X$1)</f>
        <v>0</v>
      </c>
      <c r="Y4">
        <f>COUNTIFS(Data!$E$4:$E$1216,"="&amp;$A12,Data!$AQ$4:$AQ$1216,"="&amp;Y$1)</f>
        <v>0</v>
      </c>
      <c r="Z4">
        <f>COUNTIFS(Data!$E$4:$E$1216,"="&amp;$A12,Data!$AQ$4:$AQ$1216,"="&amp;Z$1)</f>
        <v>0</v>
      </c>
      <c r="AA4">
        <f>COUNTIFS(Data!$E$4:$E$1216,"="&amp;$A12,Data!$AQ$4:$AQ$1216,"="&amp;AA$1)</f>
        <v>0</v>
      </c>
      <c r="AB4">
        <f>COUNTIFS(Data!$E$4:$E$1216,"="&amp;$A12,Data!$AQ$4:$AQ$1216,"="&amp;AB$1)</f>
        <v>2</v>
      </c>
      <c r="AC4">
        <f>COUNTIFS(Data!$E$4:$E$1216,"="&amp;$A12,Data!$AQ$4:$AQ$1216,"="&amp;AC$1)</f>
        <v>0</v>
      </c>
      <c r="AD4" s="7">
        <f t="shared" si="17"/>
        <v>2</v>
      </c>
      <c r="AF4">
        <f t="shared" si="18"/>
        <v>1992</v>
      </c>
      <c r="AG4" s="5">
        <f ca="1">IF(W4&gt;0,SUMIFS(Data!$O$4:$O$1216,Data!$E$4:$E$1216,"="&amp;$AF4)/W4,"-")</f>
        <v>998.13918249316691</v>
      </c>
      <c r="AH4" s="5" t="str">
        <f>IF(X4&gt;0,SUMIFS(Data!$O$4:$O$1216,Data!$E$4:$E$1216,"="&amp;$AF4,Data!$AQ$4:$AQ$1216,"="&amp;AH$1)/X4,"-")</f>
        <v>-</v>
      </c>
      <c r="AI4" s="5" t="str">
        <f>IF(Y4&gt;0,SUMIFS(Data!$O$4:$O$1216,Data!$E$4:$E$1216,"="&amp;$AF4,Data!$AQ$4:$AQ$1216,"="&amp;AI$1)/Y4,"-")</f>
        <v>-</v>
      </c>
      <c r="AJ4" s="5" t="str">
        <f>IF(Z4&gt;0,SUMIFS(Data!$O$4:$O$1216,Data!$E$4:$E$1216,"="&amp;$AF4,Data!$AQ$4:$AQ$1216,"="&amp;AJ$1)/Z4,"-")</f>
        <v>-</v>
      </c>
      <c r="AK4" s="5" t="str">
        <f>IF(AA4&gt;0,SUMIFS(Data!$O$4:$O$1216,Data!$E$4:$E$1216,"="&amp;$AF4,Data!$AQ$4:$AQ$1216,"="&amp;AK$1)/AA4,"-")</f>
        <v>-</v>
      </c>
      <c r="AL4" s="5">
        <f ca="1">IF(AB4&gt;0,SUMIFS(Data!$O$4:$O$1216,Data!$E$4:$E$1216,"="&amp;$AF4,Data!$AQ$4:$AQ$1216,"="&amp;AL$1)/AB4,"-")</f>
        <v>42.153098551811055</v>
      </c>
      <c r="AM4" s="5" t="str">
        <f>IF(AC4&gt;0,SUMIFS(Data!$O$4:$O$1216,Data!$E$4:$E$1216,"="&amp;$AF4,Data!$AQ$4:$AQ$1216,"="&amp;AM$1)/AC4,"-")</f>
        <v>-</v>
      </c>
      <c r="AP4">
        <f t="shared" si="19"/>
        <v>1992</v>
      </c>
      <c r="AQ4" s="5">
        <f ca="1">IF(W4&gt;0,SUMIFS(Data!$R$4:$R$1216,Data!$E$4:$E$1216,"="&amp;$AF4)/W4,"-")</f>
        <v>3530263.8719554958</v>
      </c>
      <c r="AR4" s="5" t="str">
        <f>IF(X4&gt;0,SUMIFS(Data!$R$4:$R$1216,Data!$E$4:$E$1216,"="&amp;$AF4,Data!$AQ$4:$AQ$1216,"="&amp;AR$1)/X4,"-")</f>
        <v>-</v>
      </c>
      <c r="AS4" s="5" t="str">
        <f>IF(Y4&gt;0,SUMIFS(Data!$R$4:$R$1216,Data!$E$4:$E$1216,"="&amp;$AF4,Data!$AQ$4:$AQ$1216,"="&amp;AS$1)/Y4,"-")</f>
        <v>-</v>
      </c>
      <c r="AT4" s="5" t="str">
        <f>IF(Z4&gt;0,SUMIFS(Data!$R$4:$R$1216,Data!$E$4:$E$1216,"="&amp;$AF4,Data!$AQ$4:$AQ$1216,"="&amp;AT$1)/Z4,"-")</f>
        <v>-</v>
      </c>
      <c r="AU4" s="5" t="str">
        <f>IF(AA4&gt;0,SUMIFS(Data!$R$4:$R$1216,Data!$E$4:$E$1216,"="&amp;$AF4,Data!$AQ$4:$AQ$1216,"="&amp;AU$1)/AA4,"-")</f>
        <v>-</v>
      </c>
      <c r="AV4" s="5">
        <f ca="1">IF(AB4&gt;0,SUMIFS(Data!$R$4:$R$1216,Data!$E$4:$E$1216,"="&amp;$AF4,Data!$AQ$4:$AQ$1216,"="&amp;AV$1)/AB4,"-")</f>
        <v>1780.7904541976122</v>
      </c>
      <c r="AW4" s="5" t="str">
        <f>IF(AC4&gt;0,SUMIFS(Data!$R$4:$R$1216,Data!$E$4:$E$1216,"="&amp;$AF4,Data!$AQ$4:$AQ$1216,"="&amp;AW$1)/AC4,"-")</f>
        <v>-</v>
      </c>
      <c r="AZ4">
        <f t="shared" si="20"/>
        <v>1992</v>
      </c>
      <c r="BA4" s="1">
        <f t="shared" ca="1" si="21"/>
        <v>795.92431240780809</v>
      </c>
      <c r="BB4" s="1" t="str">
        <f t="shared" si="22"/>
        <v>-</v>
      </c>
      <c r="BC4" s="1" t="str">
        <f t="shared" si="23"/>
        <v>-</v>
      </c>
      <c r="BD4" s="1" t="str">
        <f t="shared" si="24"/>
        <v>-</v>
      </c>
      <c r="BE4" s="1" t="str">
        <f t="shared" si="25"/>
        <v>-</v>
      </c>
      <c r="BF4" s="1">
        <f t="shared" ca="1" si="26"/>
        <v>1.3976295429971801</v>
      </c>
      <c r="BG4" s="1" t="str">
        <f t="shared" si="27"/>
        <v>-</v>
      </c>
      <c r="BJ4">
        <v>1992</v>
      </c>
      <c r="BK4" s="5">
        <f>SUMPRODUCT(Data!$N$4:$N$1216,Data!BI$4:BI$1216)</f>
        <v>4</v>
      </c>
      <c r="BL4">
        <f ca="1">SUMPRODUCT(Data!$N$4:$N$1216,Data!$O$4:$O$1216,Data!BI$4:BI$1216)/$BK4</f>
        <v>998.13918249316691</v>
      </c>
      <c r="BM4">
        <f t="shared" ca="1" si="28"/>
        <v>795.92431240780809</v>
      </c>
      <c r="BN4">
        <f ca="1">SUMPRODUCT(Data!$N$4:$N$1216,Data!$R$4:$R$1216,Data!BI$4:BI$1216)/$BK4</f>
        <v>3530263.8719554958</v>
      </c>
      <c r="BO4" s="5">
        <f t="shared" ref="BO4:BO26" si="30">BO3+BK4</f>
        <v>7</v>
      </c>
      <c r="BP4">
        <f t="shared" ref="BP4:BP26" ca="1" si="31">(BP3*BO3+BL4*BK4)/BO4</f>
        <v>713.90122499660936</v>
      </c>
      <c r="BQ4">
        <f t="shared" ref="BQ4:BQ26" ca="1" si="32">SQRT(BR4-BP4^2)/SQRT(BO4)</f>
        <v>479.09623950509558</v>
      </c>
      <c r="BR4">
        <f t="shared" ref="BR4:BR26" ca="1" si="33">(BR3*BO3+BN4*BK4)/BO4</f>
        <v>2116387.4060071269</v>
      </c>
      <c r="BU4" s="36" t="s">
        <v>236</v>
      </c>
      <c r="BV4" s="36">
        <v>0.13039339559041105</v>
      </c>
      <c r="CE4">
        <f t="shared" si="14"/>
        <v>1992</v>
      </c>
      <c r="CF4" s="7">
        <f t="shared" si="15"/>
        <v>2</v>
      </c>
      <c r="CH4" s="36" t="s">
        <v>236</v>
      </c>
      <c r="CI4" s="36">
        <v>5.9611299585720116E-3</v>
      </c>
    </row>
    <row r="5" spans="1:94" x14ac:dyDescent="0.2">
      <c r="A5">
        <f t="shared" si="29"/>
        <v>1985</v>
      </c>
      <c r="B5">
        <f>COUNTIF(Data!D$4:D$1216,"="&amp;A5)</f>
        <v>0</v>
      </c>
      <c r="C5">
        <f>COUNTIF(Data!E$4:E$1216,"="&amp;A5)</f>
        <v>0</v>
      </c>
      <c r="V5">
        <v>1993</v>
      </c>
      <c r="W5">
        <f t="shared" si="16"/>
        <v>99</v>
      </c>
      <c r="X5">
        <f>COUNTIFS(Data!$E$4:$E$1216,"="&amp;$A13,Data!$AQ$4:$AQ$1216,"="&amp;X$1)</f>
        <v>62</v>
      </c>
      <c r="Y5">
        <f>COUNTIFS(Data!$E$4:$E$1216,"="&amp;$A13,Data!$AQ$4:$AQ$1216,"="&amp;Y$1)</f>
        <v>0</v>
      </c>
      <c r="Z5">
        <f>COUNTIFS(Data!$E$4:$E$1216,"="&amp;$A13,Data!$AQ$4:$AQ$1216,"="&amp;Z$1)</f>
        <v>0</v>
      </c>
      <c r="AA5">
        <f>COUNTIFS(Data!$E$4:$E$1216,"="&amp;$A13,Data!$AQ$4:$AQ$1216,"="&amp;AA$1)</f>
        <v>0</v>
      </c>
      <c r="AB5">
        <f>COUNTIFS(Data!$E$4:$E$1216,"="&amp;$A13,Data!$AQ$4:$AQ$1216,"="&amp;AB$1)</f>
        <v>3</v>
      </c>
      <c r="AC5">
        <f>COUNTIFS(Data!$E$4:$E$1216,"="&amp;$A13,Data!$AQ$4:$AQ$1216,"="&amp;AC$1)</f>
        <v>30</v>
      </c>
      <c r="AD5" s="7">
        <f t="shared" si="17"/>
        <v>1.0105263157894737</v>
      </c>
      <c r="AF5">
        <f t="shared" si="18"/>
        <v>1993</v>
      </c>
      <c r="AG5" s="5">
        <f ca="1">IF(W5&gt;0,SUMIFS(Data!$O$4:$O$1216,Data!$E$4:$E$1216,"="&amp;$AF5)/W5,"-")</f>
        <v>149.85196541087836</v>
      </c>
      <c r="AH5" s="5">
        <f ca="1">IF(X5&gt;0,SUMIFS(Data!$O$4:$O$1216,Data!$E$4:$E$1216,"="&amp;$AF5,Data!$AQ$4:$AQ$1216,"="&amp;AH$1)/X5,"-")</f>
        <v>221.42302737607648</v>
      </c>
      <c r="AI5" s="5" t="str">
        <f>IF(Y5&gt;0,SUMIFS(Data!$O$4:$O$1216,Data!$E$4:$E$1216,"="&amp;$AF5,Data!$AQ$4:$AQ$1216,"="&amp;AI$1)/Y5,"-")</f>
        <v>-</v>
      </c>
      <c r="AJ5" s="5" t="str">
        <f>IF(Z5&gt;0,SUMIFS(Data!$O$4:$O$1216,Data!$E$4:$E$1216,"="&amp;$AF5,Data!$AQ$4:$AQ$1216,"="&amp;AJ$1)/Z5,"-")</f>
        <v>-</v>
      </c>
      <c r="AK5" s="5" t="str">
        <f>IF(AA5&gt;0,SUMIFS(Data!$O$4:$O$1216,Data!$E$4:$E$1216,"="&amp;$AF5,Data!$AQ$4:$AQ$1216,"="&amp;AK$1)/AA5,"-")</f>
        <v>-</v>
      </c>
      <c r="AL5" s="5">
        <f ca="1">IF(AB5&gt;0,SUMIFS(Data!$O$4:$O$1216,Data!$E$4:$E$1216,"="&amp;$AF5,Data!$AQ$4:$AQ$1216,"="&amp;AL$1)/AB5,"-")</f>
        <v>10.933870652214184</v>
      </c>
      <c r="AM5" s="5">
        <f ca="1">IF(AC5&gt;0,SUMIFS(Data!$O$4:$O$1216,Data!$E$4:$E$1216,"="&amp;$AF5,Data!$AQ$4:$AQ$1216,"="&amp;AM$1)/AC5,"-")</f>
        <v>31.662238130967527</v>
      </c>
      <c r="AP5">
        <f t="shared" si="19"/>
        <v>1993</v>
      </c>
      <c r="AQ5" s="5">
        <f ca="1">IF(W5&gt;0,SUMIFS(Data!$R$4:$R$1216,Data!$E$4:$E$1216,"="&amp;$AF5)/W5,"-")</f>
        <v>531956.07736700843</v>
      </c>
      <c r="AR5" s="5">
        <f ca="1">IF(X5&gt;0,SUMIFS(Data!$R$4:$R$1216,Data!$E$4:$E$1216,"="&amp;$AF5,Data!$AQ$4:$AQ$1216,"="&amp;AR$1)/X5,"-")</f>
        <v>848725.86918582523</v>
      </c>
      <c r="AS5" s="5" t="str">
        <f>IF(Y5&gt;0,SUMIFS(Data!$R$4:$R$1216,Data!$E$4:$E$1216,"="&amp;$AF5,Data!$AQ$4:$AQ$1216,"="&amp;AS$1)/Y5,"-")</f>
        <v>-</v>
      </c>
      <c r="AT5" s="5" t="str">
        <f>IF(Z5&gt;0,SUMIFS(Data!$R$4:$R$1216,Data!$E$4:$E$1216,"="&amp;$AF5,Data!$AQ$4:$AQ$1216,"="&amp;AT$1)/Z5,"-")</f>
        <v>-</v>
      </c>
      <c r="AU5" s="5" t="str">
        <f>IF(AA5&gt;0,SUMIFS(Data!$R$4:$R$1216,Data!$E$4:$E$1216,"="&amp;$AF5,Data!$AQ$4:$AQ$1216,"="&amp;AU$1)/AA5,"-")</f>
        <v>-</v>
      </c>
      <c r="AV5" s="5">
        <f ca="1">IF(AB5&gt;0,SUMIFS(Data!$R$4:$R$1216,Data!$E$4:$E$1216,"="&amp;$AF5,Data!$AQ$4:$AQ$1216,"="&amp;AV$1)/AB5,"-")</f>
        <v>173.08049207760249</v>
      </c>
      <c r="AW5" s="5">
        <f ca="1">IF(AC5&gt;0,SUMIFS(Data!$R$4:$R$1216,Data!$E$4:$E$1216,"="&amp;$AF5,Data!$AQ$4:$AQ$1216,"="&amp;AW$1)/AC5,"-")</f>
        <v>1237.4638424204063</v>
      </c>
      <c r="AZ5">
        <f t="shared" si="20"/>
        <v>1993</v>
      </c>
      <c r="BA5" s="1">
        <f t="shared" ca="1" si="21"/>
        <v>71.738897062982417</v>
      </c>
      <c r="BB5" s="1">
        <f t="shared" ca="1" si="22"/>
        <v>113.57090382532236</v>
      </c>
      <c r="BC5" s="1" t="str">
        <f t="shared" si="23"/>
        <v>-</v>
      </c>
      <c r="BD5" s="1" t="str">
        <f t="shared" si="24"/>
        <v>-</v>
      </c>
      <c r="BE5" s="1" t="str">
        <f t="shared" si="25"/>
        <v>-</v>
      </c>
      <c r="BF5" s="1">
        <f t="shared" ca="1" si="26"/>
        <v>4.2241750531218862</v>
      </c>
      <c r="BG5" s="1">
        <f t="shared" ca="1" si="27"/>
        <v>2.798609886820671</v>
      </c>
      <c r="BJ5">
        <v>1993</v>
      </c>
      <c r="BK5" s="5">
        <f>SUMPRODUCT(Data!$N$4:$N$1216,Data!BJ$4:BJ$1216)</f>
        <v>4.9999999999999947</v>
      </c>
      <c r="BL5">
        <f ca="1">SUMPRODUCT(Data!$N$4:$N$1216,Data!$O$4:$O$1216,Data!BJ$4:BJ$1216)/$BK5</f>
        <v>48.590597317208477</v>
      </c>
      <c r="BM5">
        <f t="shared" ca="1" si="28"/>
        <v>138.89426698643572</v>
      </c>
      <c r="BN5">
        <f ca="1">SUMPRODUCT(Data!$N$4:$N$1216,Data!$R$4:$R$1216,Data!BJ$4:BJ$1216)/$BK5</f>
        <v>98819.133156139433</v>
      </c>
      <c r="BO5" s="5">
        <f t="shared" si="30"/>
        <v>11.999999999999995</v>
      </c>
      <c r="BP5">
        <f t="shared" ca="1" si="31"/>
        <v>436.68846346352586</v>
      </c>
      <c r="BQ5">
        <f t="shared" ca="1" si="32"/>
        <v>300.69878960843693</v>
      </c>
      <c r="BR5">
        <f t="shared" ca="1" si="33"/>
        <v>1275733.9589858828</v>
      </c>
      <c r="BU5" s="36" t="s">
        <v>237</v>
      </c>
      <c r="BV5" s="36">
        <v>1.7002437613597425E-2</v>
      </c>
      <c r="CE5">
        <f t="shared" si="14"/>
        <v>1993</v>
      </c>
      <c r="CF5" s="7">
        <f t="shared" si="15"/>
        <v>1.0105263157894737</v>
      </c>
      <c r="CH5" s="36" t="s">
        <v>237</v>
      </c>
      <c r="CI5" s="36">
        <v>3.553507038298475E-5</v>
      </c>
    </row>
    <row r="6" spans="1:94" x14ac:dyDescent="0.2">
      <c r="A6">
        <f t="shared" si="29"/>
        <v>1986</v>
      </c>
      <c r="B6">
        <f>COUNTIF(Data!D$4:D$1216,"="&amp;A6)</f>
        <v>0</v>
      </c>
      <c r="C6">
        <f>COUNTIF(Data!E$4:E$1216,"="&amp;A6)</f>
        <v>0</v>
      </c>
      <c r="V6">
        <v>1994</v>
      </c>
      <c r="W6">
        <f t="shared" si="16"/>
        <v>5</v>
      </c>
      <c r="X6">
        <f>COUNTIFS(Data!$E$4:$E$1216,"="&amp;$A14,Data!$AQ$4:$AQ$1216,"="&amp;X$1)</f>
        <v>3</v>
      </c>
      <c r="Y6">
        <f>COUNTIFS(Data!$E$4:$E$1216,"="&amp;$A14,Data!$AQ$4:$AQ$1216,"="&amp;Y$1)</f>
        <v>0</v>
      </c>
      <c r="Z6">
        <f>COUNTIFS(Data!$E$4:$E$1216,"="&amp;$A14,Data!$AQ$4:$AQ$1216,"="&amp;Z$1)</f>
        <v>0</v>
      </c>
      <c r="AA6">
        <f>COUNTIFS(Data!$E$4:$E$1216,"="&amp;$A14,Data!$AQ$4:$AQ$1216,"="&amp;AA$1)</f>
        <v>0</v>
      </c>
      <c r="AB6">
        <f>COUNTIFS(Data!$E$4:$E$1216,"="&amp;$A14,Data!$AQ$4:$AQ$1216,"="&amp;AB$1)</f>
        <v>0</v>
      </c>
      <c r="AC6">
        <f>COUNTIFS(Data!$E$4:$E$1216,"="&amp;$A14,Data!$AQ$4:$AQ$1216,"="&amp;AC$1)</f>
        <v>1</v>
      </c>
      <c r="AD6" s="7">
        <f t="shared" si="17"/>
        <v>0.75</v>
      </c>
      <c r="AF6">
        <f t="shared" si="18"/>
        <v>1994</v>
      </c>
      <c r="AG6" s="5">
        <f ca="1">IF(W6&gt;0,SUMIFS(Data!$O$4:$O$1216,Data!$E$4:$E$1216,"="&amp;$AF6)/W6,"-")</f>
        <v>349.57831616003779</v>
      </c>
      <c r="AH6" s="5">
        <f ca="1">IF(X6&gt;0,SUMIFS(Data!$O$4:$O$1216,Data!$E$4:$E$1216,"="&amp;$AF6,Data!$AQ$4:$AQ$1216,"="&amp;AH$1)/X6,"-")</f>
        <v>563.12468142336024</v>
      </c>
      <c r="AI6" s="5" t="str">
        <f>IF(Y6&gt;0,SUMIFS(Data!$O$4:$O$1216,Data!$E$4:$E$1216,"="&amp;$AF6,Data!$AQ$4:$AQ$1216,"="&amp;AI$1)/Y6,"-")</f>
        <v>-</v>
      </c>
      <c r="AJ6" s="5" t="str">
        <f>IF(Z6&gt;0,SUMIFS(Data!$O$4:$O$1216,Data!$E$4:$E$1216,"="&amp;$AF6,Data!$AQ$4:$AQ$1216,"="&amp;AJ$1)/Z6,"-")</f>
        <v>-</v>
      </c>
      <c r="AK6" s="5" t="str">
        <f>IF(AA6&gt;0,SUMIFS(Data!$O$4:$O$1216,Data!$E$4:$E$1216,"="&amp;$AF6,Data!$AQ$4:$AQ$1216,"="&amp;AK$1)/AA6,"-")</f>
        <v>-</v>
      </c>
      <c r="AL6" s="5" t="str">
        <f>IF(AB6&gt;0,SUMIFS(Data!$O$4:$O$1216,Data!$E$4:$E$1216,"="&amp;$AF6,Data!$AQ$4:$AQ$1216,"="&amp;AL$1)/AB6,"-")</f>
        <v>-</v>
      </c>
      <c r="AM6" s="5">
        <f ca="1">IF(AC6&gt;0,SUMIFS(Data!$O$4:$O$1216,Data!$E$4:$E$1216,"="&amp;$AF6,Data!$AQ$4:$AQ$1216,"="&amp;AM$1)/AC6,"-")</f>
        <v>11.65148024910456</v>
      </c>
      <c r="AP6">
        <f t="shared" si="19"/>
        <v>1994</v>
      </c>
      <c r="AQ6" s="5">
        <f ca="1">IF(W6&gt;0,SUMIFS(Data!$R$4:$R$1216,Data!$E$4:$E$1216,"="&amp;$AF6)/W6,"-")</f>
        <v>297280.84163582453</v>
      </c>
      <c r="AR6" s="5">
        <f ca="1">IF(X6&gt;0,SUMIFS(Data!$R$4:$R$1216,Data!$E$4:$E$1216,"="&amp;$AF6,Data!$AQ$4:$AQ$1216,"="&amp;AR$1)/X6,"-")</f>
        <v>494690.6746519311</v>
      </c>
      <c r="AS6" s="5" t="str">
        <f>IF(Y6&gt;0,SUMIFS(Data!$R$4:$R$1216,Data!$E$4:$E$1216,"="&amp;$AF6,Data!$AQ$4:$AQ$1216,"="&amp;AS$1)/Y6,"-")</f>
        <v>-</v>
      </c>
      <c r="AT6" s="5" t="str">
        <f>IF(Z6&gt;0,SUMIFS(Data!$R$4:$R$1216,Data!$E$4:$E$1216,"="&amp;$AF6,Data!$AQ$4:$AQ$1216,"="&amp;AT$1)/Z6,"-")</f>
        <v>-</v>
      </c>
      <c r="AU6" s="5" t="str">
        <f>IF(AA6&gt;0,SUMIFS(Data!$R$4:$R$1216,Data!$E$4:$E$1216,"="&amp;$AF6,Data!$AQ$4:$AQ$1216,"="&amp;AU$1)/AA6,"-")</f>
        <v>-</v>
      </c>
      <c r="AV6" s="5" t="str">
        <f>IF(AB6&gt;0,SUMIFS(Data!$R$4:$R$1216,Data!$E$4:$E$1216,"="&amp;$AF6,Data!$AQ$4:$AQ$1216,"="&amp;AV$1)/AB6,"-")</f>
        <v>-</v>
      </c>
      <c r="AW6" s="5">
        <f ca="1">IF(AC6&gt;0,SUMIFS(Data!$R$4:$R$1216,Data!$E$4:$E$1216,"="&amp;$AF6,Data!$AQ$4:$AQ$1216,"="&amp;AW$1)/AC6,"-")</f>
        <v>135.75699199527367</v>
      </c>
      <c r="AZ6">
        <f t="shared" si="20"/>
        <v>1994</v>
      </c>
      <c r="BA6" s="1">
        <f t="shared" ca="1" si="21"/>
        <v>187.12340447230923</v>
      </c>
      <c r="BB6" s="1">
        <f t="shared" ca="1" si="22"/>
        <v>243.29766941188876</v>
      </c>
      <c r="BC6" s="1" t="str">
        <f t="shared" si="23"/>
        <v>-</v>
      </c>
      <c r="BD6" s="1" t="str">
        <f t="shared" si="24"/>
        <v>-</v>
      </c>
      <c r="BE6" s="1" t="str">
        <f t="shared" si="25"/>
        <v>-</v>
      </c>
      <c r="BF6" s="1" t="str">
        <f t="shared" si="26"/>
        <v>-</v>
      </c>
      <c r="BG6" s="1">
        <f t="shared" ca="1" si="27"/>
        <v>0</v>
      </c>
      <c r="BJ6">
        <v>1994</v>
      </c>
      <c r="BK6" s="5">
        <f>SUMPRODUCT(Data!$N$4:$N$1216,Data!BK$4:BK$1216)</f>
        <v>3</v>
      </c>
      <c r="BL6">
        <f ca="1">SUMPRODUCT(Data!$N$4:$N$1216,Data!$O$4:$O$1216,Data!BK$4:BK$1216)/$BK6</f>
        <v>197.82866129410013</v>
      </c>
      <c r="BM6">
        <f t="shared" ca="1" si="28"/>
        <v>184.59540069403926</v>
      </c>
      <c r="BN6">
        <f ca="1">SUMPRODUCT(Data!$N$4:$N$1216,Data!$R$4:$R$1216,Data!BK$4:BK$1216)/$BK6</f>
        <v>141362.56510159452</v>
      </c>
      <c r="BO6" s="5">
        <f t="shared" si="30"/>
        <v>14.999999999999995</v>
      </c>
      <c r="BP6">
        <f t="shared" ca="1" si="31"/>
        <v>388.91650302964069</v>
      </c>
      <c r="BQ6">
        <f t="shared" ca="1" si="32"/>
        <v>244.62265279135823</v>
      </c>
      <c r="BR6">
        <f t="shared" ca="1" si="33"/>
        <v>1048859.680209025</v>
      </c>
      <c r="BU6" s="36" t="s">
        <v>238</v>
      </c>
      <c r="BV6" s="36">
        <v>-2.5736586837985298E-2</v>
      </c>
      <c r="CE6">
        <f t="shared" si="14"/>
        <v>1994</v>
      </c>
      <c r="CF6" s="7">
        <f t="shared" si="15"/>
        <v>0.75</v>
      </c>
      <c r="CH6" s="36" t="s">
        <v>238</v>
      </c>
      <c r="CI6" s="36">
        <v>-4.5417395153690518E-2</v>
      </c>
    </row>
    <row r="7" spans="1:94" x14ac:dyDescent="0.2">
      <c r="A7">
        <f t="shared" si="29"/>
        <v>1987</v>
      </c>
      <c r="B7">
        <f>COUNTIF(Data!D$4:D$1216,"="&amp;A7)</f>
        <v>0</v>
      </c>
      <c r="C7">
        <f>COUNTIF(Data!E$4:E$1216,"="&amp;A7)</f>
        <v>0</v>
      </c>
      <c r="V7">
        <v>1995</v>
      </c>
      <c r="W7">
        <f t="shared" si="16"/>
        <v>3</v>
      </c>
      <c r="X7">
        <f>COUNTIFS(Data!$E$4:$E$1216,"="&amp;$A15,Data!$AQ$4:$AQ$1216,"="&amp;X$1)</f>
        <v>0</v>
      </c>
      <c r="Y7">
        <f>COUNTIFS(Data!$E$4:$E$1216,"="&amp;$A15,Data!$AQ$4:$AQ$1216,"="&amp;Y$1)</f>
        <v>0</v>
      </c>
      <c r="Z7">
        <f>COUNTIFS(Data!$E$4:$E$1216,"="&amp;$A15,Data!$AQ$4:$AQ$1216,"="&amp;Z$1)</f>
        <v>0</v>
      </c>
      <c r="AA7">
        <f>COUNTIFS(Data!$E$4:$E$1216,"="&amp;$A15,Data!$AQ$4:$AQ$1216,"="&amp;AA$1)</f>
        <v>0</v>
      </c>
      <c r="AB7">
        <f>COUNTIFS(Data!$E$4:$E$1216,"="&amp;$A15,Data!$AQ$4:$AQ$1216,"="&amp;AB$1)</f>
        <v>0</v>
      </c>
      <c r="AC7">
        <f>COUNTIFS(Data!$E$4:$E$1216,"="&amp;$A15,Data!$AQ$4:$AQ$1216,"="&amp;AC$1)</f>
        <v>1</v>
      </c>
      <c r="AD7" s="7">
        <f t="shared" si="17"/>
        <v>3</v>
      </c>
      <c r="AF7">
        <f t="shared" si="18"/>
        <v>1995</v>
      </c>
      <c r="AG7" s="5">
        <f ca="1">IF(W7&gt;0,SUMIFS(Data!$O$4:$O$1216,Data!$E$4:$E$1216,"="&amp;$AF7)/W7,"-")</f>
        <v>101.32873006763278</v>
      </c>
      <c r="AH7" s="5" t="str">
        <f>IF(X7&gt;0,SUMIFS(Data!$O$4:$O$1216,Data!$E$4:$E$1216,"="&amp;$AF7,Data!$AQ$4:$AQ$1216,"="&amp;AH$1)/X7,"-")</f>
        <v>-</v>
      </c>
      <c r="AI7" s="5" t="str">
        <f>IF(Y7&gt;0,SUMIFS(Data!$O$4:$O$1216,Data!$E$4:$E$1216,"="&amp;$AF7,Data!$AQ$4:$AQ$1216,"="&amp;AI$1)/Y7,"-")</f>
        <v>-</v>
      </c>
      <c r="AJ7" s="5" t="str">
        <f>IF(Z7&gt;0,SUMIFS(Data!$O$4:$O$1216,Data!$E$4:$E$1216,"="&amp;$AF7,Data!$AQ$4:$AQ$1216,"="&amp;AJ$1)/Z7,"-")</f>
        <v>-</v>
      </c>
      <c r="AK7" s="5" t="str">
        <f>IF(AA7&gt;0,SUMIFS(Data!$O$4:$O$1216,Data!$E$4:$E$1216,"="&amp;$AF7,Data!$AQ$4:$AQ$1216,"="&amp;AK$1)/AA7,"-")</f>
        <v>-</v>
      </c>
      <c r="AL7" s="5" t="str">
        <f>IF(AB7&gt;0,SUMIFS(Data!$O$4:$O$1216,Data!$E$4:$E$1216,"="&amp;$AF7,Data!$AQ$4:$AQ$1216,"="&amp;AL$1)/AB7,"-")</f>
        <v>-</v>
      </c>
      <c r="AM7" s="5">
        <f ca="1">IF(AC7&gt;0,SUMIFS(Data!$O$4:$O$1216,Data!$E$4:$E$1216,"="&amp;$AF7,Data!$AQ$4:$AQ$1216,"="&amp;AM$1)/AC7,"-")</f>
        <v>31.947414103450058</v>
      </c>
      <c r="AP7">
        <f t="shared" si="19"/>
        <v>1995</v>
      </c>
      <c r="AQ7" s="5">
        <f ca="1">IF(W7&gt;0,SUMIFS(Data!$R$4:$R$1216,Data!$E$4:$E$1216,"="&amp;$AF7)/W7,"-")</f>
        <v>21860.822840588629</v>
      </c>
      <c r="AR7" s="5" t="str">
        <f>IF(X7&gt;0,SUMIFS(Data!$R$4:$R$1216,Data!$E$4:$E$1216,"="&amp;$AF7,Data!$AQ$4:$AQ$1216,"="&amp;AR$1)/X7,"-")</f>
        <v>-</v>
      </c>
      <c r="AS7" s="5" t="str">
        <f>IF(Y7&gt;0,SUMIFS(Data!$R$4:$R$1216,Data!$E$4:$E$1216,"="&amp;$AF7,Data!$AQ$4:$AQ$1216,"="&amp;AS$1)/Y7,"-")</f>
        <v>-</v>
      </c>
      <c r="AT7" s="5" t="str">
        <f>IF(Z7&gt;0,SUMIFS(Data!$R$4:$R$1216,Data!$E$4:$E$1216,"="&amp;$AF7,Data!$AQ$4:$AQ$1216,"="&amp;AT$1)/Z7,"-")</f>
        <v>-</v>
      </c>
      <c r="AU7" s="5" t="str">
        <f>IF(AA7&gt;0,SUMIFS(Data!$R$4:$R$1216,Data!$E$4:$E$1216,"="&amp;$AF7,Data!$AQ$4:$AQ$1216,"="&amp;AU$1)/AA7,"-")</f>
        <v>-</v>
      </c>
      <c r="AV7" s="5" t="str">
        <f>IF(AB7&gt;0,SUMIFS(Data!$R$4:$R$1216,Data!$E$4:$E$1216,"="&amp;$AF7,Data!$AQ$4:$AQ$1216,"="&amp;AV$1)/AB7,"-")</f>
        <v>-</v>
      </c>
      <c r="AW7" s="5">
        <f ca="1">IF(AC7&gt;0,SUMIFS(Data!$R$4:$R$1216,Data!$E$4:$E$1216,"="&amp;$AF7,Data!$AQ$4:$AQ$1216,"="&amp;AW$1)/AC7,"-")</f>
        <v>1020.6372678973197</v>
      </c>
      <c r="AZ7">
        <f t="shared" si="20"/>
        <v>1995</v>
      </c>
      <c r="BA7" s="1">
        <f t="shared" ca="1" si="21"/>
        <v>62.16459684705179</v>
      </c>
      <c r="BB7" s="1" t="str">
        <f t="shared" si="22"/>
        <v>-</v>
      </c>
      <c r="BC7" s="1" t="str">
        <f t="shared" si="23"/>
        <v>-</v>
      </c>
      <c r="BD7" s="1" t="str">
        <f t="shared" si="24"/>
        <v>-</v>
      </c>
      <c r="BE7" s="1" t="str">
        <f t="shared" si="25"/>
        <v>-</v>
      </c>
      <c r="BF7" s="1" t="str">
        <f t="shared" si="26"/>
        <v>-</v>
      </c>
      <c r="BG7" s="1">
        <f t="shared" ca="1" si="27"/>
        <v>0</v>
      </c>
      <c r="BJ7">
        <v>1995</v>
      </c>
      <c r="BK7" s="5">
        <f>SUMPRODUCT(Data!$N$4:$N$1216,Data!BL$4:BL$1216)</f>
        <v>2</v>
      </c>
      <c r="BL7">
        <f ca="1">SUMPRODUCT(Data!$N$4:$N$1216,Data!$O$4:$O$1216,Data!BL$4:BL$1216)/$BK7</f>
        <v>83.9834010765871</v>
      </c>
      <c r="BM7">
        <f t="shared" ca="1" si="28"/>
        <v>69.27324444193772</v>
      </c>
      <c r="BN7">
        <f ca="1">SUMPRODUCT(Data!$N$4:$N$1216,Data!$R$4:$R$1216,Data!BL$4:BL$1216)/$BK7</f>
        <v>16650.776447415803</v>
      </c>
      <c r="BO7" s="5">
        <f t="shared" si="30"/>
        <v>16.999999999999993</v>
      </c>
      <c r="BP7">
        <f t="shared" ca="1" si="31"/>
        <v>353.04202044692852</v>
      </c>
      <c r="BQ7">
        <f t="shared" ca="1" si="32"/>
        <v>217.30767973066952</v>
      </c>
      <c r="BR7">
        <f t="shared" ca="1" si="33"/>
        <v>927423.33859001216</v>
      </c>
      <c r="BU7" s="36" t="s">
        <v>239</v>
      </c>
      <c r="BV7" s="36">
        <v>202.66092483549875</v>
      </c>
      <c r="CE7">
        <f t="shared" si="14"/>
        <v>1995</v>
      </c>
      <c r="CF7" s="7">
        <f t="shared" si="15"/>
        <v>3</v>
      </c>
      <c r="CH7" s="36" t="s">
        <v>239</v>
      </c>
      <c r="CI7" s="36">
        <v>0.73675104162447236</v>
      </c>
    </row>
    <row r="8" spans="1:94" ht="13.5" thickBot="1" x14ac:dyDescent="0.25">
      <c r="A8">
        <f t="shared" si="29"/>
        <v>1988</v>
      </c>
      <c r="B8">
        <f>COUNTIF(Data!D$4:D$1216,"="&amp;A8)</f>
        <v>0</v>
      </c>
      <c r="C8">
        <f>COUNTIF(Data!E$4:E$1216,"="&amp;A8)</f>
        <v>0</v>
      </c>
      <c r="V8">
        <v>1996</v>
      </c>
      <c r="W8">
        <f t="shared" si="16"/>
        <v>34</v>
      </c>
      <c r="X8">
        <f>COUNTIFS(Data!$E$4:$E$1216,"="&amp;$A16,Data!$AQ$4:$AQ$1216,"="&amp;X$1)</f>
        <v>5</v>
      </c>
      <c r="Y8">
        <f>COUNTIFS(Data!$E$4:$E$1216,"="&amp;$A16,Data!$AQ$4:$AQ$1216,"="&amp;Y$1)</f>
        <v>4</v>
      </c>
      <c r="Z8">
        <f>COUNTIFS(Data!$E$4:$E$1216,"="&amp;$A16,Data!$AQ$4:$AQ$1216,"="&amp;Z$1)</f>
        <v>4</v>
      </c>
      <c r="AA8">
        <f>COUNTIFS(Data!$E$4:$E$1216,"="&amp;$A16,Data!$AQ$4:$AQ$1216,"="&amp;AA$1)</f>
        <v>0</v>
      </c>
      <c r="AB8">
        <f>COUNTIFS(Data!$E$4:$E$1216,"="&amp;$A16,Data!$AQ$4:$AQ$1216,"="&amp;AB$1)</f>
        <v>7</v>
      </c>
      <c r="AC8">
        <f>COUNTIFS(Data!$E$4:$E$1216,"="&amp;$A16,Data!$AQ$4:$AQ$1216,"="&amp;AC$1)</f>
        <v>11</v>
      </c>
      <c r="AD8" s="7">
        <f t="shared" si="17"/>
        <v>1.6580645161290322</v>
      </c>
      <c r="AF8">
        <f t="shared" si="18"/>
        <v>1996</v>
      </c>
      <c r="AG8" s="5">
        <f ca="1">IF(W8&gt;0,SUMIFS(Data!$O$4:$O$1216,Data!$E$4:$E$1216,"="&amp;$AF8)/W8,"-")</f>
        <v>253.21082634647203</v>
      </c>
      <c r="AH8" s="5">
        <f ca="1">IF(X8&gt;0,SUMIFS(Data!$O$4:$O$1216,Data!$E$4:$E$1216,"="&amp;$AF8,Data!$AQ$4:$AQ$1216,"="&amp;AH$1)/X8,"-")</f>
        <v>709.53709859343394</v>
      </c>
      <c r="AI8" s="5">
        <f ca="1">IF(Y8&gt;0,SUMIFS(Data!$O$4:$O$1216,Data!$E$4:$E$1216,"="&amp;$AF8,Data!$AQ$4:$AQ$1216,"="&amp;AI$1)/Y8,"-")</f>
        <v>481.47160261697303</v>
      </c>
      <c r="AJ8" s="5">
        <f ca="1">IF(Z8&gt;0,SUMIFS(Data!$O$4:$O$1216,Data!$E$4:$E$1216,"="&amp;$AF8,Data!$AQ$4:$AQ$1216,"="&amp;AJ$1)/Z8,"-")</f>
        <v>145.28616780722695</v>
      </c>
      <c r="AK8" s="5" t="str">
        <f>IF(AA8&gt;0,SUMIFS(Data!$O$4:$O$1216,Data!$E$4:$E$1216,"="&amp;$AF8,Data!$AQ$4:$AQ$1216,"="&amp;AK$1)/AA8,"-")</f>
        <v>-</v>
      </c>
      <c r="AL8" s="5">
        <f ca="1">IF(AB8&gt;0,SUMIFS(Data!$O$4:$O$1216,Data!$E$4:$E$1216,"="&amp;$AF8,Data!$AQ$4:$AQ$1216,"="&amp;AL$1)/AB8,"-")</f>
        <v>44.7281889816269</v>
      </c>
      <c r="AM8" s="5">
        <f ca="1">IF(AC8&gt;0,SUMIFS(Data!$O$4:$O$1216,Data!$E$4:$E$1216,"="&amp;$AF8,Data!$AQ$4:$AQ$1216,"="&amp;AM$1)/AC8,"-")</f>
        <v>38.154721382374269</v>
      </c>
      <c r="AP8">
        <f t="shared" si="19"/>
        <v>1996</v>
      </c>
      <c r="AQ8" s="5">
        <f ca="1">IF(W8&gt;0,SUMIFS(Data!$R$4:$R$1216,Data!$E$4:$E$1216,"="&amp;$AF8)/W8,"-")</f>
        <v>221771.19850872955</v>
      </c>
      <c r="AR8" s="5">
        <f ca="1">IF(X8&gt;0,SUMIFS(Data!$R$4:$R$1216,Data!$E$4:$E$1216,"="&amp;$AF8,Data!$AQ$4:$AQ$1216,"="&amp;AR$1)/X8,"-")</f>
        <v>666208.8106171469</v>
      </c>
      <c r="AS8" s="5">
        <f ca="1">IF(Y8&gt;0,SUMIFS(Data!$R$4:$R$1216,Data!$E$4:$E$1216,"="&amp;$AF8,Data!$AQ$4:$AQ$1216,"="&amp;AS$1)/Y8,"-")</f>
        <v>312321.05478505581</v>
      </c>
      <c r="AT8" s="5">
        <f ca="1">IF(Z8&gt;0,SUMIFS(Data!$R$4:$R$1216,Data!$E$4:$E$1216,"="&amp;$AF8,Data!$AQ$4:$AQ$1216,"="&amp;AT$1)/Z8,"-")</f>
        <v>26309.933265718857</v>
      </c>
      <c r="AU8" s="5" t="str">
        <f>IF(AA8&gt;0,SUMIFS(Data!$R$4:$R$1216,Data!$E$4:$E$1216,"="&amp;$AF8,Data!$AQ$4:$AQ$1216,"="&amp;AU$1)/AA8,"-")</f>
        <v>-</v>
      </c>
      <c r="AV8" s="5">
        <f ca="1">IF(AB8&gt;0,SUMIFS(Data!$R$4:$R$1216,Data!$E$4:$E$1216,"="&amp;$AF8,Data!$AQ$4:$AQ$1216,"="&amp;AV$1)/AB8,"-")</f>
        <v>2934.8022588507979</v>
      </c>
      <c r="AW8" s="5">
        <f ca="1">IF(AC8&gt;0,SUMIFS(Data!$R$4:$R$1216,Data!$E$4:$E$1216,"="&amp;$AF8,Data!$AQ$4:$AQ$1216,"="&amp;AW$1)/AC8,"-")</f>
        <v>2322.5691618603437</v>
      </c>
      <c r="AZ8">
        <f t="shared" si="20"/>
        <v>1996</v>
      </c>
      <c r="BA8" s="1">
        <f t="shared" ca="1" si="21"/>
        <v>68.094976045500189</v>
      </c>
      <c r="BB8" s="1">
        <f t="shared" ca="1" si="22"/>
        <v>180.42500732257628</v>
      </c>
      <c r="BC8" s="1">
        <f t="shared" ca="1" si="23"/>
        <v>141.86802904327971</v>
      </c>
      <c r="BD8" s="1">
        <f t="shared" ca="1" si="24"/>
        <v>36.061969960087978</v>
      </c>
      <c r="BE8" s="1" t="str">
        <f t="shared" si="25"/>
        <v>-</v>
      </c>
      <c r="BF8" s="1">
        <f t="shared" ca="1" si="26"/>
        <v>11.552311885349232</v>
      </c>
      <c r="BG8" s="1">
        <f t="shared" ca="1" si="27"/>
        <v>8.8768667593395172</v>
      </c>
      <c r="BJ8">
        <v>1996</v>
      </c>
      <c r="BK8" s="5">
        <f>SUMPRODUCT(Data!$N$4:$N$1216,Data!BM$4:BM$1216)</f>
        <v>6.9999999999999982</v>
      </c>
      <c r="BL8">
        <f ca="1">SUMPRODUCT(Data!$N$4:$N$1216,Data!$O$4:$O$1216,Data!BM$4:BM$1216)/$BK8</f>
        <v>365.03034020374417</v>
      </c>
      <c r="BM8">
        <f t="shared" ca="1" si="28"/>
        <v>226.25582240487179</v>
      </c>
      <c r="BN8">
        <f ca="1">SUMPRODUCT(Data!$N$4:$N$1216,Data!$R$4:$R$1216,Data!BM$4:BM$1216)/$BK8</f>
        <v>491589.02947399532</v>
      </c>
      <c r="BO8" s="5">
        <f t="shared" si="30"/>
        <v>23.999999999999993</v>
      </c>
      <c r="BP8">
        <f t="shared" ca="1" si="31"/>
        <v>356.53861370933311</v>
      </c>
      <c r="BQ8">
        <f t="shared" ca="1" si="32"/>
        <v>167.4795031445889</v>
      </c>
      <c r="BR8">
        <f t="shared" ca="1" si="33"/>
        <v>800304.99843117385</v>
      </c>
      <c r="BU8" s="37" t="s">
        <v>240</v>
      </c>
      <c r="BV8" s="37">
        <v>25</v>
      </c>
      <c r="CE8">
        <f t="shared" si="14"/>
        <v>1996</v>
      </c>
      <c r="CF8" s="7">
        <f t="shared" si="15"/>
        <v>1.6580645161290322</v>
      </c>
      <c r="CH8" s="37" t="s">
        <v>240</v>
      </c>
      <c r="CI8" s="37">
        <v>24</v>
      </c>
    </row>
    <row r="9" spans="1:94" x14ac:dyDescent="0.2">
      <c r="A9">
        <f t="shared" si="29"/>
        <v>1989</v>
      </c>
      <c r="B9">
        <f>COUNTIF(Data!D$4:D$1216,"="&amp;A9)</f>
        <v>0</v>
      </c>
      <c r="C9">
        <f>COUNTIF(Data!E$4:E$1216,"="&amp;A9)</f>
        <v>0</v>
      </c>
      <c r="V9">
        <v>1997</v>
      </c>
      <c r="W9">
        <f t="shared" si="16"/>
        <v>3</v>
      </c>
      <c r="X9">
        <f>COUNTIFS(Data!$E$4:$E$1216,"="&amp;$A17,Data!$AQ$4:$AQ$1216,"="&amp;X$1)</f>
        <v>0</v>
      </c>
      <c r="Y9">
        <f>COUNTIFS(Data!$E$4:$E$1216,"="&amp;$A17,Data!$AQ$4:$AQ$1216,"="&amp;Y$1)</f>
        <v>0</v>
      </c>
      <c r="Z9">
        <f>COUNTIFS(Data!$E$4:$E$1216,"="&amp;$A17,Data!$AQ$4:$AQ$1216,"="&amp;Z$1)</f>
        <v>0</v>
      </c>
      <c r="AA9">
        <f>COUNTIFS(Data!$E$4:$E$1216,"="&amp;$A17,Data!$AQ$4:$AQ$1216,"="&amp;AA$1)</f>
        <v>0</v>
      </c>
      <c r="AB9">
        <f>COUNTIFS(Data!$E$4:$E$1216,"="&amp;$A17,Data!$AQ$4:$AQ$1216,"="&amp;AB$1)</f>
        <v>0</v>
      </c>
      <c r="AC9">
        <f>COUNTIFS(Data!$E$4:$E$1216,"="&amp;$A17,Data!$AQ$4:$AQ$1216,"="&amp;AC$1)</f>
        <v>2</v>
      </c>
      <c r="AD9" s="7">
        <f t="shared" si="17"/>
        <v>3</v>
      </c>
      <c r="AF9">
        <f t="shared" si="18"/>
        <v>1997</v>
      </c>
      <c r="AG9" s="5">
        <f ca="1">IF(W9&gt;0,SUMIFS(Data!$O$4:$O$1216,Data!$E$4:$E$1216,"="&amp;$AF9)/W9,"-")</f>
        <v>64.128515399905623</v>
      </c>
      <c r="AH9" s="5" t="str">
        <f>IF(X9&gt;0,SUMIFS(Data!$O$4:$O$1216,Data!$E$4:$E$1216,"="&amp;$AF9,Data!$AQ$4:$AQ$1216,"="&amp;AH$1)/X9,"-")</f>
        <v>-</v>
      </c>
      <c r="AI9" s="5" t="str">
        <f>IF(Y9&gt;0,SUMIFS(Data!$O$4:$O$1216,Data!$E$4:$E$1216,"="&amp;$AF9,Data!$AQ$4:$AQ$1216,"="&amp;AI$1)/Y9,"-")</f>
        <v>-</v>
      </c>
      <c r="AJ9" s="5" t="str">
        <f>IF(Z9&gt;0,SUMIFS(Data!$O$4:$O$1216,Data!$E$4:$E$1216,"="&amp;$AF9,Data!$AQ$4:$AQ$1216,"="&amp;AJ$1)/Z9,"-")</f>
        <v>-</v>
      </c>
      <c r="AK9" s="5" t="str">
        <f>IF(AA9&gt;0,SUMIFS(Data!$O$4:$O$1216,Data!$E$4:$E$1216,"="&amp;$AF9,Data!$AQ$4:$AQ$1216,"="&amp;AK$1)/AA9,"-")</f>
        <v>-</v>
      </c>
      <c r="AL9" s="5" t="str">
        <f>IF(AB9&gt;0,SUMIFS(Data!$O$4:$O$1216,Data!$E$4:$E$1216,"="&amp;$AF9,Data!$AQ$4:$AQ$1216,"="&amp;AL$1)/AB9,"-")</f>
        <v>-</v>
      </c>
      <c r="AM9" s="5">
        <f ca="1">IF(AC9&gt;0,SUMIFS(Data!$O$4:$O$1216,Data!$E$4:$E$1216,"="&amp;$AF9,Data!$AQ$4:$AQ$1216,"="&amp;AM$1)/AC9,"-")</f>
        <v>17.340389511854415</v>
      </c>
      <c r="AP9">
        <f t="shared" si="19"/>
        <v>1997</v>
      </c>
      <c r="AQ9" s="5">
        <f ca="1">IF(W9&gt;0,SUMIFS(Data!$R$4:$R$1216,Data!$E$4:$E$1216,"="&amp;$AF9)/W9,"-")</f>
        <v>8508.9202439725923</v>
      </c>
      <c r="AR9" s="5" t="str">
        <f>IF(X9&gt;0,SUMIFS(Data!$R$4:$R$1216,Data!$E$4:$E$1216,"="&amp;$AF9,Data!$AQ$4:$AQ$1216,"="&amp;AR$1)/X9,"-")</f>
        <v>-</v>
      </c>
      <c r="AS9" s="5" t="str">
        <f>IF(Y9&gt;0,SUMIFS(Data!$R$4:$R$1216,Data!$E$4:$E$1216,"="&amp;$AF9,Data!$AQ$4:$AQ$1216,"="&amp;AS$1)/Y9,"-")</f>
        <v>-</v>
      </c>
      <c r="AT9" s="5" t="str">
        <f>IF(Z9&gt;0,SUMIFS(Data!$R$4:$R$1216,Data!$E$4:$E$1216,"="&amp;$AF9,Data!$AQ$4:$AQ$1216,"="&amp;AT$1)/Z9,"-")</f>
        <v>-</v>
      </c>
      <c r="AU9" s="5" t="str">
        <f>IF(AA9&gt;0,SUMIFS(Data!$R$4:$R$1216,Data!$E$4:$E$1216,"="&amp;$AF9,Data!$AQ$4:$AQ$1216,"="&amp;AU$1)/AA9,"-")</f>
        <v>-</v>
      </c>
      <c r="AV9" s="5" t="str">
        <f>IF(AB9&gt;0,SUMIFS(Data!$R$4:$R$1216,Data!$E$4:$E$1216,"="&amp;$AF9,Data!$AQ$4:$AQ$1216,"="&amp;AV$1)/AB9,"-")</f>
        <v>-</v>
      </c>
      <c r="AW9" s="5">
        <f ca="1">IF(AC9&gt;0,SUMIFS(Data!$R$4:$R$1216,Data!$E$4:$E$1216,"="&amp;$AF9,Data!$AQ$4:$AQ$1216,"="&amp;AW$1)/AC9,"-")</f>
        <v>327.98357093943628</v>
      </c>
      <c r="AZ9">
        <f t="shared" si="20"/>
        <v>1997</v>
      </c>
      <c r="BA9" s="1">
        <f t="shared" ca="1" si="21"/>
        <v>38.28164815581421</v>
      </c>
      <c r="BB9" s="1" t="str">
        <f t="shared" si="22"/>
        <v>-</v>
      </c>
      <c r="BC9" s="1" t="str">
        <f t="shared" si="23"/>
        <v>-</v>
      </c>
      <c r="BD9" s="1" t="str">
        <f t="shared" si="24"/>
        <v>-</v>
      </c>
      <c r="BE9" s="1" t="str">
        <f t="shared" si="25"/>
        <v>-</v>
      </c>
      <c r="BF9" s="1" t="str">
        <f t="shared" si="26"/>
        <v>-</v>
      </c>
      <c r="BG9" s="1">
        <f t="shared" ca="1" si="27"/>
        <v>3.6942159192855577</v>
      </c>
      <c r="BJ9">
        <v>1997</v>
      </c>
      <c r="BK9" s="5">
        <f>SUMPRODUCT(Data!$N$4:$N$1216,Data!BN$4:BN$1216)</f>
        <v>2</v>
      </c>
      <c r="BL9">
        <f ca="1">SUMPRODUCT(Data!$N$4:$N$1216,Data!$O$4:$O$1216,Data!BN$4:BN$1216)/$BK9</f>
        <v>89.612342446086515</v>
      </c>
      <c r="BM9">
        <f t="shared" ca="1" si="28"/>
        <v>48.174118097029115</v>
      </c>
      <c r="BN9">
        <f ca="1">SUMPRODUCT(Data!$N$4:$N$1216,Data!$R$4:$R$1216,Data!BN$4:BN$1216)/$BK9</f>
        <v>12671.863227527696</v>
      </c>
      <c r="BO9" s="5">
        <f t="shared" si="30"/>
        <v>25.999999999999993</v>
      </c>
      <c r="BP9">
        <f t="shared" ca="1" si="31"/>
        <v>336.00582361216027</v>
      </c>
      <c r="BQ9">
        <f t="shared" ca="1" si="32"/>
        <v>155.26873981825256</v>
      </c>
      <c r="BR9">
        <f t="shared" ca="1" si="33"/>
        <v>739717.83418473951</v>
      </c>
      <c r="CE9">
        <f t="shared" si="14"/>
        <v>1997</v>
      </c>
      <c r="CF9" s="7">
        <f t="shared" si="15"/>
        <v>3</v>
      </c>
    </row>
    <row r="10" spans="1:94" ht="13.5" thickBot="1" x14ac:dyDescent="0.25">
      <c r="A10">
        <f t="shared" si="29"/>
        <v>1990</v>
      </c>
      <c r="B10">
        <f>COUNTIF(Data!D$4:D$1216,"="&amp;A10)</f>
        <v>0</v>
      </c>
      <c r="C10">
        <f>COUNTIF(Data!E$4:E$1216,"="&amp;A10)</f>
        <v>0</v>
      </c>
      <c r="V10">
        <v>1999</v>
      </c>
      <c r="W10">
        <f t="shared" ref="W10:W26" si="34">C19</f>
        <v>35</v>
      </c>
      <c r="X10">
        <f>COUNTIFS(Data!$E$4:$E$1216,"="&amp;$A19,Data!$AQ$4:$AQ$1216,"="&amp;X$1)</f>
        <v>0</v>
      </c>
      <c r="Y10">
        <f>COUNTIFS(Data!$E$4:$E$1216,"="&amp;$A19,Data!$AQ$4:$AQ$1216,"="&amp;Y$1)</f>
        <v>0</v>
      </c>
      <c r="Z10">
        <f>COUNTIFS(Data!$E$4:$E$1216,"="&amp;$A19,Data!$AQ$4:$AQ$1216,"="&amp;Z$1)</f>
        <v>8</v>
      </c>
      <c r="AA10">
        <f>COUNTIFS(Data!$E$4:$E$1216,"="&amp;$A19,Data!$AQ$4:$AQ$1216,"="&amp;AA$1)</f>
        <v>0</v>
      </c>
      <c r="AB10">
        <f>COUNTIFS(Data!$E$4:$E$1216,"="&amp;$A19,Data!$AQ$4:$AQ$1216,"="&amp;AB$1)</f>
        <v>0</v>
      </c>
      <c r="AC10">
        <f>COUNTIFS(Data!$E$4:$E$1216,"="&amp;$A19,Data!$AQ$4:$AQ$1216,"="&amp;AC$1)</f>
        <v>7</v>
      </c>
      <c r="AD10" s="7">
        <f t="shared" si="17"/>
        <v>1.9333333333333333</v>
      </c>
      <c r="AF10">
        <f t="shared" si="18"/>
        <v>1999</v>
      </c>
      <c r="AG10" s="5">
        <f ca="1">IF(W10&gt;0,SUMIFS(Data!$O$4:$O$1216,Data!$E$4:$E$1216,"="&amp;$AF10)/W10,"-")</f>
        <v>176.54846305695199</v>
      </c>
      <c r="AH10" s="5" t="str">
        <f>IF(X10&gt;0,SUMIFS(Data!$O$4:$O$1216,Data!$E$4:$E$1216,"="&amp;$AF10,Data!$AQ$4:$AQ$1216,"="&amp;AH$1)/X10,"-")</f>
        <v>-</v>
      </c>
      <c r="AI10" s="5" t="str">
        <f>IF(Y10&gt;0,SUMIFS(Data!$O$4:$O$1216,Data!$E$4:$E$1216,"="&amp;$AF10,Data!$AQ$4:$AQ$1216,"="&amp;AI$1)/Y10,"-")</f>
        <v>-</v>
      </c>
      <c r="AJ10" s="5">
        <f ca="1">IF(Z10&gt;0,SUMIFS(Data!$O$4:$O$1216,Data!$E$4:$E$1216,"="&amp;$AF10,Data!$AQ$4:$AQ$1216,"="&amp;AJ$1)/Z10,"-")</f>
        <v>101.25273006924095</v>
      </c>
      <c r="AK10" s="5" t="str">
        <f>IF(AA10&gt;0,SUMIFS(Data!$O$4:$O$1216,Data!$E$4:$E$1216,"="&amp;$AF10,Data!$AQ$4:$AQ$1216,"="&amp;AK$1)/AA10,"-")</f>
        <v>-</v>
      </c>
      <c r="AL10" s="5" t="str">
        <f>IF(AB10&gt;0,SUMIFS(Data!$O$4:$O$1216,Data!$E$4:$E$1216,"="&amp;$AF10,Data!$AQ$4:$AQ$1216,"="&amp;AL$1)/AB10,"-")</f>
        <v>-</v>
      </c>
      <c r="AM10" s="5">
        <f ca="1">IF(AC10&gt;0,SUMIFS(Data!$O$4:$O$1216,Data!$E$4:$E$1216,"="&amp;$AF10,Data!$AQ$4:$AQ$1216,"="&amp;AM$1)/AC10,"-")</f>
        <v>45.791760067483345</v>
      </c>
      <c r="AP10">
        <f t="shared" si="19"/>
        <v>1999</v>
      </c>
      <c r="AQ10" s="5">
        <f ca="1">IF(W10&gt;0,SUMIFS(Data!$R$4:$R$1216,Data!$E$4:$E$1216,"="&amp;$AF10)/W10,"-")</f>
        <v>61213.664991950667</v>
      </c>
      <c r="AR10" s="5" t="str">
        <f>IF(X10&gt;0,SUMIFS(Data!$R$4:$R$1216,Data!$E$4:$E$1216,"="&amp;$AF10,Data!$AQ$4:$AQ$1216,"="&amp;AR$1)/X10,"-")</f>
        <v>-</v>
      </c>
      <c r="AS10" s="5" t="str">
        <f>IF(Y10&gt;0,SUMIFS(Data!$R$4:$R$1216,Data!$E$4:$E$1216,"="&amp;$AF10,Data!$AQ$4:$AQ$1216,"="&amp;AS$1)/Y10,"-")</f>
        <v>-</v>
      </c>
      <c r="AT10" s="5">
        <f ca="1">IF(Z10&gt;0,SUMIFS(Data!$R$4:$R$1216,Data!$E$4:$E$1216,"="&amp;$AF10,Data!$AQ$4:$AQ$1216,"="&amp;AT$1)/Z10,"-")</f>
        <v>10968.370821171999</v>
      </c>
      <c r="AU10" s="5" t="str">
        <f>IF(AA10&gt;0,SUMIFS(Data!$R$4:$R$1216,Data!$E$4:$E$1216,"="&amp;$AF10,Data!$AQ$4:$AQ$1216,"="&amp;AU$1)/AA10,"-")</f>
        <v>-</v>
      </c>
      <c r="AV10" s="5" t="str">
        <f>IF(AB10&gt;0,SUMIFS(Data!$R$4:$R$1216,Data!$E$4:$E$1216,"="&amp;$AF10,Data!$AQ$4:$AQ$1216,"="&amp;AV$1)/AB10,"-")</f>
        <v>-</v>
      </c>
      <c r="AW10" s="5">
        <f ca="1">IF(AC10&gt;0,SUMIFS(Data!$R$4:$R$1216,Data!$E$4:$E$1216,"="&amp;$AF10,Data!$AQ$4:$AQ$1216,"="&amp;AW$1)/AC10,"-")</f>
        <v>2450.9015829167888</v>
      </c>
      <c r="AZ10">
        <f t="shared" si="20"/>
        <v>1999</v>
      </c>
      <c r="BA10" s="1">
        <f t="shared" ca="1" si="21"/>
        <v>29.298612928737146</v>
      </c>
      <c r="BB10" s="1" t="str">
        <f t="shared" si="22"/>
        <v>-</v>
      </c>
      <c r="BC10" s="1" t="str">
        <f t="shared" si="23"/>
        <v>-</v>
      </c>
      <c r="BD10" s="1">
        <f t="shared" ca="1" si="24"/>
        <v>9.4621315958497636</v>
      </c>
      <c r="BE10" s="1" t="str">
        <f t="shared" si="25"/>
        <v>-</v>
      </c>
      <c r="BF10" s="1" t="str">
        <f t="shared" si="26"/>
        <v>-</v>
      </c>
      <c r="BG10" s="1">
        <f t="shared" ca="1" si="27"/>
        <v>7.1115227708158484</v>
      </c>
      <c r="BJ10">
        <v>1999</v>
      </c>
      <c r="BK10" s="5">
        <f>SUMPRODUCT(Data!$N$4:$N$1216,Data!BO$4:BO$1216)</f>
        <v>3.9999999999999956</v>
      </c>
      <c r="BL10">
        <f ca="1">SUMPRODUCT(Data!$N$4:$N$1216,Data!$O$4:$O$1216,Data!BO$4:BO$1216)/$BK10</f>
        <v>160.58569665489759</v>
      </c>
      <c r="BM10">
        <f t="shared" ca="1" si="28"/>
        <v>53.732589013215751</v>
      </c>
      <c r="BN10">
        <f ca="1">SUMPRODUCT(Data!$N$4:$N$1216,Data!$R$4:$R$1216,Data!BO$4:BO$1216)/$BK10</f>
        <v>37336.530458391389</v>
      </c>
      <c r="BO10" s="5">
        <f t="shared" si="30"/>
        <v>29.999999999999989</v>
      </c>
      <c r="BP10">
        <f t="shared" ca="1" si="31"/>
        <v>312.61647335119187</v>
      </c>
      <c r="BQ10">
        <f t="shared" ca="1" si="32"/>
        <v>135.19589913373321</v>
      </c>
      <c r="BR10">
        <f t="shared" ca="1" si="33"/>
        <v>646066.99368789315</v>
      </c>
      <c r="BU10" t="s">
        <v>241</v>
      </c>
      <c r="CE10">
        <f t="shared" si="14"/>
        <v>1999</v>
      </c>
      <c r="CF10" s="7">
        <f t="shared" si="15"/>
        <v>1.9333333333333333</v>
      </c>
      <c r="CH10" t="s">
        <v>241</v>
      </c>
    </row>
    <row r="11" spans="1:94" x14ac:dyDescent="0.2">
      <c r="A11">
        <f t="shared" si="29"/>
        <v>1991</v>
      </c>
      <c r="B11">
        <f>COUNTIF(Data!D$4:D$1216,"="&amp;A11)</f>
        <v>2</v>
      </c>
      <c r="C11">
        <f>COUNTIF(Data!E$4:E$1216,"="&amp;A11)</f>
        <v>10</v>
      </c>
      <c r="D11">
        <f t="shared" ref="D11:D32" si="35">C11/B11</f>
        <v>5</v>
      </c>
      <c r="E11" s="5">
        <f ca="1">SUMIF(Data!$E$4:$E$1216,"="&amp;A11,Data!O$4:O$1216)/C11</f>
        <v>145.7549000763251</v>
      </c>
      <c r="F11" s="5">
        <f ca="1">SUMIF(Data!$E$4:$E$1216,"="&amp;$A11,Data!R$4:R$1216)/$C11</f>
        <v>51825.084821036653</v>
      </c>
      <c r="G11" s="5">
        <f t="shared" ref="G11:G17" ca="1" si="36">SQRT(F11-E11*E11)</f>
        <v>174.8730794741636</v>
      </c>
      <c r="H11" s="5">
        <f ca="1">E11-G11</f>
        <v>-29.118179397838503</v>
      </c>
      <c r="I11" s="5">
        <f ca="1">E11+G11</f>
        <v>320.6279795504887</v>
      </c>
      <c r="J11" s="5">
        <f ca="1">SUMIF(Sheet1!$F$2:$F$1143,"="&amp;$A11,Sheet1!H$2:H$1143)</f>
        <v>175.05247312679086</v>
      </c>
      <c r="K11" s="5">
        <f ca="1">SUMIF(Sheet1!$F$2:$F$1143,"="&amp;$A11,Sheet1!I$2:I$1143)</f>
        <v>302.91688828027304</v>
      </c>
      <c r="L11" s="5">
        <f ca="1">SUMIF(Sheet1!$F$2:$F$1143,"="&amp;$A11,Sheet1!J$2:J$1143)</f>
        <v>608.87816739753373</v>
      </c>
      <c r="M11" s="5">
        <f ca="1">SUMIF(Sheet1!$F$2:$F$1143,"="&amp;$A11,Sheet1!K$2:K$1143)</f>
        <v>914.83944651479442</v>
      </c>
      <c r="N11" s="5">
        <f ca="1">SUMIF(Sheet1!$F$2:$F$1143,"="&amp;$A11,Sheet1!L$2:L$1143)</f>
        <v>1042.7038616682767</v>
      </c>
      <c r="O11" s="7">
        <f>SUMIF(Sheet1!$F$2:$F$1143,"="&amp;$A11,Sheet1!M$2:M$1143)</f>
        <v>1</v>
      </c>
      <c r="P11" s="7">
        <f>SUMIF(Sheet1!$F$2:$F$1143,"="&amp;$A11,Sheet1!N$2:N$1143)</f>
        <v>1</v>
      </c>
      <c r="Q11" s="7">
        <f>SUMIF(Sheet1!$F$2:$F$1143,"="&amp;$A11,Sheet1!O$2:O$1143)</f>
        <v>1</v>
      </c>
      <c r="R11" s="7">
        <f>SUMIF(Sheet1!$F$2:$F$1143,"="&amp;$A11,Sheet1!P$2:P$1143)</f>
        <v>1</v>
      </c>
      <c r="S11" s="7">
        <f>SUMIF(Sheet1!$F$2:$F$1143,"="&amp;$A11,Sheet1!Q$2:Q$1143)</f>
        <v>1</v>
      </c>
      <c r="T11" s="7">
        <f>SUMIF(Sheet1!$F$2:$F$1143,"="&amp;$A11,Sheet1!R$2:R$1143)</f>
        <v>1</v>
      </c>
      <c r="V11">
        <v>2000</v>
      </c>
      <c r="W11">
        <f t="shared" si="34"/>
        <v>1</v>
      </c>
      <c r="X11">
        <f>COUNTIFS(Data!$E$4:$E$1216,"="&amp;$A20,Data!$AQ$4:$AQ$1216,"="&amp;X$1)</f>
        <v>0</v>
      </c>
      <c r="Y11">
        <f>COUNTIFS(Data!$E$4:$E$1216,"="&amp;$A20,Data!$AQ$4:$AQ$1216,"="&amp;Y$1)</f>
        <v>0</v>
      </c>
      <c r="Z11">
        <f>COUNTIFS(Data!$E$4:$E$1216,"="&amp;$A20,Data!$AQ$4:$AQ$1216,"="&amp;Z$1)</f>
        <v>0</v>
      </c>
      <c r="AA11">
        <f>COUNTIFS(Data!$E$4:$E$1216,"="&amp;$A20,Data!$AQ$4:$AQ$1216,"="&amp;AA$1)</f>
        <v>0</v>
      </c>
      <c r="AB11">
        <f>COUNTIFS(Data!$E$4:$E$1216,"="&amp;$A20,Data!$AQ$4:$AQ$1216,"="&amp;AB$1)</f>
        <v>0</v>
      </c>
      <c r="AC11">
        <f>COUNTIFS(Data!$E$4:$E$1216,"="&amp;$A20,Data!$AQ$4:$AQ$1216,"="&amp;AC$1)</f>
        <v>0</v>
      </c>
      <c r="AD11" s="7"/>
      <c r="AF11">
        <f t="shared" si="18"/>
        <v>2000</v>
      </c>
      <c r="AG11" s="5">
        <f ca="1">IF(W11&gt;0,SUMIFS(Data!$O$4:$O$1216,Data!$E$4:$E$1216,"="&amp;$AF11)/W11,"-")</f>
        <v>12.328877586942637</v>
      </c>
      <c r="AH11" s="5" t="str">
        <f>IF(X11&gt;0,SUMIFS(Data!$O$4:$O$1216,Data!$E$4:$E$1216,"="&amp;$AF11,Data!$AQ$4:$AQ$1216,"="&amp;AH$1)/X11,"-")</f>
        <v>-</v>
      </c>
      <c r="AI11" s="5" t="str">
        <f>IF(Y11&gt;0,SUMIFS(Data!$O$4:$O$1216,Data!$E$4:$E$1216,"="&amp;$AF11,Data!$AQ$4:$AQ$1216,"="&amp;AI$1)/Y11,"-")</f>
        <v>-</v>
      </c>
      <c r="AJ11" s="5" t="str">
        <f>IF(Z11&gt;0,SUMIFS(Data!$O$4:$O$1216,Data!$E$4:$E$1216,"="&amp;$AF11,Data!$AQ$4:$AQ$1216,"="&amp;AJ$1)/Z11,"-")</f>
        <v>-</v>
      </c>
      <c r="AK11" s="5" t="str">
        <f>IF(AA11&gt;0,SUMIFS(Data!$O$4:$O$1216,Data!$E$4:$E$1216,"="&amp;$AF11,Data!$AQ$4:$AQ$1216,"="&amp;AK$1)/AA11,"-")</f>
        <v>-</v>
      </c>
      <c r="AL11" s="5" t="str">
        <f>IF(AB11&gt;0,SUMIFS(Data!$O$4:$O$1216,Data!$E$4:$E$1216,"="&amp;$AF11,Data!$AQ$4:$AQ$1216,"="&amp;AL$1)/AB11,"-")</f>
        <v>-</v>
      </c>
      <c r="AM11" s="5" t="str">
        <f>IF(AC11&gt;0,SUMIFS(Data!$O$4:$O$1216,Data!$E$4:$E$1216,"="&amp;$AF11,Data!$AQ$4:$AQ$1216,"="&amp;AM$1)/AC11,"-")</f>
        <v>-</v>
      </c>
      <c r="AP11">
        <f t="shared" si="19"/>
        <v>2000</v>
      </c>
      <c r="AQ11" s="5">
        <f ca="1">IF(W11&gt;0,SUMIFS(Data!$R$4:$R$1216,Data!$E$4:$E$1216,"="&amp;$AF11)/W11,"-")</f>
        <v>152.00122255381649</v>
      </c>
      <c r="AR11" s="5" t="str">
        <f>IF(X11&gt;0,SUMIFS(Data!$R$4:$R$1216,Data!$E$4:$E$1216,"="&amp;$AF11,Data!$AQ$4:$AQ$1216,"="&amp;AR$1)/X11,"-")</f>
        <v>-</v>
      </c>
      <c r="AS11" s="5" t="str">
        <f>IF(Y11&gt;0,SUMIFS(Data!$R$4:$R$1216,Data!$E$4:$E$1216,"="&amp;$AF11,Data!$AQ$4:$AQ$1216,"="&amp;AS$1)/Y11,"-")</f>
        <v>-</v>
      </c>
      <c r="AT11" s="5" t="str">
        <f>IF(Z11&gt;0,SUMIFS(Data!$R$4:$R$1216,Data!$E$4:$E$1216,"="&amp;$AF11,Data!$AQ$4:$AQ$1216,"="&amp;AT$1)/Z11,"-")</f>
        <v>-</v>
      </c>
      <c r="AU11" s="5" t="str">
        <f>IF(AA11&gt;0,SUMIFS(Data!$R$4:$R$1216,Data!$E$4:$E$1216,"="&amp;$AF11,Data!$AQ$4:$AQ$1216,"="&amp;AU$1)/AA11,"-")</f>
        <v>-</v>
      </c>
      <c r="AV11" s="5" t="str">
        <f>IF(AB11&gt;0,SUMIFS(Data!$R$4:$R$1216,Data!$E$4:$E$1216,"="&amp;$AF11,Data!$AQ$4:$AQ$1216,"="&amp;AV$1)/AB11,"-")</f>
        <v>-</v>
      </c>
      <c r="AW11" s="5" t="str">
        <f>IF(AC11&gt;0,SUMIFS(Data!$R$4:$R$1216,Data!$E$4:$E$1216,"="&amp;$AF11,Data!$AQ$4:$AQ$1216,"="&amp;AW$1)/AC11,"-")</f>
        <v>-</v>
      </c>
      <c r="AZ11">
        <f t="shared" si="20"/>
        <v>2000</v>
      </c>
      <c r="BA11" s="1">
        <f t="shared" ca="1" si="21"/>
        <v>0</v>
      </c>
      <c r="BB11" s="1" t="str">
        <f t="shared" si="22"/>
        <v>-</v>
      </c>
      <c r="BC11" s="1" t="str">
        <f t="shared" si="23"/>
        <v>-</v>
      </c>
      <c r="BD11" s="1" t="str">
        <f t="shared" si="24"/>
        <v>-</v>
      </c>
      <c r="BE11" s="1" t="str">
        <f t="shared" si="25"/>
        <v>-</v>
      </c>
      <c r="BF11" s="1" t="str">
        <f t="shared" si="26"/>
        <v>-</v>
      </c>
      <c r="BG11" s="1" t="str">
        <f t="shared" si="27"/>
        <v>-</v>
      </c>
      <c r="BJ11">
        <v>2000</v>
      </c>
      <c r="BK11" s="5">
        <f>SUMPRODUCT(Data!$N$4:$N$1216,Data!BP$4:BP$1216)</f>
        <v>1</v>
      </c>
      <c r="BL11">
        <f ca="1">SUMPRODUCT(Data!$N$4:$N$1216,Data!$O$4:$O$1216,Data!BP$4:BP$1216)/$BK11</f>
        <v>12.328877586942637</v>
      </c>
      <c r="BM11">
        <f t="shared" ca="1" si="28"/>
        <v>0</v>
      </c>
      <c r="BN11">
        <f ca="1">SUMPRODUCT(Data!$N$4:$N$1216,Data!$R$4:$R$1216,Data!BP$4:BP$1216)/$BK11</f>
        <v>152.00122255381649</v>
      </c>
      <c r="BO11" s="5">
        <f t="shared" si="30"/>
        <v>30.999999999999989</v>
      </c>
      <c r="BP11">
        <f t="shared" ca="1" si="31"/>
        <v>302.92977671363548</v>
      </c>
      <c r="BQ11">
        <f t="shared" ca="1" si="32"/>
        <v>131.18130479622448</v>
      </c>
      <c r="BR11">
        <f t="shared" ca="1" si="33"/>
        <v>625231.02618901129</v>
      </c>
      <c r="BU11" s="38"/>
      <c r="BV11" s="38" t="s">
        <v>246</v>
      </c>
      <c r="BW11" s="38" t="s">
        <v>247</v>
      </c>
      <c r="BX11" s="38" t="s">
        <v>248</v>
      </c>
      <c r="BY11" s="38" t="s">
        <v>249</v>
      </c>
      <c r="BZ11" s="38" t="s">
        <v>250</v>
      </c>
      <c r="CE11">
        <f t="shared" ref="CE11:CE25" si="37">V12</f>
        <v>2001</v>
      </c>
      <c r="CF11" s="7">
        <f t="shared" ref="CF11:CF25" si="38">AD12</f>
        <v>1</v>
      </c>
      <c r="CH11" s="38"/>
      <c r="CI11" s="38" t="s">
        <v>246</v>
      </c>
      <c r="CJ11" s="38" t="s">
        <v>247</v>
      </c>
      <c r="CK11" s="38" t="s">
        <v>248</v>
      </c>
      <c r="CL11" s="38" t="s">
        <v>249</v>
      </c>
      <c r="CM11" s="38" t="s">
        <v>250</v>
      </c>
    </row>
    <row r="12" spans="1:94" x14ac:dyDescent="0.2">
      <c r="A12">
        <f t="shared" si="29"/>
        <v>1992</v>
      </c>
      <c r="B12">
        <f>COUNTIF(Data!D$4:D$1216,"="&amp;A12)</f>
        <v>4</v>
      </c>
      <c r="C12">
        <f>COUNTIF(Data!E$4:E$1216,"="&amp;A12)</f>
        <v>4</v>
      </c>
      <c r="D12">
        <f t="shared" si="35"/>
        <v>1</v>
      </c>
      <c r="E12" s="5">
        <f ca="1">SUMIF(Data!$E$4:$E$1216,"="&amp;A12,Data!O$4:O$1216)/C12</f>
        <v>998.13918249316691</v>
      </c>
      <c r="F12" s="5">
        <f ca="1">SUMIF(Data!$E$4:$E$1216,"="&amp;$A12,Data!R$4:R$1216)/$C12</f>
        <v>3530263.8719554958</v>
      </c>
      <c r="G12" s="5">
        <f t="shared" ca="1" si="36"/>
        <v>1591.8486248156162</v>
      </c>
      <c r="H12" s="5">
        <f t="shared" ref="H12:H35" ca="1" si="39">E12-G12</f>
        <v>-593.70944232244926</v>
      </c>
      <c r="I12" s="5">
        <f t="shared" ref="I12:I35" ca="1" si="40">E12+G12</f>
        <v>2589.987807308783</v>
      </c>
      <c r="J12" s="5">
        <f ca="1">SUMIF(Sheet1!$F$2:$F$1143,"="&amp;$A12,Sheet1!H$2:H$1143)</f>
        <v>8.3239048542118645</v>
      </c>
      <c r="K12" s="5">
        <f ca="1">SUMIF(Sheet1!$F$2:$F$1143,"="&amp;$A12,Sheet1!I$2:I$1143)</f>
        <v>24.898629037440497</v>
      </c>
      <c r="L12" s="5">
        <f ca="1">SUMIF(Sheet1!$F$2:$F$1143,"="&amp;$A12,Sheet1!J$2:J$1143)</f>
        <v>167.40528749135353</v>
      </c>
      <c r="M12" s="5">
        <f ca="1">SUMIF(Sheet1!$F$2:$F$1143,"="&amp;$A12,Sheet1!K$2:K$1143)</f>
        <v>683.10236828102006</v>
      </c>
      <c r="N12" s="5">
        <f ca="1">SUMIF(Sheet1!$F$2:$F$1143,"="&amp;$A12,Sheet1!L$2:L$1143)</f>
        <v>3541.8717149997269</v>
      </c>
      <c r="O12" s="7">
        <f>SUMIF(Sheet1!$F$2:$F$1143,"="&amp;$A12,Sheet1!M$2:M$1143)</f>
        <v>2.9117647058823533</v>
      </c>
      <c r="P12" s="7">
        <f>SUMIF(Sheet1!$F$2:$F$1143,"="&amp;$A12,Sheet1!N$2:N$1143)</f>
        <v>-1.2000000000000002</v>
      </c>
      <c r="Q12" s="7">
        <f>SUMIF(Sheet1!$F$2:$F$1143,"="&amp;$A12,Sheet1!O$2:O$1143)</f>
        <v>0</v>
      </c>
      <c r="R12" s="7">
        <f>SUMIF(Sheet1!$F$2:$F$1143,"="&amp;$A12,Sheet1!P$2:P$1143)</f>
        <v>2</v>
      </c>
      <c r="S12" s="7">
        <f>SUMIF(Sheet1!$F$2:$F$1143,"="&amp;$A12,Sheet1!Q$2:Q$1143)</f>
        <v>6.7199999999999989</v>
      </c>
      <c r="T12" s="7">
        <f>SUMIF(Sheet1!$F$2:$F$1143,"="&amp;$A12,Sheet1!R$2:R$1143)</f>
        <v>8</v>
      </c>
      <c r="V12">
        <v>2001</v>
      </c>
      <c r="W12">
        <f t="shared" si="34"/>
        <v>4</v>
      </c>
      <c r="X12">
        <f>COUNTIFS(Data!$E$4:$E$1216,"="&amp;$A21,Data!$AQ$4:$AQ$1216,"="&amp;X$1)</f>
        <v>0</v>
      </c>
      <c r="Y12">
        <f>COUNTIFS(Data!$E$4:$E$1216,"="&amp;$A21,Data!$AQ$4:$AQ$1216,"="&amp;Y$1)</f>
        <v>0</v>
      </c>
      <c r="Z12">
        <f>COUNTIFS(Data!$E$4:$E$1216,"="&amp;$A21,Data!$AQ$4:$AQ$1216,"="&amp;Z$1)</f>
        <v>4</v>
      </c>
      <c r="AA12">
        <f>COUNTIFS(Data!$E$4:$E$1216,"="&amp;$A21,Data!$AQ$4:$AQ$1216,"="&amp;AA$1)</f>
        <v>0</v>
      </c>
      <c r="AB12">
        <f>COUNTIFS(Data!$E$4:$E$1216,"="&amp;$A21,Data!$AQ$4:$AQ$1216,"="&amp;AB$1)</f>
        <v>0</v>
      </c>
      <c r="AC12">
        <f>COUNTIFS(Data!$E$4:$E$1216,"="&amp;$A21,Data!$AQ$4:$AQ$1216,"="&amp;AC$1)</f>
        <v>0</v>
      </c>
      <c r="AD12" s="7">
        <f t="shared" ref="AD12:AD26" si="41">SUMPRODUCT(X$1:AC$1,X12:AC12)/SUM(X12:AC12)</f>
        <v>1</v>
      </c>
      <c r="AF12">
        <f t="shared" si="18"/>
        <v>2001</v>
      </c>
      <c r="AG12" s="5">
        <f ca="1">IF(W12&gt;0,SUMIFS(Data!$O$4:$O$1216,Data!$E$4:$E$1216,"="&amp;$AF12)/W12,"-")</f>
        <v>36.066004993376836</v>
      </c>
      <c r="AH12" s="5" t="str">
        <f>IF(X12&gt;0,SUMIFS(Data!$O$4:$O$1216,Data!$E$4:$E$1216,"="&amp;$AF12,Data!$AQ$4:$AQ$1216,"="&amp;AH$1)/X12,"-")</f>
        <v>-</v>
      </c>
      <c r="AI12" s="5" t="str">
        <f>IF(Y12&gt;0,SUMIFS(Data!$O$4:$O$1216,Data!$E$4:$E$1216,"="&amp;$AF12,Data!$AQ$4:$AQ$1216,"="&amp;AI$1)/Y12,"-")</f>
        <v>-</v>
      </c>
      <c r="AJ12" s="5">
        <f ca="1">IF(Z12&gt;0,SUMIFS(Data!$O$4:$O$1216,Data!$E$4:$E$1216,"="&amp;$AF12,Data!$AQ$4:$AQ$1216,"="&amp;AJ$1)/Z12,"-")</f>
        <v>36.066004993376836</v>
      </c>
      <c r="AK12" s="5" t="str">
        <f>IF(AA12&gt;0,SUMIFS(Data!$O$4:$O$1216,Data!$E$4:$E$1216,"="&amp;$AF12,Data!$AQ$4:$AQ$1216,"="&amp;AK$1)/AA12,"-")</f>
        <v>-</v>
      </c>
      <c r="AL12" s="5" t="str">
        <f>IF(AB12&gt;0,SUMIFS(Data!$O$4:$O$1216,Data!$E$4:$E$1216,"="&amp;$AF12,Data!$AQ$4:$AQ$1216,"="&amp;AL$1)/AB12,"-")</f>
        <v>-</v>
      </c>
      <c r="AM12" s="5" t="str">
        <f>IF(AC12&gt;0,SUMIFS(Data!$O$4:$O$1216,Data!$E$4:$E$1216,"="&amp;$AF12,Data!$AQ$4:$AQ$1216,"="&amp;AM$1)/AC12,"-")</f>
        <v>-</v>
      </c>
      <c r="AP12">
        <f t="shared" si="19"/>
        <v>2001</v>
      </c>
      <c r="AQ12" s="5">
        <f ca="1">IF(W12&gt;0,SUMIFS(Data!$R$4:$R$1216,Data!$E$4:$E$1216,"="&amp;$AF12)/W12,"-")</f>
        <v>2261.8724603058654</v>
      </c>
      <c r="AR12" s="5" t="str">
        <f>IF(X12&gt;0,SUMIFS(Data!$R$4:$R$1216,Data!$E$4:$E$1216,"="&amp;$AF12,Data!$AQ$4:$AQ$1216,"="&amp;AR$1)/X12,"-")</f>
        <v>-</v>
      </c>
      <c r="AS12" s="5" t="str">
        <f>IF(Y12&gt;0,SUMIFS(Data!$R$4:$R$1216,Data!$E$4:$E$1216,"="&amp;$AF12,Data!$AQ$4:$AQ$1216,"="&amp;AS$1)/Y12,"-")</f>
        <v>-</v>
      </c>
      <c r="AT12" s="5">
        <f ca="1">IF(Z12&gt;0,SUMIFS(Data!$R$4:$R$1216,Data!$E$4:$E$1216,"="&amp;$AF12,Data!$AQ$4:$AQ$1216,"="&amp;AT$1)/Z12,"-")</f>
        <v>2261.8724603058654</v>
      </c>
      <c r="AU12" s="5" t="str">
        <f>IF(AA12&gt;0,SUMIFS(Data!$R$4:$R$1216,Data!$E$4:$E$1216,"="&amp;$AF12,Data!$AQ$4:$AQ$1216,"="&amp;AU$1)/AA12,"-")</f>
        <v>-</v>
      </c>
      <c r="AV12" s="5" t="str">
        <f>IF(AB12&gt;0,SUMIFS(Data!$R$4:$R$1216,Data!$E$4:$E$1216,"="&amp;$AF12,Data!$AQ$4:$AQ$1216,"="&amp;AV$1)/AB12,"-")</f>
        <v>-</v>
      </c>
      <c r="AW12" s="5" t="str">
        <f>IF(AC12&gt;0,SUMIFS(Data!$R$4:$R$1216,Data!$E$4:$E$1216,"="&amp;$AF12,Data!$AQ$4:$AQ$1216,"="&amp;AW$1)/AC12,"-")</f>
        <v>-</v>
      </c>
      <c r="AZ12">
        <f t="shared" si="20"/>
        <v>2001</v>
      </c>
      <c r="BA12" s="1">
        <f t="shared" ca="1" si="21"/>
        <v>15.500933392247566</v>
      </c>
      <c r="BB12" s="1" t="str">
        <f t="shared" si="22"/>
        <v>-</v>
      </c>
      <c r="BC12" s="1" t="str">
        <f t="shared" si="23"/>
        <v>-</v>
      </c>
      <c r="BD12" s="1">
        <f t="shared" ca="1" si="24"/>
        <v>15.500933392247566</v>
      </c>
      <c r="BE12" s="1" t="str">
        <f t="shared" si="25"/>
        <v>-</v>
      </c>
      <c r="BF12" s="1" t="str">
        <f t="shared" si="26"/>
        <v>-</v>
      </c>
      <c r="BG12" s="1" t="str">
        <f t="shared" si="27"/>
        <v>-</v>
      </c>
      <c r="BJ12">
        <v>2001</v>
      </c>
      <c r="BK12" s="5">
        <f>SUMPRODUCT(Data!$N$4:$N$1216,Data!BQ$4:BQ$1216)</f>
        <v>2</v>
      </c>
      <c r="BL12">
        <f ca="1">SUMPRODUCT(Data!$N$4:$N$1216,Data!$O$4:$O$1216,Data!BQ$4:BQ$1216)/$BK12</f>
        <v>47.347272145342416</v>
      </c>
      <c r="BM12">
        <f t="shared" ca="1" si="28"/>
        <v>25.213275048960252</v>
      </c>
      <c r="BN12">
        <f ca="1">SUMPRODUCT(Data!$N$4:$N$1216,Data!$R$4:$R$1216,Data!BQ$4:BQ$1216)/$BK12</f>
        <v>3513.1826569941613</v>
      </c>
      <c r="BO12" s="5">
        <f t="shared" si="30"/>
        <v>32.999999999999986</v>
      </c>
      <c r="BP12">
        <f t="shared" ca="1" si="31"/>
        <v>287.43992795192077</v>
      </c>
      <c r="BQ12">
        <f t="shared" ca="1" si="32"/>
        <v>123.69677547829751</v>
      </c>
      <c r="BR12">
        <f t="shared" ca="1" si="33"/>
        <v>587551.15688404057</v>
      </c>
      <c r="BU12" s="36" t="s">
        <v>242</v>
      </c>
      <c r="BV12" s="36">
        <v>1</v>
      </c>
      <c r="BW12" s="36">
        <v>16339.043369023129</v>
      </c>
      <c r="BX12" s="36">
        <v>16339.043369023129</v>
      </c>
      <c r="BY12" s="36">
        <v>0.39781997440907396</v>
      </c>
      <c r="BZ12" s="36">
        <v>0.53443503327819575</v>
      </c>
      <c r="CE12">
        <f t="shared" si="37"/>
        <v>2002</v>
      </c>
      <c r="CF12" s="7">
        <f t="shared" si="38"/>
        <v>1</v>
      </c>
      <c r="CH12" s="36" t="s">
        <v>242</v>
      </c>
      <c r="CI12" s="36">
        <v>1</v>
      </c>
      <c r="CJ12" s="36">
        <v>4.2436231586684414E-4</v>
      </c>
      <c r="CK12" s="36">
        <v>4.2436231586684414E-4</v>
      </c>
      <c r="CL12" s="36">
        <v>7.8179932971987154E-4</v>
      </c>
      <c r="CM12" s="36">
        <v>0.97794560837532951</v>
      </c>
    </row>
    <row r="13" spans="1:94" x14ac:dyDescent="0.2">
      <c r="A13">
        <f t="shared" si="29"/>
        <v>1993</v>
      </c>
      <c r="B13">
        <f>COUNTIF(Data!D$4:D$1216,"="&amp;A13)</f>
        <v>5</v>
      </c>
      <c r="C13">
        <f>COUNTIF(Data!E$4:E$1216,"="&amp;A13)</f>
        <v>99</v>
      </c>
      <c r="D13">
        <f t="shared" si="35"/>
        <v>19.8</v>
      </c>
      <c r="E13" s="5">
        <f ca="1">SUMIF(Data!$E$4:$E$1216,"="&amp;$A13,Data!O$4:O$1216)/$C13</f>
        <v>149.85196541087836</v>
      </c>
      <c r="F13" s="5">
        <f ca="1">SUMIF(Data!$E$4:$E$1216,"="&amp;$A13,Data!R$4:R$1216)/$C13</f>
        <v>531956.07736700843</v>
      </c>
      <c r="G13" s="5">
        <f t="shared" ca="1" si="36"/>
        <v>713.79301329552493</v>
      </c>
      <c r="H13" s="5">
        <f t="shared" ca="1" si="39"/>
        <v>-563.94104788464654</v>
      </c>
      <c r="I13" s="5">
        <f t="shared" ca="1" si="40"/>
        <v>863.64497870640332</v>
      </c>
      <c r="J13" s="5">
        <f ca="1">SUMIF(Sheet1!$F$2:$F$1143,"="&amp;$A13,Sheet1!H$2:H$1143)</f>
        <v>8.9620505937701118</v>
      </c>
      <c r="K13" s="5">
        <f ca="1">SUMIF(Sheet1!$F$2:$F$1143,"="&amp;$A13,Sheet1!I$2:I$1143)</f>
        <v>28.094581622231551</v>
      </c>
      <c r="L13" s="5">
        <f ca="1">SUMIF(Sheet1!$F$2:$F$1143,"="&amp;$A13,Sheet1!J$2:J$1143)</f>
        <v>191.34520119916542</v>
      </c>
      <c r="M13" s="5">
        <f ca="1">SUMIF(Sheet1!$F$2:$F$1143,"="&amp;$A13,Sheet1!K$2:K$1143)</f>
        <v>780.68842089259488</v>
      </c>
      <c r="N13" s="5">
        <f ca="1">SUMIF(Sheet1!$F$2:$F$1143,"="&amp;$A13,Sheet1!L$2:L$1143)</f>
        <v>5357.4268857434326</v>
      </c>
      <c r="O13" s="7">
        <f>SUMIF(Sheet1!$F$2:$F$1143,"="&amp;$A13,Sheet1!M$2:M$1143)</f>
        <v>2.7301587301587302</v>
      </c>
      <c r="P13" s="7">
        <f>SUMIF(Sheet1!$F$2:$F$1143,"="&amp;$A13,Sheet1!N$2:N$1143)</f>
        <v>-2.5</v>
      </c>
      <c r="Q13" s="7">
        <f>SUMIF(Sheet1!$F$2:$F$1143,"="&amp;$A13,Sheet1!O$2:O$1143)</f>
        <v>0</v>
      </c>
      <c r="R13" s="7">
        <f>SUMIF(Sheet1!$F$2:$F$1143,"="&amp;$A13,Sheet1!P$2:P$1143)</f>
        <v>2</v>
      </c>
      <c r="S13" s="7">
        <f>SUMIF(Sheet1!$F$2:$F$1143,"="&amp;$A13,Sheet1!Q$2:Q$1143)</f>
        <v>6.1000000000000014</v>
      </c>
      <c r="T13" s="7">
        <f>SUMIF(Sheet1!$F$2:$F$1143,"="&amp;$A13,Sheet1!R$2:R$1143)</f>
        <v>8</v>
      </c>
      <c r="V13">
        <v>2002</v>
      </c>
      <c r="W13">
        <f t="shared" si="34"/>
        <v>1</v>
      </c>
      <c r="X13">
        <f>COUNTIFS(Data!$E$4:$E$1216,"="&amp;$A22,Data!$AQ$4:$AQ$1216,"="&amp;X$1)</f>
        <v>0</v>
      </c>
      <c r="Y13">
        <f>COUNTIFS(Data!$E$4:$E$1216,"="&amp;$A22,Data!$AQ$4:$AQ$1216,"="&amp;Y$1)</f>
        <v>0</v>
      </c>
      <c r="Z13">
        <f>COUNTIFS(Data!$E$4:$E$1216,"="&amp;$A22,Data!$AQ$4:$AQ$1216,"="&amp;Z$1)</f>
        <v>1</v>
      </c>
      <c r="AA13">
        <f>COUNTIFS(Data!$E$4:$E$1216,"="&amp;$A22,Data!$AQ$4:$AQ$1216,"="&amp;AA$1)</f>
        <v>0</v>
      </c>
      <c r="AB13">
        <f>COUNTIFS(Data!$E$4:$E$1216,"="&amp;$A22,Data!$AQ$4:$AQ$1216,"="&amp;AB$1)</f>
        <v>0</v>
      </c>
      <c r="AC13">
        <f>COUNTIFS(Data!$E$4:$E$1216,"="&amp;$A22,Data!$AQ$4:$AQ$1216,"="&amp;AC$1)</f>
        <v>0</v>
      </c>
      <c r="AD13" s="7">
        <f t="shared" si="41"/>
        <v>1</v>
      </c>
      <c r="AF13">
        <f t="shared" si="18"/>
        <v>2002</v>
      </c>
      <c r="AG13" s="5">
        <f ca="1">IF(W13&gt;0,SUMIFS(Data!$O$4:$O$1216,Data!$E$4:$E$1216,"="&amp;$AF13)/W13,"-")</f>
        <v>149.34372740092297</v>
      </c>
      <c r="AH13" s="5" t="str">
        <f>IF(X13&gt;0,SUMIFS(Data!$O$4:$O$1216,Data!$E$4:$E$1216,"="&amp;$AF13,Data!$AQ$4:$AQ$1216,"="&amp;AH$1)/X13,"-")</f>
        <v>-</v>
      </c>
      <c r="AI13" s="5" t="str">
        <f>IF(Y13&gt;0,SUMIFS(Data!$O$4:$O$1216,Data!$E$4:$E$1216,"="&amp;$AF13,Data!$AQ$4:$AQ$1216,"="&amp;AI$1)/Y13,"-")</f>
        <v>-</v>
      </c>
      <c r="AJ13" s="5">
        <f ca="1">IF(Z13&gt;0,SUMIFS(Data!$O$4:$O$1216,Data!$E$4:$E$1216,"="&amp;$AF13,Data!$AQ$4:$AQ$1216,"="&amp;AJ$1)/Z13,"-")</f>
        <v>149.34372740092297</v>
      </c>
      <c r="AK13" s="5" t="str">
        <f>IF(AA13&gt;0,SUMIFS(Data!$O$4:$O$1216,Data!$E$4:$E$1216,"="&amp;$AF13,Data!$AQ$4:$AQ$1216,"="&amp;AK$1)/AA13,"-")</f>
        <v>-</v>
      </c>
      <c r="AL13" s="5" t="str">
        <f>IF(AB13&gt;0,SUMIFS(Data!$O$4:$O$1216,Data!$E$4:$E$1216,"="&amp;$AF13,Data!$AQ$4:$AQ$1216,"="&amp;AL$1)/AB13,"-")</f>
        <v>-</v>
      </c>
      <c r="AM13" s="5" t="str">
        <f>IF(AC13&gt;0,SUMIFS(Data!$O$4:$O$1216,Data!$E$4:$E$1216,"="&amp;$AF13,Data!$AQ$4:$AQ$1216,"="&amp;AM$1)/AC13,"-")</f>
        <v>-</v>
      </c>
      <c r="AP13">
        <f t="shared" si="19"/>
        <v>2002</v>
      </c>
      <c r="AQ13" s="5">
        <f ca="1">IF(W13&gt;0,SUMIFS(Data!$R$4:$R$1216,Data!$E$4:$E$1216,"="&amp;$AF13)/W13,"-")</f>
        <v>22303.548914001192</v>
      </c>
      <c r="AR13" s="5" t="str">
        <f>IF(X13&gt;0,SUMIFS(Data!$R$4:$R$1216,Data!$E$4:$E$1216,"="&amp;$AF13,Data!$AQ$4:$AQ$1216,"="&amp;AR$1)/X13,"-")</f>
        <v>-</v>
      </c>
      <c r="AS13" s="5" t="str">
        <f>IF(Y13&gt;0,SUMIFS(Data!$R$4:$R$1216,Data!$E$4:$E$1216,"="&amp;$AF13,Data!$AQ$4:$AQ$1216,"="&amp;AS$1)/Y13,"-")</f>
        <v>-</v>
      </c>
      <c r="AT13" s="5">
        <f ca="1">IF(Z13&gt;0,SUMIFS(Data!$R$4:$R$1216,Data!$E$4:$E$1216,"="&amp;$AF13,Data!$AQ$4:$AQ$1216,"="&amp;AT$1)/Z13,"-")</f>
        <v>22303.548914001192</v>
      </c>
      <c r="AU13" s="5" t="str">
        <f>IF(AA13&gt;0,SUMIFS(Data!$R$4:$R$1216,Data!$E$4:$E$1216,"="&amp;$AF13,Data!$AQ$4:$AQ$1216,"="&amp;AU$1)/AA13,"-")</f>
        <v>-</v>
      </c>
      <c r="AV13" s="5" t="str">
        <f>IF(AB13&gt;0,SUMIFS(Data!$R$4:$R$1216,Data!$E$4:$E$1216,"="&amp;$AF13,Data!$AQ$4:$AQ$1216,"="&amp;AV$1)/AB13,"-")</f>
        <v>-</v>
      </c>
      <c r="AW13" s="5" t="str">
        <f>IF(AC13&gt;0,SUMIFS(Data!$R$4:$R$1216,Data!$E$4:$E$1216,"="&amp;$AF13,Data!$AQ$4:$AQ$1216,"="&amp;AW$1)/AC13,"-")</f>
        <v>-</v>
      </c>
      <c r="AZ13">
        <f t="shared" si="20"/>
        <v>2002</v>
      </c>
      <c r="BA13" s="1">
        <f t="shared" ca="1" si="21"/>
        <v>0</v>
      </c>
      <c r="BB13" s="1" t="str">
        <f t="shared" si="22"/>
        <v>-</v>
      </c>
      <c r="BC13" s="1" t="str">
        <f t="shared" si="23"/>
        <v>-</v>
      </c>
      <c r="BD13" s="1">
        <f t="shared" ca="1" si="24"/>
        <v>0</v>
      </c>
      <c r="BE13" s="1" t="str">
        <f t="shared" si="25"/>
        <v>-</v>
      </c>
      <c r="BF13" s="1" t="str">
        <f t="shared" si="26"/>
        <v>-</v>
      </c>
      <c r="BG13" s="1" t="str">
        <f t="shared" si="27"/>
        <v>-</v>
      </c>
      <c r="BJ13">
        <v>2002</v>
      </c>
      <c r="BK13" s="5">
        <f>SUMPRODUCT(Data!$N$4:$N$1216,Data!BR$4:BR$1216)</f>
        <v>1</v>
      </c>
      <c r="BL13">
        <f ca="1">SUMPRODUCT(Data!$N$4:$N$1216,Data!$O$4:$O$1216,Data!BR$4:BR$1216)/$BK13</f>
        <v>149.34372740092297</v>
      </c>
      <c r="BM13">
        <f t="shared" ca="1" si="28"/>
        <v>0</v>
      </c>
      <c r="BN13">
        <f ca="1">SUMPRODUCT(Data!$N$4:$N$1216,Data!$R$4:$R$1216,Data!BR$4:BR$1216)/$BK13</f>
        <v>22303.548914001192</v>
      </c>
      <c r="BO13" s="5">
        <f t="shared" si="30"/>
        <v>33.999999999999986</v>
      </c>
      <c r="BP13">
        <f t="shared" ca="1" si="31"/>
        <v>283.37827499453846</v>
      </c>
      <c r="BQ13">
        <f t="shared" ca="1" si="32"/>
        <v>120.12529984035332</v>
      </c>
      <c r="BR13">
        <f t="shared" ca="1" si="33"/>
        <v>570926.22723786288</v>
      </c>
      <c r="BU13" s="36" t="s">
        <v>243</v>
      </c>
      <c r="BV13" s="36">
        <v>23</v>
      </c>
      <c r="BW13" s="36">
        <v>944643.36046913255</v>
      </c>
      <c r="BX13" s="36">
        <v>41071.450455179678</v>
      </c>
      <c r="BY13" s="36"/>
      <c r="BZ13" s="36"/>
      <c r="CE13">
        <f t="shared" si="37"/>
        <v>2003</v>
      </c>
      <c r="CF13" s="7">
        <f t="shared" si="38"/>
        <v>1</v>
      </c>
      <c r="CH13" s="36" t="s">
        <v>243</v>
      </c>
      <c r="CI13" s="36">
        <v>22</v>
      </c>
      <c r="CJ13" s="36">
        <v>11.941646141364391</v>
      </c>
      <c r="CK13" s="36">
        <v>0.54280209733474505</v>
      </c>
      <c r="CL13" s="36"/>
      <c r="CM13" s="36"/>
    </row>
    <row r="14" spans="1:94" ht="13.5" thickBot="1" x14ac:dyDescent="0.25">
      <c r="A14">
        <f t="shared" si="29"/>
        <v>1994</v>
      </c>
      <c r="B14">
        <f>COUNTIF(Data!D$4:D$1216,"="&amp;A14)</f>
        <v>3</v>
      </c>
      <c r="C14">
        <f>COUNTIF(Data!E$4:E$1216,"="&amp;A14)</f>
        <v>5</v>
      </c>
      <c r="D14">
        <f t="shared" si="35"/>
        <v>1.6666666666666667</v>
      </c>
      <c r="E14" s="5">
        <f ca="1">SUMIF(Data!$E$4:$E$1216,"="&amp;A14,Data!O$4:O$1216)/C14</f>
        <v>349.57831616003779</v>
      </c>
      <c r="F14" s="5">
        <f ca="1">SUMIF(Data!$E$4:$E$1216,"="&amp;$A14,Data!R$4:R$1216)/$C14</f>
        <v>297280.84163582453</v>
      </c>
      <c r="G14" s="5">
        <f t="shared" ca="1" si="36"/>
        <v>418.42065258127161</v>
      </c>
      <c r="H14" s="5">
        <f t="shared" ca="1" si="39"/>
        <v>-68.842336421233824</v>
      </c>
      <c r="I14" s="5">
        <f t="shared" ca="1" si="40"/>
        <v>767.99896874130945</v>
      </c>
      <c r="J14" s="5">
        <f ca="1">SUMIF(Sheet1!$F$2:$F$1143,"="&amp;$A14,Sheet1!H$2:H$1143)</f>
        <v>3.8439364848159283E-2</v>
      </c>
      <c r="K14" s="5">
        <f ca="1">SUMIF(Sheet1!$F$2:$F$1143,"="&amp;$A14,Sheet1!I$2:I$1143)</f>
        <v>0.27779376039752229</v>
      </c>
      <c r="L14" s="5">
        <f ca="1">SUMIF(Sheet1!$F$2:$F$1143,"="&amp;$A14,Sheet1!J$2:J$1143)</f>
        <v>15.93092439465299</v>
      </c>
      <c r="M14" s="5">
        <f ca="1">SUMIF(Sheet1!$F$2:$F$1143,"="&amp;$A14,Sheet1!K$2:K$1143)</f>
        <v>79.59984291482354</v>
      </c>
      <c r="N14" s="5">
        <f ca="1">SUMIF(Sheet1!$F$2:$F$1143,"="&amp;$A14,Sheet1!L$2:L$1143)</f>
        <v>1489.6957891742516</v>
      </c>
      <c r="O14" s="7">
        <f>SUMIF(Sheet1!$F$2:$F$1143,"="&amp;$A14,Sheet1!M$2:M$1143)</f>
        <v>1.1428571428571428</v>
      </c>
      <c r="P14" s="7">
        <f>SUMIF(Sheet1!$F$2:$F$1143,"="&amp;$A14,Sheet1!N$2:N$1143)</f>
        <v>0</v>
      </c>
      <c r="Q14" s="7">
        <f>SUMIF(Sheet1!$F$2:$F$1143,"="&amp;$A14,Sheet1!O$2:O$1143)</f>
        <v>0</v>
      </c>
      <c r="R14" s="7">
        <f>SUMIF(Sheet1!$F$2:$F$1143,"="&amp;$A14,Sheet1!P$2:P$1143)</f>
        <v>0</v>
      </c>
      <c r="S14" s="7">
        <f>SUMIF(Sheet1!$F$2:$F$1143,"="&amp;$A14,Sheet1!Q$2:Q$1143)</f>
        <v>3</v>
      </c>
      <c r="T14" s="7">
        <f>SUMIF(Sheet1!$F$2:$F$1143,"="&amp;$A14,Sheet1!R$2:R$1143)</f>
        <v>4</v>
      </c>
      <c r="V14">
        <v>2003</v>
      </c>
      <c r="W14">
        <f t="shared" si="34"/>
        <v>11</v>
      </c>
      <c r="X14">
        <f>COUNTIFS(Data!$E$4:$E$1216,"="&amp;$A23,Data!$AQ$4:$AQ$1216,"="&amp;X$1)</f>
        <v>3</v>
      </c>
      <c r="Y14">
        <f>COUNTIFS(Data!$E$4:$E$1216,"="&amp;$A23,Data!$AQ$4:$AQ$1216,"="&amp;Y$1)</f>
        <v>0</v>
      </c>
      <c r="Z14">
        <f>COUNTIFS(Data!$E$4:$E$1216,"="&amp;$A23,Data!$AQ$4:$AQ$1216,"="&amp;Z$1)</f>
        <v>1</v>
      </c>
      <c r="AA14">
        <f>COUNTIFS(Data!$E$4:$E$1216,"="&amp;$A23,Data!$AQ$4:$AQ$1216,"="&amp;AA$1)</f>
        <v>0</v>
      </c>
      <c r="AB14">
        <f>COUNTIFS(Data!$E$4:$E$1216,"="&amp;$A23,Data!$AQ$4:$AQ$1216,"="&amp;AB$1)</f>
        <v>3</v>
      </c>
      <c r="AC14">
        <f>COUNTIFS(Data!$E$4:$E$1216,"="&amp;$A23,Data!$AQ$4:$AQ$1216,"="&amp;AC$1)</f>
        <v>0</v>
      </c>
      <c r="AD14" s="7">
        <f t="shared" si="41"/>
        <v>1</v>
      </c>
      <c r="AF14">
        <f t="shared" si="18"/>
        <v>2003</v>
      </c>
      <c r="AG14" s="5">
        <f ca="1">IF(W14&gt;0,SUMIFS(Data!$O$4:$O$1216,Data!$E$4:$E$1216,"="&amp;$AF14)/W14,"-")</f>
        <v>44.964020734644151</v>
      </c>
      <c r="AH14" s="5">
        <f ca="1">IF(X14&gt;0,SUMIFS(Data!$O$4:$O$1216,Data!$E$4:$E$1216,"="&amp;$AF14,Data!$AQ$4:$AQ$1216,"="&amp;AH$1)/X14,"-")</f>
        <v>53.732012551836625</v>
      </c>
      <c r="AI14" s="5" t="str">
        <f>IF(Y14&gt;0,SUMIFS(Data!$O$4:$O$1216,Data!$E$4:$E$1216,"="&amp;$AF14,Data!$AQ$4:$AQ$1216,"="&amp;AI$1)/Y14,"-")</f>
        <v>-</v>
      </c>
      <c r="AJ14" s="5">
        <f ca="1">IF(Z14&gt;0,SUMIFS(Data!$O$4:$O$1216,Data!$E$4:$E$1216,"="&amp;$AF14,Data!$AQ$4:$AQ$1216,"="&amp;AJ$1)/Z14,"-")</f>
        <v>38.010308287591222</v>
      </c>
      <c r="AK14" s="5" t="str">
        <f>IF(AA14&gt;0,SUMIFS(Data!$O$4:$O$1216,Data!$E$4:$E$1216,"="&amp;$AF14,Data!$AQ$4:$AQ$1216,"="&amp;AK$1)/AA14,"-")</f>
        <v>-</v>
      </c>
      <c r="AL14" s="5">
        <f ca="1">IF(AB14&gt;0,SUMIFS(Data!$O$4:$O$1216,Data!$E$4:$E$1216,"="&amp;$AF14,Data!$AQ$4:$AQ$1216,"="&amp;AL$1)/AB14,"-")</f>
        <v>15.460979654286874</v>
      </c>
      <c r="AM14" s="5" t="str">
        <f>IF(AC14&gt;0,SUMIFS(Data!$O$4:$O$1216,Data!$E$4:$E$1216,"="&amp;$AF14,Data!$AQ$4:$AQ$1216,"="&amp;AM$1)/AC14,"-")</f>
        <v>-</v>
      </c>
      <c r="AP14">
        <f t="shared" si="19"/>
        <v>2003</v>
      </c>
      <c r="AQ14" s="5">
        <f ca="1">IF(W14&gt;0,SUMIFS(Data!$R$4:$R$1216,Data!$E$4:$E$1216,"="&amp;$AF14)/W14,"-")</f>
        <v>6109.3650349018017</v>
      </c>
      <c r="AR14" s="5">
        <f ca="1">IF(X14&gt;0,SUMIFS(Data!$R$4:$R$1216,Data!$E$4:$E$1216,"="&amp;$AF14,Data!$AQ$4:$AQ$1216,"="&amp;AR$1)/X14,"-")</f>
        <v>3007.6732917700388</v>
      </c>
      <c r="AS14" s="5" t="str">
        <f>IF(Y14&gt;0,SUMIFS(Data!$R$4:$R$1216,Data!$E$4:$E$1216,"="&amp;$AF14,Data!$AQ$4:$AQ$1216,"="&amp;AS$1)/Y14,"-")</f>
        <v>-</v>
      </c>
      <c r="AT14" s="5">
        <f ca="1">IF(Z14&gt;0,SUMIFS(Data!$R$4:$R$1216,Data!$E$4:$E$1216,"="&amp;$AF14,Data!$AQ$4:$AQ$1216,"="&amp;AT$1)/Z14,"-")</f>
        <v>1444.783536117726</v>
      </c>
      <c r="AU14" s="5" t="str">
        <f>IF(AA14&gt;0,SUMIFS(Data!$R$4:$R$1216,Data!$E$4:$E$1216,"="&amp;$AF14,Data!$AQ$4:$AQ$1216,"="&amp;AU$1)/AA14,"-")</f>
        <v>-</v>
      </c>
      <c r="AV14" s="5">
        <f ca="1">IF(AB14&gt;0,SUMIFS(Data!$R$4:$R$1216,Data!$E$4:$E$1216,"="&amp;$AF14,Data!$AQ$4:$AQ$1216,"="&amp;AV$1)/AB14,"-")</f>
        <v>256.70006844203527</v>
      </c>
      <c r="AW14" s="5" t="str">
        <f>IF(AC14&gt;0,SUMIFS(Data!$R$4:$R$1216,Data!$E$4:$E$1216,"="&amp;$AF14,Data!$AQ$4:$AQ$1216,"="&amp;AW$1)/AC14,"-")</f>
        <v>-</v>
      </c>
      <c r="AZ14">
        <f t="shared" si="20"/>
        <v>2003</v>
      </c>
      <c r="BA14" s="1">
        <f t="shared" ca="1" si="21"/>
        <v>19.276933635533268</v>
      </c>
      <c r="BB14" s="1">
        <f t="shared" ca="1" si="22"/>
        <v>6.3388778948988023</v>
      </c>
      <c r="BC14" s="1" t="str">
        <f t="shared" si="23"/>
        <v>-</v>
      </c>
      <c r="BD14" s="1">
        <f t="shared" ca="1" si="24"/>
        <v>0</v>
      </c>
      <c r="BE14" s="1" t="str">
        <f t="shared" si="25"/>
        <v>-</v>
      </c>
      <c r="BF14" s="1">
        <f t="shared" ca="1" si="26"/>
        <v>2.4261201242424515</v>
      </c>
      <c r="BG14" s="1" t="str">
        <f t="shared" si="27"/>
        <v>-</v>
      </c>
      <c r="BJ14">
        <v>2003</v>
      </c>
      <c r="BK14" s="5">
        <f>SUMPRODUCT(Data!$N$4:$N$1216,Data!BS$4:BS$1216)</f>
        <v>3</v>
      </c>
      <c r="BL14">
        <f ca="1">SUMPRODUCT(Data!$N$4:$N$1216,Data!$O$4:$O$1216,Data!BS$4:BS$1216)/$BK14</f>
        <v>99.189221465235164</v>
      </c>
      <c r="BM14">
        <f t="shared" ca="1" si="28"/>
        <v>56.555272902619272</v>
      </c>
      <c r="BN14">
        <f ca="1">SUMPRODUCT(Data!$N$4:$N$1216,Data!$R$4:$R$1216,Data!BS$4:BS$1216)/$BK14</f>
        <v>19433.998334148691</v>
      </c>
      <c r="BO14" s="5">
        <f t="shared" si="30"/>
        <v>36.999999999999986</v>
      </c>
      <c r="BP14">
        <f t="shared" ca="1" si="31"/>
        <v>268.44402741108144</v>
      </c>
      <c r="BQ14">
        <f t="shared" ca="1" si="32"/>
        <v>110.78936006795196</v>
      </c>
      <c r="BR14">
        <f t="shared" ca="1" si="33"/>
        <v>526210.64111053466</v>
      </c>
      <c r="BU14" s="37" t="s">
        <v>244</v>
      </c>
      <c r="BV14" s="37">
        <v>24</v>
      </c>
      <c r="BW14" s="37">
        <v>960982.40383815567</v>
      </c>
      <c r="BX14" s="37"/>
      <c r="BY14" s="37"/>
      <c r="BZ14" s="37"/>
      <c r="CE14">
        <f t="shared" si="37"/>
        <v>2004</v>
      </c>
      <c r="CF14" s="7">
        <f t="shared" si="38"/>
        <v>1.3461538461538463</v>
      </c>
      <c r="CH14" s="37" t="s">
        <v>244</v>
      </c>
      <c r="CI14" s="37">
        <v>23</v>
      </c>
      <c r="CJ14" s="37">
        <v>11.942070503680258</v>
      </c>
      <c r="CK14" s="37"/>
      <c r="CL14" s="37"/>
      <c r="CM14" s="37"/>
    </row>
    <row r="15" spans="1:94" ht="13.5" thickBot="1" x14ac:dyDescent="0.25">
      <c r="A15">
        <f t="shared" si="29"/>
        <v>1995</v>
      </c>
      <c r="B15">
        <f>COUNTIF(Data!D$4:D$1216,"="&amp;A15)</f>
        <v>2</v>
      </c>
      <c r="C15">
        <f>COUNTIF(Data!E$4:E$1216,"="&amp;A15)</f>
        <v>3</v>
      </c>
      <c r="D15">
        <f t="shared" si="35"/>
        <v>1.5</v>
      </c>
      <c r="E15" s="5">
        <f ca="1">SUMIF(Data!$E$4:$E$1216,"="&amp;A15,Data!O$4:O$1216)/C15</f>
        <v>101.32873006763278</v>
      </c>
      <c r="F15" s="5">
        <f ca="1">SUMIF(Data!$E$4:$E$1216,"="&amp;$A15,Data!R$4:R$1216)/$C15</f>
        <v>21860.822840588629</v>
      </c>
      <c r="G15" s="5">
        <f t="shared" ca="1" si="36"/>
        <v>107.67224017112973</v>
      </c>
      <c r="H15" s="5">
        <f t="shared" ca="1" si="39"/>
        <v>-6.3435101034969534</v>
      </c>
      <c r="I15" s="5">
        <f t="shared" ca="1" si="40"/>
        <v>209.00097023876251</v>
      </c>
      <c r="J15" s="5">
        <f ca="1">SUMIF(Sheet1!$F$2:$F$1143,"="&amp;$A15,Sheet1!H$2:H$1143)</f>
        <v>3.9430070127751016E-2</v>
      </c>
      <c r="K15" s="5">
        <f ca="1">SUMIF(Sheet1!$F$2:$F$1143,"="&amp;$A15,Sheet1!I$2:I$1143)</f>
        <v>0.28532312052241937</v>
      </c>
      <c r="L15" s="5">
        <f ca="1">SUMIF(Sheet1!$F$2:$F$1143,"="&amp;$A15,Sheet1!J$2:J$1143)</f>
        <v>17.290762510300446</v>
      </c>
      <c r="M15" s="5">
        <f ca="1">SUMIF(Sheet1!$F$2:$F$1143,"="&amp;$A15,Sheet1!K$2:K$1143)</f>
        <v>110.56050466440421</v>
      </c>
      <c r="N15" s="5">
        <f ca="1">SUMIF(Sheet1!$F$2:$F$1143,"="&amp;$A15,Sheet1!L$2:L$1143)</f>
        <v>1341.030554918716</v>
      </c>
      <c r="O15" s="7">
        <f>SUMIF(Sheet1!$F$2:$F$1143,"="&amp;$A15,Sheet1!M$2:M$1143)</f>
        <v>1.1293103448275863</v>
      </c>
      <c r="P15" s="7">
        <f>SUMIF(Sheet1!$F$2:$F$1143,"="&amp;$A15,Sheet1!N$2:N$1143)</f>
        <v>0</v>
      </c>
      <c r="Q15" s="7">
        <f>SUMIF(Sheet1!$F$2:$F$1143,"="&amp;$A15,Sheet1!O$2:O$1143)</f>
        <v>0</v>
      </c>
      <c r="R15" s="7">
        <f>SUMIF(Sheet1!$F$2:$F$1143,"="&amp;$A15,Sheet1!P$2:P$1143)</f>
        <v>0</v>
      </c>
      <c r="S15" s="7">
        <f>SUMIF(Sheet1!$F$2:$F$1143,"="&amp;$A15,Sheet1!Q$2:Q$1143)</f>
        <v>3</v>
      </c>
      <c r="T15" s="7">
        <f>SUMIF(Sheet1!$F$2:$F$1143,"="&amp;$A15,Sheet1!R$2:R$1143)</f>
        <v>4</v>
      </c>
      <c r="V15">
        <v>2004</v>
      </c>
      <c r="W15">
        <f t="shared" si="34"/>
        <v>26</v>
      </c>
      <c r="X15">
        <f>COUNTIFS(Data!$E$4:$E$1216,"="&amp;$A24,Data!$AQ$4:$AQ$1216,"="&amp;X$1)</f>
        <v>9</v>
      </c>
      <c r="Y15">
        <f>COUNTIFS(Data!$E$4:$E$1216,"="&amp;$A24,Data!$AQ$4:$AQ$1216,"="&amp;Y$1)</f>
        <v>0</v>
      </c>
      <c r="Z15">
        <f>COUNTIFS(Data!$E$4:$E$1216,"="&amp;$A24,Data!$AQ$4:$AQ$1216,"="&amp;Z$1)</f>
        <v>7</v>
      </c>
      <c r="AA15">
        <f>COUNTIFS(Data!$E$4:$E$1216,"="&amp;$A24,Data!$AQ$4:$AQ$1216,"="&amp;AA$1)</f>
        <v>0</v>
      </c>
      <c r="AB15">
        <f>COUNTIFS(Data!$E$4:$E$1216,"="&amp;$A24,Data!$AQ$4:$AQ$1216,"="&amp;AB$1)</f>
        <v>2</v>
      </c>
      <c r="AC15">
        <f>COUNTIFS(Data!$E$4:$E$1216,"="&amp;$A24,Data!$AQ$4:$AQ$1216,"="&amp;AC$1)</f>
        <v>8</v>
      </c>
      <c r="AD15" s="7">
        <f t="shared" si="41"/>
        <v>1.3461538461538463</v>
      </c>
      <c r="AF15">
        <f t="shared" si="18"/>
        <v>2004</v>
      </c>
      <c r="AG15" s="5">
        <f ca="1">IF(W15&gt;0,SUMIFS(Data!$O$4:$O$1216,Data!$E$4:$E$1216,"="&amp;$AF15)/W15,"-")</f>
        <v>204.78310276064062</v>
      </c>
      <c r="AH15" s="5">
        <f ca="1">IF(X15&gt;0,SUMIFS(Data!$O$4:$O$1216,Data!$E$4:$E$1216,"="&amp;$AF15,Data!$AQ$4:$AQ$1216,"="&amp;AH$1)/X15,"-")</f>
        <v>413.70160982774644</v>
      </c>
      <c r="AI15" s="5" t="str">
        <f>IF(Y15&gt;0,SUMIFS(Data!$O$4:$O$1216,Data!$E$4:$E$1216,"="&amp;$AF15,Data!$AQ$4:$AQ$1216,"="&amp;AI$1)/Y15,"-")</f>
        <v>-</v>
      </c>
      <c r="AJ15" s="5">
        <f ca="1">IF(Z15&gt;0,SUMIFS(Data!$O$4:$O$1216,Data!$E$4:$E$1216,"="&amp;$AF15,Data!$AQ$4:$AQ$1216,"="&amp;AJ$1)/Z15,"-")</f>
        <v>148.29114846315886</v>
      </c>
      <c r="AK15" s="5" t="str">
        <f>IF(AA15&gt;0,SUMIFS(Data!$O$4:$O$1216,Data!$E$4:$E$1216,"="&amp;$AF15,Data!$AQ$4:$AQ$1216,"="&amp;AK$1)/AA15,"-")</f>
        <v>-</v>
      </c>
      <c r="AL15" s="5">
        <f ca="1">IF(AB15&gt;0,SUMIFS(Data!$O$4:$O$1216,Data!$E$4:$E$1216,"="&amp;$AF15,Data!$AQ$4:$AQ$1216,"="&amp;AL$1)/AB15,"-")</f>
        <v>122.54658284264863</v>
      </c>
      <c r="AM15" s="5">
        <f ca="1">IF(AC15&gt;0,SUMIFS(Data!$O$4:$O$1216,Data!$E$4:$E$1216,"="&amp;$AF15,Data!$AQ$4:$AQ$1216,"="&amp;AM$1)/AC15,"-")</f>
        <v>39.739372299941145</v>
      </c>
      <c r="AP15">
        <f t="shared" si="19"/>
        <v>2004</v>
      </c>
      <c r="AQ15" s="5">
        <f ca="1">IF(W15&gt;0,SUMIFS(Data!$R$4:$R$1216,Data!$E$4:$E$1216,"="&amp;$AF15)/W15,"-")</f>
        <v>123733.43813417552</v>
      </c>
      <c r="AR15" s="5">
        <f ca="1">IF(X15&gt;0,SUMIFS(Data!$R$4:$R$1216,Data!$E$4:$E$1216,"="&amp;$AF15,Data!$AQ$4:$AQ$1216,"="&amp;AR$1)/X15,"-")</f>
        <v>320172.64147939318</v>
      </c>
      <c r="AS15" s="5" t="str">
        <f>IF(Y15&gt;0,SUMIFS(Data!$R$4:$R$1216,Data!$E$4:$E$1216,"="&amp;$AF15,Data!$AQ$4:$AQ$1216,"="&amp;AS$1)/Y15,"-")</f>
        <v>-</v>
      </c>
      <c r="AT15" s="5">
        <f ca="1">IF(Z15&gt;0,SUMIFS(Data!$R$4:$R$1216,Data!$E$4:$E$1216,"="&amp;$AF15,Data!$AQ$4:$AQ$1216,"="&amp;AT$1)/Z15,"-")</f>
        <v>39366.053021052569</v>
      </c>
      <c r="AU15" s="5" t="str">
        <f>IF(AA15&gt;0,SUMIFS(Data!$R$4:$R$1216,Data!$E$4:$E$1216,"="&amp;$AF15,Data!$AQ$4:$AQ$1216,"="&amp;AU$1)/AA15,"-")</f>
        <v>-</v>
      </c>
      <c r="AV15" s="5">
        <f ca="1">IF(AB15&gt;0,SUMIFS(Data!$R$4:$R$1216,Data!$E$4:$E$1216,"="&amp;$AF15,Data!$AQ$4:$AQ$1216,"="&amp;AV$1)/AB15,"-")</f>
        <v>18937.090995568939</v>
      </c>
      <c r="AW15" s="5">
        <f ca="1">IF(AC15&gt;0,SUMIFS(Data!$R$4:$R$1216,Data!$E$4:$E$1216,"="&amp;$AF15,Data!$AQ$4:$AQ$1216,"="&amp;AW$1)/AC15,"-")</f>
        <v>2759.8831294399483</v>
      </c>
      <c r="AZ15">
        <f t="shared" si="20"/>
        <v>2004</v>
      </c>
      <c r="BA15" s="1">
        <f t="shared" ca="1" si="21"/>
        <v>56.089666866099478</v>
      </c>
      <c r="BB15" s="1">
        <f t="shared" ca="1" si="22"/>
        <v>128.67859163449072</v>
      </c>
      <c r="BC15" s="1" t="str">
        <f t="shared" si="23"/>
        <v>-</v>
      </c>
      <c r="BD15" s="1">
        <f t="shared" ca="1" si="24"/>
        <v>49.822238735800859</v>
      </c>
      <c r="BE15" s="1" t="str">
        <f t="shared" si="25"/>
        <v>-</v>
      </c>
      <c r="BF15" s="1">
        <f t="shared" ca="1" si="26"/>
        <v>44.268645953760512</v>
      </c>
      <c r="BG15" s="1">
        <f t="shared" ca="1" si="27"/>
        <v>12.148381675384886</v>
      </c>
      <c r="BJ15">
        <v>2004</v>
      </c>
      <c r="BK15" s="5">
        <f>SUMPRODUCT(Data!$N$4:$N$1216,Data!BT$4:BT$1216)</f>
        <v>5</v>
      </c>
      <c r="BL15">
        <f ca="1">SUMPRODUCT(Data!$N$4:$N$1216,Data!$O$4:$O$1216,Data!BT$4:BT$1216)/$BK15</f>
        <v>198.13194419072465</v>
      </c>
      <c r="BM15">
        <f t="shared" ca="1" si="28"/>
        <v>173.54542947177691</v>
      </c>
      <c r="BN15">
        <f ca="1">SUMPRODUCT(Data!$N$4:$N$1216,Data!$R$4:$R$1216,Data!BT$4:BT$1216)/$BK15</f>
        <v>189846.3477615139</v>
      </c>
      <c r="BO15" s="5">
        <f t="shared" si="30"/>
        <v>41.999999999999986</v>
      </c>
      <c r="BP15">
        <f t="shared" ca="1" si="31"/>
        <v>260.07354131341992</v>
      </c>
      <c r="BQ15">
        <f t="shared" ca="1" si="32"/>
        <v>99.824730446178933</v>
      </c>
      <c r="BR15">
        <f t="shared" ca="1" si="33"/>
        <v>486167.27285469888</v>
      </c>
      <c r="CE15">
        <f t="shared" si="37"/>
        <v>2005</v>
      </c>
      <c r="CF15" s="7">
        <f t="shared" si="38"/>
        <v>2.2307692307692308</v>
      </c>
    </row>
    <row r="16" spans="1:94" x14ac:dyDescent="0.2">
      <c r="A16">
        <f t="shared" si="29"/>
        <v>1996</v>
      </c>
      <c r="B16">
        <f>COUNTIF(Data!D$4:D$1216,"="&amp;A16)</f>
        <v>6</v>
      </c>
      <c r="C16">
        <f>COUNTIF(Data!E$4:E$1216,"="&amp;A16)</f>
        <v>34</v>
      </c>
      <c r="D16">
        <f t="shared" si="35"/>
        <v>5.666666666666667</v>
      </c>
      <c r="E16" s="5">
        <f ca="1">SUMIF(Data!$E$4:$E$1216,"="&amp;A16,Data!O$4:O$1216)/C16</f>
        <v>253.21082634647203</v>
      </c>
      <c r="F16" s="5">
        <f ca="1">SUMIF(Data!$E$4:$E$1216,"="&amp;$A16,Data!R$4:R$1216)/$C16</f>
        <v>221771.19850872955</v>
      </c>
      <c r="G16" s="5">
        <f t="shared" ca="1" si="36"/>
        <v>397.05852960195472</v>
      </c>
      <c r="H16" s="5">
        <f t="shared" ca="1" si="39"/>
        <v>-143.84770325548268</v>
      </c>
      <c r="I16" s="5">
        <f t="shared" ca="1" si="40"/>
        <v>650.26935594842678</v>
      </c>
      <c r="J16" s="5">
        <f ca="1">SUMIF(Sheet1!$F$2:$F$1143,"="&amp;$A16,Sheet1!H$2:H$1143)</f>
        <v>4.0024493295506058E-2</v>
      </c>
      <c r="K16" s="5">
        <f ca="1">SUMIF(Sheet1!$F$2:$F$1143,"="&amp;$A16,Sheet1!I$2:I$1143)</f>
        <v>0.29150512146707191</v>
      </c>
      <c r="L16" s="5">
        <f ca="1">SUMIF(Sheet1!$F$2:$F$1143,"="&amp;$A16,Sheet1!J$2:J$1143)</f>
        <v>18.632669458936146</v>
      </c>
      <c r="M16" s="5">
        <f ca="1">SUMIF(Sheet1!$F$2:$F$1143,"="&amp;$A16,Sheet1!K$2:K$1143)</f>
        <v>112.20229674036523</v>
      </c>
      <c r="N16" s="5">
        <f ca="1">SUMIF(Sheet1!$F$2:$F$1143,"="&amp;$A16,Sheet1!L$2:L$1143)</f>
        <v>1302.0451008065745</v>
      </c>
      <c r="O16" s="7">
        <f>SUMIF(Sheet1!$F$2:$F$1143,"="&amp;$A16,Sheet1!M$2:M$1143)</f>
        <v>1.1647058823529413</v>
      </c>
      <c r="P16" s="7">
        <f>SUMIF(Sheet1!$F$2:$F$1143,"="&amp;$A16,Sheet1!N$2:N$1143)</f>
        <v>0</v>
      </c>
      <c r="Q16" s="7">
        <f>SUMIF(Sheet1!$F$2:$F$1143,"="&amp;$A16,Sheet1!O$2:O$1143)</f>
        <v>0</v>
      </c>
      <c r="R16" s="7">
        <f>SUMIF(Sheet1!$F$2:$F$1143,"="&amp;$A16,Sheet1!P$2:P$1143)</f>
        <v>0</v>
      </c>
      <c r="S16" s="7">
        <f>SUMIF(Sheet1!$F$2:$F$1143,"="&amp;$A16,Sheet1!Q$2:Q$1143)</f>
        <v>3</v>
      </c>
      <c r="T16" s="7">
        <f>SUMIF(Sheet1!$F$2:$F$1143,"="&amp;$A16,Sheet1!R$2:R$1143)</f>
        <v>4</v>
      </c>
      <c r="V16">
        <v>2005</v>
      </c>
      <c r="W16">
        <f t="shared" si="34"/>
        <v>14</v>
      </c>
      <c r="X16">
        <f>COUNTIFS(Data!$E$4:$E$1216,"="&amp;$A25,Data!$AQ$4:$AQ$1216,"="&amp;X$1)</f>
        <v>2</v>
      </c>
      <c r="Y16">
        <f>COUNTIFS(Data!$E$4:$E$1216,"="&amp;$A25,Data!$AQ$4:$AQ$1216,"="&amp;Y$1)</f>
        <v>0</v>
      </c>
      <c r="Z16">
        <f>COUNTIFS(Data!$E$4:$E$1216,"="&amp;$A25,Data!$AQ$4:$AQ$1216,"="&amp;Z$1)</f>
        <v>2</v>
      </c>
      <c r="AA16">
        <f>COUNTIFS(Data!$E$4:$E$1216,"="&amp;$A25,Data!$AQ$4:$AQ$1216,"="&amp;AA$1)</f>
        <v>0</v>
      </c>
      <c r="AB16">
        <f>COUNTIFS(Data!$E$4:$E$1216,"="&amp;$A25,Data!$AQ$4:$AQ$1216,"="&amp;AB$1)</f>
        <v>0</v>
      </c>
      <c r="AC16">
        <f>COUNTIFS(Data!$E$4:$E$1216,"="&amp;$A25,Data!$AQ$4:$AQ$1216,"="&amp;AC$1)</f>
        <v>9</v>
      </c>
      <c r="AD16" s="7">
        <f t="shared" si="41"/>
        <v>2.2307692307692308</v>
      </c>
      <c r="AF16">
        <f t="shared" si="18"/>
        <v>2005</v>
      </c>
      <c r="AG16" s="5">
        <f ca="1">IF(W16&gt;0,SUMIFS(Data!$O$4:$O$1216,Data!$E$4:$E$1216,"="&amp;$AF16)/W16,"-")</f>
        <v>35.412151678392043</v>
      </c>
      <c r="AH16" s="5">
        <f ca="1">IF(X16&gt;0,SUMIFS(Data!$O$4:$O$1216,Data!$E$4:$E$1216,"="&amp;$AF16,Data!$AQ$4:$AQ$1216,"="&amp;AH$1)/X16,"-")</f>
        <v>27.761862848894641</v>
      </c>
      <c r="AI16" s="5" t="str">
        <f>IF(Y16&gt;0,SUMIFS(Data!$O$4:$O$1216,Data!$E$4:$E$1216,"="&amp;$AF16,Data!$AQ$4:$AQ$1216,"="&amp;AI$1)/Y16,"-")</f>
        <v>-</v>
      </c>
      <c r="AJ16" s="5">
        <f ca="1">IF(Z16&gt;0,SUMIFS(Data!$O$4:$O$1216,Data!$E$4:$E$1216,"="&amp;$AF16,Data!$AQ$4:$AQ$1216,"="&amp;AJ$1)/Z16,"-")</f>
        <v>8.0200937119028968</v>
      </c>
      <c r="AK16" s="5" t="str">
        <f>IF(AA16&gt;0,SUMIFS(Data!$O$4:$O$1216,Data!$E$4:$E$1216,"="&amp;$AF16,Data!$AQ$4:$AQ$1216,"="&amp;AK$1)/AA16,"-")</f>
        <v>-</v>
      </c>
      <c r="AL16" s="5" t="str">
        <f>IF(AB16&gt;0,SUMIFS(Data!$O$4:$O$1216,Data!$E$4:$E$1216,"="&amp;$AF16,Data!$AQ$4:$AQ$1216,"="&amp;AL$1)/AB16,"-")</f>
        <v>-</v>
      </c>
      <c r="AM16" s="5">
        <f ca="1">IF(AC16&gt;0,SUMIFS(Data!$O$4:$O$1216,Data!$E$4:$E$1216,"="&amp;$AF16,Data!$AQ$4:$AQ$1216,"="&amp;AM$1)/AC16,"-")</f>
        <v>38.837149630603562</v>
      </c>
      <c r="AP16">
        <f t="shared" si="19"/>
        <v>2005</v>
      </c>
      <c r="AQ16" s="5">
        <f ca="1">IF(W16&gt;0,SUMIFS(Data!$R$4:$R$1216,Data!$E$4:$E$1216,"="&amp;$AF16)/W16,"-")</f>
        <v>1916.3210168348401</v>
      </c>
      <c r="AR16" s="5">
        <f ca="1">IF(X16&gt;0,SUMIFS(Data!$R$4:$R$1216,Data!$E$4:$E$1216,"="&amp;$AF16,Data!$AQ$4:$AQ$1216,"="&amp;AR$1)/X16,"-")</f>
        <v>779.30838351403213</v>
      </c>
      <c r="AS16" s="5" t="str">
        <f>IF(Y16&gt;0,SUMIFS(Data!$R$4:$R$1216,Data!$E$4:$E$1216,"="&amp;$AF16,Data!$AQ$4:$AQ$1216,"="&amp;AS$1)/Y16,"-")</f>
        <v>-</v>
      </c>
      <c r="AT16" s="5">
        <f ca="1">IF(Z16&gt;0,SUMIFS(Data!$R$4:$R$1216,Data!$E$4:$E$1216,"="&amp;$AF16,Data!$AQ$4:$AQ$1216,"="&amp;AT$1)/Z16,"-")</f>
        <v>68.98428961846993</v>
      </c>
      <c r="AU16" s="5" t="str">
        <f>IF(AA16&gt;0,SUMIFS(Data!$R$4:$R$1216,Data!$E$4:$E$1216,"="&amp;$AF16,Data!$AQ$4:$AQ$1216,"="&amp;AU$1)/AA16,"-")</f>
        <v>-</v>
      </c>
      <c r="AV16" s="5" t="str">
        <f>IF(AB16&gt;0,SUMIFS(Data!$R$4:$R$1216,Data!$E$4:$E$1216,"="&amp;$AF16,Data!$AQ$4:$AQ$1216,"="&amp;AV$1)/AB16,"-")</f>
        <v>-</v>
      </c>
      <c r="AW16" s="5">
        <f ca="1">IF(AC16&gt;0,SUMIFS(Data!$R$4:$R$1216,Data!$E$4:$E$1216,"="&amp;$AF16,Data!$AQ$4:$AQ$1216,"="&amp;AW$1)/AC16,"-")</f>
        <v>2172.8912956580511</v>
      </c>
      <c r="AZ16">
        <f t="shared" si="20"/>
        <v>2005</v>
      </c>
      <c r="BA16" s="1">
        <f t="shared" ca="1" si="21"/>
        <v>6.8780215715473823</v>
      </c>
      <c r="BB16" s="1">
        <f t="shared" ca="1" si="22"/>
        <v>2.0721190449870033</v>
      </c>
      <c r="BC16" s="1" t="str">
        <f t="shared" si="23"/>
        <v>-</v>
      </c>
      <c r="BD16" s="1">
        <f t="shared" ca="1" si="24"/>
        <v>1.5268245594641088</v>
      </c>
      <c r="BE16" s="1" t="str">
        <f t="shared" si="25"/>
        <v>-</v>
      </c>
      <c r="BF16" s="1" t="str">
        <f t="shared" si="26"/>
        <v>-</v>
      </c>
      <c r="BG16" s="1">
        <f t="shared" ca="1" si="27"/>
        <v>8.593066353676349</v>
      </c>
      <c r="BJ16">
        <v>2005</v>
      </c>
      <c r="BK16" s="5">
        <f>SUMPRODUCT(Data!$N$4:$N$1216,Data!BU$4:BU$1216)</f>
        <v>4</v>
      </c>
      <c r="BL16">
        <f ca="1">SUMPRODUCT(Data!$N$4:$N$1216,Data!$O$4:$O$1216,Data!BU$4:BU$1216)/$BK16</f>
        <v>42.647743200771153</v>
      </c>
      <c r="BM16">
        <f t="shared" ca="1" si="28"/>
        <v>12.669871115558047</v>
      </c>
      <c r="BN16">
        <f ca="1">SUMPRODUCT(Data!$N$4:$N$1216,Data!$R$4:$R$1216,Data!BU$4:BU$1216)/$BK16</f>
        <v>2460.9325364583306</v>
      </c>
      <c r="BO16" s="5">
        <f t="shared" si="30"/>
        <v>45.999999999999986</v>
      </c>
      <c r="BP16">
        <f t="shared" ca="1" si="31"/>
        <v>241.16695017318958</v>
      </c>
      <c r="BQ16">
        <f t="shared" ca="1" si="32"/>
        <v>91.597459868618131</v>
      </c>
      <c r="BR16">
        <f t="shared" ca="1" si="33"/>
        <v>444105.85195746057</v>
      </c>
      <c r="BU16" s="38"/>
      <c r="BV16" s="38" t="s">
        <v>251</v>
      </c>
      <c r="BW16" s="38" t="s">
        <v>239</v>
      </c>
      <c r="BX16" s="38" t="s">
        <v>252</v>
      </c>
      <c r="BY16" s="38" t="s">
        <v>253</v>
      </c>
      <c r="BZ16" s="38" t="s">
        <v>254</v>
      </c>
      <c r="CA16" s="38" t="s">
        <v>255</v>
      </c>
      <c r="CB16" s="38" t="s">
        <v>256</v>
      </c>
      <c r="CC16" s="38" t="s">
        <v>257</v>
      </c>
      <c r="CE16">
        <f t="shared" si="37"/>
        <v>2006</v>
      </c>
      <c r="CF16" s="7">
        <f t="shared" si="38"/>
        <v>1.5094339622641511</v>
      </c>
      <c r="CH16" s="38"/>
      <c r="CI16" s="38" t="s">
        <v>251</v>
      </c>
      <c r="CJ16" s="38" t="s">
        <v>239</v>
      </c>
      <c r="CK16" s="38" t="s">
        <v>252</v>
      </c>
      <c r="CL16" s="38" t="s">
        <v>253</v>
      </c>
      <c r="CM16" s="38" t="s">
        <v>254</v>
      </c>
      <c r="CN16" s="38" t="s">
        <v>255</v>
      </c>
      <c r="CO16" s="38" t="s">
        <v>256</v>
      </c>
      <c r="CP16" s="38" t="s">
        <v>257</v>
      </c>
    </row>
    <row r="17" spans="1:94" x14ac:dyDescent="0.2">
      <c r="A17">
        <f t="shared" si="29"/>
        <v>1997</v>
      </c>
      <c r="B17">
        <f>COUNTIF(Data!D$4:D$1216,"="&amp;A17)</f>
        <v>2</v>
      </c>
      <c r="C17">
        <f>COUNTIF(Data!E$4:E$1216,"="&amp;A17)</f>
        <v>3</v>
      </c>
      <c r="D17">
        <f t="shared" si="35"/>
        <v>1.5</v>
      </c>
      <c r="E17" s="5">
        <f ca="1">SUMIF(Data!$E$4:$E$1216,"="&amp;A17,Data!O$4:O$1216)/C17</f>
        <v>64.128515399905623</v>
      </c>
      <c r="F17" s="5">
        <f ca="1">SUMIF(Data!$E$4:$E$1216,"="&amp;$A17,Data!R$4:R$1216)/$C17</f>
        <v>8508.9202439725923</v>
      </c>
      <c r="G17" s="5">
        <f t="shared" ca="1" si="36"/>
        <v>66.305759603345621</v>
      </c>
      <c r="H17" s="5">
        <f t="shared" ca="1" si="39"/>
        <v>-2.1772442034399972</v>
      </c>
      <c r="I17" s="5">
        <f t="shared" ca="1" si="40"/>
        <v>130.43427500325123</v>
      </c>
      <c r="J17" s="5">
        <f ca="1">SUMIF(Sheet1!$F$2:$F$1143,"="&amp;$A17,Sheet1!H$2:H$1143)</f>
        <v>4.6761289196729845E-2</v>
      </c>
      <c r="K17" s="5">
        <f ca="1">SUMIF(Sheet1!$F$2:$F$1143,"="&amp;$A17,Sheet1!I$2:I$1143)</f>
        <v>0.54068731338998477</v>
      </c>
      <c r="L17" s="5">
        <f ca="1">SUMIF(Sheet1!$F$2:$F$1143,"="&amp;$A17,Sheet1!J$2:J$1143)</f>
        <v>28.394272714827164</v>
      </c>
      <c r="M17" s="5">
        <f ca="1">SUMIF(Sheet1!$F$2:$F$1143,"="&amp;$A17,Sheet1!K$2:K$1143)</f>
        <v>197.31888837074524</v>
      </c>
      <c r="N17" s="5">
        <f ca="1">SUMIF(Sheet1!$F$2:$F$1143,"="&amp;$A17,Sheet1!L$2:L$1143)</f>
        <v>1363.2480448610816</v>
      </c>
      <c r="O17" s="7">
        <f>SUMIF(Sheet1!$F$2:$F$1143,"="&amp;$A17,Sheet1!M$2:M$1143)</f>
        <v>1.2026143790849673</v>
      </c>
      <c r="P17" s="7">
        <f>SUMIF(Sheet1!$F$2:$F$1143,"="&amp;$A17,Sheet1!N$2:N$1143)</f>
        <v>-0.39999999999999858</v>
      </c>
      <c r="Q17" s="7">
        <f>SUMIF(Sheet1!$F$2:$F$1143,"="&amp;$A17,Sheet1!O$2:O$1143)</f>
        <v>0</v>
      </c>
      <c r="R17" s="7">
        <f>SUMIF(Sheet1!$F$2:$F$1143,"="&amp;$A17,Sheet1!P$2:P$1143)</f>
        <v>0</v>
      </c>
      <c r="S17" s="7">
        <f>SUMIF(Sheet1!$F$2:$F$1143,"="&amp;$A17,Sheet1!Q$2:Q$1143)</f>
        <v>3</v>
      </c>
      <c r="T17" s="7">
        <f>SUMIF(Sheet1!$F$2:$F$1143,"="&amp;$A17,Sheet1!R$2:R$1143)</f>
        <v>4</v>
      </c>
      <c r="V17">
        <v>2006</v>
      </c>
      <c r="W17">
        <f t="shared" si="34"/>
        <v>71</v>
      </c>
      <c r="X17">
        <f>COUNTIFS(Data!$E$4:$E$1216,"="&amp;$A26,Data!$AQ$4:$AQ$1216,"="&amp;X$1)</f>
        <v>15</v>
      </c>
      <c r="Y17">
        <f>COUNTIFS(Data!$E$4:$E$1216,"="&amp;$A26,Data!$AQ$4:$AQ$1216,"="&amp;Y$1)</f>
        <v>0</v>
      </c>
      <c r="Z17">
        <f>COUNTIFS(Data!$E$4:$E$1216,"="&amp;$A26,Data!$AQ$4:$AQ$1216,"="&amp;Z$1)</f>
        <v>16</v>
      </c>
      <c r="AA17">
        <f>COUNTIFS(Data!$E$4:$E$1216,"="&amp;$A26,Data!$AQ$4:$AQ$1216,"="&amp;AA$1)</f>
        <v>0</v>
      </c>
      <c r="AB17">
        <f>COUNTIFS(Data!$E$4:$E$1216,"="&amp;$A26,Data!$AQ$4:$AQ$1216,"="&amp;AB$1)</f>
        <v>2</v>
      </c>
      <c r="AC17">
        <f>COUNTIFS(Data!$E$4:$E$1216,"="&amp;$A26,Data!$AQ$4:$AQ$1216,"="&amp;AC$1)</f>
        <v>20</v>
      </c>
      <c r="AD17" s="7">
        <f t="shared" si="41"/>
        <v>1.5094339622641511</v>
      </c>
      <c r="AF17">
        <f t="shared" si="18"/>
        <v>2006</v>
      </c>
      <c r="AG17" s="5">
        <f ca="1">IF(W17&gt;0,SUMIFS(Data!$O$4:$O$1216,Data!$E$4:$E$1216,"="&amp;$AF17)/W17,"-")</f>
        <v>192.7729546537665</v>
      </c>
      <c r="AH17" s="5">
        <f ca="1">IF(X17&gt;0,SUMIFS(Data!$O$4:$O$1216,Data!$E$4:$E$1216,"="&amp;$AF17,Data!$AQ$4:$AQ$1216,"="&amp;AH$1)/X17,"-")</f>
        <v>591.40525407400321</v>
      </c>
      <c r="AI17" s="5" t="str">
        <f>IF(Y17&gt;0,SUMIFS(Data!$O$4:$O$1216,Data!$E$4:$E$1216,"="&amp;$AF17,Data!$AQ$4:$AQ$1216,"="&amp;AI$1)/Y17,"-")</f>
        <v>-</v>
      </c>
      <c r="AJ17" s="5">
        <f ca="1">IF(Z17&gt;0,SUMIFS(Data!$O$4:$O$1216,Data!$E$4:$E$1216,"="&amp;$AF17,Data!$AQ$4:$AQ$1216,"="&amp;AJ$1)/Z17,"-")</f>
        <v>145.24931627165856</v>
      </c>
      <c r="AK17" s="5" t="str">
        <f>IF(AA17&gt;0,SUMIFS(Data!$O$4:$O$1216,Data!$E$4:$E$1216,"="&amp;$AF17,Data!$AQ$4:$AQ$1216,"="&amp;AK$1)/AA17,"-")</f>
        <v>-</v>
      </c>
      <c r="AL17" s="5">
        <f ca="1">IF(AB17&gt;0,SUMIFS(Data!$O$4:$O$1216,Data!$E$4:$E$1216,"="&amp;$AF17,Data!$AQ$4:$AQ$1216,"="&amp;AL$1)/AB17,"-")</f>
        <v>56.64762073828112</v>
      </c>
      <c r="AM17" s="5">
        <f ca="1">IF(AC17&gt;0,SUMIFS(Data!$O$4:$O$1216,Data!$E$4:$E$1216,"="&amp;$AF17,Data!$AQ$4:$AQ$1216,"="&amp;AM$1)/AC17,"-")</f>
        <v>24.84334005943041</v>
      </c>
      <c r="AP17">
        <f t="shared" si="19"/>
        <v>2006</v>
      </c>
      <c r="AQ17" s="5">
        <f ca="1">IF(W17&gt;0,SUMIFS(Data!$R$4:$R$1216,Data!$E$4:$E$1216,"="&amp;$AF17)/W17,"-")</f>
        <v>351571.44250195316</v>
      </c>
      <c r="AR17" s="5">
        <f ca="1">IF(X17&gt;0,SUMIFS(Data!$R$4:$R$1216,Data!$E$4:$E$1216,"="&amp;$AF17,Data!$AQ$4:$AQ$1216,"="&amp;AR$1)/X17,"-")</f>
        <v>1524550.5162750199</v>
      </c>
      <c r="AS17" s="5" t="str">
        <f>IF(Y17&gt;0,SUMIFS(Data!$R$4:$R$1216,Data!$E$4:$E$1216,"="&amp;$AF17,Data!$AQ$4:$AQ$1216,"="&amp;AS$1)/Y17,"-")</f>
        <v>-</v>
      </c>
      <c r="AT17" s="5">
        <f ca="1">IF(Z17&gt;0,SUMIFS(Data!$R$4:$R$1216,Data!$E$4:$E$1216,"="&amp;$AF17,Data!$AQ$4:$AQ$1216,"="&amp;AT$1)/Z17,"-")</f>
        <v>86294.729481143688</v>
      </c>
      <c r="AU17" s="5" t="str">
        <f>IF(AA17&gt;0,SUMIFS(Data!$R$4:$R$1216,Data!$E$4:$E$1216,"="&amp;$AF17,Data!$AQ$4:$AQ$1216,"="&amp;AU$1)/AA17,"-")</f>
        <v>-</v>
      </c>
      <c r="AV17" s="5">
        <f ca="1">IF(AB17&gt;0,SUMIFS(Data!$R$4:$R$1216,Data!$E$4:$E$1216,"="&amp;$AF17,Data!$AQ$4:$AQ$1216,"="&amp;AV$1)/AB17,"-")</f>
        <v>3365.3684182401753</v>
      </c>
      <c r="AW17" s="5">
        <f ca="1">IF(AC17&gt;0,SUMIFS(Data!$R$4:$R$1216,Data!$E$4:$E$1216,"="&amp;$AF17,Data!$AQ$4:$AQ$1216,"="&amp;AW$1)/AC17,"-")</f>
        <v>3090.672162109212</v>
      </c>
      <c r="AZ17">
        <f t="shared" si="20"/>
        <v>2006</v>
      </c>
      <c r="BA17" s="1">
        <f t="shared" ca="1" si="21"/>
        <v>66.545550475691584</v>
      </c>
      <c r="BB17" s="1">
        <f t="shared" ca="1" si="22"/>
        <v>279.85595601174111</v>
      </c>
      <c r="BC17" s="1" t="str">
        <f t="shared" si="23"/>
        <v>-</v>
      </c>
      <c r="BD17" s="1">
        <f t="shared" ca="1" si="24"/>
        <v>63.834437024500829</v>
      </c>
      <c r="BE17" s="1" t="str">
        <f t="shared" si="25"/>
        <v>-</v>
      </c>
      <c r="BF17" s="1">
        <f t="shared" ca="1" si="26"/>
        <v>8.8435140903386991</v>
      </c>
      <c r="BG17" s="1">
        <f t="shared" ca="1" si="27"/>
        <v>11.120882646626372</v>
      </c>
      <c r="BJ17">
        <v>2006</v>
      </c>
      <c r="BK17" s="5">
        <f>SUMPRODUCT(Data!$N$4:$N$1216,Data!BV$4:BV$1216)</f>
        <v>6</v>
      </c>
      <c r="BL17">
        <f ca="1">SUMPRODUCT(Data!$N$4:$N$1216,Data!$O$4:$O$1216,Data!BV$4:BV$1216)/$BK17</f>
        <v>119.68346642148315</v>
      </c>
      <c r="BM17">
        <f t="shared" ca="1" si="28"/>
        <v>71.213682965642178</v>
      </c>
      <c r="BN17">
        <f ca="1">SUMPRODUCT(Data!$N$4:$N$1216,Data!$R$4:$R$1216,Data!BV$4:BV$1216)/$BK17</f>
        <v>44752.463983848254</v>
      </c>
      <c r="BO17" s="5">
        <f t="shared" si="30"/>
        <v>51.999999999999986</v>
      </c>
      <c r="BP17">
        <f t="shared" ca="1" si="31"/>
        <v>227.14962512491576</v>
      </c>
      <c r="BQ17">
        <f t="shared" ca="1" si="32"/>
        <v>81.62174280097851</v>
      </c>
      <c r="BR17">
        <f t="shared" ca="1" si="33"/>
        <v>398026.61488358222</v>
      </c>
      <c r="BU17" s="36" t="s">
        <v>245</v>
      </c>
      <c r="BV17" s="36">
        <v>6409.9598268772497</v>
      </c>
      <c r="BW17" s="36">
        <v>9825.5509835562589</v>
      </c>
      <c r="BX17" s="36">
        <v>0.65237662881244651</v>
      </c>
      <c r="BY17" s="36">
        <v>0.52062562039866533</v>
      </c>
      <c r="BZ17" s="36">
        <v>-13915.74099181678</v>
      </c>
      <c r="CA17" s="36">
        <v>26735.660645571279</v>
      </c>
      <c r="CB17" s="36">
        <v>-13915.74099181678</v>
      </c>
      <c r="CC17" s="36">
        <v>26735.660645571279</v>
      </c>
      <c r="CE17">
        <f t="shared" si="37"/>
        <v>2007</v>
      </c>
      <c r="CF17" s="7">
        <f t="shared" si="38"/>
        <v>0</v>
      </c>
      <c r="CH17" s="36" t="s">
        <v>245</v>
      </c>
      <c r="CI17" s="36">
        <v>0.45505766708415618</v>
      </c>
      <c r="CJ17" s="36">
        <v>35.782356975700218</v>
      </c>
      <c r="CK17" s="36">
        <v>1.2717375420327555E-2</v>
      </c>
      <c r="CL17" s="36">
        <v>0.98996790015936842</v>
      </c>
      <c r="CM17" s="36">
        <v>-73.75300877094827</v>
      </c>
      <c r="CN17" s="36">
        <v>74.663124105116594</v>
      </c>
      <c r="CO17" s="36">
        <v>-73.75300877094827</v>
      </c>
      <c r="CP17" s="36">
        <v>74.663124105116594</v>
      </c>
    </row>
    <row r="18" spans="1:94" ht="13.5" thickBot="1" x14ac:dyDescent="0.25">
      <c r="A18">
        <f t="shared" si="29"/>
        <v>1998</v>
      </c>
      <c r="B18">
        <f>COUNTIF(Data!D$4:D$1216,"="&amp;A18)</f>
        <v>0</v>
      </c>
      <c r="C18">
        <f>COUNTIF(Data!E$4:E$1216,"="&amp;A18)</f>
        <v>0</v>
      </c>
      <c r="H18" s="5"/>
      <c r="I18" s="5"/>
      <c r="J18" s="5">
        <f ca="1">J17</f>
        <v>4.6761289196729845E-2</v>
      </c>
      <c r="K18" s="5">
        <f ca="1">K17</f>
        <v>0.54068731338998477</v>
      </c>
      <c r="L18" s="5">
        <f ca="1">L17</f>
        <v>28.394272714827164</v>
      </c>
      <c r="M18" s="5">
        <f ca="1">M17</f>
        <v>197.31888837074524</v>
      </c>
      <c r="N18" s="5">
        <f ca="1">N17</f>
        <v>1363.2480448610816</v>
      </c>
      <c r="O18" s="7">
        <f t="shared" ref="O18:T18" si="42">O17</f>
        <v>1.2026143790849673</v>
      </c>
      <c r="P18" s="7">
        <f t="shared" si="42"/>
        <v>-0.39999999999999858</v>
      </c>
      <c r="Q18" s="7">
        <f t="shared" si="42"/>
        <v>0</v>
      </c>
      <c r="R18" s="7">
        <f t="shared" si="42"/>
        <v>0</v>
      </c>
      <c r="S18" s="7">
        <f t="shared" si="42"/>
        <v>3</v>
      </c>
      <c r="T18" s="7">
        <f t="shared" si="42"/>
        <v>4</v>
      </c>
      <c r="V18">
        <v>2007</v>
      </c>
      <c r="W18">
        <f t="shared" si="34"/>
        <v>2</v>
      </c>
      <c r="X18">
        <f>COUNTIFS(Data!$E$4:$E$1216,"="&amp;$A27,Data!$AQ$4:$AQ$1216,"="&amp;X$1)</f>
        <v>2</v>
      </c>
      <c r="Y18">
        <f>COUNTIFS(Data!$E$4:$E$1216,"="&amp;$A27,Data!$AQ$4:$AQ$1216,"="&amp;Y$1)</f>
        <v>0</v>
      </c>
      <c r="Z18">
        <f>COUNTIFS(Data!$E$4:$E$1216,"="&amp;$A27,Data!$AQ$4:$AQ$1216,"="&amp;Z$1)</f>
        <v>0</v>
      </c>
      <c r="AA18">
        <f>COUNTIFS(Data!$E$4:$E$1216,"="&amp;$A27,Data!$AQ$4:$AQ$1216,"="&amp;AA$1)</f>
        <v>0</v>
      </c>
      <c r="AB18">
        <f>COUNTIFS(Data!$E$4:$E$1216,"="&amp;$A27,Data!$AQ$4:$AQ$1216,"="&amp;AB$1)</f>
        <v>0</v>
      </c>
      <c r="AC18">
        <f>COUNTIFS(Data!$E$4:$E$1216,"="&amp;$A27,Data!$AQ$4:$AQ$1216,"="&amp;AC$1)</f>
        <v>0</v>
      </c>
      <c r="AD18" s="7">
        <f t="shared" si="41"/>
        <v>0</v>
      </c>
      <c r="AF18">
        <f t="shared" si="18"/>
        <v>2007</v>
      </c>
      <c r="AG18" s="5">
        <f ca="1">IF(W18&gt;0,SUMIFS(Data!$O$4:$O$1216,Data!$E$4:$E$1216,"="&amp;$AF18)/W18,"-")</f>
        <v>148.36281621930772</v>
      </c>
      <c r="AH18" s="5">
        <f ca="1">IF(X18&gt;0,SUMIFS(Data!$O$4:$O$1216,Data!$E$4:$E$1216,"="&amp;$AF18,Data!$AQ$4:$AQ$1216,"="&amp;AH$1)/X18,"-")</f>
        <v>148.36281621930772</v>
      </c>
      <c r="AI18" s="5" t="str">
        <f>IF(Y18&gt;0,SUMIFS(Data!$O$4:$O$1216,Data!$E$4:$E$1216,"="&amp;$AF18,Data!$AQ$4:$AQ$1216,"="&amp;AI$1)/Y18,"-")</f>
        <v>-</v>
      </c>
      <c r="AJ18" s="5" t="str">
        <f>IF(Z18&gt;0,SUMIFS(Data!$O$4:$O$1216,Data!$E$4:$E$1216,"="&amp;$AF18,Data!$AQ$4:$AQ$1216,"="&amp;AJ$1)/Z18,"-")</f>
        <v>-</v>
      </c>
      <c r="AK18" s="5" t="str">
        <f>IF(AA18&gt;0,SUMIFS(Data!$O$4:$O$1216,Data!$E$4:$E$1216,"="&amp;$AF18,Data!$AQ$4:$AQ$1216,"="&amp;AK$1)/AA18,"-")</f>
        <v>-</v>
      </c>
      <c r="AL18" s="5" t="str">
        <f>IF(AB18&gt;0,SUMIFS(Data!$O$4:$O$1216,Data!$E$4:$E$1216,"="&amp;$AF18,Data!$AQ$4:$AQ$1216,"="&amp;AL$1)/AB18,"-")</f>
        <v>-</v>
      </c>
      <c r="AM18" s="5" t="str">
        <f>IF(AC18&gt;0,SUMIFS(Data!$O$4:$O$1216,Data!$E$4:$E$1216,"="&amp;$AF18,Data!$AQ$4:$AQ$1216,"="&amp;AM$1)/AC18,"-")</f>
        <v>-</v>
      </c>
      <c r="AP18">
        <f t="shared" si="19"/>
        <v>2007</v>
      </c>
      <c r="AQ18" s="5">
        <f ca="1">IF(W18&gt;0,SUMIFS(Data!$R$4:$R$1216,Data!$E$4:$E$1216,"="&amp;$AF18)/W18,"-")</f>
        <v>22193.438668230883</v>
      </c>
      <c r="AR18" s="5">
        <f ca="1">IF(X18&gt;0,SUMIFS(Data!$R$4:$R$1216,Data!$E$4:$E$1216,"="&amp;$AF18,Data!$AQ$4:$AQ$1216,"="&amp;AR$1)/X18,"-")</f>
        <v>22193.438668230883</v>
      </c>
      <c r="AS18" s="5" t="str">
        <f>IF(Y18&gt;0,SUMIFS(Data!$R$4:$R$1216,Data!$E$4:$E$1216,"="&amp;$AF18,Data!$AQ$4:$AQ$1216,"="&amp;AS$1)/Y18,"-")</f>
        <v>-</v>
      </c>
      <c r="AT18" s="5" t="str">
        <f>IF(Z18&gt;0,SUMIFS(Data!$R$4:$R$1216,Data!$E$4:$E$1216,"="&amp;$AF18,Data!$AQ$4:$AQ$1216,"="&amp;AT$1)/Z18,"-")</f>
        <v>-</v>
      </c>
      <c r="AU18" s="5" t="str">
        <f>IF(AA18&gt;0,SUMIFS(Data!$R$4:$R$1216,Data!$E$4:$E$1216,"="&amp;$AF18,Data!$AQ$4:$AQ$1216,"="&amp;AU$1)/AA18,"-")</f>
        <v>-</v>
      </c>
      <c r="AV18" s="5" t="str">
        <f>IF(AB18&gt;0,SUMIFS(Data!$R$4:$R$1216,Data!$E$4:$E$1216,"="&amp;$AF18,Data!$AQ$4:$AQ$1216,"="&amp;AV$1)/AB18,"-")</f>
        <v>-</v>
      </c>
      <c r="AW18" s="5" t="str">
        <f>IF(AC18&gt;0,SUMIFS(Data!$R$4:$R$1216,Data!$E$4:$E$1216,"="&amp;$AF18,Data!$AQ$4:$AQ$1216,"="&amp;AW$1)/AC18,"-")</f>
        <v>-</v>
      </c>
      <c r="AZ18">
        <f t="shared" si="20"/>
        <v>2007</v>
      </c>
      <c r="BA18" s="1">
        <f t="shared" ca="1" si="21"/>
        <v>9.5371230386004129</v>
      </c>
      <c r="BB18" s="1">
        <f t="shared" ca="1" si="22"/>
        <v>9.5371230386004129</v>
      </c>
      <c r="BC18" s="1" t="str">
        <f t="shared" si="23"/>
        <v>-</v>
      </c>
      <c r="BD18" s="1" t="str">
        <f t="shared" si="24"/>
        <v>-</v>
      </c>
      <c r="BE18" s="1" t="str">
        <f t="shared" si="25"/>
        <v>-</v>
      </c>
      <c r="BF18" s="1" t="str">
        <f t="shared" si="26"/>
        <v>-</v>
      </c>
      <c r="BG18" s="1" t="str">
        <f t="shared" si="27"/>
        <v>-</v>
      </c>
      <c r="BJ18">
        <v>2007</v>
      </c>
      <c r="BK18" s="5">
        <f>SUMPRODUCT(Data!$N$4:$N$1216,Data!BW$4:BW$1216)</f>
        <v>1</v>
      </c>
      <c r="BL18">
        <f ca="1">SUMPRODUCT(Data!$N$4:$N$1216,Data!$O$4:$O$1216,Data!BW$4:BW$1216)/$BK18</f>
        <v>148.36281621930772</v>
      </c>
      <c r="BM18">
        <f t="shared" ca="1" si="28"/>
        <v>13.487528747209607</v>
      </c>
      <c r="BN18">
        <f ca="1">SUMPRODUCT(Data!$N$4:$N$1216,Data!$R$4:$R$1216,Data!BW$4:BW$1216)/$BK18</f>
        <v>22193.438668230883</v>
      </c>
      <c r="BO18" s="5">
        <f t="shared" si="30"/>
        <v>52.999999999999986</v>
      </c>
      <c r="BP18">
        <f t="shared" ca="1" si="31"/>
        <v>225.66308156065898</v>
      </c>
      <c r="BQ18">
        <f t="shared" ca="1" si="32"/>
        <v>80.095649953731495</v>
      </c>
      <c r="BR18">
        <f t="shared" ca="1" si="33"/>
        <v>390935.422879519</v>
      </c>
      <c r="BU18" s="37" t="s">
        <v>258</v>
      </c>
      <c r="BV18" s="37">
        <v>-3.0949550777588666</v>
      </c>
      <c r="BW18" s="37">
        <v>4.9069434976142743</v>
      </c>
      <c r="BX18" s="37">
        <v>-0.63072971581262649</v>
      </c>
      <c r="BY18" s="37">
        <v>0.5344350332781943</v>
      </c>
      <c r="BZ18" s="37">
        <v>-13.245741087994903</v>
      </c>
      <c r="CA18" s="37">
        <v>7.0558309324771695</v>
      </c>
      <c r="CB18" s="37">
        <v>-13.245741087994903</v>
      </c>
      <c r="CC18" s="37">
        <v>7.0558309324771695</v>
      </c>
      <c r="CE18">
        <f t="shared" si="37"/>
        <v>2008</v>
      </c>
      <c r="CF18" s="7">
        <f t="shared" si="38"/>
        <v>1.8947368421052631</v>
      </c>
      <c r="CH18" s="37" t="s">
        <v>258</v>
      </c>
      <c r="CI18" s="37">
        <v>4.996308738387553E-4</v>
      </c>
      <c r="CJ18" s="37">
        <v>1.7869056422532496E-2</v>
      </c>
      <c r="CK18" s="37">
        <v>2.7960674700692731E-2</v>
      </c>
      <c r="CL18" s="37">
        <v>0.97794560837535649</v>
      </c>
      <c r="CM18" s="37">
        <v>-3.6558523989708852E-2</v>
      </c>
      <c r="CN18" s="37">
        <v>3.7557785737386357E-2</v>
      </c>
      <c r="CO18" s="37">
        <v>-3.6558523989708852E-2</v>
      </c>
      <c r="CP18" s="37">
        <v>3.7557785737386357E-2</v>
      </c>
    </row>
    <row r="19" spans="1:94" x14ac:dyDescent="0.2">
      <c r="A19">
        <f t="shared" si="29"/>
        <v>1999</v>
      </c>
      <c r="B19">
        <f>COUNTIF(Data!D$4:D$1216,"="&amp;A19)</f>
        <v>3</v>
      </c>
      <c r="C19">
        <f>COUNTIF(Data!E$4:E$1216,"="&amp;A19)</f>
        <v>35</v>
      </c>
      <c r="D19">
        <f t="shared" si="35"/>
        <v>11.666666666666666</v>
      </c>
      <c r="E19" s="5">
        <f ca="1">SUMIF(Data!$E$4:$E$1216,"="&amp;A19,Data!O$4:O$1216)/C19</f>
        <v>176.54846305695199</v>
      </c>
      <c r="F19" s="5">
        <f ca="1">SUMIF(Data!$E$4:$E$1216,"="&amp;$A19,Data!R$4:R$1216)/$C19</f>
        <v>61213.664991950667</v>
      </c>
      <c r="G19" s="5">
        <f t="shared" ref="G19:G35" ca="1" si="43">SQRT(F19-E19*E19)</f>
        <v>173.33293162056287</v>
      </c>
      <c r="H19" s="5">
        <f t="shared" ca="1" si="39"/>
        <v>3.2155314363891137</v>
      </c>
      <c r="I19" s="5">
        <f t="shared" ca="1" si="40"/>
        <v>349.88139467751489</v>
      </c>
      <c r="J19" s="5">
        <f ca="1">SUMIF(Sheet1!$F$2:$F$1143,"="&amp;$A19,Sheet1!H$2:H$1143)</f>
        <v>4.7355712364484874E-2</v>
      </c>
      <c r="K19" s="5">
        <f ca="1">SUMIF(Sheet1!$F$2:$F$1143,"="&amp;$A19,Sheet1!I$2:I$1143)</f>
        <v>0.57480720321912437</v>
      </c>
      <c r="L19" s="5">
        <f ca="1">SUMIF(Sheet1!$F$2:$F$1143,"="&amp;$A19,Sheet1!J$2:J$1143)</f>
        <v>28.394272714827164</v>
      </c>
      <c r="M19" s="5">
        <f ca="1">SUMIF(Sheet1!$F$2:$F$1143,"="&amp;$A19,Sheet1!K$2:K$1143)</f>
        <v>186.16901967856262</v>
      </c>
      <c r="N19" s="5">
        <f ca="1">SUMIF(Sheet1!$F$2:$F$1143,"="&amp;$A19,Sheet1!L$2:L$1143)</f>
        <v>1337.5426973346205</v>
      </c>
      <c r="O19" s="7">
        <f>SUMIF(Sheet1!$F$2:$F$1143,"="&amp;$A19,Sheet1!M$2:M$1143)</f>
        <v>1.2258064516129032</v>
      </c>
      <c r="P19" s="7">
        <f>SUMIF(Sheet1!$F$2:$F$1143,"="&amp;$A19,Sheet1!N$2:N$1143)</f>
        <v>-0.30000000000000071</v>
      </c>
      <c r="Q19" s="7">
        <f>SUMIF(Sheet1!$F$2:$F$1143,"="&amp;$A19,Sheet1!O$2:O$1143)</f>
        <v>0</v>
      </c>
      <c r="R19" s="7">
        <f>SUMIF(Sheet1!$F$2:$F$1143,"="&amp;$A19,Sheet1!P$2:P$1143)</f>
        <v>0.1</v>
      </c>
      <c r="S19" s="7">
        <f>SUMIF(Sheet1!$F$2:$F$1143,"="&amp;$A19,Sheet1!Q$2:Q$1143)</f>
        <v>3</v>
      </c>
      <c r="T19" s="7">
        <f>SUMIF(Sheet1!$F$2:$F$1143,"="&amp;$A19,Sheet1!R$2:R$1143)</f>
        <v>4</v>
      </c>
      <c r="V19">
        <v>2008</v>
      </c>
      <c r="W19">
        <f t="shared" si="34"/>
        <v>19</v>
      </c>
      <c r="X19">
        <f>COUNTIFS(Data!$E$4:$E$1216,"="&amp;$A28,Data!$AQ$4:$AQ$1216,"="&amp;X$1)</f>
        <v>2</v>
      </c>
      <c r="Y19">
        <f>COUNTIFS(Data!$E$4:$E$1216,"="&amp;$A28,Data!$AQ$4:$AQ$1216,"="&amp;Y$1)</f>
        <v>0</v>
      </c>
      <c r="Z19">
        <f>COUNTIFS(Data!$E$4:$E$1216,"="&amp;$A28,Data!$AQ$4:$AQ$1216,"="&amp;Z$1)</f>
        <v>6</v>
      </c>
      <c r="AA19">
        <f>COUNTIFS(Data!$E$4:$E$1216,"="&amp;$A28,Data!$AQ$4:$AQ$1216,"="&amp;AA$1)</f>
        <v>0</v>
      </c>
      <c r="AB19">
        <f>COUNTIFS(Data!$E$4:$E$1216,"="&amp;$A28,Data!$AQ$4:$AQ$1216,"="&amp;AB$1)</f>
        <v>3</v>
      </c>
      <c r="AC19">
        <f>COUNTIFS(Data!$E$4:$E$1216,"="&amp;$A28,Data!$AQ$4:$AQ$1216,"="&amp;AC$1)</f>
        <v>8</v>
      </c>
      <c r="AD19" s="7">
        <f t="shared" si="41"/>
        <v>1.8947368421052631</v>
      </c>
      <c r="AF19">
        <f t="shared" si="18"/>
        <v>2008</v>
      </c>
      <c r="AG19" s="5">
        <f ca="1">IF(W19&gt;0,SUMIFS(Data!$O$4:$O$1216,Data!$E$4:$E$1216,"="&amp;$AF19)/W19,"-")</f>
        <v>148.15911504906512</v>
      </c>
      <c r="AH19" s="5">
        <f ca="1">IF(X19&gt;0,SUMIFS(Data!$O$4:$O$1216,Data!$E$4:$E$1216,"="&amp;$AF19,Data!$AQ$4:$AQ$1216,"="&amp;AH$1)/X19,"-")</f>
        <v>152.93924479722045</v>
      </c>
      <c r="AI19" s="5" t="str">
        <f>IF(Y19&gt;0,SUMIFS(Data!$O$4:$O$1216,Data!$E$4:$E$1216,"="&amp;$AF19,Data!$AQ$4:$AQ$1216,"="&amp;AI$1)/Y19,"-")</f>
        <v>-</v>
      </c>
      <c r="AJ19" s="5">
        <f ca="1">IF(Z19&gt;0,SUMIFS(Data!$O$4:$O$1216,Data!$E$4:$E$1216,"="&amp;$AF19,Data!$AQ$4:$AQ$1216,"="&amp;AJ$1)/Z19,"-")</f>
        <v>316.34385607092054</v>
      </c>
      <c r="AK19" s="5" t="str">
        <f>IF(AA19&gt;0,SUMIFS(Data!$O$4:$O$1216,Data!$E$4:$E$1216,"="&amp;$AF19,Data!$AQ$4:$AQ$1216,"="&amp;AK$1)/AA19,"-")</f>
        <v>-</v>
      </c>
      <c r="AL19" s="5">
        <f ca="1">IF(AB19&gt;0,SUMIFS(Data!$O$4:$O$1216,Data!$E$4:$E$1216,"="&amp;$AF19,Data!$AQ$4:$AQ$1216,"="&amp;AL$1)/AB19,"-")</f>
        <v>141.7416657434047</v>
      </c>
      <c r="AM19" s="5">
        <f ca="1">IF(AC19&gt;0,SUMIFS(Data!$O$4:$O$1216,Data!$E$4:$E$1216,"="&amp;$AF19,Data!$AQ$4:$AQ$1216,"="&amp;AM$1)/AC19,"-")</f>
        <v>23.23207033525744</v>
      </c>
      <c r="AP19">
        <f t="shared" si="19"/>
        <v>2008</v>
      </c>
      <c r="AQ19" s="5">
        <f ca="1">IF(W19&gt;0,SUMIFS(Data!$R$4:$R$1216,Data!$E$4:$E$1216,"="&amp;$AF19)/W19,"-")</f>
        <v>91934.350724109478</v>
      </c>
      <c r="AR19" s="5">
        <f ca="1">IF(X19&gt;0,SUMIFS(Data!$R$4:$R$1216,Data!$E$4:$E$1216,"="&amp;$AF19,Data!$AQ$4:$AQ$1216,"="&amp;AR$1)/X19,"-")</f>
        <v>37623.00613290818</v>
      </c>
      <c r="AS19" s="5" t="str">
        <f>IF(Y19&gt;0,SUMIFS(Data!$R$4:$R$1216,Data!$E$4:$E$1216,"="&amp;$AF19,Data!$AQ$4:$AQ$1216,"="&amp;AS$1)/Y19,"-")</f>
        <v>-</v>
      </c>
      <c r="AT19" s="5">
        <f ca="1">IF(Z19&gt;0,SUMIFS(Data!$R$4:$R$1216,Data!$E$4:$E$1216,"="&amp;$AF19,Data!$AQ$4:$AQ$1216,"="&amp;AT$1)/Z19,"-")</f>
        <v>261480.50249854862</v>
      </c>
      <c r="AU19" s="5" t="str">
        <f>IF(AA19&gt;0,SUMIFS(Data!$R$4:$R$1216,Data!$E$4:$E$1216,"="&amp;$AF19,Data!$AQ$4:$AQ$1216,"="&amp;AU$1)/AA19,"-")</f>
        <v>-</v>
      </c>
      <c r="AV19" s="5">
        <f ca="1">IF(AB19&gt;0,SUMIFS(Data!$R$4:$R$1216,Data!$E$4:$E$1216,"="&amp;$AF19,Data!$AQ$4:$AQ$1216,"="&amp;AV$1)/AB19,"-")</f>
        <v>32670.810421140224</v>
      </c>
      <c r="AW19" s="5">
        <f ca="1">IF(AC19&gt;0,SUMIFS(Data!$R$4:$R$1216,Data!$E$4:$E$1216,"="&amp;$AF19,Data!$AQ$4:$AQ$1216,"="&amp;AW$1)/AC19,"-")</f>
        <v>576.40065469389833</v>
      </c>
      <c r="AZ19">
        <f t="shared" si="20"/>
        <v>2008</v>
      </c>
      <c r="BA19" s="1">
        <f t="shared" ca="1" si="21"/>
        <v>60.690425565881107</v>
      </c>
      <c r="BB19" s="1">
        <f t="shared" ca="1" si="22"/>
        <v>84.358145824111304</v>
      </c>
      <c r="BC19" s="1" t="str">
        <f t="shared" si="23"/>
        <v>-</v>
      </c>
      <c r="BD19" s="1">
        <f t="shared" ca="1" si="24"/>
        <v>164.01578543173287</v>
      </c>
      <c r="BE19" s="1" t="str">
        <f t="shared" si="25"/>
        <v>-</v>
      </c>
      <c r="BF19" s="1">
        <f t="shared" ca="1" si="26"/>
        <v>64.756236799825345</v>
      </c>
      <c r="BG19" s="1">
        <f t="shared" ca="1" si="27"/>
        <v>2.1410150230541816</v>
      </c>
      <c r="BJ19">
        <v>2008</v>
      </c>
      <c r="BK19" s="5">
        <f>SUMPRODUCT(Data!$N$4:$N$1216,Data!BX$4:BX$1216)</f>
        <v>3.0000000000000004</v>
      </c>
      <c r="BL19">
        <f ca="1">SUMPRODUCT(Data!$N$4:$N$1216,Data!$O$4:$O$1216,Data!BX$4:BX$1216)/$BK19</f>
        <v>96.441361768841432</v>
      </c>
      <c r="BM19">
        <f t="shared" ca="1" si="28"/>
        <v>125.18267356543871</v>
      </c>
      <c r="BN19">
        <f ca="1">SUMPRODUCT(Data!$N$4:$N$1216,Data!$R$4:$R$1216,Data!BX$4:BX$1216)/$BK19</f>
        <v>56313.041542802115</v>
      </c>
      <c r="BO19" s="5">
        <f t="shared" si="30"/>
        <v>55.999999999999986</v>
      </c>
      <c r="BP19">
        <f t="shared" ca="1" si="31"/>
        <v>218.74048942895445</v>
      </c>
      <c r="BQ19">
        <f t="shared" ca="1" si="32"/>
        <v>76.200138517370277</v>
      </c>
      <c r="BR19">
        <f t="shared" ca="1" si="33"/>
        <v>373009.22387933772</v>
      </c>
      <c r="CE19">
        <f t="shared" si="37"/>
        <v>2009</v>
      </c>
      <c r="CF19" s="7">
        <f t="shared" si="38"/>
        <v>1.3333333333333333</v>
      </c>
    </row>
    <row r="20" spans="1:94" x14ac:dyDescent="0.2">
      <c r="A20">
        <f t="shared" si="29"/>
        <v>2000</v>
      </c>
      <c r="B20">
        <f>COUNTIF(Data!D$4:D$1216,"="&amp;A20)</f>
        <v>1</v>
      </c>
      <c r="C20">
        <f>COUNTIF(Data!E$4:E$1216,"="&amp;A20)</f>
        <v>1</v>
      </c>
      <c r="D20">
        <f t="shared" si="35"/>
        <v>1</v>
      </c>
      <c r="E20" s="5">
        <f ca="1">SUMIF(Data!$E$4:$E$1216,"="&amp;A20,Data!O$4:O$1216)/C20</f>
        <v>12.328877586942637</v>
      </c>
      <c r="F20" s="5">
        <f ca="1">SUMIF(Data!$E$4:$E$1216,"="&amp;$A20,Data!R$4:R$1216)/$C20</f>
        <v>152.00122255381649</v>
      </c>
      <c r="G20" s="5">
        <f t="shared" ca="1" si="43"/>
        <v>0</v>
      </c>
      <c r="H20" s="5">
        <f t="shared" ca="1" si="39"/>
        <v>12.328877586942637</v>
      </c>
      <c r="I20" s="5">
        <f t="shared" ca="1" si="40"/>
        <v>12.328877586942637</v>
      </c>
      <c r="J20" s="5">
        <f ca="1">SUMIF(Sheet1!$F$2:$F$1143,"="&amp;$A20,Sheet1!H$2:H$1143)</f>
        <v>4.7553853420403226E-2</v>
      </c>
      <c r="K20" s="5">
        <f ca="1">SUMIF(Sheet1!$F$2:$F$1143,"="&amp;$A20,Sheet1!I$2:I$1143)</f>
        <v>1.1108580159006192</v>
      </c>
      <c r="L20" s="5">
        <f ca="1">SUMIF(Sheet1!$F$2:$F$1143,"="&amp;$A20,Sheet1!J$2:J$1143)</f>
        <v>29.827011246309265</v>
      </c>
      <c r="M20" s="5">
        <f ca="1">SUMIF(Sheet1!$F$2:$F$1143,"="&amp;$A20,Sheet1!K$2:K$1143)</f>
        <v>282.69053499300935</v>
      </c>
      <c r="N20" s="5">
        <f ca="1">SUMIF(Sheet1!$F$2:$F$1143,"="&amp;$A20,Sheet1!L$2:L$1143)</f>
        <v>1313.9490190813458</v>
      </c>
      <c r="O20" s="7">
        <f>SUMIF(Sheet1!$F$2:$F$1143,"="&amp;$A20,Sheet1!M$2:M$1143)</f>
        <v>1.3</v>
      </c>
      <c r="P20" s="7">
        <f>SUMIF(Sheet1!$F$2:$F$1143,"="&amp;$A20,Sheet1!N$2:N$1143)</f>
        <v>-2</v>
      </c>
      <c r="Q20" s="7">
        <f>SUMIF(Sheet1!$F$2:$F$1143,"="&amp;$A20,Sheet1!O$2:O$1143)</f>
        <v>0</v>
      </c>
      <c r="R20" s="7">
        <f>SUMIF(Sheet1!$F$2:$F$1143,"="&amp;$A20,Sheet1!P$2:P$1143)</f>
        <v>0.55000000000000004</v>
      </c>
      <c r="S20" s="7">
        <f>SUMIF(Sheet1!$F$2:$F$1143,"="&amp;$A20,Sheet1!Q$2:Q$1143)</f>
        <v>3</v>
      </c>
      <c r="T20" s="7">
        <f>SUMIF(Sheet1!$F$2:$F$1143,"="&amp;$A20,Sheet1!R$2:R$1143)</f>
        <v>8</v>
      </c>
      <c r="V20">
        <v>2009</v>
      </c>
      <c r="W20">
        <f t="shared" si="34"/>
        <v>57</v>
      </c>
      <c r="X20">
        <f>COUNTIFS(Data!$E$4:$E$1216,"="&amp;$A29,Data!$AQ$4:$AQ$1216,"="&amp;X$1)</f>
        <v>12</v>
      </c>
      <c r="Y20">
        <f>COUNTIFS(Data!$E$4:$E$1216,"="&amp;$A29,Data!$AQ$4:$AQ$1216,"="&amp;Y$1)</f>
        <v>0</v>
      </c>
      <c r="Z20">
        <f>COUNTIFS(Data!$E$4:$E$1216,"="&amp;$A29,Data!$AQ$4:$AQ$1216,"="&amp;Z$1)</f>
        <v>12</v>
      </c>
      <c r="AA20">
        <f>COUNTIFS(Data!$E$4:$E$1216,"="&amp;$A29,Data!$AQ$4:$AQ$1216,"="&amp;AA$1)</f>
        <v>0</v>
      </c>
      <c r="AB20">
        <f>COUNTIFS(Data!$E$4:$E$1216,"="&amp;$A29,Data!$AQ$4:$AQ$1216,"="&amp;AB$1)</f>
        <v>0</v>
      </c>
      <c r="AC20">
        <f>COUNTIFS(Data!$E$4:$E$1216,"="&amp;$A29,Data!$AQ$4:$AQ$1216,"="&amp;AC$1)</f>
        <v>12</v>
      </c>
      <c r="AD20" s="7">
        <f t="shared" si="41"/>
        <v>1.3333333333333333</v>
      </c>
      <c r="AF20">
        <f t="shared" si="18"/>
        <v>2009</v>
      </c>
      <c r="AG20" s="5">
        <f ca="1">IF(W20&gt;0,SUMIFS(Data!$O$4:$O$1216,Data!$E$4:$E$1216,"="&amp;$AF20)/W20,"-")</f>
        <v>55.924155754216251</v>
      </c>
      <c r="AH20" s="5">
        <f ca="1">IF(X20&gt;0,SUMIFS(Data!$O$4:$O$1216,Data!$E$4:$E$1216,"="&amp;$AF20,Data!$AQ$4:$AQ$1216,"="&amp;AH$1)/X20,"-")</f>
        <v>87.711517748050312</v>
      </c>
      <c r="AI20" s="5" t="str">
        <f>IF(Y20&gt;0,SUMIFS(Data!$O$4:$O$1216,Data!$E$4:$E$1216,"="&amp;$AF20,Data!$AQ$4:$AQ$1216,"="&amp;AI$1)/Y20,"-")</f>
        <v>-</v>
      </c>
      <c r="AJ20" s="5">
        <f ca="1">IF(Z20&gt;0,SUMIFS(Data!$O$4:$O$1216,Data!$E$4:$E$1216,"="&amp;$AF20,Data!$AQ$4:$AQ$1216,"="&amp;AJ$1)/Z20,"-")</f>
        <v>14.998894190242348</v>
      </c>
      <c r="AK20" s="5" t="str">
        <f>IF(AA20&gt;0,SUMIFS(Data!$O$4:$O$1216,Data!$E$4:$E$1216,"="&amp;$AF20,Data!$AQ$4:$AQ$1216,"="&amp;AK$1)/AA20,"-")</f>
        <v>-</v>
      </c>
      <c r="AL20" s="5" t="str">
        <f>IF(AB20&gt;0,SUMIFS(Data!$O$4:$O$1216,Data!$E$4:$E$1216,"="&amp;$AF20,Data!$AQ$4:$AQ$1216,"="&amp;AL$1)/AB20,"-")</f>
        <v>-</v>
      </c>
      <c r="AM20" s="5">
        <f ca="1">IF(AC20&gt;0,SUMIFS(Data!$O$4:$O$1216,Data!$E$4:$E$1216,"="&amp;$AF20,Data!$AQ$4:$AQ$1216,"="&amp;AM$1)/AC20,"-")</f>
        <v>-5.2722625708076816</v>
      </c>
      <c r="AP20">
        <f t="shared" si="19"/>
        <v>2009</v>
      </c>
      <c r="AQ20" s="5">
        <f ca="1">IF(W20&gt;0,SUMIFS(Data!$R$4:$R$1216,Data!$E$4:$E$1216,"="&amp;$AF20)/W20,"-")</f>
        <v>9630.9548762988652</v>
      </c>
      <c r="AR20" s="5">
        <f ca="1">IF(X20&gt;0,SUMIFS(Data!$R$4:$R$1216,Data!$E$4:$E$1216,"="&amp;$AF20,Data!$AQ$4:$AQ$1216,"="&amp;AR$1)/X20,"-")</f>
        <v>10308.85931345893</v>
      </c>
      <c r="AS20" s="5" t="str">
        <f>IF(Y20&gt;0,SUMIFS(Data!$R$4:$R$1216,Data!$E$4:$E$1216,"="&amp;$AF20,Data!$AQ$4:$AQ$1216,"="&amp;AS$1)/Y20,"-")</f>
        <v>-</v>
      </c>
      <c r="AT20" s="5">
        <f ca="1">IF(Z20&gt;0,SUMIFS(Data!$R$4:$R$1216,Data!$E$4:$E$1216,"="&amp;$AF20,Data!$AQ$4:$AQ$1216,"="&amp;AT$1)/Z20,"-")</f>
        <v>381.53577038863165</v>
      </c>
      <c r="AU20" s="5" t="str">
        <f>IF(AA20&gt;0,SUMIFS(Data!$R$4:$R$1216,Data!$E$4:$E$1216,"="&amp;$AF20,Data!$AQ$4:$AQ$1216,"="&amp;AU$1)/AA20,"-")</f>
        <v>-</v>
      </c>
      <c r="AV20" s="5" t="str">
        <f>IF(AB20&gt;0,SUMIFS(Data!$R$4:$R$1216,Data!$E$4:$E$1216,"="&amp;$AF20,Data!$AQ$4:$AQ$1216,"="&amp;AV$1)/AB20,"-")</f>
        <v>-</v>
      </c>
      <c r="AW20" s="5">
        <f ca="1">IF(AC20&gt;0,SUMIFS(Data!$R$4:$R$1216,Data!$E$4:$E$1216,"="&amp;$AF20,Data!$AQ$4:$AQ$1216,"="&amp;AW$1)/AC20,"-")</f>
        <v>32.257703938204884</v>
      </c>
      <c r="AZ20">
        <f t="shared" si="20"/>
        <v>2009</v>
      </c>
      <c r="BA20" s="1">
        <f t="shared" ca="1" si="21"/>
        <v>10.68154966045282</v>
      </c>
      <c r="BB20" s="1">
        <f t="shared" ca="1" si="22"/>
        <v>14.763550182212231</v>
      </c>
      <c r="BC20" s="1" t="str">
        <f t="shared" si="23"/>
        <v>-</v>
      </c>
      <c r="BD20" s="1">
        <f t="shared" ca="1" si="24"/>
        <v>3.6121201467945157</v>
      </c>
      <c r="BE20" s="1" t="str">
        <f t="shared" si="25"/>
        <v>-</v>
      </c>
      <c r="BF20" s="1" t="str">
        <f t="shared" si="26"/>
        <v>-</v>
      </c>
      <c r="BG20" s="1">
        <f t="shared" ca="1" si="27"/>
        <v>0.60970972073228291</v>
      </c>
      <c r="BJ20">
        <v>2009</v>
      </c>
      <c r="BK20" s="5">
        <f>SUMPRODUCT(Data!$N$4:$N$1216,Data!BY$4:BY$1216)</f>
        <v>4.9999999999999991</v>
      </c>
      <c r="BL20">
        <f ca="1">SUMPRODUCT(Data!$N$4:$N$1216,Data!$O$4:$O$1216,Data!BY$4:BY$1216)/$BK20</f>
        <v>58.465587971277081</v>
      </c>
      <c r="BM20">
        <f t="shared" ca="1" si="28"/>
        <v>34.519059288731157</v>
      </c>
      <c r="BN20">
        <f ca="1">SUMPRODUCT(Data!$N$4:$N$1216,Data!$R$4:$R$1216,Data!BY$4:BY$1216)/$BK20</f>
        <v>9376.0522477218237</v>
      </c>
      <c r="BO20" s="5">
        <f t="shared" si="30"/>
        <v>60.999999999999986</v>
      </c>
      <c r="BP20">
        <f t="shared" ca="1" si="31"/>
        <v>205.60320242422679</v>
      </c>
      <c r="BQ20">
        <f t="shared" ca="1" si="32"/>
        <v>70.237366795641861</v>
      </c>
      <c r="BR20">
        <f t="shared" ca="1" si="33"/>
        <v>343203.22620461509</v>
      </c>
      <c r="CE20">
        <f t="shared" si="37"/>
        <v>2010</v>
      </c>
      <c r="CF20" s="7">
        <f t="shared" si="38"/>
        <v>1.3333333333333333</v>
      </c>
    </row>
    <row r="21" spans="1:94" x14ac:dyDescent="0.2">
      <c r="A21">
        <f t="shared" si="29"/>
        <v>2001</v>
      </c>
      <c r="B21">
        <f>COUNTIF(Data!D$4:D$1216,"="&amp;A21)</f>
        <v>1</v>
      </c>
      <c r="C21">
        <f>COUNTIF(Data!E$4:E$1216,"="&amp;A21)</f>
        <v>4</v>
      </c>
      <c r="D21">
        <f t="shared" ref="D21" si="44">C21/B21</f>
        <v>4</v>
      </c>
      <c r="E21" s="5">
        <f ca="1">SUMIF(Data!$E$4:$E$1216,"="&amp;A21,Data!O$4:O$1216)/C21</f>
        <v>36.066004993376836</v>
      </c>
      <c r="F21" s="5">
        <f ca="1">SUMIF(Data!$E$4:$E$1216,"="&amp;$A21,Data!R$4:R$1216)/$C21</f>
        <v>2261.8724603058654</v>
      </c>
      <c r="G21" s="5">
        <f t="shared" ca="1" si="43"/>
        <v>31.001866784495132</v>
      </c>
      <c r="H21" s="5">
        <f t="shared" ca="1" si="39"/>
        <v>5.0641382088817046</v>
      </c>
      <c r="I21" s="5">
        <f t="shared" ca="1" si="40"/>
        <v>67.067871777871972</v>
      </c>
      <c r="J21" s="5">
        <f ca="1">SUMIF(Sheet1!$F$2:$F$1143,"="&amp;$A21,Sheet1!H$2:H$1143)</f>
        <v>4.7553853420403226E-2</v>
      </c>
      <c r="K21" s="5">
        <f ca="1">SUMIF(Sheet1!$F$2:$F$1143,"="&amp;$A21,Sheet1!I$2:I$1143)</f>
        <v>1.1317817114055975</v>
      </c>
      <c r="L21" s="5">
        <f ca="1">SUMIF(Sheet1!$F$2:$F$1143,"="&amp;$A21,Sheet1!J$2:J$1143)</f>
        <v>29.761886767605532</v>
      </c>
      <c r="M21" s="5">
        <f ca="1">SUMIF(Sheet1!$F$2:$F$1143,"="&amp;$A21,Sheet1!K$2:K$1143)</f>
        <v>278.80118935435661</v>
      </c>
      <c r="N21" s="5">
        <f ca="1">SUMIF(Sheet1!$F$2:$F$1143,"="&amp;$A21,Sheet1!L$2:L$1143)</f>
        <v>1313.5071005790578</v>
      </c>
      <c r="O21" s="7">
        <f>SUMIF(Sheet1!$F$2:$F$1143,"="&amp;$A21,Sheet1!M$2:M$1143)</f>
        <v>1.3</v>
      </c>
      <c r="P21" s="7">
        <f>SUMIF(Sheet1!$F$2:$F$1143,"="&amp;$A21,Sheet1!N$2:N$1143)</f>
        <v>-2</v>
      </c>
      <c r="Q21" s="7">
        <f>SUMIF(Sheet1!$F$2:$F$1143,"="&amp;$A21,Sheet1!O$2:O$1143)</f>
        <v>0</v>
      </c>
      <c r="R21" s="7">
        <f>SUMIF(Sheet1!$F$2:$F$1143,"="&amp;$A21,Sheet1!P$2:P$1143)</f>
        <v>0.55000000000000004</v>
      </c>
      <c r="S21" s="7">
        <f>SUMIF(Sheet1!$F$2:$F$1143,"="&amp;$A21,Sheet1!Q$2:Q$1143)</f>
        <v>3</v>
      </c>
      <c r="T21" s="7">
        <f>SUMIF(Sheet1!$F$2:$F$1143,"="&amp;$A21,Sheet1!R$2:R$1143)</f>
        <v>8</v>
      </c>
      <c r="V21">
        <v>2010</v>
      </c>
      <c r="W21">
        <f t="shared" si="34"/>
        <v>25</v>
      </c>
      <c r="X21">
        <f>COUNTIFS(Data!$E$4:$E$1216,"="&amp;$A30,Data!$AQ$4:$AQ$1216,"="&amp;X$1)</f>
        <v>3</v>
      </c>
      <c r="Y21">
        <f>COUNTIFS(Data!$E$4:$E$1216,"="&amp;$A30,Data!$AQ$4:$AQ$1216,"="&amp;Y$1)</f>
        <v>0</v>
      </c>
      <c r="Z21">
        <f>COUNTIFS(Data!$E$4:$E$1216,"="&amp;$A30,Data!$AQ$4:$AQ$1216,"="&amp;Z$1)</f>
        <v>13</v>
      </c>
      <c r="AA21">
        <f>COUNTIFS(Data!$E$4:$E$1216,"="&amp;$A30,Data!$AQ$4:$AQ$1216,"="&amp;AA$1)</f>
        <v>0</v>
      </c>
      <c r="AB21">
        <f>COUNTIFS(Data!$E$4:$E$1216,"="&amp;$A30,Data!$AQ$4:$AQ$1216,"="&amp;AB$1)</f>
        <v>0</v>
      </c>
      <c r="AC21">
        <f>COUNTIFS(Data!$E$4:$E$1216,"="&amp;$A30,Data!$AQ$4:$AQ$1216,"="&amp;AC$1)</f>
        <v>5</v>
      </c>
      <c r="AD21" s="7">
        <f t="shared" si="41"/>
        <v>1.3333333333333333</v>
      </c>
      <c r="AF21">
        <f t="shared" si="18"/>
        <v>2010</v>
      </c>
      <c r="AG21" s="5">
        <f ca="1">IF(W21&gt;0,SUMIFS(Data!$O$4:$O$1216,Data!$E$4:$E$1216,"="&amp;$AF21)/W21,"-")</f>
        <v>57.641126849275253</v>
      </c>
      <c r="AH21" s="5">
        <f ca="1">IF(X21&gt;0,SUMIFS(Data!$O$4:$O$1216,Data!$E$4:$E$1216,"="&amp;$AF21,Data!$AQ$4:$AQ$1216,"="&amp;AH$1)/X21,"-")</f>
        <v>188.8683906164955</v>
      </c>
      <c r="AI21" s="5" t="str">
        <f>IF(Y21&gt;0,SUMIFS(Data!$O$4:$O$1216,Data!$E$4:$E$1216,"="&amp;$AF21,Data!$AQ$4:$AQ$1216,"="&amp;AI$1)/Y21,"-")</f>
        <v>-</v>
      </c>
      <c r="AJ21" s="5">
        <f ca="1">IF(Z21&gt;0,SUMIFS(Data!$O$4:$O$1216,Data!$E$4:$E$1216,"="&amp;$AF21,Data!$AQ$4:$AQ$1216,"="&amp;AJ$1)/Z21,"-")</f>
        <v>34.138689540730489</v>
      </c>
      <c r="AK21" s="5" t="str">
        <f>IF(AA21&gt;0,SUMIFS(Data!$O$4:$O$1216,Data!$E$4:$E$1216,"="&amp;$AF21,Data!$AQ$4:$AQ$1216,"="&amp;AK$1)/AA21,"-")</f>
        <v>-</v>
      </c>
      <c r="AL21" s="5" t="str">
        <f>IF(AB21&gt;0,SUMIFS(Data!$O$4:$O$1216,Data!$E$4:$E$1216,"="&amp;$AF21,Data!$AQ$4:$AQ$1216,"="&amp;AL$1)/AB21,"-")</f>
        <v>-</v>
      </c>
      <c r="AM21" s="5">
        <f ca="1">IF(AC21&gt;0,SUMIFS(Data!$O$4:$O$1216,Data!$E$4:$E$1216,"="&amp;$AF21,Data!$AQ$4:$AQ$1216,"="&amp;AM$1)/AC21,"-")</f>
        <v>13.466396066620707</v>
      </c>
      <c r="AP21">
        <f t="shared" si="19"/>
        <v>2010</v>
      </c>
      <c r="AQ21" s="5">
        <f ca="1">IF(W21&gt;0,SUMIFS(Data!$R$4:$R$1216,Data!$E$4:$E$1216,"="&amp;$AF21)/W21,"-")</f>
        <v>7994.7670887521863</v>
      </c>
      <c r="AR21" s="5">
        <f ca="1">IF(X21&gt;0,SUMIFS(Data!$R$4:$R$1216,Data!$E$4:$E$1216,"="&amp;$AF21,Data!$AQ$4:$AQ$1216,"="&amp;AR$1)/X21,"-")</f>
        <v>38283.084721278698</v>
      </c>
      <c r="AS21" s="5" t="str">
        <f>IF(Y21&gt;0,SUMIFS(Data!$R$4:$R$1216,Data!$E$4:$E$1216,"="&amp;$AF21,Data!$AQ$4:$AQ$1216,"="&amp;AS$1)/Y21,"-")</f>
        <v>-</v>
      </c>
      <c r="AT21" s="5">
        <f ca="1">IF(Z21&gt;0,SUMIFS(Data!$R$4:$R$1216,Data!$E$4:$E$1216,"="&amp;$AF21,Data!$AQ$4:$AQ$1216,"="&amp;AT$1)/Z21,"-")</f>
        <v>2003.578503039656</v>
      </c>
      <c r="AU21" s="5" t="str">
        <f>IF(AA21&gt;0,SUMIFS(Data!$R$4:$R$1216,Data!$E$4:$E$1216,"="&amp;$AF21,Data!$AQ$4:$AQ$1216,"="&amp;AU$1)/AA21,"-")</f>
        <v>-</v>
      </c>
      <c r="AV21" s="5" t="str">
        <f>IF(AB21&gt;0,SUMIFS(Data!$R$4:$R$1216,Data!$E$4:$E$1216,"="&amp;$AF21,Data!$AQ$4:$AQ$1216,"="&amp;AV$1)/AB21,"-")</f>
        <v>-</v>
      </c>
      <c r="AW21" s="5">
        <f ca="1">IF(AC21&gt;0,SUMIFS(Data!$R$4:$R$1216,Data!$E$4:$E$1216,"="&amp;$AF21,Data!$AQ$4:$AQ$1216,"="&amp;AW$1)/AC21,"-")</f>
        <v>385.82272782232468</v>
      </c>
      <c r="AZ21">
        <f t="shared" si="20"/>
        <v>2010</v>
      </c>
      <c r="BA21" s="1">
        <f t="shared" ca="1" si="21"/>
        <v>13.670797466567844</v>
      </c>
      <c r="BB21" s="1">
        <f t="shared" ca="1" si="22"/>
        <v>29.506020556340545</v>
      </c>
      <c r="BC21" s="1" t="str">
        <f t="shared" si="23"/>
        <v>-</v>
      </c>
      <c r="BD21" s="1">
        <f t="shared" ca="1" si="24"/>
        <v>8.0294093061850997</v>
      </c>
      <c r="BE21" s="1" t="str">
        <f t="shared" si="25"/>
        <v>-</v>
      </c>
      <c r="BF21" s="1" t="str">
        <f t="shared" si="26"/>
        <v>-</v>
      </c>
      <c r="BG21" s="1">
        <f t="shared" ca="1" si="27"/>
        <v>6.3949809194277822</v>
      </c>
      <c r="BJ21">
        <v>2010</v>
      </c>
      <c r="BK21" s="5">
        <f>SUMPRODUCT(Data!$N$4:$N$1216,Data!BZ$4:BZ$1216)</f>
        <v>5.9999999999999964</v>
      </c>
      <c r="BL21">
        <f ca="1">SUMPRODUCT(Data!$N$4:$N$1216,Data!$O$4:$O$1216,Data!BZ$4:BZ$1216)/$BK21</f>
        <v>45.775589638876575</v>
      </c>
      <c r="BM21">
        <f t="shared" ca="1" si="28"/>
        <v>21.110817074034856</v>
      </c>
      <c r="BN21">
        <f ca="1">SUMPRODUCT(Data!$N$4:$N$1216,Data!$R$4:$R$1216,Data!BZ$4:BZ$1216)/$BK21</f>
        <v>4769.4041919869924</v>
      </c>
      <c r="BO21" s="5">
        <f t="shared" si="30"/>
        <v>66.999999999999986</v>
      </c>
      <c r="BP21">
        <f t="shared" ca="1" si="31"/>
        <v>191.29028187628498</v>
      </c>
      <c r="BQ21">
        <f t="shared" ca="1" si="32"/>
        <v>64.217883292416502</v>
      </c>
      <c r="BR21">
        <f t="shared" ca="1" si="33"/>
        <v>312895.71975572302</v>
      </c>
      <c r="CE21">
        <f t="shared" si="37"/>
        <v>2011</v>
      </c>
      <c r="CF21" s="7">
        <f t="shared" si="38"/>
        <v>1.2844827586206897</v>
      </c>
    </row>
    <row r="22" spans="1:94" x14ac:dyDescent="0.2">
      <c r="A22">
        <f t="shared" si="29"/>
        <v>2002</v>
      </c>
      <c r="B22">
        <f>COUNTIF(Data!D$4:D$1216,"="&amp;A22)</f>
        <v>1</v>
      </c>
      <c r="C22">
        <f>COUNTIF(Data!E$4:E$1216,"="&amp;A22)</f>
        <v>1</v>
      </c>
      <c r="D22">
        <f t="shared" si="35"/>
        <v>1</v>
      </c>
      <c r="E22" s="5">
        <f ca="1">SUMIF(Data!$E$4:$E$1216,"="&amp;A22,Data!O$4:O$1216)/C22</f>
        <v>149.34372740092297</v>
      </c>
      <c r="F22" s="5">
        <f ca="1">SUMIF(Data!$E$4:$E$1216,"="&amp;$A22,Data!R$4:R$1216)/$C22</f>
        <v>22303.548914001192</v>
      </c>
      <c r="G22" s="5">
        <f t="shared" ca="1" si="43"/>
        <v>0</v>
      </c>
      <c r="H22" s="5">
        <f t="shared" ca="1" si="39"/>
        <v>149.34372740092297</v>
      </c>
      <c r="I22" s="5">
        <f t="shared" ca="1" si="40"/>
        <v>149.34372740092297</v>
      </c>
      <c r="J22" s="5">
        <f ca="1">SUMIF(Sheet1!$F$2:$F$1143,"="&amp;$A22,Sheet1!H$2:H$1143)</f>
        <v>4.7553853420403226E-2</v>
      </c>
      <c r="K22" s="5">
        <f ca="1">SUMIF(Sheet1!$F$2:$F$1143,"="&amp;$A22,Sheet1!I$2:I$1143)</f>
        <v>1.2154764934255065</v>
      </c>
      <c r="L22" s="5">
        <f ca="1">SUMIF(Sheet1!$F$2:$F$1143,"="&amp;$A22,Sheet1!J$2:J$1143)</f>
        <v>29.761886767605532</v>
      </c>
      <c r="M22" s="5">
        <f ca="1">SUMIF(Sheet1!$F$2:$F$1143,"="&amp;$A22,Sheet1!K$2:K$1143)</f>
        <v>263.24380679974507</v>
      </c>
      <c r="N22" s="5">
        <f ca="1">SUMIF(Sheet1!$F$2:$F$1143,"="&amp;$A22,Sheet1!L$2:L$1143)</f>
        <v>1311.739426569907</v>
      </c>
      <c r="O22" s="7">
        <f>SUMIF(Sheet1!$F$2:$F$1143,"="&amp;$A22,Sheet1!M$2:M$1143)</f>
        <v>1.2938144329896908</v>
      </c>
      <c r="P22" s="7">
        <f>SUMIF(Sheet1!$F$2:$F$1143,"="&amp;$A22,Sheet1!N$2:N$1143)</f>
        <v>-2</v>
      </c>
      <c r="Q22" s="7">
        <f>SUMIF(Sheet1!$F$2:$F$1143,"="&amp;$A22,Sheet1!O$2:O$1143)</f>
        <v>0</v>
      </c>
      <c r="R22" s="7">
        <f>SUMIF(Sheet1!$F$2:$F$1143,"="&amp;$A22,Sheet1!P$2:P$1143)</f>
        <v>1</v>
      </c>
      <c r="S22" s="7">
        <f>SUMIF(Sheet1!$F$2:$F$1143,"="&amp;$A22,Sheet1!Q$2:Q$1143)</f>
        <v>3</v>
      </c>
      <c r="T22" s="7">
        <f>SUMIF(Sheet1!$F$2:$F$1143,"="&amp;$A22,Sheet1!R$2:R$1143)</f>
        <v>8</v>
      </c>
      <c r="V22">
        <v>2011</v>
      </c>
      <c r="W22">
        <f t="shared" si="34"/>
        <v>131</v>
      </c>
      <c r="X22">
        <f>COUNTIFS(Data!$E$4:$E$1216,"="&amp;$A31,Data!$AQ$4:$AQ$1216,"="&amp;X$1)</f>
        <v>20</v>
      </c>
      <c r="Y22">
        <f>COUNTIFS(Data!$E$4:$E$1216,"="&amp;$A31,Data!$AQ$4:$AQ$1216,"="&amp;Y$1)</f>
        <v>10</v>
      </c>
      <c r="Z22">
        <f>COUNTIFS(Data!$E$4:$E$1216,"="&amp;$A31,Data!$AQ$4:$AQ$1216,"="&amp;Z$1)</f>
        <v>49</v>
      </c>
      <c r="AA22">
        <f>COUNTIFS(Data!$E$4:$E$1216,"="&amp;$A31,Data!$AQ$4:$AQ$1216,"="&amp;AA$1)</f>
        <v>8</v>
      </c>
      <c r="AB22">
        <f>COUNTIFS(Data!$E$4:$E$1216,"="&amp;$A31,Data!$AQ$4:$AQ$1216,"="&amp;AB$1)</f>
        <v>0</v>
      </c>
      <c r="AC22">
        <f>COUNTIFS(Data!$E$4:$E$1216,"="&amp;$A31,Data!$AQ$4:$AQ$1216,"="&amp;AC$1)</f>
        <v>29</v>
      </c>
      <c r="AD22" s="7">
        <f t="shared" si="41"/>
        <v>1.2844827586206897</v>
      </c>
      <c r="AF22">
        <f t="shared" si="18"/>
        <v>2011</v>
      </c>
      <c r="AG22" s="5">
        <f ca="1">IF(W22&gt;0,SUMIFS(Data!$O$4:$O$1216,Data!$E$4:$E$1216,"="&amp;$AF22)/W22,"-")</f>
        <v>333.21302487383099</v>
      </c>
      <c r="AH22" s="5">
        <f ca="1">IF(X22&gt;0,SUMIFS(Data!$O$4:$O$1216,Data!$E$4:$E$1216,"="&amp;$AF22,Data!$AQ$4:$AQ$1216,"="&amp;AH$1)/X22,"-")</f>
        <v>1194.2566719599427</v>
      </c>
      <c r="AI22" s="5">
        <f ca="1">IF(Y22&gt;0,SUMIFS(Data!$O$4:$O$1216,Data!$E$4:$E$1216,"="&amp;$AF22,Data!$AQ$4:$AQ$1216,"="&amp;AI$1)/Y22,"-")</f>
        <v>574.69957756433462</v>
      </c>
      <c r="AJ22" s="5">
        <f ca="1">IF(Z22&gt;0,SUMIFS(Data!$O$4:$O$1216,Data!$E$4:$E$1216,"="&amp;$AF22,Data!$AQ$4:$AQ$1216,"="&amp;AJ$1)/Z22,"-")</f>
        <v>123.32966456864384</v>
      </c>
      <c r="AK22" s="5">
        <f ca="1">IF(AA22&gt;0,SUMIFS(Data!$O$4:$O$1216,Data!$E$4:$E$1216,"="&amp;$AF22,Data!$AQ$4:$AQ$1216,"="&amp;AK$1)/AA22,"-")</f>
        <v>144.17196164100866</v>
      </c>
      <c r="AL22" s="5" t="str">
        <f>IF(AB22&gt;0,SUMIFS(Data!$O$4:$O$1216,Data!$E$4:$E$1216,"="&amp;$AF22,Data!$AQ$4:$AQ$1216,"="&amp;AL$1)/AB22,"-")</f>
        <v>-</v>
      </c>
      <c r="AM22" s="5">
        <f ca="1">IF(AC22&gt;0,SUMIFS(Data!$O$4:$O$1216,Data!$E$4:$E$1216,"="&amp;$AF22,Data!$AQ$4:$AQ$1216,"="&amp;AM$1)/AC22,"-")</f>
        <v>17.530030667973996</v>
      </c>
      <c r="AP22">
        <f t="shared" si="19"/>
        <v>2011</v>
      </c>
      <c r="AQ22" s="5">
        <f ca="1">IF(W22&gt;0,SUMIFS(Data!$R$4:$R$1216,Data!$E$4:$E$1216,"="&amp;$AF22)/W22,"-")</f>
        <v>885089.89660590899</v>
      </c>
      <c r="AR22" s="5">
        <f ca="1">IF(X22&gt;0,SUMIFS(Data!$R$4:$R$1216,Data!$E$4:$E$1216,"="&amp;$AF22,Data!$AQ$4:$AQ$1216,"="&amp;AR$1)/X22,"-")</f>
        <v>4933890.043231938</v>
      </c>
      <c r="AS22" s="5">
        <f ca="1">IF(Y22&gt;0,SUMIFS(Data!$R$4:$R$1216,Data!$E$4:$E$1216,"="&amp;$AF22,Data!$AQ$4:$AQ$1216,"="&amp;AS$1)/Y22,"-")</f>
        <v>1057192.0820572746</v>
      </c>
      <c r="AT22" s="5">
        <f ca="1">IF(Z22&gt;0,SUMIFS(Data!$R$4:$R$1216,Data!$E$4:$E$1216,"="&amp;$AF22,Data!$AQ$4:$AQ$1216,"="&amp;AT$1)/Z22,"-")</f>
        <v>52299.680002261885</v>
      </c>
      <c r="AU22" s="5">
        <f ca="1">IF(AA22&gt;0,SUMIFS(Data!$R$4:$R$1216,Data!$E$4:$E$1216,"="&amp;$AF22,Data!$AQ$4:$AQ$1216,"="&amp;AU$1)/AA22,"-")</f>
        <v>57493.415544719464</v>
      </c>
      <c r="AV22" s="5" t="str">
        <f>IF(AB22&gt;0,SUMIFS(Data!$R$4:$R$1216,Data!$E$4:$E$1216,"="&amp;$AF22,Data!$AQ$4:$AQ$1216,"="&amp;AV$1)/AB22,"-")</f>
        <v>-</v>
      </c>
      <c r="AW22" s="5">
        <f ca="1">IF(AC22&gt;0,SUMIFS(Data!$R$4:$R$1216,Data!$E$4:$E$1216,"="&amp;$AF22,Data!$AQ$4:$AQ$1216,"="&amp;AW$1)/AC22,"-")</f>
        <v>1244.2292977202362</v>
      </c>
      <c r="AZ22">
        <f t="shared" si="20"/>
        <v>2011</v>
      </c>
      <c r="BA22" s="1">
        <f t="shared" ca="1" si="21"/>
        <v>76.869025947249625</v>
      </c>
      <c r="BB22" s="1">
        <f t="shared" ca="1" si="22"/>
        <v>418.78640407199828</v>
      </c>
      <c r="BC22" s="1">
        <f t="shared" ca="1" si="23"/>
        <v>269.61314463591162</v>
      </c>
      <c r="BD22" s="1">
        <f t="shared" ca="1" si="24"/>
        <v>27.512325193335265</v>
      </c>
      <c r="BE22" s="1">
        <f t="shared" ca="1" si="25"/>
        <v>67.738339422094441</v>
      </c>
      <c r="BF22" s="1" t="str">
        <f t="shared" si="26"/>
        <v>-</v>
      </c>
      <c r="BG22" s="1">
        <f t="shared" ca="1" si="27"/>
        <v>5.6839984787912243</v>
      </c>
      <c r="BJ22">
        <v>2011</v>
      </c>
      <c r="BK22" s="5">
        <f>SUMPRODUCT(Data!$N$4:$N$1216,Data!CA$4:CA$1216)</f>
        <v>6.9999999999999902</v>
      </c>
      <c r="BL22">
        <f ca="1">SUMPRODUCT(Data!$N$4:$N$1216,Data!$O$4:$O$1216,Data!CA$4:CA$1216)/$BK22</f>
        <v>245.0361654535514</v>
      </c>
      <c r="BM22">
        <f t="shared" ca="1" si="28"/>
        <v>259.43692673851837</v>
      </c>
      <c r="BN22">
        <f ca="1">SUMPRODUCT(Data!$N$4:$N$1216,Data!$R$4:$R$1216,Data!CA$4:CA$1216)/$BK22</f>
        <v>531195.35506887094</v>
      </c>
      <c r="BO22" s="5">
        <f t="shared" si="30"/>
        <v>73.999999999999972</v>
      </c>
      <c r="BP22">
        <f t="shared" ca="1" si="31"/>
        <v>196.37435194440476</v>
      </c>
      <c r="BQ22">
        <f t="shared" ca="1" si="32"/>
        <v>63.136788346086782</v>
      </c>
      <c r="BR22">
        <f t="shared" ca="1" si="33"/>
        <v>333545.68525831815</v>
      </c>
      <c r="CE22">
        <f t="shared" si="37"/>
        <v>2012</v>
      </c>
      <c r="CF22" s="7">
        <f t="shared" si="38"/>
        <v>2.6923076923076925</v>
      </c>
    </row>
    <row r="23" spans="1:94" x14ac:dyDescent="0.2">
      <c r="A23">
        <f t="shared" si="29"/>
        <v>2003</v>
      </c>
      <c r="B23">
        <f>COUNTIF(Data!D$4:D$1216,"="&amp;A23)</f>
        <v>3</v>
      </c>
      <c r="C23">
        <f>COUNTIF(Data!E$4:E$1216,"="&amp;A23)</f>
        <v>11</v>
      </c>
      <c r="D23">
        <f t="shared" si="35"/>
        <v>3.6666666666666665</v>
      </c>
      <c r="E23" s="5">
        <f ca="1">SUMIF(Data!$E$4:$E$1216,"="&amp;A23,Data!O$4:O$1216)/C23</f>
        <v>44.964020734644151</v>
      </c>
      <c r="F23" s="5">
        <f ca="1">SUMIF(Data!$E$4:$E$1216,"="&amp;$A23,Data!R$4:R$1216)/$C23</f>
        <v>6109.3650349018017</v>
      </c>
      <c r="G23" s="5">
        <f t="shared" ca="1" si="43"/>
        <v>63.934355977645481</v>
      </c>
      <c r="H23" s="5">
        <f t="shared" ca="1" si="39"/>
        <v>-18.97033524300133</v>
      </c>
      <c r="I23" s="5">
        <f t="shared" ca="1" si="40"/>
        <v>108.89837671228963</v>
      </c>
      <c r="J23" s="5">
        <f ca="1">SUMIF(Sheet1!$F$2:$F$1143,"="&amp;$A23,Sheet1!H$2:H$1143)</f>
        <v>4.7553853420403226E-2</v>
      </c>
      <c r="K23" s="5">
        <f ca="1">SUMIF(Sheet1!$F$2:$F$1143,"="&amp;$A23,Sheet1!I$2:I$1143)</f>
        <v>1.2364001889304839</v>
      </c>
      <c r="L23" s="5">
        <f ca="1">SUMIF(Sheet1!$F$2:$F$1143,"="&amp;$A23,Sheet1!J$2:J$1143)</f>
        <v>29.827011246309265</v>
      </c>
      <c r="M23" s="5">
        <f ca="1">SUMIF(Sheet1!$F$2:$F$1143,"="&amp;$A23,Sheet1!K$2:K$1143)</f>
        <v>259.35446116109233</v>
      </c>
      <c r="N23" s="5">
        <f ca="1">SUMIF(Sheet1!$F$2:$F$1143,"="&amp;$A23,Sheet1!L$2:L$1143)</f>
        <v>1311.297508067619</v>
      </c>
      <c r="O23" s="7">
        <f>SUMIF(Sheet1!$F$2:$F$1143,"="&amp;$A23,Sheet1!M$2:M$1143)</f>
        <v>1.2923076923076924</v>
      </c>
      <c r="P23" s="7">
        <f>SUMIF(Sheet1!$F$2:$F$1143,"="&amp;$A23,Sheet1!N$2:N$1143)</f>
        <v>-2</v>
      </c>
      <c r="Q23" s="7">
        <f>SUMIF(Sheet1!$F$2:$F$1143,"="&amp;$A23,Sheet1!O$2:O$1143)</f>
        <v>0</v>
      </c>
      <c r="R23" s="7">
        <f>SUMIF(Sheet1!$F$2:$F$1143,"="&amp;$A23,Sheet1!P$2:P$1143)</f>
        <v>1</v>
      </c>
      <c r="S23" s="7">
        <f>SUMIF(Sheet1!$F$2:$F$1143,"="&amp;$A23,Sheet1!Q$2:Q$1143)</f>
        <v>3</v>
      </c>
      <c r="T23" s="7">
        <f>SUMIF(Sheet1!$F$2:$F$1143,"="&amp;$A23,Sheet1!R$2:R$1143)</f>
        <v>8</v>
      </c>
      <c r="V23">
        <v>2012</v>
      </c>
      <c r="W23">
        <f t="shared" si="34"/>
        <v>230</v>
      </c>
      <c r="X23">
        <f>COUNTIFS(Data!$E$4:$E$1216,"="&amp;$A32,Data!$AQ$4:$AQ$1216,"="&amp;X$1)</f>
        <v>0</v>
      </c>
      <c r="Y23">
        <f>COUNTIFS(Data!$E$4:$E$1216,"="&amp;$A32,Data!$AQ$4:$AQ$1216,"="&amp;Y$1)</f>
        <v>0</v>
      </c>
      <c r="Z23">
        <f>COUNTIFS(Data!$E$4:$E$1216,"="&amp;$A32,Data!$AQ$4:$AQ$1216,"="&amp;Z$1)</f>
        <v>8</v>
      </c>
      <c r="AA23">
        <f>COUNTIFS(Data!$E$4:$E$1216,"="&amp;$A32,Data!$AQ$4:$AQ$1216,"="&amp;AA$1)</f>
        <v>0</v>
      </c>
      <c r="AB23">
        <f>COUNTIFS(Data!$E$4:$E$1216,"="&amp;$A32,Data!$AQ$4:$AQ$1216,"="&amp;AB$1)</f>
        <v>0</v>
      </c>
      <c r="AC23">
        <f>COUNTIFS(Data!$E$4:$E$1216,"="&amp;$A32,Data!$AQ$4:$AQ$1216,"="&amp;AC$1)</f>
        <v>44</v>
      </c>
      <c r="AD23" s="7">
        <f t="shared" si="41"/>
        <v>2.6923076923076925</v>
      </c>
      <c r="AF23">
        <f t="shared" si="18"/>
        <v>2012</v>
      </c>
      <c r="AG23" s="5">
        <f ca="1">IF(W23&gt;0,SUMIFS(Data!$O$4:$O$1216,Data!$E$4:$E$1216,"="&amp;$AF23)/W23,"-")</f>
        <v>106.79507908195839</v>
      </c>
      <c r="AH23" s="5" t="str">
        <f>IF(X23&gt;0,SUMIFS(Data!$O$4:$O$1216,Data!$E$4:$E$1216,"="&amp;$AF23,Data!$AQ$4:$AQ$1216,"="&amp;AH$1)/X23,"-")</f>
        <v>-</v>
      </c>
      <c r="AI23" s="5" t="str">
        <f>IF(Y23&gt;0,SUMIFS(Data!$O$4:$O$1216,Data!$E$4:$E$1216,"="&amp;$AF23,Data!$AQ$4:$AQ$1216,"="&amp;AI$1)/Y23,"-")</f>
        <v>-</v>
      </c>
      <c r="AJ23" s="5">
        <f ca="1">IF(Z23&gt;0,SUMIFS(Data!$O$4:$O$1216,Data!$E$4:$E$1216,"="&amp;$AF23,Data!$AQ$4:$AQ$1216,"="&amp;AJ$1)/Z23,"-")</f>
        <v>111.7402648763878</v>
      </c>
      <c r="AK23" s="5" t="str">
        <f>IF(AA23&gt;0,SUMIFS(Data!$O$4:$O$1216,Data!$E$4:$E$1216,"="&amp;$AF23,Data!$AQ$4:$AQ$1216,"="&amp;AK$1)/AA23,"-")</f>
        <v>-</v>
      </c>
      <c r="AL23" s="5" t="str">
        <f>IF(AB23&gt;0,SUMIFS(Data!$O$4:$O$1216,Data!$E$4:$E$1216,"="&amp;$AF23,Data!$AQ$4:$AQ$1216,"="&amp;AL$1)/AB23,"-")</f>
        <v>-</v>
      </c>
      <c r="AM23" s="5">
        <f ca="1">IF(AC23&gt;0,SUMIFS(Data!$O$4:$O$1216,Data!$E$4:$E$1216,"="&amp;$AF23,Data!$AQ$4:$AQ$1216,"="&amp;AM$1)/AC23,"-")</f>
        <v>38.436710483434815</v>
      </c>
      <c r="AP23">
        <f t="shared" si="19"/>
        <v>2012</v>
      </c>
      <c r="AQ23" s="5">
        <f ca="1">IF(W23&gt;0,SUMIFS(Data!$R$4:$R$1216,Data!$E$4:$E$1216,"="&amp;$AF23)/W23,"-")</f>
        <v>38090.599804909296</v>
      </c>
      <c r="AR23" s="5" t="str">
        <f>IF(X23&gt;0,SUMIFS(Data!$R$4:$R$1216,Data!$E$4:$E$1216,"="&amp;$AF23,Data!$AQ$4:$AQ$1216,"="&amp;AR$1)/X23,"-")</f>
        <v>-</v>
      </c>
      <c r="AS23" s="5" t="str">
        <f>IF(Y23&gt;0,SUMIFS(Data!$R$4:$R$1216,Data!$E$4:$E$1216,"="&amp;$AF23,Data!$AQ$4:$AQ$1216,"="&amp;AS$1)/Y23,"-")</f>
        <v>-</v>
      </c>
      <c r="AT23" s="5">
        <f ca="1">IF(Z23&gt;0,SUMIFS(Data!$R$4:$R$1216,Data!$E$4:$E$1216,"="&amp;$AF23,Data!$AQ$4:$AQ$1216,"="&amp;AT$1)/Z23,"-")</f>
        <v>16975.967219537684</v>
      </c>
      <c r="AU23" s="5" t="str">
        <f>IF(AA23&gt;0,SUMIFS(Data!$R$4:$R$1216,Data!$E$4:$E$1216,"="&amp;$AF23,Data!$AQ$4:$AQ$1216,"="&amp;AU$1)/AA23,"-")</f>
        <v>-</v>
      </c>
      <c r="AV23" s="5" t="str">
        <f>IF(AB23&gt;0,SUMIFS(Data!$R$4:$R$1216,Data!$E$4:$E$1216,"="&amp;$AF23,Data!$AQ$4:$AQ$1216,"="&amp;AV$1)/AB23,"-")</f>
        <v>-</v>
      </c>
      <c r="AW23" s="5">
        <f ca="1">IF(AC23&gt;0,SUMIFS(Data!$R$4:$R$1216,Data!$E$4:$E$1216,"="&amp;$AF23,Data!$AQ$4:$AQ$1216,"="&amp;AW$1)/AC23,"-")</f>
        <v>1609.0600634295727</v>
      </c>
      <c r="AZ23">
        <f t="shared" si="20"/>
        <v>2012</v>
      </c>
      <c r="BA23" s="1">
        <f t="shared" ca="1" si="21"/>
        <v>10.771421707621707</v>
      </c>
      <c r="BB23" s="1" t="str">
        <f t="shared" si="22"/>
        <v>-</v>
      </c>
      <c r="BC23" s="1" t="str">
        <f t="shared" si="23"/>
        <v>-</v>
      </c>
      <c r="BD23" s="1">
        <f t="shared" ca="1" si="24"/>
        <v>23.690927654094665</v>
      </c>
      <c r="BE23" s="1" t="str">
        <f t="shared" si="25"/>
        <v>-</v>
      </c>
      <c r="BF23" s="1" t="str">
        <f t="shared" si="26"/>
        <v>-</v>
      </c>
      <c r="BG23" s="1">
        <f t="shared" ca="1" si="27"/>
        <v>1.7299458126181606</v>
      </c>
      <c r="BJ23">
        <v>2012</v>
      </c>
      <c r="BK23" s="5">
        <f>SUMPRODUCT(Data!$N$4:$N$1216,Data!CB$4:CB$1216)</f>
        <v>10.000000000000027</v>
      </c>
      <c r="BL23">
        <f ca="1">SUMPRODUCT(Data!$N$4:$N$1216,Data!$O$4:$O$1216,Data!CB$4:CB$1216)/$BK23</f>
        <v>84.662640302311758</v>
      </c>
      <c r="BM23">
        <f t="shared" ca="1" si="28"/>
        <v>36.254827857320159</v>
      </c>
      <c r="BN23">
        <f ca="1">SUMPRODUCT(Data!$N$4:$N$1216,Data!$R$4:$R$1216,Data!CB$4:CB$1216)/$BK23</f>
        <v>20311.888092597837</v>
      </c>
      <c r="BO23" s="5">
        <f t="shared" si="30"/>
        <v>84</v>
      </c>
      <c r="BP23">
        <f t="shared" ca="1" si="31"/>
        <v>183.07533865367935</v>
      </c>
      <c r="BQ23">
        <f t="shared" ca="1" si="32"/>
        <v>55.927181384254645</v>
      </c>
      <c r="BR23">
        <f t="shared" ca="1" si="33"/>
        <v>296255.94750049419</v>
      </c>
      <c r="CE23">
        <f t="shared" si="37"/>
        <v>2013</v>
      </c>
      <c r="CF23" s="7">
        <f t="shared" si="38"/>
        <v>1.413846153846154</v>
      </c>
    </row>
    <row r="24" spans="1:94" x14ac:dyDescent="0.2">
      <c r="A24">
        <f t="shared" si="29"/>
        <v>2004</v>
      </c>
      <c r="B24">
        <f>COUNTIF(Data!D$4:D$1216,"="&amp;A24)</f>
        <v>5</v>
      </c>
      <c r="C24">
        <f>COUNTIF(Data!E$4:E$1216,"="&amp;A24)</f>
        <v>26</v>
      </c>
      <c r="D24">
        <f t="shared" si="35"/>
        <v>5.2</v>
      </c>
      <c r="E24" s="5">
        <f ca="1">SUMIF(Data!$E$4:$E$1216,"="&amp;A24,Data!O$4:O$1216)/C24</f>
        <v>204.78310276064062</v>
      </c>
      <c r="F24" s="5">
        <f ca="1">SUMIF(Data!$E$4:$E$1216,"="&amp;$A24,Data!R$4:R$1216)/$C24</f>
        <v>123733.43813417552</v>
      </c>
      <c r="G24" s="5">
        <f t="shared" ca="1" si="43"/>
        <v>286.00230586115987</v>
      </c>
      <c r="H24" s="5">
        <f t="shared" ca="1" si="39"/>
        <v>-81.219203100519252</v>
      </c>
      <c r="I24" s="5">
        <f t="shared" ca="1" si="40"/>
        <v>490.78540862180046</v>
      </c>
      <c r="J24" s="5">
        <f ca="1">SUMIF(Sheet1!$F$2:$F$1143,"="&amp;$A24,Sheet1!H$2:H$1143)</f>
        <v>4.9733405035505045E-2</v>
      </c>
      <c r="K24" s="5">
        <f ca="1">SUMIF(Sheet1!$F$2:$F$1143,"="&amp;$A24,Sheet1!I$2:I$1143)</f>
        <v>1.4389796045014025</v>
      </c>
      <c r="L24" s="5">
        <f ca="1">SUMIF(Sheet1!$F$2:$F$1143,"="&amp;$A24,Sheet1!J$2:J$1143)</f>
        <v>29.761886767605532</v>
      </c>
      <c r="M24" s="5">
        <f ca="1">SUMIF(Sheet1!$F$2:$F$1143,"="&amp;$A24,Sheet1!K$2:K$1143)</f>
        <v>239.58577159610638</v>
      </c>
      <c r="N24" s="5">
        <f ca="1">SUMIF(Sheet1!$F$2:$F$1143,"="&amp;$A24,Sheet1!L$2:L$1143)</f>
        <v>1260.4092681318709</v>
      </c>
      <c r="O24" s="7">
        <f>SUMIF(Sheet1!$F$2:$F$1143,"="&amp;$A24,Sheet1!M$2:M$1143)</f>
        <v>1.3365853658536586</v>
      </c>
      <c r="P24" s="7">
        <f>SUMIF(Sheet1!$F$2:$F$1143,"="&amp;$A24,Sheet1!N$2:N$1143)</f>
        <v>-2</v>
      </c>
      <c r="Q24" s="7">
        <f>SUMIF(Sheet1!$F$2:$F$1143,"="&amp;$A24,Sheet1!O$2:O$1143)</f>
        <v>0</v>
      </c>
      <c r="R24" s="7">
        <f>SUMIF(Sheet1!$F$2:$F$1143,"="&amp;$A24,Sheet1!P$2:P$1143)</f>
        <v>1</v>
      </c>
      <c r="S24" s="7">
        <f>SUMIF(Sheet1!$F$2:$F$1143,"="&amp;$A24,Sheet1!Q$2:Q$1143)</f>
        <v>3</v>
      </c>
      <c r="T24" s="7">
        <f>SUMIF(Sheet1!$F$2:$F$1143,"="&amp;$A24,Sheet1!R$2:R$1143)</f>
        <v>7.8000000000000114</v>
      </c>
      <c r="V24">
        <v>2013</v>
      </c>
      <c r="W24">
        <f t="shared" si="34"/>
        <v>110</v>
      </c>
      <c r="X24">
        <f>COUNTIFS(Data!$E$4:$E$1216,"="&amp;$A33,Data!$AQ$4:$AQ$1216,"="&amp;X$1)</f>
        <v>4</v>
      </c>
      <c r="Y24">
        <f>COUNTIFS(Data!$E$4:$E$1216,"="&amp;$A33,Data!$AQ$4:$AQ$1216,"="&amp;Y$1)</f>
        <v>9</v>
      </c>
      <c r="Z24">
        <f>COUNTIFS(Data!$E$4:$E$1216,"="&amp;$A33,Data!$AQ$4:$AQ$1216,"="&amp;Z$1)</f>
        <v>12</v>
      </c>
      <c r="AA24">
        <f>COUNTIFS(Data!$E$4:$E$1216,"="&amp;$A33,Data!$AQ$4:$AQ$1216,"="&amp;AA$1)</f>
        <v>24</v>
      </c>
      <c r="AB24">
        <f>COUNTIFS(Data!$E$4:$E$1216,"="&amp;$A33,Data!$AQ$4:$AQ$1216,"="&amp;AB$1)</f>
        <v>5</v>
      </c>
      <c r="AC24">
        <f>COUNTIFS(Data!$E$4:$E$1216,"="&amp;$A33,Data!$AQ$4:$AQ$1216,"="&amp;AC$1)</f>
        <v>11</v>
      </c>
      <c r="AD24" s="7">
        <f t="shared" si="41"/>
        <v>1.413846153846154</v>
      </c>
      <c r="AF24">
        <f t="shared" si="18"/>
        <v>2013</v>
      </c>
      <c r="AG24" s="5">
        <f ca="1">IF(W24&gt;0,SUMIFS(Data!$O$4:$O$1216,Data!$E$4:$E$1216,"="&amp;$AF24)/W24,"-")</f>
        <v>292.63422104263151</v>
      </c>
      <c r="AH24" s="5">
        <f ca="1">IF(X24&gt;0,SUMIFS(Data!$O$4:$O$1216,Data!$E$4:$E$1216,"="&amp;$AF24,Data!$AQ$4:$AQ$1216,"="&amp;AH$1)/X24,"-")</f>
        <v>1606.3184108284368</v>
      </c>
      <c r="AI24" s="5">
        <f ca="1">IF(Y24&gt;0,SUMIFS(Data!$O$4:$O$1216,Data!$E$4:$E$1216,"="&amp;$AF24,Data!$AQ$4:$AQ$1216,"="&amp;AI$1)/Y24,"-")</f>
        <v>539.78851717529085</v>
      </c>
      <c r="AJ24" s="5">
        <f ca="1">IF(Z24&gt;0,SUMIFS(Data!$O$4:$O$1216,Data!$E$4:$E$1216,"="&amp;$AF24,Data!$AQ$4:$AQ$1216,"="&amp;AJ$1)/Z24,"-")</f>
        <v>307.14661968690291</v>
      </c>
      <c r="AK24" s="5">
        <f ca="1">IF(AA24&gt;0,SUMIFS(Data!$O$4:$O$1216,Data!$E$4:$E$1216,"="&amp;$AF24,Data!$AQ$4:$AQ$1216,"="&amp;AK$1)/AA24,"-")</f>
        <v>422.57344265678648</v>
      </c>
      <c r="AL24" s="5">
        <f ca="1">IF(AB24&gt;0,SUMIFS(Data!$O$4:$O$1216,Data!$E$4:$E$1216,"="&amp;$AF24,Data!$AQ$4:$AQ$1216,"="&amp;AL$1)/AB24,"-")</f>
        <v>59.904921804756</v>
      </c>
      <c r="AM24" s="5">
        <f ca="1">IF(AC24&gt;0,SUMIFS(Data!$O$4:$O$1216,Data!$E$4:$E$1216,"="&amp;$AF24,Data!$AQ$4:$AQ$1216,"="&amp;AM$1)/AC24,"-")</f>
        <v>25.865300432022465</v>
      </c>
      <c r="AP24">
        <f t="shared" si="19"/>
        <v>2013</v>
      </c>
      <c r="AQ24" s="5">
        <f ca="1">IF(W24&gt;0,SUMIFS(Data!$R$4:$R$1216,Data!$E$4:$E$1216,"="&amp;$AF24)/W24,"-")</f>
        <v>675718.21485245344</v>
      </c>
      <c r="AR24" s="5">
        <f ca="1">IF(X24&gt;0,SUMIFS(Data!$R$4:$R$1216,Data!$E$4:$E$1216,"="&amp;$AF24,Data!$AQ$4:$AQ$1216,"="&amp;AR$1)/X24,"-")</f>
        <v>8292549.8758097272</v>
      </c>
      <c r="AS24" s="5">
        <f ca="1">IF(Y24&gt;0,SUMIFS(Data!$R$4:$R$1216,Data!$E$4:$E$1216,"="&amp;$AF24,Data!$AQ$4:$AQ$1216,"="&amp;AS$1)/Y24,"-")</f>
        <v>604451.8282824225</v>
      </c>
      <c r="AT24" s="5">
        <f ca="1">IF(Z24&gt;0,SUMIFS(Data!$R$4:$R$1216,Data!$E$4:$E$1216,"="&amp;$AF24,Data!$AQ$4:$AQ$1216,"="&amp;AT$1)/Z24,"-")</f>
        <v>263234.40543878474</v>
      </c>
      <c r="AU24" s="5">
        <f ca="1">IF(AA24&gt;0,SUMIFS(Data!$R$4:$R$1216,Data!$E$4:$E$1216,"="&amp;$AF24,Data!$AQ$4:$AQ$1216,"="&amp;AU$1)/AA24,"-")</f>
        <v>1278245.5107274642</v>
      </c>
      <c r="AV24" s="5">
        <f ca="1">IF(AB24&gt;0,SUMIFS(Data!$R$4:$R$1216,Data!$E$4:$E$1216,"="&amp;$AF24,Data!$AQ$4:$AQ$1216,"="&amp;AV$1)/AB24,"-")</f>
        <v>4768.9017338637423</v>
      </c>
      <c r="AW24" s="5">
        <f ca="1">IF(AC24&gt;0,SUMIFS(Data!$R$4:$R$1216,Data!$E$4:$E$1216,"="&amp;$AF24,Data!$AQ$4:$AQ$1216,"="&amp;AW$1)/AC24,"-")</f>
        <v>996.14979635178645</v>
      </c>
      <c r="AZ24">
        <f t="shared" si="20"/>
        <v>2013</v>
      </c>
      <c r="BA24" s="1">
        <f t="shared" ca="1" si="21"/>
        <v>73.242028888487596</v>
      </c>
      <c r="BB24" s="1">
        <f t="shared" ca="1" si="22"/>
        <v>1195.0199829755288</v>
      </c>
      <c r="BC24" s="1">
        <f t="shared" ca="1" si="23"/>
        <v>186.51189566117441</v>
      </c>
      <c r="BD24" s="1">
        <f t="shared" ca="1" si="24"/>
        <v>118.63647536827709</v>
      </c>
      <c r="BE24" s="1">
        <f t="shared" ca="1" si="25"/>
        <v>214.05579454594073</v>
      </c>
      <c r="BF24" s="1">
        <f t="shared" ca="1" si="26"/>
        <v>15.364257726488523</v>
      </c>
      <c r="BG24" s="1">
        <f t="shared" ca="1" si="27"/>
        <v>5.4534061909049516</v>
      </c>
      <c r="BJ24">
        <v>2013</v>
      </c>
      <c r="BK24" s="5">
        <f>SUMPRODUCT(Data!$N$4:$N$1216,Data!CC$4:CC$1216)</f>
        <v>10.999999999999993</v>
      </c>
      <c r="BL24">
        <f ca="1">SUMPRODUCT(Data!$N$4:$N$1216,Data!$O$4:$O$1216,Data!CC$4:CC$1216)/$BK24</f>
        <v>296.10685768340022</v>
      </c>
      <c r="BM24">
        <f t="shared" ca="1" si="28"/>
        <v>142.70576767524167</v>
      </c>
      <c r="BN24">
        <f ca="1">SUMPRODUCT(Data!$N$4:$N$1216,Data!$R$4:$R$1216,Data!CC$4:CC$1216)/$BK24</f>
        <v>311693.56857271784</v>
      </c>
      <c r="BO24" s="5">
        <f t="shared" si="30"/>
        <v>95</v>
      </c>
      <c r="BP24">
        <f t="shared" ca="1" si="31"/>
        <v>196.16319875185755</v>
      </c>
      <c r="BQ24">
        <f t="shared" ca="1" si="32"/>
        <v>52.270899720874425</v>
      </c>
      <c r="BR24">
        <f t="shared" ca="1" si="33"/>
        <v>298043.46151938319</v>
      </c>
      <c r="CE24">
        <f t="shared" si="37"/>
        <v>2014</v>
      </c>
      <c r="CF24" s="7">
        <f t="shared" si="38"/>
        <v>0.99828571428571422</v>
      </c>
    </row>
    <row r="25" spans="1:94" x14ac:dyDescent="0.2">
      <c r="A25">
        <f t="shared" si="29"/>
        <v>2005</v>
      </c>
      <c r="B25">
        <f>COUNTIF(Data!D$4:D$1216,"="&amp;A25)</f>
        <v>4</v>
      </c>
      <c r="C25">
        <f>COUNTIF(Data!E$4:E$1216,"="&amp;A25)</f>
        <v>14</v>
      </c>
      <c r="D25">
        <f t="shared" si="35"/>
        <v>3.5</v>
      </c>
      <c r="E25" s="5">
        <f ca="1">SUMIF(Data!$E$4:$E$1216,"="&amp;A25,Data!O$4:O$1216)/C25</f>
        <v>35.412151678392043</v>
      </c>
      <c r="F25" s="5">
        <f ca="1">SUMIF(Data!$E$4:$E$1216,"="&amp;$A25,Data!R$4:R$1216)/$C25</f>
        <v>1916.3210168348401</v>
      </c>
      <c r="G25" s="5">
        <f t="shared" ca="1" si="43"/>
        <v>25.735200219570775</v>
      </c>
      <c r="H25" s="5">
        <f t="shared" ca="1" si="39"/>
        <v>9.6769514588212679</v>
      </c>
      <c r="I25" s="5">
        <f t="shared" ca="1" si="40"/>
        <v>61.147351897962821</v>
      </c>
      <c r="J25" s="5">
        <f ca="1">SUMIF(Sheet1!$F$2:$F$1143,"="&amp;$A25,Sheet1!H$2:H$1143)</f>
        <v>-1.0950421360528739</v>
      </c>
      <c r="K25" s="5">
        <f ca="1">SUMIF(Sheet1!$F$2:$F$1143,"="&amp;$A25,Sheet1!I$2:I$1143)</f>
        <v>5.2330043573314997</v>
      </c>
      <c r="L25" s="5">
        <f ca="1">SUMIF(Sheet1!$F$2:$F$1143,"="&amp;$A25,Sheet1!J$2:J$1143)</f>
        <v>72.06588395020114</v>
      </c>
      <c r="M25" s="5">
        <f ca="1">SUMIF(Sheet1!$F$2:$F$1143,"="&amp;$A25,Sheet1!K$2:K$1143)</f>
        <v>523.86420294178538</v>
      </c>
      <c r="N25" s="5">
        <f ca="1">SUMIF(Sheet1!$F$2:$F$1143,"="&amp;$A25,Sheet1!L$2:L$1143)</f>
        <v>2638.5040822175979</v>
      </c>
      <c r="O25" s="7">
        <f>SUMIF(Sheet1!$F$2:$F$1143,"="&amp;$A25,Sheet1!M$2:M$1143)</f>
        <v>2.6746993746993746</v>
      </c>
      <c r="P25" s="7">
        <f>SUMIF(Sheet1!$F$2:$F$1143,"="&amp;$A25,Sheet1!N$2:N$1143)</f>
        <v>-4</v>
      </c>
      <c r="Q25" s="7">
        <f>SUMIF(Sheet1!$F$2:$F$1143,"="&amp;$A25,Sheet1!O$2:O$1143)</f>
        <v>0</v>
      </c>
      <c r="R25" s="7">
        <f>SUMIF(Sheet1!$F$2:$F$1143,"="&amp;$A25,Sheet1!P$2:P$1143)</f>
        <v>2</v>
      </c>
      <c r="S25" s="7">
        <f>SUMIF(Sheet1!$F$2:$F$1143,"="&amp;$A25,Sheet1!Q$2:Q$1143)</f>
        <v>6</v>
      </c>
      <c r="T25" s="7">
        <f>SUMIF(Sheet1!$F$2:$F$1143,"="&amp;$A25,Sheet1!R$2:R$1143)</f>
        <v>12.5</v>
      </c>
      <c r="V25">
        <v>2014</v>
      </c>
      <c r="W25">
        <f t="shared" si="34"/>
        <v>244</v>
      </c>
      <c r="X25">
        <f>COUNTIFS(Data!$E$4:$E$1216,"="&amp;$A34,Data!$AQ$4:$AQ$1216,"="&amp;X$1)</f>
        <v>6</v>
      </c>
      <c r="Y25">
        <f>COUNTIFS(Data!$E$4:$E$1216,"="&amp;$A34,Data!$AQ$4:$AQ$1216,"="&amp;Y$1)</f>
        <v>52</v>
      </c>
      <c r="Z25">
        <f>COUNTIFS(Data!$E$4:$E$1216,"="&amp;$A34,Data!$AQ$4:$AQ$1216,"="&amp;Z$1)</f>
        <v>36</v>
      </c>
      <c r="AA25">
        <f>COUNTIFS(Data!$E$4:$E$1216,"="&amp;$A34,Data!$AQ$4:$AQ$1216,"="&amp;AA$1)</f>
        <v>73</v>
      </c>
      <c r="AB25">
        <f>COUNTIFS(Data!$E$4:$E$1216,"="&amp;$A34,Data!$AQ$4:$AQ$1216,"="&amp;AB$1)</f>
        <v>0</v>
      </c>
      <c r="AC25">
        <f>COUNTIFS(Data!$E$4:$E$1216,"="&amp;$A34,Data!$AQ$4:$AQ$1216,"="&amp;AC$1)</f>
        <v>8</v>
      </c>
      <c r="AD25" s="7">
        <f t="shared" si="41"/>
        <v>0.99828571428571422</v>
      </c>
      <c r="AF25">
        <f t="shared" si="18"/>
        <v>2014</v>
      </c>
      <c r="AG25" s="5">
        <f ca="1">IF(W25&gt;0,SUMIFS(Data!$O$4:$O$1216,Data!$E$4:$E$1216,"="&amp;$AF25)/W25,"-")</f>
        <v>842.25018689809838</v>
      </c>
      <c r="AH25" s="5">
        <f ca="1">IF(X25&gt;0,SUMIFS(Data!$O$4:$O$1216,Data!$E$4:$E$1216,"="&amp;$AF25,Data!$AQ$4:$AQ$1216,"="&amp;AH$1)/X25,"-")</f>
        <v>5629.9565613012965</v>
      </c>
      <c r="AI25" s="5">
        <f ca="1">IF(Y25&gt;0,SUMIFS(Data!$O$4:$O$1216,Data!$E$4:$E$1216,"="&amp;$AF25,Data!$AQ$4:$AQ$1216,"="&amp;AI$1)/Y25,"-")</f>
        <v>152.41273484460365</v>
      </c>
      <c r="AJ25" s="5">
        <f ca="1">IF(Z25&gt;0,SUMIFS(Data!$O$4:$O$1216,Data!$E$4:$E$1216,"="&amp;$AF25,Data!$AQ$4:$AQ$1216,"="&amp;AJ$1)/Z25,"-")</f>
        <v>699.56154930318246</v>
      </c>
      <c r="AK25" s="5">
        <f ca="1">IF(AA25&gt;0,SUMIFS(Data!$O$4:$O$1216,Data!$E$4:$E$1216,"="&amp;$AF25,Data!$AQ$4:$AQ$1216,"="&amp;AK$1)/AA25,"-")</f>
        <v>1577.9199494712498</v>
      </c>
      <c r="AL25" s="5" t="str">
        <f>IF(AB25&gt;0,SUMIFS(Data!$O$4:$O$1216,Data!$E$4:$E$1216,"="&amp;$AF25,Data!$AQ$4:$AQ$1216,"="&amp;AL$1)/AB25,"-")</f>
        <v>-</v>
      </c>
      <c r="AM25" s="5">
        <f ca="1">IF(AC25&gt;0,SUMIFS(Data!$O$4:$O$1216,Data!$E$4:$E$1216,"="&amp;$AF25,Data!$AQ$4:$AQ$1216,"="&amp;AM$1)/AC25,"-")</f>
        <v>57.434037768599097</v>
      </c>
      <c r="AP25">
        <f t="shared" si="19"/>
        <v>2014</v>
      </c>
      <c r="AQ25" s="5">
        <f ca="1">IF(W25&gt;0,SUMIFS(Data!$R$4:$R$1216,Data!$E$4:$E$1216,"="&amp;$AF25)/W25,"-")</f>
        <v>48189785.774545357</v>
      </c>
      <c r="AR25" s="5">
        <f ca="1">IF(X25&gt;0,SUMIFS(Data!$R$4:$R$1216,Data!$E$4:$E$1216,"="&amp;$AF25,Data!$AQ$4:$AQ$1216,"="&amp;AR$1)/X25,"-")</f>
        <v>57149994.857095897</v>
      </c>
      <c r="AS25" s="5">
        <f ca="1">IF(Y25&gt;0,SUMIFS(Data!$R$4:$R$1216,Data!$E$4:$E$1216,"="&amp;$AF25,Data!$AQ$4:$AQ$1216,"="&amp;AS$1)/Y25,"-")</f>
        <v>42414.995888112127</v>
      </c>
      <c r="AT25" s="5">
        <f ca="1">IF(Z25&gt;0,SUMIFS(Data!$R$4:$R$1216,Data!$E$4:$E$1216,"="&amp;$AF25,Data!$AQ$4:$AQ$1216,"="&amp;AT$1)/Z25,"-")</f>
        <v>6653565.9233957315</v>
      </c>
      <c r="AU25" s="5">
        <f ca="1">IF(AA25&gt;0,SUMIFS(Data!$R$4:$R$1216,Data!$E$4:$E$1216,"="&amp;$AF25,Data!$AQ$4:$AQ$1216,"="&amp;AU$1)/AA25,"-")</f>
        <v>152300377.0263173</v>
      </c>
      <c r="AV25" s="5" t="str">
        <f>IF(AB25&gt;0,SUMIFS(Data!$R$4:$R$1216,Data!$E$4:$E$1216,"="&amp;$AF25,Data!$AQ$4:$AQ$1216,"="&amp;AV$1)/AB25,"-")</f>
        <v>-</v>
      </c>
      <c r="AW25" s="5">
        <f ca="1">IF(AC25&gt;0,SUMIFS(Data!$R$4:$R$1216,Data!$E$4:$E$1216,"="&amp;$AF25,Data!$AQ$4:$AQ$1216,"="&amp;AW$1)/AC25,"-")</f>
        <v>4012.2629646727846</v>
      </c>
      <c r="AZ25">
        <f t="shared" si="20"/>
        <v>2014</v>
      </c>
      <c r="BA25" s="1">
        <f t="shared" ca="1" si="21"/>
        <v>441.12561125672681</v>
      </c>
      <c r="BB25" s="1">
        <f t="shared" ca="1" si="22"/>
        <v>2059.6757016156848</v>
      </c>
      <c r="BC25" s="1">
        <f t="shared" ca="1" si="23"/>
        <v>19.208048265736398</v>
      </c>
      <c r="BD25" s="1">
        <f t="shared" ca="1" si="24"/>
        <v>413.79609720154389</v>
      </c>
      <c r="BE25" s="1">
        <f t="shared" ca="1" si="25"/>
        <v>1432.5499138277582</v>
      </c>
      <c r="BF25" s="1" t="str">
        <f t="shared" si="26"/>
        <v>-</v>
      </c>
      <c r="BG25" s="1">
        <f t="shared" ca="1" si="27"/>
        <v>9.4445372455980934</v>
      </c>
      <c r="BJ25">
        <v>2014</v>
      </c>
      <c r="BK25" s="5">
        <f>SUMPRODUCT(Data!$N$4:$N$1216,Data!CD$4:CD$1216)</f>
        <v>12.000000000000014</v>
      </c>
      <c r="BL25">
        <f ca="1">SUMPRODUCT(Data!$N$4:$N$1216,Data!$O$4:$O$1216,Data!CD$4:CD$1216)/$BK25</f>
        <v>2315.0669869551707</v>
      </c>
      <c r="BM25">
        <f t="shared" ca="1" si="28"/>
        <v>4208.7360037676781</v>
      </c>
      <c r="BN25">
        <f ca="1">SUMPRODUCT(Data!$N$4:$N$1216,Data!$R$4:$R$1216,Data!CD$4:CD$1216)/$BK25</f>
        <v>217921040.14701381</v>
      </c>
      <c r="BO25" s="5">
        <f t="shared" si="30"/>
        <v>107.00000000000001</v>
      </c>
      <c r="BP25">
        <f t="shared" ca="1" si="31"/>
        <v>433.79726845690232</v>
      </c>
      <c r="BQ25">
        <f t="shared" ca="1" si="32"/>
        <v>478.66813642528808</v>
      </c>
      <c r="BR25">
        <f t="shared" ca="1" si="33"/>
        <v>24704360.846808501</v>
      </c>
      <c r="CE25">
        <f t="shared" si="37"/>
        <v>2015</v>
      </c>
      <c r="CF25" s="7">
        <f t="shared" si="38"/>
        <v>1.3586206896551725</v>
      </c>
    </row>
    <row r="26" spans="1:94" x14ac:dyDescent="0.2">
      <c r="A26">
        <f t="shared" si="29"/>
        <v>2006</v>
      </c>
      <c r="B26">
        <f>COUNTIF(Data!D$4:D$1216,"="&amp;A26)</f>
        <v>6</v>
      </c>
      <c r="C26">
        <f>COUNTIF(Data!E$4:E$1216,"="&amp;A26)</f>
        <v>71</v>
      </c>
      <c r="D26">
        <f t="shared" si="35"/>
        <v>11.833333333333334</v>
      </c>
      <c r="E26" s="5">
        <f ca="1">SUMIF(Data!$E$4:$E$1216,"="&amp;A26,Data!O$4:O$1216)/C26</f>
        <v>192.7729546537665</v>
      </c>
      <c r="F26" s="5">
        <f ca="1">SUMIF(Data!$E$4:$E$1216,"="&amp;$A26,Data!R$4:R$1216)/$C26</f>
        <v>351571.44250195316</v>
      </c>
      <c r="G26" s="5">
        <f t="shared" ca="1" si="43"/>
        <v>560.72277504664464</v>
      </c>
      <c r="H26" s="5">
        <f t="shared" ca="1" si="39"/>
        <v>-367.94982039287811</v>
      </c>
      <c r="I26" s="5">
        <f t="shared" ca="1" si="40"/>
        <v>753.49572970041118</v>
      </c>
      <c r="J26" s="5">
        <f ca="1">SUMIF(Sheet1!$F$2:$F$1143,"="&amp;$A26,Sheet1!H$2:H$1143)</f>
        <v>-1.0105516941210007</v>
      </c>
      <c r="K26" s="5">
        <f ca="1">SUMIF(Sheet1!$F$2:$F$1143,"="&amp;$A26,Sheet1!I$2:I$1143)</f>
        <v>5.2950026937283488</v>
      </c>
      <c r="L26" s="5">
        <f ca="1">SUMIF(Sheet1!$F$2:$F$1143,"="&amp;$A26,Sheet1!J$2:J$1143)</f>
        <v>71.097990738484512</v>
      </c>
      <c r="M26" s="5">
        <f ca="1">SUMIF(Sheet1!$F$2:$F$1143,"="&amp;$A26,Sheet1!K$2:K$1143)</f>
        <v>500.74918436144497</v>
      </c>
      <c r="N26" s="5">
        <f ca="1">SUMIF(Sheet1!$F$2:$F$1143,"="&amp;$A26,Sheet1!L$2:L$1143)</f>
        <v>2619.7643678008617</v>
      </c>
      <c r="O26" s="7">
        <f>SUMIF(Sheet1!$F$2:$F$1143,"="&amp;$A26,Sheet1!M$2:M$1143)</f>
        <v>2.7166141144571894</v>
      </c>
      <c r="P26" s="7">
        <f>SUMIF(Sheet1!$F$2:$F$1143,"="&amp;$A26,Sheet1!N$2:N$1143)</f>
        <v>-4</v>
      </c>
      <c r="Q26" s="7">
        <f>SUMIF(Sheet1!$F$2:$F$1143,"="&amp;$A26,Sheet1!O$2:O$1143)</f>
        <v>0</v>
      </c>
      <c r="R26" s="7">
        <f>SUMIF(Sheet1!$F$2:$F$1143,"="&amp;$A26,Sheet1!P$2:P$1143)</f>
        <v>2</v>
      </c>
      <c r="S26" s="7">
        <f>SUMIF(Sheet1!$F$2:$F$1143,"="&amp;$A26,Sheet1!Q$2:Q$1143)</f>
        <v>6</v>
      </c>
      <c r="T26" s="7">
        <f>SUMIF(Sheet1!$F$2:$F$1143,"="&amp;$A26,Sheet1!R$2:R$1143)</f>
        <v>12.199999999999989</v>
      </c>
      <c r="V26">
        <v>2015</v>
      </c>
      <c r="W26">
        <f t="shared" si="34"/>
        <v>72</v>
      </c>
      <c r="X26">
        <f>COUNTIFS(Data!$E$4:$E$1216,"="&amp;$A35,Data!$AQ$4:$AQ$1216,"="&amp;X$1)</f>
        <v>0</v>
      </c>
      <c r="Y26">
        <f>COUNTIFS(Data!$E$4:$E$1216,"="&amp;$A35,Data!$AQ$4:$AQ$1216,"="&amp;Y$1)</f>
        <v>8</v>
      </c>
      <c r="Z26">
        <f>COUNTIFS(Data!$E$4:$E$1216,"="&amp;$A35,Data!$AQ$4:$AQ$1216,"="&amp;Z$1)</f>
        <v>0</v>
      </c>
      <c r="AA26">
        <f>COUNTIFS(Data!$E$4:$E$1216,"="&amp;$A35,Data!$AQ$4:$AQ$1216,"="&amp;AA$1)</f>
        <v>48</v>
      </c>
      <c r="AB26">
        <f>COUNTIFS(Data!$E$4:$E$1216,"="&amp;$A35,Data!$AQ$4:$AQ$1216,"="&amp;AB$1)</f>
        <v>0</v>
      </c>
      <c r="AC26">
        <f>COUNTIFS(Data!$E$4:$E$1216,"="&amp;$A35,Data!$AQ$4:$AQ$1216,"="&amp;AC$1)</f>
        <v>2</v>
      </c>
      <c r="AD26" s="7">
        <f t="shared" si="41"/>
        <v>1.3586206896551725</v>
      </c>
      <c r="AF26">
        <f t="shared" si="18"/>
        <v>2015</v>
      </c>
      <c r="AG26" s="5">
        <f ca="1">IF(W26&gt;0,SUMIFS(Data!$O$4:$O$1216,Data!$E$4:$E$1216,"="&amp;$AF26)/W26,"-")</f>
        <v>170.87722731057602</v>
      </c>
      <c r="AH26" s="5" t="str">
        <f>IF(X26&gt;0,SUMIFS(Data!$O$4:$O$1216,Data!$E$4:$E$1216,"="&amp;$AF26,Data!$AQ$4:$AQ$1216,"="&amp;AH$1)/X26,"-")</f>
        <v>-</v>
      </c>
      <c r="AI26" s="5">
        <f ca="1">IF(Y26&gt;0,SUMIFS(Data!$O$4:$O$1216,Data!$E$4:$E$1216,"="&amp;$AF26,Data!$AQ$4:$AQ$1216,"="&amp;AI$1)/Y26,"-")</f>
        <v>59.886542360409642</v>
      </c>
      <c r="AJ26" s="5" t="str">
        <f>IF(Z26&gt;0,SUMIFS(Data!$O$4:$O$1216,Data!$E$4:$E$1216,"="&amp;$AF26,Data!$AQ$4:$AQ$1216,"="&amp;AJ$1)/Z26,"-")</f>
        <v>-</v>
      </c>
      <c r="AK26" s="5">
        <f ca="1">IF(AA26&gt;0,SUMIFS(Data!$O$4:$O$1216,Data!$E$4:$E$1216,"="&amp;$AF26,Data!$AQ$4:$AQ$1216,"="&amp;AK$1)/AA26,"-")</f>
        <v>203.27214681275413</v>
      </c>
      <c r="AL26" s="5" t="str">
        <f>IF(AB26&gt;0,SUMIFS(Data!$O$4:$O$1216,Data!$E$4:$E$1216,"="&amp;$AF26,Data!$AQ$4:$AQ$1216,"="&amp;AL$1)/AB26,"-")</f>
        <v>-</v>
      </c>
      <c r="AM26" s="5">
        <f ca="1">IF(AC26&gt;0,SUMIFS(Data!$O$4:$O$1216,Data!$E$4:$E$1216,"="&amp;$AF26,Data!$AQ$4:$AQ$1216,"="&amp;AM$1)/AC26,"-")</f>
        <v>55.543152841957308</v>
      </c>
      <c r="AP26">
        <f t="shared" si="19"/>
        <v>2015</v>
      </c>
      <c r="AQ26" s="5">
        <f ca="1">IF(W26&gt;0,SUMIFS(Data!$R$4:$R$1216,Data!$E$4:$E$1216,"="&amp;$AF26)/W26,"-")</f>
        <v>118717.49986728121</v>
      </c>
      <c r="AR26" s="5" t="str">
        <f>IF(X26&gt;0,SUMIFS(Data!$R$4:$R$1216,Data!$E$4:$E$1216,"="&amp;$AF26,Data!$AQ$4:$AQ$1216,"="&amp;AR$1)/X26,"-")</f>
        <v>-</v>
      </c>
      <c r="AS26" s="5">
        <f ca="1">IF(Y26&gt;0,SUMIFS(Data!$R$4:$R$1216,Data!$E$4:$E$1216,"="&amp;$AF26,Data!$AQ$4:$AQ$1216,"="&amp;AS$1)/Y26,"-")</f>
        <v>3835.4232939643493</v>
      </c>
      <c r="AT26" s="5" t="str">
        <f>IF(Z26&gt;0,SUMIFS(Data!$R$4:$R$1216,Data!$E$4:$E$1216,"="&amp;$AF26,Data!$AQ$4:$AQ$1216,"="&amp;AT$1)/Z26,"-")</f>
        <v>-</v>
      </c>
      <c r="AU26" s="5">
        <f ca="1">IF(AA26&gt;0,SUMIFS(Data!$R$4:$R$1216,Data!$E$4:$E$1216,"="&amp;$AF26,Data!$AQ$4:$AQ$1216,"="&amp;AU$1)/AA26,"-")</f>
        <v>170211.50207520695</v>
      </c>
      <c r="AV26" s="5" t="str">
        <f>IF(AB26&gt;0,SUMIFS(Data!$R$4:$R$1216,Data!$E$4:$E$1216,"="&amp;$AF26,Data!$AQ$4:$AQ$1216,"="&amp;AV$1)/AB26,"-")</f>
        <v>-</v>
      </c>
      <c r="AW26" s="5">
        <f ca="1">IF(AC26&gt;0,SUMIFS(Data!$R$4:$R$1216,Data!$E$4:$E$1216,"="&amp;$AF26,Data!$AQ$4:$AQ$1216,"="&amp;AW$1)/AC26,"-")</f>
        <v>3214.3962446299611</v>
      </c>
      <c r="AZ26">
        <f t="shared" si="20"/>
        <v>2015</v>
      </c>
      <c r="BA26" s="1">
        <f t="shared" ca="1" si="21"/>
        <v>35.260631386137163</v>
      </c>
      <c r="BB26" s="1" t="str">
        <f t="shared" si="22"/>
        <v>-</v>
      </c>
      <c r="BC26" s="1">
        <f t="shared" ca="1" si="23"/>
        <v>5.5792622505042155</v>
      </c>
      <c r="BD26" s="1" t="str">
        <f t="shared" si="24"/>
        <v>-</v>
      </c>
      <c r="BE26" s="1">
        <f t="shared" ca="1" si="25"/>
        <v>51.81938512864923</v>
      </c>
      <c r="BF26" s="1" t="str">
        <f t="shared" si="26"/>
        <v>-</v>
      </c>
      <c r="BG26" s="1">
        <f t="shared" ca="1" si="27"/>
        <v>8.042214154228013</v>
      </c>
      <c r="BJ26">
        <v>2015</v>
      </c>
      <c r="BK26" s="5">
        <f>SUMPRODUCT(Data!$N$4:$N$1216,Data!CE$4:CE$1216)</f>
        <v>6.9999999999999929</v>
      </c>
      <c r="BL26">
        <f ca="1">SUMPRODUCT(Data!$N$4:$N$1216,Data!$O$4:$O$1216,Data!CE$4:CE$1216)/$BK26</f>
        <v>147.08387054014997</v>
      </c>
      <c r="BM26">
        <f t="shared" ca="1" si="28"/>
        <v>86.123156867960063</v>
      </c>
      <c r="BN26">
        <f ca="1">SUMPRODUCT(Data!$N$4:$N$1216,Data!$R$4:$R$1216,Data!CE$4:CE$1216)/$BK26</f>
        <v>73554.052015394336</v>
      </c>
      <c r="BO26" s="5">
        <f t="shared" si="30"/>
        <v>114</v>
      </c>
      <c r="BP26">
        <f t="shared" ca="1" si="31"/>
        <v>416.19205981289122</v>
      </c>
      <c r="BQ26">
        <f t="shared" ca="1" si="32"/>
        <v>449.35360060628977</v>
      </c>
      <c r="BR26">
        <f t="shared" ca="1" si="33"/>
        <v>23191942.885724716</v>
      </c>
      <c r="CE26" s="7"/>
    </row>
    <row r="27" spans="1:94" x14ac:dyDescent="0.2">
      <c r="A27">
        <f t="shared" si="29"/>
        <v>2007</v>
      </c>
      <c r="B27">
        <f>COUNTIF(Data!D$4:D$1216,"="&amp;A27)</f>
        <v>1</v>
      </c>
      <c r="C27">
        <f>COUNTIF(Data!E$4:E$1216,"="&amp;A27)</f>
        <v>2</v>
      </c>
      <c r="D27">
        <f t="shared" si="35"/>
        <v>2</v>
      </c>
      <c r="E27" s="5">
        <f ca="1">SUMIF(Data!$E$4:$E$1216,"="&amp;A27,Data!O$4:O$1216)/C27</f>
        <v>148.36281621930772</v>
      </c>
      <c r="F27" s="5">
        <f ca="1">SUMIF(Data!$E$4:$E$1216,"="&amp;$A27,Data!R$4:R$1216)/$C27</f>
        <v>22193.438668230883</v>
      </c>
      <c r="G27" s="5">
        <f t="shared" ca="1" si="43"/>
        <v>13.487528747209607</v>
      </c>
      <c r="H27" s="5">
        <f t="shared" ca="1" si="39"/>
        <v>134.87528747209811</v>
      </c>
      <c r="I27" s="5">
        <f t="shared" ca="1" si="40"/>
        <v>161.85034496651733</v>
      </c>
      <c r="J27" s="5">
        <f ca="1">SUMIF(Sheet1!$F$2:$F$1143,"="&amp;$A27,Sheet1!H$2:H$1143)</f>
        <v>-2.6351078265405854</v>
      </c>
      <c r="K27" s="5">
        <f ca="1">SUMIF(Sheet1!$F$2:$F$1143,"="&amp;$A27,Sheet1!I$2:I$1143)</f>
        <v>2.9581860189791218</v>
      </c>
      <c r="L27" s="5">
        <f ca="1">SUMIF(Sheet1!$F$2:$F$1143,"="&amp;$A27,Sheet1!J$2:J$1143)</f>
        <v>36.860454946312331</v>
      </c>
      <c r="M27" s="5">
        <f ca="1">SUMIF(Sheet1!$F$2:$F$1143,"="&amp;$A27,Sheet1!K$2:K$1143)</f>
        <v>220.46463902820841</v>
      </c>
      <c r="N27" s="5">
        <f ca="1">SUMIF(Sheet1!$F$2:$F$1143,"="&amp;$A27,Sheet1!L$2:L$1143)</f>
        <v>1302.045100806572</v>
      </c>
      <c r="O27" s="7">
        <f>SUMIF(Sheet1!$F$2:$F$1143,"="&amp;$A27,Sheet1!M$2:M$1143)</f>
        <v>1.4074074074074074</v>
      </c>
      <c r="P27" s="7">
        <f>SUMIF(Sheet1!$F$2:$F$1143,"="&amp;$A27,Sheet1!N$2:N$1143)</f>
        <v>-2</v>
      </c>
      <c r="Q27" s="7">
        <f>SUMIF(Sheet1!$F$2:$F$1143,"="&amp;$A27,Sheet1!O$2:O$1143)</f>
        <v>0</v>
      </c>
      <c r="R27" s="7">
        <f>SUMIF(Sheet1!$F$2:$F$1143,"="&amp;$A27,Sheet1!P$2:P$1143)</f>
        <v>1</v>
      </c>
      <c r="S27" s="7">
        <f>SUMIF(Sheet1!$F$2:$F$1143,"="&amp;$A27,Sheet1!Q$2:Q$1143)</f>
        <v>3</v>
      </c>
      <c r="T27" s="7">
        <f>SUMIF(Sheet1!$F$2:$F$1143,"="&amp;$A27,Sheet1!R$2:R$1143)</f>
        <v>5.5999999999999659</v>
      </c>
      <c r="CE27" s="7"/>
    </row>
    <row r="28" spans="1:94" x14ac:dyDescent="0.2">
      <c r="A28">
        <f t="shared" si="29"/>
        <v>2008</v>
      </c>
      <c r="B28">
        <f>COUNTIF(Data!D$4:D$1216,"="&amp;A28)</f>
        <v>3</v>
      </c>
      <c r="C28">
        <f>COUNTIF(Data!E$4:E$1216,"="&amp;A28)</f>
        <v>19</v>
      </c>
      <c r="D28">
        <f t="shared" si="35"/>
        <v>6.333333333333333</v>
      </c>
      <c r="E28" s="5">
        <f ca="1">SUMIF(Data!$E$4:$E$1216,"="&amp;A28,Data!O$4:O$1216)/C28</f>
        <v>148.15911504906512</v>
      </c>
      <c r="F28" s="5">
        <f ca="1">SUMIF(Data!$E$4:$E$1216,"="&amp;$A28,Data!R$4:R$1216)/$C28</f>
        <v>91934.350724109478</v>
      </c>
      <c r="G28" s="5">
        <f t="shared" ca="1" si="43"/>
        <v>264.54343188215307</v>
      </c>
      <c r="H28" s="5">
        <f t="shared" ca="1" si="39"/>
        <v>-116.38431683308795</v>
      </c>
      <c r="I28" s="5">
        <f t="shared" ca="1" si="40"/>
        <v>412.70254693121819</v>
      </c>
      <c r="J28" s="5">
        <f ca="1">SUMIF(Sheet1!$F$2:$F$1143,"="&amp;$A28,Sheet1!H$2:H$1143)</f>
        <v>-2.6101698975827885</v>
      </c>
      <c r="K28" s="5">
        <f ca="1">SUMIF(Sheet1!$F$2:$F$1143,"="&amp;$A28,Sheet1!I$2:I$1143)</f>
        <v>2.9831825211457392</v>
      </c>
      <c r="L28" s="5">
        <f ca="1">SUMIF(Sheet1!$F$2:$F$1143,"="&amp;$A28,Sheet1!J$2:J$1143)</f>
        <v>38.010308287591222</v>
      </c>
      <c r="M28" s="5">
        <f ca="1">SUMIF(Sheet1!$F$2:$F$1143,"="&amp;$A28,Sheet1!K$2:K$1143)</f>
        <v>219.75327049269208</v>
      </c>
      <c r="N28" s="5">
        <f ca="1">SUMIF(Sheet1!$F$2:$F$1143,"="&amp;$A28,Sheet1!L$2:L$1143)</f>
        <v>1292.792693545525</v>
      </c>
      <c r="O28" s="7">
        <f>SUMIF(Sheet1!$F$2:$F$1143,"="&amp;$A28,Sheet1!M$2:M$1143)</f>
        <v>1.3979933110367893</v>
      </c>
      <c r="P28" s="7">
        <f>SUMIF(Sheet1!$F$2:$F$1143,"="&amp;$A28,Sheet1!N$2:N$1143)</f>
        <v>-2</v>
      </c>
      <c r="Q28" s="7">
        <f>SUMIF(Sheet1!$F$2:$F$1143,"="&amp;$A28,Sheet1!O$2:O$1143)</f>
        <v>0</v>
      </c>
      <c r="R28" s="7">
        <f>SUMIF(Sheet1!$F$2:$F$1143,"="&amp;$A28,Sheet1!P$2:P$1143)</f>
        <v>1</v>
      </c>
      <c r="S28" s="7">
        <f>SUMIF(Sheet1!$F$2:$F$1143,"="&amp;$A28,Sheet1!Q$2:Q$1143)</f>
        <v>3</v>
      </c>
      <c r="T28" s="7">
        <f>SUMIF(Sheet1!$F$2:$F$1143,"="&amp;$A28,Sheet1!R$2:R$1143)</f>
        <v>5.5500000000000114</v>
      </c>
      <c r="V28">
        <f>V2</f>
        <v>1982</v>
      </c>
      <c r="W28">
        <f t="shared" ref="W28:AC28" si="45">W2</f>
        <v>2</v>
      </c>
      <c r="X28">
        <f t="shared" si="45"/>
        <v>0</v>
      </c>
      <c r="Y28">
        <f t="shared" si="45"/>
        <v>0</v>
      </c>
      <c r="Z28">
        <f t="shared" si="45"/>
        <v>2</v>
      </c>
      <c r="AA28">
        <f t="shared" si="45"/>
        <v>0</v>
      </c>
      <c r="AB28">
        <f t="shared" si="45"/>
        <v>0</v>
      </c>
      <c r="AC28">
        <f t="shared" si="45"/>
        <v>0</v>
      </c>
      <c r="AF28">
        <f>AF2</f>
        <v>1982</v>
      </c>
      <c r="AG28" s="5">
        <f ca="1">IF(W28&gt;0,SUMIFS(Data!$O$4:$O$1216,Data!$E$4:$E$1216,"&lt;="&amp;$AF28)/W28,"-")</f>
        <v>608.87816739753373</v>
      </c>
      <c r="AH28" s="5" t="str">
        <f>IF(X28&gt;0,SUMIFS(Data!$O$4:$O$1216,Data!$E$4:$E$1216,"&lt;="&amp;$AF28,Data!$AQ$4:$AQ$1216,"="&amp;AH$1)/X28,"-")</f>
        <v>-</v>
      </c>
      <c r="AI28" s="5" t="str">
        <f>IF(Y28&gt;0,SUMIFS(Data!$O$4:$O$1216,Data!$E$4:$E$1216,"&lt;="&amp;$AF28,Data!$AQ$4:$AQ$1216,"="&amp;AI$1)/Y28,"-")</f>
        <v>-</v>
      </c>
      <c r="AJ28" s="5">
        <f ca="1">IF(Z28&gt;0,SUMIFS(Data!$O$4:$O$1216,Data!$E$4:$E$1216,"&lt;="&amp;$AF28,Data!$AQ$4:$AQ$1216,"="&amp;AJ$1)/Z28,"-")</f>
        <v>608.87816739753373</v>
      </c>
      <c r="AK28" s="5" t="str">
        <f>IF(AA28&gt;0,SUMIFS(Data!$O$4:$O$1216,Data!$E$4:$E$1216,"&lt;="&amp;$AF28,Data!$AQ$4:$AQ$1216,"="&amp;AK$1)/AA28,"-")</f>
        <v>-</v>
      </c>
      <c r="AL28" s="5" t="str">
        <f>IF(AB28&gt;0,SUMIFS(Data!$O$4:$O$1216,Data!$E$4:$E$1216,"&lt;="&amp;$AF28,Data!$AQ$4:$AQ$1216,"="&amp;AL$1)/AB28,"-")</f>
        <v>-</v>
      </c>
      <c r="AM28" s="5" t="str">
        <f>IF(AC28&gt;0,SUMIFS(Data!$O$4:$O$1216,Data!$E$4:$E$1216,"&lt;="&amp;$AF28,Data!$AQ$4:$AQ$1216,"="&amp;AM$1)/AC28,"-")</f>
        <v>-</v>
      </c>
      <c r="AP28">
        <f>AP2</f>
        <v>1982</v>
      </c>
      <c r="AQ28" s="5">
        <f ca="1">IF(W28&gt;0,SUMIFS(Data!$R$4:$R$1216,Data!$E$4:$E$1216,"&lt;="&amp;$AF28)/W28,"-")</f>
        <v>579269.72302090493</v>
      </c>
      <c r="AR28" s="5" t="str">
        <f>IF(X28&gt;0,SUMIFS(Data!$R$4:$R$1216,Data!$E$4:$E$1216,"&lt;="&amp;$AF28,Data!$AQ$4:$AQ$1216,"="&amp;AR$1)/X28,"-")</f>
        <v>-</v>
      </c>
      <c r="AS28" s="5" t="str">
        <f>IF(Y28&gt;0,SUMIFS(Data!$R$4:$R$1216,Data!$E$4:$E$1216,"&lt;="&amp;$AF28,Data!$AQ$4:$AQ$1216,"="&amp;AS$1)/Y28,"-")</f>
        <v>-</v>
      </c>
      <c r="AT28" s="5">
        <f ca="1">IF(Z28&gt;0,SUMIFS(Data!$R$4:$R$1216,Data!$E$4:$E$1216,"&lt;="&amp;$AF28,Data!$AQ$4:$AQ$1216,"="&amp;AT$1)/Z28,"-")</f>
        <v>579269.72302090493</v>
      </c>
      <c r="AU28" s="5" t="str">
        <f>IF(AA28&gt;0,SUMIFS(Data!$R$4:$R$1216,Data!$E$4:$E$1216,"&lt;="&amp;$AF28,Data!$AQ$4:$AQ$1216,"="&amp;AU$1)/AA28,"-")</f>
        <v>-</v>
      </c>
      <c r="AV28" s="5" t="str">
        <f>IF(AB28&gt;0,SUMIFS(Data!$R$4:$R$1216,Data!$E$4:$E$1216,"&lt;="&amp;$AF28,Data!$AQ$4:$AQ$1216,"="&amp;AV$1)/AB28,"-")</f>
        <v>-</v>
      </c>
      <c r="AW28" s="5" t="str">
        <f>IF(AC28&gt;0,SUMIFS(Data!$R$4:$R$1216,Data!$E$4:$E$1216,"&lt;="&amp;$AF28,Data!$AQ$4:$AQ$1216,"="&amp;AW$1)/AC28,"-")</f>
        <v>-</v>
      </c>
      <c r="AZ28">
        <f>AP28</f>
        <v>1982</v>
      </c>
      <c r="BA28" s="1">
        <f ca="1">IF(W28&gt;0,SQRT(AQ28-AG28^2)/SQRT(W28),"-")</f>
        <v>322.90641081242546</v>
      </c>
      <c r="BB28" s="1" t="str">
        <f t="shared" ref="BB28:BB52" si="46">IF(X28&gt;0,SQRT(AR28-AH28^2)/SQRT(X28),"-")</f>
        <v>-</v>
      </c>
      <c r="BC28" s="1" t="str">
        <f t="shared" ref="BC28:BC52" si="47">IF(Y28&gt;0,SQRT(AS28-AI28^2)/SQRT(Y28),"-")</f>
        <v>-</v>
      </c>
      <c r="BD28" s="1">
        <f t="shared" ref="BD28:BD52" ca="1" si="48">IF(Z28&gt;0,SQRT(AT28-AJ28^2)/SQRT(Z28),"-")</f>
        <v>322.90641081242546</v>
      </c>
      <c r="BE28" s="1" t="str">
        <f t="shared" ref="BE28:BE52" si="49">IF(AA28&gt;0,SQRT(AU28-AK28^2)/SQRT(AA28),"-")</f>
        <v>-</v>
      </c>
      <c r="BF28" s="1" t="str">
        <f t="shared" ref="BF28:BF52" si="50">IF(AB28&gt;0,SQRT(AV28-AL28^2)/SQRT(AB28),"-")</f>
        <v>-</v>
      </c>
      <c r="BG28" s="1" t="str">
        <f t="shared" ref="BG28:BG52" si="51">IF(AC28&gt;0,SQRT(AW28-AM28^2)/SQRT(AC28),"-")</f>
        <v>-</v>
      </c>
      <c r="CE28" s="7"/>
    </row>
    <row r="29" spans="1:94" x14ac:dyDescent="0.2">
      <c r="A29">
        <f t="shared" si="29"/>
        <v>2009</v>
      </c>
      <c r="B29">
        <f>COUNTIF(Data!D$4:D$1216,"="&amp;A29)</f>
        <v>5</v>
      </c>
      <c r="C29">
        <f>COUNTIF(Data!E$4:E$1216,"="&amp;A29)</f>
        <v>57</v>
      </c>
      <c r="D29">
        <f t="shared" si="35"/>
        <v>11.4</v>
      </c>
      <c r="E29" s="5">
        <f ca="1">SUMIF(Data!$E$4:$E$1216,"="&amp;A29,Data!O$4:O$1216)/C29</f>
        <v>55.924155754216251</v>
      </c>
      <c r="F29" s="5">
        <f ca="1">SUMIF(Data!$E$4:$E$1216,"="&amp;$A29,Data!R$4:R$1216)/$C29</f>
        <v>9630.9548762988652</v>
      </c>
      <c r="G29" s="5">
        <f t="shared" ca="1" si="43"/>
        <v>80.643931448541281</v>
      </c>
      <c r="H29" s="5">
        <f t="shared" ca="1" si="39"/>
        <v>-24.71977569432503</v>
      </c>
      <c r="I29" s="5">
        <f t="shared" ca="1" si="40"/>
        <v>136.56808720275754</v>
      </c>
      <c r="J29" s="5">
        <f ca="1">SUMIF(Sheet1!$F$2:$F$1143,"="&amp;$A29,Sheet1!H$2:H$1143)</f>
        <v>-2.3732595724837133</v>
      </c>
      <c r="K29" s="5">
        <f ca="1">SUMIF(Sheet1!$F$2:$F$1143,"="&amp;$A29,Sheet1!I$2:I$1143)</f>
        <v>3.3073014644850907</v>
      </c>
      <c r="L29" s="5">
        <f ca="1">SUMIF(Sheet1!$F$2:$F$1143,"="&amp;$A29,Sheet1!J$2:J$1143)</f>
        <v>37.435381616951773</v>
      </c>
      <c r="M29" s="5">
        <f ca="1">SUMIF(Sheet1!$F$2:$F$1143,"="&amp;$A29,Sheet1!K$2:K$1143)</f>
        <v>226.95522031937912</v>
      </c>
      <c r="N29" s="5">
        <f ca="1">SUMIF(Sheet1!$F$2:$F$1143,"="&amp;$A29,Sheet1!L$2:L$1143)</f>
        <v>1246.8206946554144</v>
      </c>
      <c r="O29" s="7">
        <f>SUMIF(Sheet1!$F$2:$F$1143,"="&amp;$A29,Sheet1!M$2:M$1143)</f>
        <v>1.4276729559748427</v>
      </c>
      <c r="P29" s="7">
        <f>SUMIF(Sheet1!$F$2:$F$1143,"="&amp;$A29,Sheet1!N$2:N$1143)</f>
        <v>-2</v>
      </c>
      <c r="Q29" s="7">
        <f>SUMIF(Sheet1!$F$2:$F$1143,"="&amp;$A29,Sheet1!O$2:O$1143)</f>
        <v>0</v>
      </c>
      <c r="R29" s="7">
        <f>SUMIF(Sheet1!$F$2:$F$1143,"="&amp;$A29,Sheet1!P$2:P$1143)</f>
        <v>1</v>
      </c>
      <c r="S29" s="7">
        <f>SUMIF(Sheet1!$F$2:$F$1143,"="&amp;$A29,Sheet1!Q$2:Q$1143)</f>
        <v>3</v>
      </c>
      <c r="T29" s="7">
        <f>SUMIF(Sheet1!$F$2:$F$1143,"="&amp;$A29,Sheet1!R$2:R$1143)</f>
        <v>5.0749999999999886</v>
      </c>
      <c r="V29">
        <f t="shared" ref="V29:V52" si="52">V3</f>
        <v>1991</v>
      </c>
      <c r="W29">
        <f>W3+W28</f>
        <v>12</v>
      </c>
      <c r="X29">
        <f t="shared" ref="X29:AC29" si="53">X3+X28</f>
        <v>3</v>
      </c>
      <c r="Y29">
        <f t="shared" si="53"/>
        <v>0</v>
      </c>
      <c r="Z29">
        <f t="shared" si="53"/>
        <v>6</v>
      </c>
      <c r="AA29">
        <f t="shared" si="53"/>
        <v>0</v>
      </c>
      <c r="AB29">
        <f t="shared" si="53"/>
        <v>0</v>
      </c>
      <c r="AC29">
        <f t="shared" si="53"/>
        <v>0</v>
      </c>
      <c r="AF29">
        <f t="shared" ref="AF29:AF52" si="54">AF3</f>
        <v>1991</v>
      </c>
      <c r="AG29" s="5">
        <f ca="1">IF(W29&gt;0,SUMIFS(Data!$O$4:$O$1216,Data!$E$4:$E$1216,"&lt;="&amp;$AF29)/W29,"-")</f>
        <v>222.94211129652658</v>
      </c>
      <c r="AH29" s="5">
        <f ca="1">IF(X29&gt;0,SUMIFS(Data!$O$4:$O$1216,Data!$E$4:$E$1216,"&lt;="&amp;$AF29,Data!$AQ$4:$AQ$1216,"="&amp;AH$1)/X29,"-")</f>
        <v>310.92869742933834</v>
      </c>
      <c r="AI29" s="5" t="str">
        <f>IF(Y29&gt;0,SUMIFS(Data!$O$4:$O$1216,Data!$E$4:$E$1216,"&lt;="&amp;$AF29,Data!$AQ$4:$AQ$1216,"="&amp;AI$1)/Y29,"-")</f>
        <v>-</v>
      </c>
      <c r="AJ29" s="5">
        <f ca="1">IF(Z29&gt;0,SUMIFS(Data!$O$4:$O$1216,Data!$E$4:$E$1216,"&lt;="&amp;$AF29,Data!$AQ$4:$AQ$1216,"="&amp;AJ$1)/Z29,"-")</f>
        <v>284.65978554989834</v>
      </c>
      <c r="AK29" s="5" t="str">
        <f>IF(AA29&gt;0,SUMIFS(Data!$O$4:$O$1216,Data!$E$4:$E$1216,"&lt;="&amp;$AF29,Data!$AQ$4:$AQ$1216,"="&amp;AK$1)/AA29,"-")</f>
        <v>-</v>
      </c>
      <c r="AL29" s="5" t="str">
        <f>IF(AB29&gt;0,SUMIFS(Data!$O$4:$O$1216,Data!$E$4:$E$1216,"&lt;="&amp;$AF29,Data!$AQ$4:$AQ$1216,"="&amp;AL$1)/AB29,"-")</f>
        <v>-</v>
      </c>
      <c r="AM29" s="5" t="str">
        <f>IF(AC29&gt;0,SUMIFS(Data!$O$4:$O$1216,Data!$E$4:$E$1216,"&lt;="&amp;$AF29,Data!$AQ$4:$AQ$1216,"="&amp;AM$1)/AC29,"-")</f>
        <v>-</v>
      </c>
      <c r="AP29">
        <f t="shared" ref="AP29:AP52" si="55">AP3</f>
        <v>1991</v>
      </c>
      <c r="AQ29" s="5">
        <f ca="1">IF(W29&gt;0,SUMIFS(Data!$R$4:$R$1216,Data!$E$4:$E$1216,"&lt;="&amp;$AF29)/W29,"-")</f>
        <v>139732.52452101471</v>
      </c>
      <c r="AR29" s="5">
        <f ca="1">IF(X29&gt;0,SUMIFS(Data!$R$4:$R$1216,Data!$E$4:$E$1216,"&lt;="&amp;$AF29,Data!$AQ$4:$AQ$1216,"="&amp;AR$1)/X29,"-")</f>
        <v>139013.89037188</v>
      </c>
      <c r="AS29" s="5" t="str">
        <f>IF(Y29&gt;0,SUMIFS(Data!$R$4:$R$1216,Data!$E$4:$E$1216,"&lt;="&amp;$AF29,Data!$AQ$4:$AQ$1216,"="&amp;AS$1)/Y29,"-")</f>
        <v>-</v>
      </c>
      <c r="AT29" s="5">
        <f ca="1">IF(Z29&gt;0,SUMIFS(Data!$R$4:$R$1216,Data!$E$4:$E$1216,"&lt;="&amp;$AF29,Data!$AQ$4:$AQ$1216,"="&amp;AT$1)/Z29,"-")</f>
        <v>209862.89213456269</v>
      </c>
      <c r="AU29" s="5" t="str">
        <f>IF(AA29&gt;0,SUMIFS(Data!$R$4:$R$1216,Data!$E$4:$E$1216,"&lt;="&amp;$AF29,Data!$AQ$4:$AQ$1216,"="&amp;AU$1)/AA29,"-")</f>
        <v>-</v>
      </c>
      <c r="AV29" s="5" t="str">
        <f>IF(AB29&gt;0,SUMIFS(Data!$R$4:$R$1216,Data!$E$4:$E$1216,"&lt;="&amp;$AF29,Data!$AQ$4:$AQ$1216,"="&amp;AV$1)/AB29,"-")</f>
        <v>-</v>
      </c>
      <c r="AW29" s="5" t="str">
        <f>IF(AC29&gt;0,SUMIFS(Data!$R$4:$R$1216,Data!$E$4:$E$1216,"&lt;="&amp;$AF29,Data!$AQ$4:$AQ$1216,"="&amp;AW$1)/AC29,"-")</f>
        <v>-</v>
      </c>
      <c r="AZ29">
        <f t="shared" ref="AZ29:AZ52" si="56">AP29</f>
        <v>1991</v>
      </c>
      <c r="BA29" s="1">
        <f t="shared" ref="BA29:BA52" ca="1" si="57">IF(W29&gt;0,SQRT(AQ29-AG29^2)/SQRT(W29),"-")</f>
        <v>86.616655216949042</v>
      </c>
      <c r="BB29" s="1">
        <f t="shared" ca="1" si="46"/>
        <v>118.79567260184602</v>
      </c>
      <c r="BC29" s="1" t="str">
        <f t="shared" si="47"/>
        <v>-</v>
      </c>
      <c r="BD29" s="1">
        <f t="shared" ca="1" si="48"/>
        <v>146.53310128047781</v>
      </c>
      <c r="BE29" s="1" t="str">
        <f t="shared" si="49"/>
        <v>-</v>
      </c>
      <c r="BF29" s="1" t="str">
        <f t="shared" si="50"/>
        <v>-</v>
      </c>
      <c r="BG29" s="1" t="str">
        <f t="shared" si="51"/>
        <v>-</v>
      </c>
      <c r="CE29" s="7"/>
    </row>
    <row r="30" spans="1:94" x14ac:dyDescent="0.2">
      <c r="A30">
        <f t="shared" si="29"/>
        <v>2010</v>
      </c>
      <c r="B30">
        <f>COUNTIF(Data!D$4:D$1216,"="&amp;A30)</f>
        <v>6</v>
      </c>
      <c r="C30">
        <f>COUNTIF(Data!E$4:E$1216,"="&amp;A30)</f>
        <v>25</v>
      </c>
      <c r="D30">
        <f t="shared" si="35"/>
        <v>4.166666666666667</v>
      </c>
      <c r="E30" s="5">
        <f ca="1">SUMIF(Data!$E$4:$E$1216,"="&amp;A30,Data!O$4:O$1216)/C30</f>
        <v>57.641126849275253</v>
      </c>
      <c r="F30" s="5">
        <f ca="1">SUMIF(Data!$E$4:$E$1216,"="&amp;$A30,Data!R$4:R$1216)/$C30</f>
        <v>7994.7670887521863</v>
      </c>
      <c r="G30" s="5">
        <f t="shared" ca="1" si="43"/>
        <v>68.353987332839225</v>
      </c>
      <c r="H30" s="5">
        <f t="shared" ca="1" si="39"/>
        <v>-10.712860483563972</v>
      </c>
      <c r="I30" s="5">
        <f t="shared" ca="1" si="40"/>
        <v>125.99511418211448</v>
      </c>
      <c r="J30" s="5">
        <f ca="1">SUMIF(Sheet1!$F$2:$F$1143,"="&amp;$A30,Sheet1!H$2:H$1143)</f>
        <v>-4.1493595800524936</v>
      </c>
      <c r="K30" s="5">
        <f ca="1">SUMIF(Sheet1!$F$2:$F$1143,"="&amp;$A30,Sheet1!I$2:I$1143)</f>
        <v>1.4741694560324998</v>
      </c>
      <c r="L30" s="5">
        <f ca="1">SUMIF(Sheet1!$F$2:$F$1143,"="&amp;$A30,Sheet1!J$2:J$1143)</f>
        <v>33.819341167042261</v>
      </c>
      <c r="M30" s="5">
        <f ca="1">SUMIF(Sheet1!$F$2:$F$1143,"="&amp;$A30,Sheet1!K$2:K$1143)</f>
        <v>191.46239168394251</v>
      </c>
      <c r="N30" s="5">
        <f ca="1">SUMIF(Sheet1!$F$2:$F$1143,"="&amp;$A30,Sheet1!L$2:L$1143)</f>
        <v>1126.2493628467205</v>
      </c>
      <c r="O30" s="7">
        <f>SUMIF(Sheet1!$F$2:$F$1143,"="&amp;$A30,Sheet1!M$2:M$1143)</f>
        <v>1.4180790960451977</v>
      </c>
      <c r="P30" s="7">
        <f>SUMIF(Sheet1!$F$2:$F$1143,"="&amp;$A30,Sheet1!N$2:N$1143)</f>
        <v>-2</v>
      </c>
      <c r="Q30" s="7">
        <f>SUMIF(Sheet1!$F$2:$F$1143,"="&amp;$A30,Sheet1!O$2:O$1143)</f>
        <v>0</v>
      </c>
      <c r="R30" s="7">
        <f>SUMIF(Sheet1!$F$2:$F$1143,"="&amp;$A30,Sheet1!P$2:P$1143)</f>
        <v>1</v>
      </c>
      <c r="S30" s="7">
        <f>SUMIF(Sheet1!$F$2:$F$1143,"="&amp;$A30,Sheet1!Q$2:Q$1143)</f>
        <v>3</v>
      </c>
      <c r="T30" s="7">
        <f>SUMIF(Sheet1!$F$2:$F$1143,"="&amp;$A30,Sheet1!R$2:R$1143)</f>
        <v>5</v>
      </c>
      <c r="V30">
        <f t="shared" si="52"/>
        <v>1992</v>
      </c>
      <c r="W30">
        <f t="shared" ref="W30:W52" si="58">W4+W29</f>
        <v>16</v>
      </c>
      <c r="X30">
        <f t="shared" ref="X30:X52" si="59">X4+X29</f>
        <v>3</v>
      </c>
      <c r="Y30">
        <f t="shared" ref="Y30:Y52" si="60">Y4+Y29</f>
        <v>0</v>
      </c>
      <c r="Z30">
        <f t="shared" ref="Z30:Z52" si="61">Z4+Z29</f>
        <v>6</v>
      </c>
      <c r="AA30">
        <f t="shared" ref="AA30:AA52" si="62">AA4+AA29</f>
        <v>0</v>
      </c>
      <c r="AB30">
        <f t="shared" ref="AB30:AB52" si="63">AB4+AB29</f>
        <v>2</v>
      </c>
      <c r="AC30">
        <f t="shared" ref="AC30:AC52" si="64">AC4+AC29</f>
        <v>0</v>
      </c>
      <c r="AF30">
        <f t="shared" si="54"/>
        <v>1992</v>
      </c>
      <c r="AG30" s="5">
        <f ca="1">IF(W30&gt;0,SUMIFS(Data!$O$4:$O$1216,Data!$E$4:$E$1216,"&lt;="&amp;$AF30)/W30,"-")</f>
        <v>416.74137909568663</v>
      </c>
      <c r="AH30" s="5">
        <f ca="1">IF(X30&gt;0,SUMIFS(Data!$O$4:$O$1216,Data!$E$4:$E$1216,"&lt;="&amp;$AF30,Data!$AQ$4:$AQ$1216,"="&amp;AH$1)/X30,"-")</f>
        <v>310.92869742933834</v>
      </c>
      <c r="AI30" s="5" t="str">
        <f>IF(Y30&gt;0,SUMIFS(Data!$O$4:$O$1216,Data!$E$4:$E$1216,"&lt;="&amp;$AF30,Data!$AQ$4:$AQ$1216,"="&amp;AI$1)/Y30,"-")</f>
        <v>-</v>
      </c>
      <c r="AJ30" s="5">
        <f ca="1">IF(Z30&gt;0,SUMIFS(Data!$O$4:$O$1216,Data!$E$4:$E$1216,"&lt;="&amp;$AF30,Data!$AQ$4:$AQ$1216,"="&amp;AJ$1)/Z30,"-")</f>
        <v>284.65978554989834</v>
      </c>
      <c r="AK30" s="5" t="str">
        <f>IF(AA30&gt;0,SUMIFS(Data!$O$4:$O$1216,Data!$E$4:$E$1216,"&lt;="&amp;$AF30,Data!$AQ$4:$AQ$1216,"="&amp;AK$1)/AA30,"-")</f>
        <v>-</v>
      </c>
      <c r="AL30" s="5">
        <f ca="1">IF(AB30&gt;0,SUMIFS(Data!$O$4:$O$1216,Data!$E$4:$E$1216,"&lt;="&amp;$AF30,Data!$AQ$4:$AQ$1216,"="&amp;AL$1)/AB30,"-")</f>
        <v>42.153098551811055</v>
      </c>
      <c r="AM30" s="5" t="str">
        <f>IF(AC30&gt;0,SUMIFS(Data!$O$4:$O$1216,Data!$E$4:$E$1216,"&lt;="&amp;$AF30,Data!$AQ$4:$AQ$1216,"="&amp;AM$1)/AC30,"-")</f>
        <v>-</v>
      </c>
      <c r="AP30">
        <f t="shared" si="55"/>
        <v>1992</v>
      </c>
      <c r="AQ30" s="5">
        <f ca="1">IF(W30&gt;0,SUMIFS(Data!$R$4:$R$1216,Data!$E$4:$E$1216,"&lt;="&amp;$AF30)/W30,"-")</f>
        <v>987365.36137963505</v>
      </c>
      <c r="AR30" s="5">
        <f ca="1">IF(X30&gt;0,SUMIFS(Data!$R$4:$R$1216,Data!$E$4:$E$1216,"&lt;="&amp;$AF30,Data!$AQ$4:$AQ$1216,"="&amp;AR$1)/X30,"-")</f>
        <v>139013.89037188</v>
      </c>
      <c r="AS30" s="5" t="str">
        <f>IF(Y30&gt;0,SUMIFS(Data!$R$4:$R$1216,Data!$E$4:$E$1216,"&lt;="&amp;$AF30,Data!$AQ$4:$AQ$1216,"="&amp;AS$1)/Y30,"-")</f>
        <v>-</v>
      </c>
      <c r="AT30" s="5">
        <f ca="1">IF(Z30&gt;0,SUMIFS(Data!$R$4:$R$1216,Data!$E$4:$E$1216,"&lt;="&amp;$AF30,Data!$AQ$4:$AQ$1216,"="&amp;AT$1)/Z30,"-")</f>
        <v>209862.89213456269</v>
      </c>
      <c r="AU30" s="5" t="str">
        <f>IF(AA30&gt;0,SUMIFS(Data!$R$4:$R$1216,Data!$E$4:$E$1216,"&lt;="&amp;$AF30,Data!$AQ$4:$AQ$1216,"="&amp;AU$1)/AA30,"-")</f>
        <v>-</v>
      </c>
      <c r="AV30" s="5">
        <f ca="1">IF(AB30&gt;0,SUMIFS(Data!$R$4:$R$1216,Data!$E$4:$E$1216,"&lt;="&amp;$AF30,Data!$AQ$4:$AQ$1216,"="&amp;AV$1)/AB30,"-")</f>
        <v>1780.7904541976122</v>
      </c>
      <c r="AW30" s="5" t="str">
        <f>IF(AC30&gt;0,SUMIFS(Data!$R$4:$R$1216,Data!$E$4:$E$1216,"&lt;="&amp;$AF30,Data!$AQ$4:$AQ$1216,"="&amp;AW$1)/AC30,"-")</f>
        <v>-</v>
      </c>
      <c r="AZ30">
        <f t="shared" si="56"/>
        <v>1992</v>
      </c>
      <c r="BA30" s="1">
        <f t="shared" ca="1" si="57"/>
        <v>225.51219262063475</v>
      </c>
      <c r="BB30" s="1">
        <f t="shared" ca="1" si="46"/>
        <v>118.79567260184602</v>
      </c>
      <c r="BC30" s="1" t="str">
        <f t="shared" si="47"/>
        <v>-</v>
      </c>
      <c r="BD30" s="1">
        <f t="shared" ca="1" si="48"/>
        <v>146.53310128047781</v>
      </c>
      <c r="BE30" s="1" t="str">
        <f t="shared" si="49"/>
        <v>-</v>
      </c>
      <c r="BF30" s="1">
        <f t="shared" ca="1" si="50"/>
        <v>1.3976295429971801</v>
      </c>
      <c r="BG30" s="1" t="str">
        <f t="shared" si="51"/>
        <v>-</v>
      </c>
      <c r="CE30" s="7"/>
    </row>
    <row r="31" spans="1:94" x14ac:dyDescent="0.2">
      <c r="A31">
        <f t="shared" si="29"/>
        <v>2011</v>
      </c>
      <c r="B31">
        <f>COUNTIF(Data!D$4:D$1216,"="&amp;A31)</f>
        <v>8</v>
      </c>
      <c r="C31">
        <f>COUNTIF(Data!E$4:E$1216,"="&amp;A31)</f>
        <v>131</v>
      </c>
      <c r="D31">
        <f t="shared" si="35"/>
        <v>16.375</v>
      </c>
      <c r="E31" s="5">
        <f ca="1">SUMIF(Data!$E$4:$E$1216,"="&amp;A31,Data!O$4:O$1216)/C31</f>
        <v>333.21302487383099</v>
      </c>
      <c r="F31" s="5">
        <f ca="1">SUMIF(Data!$E$4:$E$1216,"="&amp;$A31,Data!R$4:R$1216)/$C31</f>
        <v>885089.89660590899</v>
      </c>
      <c r="G31" s="5">
        <f t="shared" ca="1" si="43"/>
        <v>879.80621540219909</v>
      </c>
      <c r="H31" s="5">
        <f t="shared" ca="1" si="39"/>
        <v>-546.59319052836804</v>
      </c>
      <c r="I31" s="5">
        <f t="shared" ca="1" si="40"/>
        <v>1213.0192402760301</v>
      </c>
      <c r="J31" s="5">
        <f ca="1">SUMIF(Sheet1!$F$2:$F$1143,"="&amp;$A31,Sheet1!H$2:H$1143)</f>
        <v>-4.1493595800524936</v>
      </c>
      <c r="K31" s="5">
        <f ca="1">SUMIF(Sheet1!$F$2:$F$1143,"="&amp;$A31,Sheet1!I$2:I$1143)</f>
        <v>2.1388579511305732</v>
      </c>
      <c r="L31" s="5">
        <f ca="1">SUMIF(Sheet1!$F$2:$F$1143,"="&amp;$A31,Sheet1!J$2:J$1143)</f>
        <v>33.053542446246631</v>
      </c>
      <c r="M31" s="5">
        <f ca="1">SUMIF(Sheet1!$F$2:$F$1143,"="&amp;$A31,Sheet1!K$2:K$1143)</f>
        <v>182.11948132765423</v>
      </c>
      <c r="N31" s="5">
        <f ca="1">SUMIF(Sheet1!$F$2:$F$1143,"="&amp;$A31,Sheet1!L$2:L$1143)</f>
        <v>1102.0664033954088</v>
      </c>
      <c r="O31" s="7">
        <f>SUMIF(Sheet1!$F$2:$F$1143,"="&amp;$A31,Sheet1!M$2:M$1143)</f>
        <v>1.4133333333333333</v>
      </c>
      <c r="P31" s="7">
        <f>SUMIF(Sheet1!$F$2:$F$1143,"="&amp;$A31,Sheet1!N$2:N$1143)</f>
        <v>-1.6500000000000004</v>
      </c>
      <c r="Q31" s="7">
        <f>SUMIF(Sheet1!$F$2:$F$1143,"="&amp;$A31,Sheet1!O$2:O$1143)</f>
        <v>0</v>
      </c>
      <c r="R31" s="7">
        <f>SUMIF(Sheet1!$F$2:$F$1143,"="&amp;$A31,Sheet1!P$2:P$1143)</f>
        <v>1</v>
      </c>
      <c r="S31" s="7">
        <f>SUMIF(Sheet1!$F$2:$F$1143,"="&amp;$A31,Sheet1!Q$2:Q$1143)</f>
        <v>3</v>
      </c>
      <c r="T31" s="7">
        <f>SUMIF(Sheet1!$F$2:$F$1143,"="&amp;$A31,Sheet1!R$2:R$1143)</f>
        <v>5</v>
      </c>
      <c r="V31">
        <f t="shared" si="52"/>
        <v>1993</v>
      </c>
      <c r="W31">
        <f t="shared" si="58"/>
        <v>115</v>
      </c>
      <c r="X31">
        <f t="shared" si="59"/>
        <v>65</v>
      </c>
      <c r="Y31">
        <f t="shared" si="60"/>
        <v>0</v>
      </c>
      <c r="Z31">
        <f t="shared" si="61"/>
        <v>6</v>
      </c>
      <c r="AA31">
        <f t="shared" si="62"/>
        <v>0</v>
      </c>
      <c r="AB31">
        <f t="shared" si="63"/>
        <v>5</v>
      </c>
      <c r="AC31">
        <f t="shared" si="64"/>
        <v>30</v>
      </c>
      <c r="AF31">
        <f t="shared" si="54"/>
        <v>1993</v>
      </c>
      <c r="AG31" s="5">
        <f ca="1">IF(W31&gt;0,SUMIFS(Data!$O$4:$O$1216,Data!$E$4:$E$1216,"&lt;="&amp;$AF31)/W31,"-")</f>
        <v>186.98440557572124</v>
      </c>
      <c r="AH31" s="5">
        <f ca="1">IF(X31&gt;0,SUMIFS(Data!$O$4:$O$1216,Data!$E$4:$E$1216,"&lt;="&amp;$AF31,Data!$AQ$4:$AQ$1216,"="&amp;AH$1)/X31,"-")</f>
        <v>225.5540583016116</v>
      </c>
      <c r="AI31" s="5" t="str">
        <f>IF(Y31&gt;0,SUMIFS(Data!$O$4:$O$1216,Data!$E$4:$E$1216,"&lt;="&amp;$AF31,Data!$AQ$4:$AQ$1216,"="&amp;AI$1)/Y31,"-")</f>
        <v>-</v>
      </c>
      <c r="AJ31" s="5">
        <f ca="1">IF(Z31&gt;0,SUMIFS(Data!$O$4:$O$1216,Data!$E$4:$E$1216,"&lt;="&amp;$AF31,Data!$AQ$4:$AQ$1216,"="&amp;AJ$1)/Z31,"-")</f>
        <v>284.65978554989834</v>
      </c>
      <c r="AK31" s="5" t="str">
        <f>IF(AA31&gt;0,SUMIFS(Data!$O$4:$O$1216,Data!$E$4:$E$1216,"&lt;="&amp;$AF31,Data!$AQ$4:$AQ$1216,"="&amp;AK$1)/AA31,"-")</f>
        <v>-</v>
      </c>
      <c r="AL31" s="5">
        <f ca="1">IF(AB31&gt;0,SUMIFS(Data!$O$4:$O$1216,Data!$E$4:$E$1216,"&lt;="&amp;$AF31,Data!$AQ$4:$AQ$1216,"="&amp;AL$1)/AB31,"-")</f>
        <v>23.421561812052932</v>
      </c>
      <c r="AM31" s="5">
        <f ca="1">IF(AC31&gt;0,SUMIFS(Data!$O$4:$O$1216,Data!$E$4:$E$1216,"&lt;="&amp;$AF31,Data!$AQ$4:$AQ$1216,"="&amp;AM$1)/AC31,"-")</f>
        <v>31.662238130967527</v>
      </c>
      <c r="AP31">
        <f t="shared" si="55"/>
        <v>1993</v>
      </c>
      <c r="AQ31" s="5">
        <f ca="1">IF(W31&gt;0,SUMIFS(Data!$R$4:$R$1216,Data!$E$4:$E$1216,"&lt;="&amp;$AF31)/W31,"-")</f>
        <v>595317.36905572168</v>
      </c>
      <c r="AR31" s="5">
        <f ca="1">IF(X31&gt;0,SUMIFS(Data!$R$4:$R$1216,Data!$E$4:$E$1216,"&lt;="&amp;$AF31,Data!$AQ$4:$AQ$1216,"="&amp;AR$1)/X31,"-")</f>
        <v>815969.93170210463</v>
      </c>
      <c r="AS31" s="5" t="str">
        <f>IF(Y31&gt;0,SUMIFS(Data!$R$4:$R$1216,Data!$E$4:$E$1216,"&lt;="&amp;$AF31,Data!$AQ$4:$AQ$1216,"="&amp;AS$1)/Y31,"-")</f>
        <v>-</v>
      </c>
      <c r="AT31" s="5">
        <f ca="1">IF(Z31&gt;0,SUMIFS(Data!$R$4:$R$1216,Data!$E$4:$E$1216,"&lt;="&amp;$AF31,Data!$AQ$4:$AQ$1216,"="&amp;AT$1)/Z31,"-")</f>
        <v>209862.89213456269</v>
      </c>
      <c r="AU31" s="5" t="str">
        <f>IF(AA31&gt;0,SUMIFS(Data!$R$4:$R$1216,Data!$E$4:$E$1216,"&lt;="&amp;$AF31,Data!$AQ$4:$AQ$1216,"="&amp;AU$1)/AA31,"-")</f>
        <v>-</v>
      </c>
      <c r="AV31" s="5">
        <f ca="1">IF(AB31&gt;0,SUMIFS(Data!$R$4:$R$1216,Data!$E$4:$E$1216,"&lt;="&amp;$AF31,Data!$AQ$4:$AQ$1216,"="&amp;AV$1)/AB31,"-")</f>
        <v>816.16447692560644</v>
      </c>
      <c r="AW31" s="5">
        <f ca="1">IF(AC31&gt;0,SUMIFS(Data!$R$4:$R$1216,Data!$E$4:$E$1216,"&lt;="&amp;$AF31,Data!$AQ$4:$AQ$1216,"="&amp;AW$1)/AC31,"-")</f>
        <v>1237.4638424204063</v>
      </c>
      <c r="AZ31">
        <f t="shared" si="56"/>
        <v>1993</v>
      </c>
      <c r="BA31" s="1">
        <f t="shared" ca="1" si="57"/>
        <v>69.804335303712918</v>
      </c>
      <c r="BB31" s="1">
        <f t="shared" ca="1" si="46"/>
        <v>108.49284262006042</v>
      </c>
      <c r="BC31" s="1" t="str">
        <f t="shared" si="47"/>
        <v>-</v>
      </c>
      <c r="BD31" s="1">
        <f t="shared" ca="1" si="48"/>
        <v>146.53310128047781</v>
      </c>
      <c r="BE31" s="1" t="str">
        <f t="shared" si="49"/>
        <v>-</v>
      </c>
      <c r="BF31" s="1">
        <f t="shared" ca="1" si="50"/>
        <v>7.3156670127855072</v>
      </c>
      <c r="BG31" s="1">
        <f t="shared" ca="1" si="51"/>
        <v>2.798609886820671</v>
      </c>
    </row>
    <row r="32" spans="1:94" x14ac:dyDescent="0.2">
      <c r="A32">
        <f t="shared" si="29"/>
        <v>2012</v>
      </c>
      <c r="B32">
        <f>COUNTIF(Data!D$4:D$1216,"="&amp;A32)</f>
        <v>10</v>
      </c>
      <c r="C32">
        <f>COUNTIF(Data!E$4:E$1216,"="&amp;A32)</f>
        <v>230</v>
      </c>
      <c r="D32">
        <f t="shared" si="35"/>
        <v>23</v>
      </c>
      <c r="E32" s="5">
        <f ca="1">SUMIF(Data!$E$4:$E$1216,"="&amp;A32,Data!O$4:O$1216)/C32</f>
        <v>106.79507908195839</v>
      </c>
      <c r="F32" s="5">
        <f ca="1">SUMIF(Data!$E$4:$E$1216,"="&amp;$A32,Data!R$4:R$1216)/$C32</f>
        <v>38090.599804909296</v>
      </c>
      <c r="G32" s="5">
        <f t="shared" ca="1" si="43"/>
        <v>163.35669832849692</v>
      </c>
      <c r="H32" s="5">
        <f t="shared" ca="1" si="39"/>
        <v>-56.561619246538527</v>
      </c>
      <c r="I32" s="5">
        <f t="shared" ca="1" si="40"/>
        <v>270.15177741045534</v>
      </c>
      <c r="J32" s="5">
        <f ca="1">SUMIF(Sheet1!$F$2:$F$1143,"="&amp;$A32,Sheet1!H$2:H$1143)</f>
        <v>-3.8238157735289251</v>
      </c>
      <c r="K32" s="5">
        <f ca="1">SUMIF(Sheet1!$F$2:$F$1143,"="&amp;$A32,Sheet1!I$2:I$1143)</f>
        <v>3.8191206393393822</v>
      </c>
      <c r="L32" s="5">
        <f ca="1">SUMIF(Sheet1!$F$2:$F$1143,"="&amp;$A32,Sheet1!J$2:J$1143)</f>
        <v>41.545638202606931</v>
      </c>
      <c r="M32" s="5">
        <f ca="1">SUMIF(Sheet1!$F$2:$F$1143,"="&amp;$A32,Sheet1!K$2:K$1143)</f>
        <v>265.64322815143237</v>
      </c>
      <c r="N32" s="5">
        <f ca="1">SUMIF(Sheet1!$F$2:$F$1143,"="&amp;$A32,Sheet1!L$2:L$1143)</f>
        <v>1331.2477479365909</v>
      </c>
      <c r="O32" s="7">
        <f>SUMIF(Sheet1!$F$2:$F$1143,"="&amp;$A32,Sheet1!M$2:M$1143)</f>
        <v>1.3828920570264771</v>
      </c>
      <c r="P32" s="7">
        <f>SUMIF(Sheet1!$F$2:$F$1143,"="&amp;$A32,Sheet1!N$2:N$1143)</f>
        <v>-1</v>
      </c>
      <c r="Q32" s="7">
        <f>SUMIF(Sheet1!$F$2:$F$1143,"="&amp;$A32,Sheet1!O$2:O$1143)</f>
        <v>0</v>
      </c>
      <c r="R32" s="7">
        <f>SUMIF(Sheet1!$F$2:$F$1143,"="&amp;$A32,Sheet1!P$2:P$1143)</f>
        <v>1</v>
      </c>
      <c r="S32" s="7">
        <f>SUMIF(Sheet1!$F$2:$F$1143,"="&amp;$A32,Sheet1!Q$2:Q$1143)</f>
        <v>3</v>
      </c>
      <c r="T32" s="7">
        <f>SUMIF(Sheet1!$F$2:$F$1143,"="&amp;$A32,Sheet1!R$2:R$1143)</f>
        <v>4</v>
      </c>
      <c r="V32">
        <f t="shared" si="52"/>
        <v>1994</v>
      </c>
      <c r="W32">
        <f t="shared" si="58"/>
        <v>120</v>
      </c>
      <c r="X32">
        <f t="shared" si="59"/>
        <v>68</v>
      </c>
      <c r="Y32">
        <f t="shared" si="60"/>
        <v>0</v>
      </c>
      <c r="Z32">
        <f t="shared" si="61"/>
        <v>6</v>
      </c>
      <c r="AA32">
        <f t="shared" si="62"/>
        <v>0</v>
      </c>
      <c r="AB32">
        <f t="shared" si="63"/>
        <v>5</v>
      </c>
      <c r="AC32">
        <f t="shared" si="64"/>
        <v>31</v>
      </c>
      <c r="AF32">
        <f t="shared" si="54"/>
        <v>1994</v>
      </c>
      <c r="AG32" s="5">
        <f ca="1">IF(W32&gt;0,SUMIFS(Data!$O$4:$O$1216,Data!$E$4:$E$1216,"&lt;="&amp;$AF32)/W32,"-")</f>
        <v>193.75915185006775</v>
      </c>
      <c r="AH32" s="5">
        <f ca="1">IF(X32&gt;0,SUMIFS(Data!$O$4:$O$1216,Data!$E$4:$E$1216,"&lt;="&amp;$AF32,Data!$AQ$4:$AQ$1216,"="&amp;AH$1)/X32,"-")</f>
        <v>240.44687990992404</v>
      </c>
      <c r="AI32" s="5" t="str">
        <f>IF(Y32&gt;0,SUMIFS(Data!$O$4:$O$1216,Data!$E$4:$E$1216,"&lt;="&amp;$AF32,Data!$AQ$4:$AQ$1216,"="&amp;AI$1)/Y32,"-")</f>
        <v>-</v>
      </c>
      <c r="AJ32" s="5">
        <f ca="1">IF(Z32&gt;0,SUMIFS(Data!$O$4:$O$1216,Data!$E$4:$E$1216,"&lt;="&amp;$AF32,Data!$AQ$4:$AQ$1216,"="&amp;AJ$1)/Z32,"-")</f>
        <v>284.65978554989834</v>
      </c>
      <c r="AK32" s="5" t="str">
        <f>IF(AA32&gt;0,SUMIFS(Data!$O$4:$O$1216,Data!$E$4:$E$1216,"&lt;="&amp;$AF32,Data!$AQ$4:$AQ$1216,"="&amp;AK$1)/AA32,"-")</f>
        <v>-</v>
      </c>
      <c r="AL32" s="5">
        <f ca="1">IF(AB32&gt;0,SUMIFS(Data!$O$4:$O$1216,Data!$E$4:$E$1216,"&lt;="&amp;$AF32,Data!$AQ$4:$AQ$1216,"="&amp;AL$1)/AB32,"-")</f>
        <v>23.421561812052932</v>
      </c>
      <c r="AM32" s="5">
        <f ca="1">IF(AC32&gt;0,SUMIFS(Data!$O$4:$O$1216,Data!$E$4:$E$1216,"&lt;="&amp;$AF32,Data!$AQ$4:$AQ$1216,"="&amp;AM$1)/AC32,"-")</f>
        <v>31.016729812197756</v>
      </c>
      <c r="AP32">
        <f t="shared" si="55"/>
        <v>1994</v>
      </c>
      <c r="AQ32" s="5">
        <f ca="1">IF(W32&gt;0,SUMIFS(Data!$R$4:$R$1216,Data!$E$4:$E$1216,"&lt;="&amp;$AF32)/W32,"-")</f>
        <v>582899.18041322601</v>
      </c>
      <c r="AR32" s="5">
        <f ca="1">IF(X32&gt;0,SUMIFS(Data!$R$4:$R$1216,Data!$E$4:$E$1216,"&lt;="&amp;$AF32,Data!$AQ$4:$AQ$1216,"="&amp;AR$1)/X32,"-")</f>
        <v>801795.84683224407</v>
      </c>
      <c r="AS32" s="5" t="str">
        <f>IF(Y32&gt;0,SUMIFS(Data!$R$4:$R$1216,Data!$E$4:$E$1216,"&lt;="&amp;$AF32,Data!$AQ$4:$AQ$1216,"="&amp;AS$1)/Y32,"-")</f>
        <v>-</v>
      </c>
      <c r="AT32" s="5">
        <f ca="1">IF(Z32&gt;0,SUMIFS(Data!$R$4:$R$1216,Data!$E$4:$E$1216,"&lt;="&amp;$AF32,Data!$AQ$4:$AQ$1216,"="&amp;AT$1)/Z32,"-")</f>
        <v>209862.89213456269</v>
      </c>
      <c r="AU32" s="5" t="str">
        <f>IF(AA32&gt;0,SUMIFS(Data!$R$4:$R$1216,Data!$E$4:$E$1216,"&lt;="&amp;$AF32,Data!$AQ$4:$AQ$1216,"="&amp;AU$1)/AA32,"-")</f>
        <v>-</v>
      </c>
      <c r="AV32" s="5">
        <f ca="1">IF(AB32&gt;0,SUMIFS(Data!$R$4:$R$1216,Data!$E$4:$E$1216,"&lt;="&amp;$AF32,Data!$AQ$4:$AQ$1216,"="&amp;AV$1)/AB32,"-")</f>
        <v>816.16447692560644</v>
      </c>
      <c r="AW32" s="5">
        <f ca="1">IF(AC32&gt;0,SUMIFS(Data!$R$4:$R$1216,Data!$E$4:$E$1216,"&lt;="&amp;$AF32,Data!$AQ$4:$AQ$1216,"="&amp;AW$1)/AC32,"-")</f>
        <v>1201.9249117615311</v>
      </c>
      <c r="AZ32">
        <f t="shared" si="56"/>
        <v>1994</v>
      </c>
      <c r="BA32" s="1">
        <f t="shared" ca="1" si="57"/>
        <v>67.413931021189796</v>
      </c>
      <c r="BB32" s="1">
        <f t="shared" ca="1" si="46"/>
        <v>104.598753280574</v>
      </c>
      <c r="BC32" s="1" t="str">
        <f t="shared" si="47"/>
        <v>-</v>
      </c>
      <c r="BD32" s="1">
        <f t="shared" ca="1" si="48"/>
        <v>146.53310128047781</v>
      </c>
      <c r="BE32" s="1" t="str">
        <f t="shared" si="49"/>
        <v>-</v>
      </c>
      <c r="BF32" s="1">
        <f t="shared" ca="1" si="50"/>
        <v>7.3156670127855072</v>
      </c>
      <c r="BG32" s="1">
        <f t="shared" ca="1" si="51"/>
        <v>2.781780489929091</v>
      </c>
    </row>
    <row r="33" spans="1:59" x14ac:dyDescent="0.2">
      <c r="A33">
        <v>2013</v>
      </c>
      <c r="B33">
        <f>COUNTIF(Data!D$4:D$1216,"="&amp;A33)</f>
        <v>11</v>
      </c>
      <c r="C33">
        <f>COUNTIF(Data!E$4:E$1216,"="&amp;A33)</f>
        <v>110</v>
      </c>
      <c r="D33">
        <f t="shared" ref="D33:D35" si="65">C33/B33</f>
        <v>10</v>
      </c>
      <c r="E33" s="5">
        <f ca="1">SUMIF(Data!$E$4:$E$1216,"="&amp;A33,Data!O$4:O$1216)/C33</f>
        <v>292.63422104263151</v>
      </c>
      <c r="F33" s="5">
        <f ca="1">SUMIF(Data!$E$4:$E$1216,"="&amp;$A33,Data!R$4:R$1216)/$C33</f>
        <v>675718.21485245344</v>
      </c>
      <c r="G33" s="5">
        <f t="shared" ca="1" si="43"/>
        <v>768.16887956179642</v>
      </c>
      <c r="H33" s="5">
        <f t="shared" ca="1" si="39"/>
        <v>-475.53465851916491</v>
      </c>
      <c r="I33" s="5">
        <f t="shared" ca="1" si="40"/>
        <v>1060.803100604428</v>
      </c>
      <c r="J33" s="5">
        <f ca="1">SUMIF(Sheet1!$F$2:$F$1143,"="&amp;$A33,Sheet1!H$2:H$1143)</f>
        <v>-3.1275863658620802</v>
      </c>
      <c r="K33" s="5">
        <f ca="1">SUMIF(Sheet1!$F$2:$F$1143,"="&amp;$A33,Sheet1!I$2:I$1143)</f>
        <v>7.3617115683267258</v>
      </c>
      <c r="L33" s="5">
        <f ca="1">SUMIF(Sheet1!$F$2:$F$1143,"="&amp;$A33,Sheet1!J$2:J$1143)</f>
        <v>46.610663652887361</v>
      </c>
      <c r="M33" s="5">
        <f ca="1">SUMIF(Sheet1!$F$2:$F$1143,"="&amp;$A33,Sheet1!K$2:K$1143)</f>
        <v>214.81113443396845</v>
      </c>
      <c r="N33" s="5">
        <f ca="1">SUMIF(Sheet1!$F$2:$F$1143,"="&amp;$A33,Sheet1!L$2:L$1143)</f>
        <v>1073.2437351183128</v>
      </c>
      <c r="O33" s="7">
        <f>SUMIF(Sheet1!$F$2:$F$1143,"="&amp;$A33,Sheet1!M$2:M$1143)</f>
        <v>1.2353403933434199</v>
      </c>
      <c r="P33" s="7">
        <f>SUMIF(Sheet1!$F$2:$F$1143,"="&amp;$A33,Sheet1!N$2:N$1143)</f>
        <v>-1.1000000000000001</v>
      </c>
      <c r="Q33" s="7">
        <f>SUMIF(Sheet1!$F$2:$F$1143,"="&amp;$A33,Sheet1!O$2:O$1143)</f>
        <v>0</v>
      </c>
      <c r="R33" s="7">
        <f>SUMIF(Sheet1!$F$2:$F$1143,"="&amp;$A33,Sheet1!P$2:P$1143)</f>
        <v>1</v>
      </c>
      <c r="S33" s="7">
        <f>SUMIF(Sheet1!$F$2:$F$1143,"="&amp;$A33,Sheet1!Q$2:Q$1143)</f>
        <v>3</v>
      </c>
      <c r="T33" s="7">
        <f>SUMIF(Sheet1!$F$2:$F$1143,"="&amp;$A33,Sheet1!R$2:R$1143)</f>
        <v>3</v>
      </c>
      <c r="V33">
        <f t="shared" si="52"/>
        <v>1995</v>
      </c>
      <c r="W33">
        <f t="shared" si="58"/>
        <v>123</v>
      </c>
      <c r="X33">
        <f t="shared" si="59"/>
        <v>68</v>
      </c>
      <c r="Y33">
        <f t="shared" si="60"/>
        <v>0</v>
      </c>
      <c r="Z33">
        <f t="shared" si="61"/>
        <v>6</v>
      </c>
      <c r="AA33">
        <f t="shared" si="62"/>
        <v>0</v>
      </c>
      <c r="AB33">
        <f t="shared" si="63"/>
        <v>5</v>
      </c>
      <c r="AC33">
        <f t="shared" si="64"/>
        <v>32</v>
      </c>
      <c r="AF33">
        <f t="shared" si="54"/>
        <v>1995</v>
      </c>
      <c r="AG33" s="5">
        <f ca="1">IF(W33&gt;0,SUMIFS(Data!$O$4:$O$1216,Data!$E$4:$E$1216,"&lt;="&amp;$AF33)/W33,"-")</f>
        <v>191.50475131878889</v>
      </c>
      <c r="AH33" s="5">
        <f ca="1">IF(X33&gt;0,SUMIFS(Data!$O$4:$O$1216,Data!$E$4:$E$1216,"&lt;="&amp;$AF33,Data!$AQ$4:$AQ$1216,"="&amp;AH$1)/X33,"-")</f>
        <v>240.44687990992404</v>
      </c>
      <c r="AI33" s="5" t="str">
        <f>IF(Y33&gt;0,SUMIFS(Data!$O$4:$O$1216,Data!$E$4:$E$1216,"&lt;="&amp;$AF33,Data!$AQ$4:$AQ$1216,"="&amp;AI$1)/Y33,"-")</f>
        <v>-</v>
      </c>
      <c r="AJ33" s="5">
        <f ca="1">IF(Z33&gt;0,SUMIFS(Data!$O$4:$O$1216,Data!$E$4:$E$1216,"&lt;="&amp;$AF33,Data!$AQ$4:$AQ$1216,"="&amp;AJ$1)/Z33,"-")</f>
        <v>284.65978554989834</v>
      </c>
      <c r="AK33" s="5" t="str">
        <f>IF(AA33&gt;0,SUMIFS(Data!$O$4:$O$1216,Data!$E$4:$E$1216,"&lt;="&amp;$AF33,Data!$AQ$4:$AQ$1216,"="&amp;AK$1)/AA33,"-")</f>
        <v>-</v>
      </c>
      <c r="AL33" s="5">
        <f ca="1">IF(AB33&gt;0,SUMIFS(Data!$O$4:$O$1216,Data!$E$4:$E$1216,"&lt;="&amp;$AF33,Data!$AQ$4:$AQ$1216,"="&amp;AL$1)/AB33,"-")</f>
        <v>23.421561812052932</v>
      </c>
      <c r="AM33" s="5">
        <f ca="1">IF(AC33&gt;0,SUMIFS(Data!$O$4:$O$1216,Data!$E$4:$E$1216,"&lt;="&amp;$AF33,Data!$AQ$4:$AQ$1216,"="&amp;AM$1)/AC33,"-")</f>
        <v>31.04581369629939</v>
      </c>
      <c r="AP33">
        <f t="shared" si="55"/>
        <v>1995</v>
      </c>
      <c r="AQ33" s="5">
        <f ca="1">IF(W33&gt;0,SUMIFS(Data!$R$4:$R$1216,Data!$E$4:$E$1216,"&lt;="&amp;$AF33)/W33,"-")</f>
        <v>569215.3180334057</v>
      </c>
      <c r="AR33" s="5">
        <f ca="1">IF(X33&gt;0,SUMIFS(Data!$R$4:$R$1216,Data!$E$4:$E$1216,"&lt;="&amp;$AF33,Data!$AQ$4:$AQ$1216,"="&amp;AR$1)/X33,"-")</f>
        <v>801795.84683224407</v>
      </c>
      <c r="AS33" s="5" t="str">
        <f>IF(Y33&gt;0,SUMIFS(Data!$R$4:$R$1216,Data!$E$4:$E$1216,"&lt;="&amp;$AF33,Data!$AQ$4:$AQ$1216,"="&amp;AS$1)/Y33,"-")</f>
        <v>-</v>
      </c>
      <c r="AT33" s="5">
        <f ca="1">IF(Z33&gt;0,SUMIFS(Data!$R$4:$R$1216,Data!$E$4:$E$1216,"&lt;="&amp;$AF33,Data!$AQ$4:$AQ$1216,"="&amp;AT$1)/Z33,"-")</f>
        <v>209862.89213456269</v>
      </c>
      <c r="AU33" s="5" t="str">
        <f>IF(AA33&gt;0,SUMIFS(Data!$R$4:$R$1216,Data!$E$4:$E$1216,"&lt;="&amp;$AF33,Data!$AQ$4:$AQ$1216,"="&amp;AU$1)/AA33,"-")</f>
        <v>-</v>
      </c>
      <c r="AV33" s="5">
        <f ca="1">IF(AB33&gt;0,SUMIFS(Data!$R$4:$R$1216,Data!$E$4:$E$1216,"&lt;="&amp;$AF33,Data!$AQ$4:$AQ$1216,"="&amp;AV$1)/AB33,"-")</f>
        <v>816.16447692560644</v>
      </c>
      <c r="AW33" s="5">
        <f ca="1">IF(AC33&gt;0,SUMIFS(Data!$R$4:$R$1216,Data!$E$4:$E$1216,"&lt;="&amp;$AF33,Data!$AQ$4:$AQ$1216,"="&amp;AW$1)/AC33,"-")</f>
        <v>1196.2596728907745</v>
      </c>
      <c r="AZ33">
        <f t="shared" si="56"/>
        <v>1995</v>
      </c>
      <c r="BA33" s="1">
        <f t="shared" ca="1" si="57"/>
        <v>65.799723740723749</v>
      </c>
      <c r="BB33" s="1">
        <f t="shared" ca="1" si="46"/>
        <v>104.598753280574</v>
      </c>
      <c r="BC33" s="1" t="str">
        <f t="shared" si="47"/>
        <v>-</v>
      </c>
      <c r="BD33" s="1">
        <f t="shared" ca="1" si="48"/>
        <v>146.53310128047781</v>
      </c>
      <c r="BE33" s="1" t="str">
        <f t="shared" si="49"/>
        <v>-</v>
      </c>
      <c r="BF33" s="1">
        <f t="shared" ca="1" si="50"/>
        <v>7.3156670127855072</v>
      </c>
      <c r="BG33" s="1">
        <f t="shared" ca="1" si="51"/>
        <v>2.6950018832637417</v>
      </c>
    </row>
    <row r="34" spans="1:59" x14ac:dyDescent="0.2">
      <c r="A34">
        <v>2014</v>
      </c>
      <c r="B34">
        <f>COUNTIF(Data!D$4:D$1216,"="&amp;A34)</f>
        <v>12</v>
      </c>
      <c r="C34">
        <f>COUNTIF(Data!E$4:E$1216,"="&amp;A34)</f>
        <v>244</v>
      </c>
      <c r="D34">
        <f t="shared" si="65"/>
        <v>20.333333333333332</v>
      </c>
      <c r="E34" s="5">
        <f ca="1">SUMIF(Data!$E$4:$E$1216,"="&amp;A34,Data!O$4:O$1216)/C34</f>
        <v>842.25018689809838</v>
      </c>
      <c r="F34" s="5">
        <f ca="1">SUMIF(Data!$E$4:$E$1216,"="&amp;$A34,Data!R$4:R$1216)/$C34</f>
        <v>48189785.774545357</v>
      </c>
      <c r="G34" s="5">
        <f t="shared" ca="1" si="43"/>
        <v>6890.6023247039502</v>
      </c>
      <c r="H34" s="5">
        <f t="shared" ca="1" si="39"/>
        <v>-6048.3521378058522</v>
      </c>
      <c r="I34" s="5">
        <f t="shared" ca="1" si="40"/>
        <v>7732.8525116020483</v>
      </c>
      <c r="J34" s="5">
        <f ca="1">SUMIF(Sheet1!$F$2:$F$1143,"="&amp;$A34,Sheet1!H$2:H$1143)</f>
        <v>-2.6779760974749438</v>
      </c>
      <c r="K34" s="5">
        <f ca="1">SUMIF(Sheet1!$F$2:$F$1143,"="&amp;$A34,Sheet1!I$2:I$1143)</f>
        <v>9.9751715831189358</v>
      </c>
      <c r="L34" s="5">
        <f ca="1">SUMIF(Sheet1!$F$2:$F$1143,"="&amp;$A34,Sheet1!J$2:J$1143)</f>
        <v>50.75383375536623</v>
      </c>
      <c r="M34" s="5">
        <f ca="1">SUMIF(Sheet1!$F$2:$F$1143,"="&amp;$A34,Sheet1!K$2:K$1143)</f>
        <v>236.05429056976001</v>
      </c>
      <c r="N34" s="5">
        <f ca="1">SUMIF(Sheet1!$F$2:$F$1143,"="&amp;$A34,Sheet1!L$2:L$1143)</f>
        <v>1169.9980968534812</v>
      </c>
      <c r="O34" s="7">
        <f>SUMIF(Sheet1!$F$2:$F$1143,"="&amp;$A34,Sheet1!M$2:M$1143)</f>
        <v>1.2521369863013709</v>
      </c>
      <c r="P34" s="7">
        <f>SUMIF(Sheet1!$F$2:$F$1143,"="&amp;$A34,Sheet1!N$2:N$1143)</f>
        <v>-1.1000000000000001</v>
      </c>
      <c r="Q34" s="7">
        <f>SUMIF(Sheet1!$F$2:$F$1143,"="&amp;$A34,Sheet1!O$2:O$1143)</f>
        <v>0</v>
      </c>
      <c r="R34" s="7">
        <f>SUMIF(Sheet1!$F$2:$F$1143,"="&amp;$A34,Sheet1!P$2:P$1143)</f>
        <v>1</v>
      </c>
      <c r="S34" s="7">
        <f>SUMIF(Sheet1!$F$2:$F$1143,"="&amp;$A34,Sheet1!Q$2:Q$1143)</f>
        <v>3</v>
      </c>
      <c r="T34" s="7">
        <f>SUMIF(Sheet1!$F$2:$F$1143,"="&amp;$A34,Sheet1!R$2:R$1143)</f>
        <v>3</v>
      </c>
      <c r="V34">
        <f t="shared" si="52"/>
        <v>1996</v>
      </c>
      <c r="W34">
        <f t="shared" si="58"/>
        <v>157</v>
      </c>
      <c r="X34">
        <f t="shared" si="59"/>
        <v>73</v>
      </c>
      <c r="Y34">
        <f t="shared" si="60"/>
        <v>4</v>
      </c>
      <c r="Z34">
        <f t="shared" si="61"/>
        <v>10</v>
      </c>
      <c r="AA34">
        <f t="shared" si="62"/>
        <v>0</v>
      </c>
      <c r="AB34">
        <f t="shared" si="63"/>
        <v>12</v>
      </c>
      <c r="AC34">
        <f t="shared" si="64"/>
        <v>43</v>
      </c>
      <c r="AF34">
        <f t="shared" si="54"/>
        <v>1996</v>
      </c>
      <c r="AG34" s="5">
        <f ca="1">IF(W34&gt;0,SUMIFS(Data!$O$4:$O$1216,Data!$E$4:$E$1216,"&lt;="&amp;$AF34)/W34,"-")</f>
        <v>204.86785036936988</v>
      </c>
      <c r="AH34" s="5">
        <f ca="1">IF(X34&gt;0,SUMIFS(Data!$O$4:$O$1216,Data!$E$4:$E$1216,"&lt;="&amp;$AF34,Data!$AQ$4:$AQ$1216,"="&amp;AH$1)/X34,"-")</f>
        <v>272.57634694304113</v>
      </c>
      <c r="AI34" s="5">
        <f ca="1">IF(Y34&gt;0,SUMIFS(Data!$O$4:$O$1216,Data!$E$4:$E$1216,"&lt;="&amp;$AF34,Data!$AQ$4:$AQ$1216,"="&amp;AI$1)/Y34,"-")</f>
        <v>481.47160261697303</v>
      </c>
      <c r="AJ34" s="5">
        <f ca="1">IF(Z34&gt;0,SUMIFS(Data!$O$4:$O$1216,Data!$E$4:$E$1216,"&lt;="&amp;$AF34,Data!$AQ$4:$AQ$1216,"="&amp;AJ$1)/Z34,"-")</f>
        <v>228.91033845282976</v>
      </c>
      <c r="AK34" s="5" t="str">
        <f>IF(AA34&gt;0,SUMIFS(Data!$O$4:$O$1216,Data!$E$4:$E$1216,"&lt;="&amp;$AF34,Data!$AQ$4:$AQ$1216,"="&amp;AK$1)/AA34,"-")</f>
        <v>-</v>
      </c>
      <c r="AL34" s="5">
        <f ca="1">IF(AB34&gt;0,SUMIFS(Data!$O$4:$O$1216,Data!$E$4:$E$1216,"&lt;="&amp;$AF34,Data!$AQ$4:$AQ$1216,"="&amp;AL$1)/AB34,"-")</f>
        <v>35.850427660971086</v>
      </c>
      <c r="AM34" s="5">
        <f ca="1">IF(AC34&gt;0,SUMIFS(Data!$O$4:$O$1216,Data!$E$4:$E$1216,"&lt;="&amp;$AF34,Data!$AQ$4:$AQ$1216,"="&amp;AM$1)/AC34,"-")</f>
        <v>32.864371476458075</v>
      </c>
      <c r="AP34">
        <f t="shared" si="55"/>
        <v>1996</v>
      </c>
      <c r="AQ34" s="5">
        <f ca="1">IF(W34&gt;0,SUMIFS(Data!$R$4:$R$1216,Data!$E$4:$E$1216,"&lt;="&amp;$AF34)/W34,"-")</f>
        <v>493972.64246755233</v>
      </c>
      <c r="AR34" s="5">
        <f ca="1">IF(X34&gt;0,SUMIFS(Data!$R$4:$R$1216,Data!$E$4:$E$1216,"&lt;="&amp;$AF34,Data!$AQ$4:$AQ$1216,"="&amp;AR$1)/X34,"-")</f>
        <v>792509.06352984009</v>
      </c>
      <c r="AS34" s="5">
        <f ca="1">IF(Y34&gt;0,SUMIFS(Data!$R$4:$R$1216,Data!$E$4:$E$1216,"&lt;="&amp;$AF34,Data!$AQ$4:$AQ$1216,"="&amp;AS$1)/Y34,"-")</f>
        <v>312321.05478505581</v>
      </c>
      <c r="AT34" s="5">
        <f ca="1">IF(Z34&gt;0,SUMIFS(Data!$R$4:$R$1216,Data!$E$4:$E$1216,"&lt;="&amp;$AF34,Data!$AQ$4:$AQ$1216,"="&amp;AT$1)/Z34,"-")</f>
        <v>136441.70858702515</v>
      </c>
      <c r="AU34" s="5" t="str">
        <f>IF(AA34&gt;0,SUMIFS(Data!$R$4:$R$1216,Data!$E$4:$E$1216,"&lt;="&amp;$AF34,Data!$AQ$4:$AQ$1216,"="&amp;AU$1)/AA34,"-")</f>
        <v>-</v>
      </c>
      <c r="AV34" s="5">
        <f ca="1">IF(AB34&gt;0,SUMIFS(Data!$R$4:$R$1216,Data!$E$4:$E$1216,"&lt;="&amp;$AF34,Data!$AQ$4:$AQ$1216,"="&amp;AV$1)/AB34,"-")</f>
        <v>2052.0365163819683</v>
      </c>
      <c r="AW34" s="5">
        <f ca="1">IF(AC34&gt;0,SUMIFS(Data!$R$4:$R$1216,Data!$E$4:$E$1216,"&lt;="&amp;$AF34,Data!$AQ$4:$AQ$1216,"="&amp;AW$1)/AC34,"-")</f>
        <v>1484.3853561155481</v>
      </c>
      <c r="AZ34">
        <f t="shared" si="56"/>
        <v>1996</v>
      </c>
      <c r="BA34" s="1">
        <f t="shared" ca="1" si="57"/>
        <v>53.656242853466992</v>
      </c>
      <c r="BB34" s="1">
        <f t="shared" ca="1" si="46"/>
        <v>99.189261364808345</v>
      </c>
      <c r="BC34" s="1">
        <f t="shared" ca="1" si="47"/>
        <v>141.86802904327971</v>
      </c>
      <c r="BD34" s="1">
        <f t="shared" ca="1" si="48"/>
        <v>91.67429603571334</v>
      </c>
      <c r="BE34" s="1" t="str">
        <f t="shared" si="49"/>
        <v>-</v>
      </c>
      <c r="BF34" s="1">
        <f t="shared" ca="1" si="50"/>
        <v>7.9936607847898635</v>
      </c>
      <c r="BG34" s="1">
        <f t="shared" ca="1" si="51"/>
        <v>3.0663911201436362</v>
      </c>
    </row>
    <row r="35" spans="1:59" x14ac:dyDescent="0.2">
      <c r="A35">
        <v>2015</v>
      </c>
      <c r="B35">
        <f>COUNTIF(Data!D$4:D$1216,"="&amp;A35)</f>
        <v>7</v>
      </c>
      <c r="C35">
        <f>COUNTIF(Data!E$4:E$1216,"="&amp;A35)</f>
        <v>72</v>
      </c>
      <c r="D35">
        <f t="shared" si="65"/>
        <v>10.285714285714286</v>
      </c>
      <c r="E35" s="5">
        <f ca="1">SUMIF(Data!$E$4:$E$1216,"="&amp;A35,Data!O$4:O$1216)/C35</f>
        <v>170.87722731057602</v>
      </c>
      <c r="F35" s="5">
        <f ca="1">SUMIF(Data!$E$4:$E$1216,"="&amp;$A35,Data!R$4:R$1216)/$C35</f>
        <v>118717.49986728121</v>
      </c>
      <c r="G35" s="5">
        <f t="shared" ca="1" si="43"/>
        <v>299.19637874468157</v>
      </c>
      <c r="H35" s="5">
        <f t="shared" ca="1" si="39"/>
        <v>-128.31915143410555</v>
      </c>
      <c r="I35" s="5">
        <f t="shared" ca="1" si="40"/>
        <v>470.07360605525759</v>
      </c>
      <c r="J35" s="5">
        <f ca="1">SUMIF(Sheet1!$F$2:$F$1143,"="&amp;$A35,Sheet1!H$2:H$1143)</f>
        <v>-1.2968407286485211</v>
      </c>
      <c r="K35" s="5">
        <f ca="1">SUMIF(Sheet1!$F$2:$F$1143,"="&amp;$A35,Sheet1!I$2:I$1143)</f>
        <v>12.697082100333608</v>
      </c>
      <c r="L35" s="5">
        <f ca="1">SUMIF(Sheet1!$F$2:$F$1143,"="&amp;$A35,Sheet1!J$2:J$1143)</f>
        <v>59.915964498406019</v>
      </c>
      <c r="M35" s="5">
        <f ca="1">SUMIF(Sheet1!$F$2:$F$1143,"="&amp;$A35,Sheet1!K$2:K$1143)</f>
        <v>262.07305844619424</v>
      </c>
      <c r="N35" s="5">
        <f ca="1">SUMIF(Sheet1!$F$2:$F$1143,"="&amp;$A35,Sheet1!L$2:L$1143)</f>
        <v>1510.4424297776643</v>
      </c>
      <c r="O35" s="7">
        <f>SUMIF(Sheet1!$F$2:$F$1143,"="&amp;$A35,Sheet1!M$2:M$1143)</f>
        <v>1.2253009259259267</v>
      </c>
      <c r="P35" s="7">
        <f>SUMIF(Sheet1!$F$2:$F$1143,"="&amp;$A35,Sheet1!N$2:N$1143)</f>
        <v>-1.1000000000000001</v>
      </c>
      <c r="Q35" s="7">
        <f>SUMIF(Sheet1!$F$2:$F$1143,"="&amp;$A35,Sheet1!O$2:O$1143)</f>
        <v>0</v>
      </c>
      <c r="R35" s="7">
        <f>SUMIF(Sheet1!$F$2:$F$1143,"="&amp;$A35,Sheet1!P$2:P$1143)</f>
        <v>1</v>
      </c>
      <c r="S35" s="7">
        <f>SUMIF(Sheet1!$F$2:$F$1143,"="&amp;$A35,Sheet1!Q$2:Q$1143)</f>
        <v>3</v>
      </c>
      <c r="T35" s="7">
        <f>SUMIF(Sheet1!$F$2:$F$1143,"="&amp;$A35,Sheet1!R$2:R$1143)</f>
        <v>3</v>
      </c>
      <c r="V35">
        <f t="shared" si="52"/>
        <v>1997</v>
      </c>
      <c r="W35">
        <f t="shared" si="58"/>
        <v>160</v>
      </c>
      <c r="X35">
        <f t="shared" si="59"/>
        <v>73</v>
      </c>
      <c r="Y35">
        <f t="shared" si="60"/>
        <v>4</v>
      </c>
      <c r="Z35">
        <f t="shared" si="61"/>
        <v>10</v>
      </c>
      <c r="AA35">
        <f t="shared" si="62"/>
        <v>0</v>
      </c>
      <c r="AB35">
        <f t="shared" si="63"/>
        <v>12</v>
      </c>
      <c r="AC35">
        <f t="shared" si="64"/>
        <v>45</v>
      </c>
      <c r="AF35">
        <f t="shared" si="54"/>
        <v>1997</v>
      </c>
      <c r="AG35" s="5">
        <f ca="1">IF(W35&gt;0,SUMIFS(Data!$O$4:$O$1216,Data!$E$4:$E$1216,"&lt;="&amp;$AF35)/W35,"-")</f>
        <v>202.2289878386924</v>
      </c>
      <c r="AH35" s="5">
        <f ca="1">IF(X35&gt;0,SUMIFS(Data!$O$4:$O$1216,Data!$E$4:$E$1216,"&lt;="&amp;$AF35,Data!$AQ$4:$AQ$1216,"="&amp;AH$1)/X35,"-")</f>
        <v>272.57634694304113</v>
      </c>
      <c r="AI35" s="5">
        <f ca="1">IF(Y35&gt;0,SUMIFS(Data!$O$4:$O$1216,Data!$E$4:$E$1216,"&lt;="&amp;$AF35,Data!$AQ$4:$AQ$1216,"="&amp;AI$1)/Y35,"-")</f>
        <v>481.47160261697303</v>
      </c>
      <c r="AJ35" s="5">
        <f ca="1">IF(Z35&gt;0,SUMIFS(Data!$O$4:$O$1216,Data!$E$4:$E$1216,"&lt;="&amp;$AF35,Data!$AQ$4:$AQ$1216,"="&amp;AJ$1)/Z35,"-")</f>
        <v>228.91033845282976</v>
      </c>
      <c r="AK35" s="5" t="str">
        <f>IF(AA35&gt;0,SUMIFS(Data!$O$4:$O$1216,Data!$E$4:$E$1216,"&lt;="&amp;$AF35,Data!$AQ$4:$AQ$1216,"="&amp;AK$1)/AA35,"-")</f>
        <v>-</v>
      </c>
      <c r="AL35" s="5">
        <f ca="1">IF(AB35&gt;0,SUMIFS(Data!$O$4:$O$1216,Data!$E$4:$E$1216,"&lt;="&amp;$AF35,Data!$AQ$4:$AQ$1216,"="&amp;AL$1)/AB35,"-")</f>
        <v>35.850427660971086</v>
      </c>
      <c r="AM35" s="5">
        <f ca="1">IF(AC35&gt;0,SUMIFS(Data!$O$4:$O$1216,Data!$E$4:$E$1216,"&lt;="&amp;$AF35,Data!$AQ$4:$AQ$1216,"="&amp;AM$1)/AC35,"-")</f>
        <v>32.174416722475698</v>
      </c>
      <c r="AP35">
        <f t="shared" si="55"/>
        <v>1997</v>
      </c>
      <c r="AQ35" s="5">
        <f ca="1">IF(W35&gt;0,SUMIFS(Data!$R$4:$R$1216,Data!$E$4:$E$1216,"&lt;="&amp;$AF35)/W35,"-")</f>
        <v>484870.1976758602</v>
      </c>
      <c r="AR35" s="5">
        <f ca="1">IF(X35&gt;0,SUMIFS(Data!$R$4:$R$1216,Data!$E$4:$E$1216,"&lt;="&amp;$AF35,Data!$AQ$4:$AQ$1216,"="&amp;AR$1)/X35,"-")</f>
        <v>792509.06352984009</v>
      </c>
      <c r="AS35" s="5">
        <f ca="1">IF(Y35&gt;0,SUMIFS(Data!$R$4:$R$1216,Data!$E$4:$E$1216,"&lt;="&amp;$AF35,Data!$AQ$4:$AQ$1216,"="&amp;AS$1)/Y35,"-")</f>
        <v>312321.05478505581</v>
      </c>
      <c r="AT35" s="5">
        <f ca="1">IF(Z35&gt;0,SUMIFS(Data!$R$4:$R$1216,Data!$E$4:$E$1216,"&lt;="&amp;$AF35,Data!$AQ$4:$AQ$1216,"="&amp;AT$1)/Z35,"-")</f>
        <v>136441.70858702515</v>
      </c>
      <c r="AU35" s="5" t="str">
        <f>IF(AA35&gt;0,SUMIFS(Data!$R$4:$R$1216,Data!$E$4:$E$1216,"&lt;="&amp;$AF35,Data!$AQ$4:$AQ$1216,"="&amp;AU$1)/AA35,"-")</f>
        <v>-</v>
      </c>
      <c r="AV35" s="5">
        <f ca="1">IF(AB35&gt;0,SUMIFS(Data!$R$4:$R$1216,Data!$E$4:$E$1216,"&lt;="&amp;$AF35,Data!$AQ$4:$AQ$1216,"="&amp;AV$1)/AB35,"-")</f>
        <v>2052.0365163819683</v>
      </c>
      <c r="AW35" s="5">
        <f ca="1">IF(AC35&gt;0,SUMIFS(Data!$R$4:$R$1216,Data!$E$4:$E$1216,"&lt;="&amp;$AF35,Data!$AQ$4:$AQ$1216,"="&amp;AW$1)/AC35,"-")</f>
        <v>1432.9897212188318</v>
      </c>
      <c r="AZ35">
        <f t="shared" si="56"/>
        <v>1997</v>
      </c>
      <c r="BA35" s="1">
        <f t="shared" ca="1" si="57"/>
        <v>52.676704656422736</v>
      </c>
      <c r="BB35" s="1">
        <f t="shared" ca="1" si="46"/>
        <v>99.189261364808345</v>
      </c>
      <c r="BC35" s="1">
        <f t="shared" ca="1" si="47"/>
        <v>141.86802904327971</v>
      </c>
      <c r="BD35" s="1">
        <f t="shared" ca="1" si="48"/>
        <v>91.67429603571334</v>
      </c>
      <c r="BE35" s="1" t="str">
        <f t="shared" si="49"/>
        <v>-</v>
      </c>
      <c r="BF35" s="1">
        <f t="shared" ca="1" si="50"/>
        <v>7.9936607847898635</v>
      </c>
      <c r="BG35" s="1">
        <f t="shared" ca="1" si="51"/>
        <v>2.973201154712648</v>
      </c>
    </row>
    <row r="36" spans="1:59" x14ac:dyDescent="0.2">
      <c r="V36">
        <f t="shared" si="52"/>
        <v>1999</v>
      </c>
      <c r="W36">
        <f t="shared" si="58"/>
        <v>195</v>
      </c>
      <c r="X36">
        <f t="shared" si="59"/>
        <v>73</v>
      </c>
      <c r="Y36">
        <f t="shared" si="60"/>
        <v>4</v>
      </c>
      <c r="Z36">
        <f t="shared" si="61"/>
        <v>18</v>
      </c>
      <c r="AA36">
        <f t="shared" si="62"/>
        <v>0</v>
      </c>
      <c r="AB36">
        <f t="shared" si="63"/>
        <v>12</v>
      </c>
      <c r="AC36">
        <f t="shared" si="64"/>
        <v>52</v>
      </c>
      <c r="AF36">
        <f t="shared" si="54"/>
        <v>1999</v>
      </c>
      <c r="AG36" s="5">
        <f ca="1">IF(W36&gt;0,SUMIFS(Data!$O$4:$O$1216,Data!$E$4:$E$1216,"&lt;="&amp;$AF36)/W36,"-")</f>
        <v>197.61966287786723</v>
      </c>
      <c r="AH36" s="5">
        <f ca="1">IF(X36&gt;0,SUMIFS(Data!$O$4:$O$1216,Data!$E$4:$E$1216,"&lt;="&amp;$AF36,Data!$AQ$4:$AQ$1216,"="&amp;AH$1)/X36,"-")</f>
        <v>272.57634694304113</v>
      </c>
      <c r="AI36" s="5">
        <f ca="1">IF(Y36&gt;0,SUMIFS(Data!$O$4:$O$1216,Data!$E$4:$E$1216,"&lt;="&amp;$AF36,Data!$AQ$4:$AQ$1216,"="&amp;AI$1)/Y36,"-")</f>
        <v>481.47160261697303</v>
      </c>
      <c r="AJ36" s="5">
        <f ca="1">IF(Z36&gt;0,SUMIFS(Data!$O$4:$O$1216,Data!$E$4:$E$1216,"&lt;="&amp;$AF36,Data!$AQ$4:$AQ$1216,"="&amp;AJ$1)/Z36,"-")</f>
        <v>172.17362361567925</v>
      </c>
      <c r="AK36" s="5" t="str">
        <f>IF(AA36&gt;0,SUMIFS(Data!$O$4:$O$1216,Data!$E$4:$E$1216,"&lt;="&amp;$AF36,Data!$AQ$4:$AQ$1216,"="&amp;AK$1)/AA36,"-")</f>
        <v>-</v>
      </c>
      <c r="AL36" s="5">
        <f ca="1">IF(AB36&gt;0,SUMIFS(Data!$O$4:$O$1216,Data!$E$4:$E$1216,"&lt;="&amp;$AF36,Data!$AQ$4:$AQ$1216,"="&amp;AL$1)/AB36,"-")</f>
        <v>35.850427660971086</v>
      </c>
      <c r="AM36" s="5">
        <f ca="1">IF(AC36&gt;0,SUMIFS(Data!$O$4:$O$1216,Data!$E$4:$E$1216,"&lt;="&amp;$AF36,Data!$AQ$4:$AQ$1216,"="&amp;AM$1)/AC36,"-")</f>
        <v>34.007520634303646</v>
      </c>
      <c r="AP36">
        <f t="shared" si="55"/>
        <v>1999</v>
      </c>
      <c r="AQ36" s="5">
        <f ca="1">IF(W36&gt;0,SUMIFS(Data!$R$4:$R$1216,Data!$E$4:$E$1216,"&lt;="&amp;$AF36)/W36,"-")</f>
        <v>408829.2815531072</v>
      </c>
      <c r="AR36" s="5">
        <f ca="1">IF(X36&gt;0,SUMIFS(Data!$R$4:$R$1216,Data!$E$4:$E$1216,"&lt;="&amp;$AF36,Data!$AQ$4:$AQ$1216,"="&amp;AR$1)/X36,"-")</f>
        <v>792509.06352984009</v>
      </c>
      <c r="AS36" s="5">
        <f ca="1">IF(Y36&gt;0,SUMIFS(Data!$R$4:$R$1216,Data!$E$4:$E$1216,"&lt;="&amp;$AF36,Data!$AQ$4:$AQ$1216,"="&amp;AS$1)/Y36,"-")</f>
        <v>312321.05478505581</v>
      </c>
      <c r="AT36" s="5">
        <f ca="1">IF(Z36&gt;0,SUMIFS(Data!$R$4:$R$1216,Data!$E$4:$E$1216,"&lt;="&amp;$AF36,Data!$AQ$4:$AQ$1216,"="&amp;AT$1)/Z36,"-")</f>
        <v>80675.780691090418</v>
      </c>
      <c r="AU36" s="5" t="str">
        <f>IF(AA36&gt;0,SUMIFS(Data!$R$4:$R$1216,Data!$E$4:$E$1216,"&lt;="&amp;$AF36,Data!$AQ$4:$AQ$1216,"="&amp;AU$1)/AA36,"-")</f>
        <v>-</v>
      </c>
      <c r="AV36" s="5">
        <f ca="1">IF(AB36&gt;0,SUMIFS(Data!$R$4:$R$1216,Data!$E$4:$E$1216,"&lt;="&amp;$AF36,Data!$AQ$4:$AQ$1216,"="&amp;AV$1)/AB36,"-")</f>
        <v>2052.0365163819683</v>
      </c>
      <c r="AW36" s="5">
        <f ca="1">IF(AC36&gt;0,SUMIFS(Data!$R$4:$R$1216,Data!$E$4:$E$1216,"&lt;="&amp;$AF36,Data!$AQ$4:$AQ$1216,"="&amp;AW$1)/AC36,"-")</f>
        <v>1570.0163179858644</v>
      </c>
      <c r="AZ36">
        <f t="shared" si="56"/>
        <v>1999</v>
      </c>
      <c r="BA36" s="1">
        <f t="shared" ca="1" si="57"/>
        <v>43.546364939826375</v>
      </c>
      <c r="BB36" s="1">
        <f t="shared" ca="1" si="46"/>
        <v>99.189261364808345</v>
      </c>
      <c r="BC36" s="1">
        <f t="shared" ca="1" si="47"/>
        <v>141.86802904327971</v>
      </c>
      <c r="BD36" s="1">
        <f t="shared" ca="1" si="48"/>
        <v>53.245773970093332</v>
      </c>
      <c r="BE36" s="1" t="str">
        <f t="shared" si="49"/>
        <v>-</v>
      </c>
      <c r="BF36" s="1">
        <f t="shared" ca="1" si="50"/>
        <v>7.9936607847898635</v>
      </c>
      <c r="BG36" s="1">
        <f t="shared" ca="1" si="51"/>
        <v>2.819932003726318</v>
      </c>
    </row>
    <row r="37" spans="1:59" x14ac:dyDescent="0.2">
      <c r="V37">
        <f t="shared" si="52"/>
        <v>2000</v>
      </c>
      <c r="W37">
        <f t="shared" si="58"/>
        <v>196</v>
      </c>
      <c r="X37">
        <f t="shared" si="59"/>
        <v>73</v>
      </c>
      <c r="Y37">
        <f t="shared" si="60"/>
        <v>4</v>
      </c>
      <c r="Z37">
        <f t="shared" si="61"/>
        <v>18</v>
      </c>
      <c r="AA37">
        <f t="shared" si="62"/>
        <v>0</v>
      </c>
      <c r="AB37">
        <f t="shared" si="63"/>
        <v>12</v>
      </c>
      <c r="AC37">
        <f t="shared" si="64"/>
        <v>52</v>
      </c>
      <c r="AF37">
        <f t="shared" si="54"/>
        <v>2000</v>
      </c>
      <c r="AG37" s="5">
        <f ca="1">IF(W37&gt;0,SUMIFS(Data!$O$4:$O$1216,Data!$E$4:$E$1216,"&lt;="&amp;$AF37)/W37,"-")</f>
        <v>196.67430172842373</v>
      </c>
      <c r="AH37" s="5">
        <f ca="1">IF(X37&gt;0,SUMIFS(Data!$O$4:$O$1216,Data!$E$4:$E$1216,"&lt;="&amp;$AF37,Data!$AQ$4:$AQ$1216,"="&amp;AH$1)/X37,"-")</f>
        <v>272.57634694304113</v>
      </c>
      <c r="AI37" s="5">
        <f ca="1">IF(Y37&gt;0,SUMIFS(Data!$O$4:$O$1216,Data!$E$4:$E$1216,"&lt;="&amp;$AF37,Data!$AQ$4:$AQ$1216,"="&amp;AI$1)/Y37,"-")</f>
        <v>481.47160261697303</v>
      </c>
      <c r="AJ37" s="5">
        <f ca="1">IF(Z37&gt;0,SUMIFS(Data!$O$4:$O$1216,Data!$E$4:$E$1216,"&lt;="&amp;$AF37,Data!$AQ$4:$AQ$1216,"="&amp;AJ$1)/Z37,"-")</f>
        <v>172.17362361567925</v>
      </c>
      <c r="AK37" s="5" t="str">
        <f>IF(AA37&gt;0,SUMIFS(Data!$O$4:$O$1216,Data!$E$4:$E$1216,"&lt;="&amp;$AF37,Data!$AQ$4:$AQ$1216,"="&amp;AK$1)/AA37,"-")</f>
        <v>-</v>
      </c>
      <c r="AL37" s="5">
        <f ca="1">IF(AB37&gt;0,SUMIFS(Data!$O$4:$O$1216,Data!$E$4:$E$1216,"&lt;="&amp;$AF37,Data!$AQ$4:$AQ$1216,"="&amp;AL$1)/AB37,"-")</f>
        <v>35.850427660971086</v>
      </c>
      <c r="AM37" s="5">
        <f ca="1">IF(AC37&gt;0,SUMIFS(Data!$O$4:$O$1216,Data!$E$4:$E$1216,"&lt;="&amp;$AF37,Data!$AQ$4:$AQ$1216,"="&amp;AM$1)/AC37,"-")</f>
        <v>34.007520634303646</v>
      </c>
      <c r="AP37">
        <f t="shared" si="55"/>
        <v>2000</v>
      </c>
      <c r="AQ37" s="5">
        <f ca="1">IF(W37&gt;0,SUMIFS(Data!$R$4:$R$1216,Data!$E$4:$E$1216,"&lt;="&amp;$AF37)/W37,"-")</f>
        <v>406744.19338815537</v>
      </c>
      <c r="AR37" s="5">
        <f ca="1">IF(X37&gt;0,SUMIFS(Data!$R$4:$R$1216,Data!$E$4:$E$1216,"&lt;="&amp;$AF37,Data!$AQ$4:$AQ$1216,"="&amp;AR$1)/X37,"-")</f>
        <v>792509.06352984009</v>
      </c>
      <c r="AS37" s="5">
        <f ca="1">IF(Y37&gt;0,SUMIFS(Data!$R$4:$R$1216,Data!$E$4:$E$1216,"&lt;="&amp;$AF37,Data!$AQ$4:$AQ$1216,"="&amp;AS$1)/Y37,"-")</f>
        <v>312321.05478505581</v>
      </c>
      <c r="AT37" s="5">
        <f ca="1">IF(Z37&gt;0,SUMIFS(Data!$R$4:$R$1216,Data!$E$4:$E$1216,"&lt;="&amp;$AF37,Data!$AQ$4:$AQ$1216,"="&amp;AT$1)/Z37,"-")</f>
        <v>80675.780691090418</v>
      </c>
      <c r="AU37" s="5" t="str">
        <f>IF(AA37&gt;0,SUMIFS(Data!$R$4:$R$1216,Data!$E$4:$E$1216,"&lt;="&amp;$AF37,Data!$AQ$4:$AQ$1216,"="&amp;AU$1)/AA37,"-")</f>
        <v>-</v>
      </c>
      <c r="AV37" s="5">
        <f ca="1">IF(AB37&gt;0,SUMIFS(Data!$R$4:$R$1216,Data!$E$4:$E$1216,"&lt;="&amp;$AF37,Data!$AQ$4:$AQ$1216,"="&amp;AV$1)/AB37,"-")</f>
        <v>2052.0365163819683</v>
      </c>
      <c r="AW37" s="5">
        <f ca="1">IF(AC37&gt;0,SUMIFS(Data!$R$4:$R$1216,Data!$E$4:$E$1216,"&lt;="&amp;$AF37,Data!$AQ$4:$AQ$1216,"="&amp;AW$1)/AC37,"-")</f>
        <v>1570.0163179858644</v>
      </c>
      <c r="AZ37">
        <f t="shared" si="56"/>
        <v>2000</v>
      </c>
      <c r="BA37" s="1">
        <f t="shared" ca="1" si="57"/>
        <v>43.334449958468632</v>
      </c>
      <c r="BB37" s="1">
        <f t="shared" ca="1" si="46"/>
        <v>99.189261364808345</v>
      </c>
      <c r="BC37" s="1">
        <f t="shared" ca="1" si="47"/>
        <v>141.86802904327971</v>
      </c>
      <c r="BD37" s="1">
        <f t="shared" ca="1" si="48"/>
        <v>53.245773970093332</v>
      </c>
      <c r="BE37" s="1" t="str">
        <f t="shared" si="49"/>
        <v>-</v>
      </c>
      <c r="BF37" s="1">
        <f t="shared" ca="1" si="50"/>
        <v>7.9936607847898635</v>
      </c>
      <c r="BG37" s="1">
        <f t="shared" ca="1" si="51"/>
        <v>2.819932003726318</v>
      </c>
    </row>
    <row r="38" spans="1:59" x14ac:dyDescent="0.2">
      <c r="V38">
        <f t="shared" si="52"/>
        <v>2001</v>
      </c>
      <c r="W38">
        <f t="shared" si="58"/>
        <v>200</v>
      </c>
      <c r="X38">
        <f t="shared" si="59"/>
        <v>73</v>
      </c>
      <c r="Y38">
        <f t="shared" si="60"/>
        <v>4</v>
      </c>
      <c r="Z38">
        <f t="shared" si="61"/>
        <v>22</v>
      </c>
      <c r="AA38">
        <f t="shared" si="62"/>
        <v>0</v>
      </c>
      <c r="AB38">
        <f t="shared" si="63"/>
        <v>12</v>
      </c>
      <c r="AC38">
        <f t="shared" si="64"/>
        <v>52</v>
      </c>
      <c r="AF38">
        <f t="shared" si="54"/>
        <v>2001</v>
      </c>
      <c r="AG38" s="5">
        <f ca="1">IF(W38&gt;0,SUMIFS(Data!$O$4:$O$1216,Data!$E$4:$E$1216,"&lt;="&amp;$AF38)/W38,"-")</f>
        <v>193.46213579372281</v>
      </c>
      <c r="AH38" s="5">
        <f ca="1">IF(X38&gt;0,SUMIFS(Data!$O$4:$O$1216,Data!$E$4:$E$1216,"&lt;="&amp;$AF38,Data!$AQ$4:$AQ$1216,"="&amp;AH$1)/X38,"-")</f>
        <v>272.57634694304113</v>
      </c>
      <c r="AI38" s="5">
        <f ca="1">IF(Y38&gt;0,SUMIFS(Data!$O$4:$O$1216,Data!$E$4:$E$1216,"&lt;="&amp;$AF38,Data!$AQ$4:$AQ$1216,"="&amp;AI$1)/Y38,"-")</f>
        <v>481.47160261697303</v>
      </c>
      <c r="AJ38" s="5">
        <f ca="1">IF(Z38&gt;0,SUMIFS(Data!$O$4:$O$1216,Data!$E$4:$E$1216,"&lt;="&amp;$AF38,Data!$AQ$4:$AQ$1216,"="&amp;AJ$1)/Z38,"-")</f>
        <v>147.4267838661697</v>
      </c>
      <c r="AK38" s="5" t="str">
        <f>IF(AA38&gt;0,SUMIFS(Data!$O$4:$O$1216,Data!$E$4:$E$1216,"&lt;="&amp;$AF38,Data!$AQ$4:$AQ$1216,"="&amp;AK$1)/AA38,"-")</f>
        <v>-</v>
      </c>
      <c r="AL38" s="5">
        <f ca="1">IF(AB38&gt;0,SUMIFS(Data!$O$4:$O$1216,Data!$E$4:$E$1216,"&lt;="&amp;$AF38,Data!$AQ$4:$AQ$1216,"="&amp;AL$1)/AB38,"-")</f>
        <v>35.850427660971086</v>
      </c>
      <c r="AM38" s="5">
        <f ca="1">IF(AC38&gt;0,SUMIFS(Data!$O$4:$O$1216,Data!$E$4:$E$1216,"&lt;="&amp;$AF38,Data!$AQ$4:$AQ$1216,"="&amp;AM$1)/AC38,"-")</f>
        <v>34.007520634303646</v>
      </c>
      <c r="AP38">
        <f t="shared" si="55"/>
        <v>2001</v>
      </c>
      <c r="AQ38" s="5">
        <f ca="1">IF(W38&gt;0,SUMIFS(Data!$R$4:$R$1216,Data!$E$4:$E$1216,"&lt;="&amp;$AF38)/W38,"-")</f>
        <v>398654.54696959839</v>
      </c>
      <c r="AR38" s="5">
        <f ca="1">IF(X38&gt;0,SUMIFS(Data!$R$4:$R$1216,Data!$E$4:$E$1216,"&lt;="&amp;$AF38,Data!$AQ$4:$AQ$1216,"="&amp;AR$1)/X38,"-")</f>
        <v>792509.06352984009</v>
      </c>
      <c r="AS38" s="5">
        <f ca="1">IF(Y38&gt;0,SUMIFS(Data!$R$4:$R$1216,Data!$E$4:$E$1216,"&lt;="&amp;$AF38,Data!$AQ$4:$AQ$1216,"="&amp;AS$1)/Y38,"-")</f>
        <v>312321.05478505581</v>
      </c>
      <c r="AT38" s="5">
        <f ca="1">IF(Z38&gt;0,SUMIFS(Data!$R$4:$R$1216,Data!$E$4:$E$1216,"&lt;="&amp;$AF38,Data!$AQ$4:$AQ$1216,"="&amp;AT$1)/Z38,"-")</f>
        <v>66418.706467311407</v>
      </c>
      <c r="AU38" s="5" t="str">
        <f>IF(AA38&gt;0,SUMIFS(Data!$R$4:$R$1216,Data!$E$4:$E$1216,"&lt;="&amp;$AF38,Data!$AQ$4:$AQ$1216,"="&amp;AU$1)/AA38,"-")</f>
        <v>-</v>
      </c>
      <c r="AV38" s="5">
        <f ca="1">IF(AB38&gt;0,SUMIFS(Data!$R$4:$R$1216,Data!$E$4:$E$1216,"&lt;="&amp;$AF38,Data!$AQ$4:$AQ$1216,"="&amp;AV$1)/AB38,"-")</f>
        <v>2052.0365163819683</v>
      </c>
      <c r="AW38" s="5">
        <f ca="1">IF(AC38&gt;0,SUMIFS(Data!$R$4:$R$1216,Data!$E$4:$E$1216,"&lt;="&amp;$AF38,Data!$AQ$4:$AQ$1216,"="&amp;AW$1)/AC38,"-")</f>
        <v>1570.0163179858644</v>
      </c>
      <c r="AZ38">
        <f t="shared" si="56"/>
        <v>2001</v>
      </c>
      <c r="BA38" s="1">
        <f t="shared" ca="1" si="57"/>
        <v>42.498644036235405</v>
      </c>
      <c r="BB38" s="1">
        <f t="shared" ca="1" si="46"/>
        <v>99.189261364808345</v>
      </c>
      <c r="BC38" s="1">
        <f t="shared" ca="1" si="47"/>
        <v>141.86802904327971</v>
      </c>
      <c r="BD38" s="1">
        <f t="shared" ca="1" si="48"/>
        <v>45.067651100715992</v>
      </c>
      <c r="BE38" s="1" t="str">
        <f t="shared" si="49"/>
        <v>-</v>
      </c>
      <c r="BF38" s="1">
        <f t="shared" ca="1" si="50"/>
        <v>7.9936607847898635</v>
      </c>
      <c r="BG38" s="1">
        <f t="shared" ca="1" si="51"/>
        <v>2.819932003726318</v>
      </c>
    </row>
    <row r="39" spans="1:59" x14ac:dyDescent="0.2">
      <c r="V39">
        <f t="shared" si="52"/>
        <v>2002</v>
      </c>
      <c r="W39">
        <f t="shared" si="58"/>
        <v>201</v>
      </c>
      <c r="X39">
        <f t="shared" si="59"/>
        <v>73</v>
      </c>
      <c r="Y39">
        <f t="shared" si="60"/>
        <v>4</v>
      </c>
      <c r="Z39">
        <f t="shared" si="61"/>
        <v>23</v>
      </c>
      <c r="AA39">
        <f t="shared" si="62"/>
        <v>0</v>
      </c>
      <c r="AB39">
        <f t="shared" si="63"/>
        <v>12</v>
      </c>
      <c r="AC39">
        <f t="shared" si="64"/>
        <v>52</v>
      </c>
      <c r="AF39">
        <f t="shared" si="54"/>
        <v>2002</v>
      </c>
      <c r="AG39" s="5">
        <f ca="1">IF(W39&gt;0,SUMIFS(Data!$O$4:$O$1216,Data!$E$4:$E$1216,"&lt;="&amp;$AF39)/W39,"-")</f>
        <v>193.24264122460443</v>
      </c>
      <c r="AH39" s="5">
        <f ca="1">IF(X39&gt;0,SUMIFS(Data!$O$4:$O$1216,Data!$E$4:$E$1216,"&lt;="&amp;$AF39,Data!$AQ$4:$AQ$1216,"="&amp;AH$1)/X39,"-")</f>
        <v>272.57634694304113</v>
      </c>
      <c r="AI39" s="5">
        <f ca="1">IF(Y39&gt;0,SUMIFS(Data!$O$4:$O$1216,Data!$E$4:$E$1216,"&lt;="&amp;$AF39,Data!$AQ$4:$AQ$1216,"="&amp;AI$1)/Y39,"-")</f>
        <v>481.47160261697303</v>
      </c>
      <c r="AJ39" s="5">
        <f ca="1">IF(Z39&gt;0,SUMIFS(Data!$O$4:$O$1216,Data!$E$4:$E$1216,"&lt;="&amp;$AF39,Data!$AQ$4:$AQ$1216,"="&amp;AJ$1)/Z39,"-")</f>
        <v>147.51012923724593</v>
      </c>
      <c r="AK39" s="5" t="str">
        <f>IF(AA39&gt;0,SUMIFS(Data!$O$4:$O$1216,Data!$E$4:$E$1216,"&lt;="&amp;$AF39,Data!$AQ$4:$AQ$1216,"="&amp;AK$1)/AA39,"-")</f>
        <v>-</v>
      </c>
      <c r="AL39" s="5">
        <f ca="1">IF(AB39&gt;0,SUMIFS(Data!$O$4:$O$1216,Data!$E$4:$E$1216,"&lt;="&amp;$AF39,Data!$AQ$4:$AQ$1216,"="&amp;AL$1)/AB39,"-")</f>
        <v>35.850427660971086</v>
      </c>
      <c r="AM39" s="5">
        <f ca="1">IF(AC39&gt;0,SUMIFS(Data!$O$4:$O$1216,Data!$E$4:$E$1216,"&lt;="&amp;$AF39,Data!$AQ$4:$AQ$1216,"="&amp;AM$1)/AC39,"-")</f>
        <v>34.007520634303646</v>
      </c>
      <c r="AP39">
        <f t="shared" si="55"/>
        <v>2002</v>
      </c>
      <c r="AQ39" s="5">
        <f ca="1">IF(W39&gt;0,SUMIFS(Data!$R$4:$R$1216,Data!$E$4:$E$1216,"&lt;="&amp;$AF39)/W39,"-")</f>
        <v>396782.15394444618</v>
      </c>
      <c r="AR39" s="5">
        <f ca="1">IF(X39&gt;0,SUMIFS(Data!$R$4:$R$1216,Data!$E$4:$E$1216,"&lt;="&amp;$AF39,Data!$AQ$4:$AQ$1216,"="&amp;AR$1)/X39,"-")</f>
        <v>792509.06352984009</v>
      </c>
      <c r="AS39" s="5">
        <f ca="1">IF(Y39&gt;0,SUMIFS(Data!$R$4:$R$1216,Data!$E$4:$E$1216,"&lt;="&amp;$AF39,Data!$AQ$4:$AQ$1216,"="&amp;AS$1)/Y39,"-")</f>
        <v>312321.05478505581</v>
      </c>
      <c r="AT39" s="5">
        <f ca="1">IF(Z39&gt;0,SUMIFS(Data!$R$4:$R$1216,Data!$E$4:$E$1216,"&lt;="&amp;$AF39,Data!$AQ$4:$AQ$1216,"="&amp;AT$1)/Z39,"-")</f>
        <v>64500.656138906612</v>
      </c>
      <c r="AU39" s="5" t="str">
        <f>IF(AA39&gt;0,SUMIFS(Data!$R$4:$R$1216,Data!$E$4:$E$1216,"&lt;="&amp;$AF39,Data!$AQ$4:$AQ$1216,"="&amp;AU$1)/AA39,"-")</f>
        <v>-</v>
      </c>
      <c r="AV39" s="5">
        <f ca="1">IF(AB39&gt;0,SUMIFS(Data!$R$4:$R$1216,Data!$E$4:$E$1216,"&lt;="&amp;$AF39,Data!$AQ$4:$AQ$1216,"="&amp;AV$1)/AB39,"-")</f>
        <v>2052.0365163819683</v>
      </c>
      <c r="AW39" s="5">
        <f ca="1">IF(AC39&gt;0,SUMIFS(Data!$R$4:$R$1216,Data!$E$4:$E$1216,"&lt;="&amp;$AF39,Data!$AQ$4:$AQ$1216,"="&amp;AW$1)/AC39,"-")</f>
        <v>1570.0163179858644</v>
      </c>
      <c r="AZ39">
        <f t="shared" si="56"/>
        <v>2002</v>
      </c>
      <c r="BA39" s="1">
        <f t="shared" ca="1" si="57"/>
        <v>42.287774808961714</v>
      </c>
      <c r="BB39" s="1">
        <f t="shared" ca="1" si="46"/>
        <v>99.189261364808345</v>
      </c>
      <c r="BC39" s="1">
        <f t="shared" ca="1" si="47"/>
        <v>141.86802904327971</v>
      </c>
      <c r="BD39" s="1">
        <f t="shared" ca="1" si="48"/>
        <v>43.108265076240016</v>
      </c>
      <c r="BE39" s="1" t="str">
        <f t="shared" si="49"/>
        <v>-</v>
      </c>
      <c r="BF39" s="1">
        <f t="shared" ca="1" si="50"/>
        <v>7.9936607847898635</v>
      </c>
      <c r="BG39" s="1">
        <f t="shared" ca="1" si="51"/>
        <v>2.819932003726318</v>
      </c>
    </row>
    <row r="40" spans="1:59" x14ac:dyDescent="0.2">
      <c r="V40">
        <f t="shared" si="52"/>
        <v>2003</v>
      </c>
      <c r="W40">
        <f t="shared" si="58"/>
        <v>212</v>
      </c>
      <c r="X40">
        <f t="shared" si="59"/>
        <v>76</v>
      </c>
      <c r="Y40">
        <f t="shared" si="60"/>
        <v>4</v>
      </c>
      <c r="Z40">
        <f t="shared" si="61"/>
        <v>24</v>
      </c>
      <c r="AA40">
        <f t="shared" si="62"/>
        <v>0</v>
      </c>
      <c r="AB40">
        <f t="shared" si="63"/>
        <v>15</v>
      </c>
      <c r="AC40">
        <f t="shared" si="64"/>
        <v>52</v>
      </c>
      <c r="AF40">
        <f t="shared" si="54"/>
        <v>2003</v>
      </c>
      <c r="AG40" s="5">
        <f ca="1">IF(W40&gt;0,SUMIFS(Data!$O$4:$O$1216,Data!$E$4:$E$1216,"&lt;="&amp;$AF40)/W40,"-")</f>
        <v>185.54893921804984</v>
      </c>
      <c r="AH40" s="5">
        <f ca="1">IF(X40&gt;0,SUMIFS(Data!$O$4:$O$1216,Data!$E$4:$E$1216,"&lt;="&amp;$AF40,Data!$AQ$4:$AQ$1216,"="&amp;AH$1)/X40,"-")</f>
        <v>263.93775479601987</v>
      </c>
      <c r="AI40" s="5">
        <f ca="1">IF(Y40&gt;0,SUMIFS(Data!$O$4:$O$1216,Data!$E$4:$E$1216,"&lt;="&amp;$AF40,Data!$AQ$4:$AQ$1216,"="&amp;AI$1)/Y40,"-")</f>
        <v>481.47160261697303</v>
      </c>
      <c r="AJ40" s="5">
        <f ca="1">IF(Z40&gt;0,SUMIFS(Data!$O$4:$O$1216,Data!$E$4:$E$1216,"&lt;="&amp;$AF40,Data!$AQ$4:$AQ$1216,"="&amp;AJ$1)/Z40,"-")</f>
        <v>142.94763669767698</v>
      </c>
      <c r="AK40" s="5" t="str">
        <f>IF(AA40&gt;0,SUMIFS(Data!$O$4:$O$1216,Data!$E$4:$E$1216,"&lt;="&amp;$AF40,Data!$AQ$4:$AQ$1216,"="&amp;AK$1)/AA40,"-")</f>
        <v>-</v>
      </c>
      <c r="AL40" s="5">
        <f ca="1">IF(AB40&gt;0,SUMIFS(Data!$O$4:$O$1216,Data!$E$4:$E$1216,"&lt;="&amp;$AF40,Data!$AQ$4:$AQ$1216,"="&amp;AL$1)/AB40,"-")</f>
        <v>31.772538059634243</v>
      </c>
      <c r="AM40" s="5">
        <f ca="1">IF(AC40&gt;0,SUMIFS(Data!$O$4:$O$1216,Data!$E$4:$E$1216,"&lt;="&amp;$AF40,Data!$AQ$4:$AQ$1216,"="&amp;AM$1)/AC40,"-")</f>
        <v>34.007520634303646</v>
      </c>
      <c r="AP40">
        <f t="shared" si="55"/>
        <v>2003</v>
      </c>
      <c r="AQ40" s="5">
        <f ca="1">IF(W40&gt;0,SUMIFS(Data!$R$4:$R$1216,Data!$E$4:$E$1216,"&lt;="&amp;$AF40)/W40,"-")</f>
        <v>376511.39602932835</v>
      </c>
      <c r="AR40" s="5">
        <f ca="1">IF(X40&gt;0,SUMIFS(Data!$R$4:$R$1216,Data!$E$4:$E$1216,"&lt;="&amp;$AF40,Data!$AQ$4:$AQ$1216,"="&amp;AR$1)/X40,"-")</f>
        <v>761344.53496781096</v>
      </c>
      <c r="AS40" s="5">
        <f ca="1">IF(Y40&gt;0,SUMIFS(Data!$R$4:$R$1216,Data!$E$4:$E$1216,"&lt;="&amp;$AF40,Data!$AQ$4:$AQ$1216,"="&amp;AS$1)/Y40,"-")</f>
        <v>312321.05478505581</v>
      </c>
      <c r="AT40" s="5">
        <f ca="1">IF(Z40&gt;0,SUMIFS(Data!$R$4:$R$1216,Data!$E$4:$E$1216,"&lt;="&amp;$AF40,Data!$AQ$4:$AQ$1216,"="&amp;AT$1)/Z40,"-")</f>
        <v>61873.328113790405</v>
      </c>
      <c r="AU40" s="5" t="str">
        <f>IF(AA40&gt;0,SUMIFS(Data!$R$4:$R$1216,Data!$E$4:$E$1216,"&lt;="&amp;$AF40,Data!$AQ$4:$AQ$1216,"="&amp;AU$1)/AA40,"-")</f>
        <v>-</v>
      </c>
      <c r="AV40" s="5">
        <f ca="1">IF(AB40&gt;0,SUMIFS(Data!$R$4:$R$1216,Data!$E$4:$E$1216,"&lt;="&amp;$AF40,Data!$AQ$4:$AQ$1216,"="&amp;AV$1)/AB40,"-")</f>
        <v>1692.9692267939815</v>
      </c>
      <c r="AW40" s="5">
        <f ca="1">IF(AC40&gt;0,SUMIFS(Data!$R$4:$R$1216,Data!$E$4:$E$1216,"&lt;="&amp;$AF40,Data!$AQ$4:$AQ$1216,"="&amp;AW$1)/AC40,"-")</f>
        <v>1570.0163179858644</v>
      </c>
      <c r="AZ40">
        <f t="shared" si="56"/>
        <v>2003</v>
      </c>
      <c r="BA40" s="1">
        <f t="shared" ca="1" si="57"/>
        <v>40.16962778210371</v>
      </c>
      <c r="BB40" s="1">
        <f t="shared" ca="1" si="46"/>
        <v>95.399533580527518</v>
      </c>
      <c r="BC40" s="1">
        <f t="shared" ca="1" si="47"/>
        <v>141.86802904327971</v>
      </c>
      <c r="BD40" s="1">
        <f t="shared" ca="1" si="48"/>
        <v>41.552828461860535</v>
      </c>
      <c r="BE40" s="1" t="str">
        <f t="shared" si="49"/>
        <v>-</v>
      </c>
      <c r="BF40" s="1">
        <f t="shared" ca="1" si="50"/>
        <v>6.7501854396407754</v>
      </c>
      <c r="BG40" s="1">
        <f t="shared" ca="1" si="51"/>
        <v>2.819932003726318</v>
      </c>
    </row>
    <row r="41" spans="1:59" x14ac:dyDescent="0.2">
      <c r="V41">
        <f t="shared" si="52"/>
        <v>2004</v>
      </c>
      <c r="W41">
        <f t="shared" si="58"/>
        <v>238</v>
      </c>
      <c r="X41">
        <f t="shared" si="59"/>
        <v>85</v>
      </c>
      <c r="Y41">
        <f t="shared" si="60"/>
        <v>4</v>
      </c>
      <c r="Z41">
        <f t="shared" si="61"/>
        <v>31</v>
      </c>
      <c r="AA41">
        <f t="shared" si="62"/>
        <v>0</v>
      </c>
      <c r="AB41">
        <f t="shared" si="63"/>
        <v>17</v>
      </c>
      <c r="AC41">
        <f t="shared" si="64"/>
        <v>60</v>
      </c>
      <c r="AF41">
        <f t="shared" si="54"/>
        <v>2004</v>
      </c>
      <c r="AG41" s="5">
        <f ca="1">IF(W41&gt;0,SUMIFS(Data!$O$4:$O$1216,Data!$E$4:$E$1216,"&lt;="&amp;$AF41)/W41,"-")</f>
        <v>187.65015036135802</v>
      </c>
      <c r="AH41" s="5">
        <f ca="1">IF(X41&gt;0,SUMIFS(Data!$O$4:$O$1216,Data!$E$4:$E$1216,"&lt;="&amp;$AF41,Data!$AQ$4:$AQ$1216,"="&amp;AH$1)/X41,"-")</f>
        <v>279.79510415232039</v>
      </c>
      <c r="AI41" s="5">
        <f ca="1">IF(Y41&gt;0,SUMIFS(Data!$O$4:$O$1216,Data!$E$4:$E$1216,"&lt;="&amp;$AF41,Data!$AQ$4:$AQ$1216,"="&amp;AI$1)/Y41,"-")</f>
        <v>481.47160261697303</v>
      </c>
      <c r="AJ41" s="5">
        <f ca="1">IF(Z41&gt;0,SUMIFS(Data!$O$4:$O$1216,Data!$E$4:$E$1216,"&lt;="&amp;$AF41,Data!$AQ$4:$AQ$1216,"="&amp;AJ$1)/Z41,"-")</f>
        <v>144.15423612859223</v>
      </c>
      <c r="AK41" s="5" t="str">
        <f>IF(AA41&gt;0,SUMIFS(Data!$O$4:$O$1216,Data!$E$4:$E$1216,"&lt;="&amp;$AF41,Data!$AQ$4:$AQ$1216,"="&amp;AK$1)/AA41,"-")</f>
        <v>-</v>
      </c>
      <c r="AL41" s="5">
        <f ca="1">IF(AB41&gt;0,SUMIFS(Data!$O$4:$O$1216,Data!$E$4:$E$1216,"&lt;="&amp;$AF41,Data!$AQ$4:$AQ$1216,"="&amp;AL$1)/AB41,"-")</f>
        <v>42.451837445871234</v>
      </c>
      <c r="AM41" s="5">
        <f ca="1">IF(AC41&gt;0,SUMIFS(Data!$O$4:$O$1216,Data!$E$4:$E$1216,"&lt;="&amp;$AF41,Data!$AQ$4:$AQ$1216,"="&amp;AM$1)/AC41,"-")</f>
        <v>34.771767523055317</v>
      </c>
      <c r="AP41">
        <f t="shared" si="55"/>
        <v>2004</v>
      </c>
      <c r="AQ41" s="5">
        <f ca="1">IF(W41&gt;0,SUMIFS(Data!$R$4:$R$1216,Data!$E$4:$E$1216,"&lt;="&amp;$AF41)/W41,"-")</f>
        <v>348896.99726767308</v>
      </c>
      <c r="AR41" s="5">
        <f ca="1">IF(X41&gt;0,SUMIFS(Data!$R$4:$R$1216,Data!$E$4:$E$1216,"&lt;="&amp;$AF41,Data!$AQ$4:$AQ$1216,"="&amp;AR$1)/X41,"-")</f>
        <v>714632.21683374315</v>
      </c>
      <c r="AS41" s="5">
        <f ca="1">IF(Y41&gt;0,SUMIFS(Data!$R$4:$R$1216,Data!$E$4:$E$1216,"&lt;="&amp;$AF41,Data!$AQ$4:$AQ$1216,"="&amp;AS$1)/Y41,"-")</f>
        <v>312321.05478505581</v>
      </c>
      <c r="AT41" s="5">
        <f ca="1">IF(Z41&gt;0,SUMIFS(Data!$R$4:$R$1216,Data!$E$4:$E$1216,"&lt;="&amp;$AF41,Data!$AQ$4:$AQ$1216,"="&amp;AT$1)/Z41,"-")</f>
        <v>56791.040189623796</v>
      </c>
      <c r="AU41" s="5" t="str">
        <f>IF(AA41&gt;0,SUMIFS(Data!$R$4:$R$1216,Data!$E$4:$E$1216,"&lt;="&amp;$AF41,Data!$AQ$4:$AQ$1216,"="&amp;AU$1)/AA41,"-")</f>
        <v>-</v>
      </c>
      <c r="AV41" s="5">
        <f ca="1">IF(AB41&gt;0,SUMIFS(Data!$R$4:$R$1216,Data!$E$4:$E$1216,"&lt;="&amp;$AF41,Data!$AQ$4:$AQ$1216,"="&amp;AV$1)/AB41,"-")</f>
        <v>3721.6894348851529</v>
      </c>
      <c r="AW41" s="5">
        <f ca="1">IF(AC41&gt;0,SUMIFS(Data!$R$4:$R$1216,Data!$E$4:$E$1216,"&lt;="&amp;$AF41,Data!$AQ$4:$AQ$1216,"="&amp;AW$1)/AC41,"-")</f>
        <v>1728.6652261797421</v>
      </c>
      <c r="AZ41">
        <f t="shared" si="56"/>
        <v>2004</v>
      </c>
      <c r="BA41" s="1">
        <f t="shared" ca="1" si="57"/>
        <v>36.304293929487528</v>
      </c>
      <c r="BB41" s="1">
        <f t="shared" ca="1" si="46"/>
        <v>86.524183394425521</v>
      </c>
      <c r="BC41" s="1">
        <f t="shared" ca="1" si="47"/>
        <v>141.86802904327971</v>
      </c>
      <c r="BD41" s="1">
        <f t="shared" ca="1" si="48"/>
        <v>34.082724976154552</v>
      </c>
      <c r="BE41" s="1" t="str">
        <f t="shared" si="49"/>
        <v>-</v>
      </c>
      <c r="BF41" s="1">
        <f t="shared" ca="1" si="50"/>
        <v>10.626080380655219</v>
      </c>
      <c r="BG41" s="1">
        <f t="shared" ca="1" si="51"/>
        <v>2.9427578037795818</v>
      </c>
    </row>
    <row r="42" spans="1:59" x14ac:dyDescent="0.2">
      <c r="V42">
        <f t="shared" si="52"/>
        <v>2005</v>
      </c>
      <c r="W42">
        <f t="shared" si="58"/>
        <v>252</v>
      </c>
      <c r="X42">
        <f t="shared" si="59"/>
        <v>87</v>
      </c>
      <c r="Y42">
        <f t="shared" si="60"/>
        <v>4</v>
      </c>
      <c r="Z42">
        <f t="shared" si="61"/>
        <v>33</v>
      </c>
      <c r="AA42">
        <f t="shared" si="62"/>
        <v>0</v>
      </c>
      <c r="AB42">
        <f t="shared" si="63"/>
        <v>17</v>
      </c>
      <c r="AC42">
        <f t="shared" si="64"/>
        <v>69</v>
      </c>
      <c r="AF42">
        <f t="shared" si="54"/>
        <v>2005</v>
      </c>
      <c r="AG42" s="5">
        <f ca="1">IF(W42&gt;0,SUMIFS(Data!$O$4:$O$1216,Data!$E$4:$E$1216,"&lt;="&amp;$AF42)/W42,"-")</f>
        <v>179.19248376785995</v>
      </c>
      <c r="AH42" s="5">
        <f ca="1">IF(X42&gt;0,SUMIFS(Data!$O$4:$O$1216,Data!$E$4:$E$1216,"&lt;="&amp;$AF42,Data!$AQ$4:$AQ$1216,"="&amp;AH$1)/X42,"-")</f>
        <v>274.00123653614963</v>
      </c>
      <c r="AI42" s="5">
        <f ca="1">IF(Y42&gt;0,SUMIFS(Data!$O$4:$O$1216,Data!$E$4:$E$1216,"&lt;="&amp;$AF42,Data!$AQ$4:$AQ$1216,"="&amp;AI$1)/Y42,"-")</f>
        <v>481.47160261697303</v>
      </c>
      <c r="AJ42" s="5">
        <f ca="1">IF(Z42&gt;0,SUMIFS(Data!$O$4:$O$1216,Data!$E$4:$E$1216,"&lt;="&amp;$AF42,Data!$AQ$4:$AQ$1216,"="&amp;AJ$1)/Z42,"-")</f>
        <v>135.90368204273227</v>
      </c>
      <c r="AK42" s="5" t="str">
        <f>IF(AA42&gt;0,SUMIFS(Data!$O$4:$O$1216,Data!$E$4:$E$1216,"&lt;="&amp;$AF42,Data!$AQ$4:$AQ$1216,"="&amp;AK$1)/AA42,"-")</f>
        <v>-</v>
      </c>
      <c r="AL42" s="5">
        <f ca="1">IF(AB42&gt;0,SUMIFS(Data!$O$4:$O$1216,Data!$E$4:$E$1216,"&lt;="&amp;$AF42,Data!$AQ$4:$AQ$1216,"="&amp;AL$1)/AB42,"-")</f>
        <v>42.451837445871234</v>
      </c>
      <c r="AM42" s="5">
        <f ca="1">IF(AC42&gt;0,SUMIFS(Data!$O$4:$O$1216,Data!$E$4:$E$1216,"&lt;="&amp;$AF42,Data!$AQ$4:$AQ$1216,"="&amp;AM$1)/AC42,"-")</f>
        <v>35.302034754474647</v>
      </c>
      <c r="AP42">
        <f t="shared" si="55"/>
        <v>2005</v>
      </c>
      <c r="AQ42" s="5">
        <f ca="1">IF(W42&gt;0,SUMIFS(Data!$R$4:$R$1216,Data!$E$4:$E$1216,"&lt;="&amp;$AF42)/W42,"-")</f>
        <v>329620.29303151538</v>
      </c>
      <c r="AR42" s="5">
        <f ca="1">IF(X42&gt;0,SUMIFS(Data!$R$4:$R$1216,Data!$E$4:$E$1216,"&lt;="&amp;$AF42,Data!$AQ$4:$AQ$1216,"="&amp;AR$1)/X42,"-")</f>
        <v>698221.80514523212</v>
      </c>
      <c r="AS42" s="5">
        <f ca="1">IF(Y42&gt;0,SUMIFS(Data!$R$4:$R$1216,Data!$E$4:$E$1216,"&lt;="&amp;$AF42,Data!$AQ$4:$AQ$1216,"="&amp;AS$1)/Y42,"-")</f>
        <v>312321.05478505581</v>
      </c>
      <c r="AT42" s="5">
        <f ca="1">IF(Z42&gt;0,SUMIFS(Data!$R$4:$R$1216,Data!$E$4:$E$1216,"&lt;="&amp;$AF42,Data!$AQ$4:$AQ$1216,"="&amp;AT$1)/Z42,"-")</f>
        <v>53353.339832047714</v>
      </c>
      <c r="AU42" s="5" t="str">
        <f>IF(AA42&gt;0,SUMIFS(Data!$R$4:$R$1216,Data!$E$4:$E$1216,"&lt;="&amp;$AF42,Data!$AQ$4:$AQ$1216,"="&amp;AU$1)/AA42,"-")</f>
        <v>-</v>
      </c>
      <c r="AV42" s="5">
        <f ca="1">IF(AB42&gt;0,SUMIFS(Data!$R$4:$R$1216,Data!$E$4:$E$1216,"&lt;="&amp;$AF42,Data!$AQ$4:$AQ$1216,"="&amp;AV$1)/AB42,"-")</f>
        <v>3721.6894348851529</v>
      </c>
      <c r="AW42" s="5">
        <f ca="1">IF(AC42&gt;0,SUMIFS(Data!$R$4:$R$1216,Data!$E$4:$E$1216,"&lt;="&amp;$AF42,Data!$AQ$4:$AQ$1216,"="&amp;AW$1)/AC42,"-")</f>
        <v>1786.6077569812608</v>
      </c>
      <c r="AZ42">
        <f t="shared" si="56"/>
        <v>2005</v>
      </c>
      <c r="BA42" s="1">
        <f t="shared" ca="1" si="57"/>
        <v>34.359811033479666</v>
      </c>
      <c r="BB42" s="1">
        <f t="shared" ca="1" si="46"/>
        <v>84.632072364236947</v>
      </c>
      <c r="BC42" s="1">
        <f t="shared" ca="1" si="47"/>
        <v>141.86802904327971</v>
      </c>
      <c r="BD42" s="1">
        <f t="shared" ca="1" si="48"/>
        <v>32.51271501357288</v>
      </c>
      <c r="BE42" s="1" t="str">
        <f t="shared" si="49"/>
        <v>-</v>
      </c>
      <c r="BF42" s="1">
        <f t="shared" ca="1" si="50"/>
        <v>10.626080380655219</v>
      </c>
      <c r="BG42" s="1">
        <f t="shared" ca="1" si="51"/>
        <v>2.7984832827261026</v>
      </c>
    </row>
    <row r="43" spans="1:59" x14ac:dyDescent="0.2">
      <c r="V43">
        <f t="shared" si="52"/>
        <v>2006</v>
      </c>
      <c r="W43">
        <f t="shared" si="58"/>
        <v>323</v>
      </c>
      <c r="X43">
        <f t="shared" si="59"/>
        <v>102</v>
      </c>
      <c r="Y43">
        <f t="shared" si="60"/>
        <v>4</v>
      </c>
      <c r="Z43">
        <f t="shared" si="61"/>
        <v>49</v>
      </c>
      <c r="AA43">
        <f t="shared" si="62"/>
        <v>0</v>
      </c>
      <c r="AB43">
        <f t="shared" si="63"/>
        <v>19</v>
      </c>
      <c r="AC43">
        <f t="shared" si="64"/>
        <v>89</v>
      </c>
      <c r="AF43">
        <f t="shared" si="54"/>
        <v>2006</v>
      </c>
      <c r="AG43" s="5">
        <f ca="1">IF(W43&gt;0,SUMIFS(Data!$O$4:$O$1216,Data!$E$4:$E$1216,"&lt;="&amp;$AF43)/W43,"-")</f>
        <v>182.17766467466913</v>
      </c>
      <c r="AH43" s="5">
        <f ca="1">IF(X43&gt;0,SUMIFS(Data!$O$4:$O$1216,Data!$E$4:$E$1216,"&lt;="&amp;$AF43,Data!$AQ$4:$AQ$1216,"="&amp;AH$1)/X43,"-")</f>
        <v>320.67829793877519</v>
      </c>
      <c r="AI43" s="5">
        <f ca="1">IF(Y43&gt;0,SUMIFS(Data!$O$4:$O$1216,Data!$E$4:$E$1216,"&lt;="&amp;$AF43,Data!$AQ$4:$AQ$1216,"="&amp;AI$1)/Y43,"-")</f>
        <v>481.47160261697303</v>
      </c>
      <c r="AJ43" s="5">
        <f ca="1">IF(Z43&gt;0,SUMIFS(Data!$O$4:$O$1216,Data!$E$4:$E$1216,"&lt;="&amp;$AF43,Data!$AQ$4:$AQ$1216,"="&amp;AJ$1)/Z43,"-")</f>
        <v>138.95531770932044</v>
      </c>
      <c r="AK43" s="5" t="str">
        <f>IF(AA43&gt;0,SUMIFS(Data!$O$4:$O$1216,Data!$E$4:$E$1216,"&lt;="&amp;$AF43,Data!$AQ$4:$AQ$1216,"="&amp;AK$1)/AA43,"-")</f>
        <v>-</v>
      </c>
      <c r="AL43" s="5">
        <f ca="1">IF(AB43&gt;0,SUMIFS(Data!$O$4:$O$1216,Data!$E$4:$E$1216,"&lt;="&amp;$AF43,Data!$AQ$4:$AQ$1216,"="&amp;AL$1)/AB43,"-")</f>
        <v>43.946130424019643</v>
      </c>
      <c r="AM43" s="5">
        <f ca="1">IF(AC43&gt;0,SUMIFS(Data!$O$4:$O$1216,Data!$E$4:$E$1216,"&lt;="&amp;$AF43,Data!$AQ$4:$AQ$1216,"="&amp;AM$1)/AC43,"-")</f>
        <v>32.951766283678197</v>
      </c>
      <c r="AP43">
        <f t="shared" si="55"/>
        <v>2006</v>
      </c>
      <c r="AQ43" s="5">
        <f ca="1">IF(W43&gt;0,SUMIFS(Data!$R$4:$R$1216,Data!$E$4:$E$1216,"&lt;="&amp;$AF43)/W43,"-")</f>
        <v>334445.46830210701</v>
      </c>
      <c r="AR43" s="5">
        <f ca="1">IF(X43&gt;0,SUMIFS(Data!$R$4:$R$1216,Data!$E$4:$E$1216,"&lt;="&amp;$AF43,Data!$AQ$4:$AQ$1216,"="&amp;AR$1)/X43,"-")</f>
        <v>819740.73325255385</v>
      </c>
      <c r="AS43" s="5">
        <f ca="1">IF(Y43&gt;0,SUMIFS(Data!$R$4:$R$1216,Data!$E$4:$E$1216,"&lt;="&amp;$AF43,Data!$AQ$4:$AQ$1216,"="&amp;AS$1)/Y43,"-")</f>
        <v>312321.05478505581</v>
      </c>
      <c r="AT43" s="5">
        <f ca="1">IF(Z43&gt;0,SUMIFS(Data!$R$4:$R$1216,Data!$E$4:$E$1216,"&lt;="&amp;$AF43,Data!$AQ$4:$AQ$1216,"="&amp;AT$1)/Z43,"-")</f>
        <v>64109.71196236476</v>
      </c>
      <c r="AU43" s="5" t="str">
        <f>IF(AA43&gt;0,SUMIFS(Data!$R$4:$R$1216,Data!$E$4:$E$1216,"&lt;="&amp;$AF43,Data!$AQ$4:$AQ$1216,"="&amp;AU$1)/AA43,"-")</f>
        <v>-</v>
      </c>
      <c r="AV43" s="5">
        <f ca="1">IF(AB43&gt;0,SUMIFS(Data!$R$4:$R$1216,Data!$E$4:$E$1216,"&lt;="&amp;$AF43,Data!$AQ$4:$AQ$1216,"="&amp;AV$1)/AB43,"-")</f>
        <v>3684.1819594488393</v>
      </c>
      <c r="AW43" s="5">
        <f ca="1">IF(AC43&gt;0,SUMIFS(Data!$R$4:$R$1216,Data!$E$4:$E$1216,"&lt;="&amp;$AF43,Data!$AQ$4:$AQ$1216,"="&amp;AW$1)/AC43,"-")</f>
        <v>2079.6559379088908</v>
      </c>
      <c r="AZ43">
        <f t="shared" si="56"/>
        <v>2006</v>
      </c>
      <c r="BA43" s="1">
        <f t="shared" ca="1" si="57"/>
        <v>30.539867198988603</v>
      </c>
      <c r="BB43" s="1">
        <f t="shared" ca="1" si="46"/>
        <v>83.836100750543821</v>
      </c>
      <c r="BC43" s="1">
        <f t="shared" ca="1" si="47"/>
        <v>141.86802904327971</v>
      </c>
      <c r="BD43" s="1">
        <f t="shared" ca="1" si="48"/>
        <v>30.237539731830228</v>
      </c>
      <c r="BE43" s="1" t="str">
        <f t="shared" si="49"/>
        <v>-</v>
      </c>
      <c r="BF43" s="1">
        <f t="shared" ca="1" si="50"/>
        <v>9.6051509761111582</v>
      </c>
      <c r="BG43" s="1">
        <f t="shared" ca="1" si="51"/>
        <v>3.3416625020293398</v>
      </c>
    </row>
    <row r="44" spans="1:59" x14ac:dyDescent="0.2">
      <c r="V44">
        <f t="shared" si="52"/>
        <v>2007</v>
      </c>
      <c r="W44">
        <f t="shared" si="58"/>
        <v>325</v>
      </c>
      <c r="X44">
        <f t="shared" si="59"/>
        <v>104</v>
      </c>
      <c r="Y44">
        <f t="shared" si="60"/>
        <v>4</v>
      </c>
      <c r="Z44">
        <f t="shared" si="61"/>
        <v>49</v>
      </c>
      <c r="AA44">
        <f t="shared" si="62"/>
        <v>0</v>
      </c>
      <c r="AB44">
        <f t="shared" si="63"/>
        <v>19</v>
      </c>
      <c r="AC44">
        <f t="shared" si="64"/>
        <v>89</v>
      </c>
      <c r="AF44">
        <f t="shared" si="54"/>
        <v>2007</v>
      </c>
      <c r="AG44" s="5">
        <f ca="1">IF(W44&gt;0,SUMIFS(Data!$O$4:$O$1216,Data!$E$4:$E$1216,"&lt;="&amp;$AF44)/W44,"-")</f>
        <v>181.96957329955919</v>
      </c>
      <c r="AH44" s="5">
        <f ca="1">IF(X44&gt;0,SUMIFS(Data!$O$4:$O$1216,Data!$E$4:$E$1216,"&lt;="&amp;$AF44,Data!$AQ$4:$AQ$1216,"="&amp;AH$1)/X44,"-")</f>
        <v>317.36453867493924</v>
      </c>
      <c r="AI44" s="5">
        <f ca="1">IF(Y44&gt;0,SUMIFS(Data!$O$4:$O$1216,Data!$E$4:$E$1216,"&lt;="&amp;$AF44,Data!$AQ$4:$AQ$1216,"="&amp;AI$1)/Y44,"-")</f>
        <v>481.47160261697303</v>
      </c>
      <c r="AJ44" s="5">
        <f ca="1">IF(Z44&gt;0,SUMIFS(Data!$O$4:$O$1216,Data!$E$4:$E$1216,"&lt;="&amp;$AF44,Data!$AQ$4:$AQ$1216,"="&amp;AJ$1)/Z44,"-")</f>
        <v>138.95531770932044</v>
      </c>
      <c r="AK44" s="5" t="str">
        <f>IF(AA44&gt;0,SUMIFS(Data!$O$4:$O$1216,Data!$E$4:$E$1216,"&lt;="&amp;$AF44,Data!$AQ$4:$AQ$1216,"="&amp;AK$1)/AA44,"-")</f>
        <v>-</v>
      </c>
      <c r="AL44" s="5">
        <f ca="1">IF(AB44&gt;0,SUMIFS(Data!$O$4:$O$1216,Data!$E$4:$E$1216,"&lt;="&amp;$AF44,Data!$AQ$4:$AQ$1216,"="&amp;AL$1)/AB44,"-")</f>
        <v>43.946130424019643</v>
      </c>
      <c r="AM44" s="5">
        <f ca="1">IF(AC44&gt;0,SUMIFS(Data!$O$4:$O$1216,Data!$E$4:$E$1216,"&lt;="&amp;$AF44,Data!$AQ$4:$AQ$1216,"="&amp;AM$1)/AC44,"-")</f>
        <v>32.951766283678197</v>
      </c>
      <c r="AP44">
        <f t="shared" si="55"/>
        <v>2007</v>
      </c>
      <c r="AQ44" s="5">
        <f ca="1">IF(W44&gt;0,SUMIFS(Data!$R$4:$R$1216,Data!$E$4:$E$1216,"&lt;="&amp;$AF44)/W44,"-")</f>
        <v>332523.91735051398</v>
      </c>
      <c r="AR44" s="5">
        <f ca="1">IF(X44&gt;0,SUMIFS(Data!$R$4:$R$1216,Data!$E$4:$E$1216,"&lt;="&amp;$AF44,Data!$AQ$4:$AQ$1216,"="&amp;AR$1)/X44,"-")</f>
        <v>804403.28527977853</v>
      </c>
      <c r="AS44" s="5">
        <f ca="1">IF(Y44&gt;0,SUMIFS(Data!$R$4:$R$1216,Data!$E$4:$E$1216,"&lt;="&amp;$AF44,Data!$AQ$4:$AQ$1216,"="&amp;AS$1)/Y44,"-")</f>
        <v>312321.05478505581</v>
      </c>
      <c r="AT44" s="5">
        <f ca="1">IF(Z44&gt;0,SUMIFS(Data!$R$4:$R$1216,Data!$E$4:$E$1216,"&lt;="&amp;$AF44,Data!$AQ$4:$AQ$1216,"="&amp;AT$1)/Z44,"-")</f>
        <v>64109.71196236476</v>
      </c>
      <c r="AU44" s="5" t="str">
        <f>IF(AA44&gt;0,SUMIFS(Data!$R$4:$R$1216,Data!$E$4:$E$1216,"&lt;="&amp;$AF44,Data!$AQ$4:$AQ$1216,"="&amp;AU$1)/AA44,"-")</f>
        <v>-</v>
      </c>
      <c r="AV44" s="5">
        <f ca="1">IF(AB44&gt;0,SUMIFS(Data!$R$4:$R$1216,Data!$E$4:$E$1216,"&lt;="&amp;$AF44,Data!$AQ$4:$AQ$1216,"="&amp;AV$1)/AB44,"-")</f>
        <v>3684.1819594488393</v>
      </c>
      <c r="AW44" s="5">
        <f ca="1">IF(AC44&gt;0,SUMIFS(Data!$R$4:$R$1216,Data!$E$4:$E$1216,"&lt;="&amp;$AF44,Data!$AQ$4:$AQ$1216,"="&amp;AW$1)/AC44,"-")</f>
        <v>2079.6559379088908</v>
      </c>
      <c r="AZ44">
        <f t="shared" si="56"/>
        <v>2007</v>
      </c>
      <c r="BA44" s="1">
        <f t="shared" ca="1" si="57"/>
        <v>30.352340766085664</v>
      </c>
      <c r="BB44" s="1">
        <f t="shared" ca="1" si="46"/>
        <v>82.256811435952372</v>
      </c>
      <c r="BC44" s="1">
        <f t="shared" ca="1" si="47"/>
        <v>141.86802904327971</v>
      </c>
      <c r="BD44" s="1">
        <f t="shared" ca="1" si="48"/>
        <v>30.237539731830228</v>
      </c>
      <c r="BE44" s="1" t="str">
        <f t="shared" si="49"/>
        <v>-</v>
      </c>
      <c r="BF44" s="1">
        <f t="shared" ca="1" si="50"/>
        <v>9.6051509761111582</v>
      </c>
      <c r="BG44" s="1">
        <f t="shared" ca="1" si="51"/>
        <v>3.3416625020293398</v>
      </c>
    </row>
    <row r="45" spans="1:59" x14ac:dyDescent="0.2">
      <c r="V45">
        <f t="shared" si="52"/>
        <v>2008</v>
      </c>
      <c r="W45">
        <f t="shared" si="58"/>
        <v>344</v>
      </c>
      <c r="X45">
        <f t="shared" si="59"/>
        <v>106</v>
      </c>
      <c r="Y45">
        <f t="shared" si="60"/>
        <v>4</v>
      </c>
      <c r="Z45">
        <f t="shared" si="61"/>
        <v>55</v>
      </c>
      <c r="AA45">
        <f t="shared" si="62"/>
        <v>0</v>
      </c>
      <c r="AB45">
        <f t="shared" si="63"/>
        <v>22</v>
      </c>
      <c r="AC45">
        <f t="shared" si="64"/>
        <v>97</v>
      </c>
      <c r="AF45">
        <f t="shared" si="54"/>
        <v>2008</v>
      </c>
      <c r="AG45" s="5">
        <f ca="1">IF(W45&gt;0,SUMIFS(Data!$O$4:$O$1216,Data!$E$4:$E$1216,"&lt;="&amp;$AF45)/W45,"-")</f>
        <v>180.1021351985145</v>
      </c>
      <c r="AH45" s="5">
        <f ca="1">IF(X45&gt;0,SUMIFS(Data!$O$4:$O$1216,Data!$E$4:$E$1216,"&lt;="&amp;$AF45,Data!$AQ$4:$AQ$1216,"="&amp;AH$1)/X45,"-")</f>
        <v>314.26217463951059</v>
      </c>
      <c r="AI45" s="5">
        <f ca="1">IF(Y45&gt;0,SUMIFS(Data!$O$4:$O$1216,Data!$E$4:$E$1216,"&lt;="&amp;$AF45,Data!$AQ$4:$AQ$1216,"="&amp;AI$1)/Y45,"-")</f>
        <v>481.47160261697303</v>
      </c>
      <c r="AJ45" s="5">
        <f ca="1">IF(Z45&gt;0,SUMIFS(Data!$O$4:$O$1216,Data!$E$4:$E$1216,"&lt;="&amp;$AF45,Data!$AQ$4:$AQ$1216,"="&amp;AJ$1)/Z45,"-")</f>
        <v>158.30679462149496</v>
      </c>
      <c r="AK45" s="5" t="str">
        <f>IF(AA45&gt;0,SUMIFS(Data!$O$4:$O$1216,Data!$E$4:$E$1216,"&lt;="&amp;$AF45,Data!$AQ$4:$AQ$1216,"="&amp;AK$1)/AA45,"-")</f>
        <v>-</v>
      </c>
      <c r="AL45" s="5">
        <f ca="1">IF(AB45&gt;0,SUMIFS(Data!$O$4:$O$1216,Data!$E$4:$E$1216,"&lt;="&amp;$AF45,Data!$AQ$4:$AQ$1216,"="&amp;AL$1)/AB45,"-")</f>
        <v>57.281885240299424</v>
      </c>
      <c r="AM45" s="5">
        <f ca="1">IF(AC45&gt;0,SUMIFS(Data!$O$4:$O$1216,Data!$E$4:$E$1216,"&lt;="&amp;$AF45,Data!$AQ$4:$AQ$1216,"="&amp;AM$1)/AC45,"-")</f>
        <v>32.150141875561012</v>
      </c>
      <c r="AP45">
        <f t="shared" si="55"/>
        <v>2008</v>
      </c>
      <c r="AQ45" s="5">
        <f ca="1">IF(W45&gt;0,SUMIFS(Data!$R$4:$R$1216,Data!$E$4:$E$1216,"&lt;="&amp;$AF45)/W45,"-")</f>
        <v>319235.54012405558</v>
      </c>
      <c r="AR45" s="5">
        <f ca="1">IF(X45&gt;0,SUMIFS(Data!$R$4:$R$1216,Data!$E$4:$E$1216,"&lt;="&amp;$AF45,Data!$AQ$4:$AQ$1216,"="&amp;AR$1)/X45,"-")</f>
        <v>789935.73284304503</v>
      </c>
      <c r="AS45" s="5">
        <f ca="1">IF(Y45&gt;0,SUMIFS(Data!$R$4:$R$1216,Data!$E$4:$E$1216,"&lt;="&amp;$AF45,Data!$AQ$4:$AQ$1216,"="&amp;AS$1)/Y45,"-")</f>
        <v>312321.05478505581</v>
      </c>
      <c r="AT45" s="5">
        <f ca="1">IF(Z45&gt;0,SUMIFS(Data!$R$4:$R$1216,Data!$E$4:$E$1216,"&lt;="&amp;$AF45,Data!$AQ$4:$AQ$1216,"="&amp;AT$1)/Z45,"-")</f>
        <v>85641.070929948444</v>
      </c>
      <c r="AU45" s="5" t="str">
        <f>IF(AA45&gt;0,SUMIFS(Data!$R$4:$R$1216,Data!$E$4:$E$1216,"&lt;="&amp;$AF45,Data!$AQ$4:$AQ$1216,"="&amp;AU$1)/AA45,"-")</f>
        <v>-</v>
      </c>
      <c r="AV45" s="5">
        <f ca="1">IF(AB45&gt;0,SUMIFS(Data!$R$4:$R$1216,Data!$E$4:$E$1216,"&lt;="&amp;$AF45,Data!$AQ$4:$AQ$1216,"="&amp;AV$1)/AB45,"-")</f>
        <v>7636.9040224067548</v>
      </c>
      <c r="AW45" s="5">
        <f ca="1">IF(AC45&gt;0,SUMIFS(Data!$R$4:$R$1216,Data!$E$4:$E$1216,"&lt;="&amp;$AF45,Data!$AQ$4:$AQ$1216,"="&amp;AW$1)/AC45,"-")</f>
        <v>1955.67612073652</v>
      </c>
      <c r="AZ45">
        <f t="shared" si="56"/>
        <v>2008</v>
      </c>
      <c r="BA45" s="1">
        <f t="shared" ca="1" si="57"/>
        <v>28.874163685713814</v>
      </c>
      <c r="BB45" s="1">
        <f t="shared" ca="1" si="46"/>
        <v>80.749730908710518</v>
      </c>
      <c r="BC45" s="1">
        <f t="shared" ca="1" si="47"/>
        <v>141.86802904327971</v>
      </c>
      <c r="BD45" s="1">
        <f t="shared" ca="1" si="48"/>
        <v>33.188176894412884</v>
      </c>
      <c r="BE45" s="1" t="str">
        <f t="shared" si="49"/>
        <v>-</v>
      </c>
      <c r="BF45" s="1">
        <f t="shared" ca="1" si="50"/>
        <v>14.070745999677877</v>
      </c>
      <c r="BG45" s="1">
        <f t="shared" ca="1" si="51"/>
        <v>3.083117477920347</v>
      </c>
    </row>
    <row r="46" spans="1:59" x14ac:dyDescent="0.2">
      <c r="V46">
        <f t="shared" si="52"/>
        <v>2009</v>
      </c>
      <c r="W46">
        <f t="shared" si="58"/>
        <v>401</v>
      </c>
      <c r="X46">
        <f t="shared" si="59"/>
        <v>118</v>
      </c>
      <c r="Y46">
        <f t="shared" si="60"/>
        <v>4</v>
      </c>
      <c r="Z46">
        <f t="shared" si="61"/>
        <v>67</v>
      </c>
      <c r="AA46">
        <f t="shared" si="62"/>
        <v>0</v>
      </c>
      <c r="AB46">
        <f t="shared" si="63"/>
        <v>22</v>
      </c>
      <c r="AC46">
        <f t="shared" si="64"/>
        <v>109</v>
      </c>
      <c r="AF46">
        <f t="shared" si="54"/>
        <v>2009</v>
      </c>
      <c r="AG46" s="5">
        <f ca="1">IF(W46&gt;0,SUMIFS(Data!$O$4:$O$1216,Data!$E$4:$E$1216,"&lt;="&amp;$AF46)/W46,"-")</f>
        <v>162.45090121266668</v>
      </c>
      <c r="AH46" s="5">
        <f ca="1">IF(X46&gt;0,SUMIFS(Data!$O$4:$O$1216,Data!$E$4:$E$1216,"&lt;="&amp;$AF46,Data!$AQ$4:$AQ$1216,"="&amp;AH$1)/X46,"-")</f>
        <v>291.22312478614174</v>
      </c>
      <c r="AI46" s="5">
        <f ca="1">IF(Y46&gt;0,SUMIFS(Data!$O$4:$O$1216,Data!$E$4:$E$1216,"&lt;="&amp;$AF46,Data!$AQ$4:$AQ$1216,"="&amp;AI$1)/Y46,"-")</f>
        <v>481.47160261697303</v>
      </c>
      <c r="AJ46" s="5">
        <f ca="1">IF(Z46&gt;0,SUMIFS(Data!$O$4:$O$1216,Data!$E$4:$E$1216,"&lt;="&amp;$AF46,Data!$AQ$4:$AQ$1216,"="&amp;AJ$1)/Z46,"-")</f>
        <v>132.63970797709149</v>
      </c>
      <c r="AK46" s="5" t="str">
        <f>IF(AA46&gt;0,SUMIFS(Data!$O$4:$O$1216,Data!$E$4:$E$1216,"&lt;="&amp;$AF46,Data!$AQ$4:$AQ$1216,"="&amp;AK$1)/AA46,"-")</f>
        <v>-</v>
      </c>
      <c r="AL46" s="5">
        <f ca="1">IF(AB46&gt;0,SUMIFS(Data!$O$4:$O$1216,Data!$E$4:$E$1216,"&lt;="&amp;$AF46,Data!$AQ$4:$AQ$1216,"="&amp;AL$1)/AB46,"-")</f>
        <v>57.281885240299424</v>
      </c>
      <c r="AM46" s="5">
        <f ca="1">IF(AC46&gt;0,SUMIFS(Data!$O$4:$O$1216,Data!$E$4:$E$1216,"&lt;="&amp;$AF46,Data!$AQ$4:$AQ$1216,"="&amp;AM$1)/AC46,"-")</f>
        <v>28.030244138346109</v>
      </c>
      <c r="AP46">
        <f t="shared" si="55"/>
        <v>2009</v>
      </c>
      <c r="AQ46" s="5">
        <f ca="1">IF(W46&gt;0,SUMIFS(Data!$R$4:$R$1216,Data!$E$4:$E$1216,"&lt;="&amp;$AF46)/W46,"-")</f>
        <v>275226.90830579592</v>
      </c>
      <c r="AR46" s="5">
        <f ca="1">IF(X46&gt;0,SUMIFS(Data!$R$4:$R$1216,Data!$E$4:$E$1216,"&lt;="&amp;$AF46,Data!$AQ$4:$AQ$1216,"="&amp;AR$1)/X46,"-")</f>
        <v>710651.64400952775</v>
      </c>
      <c r="AS46" s="5">
        <f ca="1">IF(Y46&gt;0,SUMIFS(Data!$R$4:$R$1216,Data!$E$4:$E$1216,"&lt;="&amp;$AF46,Data!$AQ$4:$AQ$1216,"="&amp;AS$1)/Y46,"-")</f>
        <v>312321.05478505581</v>
      </c>
      <c r="AT46" s="5">
        <f ca="1">IF(Z46&gt;0,SUMIFS(Data!$R$4:$R$1216,Data!$E$4:$E$1216,"&lt;="&amp;$AF46,Data!$AQ$4:$AQ$1216,"="&amp;AT$1)/Z46,"-")</f>
        <v>70370.706423758646</v>
      </c>
      <c r="AU46" s="5" t="str">
        <f>IF(AA46&gt;0,SUMIFS(Data!$R$4:$R$1216,Data!$E$4:$E$1216,"&lt;="&amp;$AF46,Data!$AQ$4:$AQ$1216,"="&amp;AU$1)/AA46,"-")</f>
        <v>-</v>
      </c>
      <c r="AV46" s="5">
        <f ca="1">IF(AB46&gt;0,SUMIFS(Data!$R$4:$R$1216,Data!$E$4:$E$1216,"&lt;="&amp;$AF46,Data!$AQ$4:$AQ$1216,"="&amp;AV$1)/AB46,"-")</f>
        <v>7636.9040224067548</v>
      </c>
      <c r="AW46" s="5">
        <f ca="1">IF(AC46&gt;0,SUMIFS(Data!$R$4:$R$1216,Data!$E$4:$E$1216,"&lt;="&amp;$AF46,Data!$AQ$4:$AQ$1216,"="&amp;AW$1)/AC46,"-")</f>
        <v>1743.9236344834947</v>
      </c>
      <c r="AZ46">
        <f t="shared" si="56"/>
        <v>2009</v>
      </c>
      <c r="BA46" s="1">
        <f t="shared" ca="1" si="57"/>
        <v>24.91064395087675</v>
      </c>
      <c r="BB46" s="1">
        <f t="shared" ca="1" si="46"/>
        <v>72.826746786135459</v>
      </c>
      <c r="BC46" s="1">
        <f t="shared" ca="1" si="47"/>
        <v>141.86802904327971</v>
      </c>
      <c r="BD46" s="1">
        <f t="shared" ca="1" si="48"/>
        <v>28.066396301731164</v>
      </c>
      <c r="BE46" s="1" t="str">
        <f t="shared" si="49"/>
        <v>-</v>
      </c>
      <c r="BF46" s="1">
        <f t="shared" ca="1" si="50"/>
        <v>14.070745999677877</v>
      </c>
      <c r="BG46" s="1">
        <f t="shared" ca="1" si="51"/>
        <v>2.9649776025705536</v>
      </c>
    </row>
    <row r="47" spans="1:59" x14ac:dyDescent="0.2">
      <c r="V47">
        <f t="shared" si="52"/>
        <v>2010</v>
      </c>
      <c r="W47">
        <f t="shared" si="58"/>
        <v>426</v>
      </c>
      <c r="X47">
        <f t="shared" si="59"/>
        <v>121</v>
      </c>
      <c r="Y47">
        <f t="shared" si="60"/>
        <v>4</v>
      </c>
      <c r="Z47">
        <f t="shared" si="61"/>
        <v>80</v>
      </c>
      <c r="AA47">
        <f t="shared" si="62"/>
        <v>0</v>
      </c>
      <c r="AB47">
        <f t="shared" si="63"/>
        <v>22</v>
      </c>
      <c r="AC47">
        <f t="shared" si="64"/>
        <v>114</v>
      </c>
      <c r="AF47">
        <f t="shared" si="54"/>
        <v>2010</v>
      </c>
      <c r="AG47" s="5">
        <f ca="1">IF(W47&gt;0,SUMIFS(Data!$O$4:$O$1216,Data!$E$4:$E$1216,"&lt;="&amp;$AF47)/W47,"-")</f>
        <v>156.30009285800753</v>
      </c>
      <c r="AH47" s="5">
        <f ca="1">IF(X47&gt;0,SUMIFS(Data!$O$4:$O$1216,Data!$E$4:$E$1216,"&lt;="&amp;$AF47,Data!$AQ$4:$AQ$1216,"="&amp;AH$1)/X47,"-")</f>
        <v>288.68540410424964</v>
      </c>
      <c r="AI47" s="5">
        <f ca="1">IF(Y47&gt;0,SUMIFS(Data!$O$4:$O$1216,Data!$E$4:$E$1216,"&lt;="&amp;$AF47,Data!$AQ$4:$AQ$1216,"="&amp;AI$1)/Y47,"-")</f>
        <v>481.47160261697303</v>
      </c>
      <c r="AJ47" s="5">
        <f ca="1">IF(Z47&gt;0,SUMIFS(Data!$O$4:$O$1216,Data!$E$4:$E$1216,"&lt;="&amp;$AF47,Data!$AQ$4:$AQ$1216,"="&amp;AJ$1)/Z47,"-")</f>
        <v>116.63329248118286</v>
      </c>
      <c r="AK47" s="5" t="str">
        <f>IF(AA47&gt;0,SUMIFS(Data!$O$4:$O$1216,Data!$E$4:$E$1216,"&lt;="&amp;$AF47,Data!$AQ$4:$AQ$1216,"="&amp;AK$1)/AA47,"-")</f>
        <v>-</v>
      </c>
      <c r="AL47" s="5">
        <f ca="1">IF(AB47&gt;0,SUMIFS(Data!$O$4:$O$1216,Data!$E$4:$E$1216,"&lt;="&amp;$AF47,Data!$AQ$4:$AQ$1216,"="&amp;AL$1)/AB47,"-")</f>
        <v>57.281885240299424</v>
      </c>
      <c r="AM47" s="5">
        <f ca="1">IF(AC47&gt;0,SUMIFS(Data!$O$4:$O$1216,Data!$E$4:$E$1216,"&lt;="&amp;$AF47,Data!$AQ$4:$AQ$1216,"="&amp;AM$1)/AC47,"-")</f>
        <v>27.391478872042363</v>
      </c>
      <c r="AP47">
        <f t="shared" si="55"/>
        <v>2010</v>
      </c>
      <c r="AQ47" s="5">
        <f ca="1">IF(W47&gt;0,SUMIFS(Data!$R$4:$R$1216,Data!$E$4:$E$1216,"&lt;="&amp;$AF47)/W47,"-")</f>
        <v>259544.27091042954</v>
      </c>
      <c r="AR47" s="5">
        <f ca="1">IF(X47&gt;0,SUMIFS(Data!$R$4:$R$1216,Data!$E$4:$E$1216,"&lt;="&amp;$AF47,Data!$AQ$4:$AQ$1216,"="&amp;AR$1)/X47,"-")</f>
        <v>693981.34915114136</v>
      </c>
      <c r="AS47" s="5">
        <f ca="1">IF(Y47&gt;0,SUMIFS(Data!$R$4:$R$1216,Data!$E$4:$E$1216,"&lt;="&amp;$AF47,Data!$AQ$4:$AQ$1216,"="&amp;AS$1)/Y47,"-")</f>
        <v>312321.05478505581</v>
      </c>
      <c r="AT47" s="5">
        <f ca="1">IF(Z47&gt;0,SUMIFS(Data!$R$4:$R$1216,Data!$E$4:$E$1216,"&lt;="&amp;$AF47,Data!$AQ$4:$AQ$1216,"="&amp;AT$1)/Z47,"-")</f>
        <v>59261.04813664181</v>
      </c>
      <c r="AU47" s="5" t="str">
        <f>IF(AA47&gt;0,SUMIFS(Data!$R$4:$R$1216,Data!$E$4:$E$1216,"&lt;="&amp;$AF47,Data!$AQ$4:$AQ$1216,"="&amp;AU$1)/AA47,"-")</f>
        <v>-</v>
      </c>
      <c r="AV47" s="5">
        <f ca="1">IF(AB47&gt;0,SUMIFS(Data!$R$4:$R$1216,Data!$E$4:$E$1216,"&lt;="&amp;$AF47,Data!$AQ$4:$AQ$1216,"="&amp;AV$1)/AB47,"-")</f>
        <v>7636.9040224067548</v>
      </c>
      <c r="AW47" s="5">
        <f ca="1">IF(AC47&gt;0,SUMIFS(Data!$R$4:$R$1216,Data!$E$4:$E$1216,"&lt;="&amp;$AF47,Data!$AQ$4:$AQ$1216,"="&amp;AW$1)/AC47,"-")</f>
        <v>1684.3578052439698</v>
      </c>
      <c r="AZ47">
        <f t="shared" si="56"/>
        <v>2010</v>
      </c>
      <c r="BA47" s="1">
        <f t="shared" ca="1" si="57"/>
        <v>23.492809402497691</v>
      </c>
      <c r="BB47" s="1">
        <f t="shared" ca="1" si="46"/>
        <v>71.039628482591951</v>
      </c>
      <c r="BC47" s="1">
        <f t="shared" ca="1" si="47"/>
        <v>141.86802904327971</v>
      </c>
      <c r="BD47" s="1">
        <f t="shared" ca="1" si="48"/>
        <v>23.889778991663114</v>
      </c>
      <c r="BE47" s="1" t="str">
        <f t="shared" si="49"/>
        <v>-</v>
      </c>
      <c r="BF47" s="1">
        <f t="shared" ca="1" si="50"/>
        <v>14.070745999677877</v>
      </c>
      <c r="BG47" s="1">
        <f t="shared" ca="1" si="51"/>
        <v>2.8624377576109361</v>
      </c>
    </row>
    <row r="48" spans="1:59" x14ac:dyDescent="0.2">
      <c r="V48">
        <f t="shared" si="52"/>
        <v>2011</v>
      </c>
      <c r="W48">
        <f t="shared" si="58"/>
        <v>557</v>
      </c>
      <c r="X48">
        <f t="shared" si="59"/>
        <v>141</v>
      </c>
      <c r="Y48">
        <f t="shared" si="60"/>
        <v>14</v>
      </c>
      <c r="Z48">
        <f t="shared" si="61"/>
        <v>129</v>
      </c>
      <c r="AA48">
        <f t="shared" si="62"/>
        <v>8</v>
      </c>
      <c r="AB48">
        <f t="shared" si="63"/>
        <v>22</v>
      </c>
      <c r="AC48">
        <f t="shared" si="64"/>
        <v>143</v>
      </c>
      <c r="AF48">
        <f t="shared" si="54"/>
        <v>2011</v>
      </c>
      <c r="AG48" s="5">
        <f ca="1">IF(W48&gt;0,SUMIFS(Data!$O$4:$O$1216,Data!$E$4:$E$1216,"&lt;="&amp;$AF48)/W48,"-")</f>
        <v>197.90798171630689</v>
      </c>
      <c r="AH48" s="5">
        <f ca="1">IF(X48&gt;0,SUMIFS(Data!$O$4:$O$1216,Data!$E$4:$E$1216,"&lt;="&amp;$AF48,Data!$AQ$4:$AQ$1216,"="&amp;AH$1)/X48,"-")</f>
        <v>417.13522933200755</v>
      </c>
      <c r="AI48" s="5">
        <f ca="1">IF(Y48&gt;0,SUMIFS(Data!$O$4:$O$1216,Data!$E$4:$E$1216,"&lt;="&amp;$AF48,Data!$AQ$4:$AQ$1216,"="&amp;AI$1)/Y48,"-")</f>
        <v>548.06301329365988</v>
      </c>
      <c r="AJ48" s="5">
        <f ca="1">IF(Z48&gt;0,SUMIFS(Data!$O$4:$O$1216,Data!$E$4:$E$1216,"&lt;="&amp;$AF48,Data!$AQ$4:$AQ$1216,"="&amp;AJ$1)/Z48,"-")</f>
        <v>119.17687567719516</v>
      </c>
      <c r="AK48" s="5">
        <f ca="1">IF(AA48&gt;0,SUMIFS(Data!$O$4:$O$1216,Data!$E$4:$E$1216,"&lt;="&amp;$AF48,Data!$AQ$4:$AQ$1216,"="&amp;AK$1)/AA48,"-")</f>
        <v>144.17196164100866</v>
      </c>
      <c r="AL48" s="5">
        <f ca="1">IF(AB48&gt;0,SUMIFS(Data!$O$4:$O$1216,Data!$E$4:$E$1216,"&lt;="&amp;$AF48,Data!$AQ$4:$AQ$1216,"="&amp;AL$1)/AB48,"-")</f>
        <v>57.281885240299424</v>
      </c>
      <c r="AM48" s="5">
        <f ca="1">IF(AC48&gt;0,SUMIFS(Data!$O$4:$O$1216,Data!$E$4:$E$1216,"&lt;="&amp;$AF48,Data!$AQ$4:$AQ$1216,"="&amp;AM$1)/AC48,"-")</f>
        <v>25.391604760727798</v>
      </c>
      <c r="AP48">
        <f t="shared" si="55"/>
        <v>2011</v>
      </c>
      <c r="AQ48" s="5">
        <f ca="1">IF(W48&gt;0,SUMIFS(Data!$R$4:$R$1216,Data!$E$4:$E$1216,"&lt;="&amp;$AF48)/W48,"-")</f>
        <v>406665.41447615257</v>
      </c>
      <c r="AR48" s="5">
        <f ca="1">IF(X48&gt;0,SUMIFS(Data!$R$4:$R$1216,Data!$E$4:$E$1216,"&lt;="&amp;$AF48,Data!$AQ$4:$AQ$1216,"="&amp;AR$1)/X48,"-")</f>
        <v>1295386.8376732401</v>
      </c>
      <c r="AS48" s="5">
        <f ca="1">IF(Y48&gt;0,SUMIFS(Data!$R$4:$R$1216,Data!$E$4:$E$1216,"&lt;="&amp;$AF48,Data!$AQ$4:$AQ$1216,"="&amp;AS$1)/Y48,"-")</f>
        <v>844371.78855092649</v>
      </c>
      <c r="AT48" s="5">
        <f ca="1">IF(Z48&gt;0,SUMIFS(Data!$R$4:$R$1216,Data!$E$4:$E$1216,"&lt;="&amp;$AF48,Data!$AQ$4:$AQ$1216,"="&amp;AT$1)/Z48,"-")</f>
        <v>56616.807527458732</v>
      </c>
      <c r="AU48" s="5">
        <f ca="1">IF(AA48&gt;0,SUMIFS(Data!$R$4:$R$1216,Data!$E$4:$E$1216,"&lt;="&amp;$AF48,Data!$AQ$4:$AQ$1216,"="&amp;AU$1)/AA48,"-")</f>
        <v>57493.415544719464</v>
      </c>
      <c r="AV48" s="5">
        <f ca="1">IF(AB48&gt;0,SUMIFS(Data!$R$4:$R$1216,Data!$E$4:$E$1216,"&lt;="&amp;$AF48,Data!$AQ$4:$AQ$1216,"="&amp;AV$1)/AB48,"-")</f>
        <v>7636.9040224067548</v>
      </c>
      <c r="AW48" s="5">
        <f ca="1">IF(AC48&gt;0,SUMIFS(Data!$R$4:$R$1216,Data!$E$4:$E$1216,"&lt;="&amp;$AF48,Data!$AQ$4:$AQ$1216,"="&amp;AW$1)/AC48,"-")</f>
        <v>1595.100975046849</v>
      </c>
      <c r="AZ48">
        <f t="shared" si="56"/>
        <v>2011</v>
      </c>
      <c r="BA48" s="1">
        <f t="shared" ca="1" si="57"/>
        <v>25.686196519729126</v>
      </c>
      <c r="BB48" s="1">
        <f t="shared" ca="1" si="46"/>
        <v>89.180072755977932</v>
      </c>
      <c r="BC48" s="1">
        <f t="shared" ca="1" si="47"/>
        <v>197.12192057752338</v>
      </c>
      <c r="BD48" s="1">
        <f t="shared" ca="1" si="48"/>
        <v>18.132518185469031</v>
      </c>
      <c r="BE48" s="1">
        <f t="shared" ca="1" si="49"/>
        <v>67.738339422094441</v>
      </c>
      <c r="BF48" s="1">
        <f t="shared" ca="1" si="50"/>
        <v>14.070745999677877</v>
      </c>
      <c r="BG48" s="1">
        <f t="shared" ca="1" si="51"/>
        <v>2.5779693080600361</v>
      </c>
    </row>
    <row r="49" spans="22:93" x14ac:dyDescent="0.2">
      <c r="V49">
        <f t="shared" si="52"/>
        <v>2012</v>
      </c>
      <c r="W49">
        <f t="shared" si="58"/>
        <v>787</v>
      </c>
      <c r="X49">
        <f t="shared" si="59"/>
        <v>141</v>
      </c>
      <c r="Y49">
        <f t="shared" si="60"/>
        <v>14</v>
      </c>
      <c r="Z49">
        <f t="shared" si="61"/>
        <v>137</v>
      </c>
      <c r="AA49">
        <f t="shared" si="62"/>
        <v>8</v>
      </c>
      <c r="AB49">
        <f t="shared" si="63"/>
        <v>22</v>
      </c>
      <c r="AC49">
        <f t="shared" si="64"/>
        <v>187</v>
      </c>
      <c r="AF49">
        <f t="shared" si="54"/>
        <v>2012</v>
      </c>
      <c r="AG49" s="5">
        <f ca="1">IF(W49&gt;0,SUMIFS(Data!$O$4:$O$1216,Data!$E$4:$E$1216,"&lt;="&amp;$AF49)/W49,"-")</f>
        <v>171.28032275074113</v>
      </c>
      <c r="AH49" s="5">
        <f ca="1">IF(X49&gt;0,SUMIFS(Data!$O$4:$O$1216,Data!$E$4:$E$1216,"&lt;="&amp;$AF49,Data!$AQ$4:$AQ$1216,"="&amp;AH$1)/X49,"-")</f>
        <v>417.13522933200755</v>
      </c>
      <c r="AI49" s="5">
        <f ca="1">IF(Y49&gt;0,SUMIFS(Data!$O$4:$O$1216,Data!$E$4:$E$1216,"&lt;="&amp;$AF49,Data!$AQ$4:$AQ$1216,"="&amp;AI$1)/Y49,"-")</f>
        <v>548.06301329365988</v>
      </c>
      <c r="AJ49" s="5">
        <f ca="1">IF(Z49&gt;0,SUMIFS(Data!$O$4:$O$1216,Data!$E$4:$E$1216,"&lt;="&amp;$AF49,Data!$AQ$4:$AQ$1216,"="&amp;AJ$1)/Z49,"-")</f>
        <v>118.74262103189253</v>
      </c>
      <c r="AK49" s="5">
        <f ca="1">IF(AA49&gt;0,SUMIFS(Data!$O$4:$O$1216,Data!$E$4:$E$1216,"&lt;="&amp;$AF49,Data!$AQ$4:$AQ$1216,"="&amp;AK$1)/AA49,"-")</f>
        <v>144.17196164100866</v>
      </c>
      <c r="AL49" s="5">
        <f ca="1">IF(AB49&gt;0,SUMIFS(Data!$O$4:$O$1216,Data!$E$4:$E$1216,"&lt;="&amp;$AF49,Data!$AQ$4:$AQ$1216,"="&amp;AL$1)/AB49,"-")</f>
        <v>57.281885240299424</v>
      </c>
      <c r="AM49" s="5">
        <f ca="1">IF(AC49&gt;0,SUMIFS(Data!$O$4:$O$1216,Data!$E$4:$E$1216,"&lt;="&amp;$AF49,Data!$AQ$4:$AQ$1216,"="&amp;AM$1)/AC49,"-")</f>
        <v>28.461041401364739</v>
      </c>
      <c r="AP49">
        <f t="shared" si="55"/>
        <v>2012</v>
      </c>
      <c r="AQ49" s="5">
        <f ca="1">IF(W49&gt;0,SUMIFS(Data!$R$4:$R$1216,Data!$E$4:$E$1216,"&lt;="&amp;$AF49)/W49,"-")</f>
        <v>298949.77613512846</v>
      </c>
      <c r="AR49" s="5">
        <f ca="1">IF(X49&gt;0,SUMIFS(Data!$R$4:$R$1216,Data!$E$4:$E$1216,"&lt;="&amp;$AF49,Data!$AQ$4:$AQ$1216,"="&amp;AR$1)/X49,"-")</f>
        <v>1295386.8376732401</v>
      </c>
      <c r="AS49" s="5">
        <f ca="1">IF(Y49&gt;0,SUMIFS(Data!$R$4:$R$1216,Data!$E$4:$E$1216,"&lt;="&amp;$AF49,Data!$AQ$4:$AQ$1216,"="&amp;AS$1)/Y49,"-")</f>
        <v>844371.78855092649</v>
      </c>
      <c r="AT49" s="5">
        <f ca="1">IF(Z49&gt;0,SUMIFS(Data!$R$4:$R$1216,Data!$E$4:$E$1216,"&lt;="&amp;$AF49,Data!$AQ$4:$AQ$1216,"="&amp;AT$1)/Z49,"-")</f>
        <v>54302.013932835609</v>
      </c>
      <c r="AU49" s="5">
        <f ca="1">IF(AA49&gt;0,SUMIFS(Data!$R$4:$R$1216,Data!$E$4:$E$1216,"&lt;="&amp;$AF49,Data!$AQ$4:$AQ$1216,"="&amp;AU$1)/AA49,"-")</f>
        <v>57493.415544719464</v>
      </c>
      <c r="AV49" s="5">
        <f ca="1">IF(AB49&gt;0,SUMIFS(Data!$R$4:$R$1216,Data!$E$4:$E$1216,"&lt;="&amp;$AF49,Data!$AQ$4:$AQ$1216,"="&amp;AV$1)/AB49,"-")</f>
        <v>7636.9040224067548</v>
      </c>
      <c r="AW49" s="5">
        <f ca="1">IF(AC49&gt;0,SUMIFS(Data!$R$4:$R$1216,Data!$E$4:$E$1216,"&lt;="&amp;$AF49,Data!$AQ$4:$AQ$1216,"="&amp;AW$1)/AC49,"-")</f>
        <v>1598.3854664310195</v>
      </c>
      <c r="AZ49">
        <f t="shared" si="56"/>
        <v>2012</v>
      </c>
      <c r="BA49" s="1">
        <f t="shared" ca="1" si="57"/>
        <v>18.508998023782496</v>
      </c>
      <c r="BB49" s="1">
        <f t="shared" ca="1" si="46"/>
        <v>89.180072755977932</v>
      </c>
      <c r="BC49" s="1">
        <f t="shared" ca="1" si="47"/>
        <v>197.12192057752338</v>
      </c>
      <c r="BD49" s="1">
        <f t="shared" ca="1" si="48"/>
        <v>17.130287320235173</v>
      </c>
      <c r="BE49" s="1">
        <f t="shared" ca="1" si="49"/>
        <v>67.738339422094441</v>
      </c>
      <c r="BF49" s="1">
        <f t="shared" ca="1" si="50"/>
        <v>14.070745999677877</v>
      </c>
      <c r="BG49" s="1">
        <f t="shared" ca="1" si="51"/>
        <v>2.0532413253206245</v>
      </c>
    </row>
    <row r="50" spans="22:93" x14ac:dyDescent="0.2">
      <c r="V50">
        <f t="shared" si="52"/>
        <v>2013</v>
      </c>
      <c r="W50">
        <f t="shared" si="58"/>
        <v>897</v>
      </c>
      <c r="X50">
        <f t="shared" si="59"/>
        <v>145</v>
      </c>
      <c r="Y50">
        <f t="shared" si="60"/>
        <v>23</v>
      </c>
      <c r="Z50">
        <f t="shared" si="61"/>
        <v>149</v>
      </c>
      <c r="AA50">
        <f t="shared" si="62"/>
        <v>32</v>
      </c>
      <c r="AB50">
        <f t="shared" si="63"/>
        <v>27</v>
      </c>
      <c r="AC50">
        <f t="shared" si="64"/>
        <v>198</v>
      </c>
      <c r="AF50">
        <f t="shared" si="54"/>
        <v>2013</v>
      </c>
      <c r="AG50" s="5">
        <f ca="1">IF(W50&gt;0,SUMIFS(Data!$O$4:$O$1216,Data!$E$4:$E$1216,"&lt;="&amp;$AF50)/W50,"-")</f>
        <v>186.16207170515364</v>
      </c>
      <c r="AH50" s="5">
        <f ca="1">IF(X50&gt;0,SUMIFS(Data!$O$4:$O$1216,Data!$E$4:$E$1216,"&lt;="&amp;$AF50,Data!$AQ$4:$AQ$1216,"="&amp;AH$1)/X50,"-")</f>
        <v>449.94028261466758</v>
      </c>
      <c r="AI50" s="5">
        <f ca="1">IF(Y50&gt;0,SUMIFS(Data!$O$4:$O$1216,Data!$E$4:$E$1216,"&lt;="&amp;$AF50,Data!$AQ$4:$AQ$1216,"="&amp;AI$1)/Y50,"-")</f>
        <v>544.82516698647191</v>
      </c>
      <c r="AJ50" s="5">
        <f ca="1">IF(Z50&gt;0,SUMIFS(Data!$O$4:$O$1216,Data!$E$4:$E$1216,"&lt;="&amp;$AF50,Data!$AQ$4:$AQ$1216,"="&amp;AJ$1)/Z50,"-")</f>
        <v>133.91609743363833</v>
      </c>
      <c r="AK50" s="5">
        <f ca="1">IF(AA50&gt;0,SUMIFS(Data!$O$4:$O$1216,Data!$E$4:$E$1216,"&lt;="&amp;$AF50,Data!$AQ$4:$AQ$1216,"="&amp;AK$1)/AA50,"-")</f>
        <v>352.97307240284204</v>
      </c>
      <c r="AL50" s="5">
        <f ca="1">IF(AB50&gt;0,SUMIFS(Data!$O$4:$O$1216,Data!$E$4:$E$1216,"&lt;="&amp;$AF50,Data!$AQ$4:$AQ$1216,"="&amp;AL$1)/AB50,"-")</f>
        <v>57.767632752235833</v>
      </c>
      <c r="AM50" s="5">
        <f ca="1">IF(AC50&gt;0,SUMIFS(Data!$O$4:$O$1216,Data!$E$4:$E$1216,"&lt;="&amp;$AF50,Data!$AQ$4:$AQ$1216,"="&amp;AM$1)/AC50,"-")</f>
        <v>28.316833569734612</v>
      </c>
      <c r="AP50">
        <f t="shared" si="55"/>
        <v>2013</v>
      </c>
      <c r="AQ50" s="5">
        <f ca="1">IF(W50&gt;0,SUMIFS(Data!$R$4:$R$1216,Data!$E$4:$E$1216,"&lt;="&amp;$AF50)/W50,"-")</f>
        <v>345153.2636032509</v>
      </c>
      <c r="AR50" s="5">
        <f ca="1">IF(X50&gt;0,SUMIFS(Data!$R$4:$R$1216,Data!$E$4:$E$1216,"&lt;="&amp;$AF50,Data!$AQ$4:$AQ$1216,"="&amp;AR$1)/X50,"-")</f>
        <v>1488412.0249321777</v>
      </c>
      <c r="AS50" s="5">
        <f ca="1">IF(Y50&gt;0,SUMIFS(Data!$R$4:$R$1216,Data!$E$4:$E$1216,"&lt;="&amp;$AF50,Data!$AQ$4:$AQ$1216,"="&amp;AS$1)/Y50,"-")</f>
        <v>750490.06496759877</v>
      </c>
      <c r="AT50" s="5">
        <f ca="1">IF(Z50&gt;0,SUMIFS(Data!$R$4:$R$1216,Data!$E$4:$E$1216,"&lt;="&amp;$AF50,Data!$AQ$4:$AQ$1216,"="&amp;AT$1)/Z50,"-")</f>
        <v>71128.783718549646</v>
      </c>
      <c r="AU50" s="5">
        <f ca="1">IF(AA50&gt;0,SUMIFS(Data!$R$4:$R$1216,Data!$E$4:$E$1216,"&lt;="&amp;$AF50,Data!$AQ$4:$AQ$1216,"="&amp;AU$1)/AA50,"-")</f>
        <v>973057.48693177791</v>
      </c>
      <c r="AV50" s="5">
        <f ca="1">IF(AB50&gt;0,SUMIFS(Data!$R$4:$R$1216,Data!$E$4:$E$1216,"&lt;="&amp;$AF50,Data!$AQ$4:$AQ$1216,"="&amp;AV$1)/AB50,"-")</f>
        <v>7105.7924874913815</v>
      </c>
      <c r="AW50" s="5">
        <f ca="1">IF(AC50&gt;0,SUMIFS(Data!$R$4:$R$1216,Data!$E$4:$E$1216,"&lt;="&amp;$AF50,Data!$AQ$4:$AQ$1216,"="&amp;AW$1)/AC50,"-")</f>
        <v>1564.9279292043957</v>
      </c>
      <c r="AZ50">
        <f t="shared" si="56"/>
        <v>2013</v>
      </c>
      <c r="BA50" s="1">
        <f t="shared" ca="1" si="57"/>
        <v>18.605118709894025</v>
      </c>
      <c r="BB50" s="1">
        <f t="shared" ca="1" si="46"/>
        <v>94.173931784090641</v>
      </c>
      <c r="BC50" s="1">
        <f t="shared" ca="1" si="47"/>
        <v>140.44271652694528</v>
      </c>
      <c r="BD50" s="1">
        <f t="shared" ca="1" si="48"/>
        <v>18.894845461431238</v>
      </c>
      <c r="BE50" s="1">
        <f t="shared" ca="1" si="49"/>
        <v>162.8330718376065</v>
      </c>
      <c r="BF50" s="1">
        <f t="shared" ca="1" si="50"/>
        <v>11.814449868376329</v>
      </c>
      <c r="BG50" s="1">
        <f t="shared" ca="1" si="51"/>
        <v>1.9631515399041444</v>
      </c>
    </row>
    <row r="51" spans="22:93" x14ac:dyDescent="0.2">
      <c r="V51">
        <f t="shared" si="52"/>
        <v>2014</v>
      </c>
      <c r="W51">
        <f t="shared" si="58"/>
        <v>1141</v>
      </c>
      <c r="X51">
        <f t="shared" si="59"/>
        <v>151</v>
      </c>
      <c r="Y51">
        <f t="shared" si="60"/>
        <v>75</v>
      </c>
      <c r="Z51">
        <f t="shared" si="61"/>
        <v>185</v>
      </c>
      <c r="AA51">
        <f t="shared" si="62"/>
        <v>105</v>
      </c>
      <c r="AB51">
        <f t="shared" si="63"/>
        <v>27</v>
      </c>
      <c r="AC51">
        <f t="shared" si="64"/>
        <v>206</v>
      </c>
      <c r="AF51">
        <f t="shared" si="54"/>
        <v>2014</v>
      </c>
      <c r="AG51" s="5">
        <f ca="1">IF(W51&gt;0,SUMIFS(Data!$O$4:$O$1216,Data!$E$4:$E$1216,"&lt;="&amp;$AF51)/W51,"-")</f>
        <v>326.4648763564054</v>
      </c>
      <c r="AH51" s="5">
        <f ca="1">IF(X51&gt;0,SUMIFS(Data!$O$4:$O$1216,Data!$E$4:$E$1216,"&lt;="&amp;$AF51,Data!$AQ$4:$AQ$1216,"="&amp;AH$1)/X51,"-")</f>
        <v>655.76874401943428</v>
      </c>
      <c r="AI51" s="5">
        <f ca="1">IF(Y51&gt;0,SUMIFS(Data!$O$4:$O$1216,Data!$E$4:$E$1216,"&lt;="&amp;$AF51,Data!$AQ$4:$AQ$1216,"="&amp;AI$1)/Y51,"-")</f>
        <v>272.75254736810996</v>
      </c>
      <c r="AJ51" s="5">
        <f ca="1">IF(Z51&gt;0,SUMIFS(Data!$O$4:$O$1216,Data!$E$4:$E$1216,"&lt;="&amp;$AF51,Data!$AQ$4:$AQ$1216,"="&amp;AJ$1)/Z51,"-")</f>
        <v>243.98764482446848</v>
      </c>
      <c r="AK51" s="5">
        <f ca="1">IF(AA51&gt;0,SUMIFS(Data!$O$4:$O$1216,Data!$E$4:$E$1216,"&lt;="&amp;$AF51,Data!$AQ$4:$AQ$1216,"="&amp;AK$1)/AA51,"-")</f>
        <v>1204.6028059837349</v>
      </c>
      <c r="AL51" s="5">
        <f ca="1">IF(AB51&gt;0,SUMIFS(Data!$O$4:$O$1216,Data!$E$4:$E$1216,"&lt;="&amp;$AF51,Data!$AQ$4:$AQ$1216,"="&amp;AL$1)/AB51,"-")</f>
        <v>57.767632752235833</v>
      </c>
      <c r="AM51" s="5">
        <f ca="1">IF(AC51&gt;0,SUMIFS(Data!$O$4:$O$1216,Data!$E$4:$E$1216,"&lt;="&amp;$AF51,Data!$AQ$4:$AQ$1216,"="&amp;AM$1)/AC51,"-")</f>
        <v>29.447598781341004</v>
      </c>
      <c r="AP51">
        <f t="shared" si="55"/>
        <v>2014</v>
      </c>
      <c r="AQ51" s="5">
        <f ca="1">IF(W51&gt;0,SUMIFS(Data!$R$4:$R$1216,Data!$E$4:$E$1216,"&lt;="&amp;$AF51)/W51,"-")</f>
        <v>10576608.419317422</v>
      </c>
      <c r="AR51" s="5">
        <f ca="1">IF(X51&gt;0,SUMIFS(Data!$R$4:$R$1216,Data!$E$4:$E$1216,"&lt;="&amp;$AF51,Data!$AQ$4:$AQ$1216,"="&amp;AR$1)/X51,"-")</f>
        <v>3700130.5480645103</v>
      </c>
      <c r="AS51" s="5">
        <f ca="1">IF(Y51&gt;0,SUMIFS(Data!$R$4:$R$1216,Data!$E$4:$E$1216,"&lt;="&amp;$AF51,Data!$AQ$4:$AQ$1216,"="&amp;AS$1)/Y51,"-")</f>
        <v>259558.01707248806</v>
      </c>
      <c r="AT51" s="5">
        <f ca="1">IF(Z51&gt;0,SUMIFS(Data!$R$4:$R$1216,Data!$E$4:$E$1216,"&lt;="&amp;$AF51,Data!$AQ$4:$AQ$1216,"="&amp;AT$1)/Z51,"-")</f>
        <v>1352035.4703584337</v>
      </c>
      <c r="AU51" s="5">
        <f ca="1">IF(AA51&gt;0,SUMIFS(Data!$R$4:$R$1216,Data!$E$4:$E$1216,"&lt;="&amp;$AF51,Data!$AQ$4:$AQ$1216,"="&amp;AU$1)/AA51,"-")</f>
        <v>106181574.88098076</v>
      </c>
      <c r="AV51" s="5">
        <f ca="1">IF(AB51&gt;0,SUMIFS(Data!$R$4:$R$1216,Data!$E$4:$E$1216,"&lt;="&amp;$AF51,Data!$AQ$4:$AQ$1216,"="&amp;AV$1)/AB51,"-")</f>
        <v>7105.7924874913815</v>
      </c>
      <c r="AW51" s="5">
        <f ca="1">IF(AC51&gt;0,SUMIFS(Data!$R$4:$R$1216,Data!$E$4:$E$1216,"&lt;="&amp;$AF51,Data!$AQ$4:$AQ$1216,"="&amp;AW$1)/AC51,"-")</f>
        <v>1659.9700665041394</v>
      </c>
      <c r="AZ51">
        <f t="shared" si="56"/>
        <v>2014</v>
      </c>
      <c r="BA51" s="1">
        <f t="shared" ca="1" si="57"/>
        <v>95.792414988585236</v>
      </c>
      <c r="BB51" s="1">
        <f t="shared" ca="1" si="46"/>
        <v>147.16071996136597</v>
      </c>
      <c r="BC51" s="1">
        <f t="shared" ca="1" si="47"/>
        <v>49.687565845886091</v>
      </c>
      <c r="BD51" s="1">
        <f t="shared" ca="1" si="48"/>
        <v>83.585382775240518</v>
      </c>
      <c r="BE51" s="1">
        <f t="shared" ca="1" si="49"/>
        <v>998.71587532522824</v>
      </c>
      <c r="BF51" s="1">
        <f t="shared" ca="1" si="50"/>
        <v>11.814449868376329</v>
      </c>
      <c r="BG51" s="1">
        <f t="shared" ca="1" si="51"/>
        <v>1.961781675497303</v>
      </c>
    </row>
    <row r="52" spans="22:93" x14ac:dyDescent="0.2">
      <c r="V52">
        <f t="shared" si="52"/>
        <v>2015</v>
      </c>
      <c r="W52">
        <f t="shared" si="58"/>
        <v>1213</v>
      </c>
      <c r="X52">
        <f t="shared" si="59"/>
        <v>151</v>
      </c>
      <c r="Y52">
        <f t="shared" si="60"/>
        <v>83</v>
      </c>
      <c r="Z52">
        <f t="shared" si="61"/>
        <v>185</v>
      </c>
      <c r="AA52">
        <f t="shared" si="62"/>
        <v>153</v>
      </c>
      <c r="AB52">
        <f t="shared" si="63"/>
        <v>27</v>
      </c>
      <c r="AC52">
        <f t="shared" si="64"/>
        <v>208</v>
      </c>
      <c r="AF52">
        <f t="shared" si="54"/>
        <v>2015</v>
      </c>
      <c r="AG52" s="5">
        <f ca="1">IF(W52&gt;0,SUMIFS(Data!$O$4:$O$1216,Data!$E$4:$E$1216,"&lt;="&amp;$AF52)/W52,"-")</f>
        <v>317.22966553093158</v>
      </c>
      <c r="AH52" s="5">
        <f ca="1">IF(X52&gt;0,SUMIFS(Data!$O$4:$O$1216,Data!$E$4:$E$1216,"&lt;="&amp;$AF52,Data!$AQ$4:$AQ$1216,"="&amp;AH$1)/X52,"-")</f>
        <v>655.76874401943428</v>
      </c>
      <c r="AI52" s="5">
        <f ca="1">IF(Y52&gt;0,SUMIFS(Data!$O$4:$O$1216,Data!$E$4:$E$1216,"&lt;="&amp;$AF52,Data!$AQ$4:$AQ$1216,"="&amp;AI$1)/Y52,"-")</f>
        <v>252.2353420661629</v>
      </c>
      <c r="AJ52" s="5">
        <f ca="1">IF(Z52&gt;0,SUMIFS(Data!$O$4:$O$1216,Data!$E$4:$E$1216,"&lt;="&amp;$AF52,Data!$AQ$4:$AQ$1216,"="&amp;AJ$1)/Z52,"-")</f>
        <v>243.98764482446848</v>
      </c>
      <c r="AK52" s="5">
        <f ca="1">IF(AA52&gt;0,SUMIFS(Data!$O$4:$O$1216,Data!$E$4:$E$1216,"&lt;="&amp;$AF52,Data!$AQ$4:$AQ$1216,"="&amp;AK$1)/AA52,"-")</f>
        <v>890.45985408695628</v>
      </c>
      <c r="AL52" s="5">
        <f ca="1">IF(AB52&gt;0,SUMIFS(Data!$O$4:$O$1216,Data!$E$4:$E$1216,"&lt;="&amp;$AF52,Data!$AQ$4:$AQ$1216,"="&amp;AL$1)/AB52,"-")</f>
        <v>57.767632752235833</v>
      </c>
      <c r="AM52" s="5">
        <f ca="1">IF(AC52&gt;0,SUMIFS(Data!$O$4:$O$1216,Data!$E$4:$E$1216,"&lt;="&amp;$AF52,Data!$AQ$4:$AQ$1216,"="&amp;AM$1)/AC52,"-")</f>
        <v>29.698517570385395</v>
      </c>
      <c r="AP52">
        <f t="shared" si="55"/>
        <v>2015</v>
      </c>
      <c r="AQ52" s="5">
        <f ca="1">IF(W52&gt;0,SUMIFS(Data!$R$4:$R$1216,Data!$E$4:$E$1216,"&lt;="&amp;$AF52)/W52,"-")</f>
        <v>9955859.7414935026</v>
      </c>
      <c r="AR52" s="5">
        <f ca="1">IF(X52&gt;0,SUMIFS(Data!$R$4:$R$1216,Data!$E$4:$E$1216,"&lt;="&amp;$AF52,Data!$AQ$4:$AQ$1216,"="&amp;AR$1)/X52,"-")</f>
        <v>3700130.5480645103</v>
      </c>
      <c r="AS52" s="5">
        <f ca="1">IF(Y52&gt;0,SUMIFS(Data!$R$4:$R$1216,Data!$E$4:$E$1216,"&lt;="&amp;$AF52,Data!$AQ$4:$AQ$1216,"="&amp;AS$1)/Y52,"-")</f>
        <v>234910.05622636533</v>
      </c>
      <c r="AT52" s="5">
        <f ca="1">IF(Z52&gt;0,SUMIFS(Data!$R$4:$R$1216,Data!$E$4:$E$1216,"&lt;="&amp;$AF52,Data!$AQ$4:$AQ$1216,"="&amp;AT$1)/Z52,"-")</f>
        <v>1352035.4703584337</v>
      </c>
      <c r="AU52" s="5">
        <f ca="1">IF(AA52&gt;0,SUMIFS(Data!$R$4:$R$1216,Data!$E$4:$E$1216,"&lt;="&amp;$AF52,Data!$AQ$4:$AQ$1216,"="&amp;AU$1)/AA52,"-")</f>
        <v>72923107.938578993</v>
      </c>
      <c r="AV52" s="5">
        <f ca="1">IF(AB52&gt;0,SUMIFS(Data!$R$4:$R$1216,Data!$E$4:$E$1216,"&lt;="&amp;$AF52,Data!$AQ$4:$AQ$1216,"="&amp;AV$1)/AB52,"-")</f>
        <v>7105.7924874913815</v>
      </c>
      <c r="AW52" s="5">
        <f ca="1">IF(AC52&gt;0,SUMIFS(Data!$R$4:$R$1216,Data!$E$4:$E$1216,"&lt;="&amp;$AF52,Data!$AQ$4:$AQ$1216,"="&amp;AW$1)/AC52,"-")</f>
        <v>1674.9164720630417</v>
      </c>
      <c r="AZ52">
        <f t="shared" si="56"/>
        <v>2015</v>
      </c>
      <c r="BA52" s="1">
        <f t="shared" ca="1" si="57"/>
        <v>90.136953053056445</v>
      </c>
      <c r="BB52" s="1">
        <f t="shared" ca="1" si="46"/>
        <v>147.16071996136597</v>
      </c>
      <c r="BC52" s="1">
        <f t="shared" ca="1" si="47"/>
        <v>45.428003204744257</v>
      </c>
      <c r="BD52" s="1">
        <f t="shared" ca="1" si="48"/>
        <v>83.585382775240518</v>
      </c>
      <c r="BE52" s="1">
        <f t="shared" ca="1" si="49"/>
        <v>686.61426216764244</v>
      </c>
      <c r="BF52" s="1">
        <f t="shared" ca="1" si="50"/>
        <v>11.814449868376329</v>
      </c>
      <c r="BG52" s="1">
        <f t="shared" ca="1" si="51"/>
        <v>1.9524571872886127</v>
      </c>
    </row>
    <row r="54" spans="22:93" x14ac:dyDescent="0.2">
      <c r="W54" s="17" t="s">
        <v>223</v>
      </c>
      <c r="AD54">
        <v>0</v>
      </c>
      <c r="AJ54">
        <v>0.1</v>
      </c>
      <c r="AP54">
        <v>1</v>
      </c>
      <c r="AV54">
        <v>1.5</v>
      </c>
      <c r="BB54">
        <v>2</v>
      </c>
      <c r="BH54">
        <v>3</v>
      </c>
      <c r="BO54">
        <v>0</v>
      </c>
      <c r="BS54">
        <v>0</v>
      </c>
      <c r="BW54">
        <v>0.1</v>
      </c>
      <c r="CA54">
        <v>1</v>
      </c>
      <c r="CE54">
        <v>1.5</v>
      </c>
      <c r="CI54">
        <v>2</v>
      </c>
      <c r="CM54">
        <v>3</v>
      </c>
    </row>
    <row r="55" spans="22:93" x14ac:dyDescent="0.2">
      <c r="W55" s="17" t="s">
        <v>224</v>
      </c>
      <c r="Y55" s="17" t="s">
        <v>226</v>
      </c>
      <c r="Z55" s="17" t="s">
        <v>115</v>
      </c>
      <c r="AA55" s="17" t="s">
        <v>225</v>
      </c>
      <c r="AB55" s="17" t="s">
        <v>227</v>
      </c>
      <c r="AD55" s="17" t="s">
        <v>224</v>
      </c>
      <c r="AE55" s="17" t="s">
        <v>226</v>
      </c>
      <c r="AF55" s="17" t="s">
        <v>115</v>
      </c>
      <c r="AG55" s="17" t="s">
        <v>225</v>
      </c>
      <c r="AH55" s="17" t="s">
        <v>227</v>
      </c>
      <c r="AJ55" s="17" t="s">
        <v>224</v>
      </c>
      <c r="AK55" s="17" t="s">
        <v>226</v>
      </c>
      <c r="AL55" s="17" t="s">
        <v>115</v>
      </c>
      <c r="AM55" s="17" t="s">
        <v>225</v>
      </c>
      <c r="AN55" s="17" t="s">
        <v>227</v>
      </c>
      <c r="AP55" s="17" t="s">
        <v>224</v>
      </c>
      <c r="AQ55" s="17" t="s">
        <v>226</v>
      </c>
      <c r="AR55" s="17" t="s">
        <v>115</v>
      </c>
      <c r="AS55" s="17" t="s">
        <v>225</v>
      </c>
      <c r="AT55" s="17" t="s">
        <v>227</v>
      </c>
      <c r="AV55" s="17" t="s">
        <v>224</v>
      </c>
      <c r="AW55" s="17" t="s">
        <v>226</v>
      </c>
      <c r="AX55" s="17" t="s">
        <v>115</v>
      </c>
      <c r="AY55" s="17" t="s">
        <v>225</v>
      </c>
      <c r="AZ55" s="17" t="s">
        <v>227</v>
      </c>
      <c r="BB55" s="17" t="s">
        <v>224</v>
      </c>
      <c r="BC55" s="17" t="s">
        <v>226</v>
      </c>
      <c r="BD55" s="17" t="s">
        <v>115</v>
      </c>
      <c r="BE55" s="17" t="s">
        <v>225</v>
      </c>
      <c r="BF55" s="17" t="s">
        <v>227</v>
      </c>
      <c r="BH55" s="17" t="s">
        <v>224</v>
      </c>
      <c r="BI55" s="17" t="s">
        <v>226</v>
      </c>
      <c r="BJ55" s="17" t="s">
        <v>115</v>
      </c>
      <c r="BK55" s="17" t="s">
        <v>225</v>
      </c>
      <c r="BL55" s="17" t="s">
        <v>227</v>
      </c>
    </row>
    <row r="56" spans="22:93" x14ac:dyDescent="0.2">
      <c r="V56">
        <f>V2</f>
        <v>1982</v>
      </c>
      <c r="W56" s="5">
        <f>W2</f>
        <v>2</v>
      </c>
      <c r="X56" s="7">
        <f>AD2</f>
        <v>1</v>
      </c>
      <c r="Y56" s="5">
        <f t="shared" ref="Y56:Y80" ca="1" si="66">AG2</f>
        <v>608.87816739753373</v>
      </c>
      <c r="Z56" s="5">
        <f t="shared" ref="Z56:Z80" ca="1" si="67">BA2</f>
        <v>322.90641081242546</v>
      </c>
      <c r="AA56" s="5"/>
      <c r="AB56" s="5"/>
      <c r="AD56" s="5">
        <f t="shared" ref="AD56:AD80" si="68">X2</f>
        <v>0</v>
      </c>
      <c r="AE56" s="5" t="str">
        <f t="shared" ref="AE56:AE80" si="69">AH2</f>
        <v>-</v>
      </c>
      <c r="AF56" s="5" t="str">
        <f t="shared" ref="AF56:AF80" si="70">BB2</f>
        <v>-</v>
      </c>
      <c r="AG56" s="5"/>
      <c r="AH56" s="5"/>
      <c r="AJ56" s="5">
        <f t="shared" ref="AJ56:AJ80" si="71">Y2</f>
        <v>0</v>
      </c>
      <c r="AK56" s="5" t="str">
        <f t="shared" ref="AK56:AK80" si="72">AI2</f>
        <v>-</v>
      </c>
      <c r="AL56" s="5" t="str">
        <f t="shared" ref="AL56:AL80" si="73">BC2</f>
        <v>-</v>
      </c>
      <c r="AM56" s="5"/>
      <c r="AN56" s="5"/>
      <c r="AP56" s="5">
        <f t="shared" ref="AP56:AP80" si="74">Z2</f>
        <v>2</v>
      </c>
      <c r="AQ56" s="5">
        <f t="shared" ref="AQ56:AQ80" ca="1" si="75">AJ2</f>
        <v>608.87816739753373</v>
      </c>
      <c r="AR56" s="5">
        <f t="shared" ref="AR56:AR80" ca="1" si="76">BD2</f>
        <v>322.90641081242546</v>
      </c>
      <c r="AS56" s="5"/>
      <c r="AT56" s="5"/>
      <c r="AV56" s="5">
        <f t="shared" ref="AV56:AV80" si="77">AA2</f>
        <v>0</v>
      </c>
      <c r="AW56" s="5" t="str">
        <f t="shared" ref="AW56:AW80" si="78">AK2</f>
        <v>-</v>
      </c>
      <c r="AX56" s="5" t="str">
        <f t="shared" ref="AX56:AX80" si="79">BE2</f>
        <v>-</v>
      </c>
      <c r="AY56" s="5"/>
      <c r="AZ56" s="5"/>
      <c r="BB56" s="5">
        <f t="shared" ref="BB56:BB80" si="80">AB2</f>
        <v>0</v>
      </c>
      <c r="BC56" s="1" t="str">
        <f t="shared" ref="BC56:BC80" si="81">AL2</f>
        <v>-</v>
      </c>
      <c r="BD56" s="1" t="str">
        <f t="shared" ref="BD56:BD80" si="82">BF2</f>
        <v>-</v>
      </c>
      <c r="BE56" s="1"/>
      <c r="BF56" s="1"/>
      <c r="BG56" s="1"/>
      <c r="BH56" s="5">
        <f t="shared" ref="BH56:BH80" si="83">AC2</f>
        <v>0</v>
      </c>
      <c r="BI56" s="1" t="str">
        <f t="shared" ref="BI56:BI80" si="84">AM2</f>
        <v>-</v>
      </c>
      <c r="BJ56" s="1" t="str">
        <f t="shared" ref="BJ56:BJ80" si="85">BG2</f>
        <v>-</v>
      </c>
      <c r="BK56" s="1"/>
      <c r="BL56" s="1"/>
      <c r="BO56" s="5"/>
      <c r="BS56" s="5"/>
    </row>
    <row r="57" spans="22:93" x14ac:dyDescent="0.2">
      <c r="V57">
        <f>V3</f>
        <v>1991</v>
      </c>
      <c r="W57" s="5">
        <f>W3</f>
        <v>10</v>
      </c>
      <c r="X57" s="7">
        <f t="shared" ref="X57:X80" si="86">AD3</f>
        <v>0.5714285714285714</v>
      </c>
      <c r="Y57" s="5">
        <f t="shared" ca="1" si="66"/>
        <v>145.7549000763251</v>
      </c>
      <c r="Z57" s="5">
        <f t="shared" ca="1" si="67"/>
        <v>55.299723258599705</v>
      </c>
      <c r="AA57" s="5">
        <f t="shared" ref="AA57:AA81" ca="1" si="87">AG28</f>
        <v>608.87816739753373</v>
      </c>
      <c r="AB57" s="5">
        <f t="shared" ref="AB57:AB81" ca="1" si="88">BA28</f>
        <v>322.90641081242546</v>
      </c>
      <c r="AC57" t="str">
        <f t="shared" ref="AC57:AC80" ca="1" si="89">IF(BQ57&gt;2.57,"***",IF(BQ57&gt;1.96,"**",IF(BQ57&gt;1.65,"*","")))</f>
        <v/>
      </c>
      <c r="AD57" s="5">
        <f t="shared" si="68"/>
        <v>3</v>
      </c>
      <c r="AE57" s="5">
        <f t="shared" ca="1" si="69"/>
        <v>310.92869742933834</v>
      </c>
      <c r="AF57" s="5">
        <f t="shared" ca="1" si="70"/>
        <v>118.79567260184602</v>
      </c>
      <c r="AG57" s="5" t="str">
        <f t="shared" ref="AG57:AG81" si="90">AH28</f>
        <v>-</v>
      </c>
      <c r="AH57" s="5" t="str">
        <f t="shared" ref="AH57:AH81" si="91">BB28</f>
        <v>-</v>
      </c>
      <c r="AI57" t="e">
        <f t="shared" ref="AI57:AI80" ca="1" si="92">IF(BU57&gt;2.57,"***",IF(BU57&gt;1.96,"**",IF(BU57&gt;1.65,"*","")))</f>
        <v>#VALUE!</v>
      </c>
      <c r="AJ57" s="5">
        <f t="shared" si="71"/>
        <v>0</v>
      </c>
      <c r="AK57" s="5" t="str">
        <f t="shared" si="72"/>
        <v>-</v>
      </c>
      <c r="AL57" s="5" t="str">
        <f t="shared" si="73"/>
        <v>-</v>
      </c>
      <c r="AM57" s="5" t="str">
        <f t="shared" ref="AM57:AM81" si="93">AI28</f>
        <v>-</v>
      </c>
      <c r="AN57" s="5" t="str">
        <f t="shared" ref="AN57:AN81" si="94">BC28</f>
        <v>-</v>
      </c>
      <c r="AO57" t="e">
        <f t="shared" ref="AO57:AO80" si="95">IF(BY57&gt;2.57,"***",IF(BY57&gt;1.96,"**",IF(BY57&gt;1.65,"*","")))</f>
        <v>#VALUE!</v>
      </c>
      <c r="AP57" s="5">
        <f t="shared" si="74"/>
        <v>4</v>
      </c>
      <c r="AQ57" s="5">
        <f t="shared" ca="1" si="75"/>
        <v>122.55059462608058</v>
      </c>
      <c r="AR57" s="5">
        <f t="shared" ca="1" si="76"/>
        <v>50.35084023178176</v>
      </c>
      <c r="AS57" s="5">
        <f t="shared" ref="AS57:AS81" ca="1" si="96">AJ28</f>
        <v>608.87816739753373</v>
      </c>
      <c r="AT57" s="5">
        <f t="shared" ref="AT57:AT81" ca="1" si="97">BD28</f>
        <v>322.90641081242546</v>
      </c>
      <c r="AU57" t="str">
        <f ca="1">IF(CC57&gt;2.57,"***",IF(CC57&gt;1.96,"**",IF(CC57&gt;1.65,"*","")))</f>
        <v/>
      </c>
      <c r="AV57" s="5">
        <f t="shared" si="77"/>
        <v>0</v>
      </c>
      <c r="AW57" s="5" t="str">
        <f t="shared" si="78"/>
        <v>-</v>
      </c>
      <c r="AX57" s="5" t="str">
        <f t="shared" si="79"/>
        <v>-</v>
      </c>
      <c r="AY57" s="5" t="str">
        <f t="shared" ref="AY57:AY81" si="98">AK28</f>
        <v>-</v>
      </c>
      <c r="AZ57" s="5" t="str">
        <f t="shared" ref="AZ57:AZ81" si="99">BE28</f>
        <v>-</v>
      </c>
      <c r="BA57" t="e">
        <f t="shared" ref="BA57:BA80" si="100">IF(CG57&gt;2.57,"***",IF(CG57&gt;1.96,"**",IF(CG57&gt;1.65,"*","")))</f>
        <v>#VALUE!</v>
      </c>
      <c r="BB57" s="5">
        <f t="shared" si="80"/>
        <v>0</v>
      </c>
      <c r="BC57" s="1" t="str">
        <f t="shared" si="81"/>
        <v>-</v>
      </c>
      <c r="BD57" s="1" t="str">
        <f t="shared" si="82"/>
        <v>-</v>
      </c>
      <c r="BE57" s="1" t="str">
        <f t="shared" ref="BE57:BE81" si="101">AL28</f>
        <v>-</v>
      </c>
      <c r="BF57" s="1" t="str">
        <f t="shared" ref="BF57:BF81" si="102">BF28</f>
        <v>-</v>
      </c>
      <c r="BG57" s="1" t="e">
        <f t="shared" ref="BG57:BG80" si="103">IF(CK57&gt;2.57,"***",IF(CK57&gt;1.96,"**",IF(CK57&gt;1.65,"*","")))</f>
        <v>#VALUE!</v>
      </c>
      <c r="BH57" s="5">
        <f t="shared" si="83"/>
        <v>0</v>
      </c>
      <c r="BI57" s="1" t="str">
        <f t="shared" si="84"/>
        <v>-</v>
      </c>
      <c r="BJ57" s="1" t="str">
        <f t="shared" si="85"/>
        <v>-</v>
      </c>
      <c r="BK57" s="1" t="str">
        <f t="shared" ref="BK57:BK81" si="104">AM28</f>
        <v>-</v>
      </c>
      <c r="BL57" s="1" t="str">
        <f t="shared" ref="BL57:BL81" si="105">BG28</f>
        <v>-</v>
      </c>
      <c r="BM57" s="1" t="e">
        <f t="shared" ref="BM57:BM80" si="106">IF(CO57&gt;2.57,"***",IF(CO57&gt;1.96,"**",IF(CO57&gt;1.65,"*","")))</f>
        <v>#VALUE!</v>
      </c>
      <c r="BO57" s="5">
        <f t="shared" ref="BO57:BO80" ca="1" si="107">Y57-AA57</f>
        <v>-463.12326732120863</v>
      </c>
      <c r="BP57" s="5">
        <f t="shared" ref="BP57:BP80" ca="1" si="108">SQRT(Z57^2+AB57^2)</f>
        <v>327.60740152847677</v>
      </c>
      <c r="BQ57" s="1">
        <f ca="1">ABS(BO57/BP57)</f>
        <v>1.4136532482491924</v>
      </c>
      <c r="BS57" s="5" t="e">
        <f t="shared" ref="BS57:BS80" ca="1" si="109">AE57-AG57</f>
        <v>#VALUE!</v>
      </c>
      <c r="BT57" s="5" t="e">
        <f t="shared" ref="BT57:BT80" ca="1" si="110">SQRT(AF57^2+AH57^2)</f>
        <v>#VALUE!</v>
      </c>
      <c r="BU57" s="1" t="e">
        <f ca="1">ABS(BS57/BT57)</f>
        <v>#VALUE!</v>
      </c>
      <c r="BW57" s="5" t="e">
        <f t="shared" ref="BW57:BW80" si="111">AK57-AM57</f>
        <v>#VALUE!</v>
      </c>
      <c r="BX57" s="5" t="e">
        <f t="shared" ref="BX57:BX80" si="112">SQRT(AL57^2+AN57^2)</f>
        <v>#VALUE!</v>
      </c>
      <c r="BY57" s="1" t="e">
        <f>ABS(BW57/BX57)</f>
        <v>#VALUE!</v>
      </c>
      <c r="CA57" s="5">
        <f t="shared" ref="CA57:CA80" ca="1" si="113">AQ57-AS57</f>
        <v>-486.32757277145316</v>
      </c>
      <c r="CB57" s="5">
        <f t="shared" ref="CB57:CB80" ca="1" si="114">SQRT(AR57^2+AT57^2)</f>
        <v>326.80844122483938</v>
      </c>
      <c r="CC57" s="1">
        <f ca="1">ABS(CA57/CB57)</f>
        <v>1.4881120296304311</v>
      </c>
      <c r="CE57" s="5" t="e">
        <f t="shared" ref="CE57:CE80" si="115">AW57-AY57</f>
        <v>#VALUE!</v>
      </c>
      <c r="CF57" s="5" t="e">
        <f t="shared" ref="CF57:CF80" si="116">SQRT(AX57^2+AZ57^2)</f>
        <v>#VALUE!</v>
      </c>
      <c r="CG57" s="1" t="e">
        <f>ABS(CE57/CF57)</f>
        <v>#VALUE!</v>
      </c>
      <c r="CI57" s="5" t="e">
        <f t="shared" ref="CI57:CI80" si="117">BC57-BE57</f>
        <v>#VALUE!</v>
      </c>
      <c r="CJ57" s="5" t="e">
        <f t="shared" ref="CJ57:CJ80" si="118">SQRT(BD57^2+BF57^2)</f>
        <v>#VALUE!</v>
      </c>
      <c r="CK57" s="1" t="e">
        <f>ABS(CI57/CJ57)</f>
        <v>#VALUE!</v>
      </c>
      <c r="CM57" s="5" t="e">
        <f t="shared" ref="CM57:CM80" si="119">BI57-BK57</f>
        <v>#VALUE!</v>
      </c>
      <c r="CN57" s="5" t="e">
        <f t="shared" ref="CN57:CN80" si="120">SQRT(BJ57^2+BL57^2)</f>
        <v>#VALUE!</v>
      </c>
      <c r="CO57" s="1" t="e">
        <f>ABS(CM57/CN57)</f>
        <v>#VALUE!</v>
      </c>
    </row>
    <row r="58" spans="22:93" x14ac:dyDescent="0.2">
      <c r="V58">
        <f t="shared" ref="V58:W58" si="121">V4</f>
        <v>1992</v>
      </c>
      <c r="W58" s="5">
        <f t="shared" si="121"/>
        <v>4</v>
      </c>
      <c r="X58" s="7">
        <f t="shared" si="86"/>
        <v>2</v>
      </c>
      <c r="Y58" s="5">
        <f t="shared" ca="1" si="66"/>
        <v>998.13918249316691</v>
      </c>
      <c r="Z58" s="5">
        <f t="shared" ca="1" si="67"/>
        <v>795.92431240780809</v>
      </c>
      <c r="AA58" s="5">
        <f t="shared" ca="1" si="87"/>
        <v>222.94211129652658</v>
      </c>
      <c r="AB58" s="5">
        <f t="shared" ca="1" si="88"/>
        <v>86.616655216949042</v>
      </c>
      <c r="AC58" t="str">
        <f t="shared" ca="1" si="89"/>
        <v/>
      </c>
      <c r="AD58" s="5">
        <f t="shared" si="68"/>
        <v>0</v>
      </c>
      <c r="AE58" s="5" t="str">
        <f t="shared" si="69"/>
        <v>-</v>
      </c>
      <c r="AF58" s="5" t="str">
        <f t="shared" si="70"/>
        <v>-</v>
      </c>
      <c r="AG58" s="5">
        <f t="shared" ca="1" si="90"/>
        <v>310.92869742933834</v>
      </c>
      <c r="AH58" s="5">
        <f t="shared" ca="1" si="91"/>
        <v>118.79567260184602</v>
      </c>
      <c r="AI58" t="e">
        <f t="shared" ca="1" si="92"/>
        <v>#VALUE!</v>
      </c>
      <c r="AJ58" s="5">
        <f t="shared" si="71"/>
        <v>0</v>
      </c>
      <c r="AK58" s="5" t="str">
        <f t="shared" si="72"/>
        <v>-</v>
      </c>
      <c r="AL58" s="5" t="str">
        <f t="shared" si="73"/>
        <v>-</v>
      </c>
      <c r="AM58" s="5" t="str">
        <f t="shared" si="93"/>
        <v>-</v>
      </c>
      <c r="AN58" s="5" t="str">
        <f t="shared" si="94"/>
        <v>-</v>
      </c>
      <c r="AO58" t="e">
        <f t="shared" si="95"/>
        <v>#VALUE!</v>
      </c>
      <c r="AP58" s="5">
        <f t="shared" si="74"/>
        <v>0</v>
      </c>
      <c r="AQ58" s="5" t="str">
        <f t="shared" si="75"/>
        <v>-</v>
      </c>
      <c r="AR58" s="5" t="str">
        <f t="shared" si="76"/>
        <v>-</v>
      </c>
      <c r="AS58" s="5">
        <f t="shared" ca="1" si="96"/>
        <v>284.65978554989834</v>
      </c>
      <c r="AT58" s="5">
        <f t="shared" ca="1" si="97"/>
        <v>146.53310128047781</v>
      </c>
      <c r="AU58" t="e">
        <f ca="1">IF(CC58&gt;2.57,"***",IF(CC58&gt;1.96,"**",IF(CC58&gt;1.65,"*","")))</f>
        <v>#VALUE!</v>
      </c>
      <c r="AV58" s="5">
        <f t="shared" si="77"/>
        <v>0</v>
      </c>
      <c r="AW58" s="5" t="str">
        <f t="shared" si="78"/>
        <v>-</v>
      </c>
      <c r="AX58" s="5" t="str">
        <f t="shared" si="79"/>
        <v>-</v>
      </c>
      <c r="AY58" s="5" t="str">
        <f t="shared" si="98"/>
        <v>-</v>
      </c>
      <c r="AZ58" s="5" t="str">
        <f t="shared" si="99"/>
        <v>-</v>
      </c>
      <c r="BA58" t="e">
        <f t="shared" si="100"/>
        <v>#VALUE!</v>
      </c>
      <c r="BB58" s="5">
        <f t="shared" si="80"/>
        <v>2</v>
      </c>
      <c r="BC58" s="1">
        <f t="shared" ca="1" si="81"/>
        <v>42.153098551811055</v>
      </c>
      <c r="BD58" s="1">
        <f t="shared" ca="1" si="82"/>
        <v>1.3976295429971801</v>
      </c>
      <c r="BE58" s="1" t="str">
        <f t="shared" si="101"/>
        <v>-</v>
      </c>
      <c r="BF58" s="1" t="str">
        <f t="shared" si="102"/>
        <v>-</v>
      </c>
      <c r="BG58" s="1" t="e">
        <f t="shared" ca="1" si="103"/>
        <v>#VALUE!</v>
      </c>
      <c r="BH58" s="5">
        <f t="shared" si="83"/>
        <v>0</v>
      </c>
      <c r="BI58" s="1" t="str">
        <f t="shared" si="84"/>
        <v>-</v>
      </c>
      <c r="BJ58" s="1" t="str">
        <f t="shared" si="85"/>
        <v>-</v>
      </c>
      <c r="BK58" s="1" t="str">
        <f t="shared" si="104"/>
        <v>-</v>
      </c>
      <c r="BL58" s="1" t="str">
        <f t="shared" si="105"/>
        <v>-</v>
      </c>
      <c r="BM58" s="1" t="e">
        <f t="shared" si="106"/>
        <v>#VALUE!</v>
      </c>
      <c r="BO58" s="5">
        <f t="shared" ca="1" si="107"/>
        <v>775.19707119664031</v>
      </c>
      <c r="BP58" s="5">
        <f t="shared" ca="1" si="108"/>
        <v>800.62347957252291</v>
      </c>
      <c r="BQ58" s="1">
        <f t="shared" ref="BQ58:BQ80" ca="1" si="122">ABS(BO58/BP58)</f>
        <v>0.96824174031286403</v>
      </c>
      <c r="BS58" s="5" t="e">
        <f t="shared" ca="1" si="109"/>
        <v>#VALUE!</v>
      </c>
      <c r="BT58" s="5" t="e">
        <f t="shared" ca="1" si="110"/>
        <v>#VALUE!</v>
      </c>
      <c r="BU58" s="1" t="e">
        <f t="shared" ref="BU58:BU80" ca="1" si="123">ABS(BS58/BT58)</f>
        <v>#VALUE!</v>
      </c>
      <c r="BW58" s="5" t="e">
        <f t="shared" si="111"/>
        <v>#VALUE!</v>
      </c>
      <c r="BX58" s="5" t="e">
        <f t="shared" si="112"/>
        <v>#VALUE!</v>
      </c>
      <c r="BY58" s="1" t="e">
        <f t="shared" ref="BY58:BY80" si="124">ABS(BW58/BX58)</f>
        <v>#VALUE!</v>
      </c>
      <c r="CA58" s="5" t="e">
        <f t="shared" ca="1" si="113"/>
        <v>#VALUE!</v>
      </c>
      <c r="CB58" s="5" t="e">
        <f t="shared" ca="1" si="114"/>
        <v>#VALUE!</v>
      </c>
      <c r="CC58" s="1" t="e">
        <f t="shared" ref="CC58:CC80" ca="1" si="125">ABS(CA58/CB58)</f>
        <v>#VALUE!</v>
      </c>
      <c r="CE58" s="5" t="e">
        <f t="shared" si="115"/>
        <v>#VALUE!</v>
      </c>
      <c r="CF58" s="5" t="e">
        <f t="shared" si="116"/>
        <v>#VALUE!</v>
      </c>
      <c r="CG58" s="1" t="e">
        <f t="shared" ref="CG58:CG80" si="126">ABS(CE58/CF58)</f>
        <v>#VALUE!</v>
      </c>
      <c r="CI58" s="5" t="e">
        <f t="shared" ca="1" si="117"/>
        <v>#VALUE!</v>
      </c>
      <c r="CJ58" s="5" t="e">
        <f t="shared" ca="1" si="118"/>
        <v>#VALUE!</v>
      </c>
      <c r="CK58" s="1" t="e">
        <f t="shared" ref="CK58:CK80" ca="1" si="127">ABS(CI58/CJ58)</f>
        <v>#VALUE!</v>
      </c>
      <c r="CM58" s="5" t="e">
        <f t="shared" si="119"/>
        <v>#VALUE!</v>
      </c>
      <c r="CN58" s="5" t="e">
        <f t="shared" si="120"/>
        <v>#VALUE!</v>
      </c>
      <c r="CO58" s="1" t="e">
        <f t="shared" ref="CO58:CO80" si="128">ABS(CM58/CN58)</f>
        <v>#VALUE!</v>
      </c>
    </row>
    <row r="59" spans="22:93" x14ac:dyDescent="0.2">
      <c r="V59">
        <f t="shared" ref="V59:W59" si="129">V5</f>
        <v>1993</v>
      </c>
      <c r="W59" s="5">
        <f t="shared" si="129"/>
        <v>99</v>
      </c>
      <c r="X59" s="7">
        <f t="shared" si="86"/>
        <v>1.0105263157894737</v>
      </c>
      <c r="Y59" s="5">
        <f t="shared" ca="1" si="66"/>
        <v>149.85196541087836</v>
      </c>
      <c r="Z59" s="5">
        <f t="shared" ca="1" si="67"/>
        <v>71.738897062982417</v>
      </c>
      <c r="AA59" s="5">
        <f t="shared" ca="1" si="87"/>
        <v>416.74137909568663</v>
      </c>
      <c r="AB59" s="5">
        <f t="shared" ca="1" si="88"/>
        <v>225.51219262063475</v>
      </c>
      <c r="AC59" t="str">
        <f t="shared" ca="1" si="89"/>
        <v/>
      </c>
      <c r="AD59" s="5">
        <f t="shared" si="68"/>
        <v>62</v>
      </c>
      <c r="AE59" s="5">
        <f t="shared" ca="1" si="69"/>
        <v>221.42302737607648</v>
      </c>
      <c r="AF59" s="5">
        <f t="shared" ca="1" si="70"/>
        <v>113.57090382532236</v>
      </c>
      <c r="AG59" s="5">
        <f t="shared" ca="1" si="90"/>
        <v>310.92869742933834</v>
      </c>
      <c r="AH59" s="5">
        <f t="shared" ca="1" si="91"/>
        <v>118.79567260184602</v>
      </c>
      <c r="AI59" t="str">
        <f t="shared" ca="1" si="92"/>
        <v/>
      </c>
      <c r="AJ59" s="5">
        <f t="shared" si="71"/>
        <v>0</v>
      </c>
      <c r="AK59" s="5" t="str">
        <f t="shared" si="72"/>
        <v>-</v>
      </c>
      <c r="AL59" s="5" t="str">
        <f t="shared" si="73"/>
        <v>-</v>
      </c>
      <c r="AM59" s="5" t="str">
        <f t="shared" si="93"/>
        <v>-</v>
      </c>
      <c r="AN59" s="5" t="str">
        <f t="shared" si="94"/>
        <v>-</v>
      </c>
      <c r="AO59" t="e">
        <f t="shared" si="95"/>
        <v>#VALUE!</v>
      </c>
      <c r="AP59" s="5">
        <f t="shared" si="74"/>
        <v>0</v>
      </c>
      <c r="AQ59" s="5" t="str">
        <f t="shared" si="75"/>
        <v>-</v>
      </c>
      <c r="AR59" s="5" t="str">
        <f t="shared" si="76"/>
        <v>-</v>
      </c>
      <c r="AS59" s="5">
        <f t="shared" ca="1" si="96"/>
        <v>284.65978554989834</v>
      </c>
      <c r="AT59" s="5">
        <f t="shared" ca="1" si="97"/>
        <v>146.53310128047781</v>
      </c>
      <c r="AU59" t="e">
        <f t="shared" ref="AU59:AU80" ca="1" si="130">IF(CC59&gt;2.57,"***",IF(CC59&gt;1.96,"**",IF(CC59&gt;1.65,"*","")))</f>
        <v>#VALUE!</v>
      </c>
      <c r="AV59" s="5">
        <f t="shared" si="77"/>
        <v>0</v>
      </c>
      <c r="AW59" s="5" t="str">
        <f t="shared" si="78"/>
        <v>-</v>
      </c>
      <c r="AX59" s="5" t="str">
        <f t="shared" si="79"/>
        <v>-</v>
      </c>
      <c r="AY59" s="5" t="str">
        <f t="shared" si="98"/>
        <v>-</v>
      </c>
      <c r="AZ59" s="5" t="str">
        <f t="shared" si="99"/>
        <v>-</v>
      </c>
      <c r="BA59" t="e">
        <f t="shared" si="100"/>
        <v>#VALUE!</v>
      </c>
      <c r="BB59" s="5">
        <f t="shared" si="80"/>
        <v>3</v>
      </c>
      <c r="BC59" s="1">
        <f t="shared" ca="1" si="81"/>
        <v>10.933870652214184</v>
      </c>
      <c r="BD59" s="1">
        <f t="shared" ca="1" si="82"/>
        <v>4.2241750531218862</v>
      </c>
      <c r="BE59" s="1">
        <f t="shared" ca="1" si="101"/>
        <v>42.153098551811055</v>
      </c>
      <c r="BF59" s="1">
        <f t="shared" ca="1" si="102"/>
        <v>1.3976295429971801</v>
      </c>
      <c r="BG59" s="1" t="str">
        <f t="shared" ca="1" si="103"/>
        <v>***</v>
      </c>
      <c r="BH59" s="5">
        <f t="shared" si="83"/>
        <v>30</v>
      </c>
      <c r="BI59" s="1">
        <f t="shared" ca="1" si="84"/>
        <v>31.662238130967527</v>
      </c>
      <c r="BJ59" s="1">
        <f t="shared" ca="1" si="85"/>
        <v>2.798609886820671</v>
      </c>
      <c r="BK59" s="1" t="str">
        <f t="shared" si="104"/>
        <v>-</v>
      </c>
      <c r="BL59" s="1" t="str">
        <f t="shared" si="105"/>
        <v>-</v>
      </c>
      <c r="BM59" s="1" t="e">
        <f t="shared" ca="1" si="106"/>
        <v>#VALUE!</v>
      </c>
      <c r="BO59" s="5">
        <f t="shared" ca="1" si="107"/>
        <v>-266.88941368480823</v>
      </c>
      <c r="BP59" s="5">
        <f t="shared" ca="1" si="108"/>
        <v>236.64787844470413</v>
      </c>
      <c r="BQ59" s="1">
        <f t="shared" ca="1" si="122"/>
        <v>1.127791279764929</v>
      </c>
      <c r="BS59" s="5">
        <f t="shared" ca="1" si="109"/>
        <v>-89.505670053261866</v>
      </c>
      <c r="BT59" s="5">
        <f t="shared" ca="1" si="110"/>
        <v>164.34951178700109</v>
      </c>
      <c r="BU59" s="1">
        <f t="shared" ca="1" si="123"/>
        <v>0.54460563393253203</v>
      </c>
      <c r="BW59" s="5" t="e">
        <f t="shared" si="111"/>
        <v>#VALUE!</v>
      </c>
      <c r="BX59" s="5" t="e">
        <f t="shared" si="112"/>
        <v>#VALUE!</v>
      </c>
      <c r="BY59" s="1" t="e">
        <f t="shared" si="124"/>
        <v>#VALUE!</v>
      </c>
      <c r="CA59" s="5" t="e">
        <f t="shared" ca="1" si="113"/>
        <v>#VALUE!</v>
      </c>
      <c r="CB59" s="5" t="e">
        <f t="shared" ca="1" si="114"/>
        <v>#VALUE!</v>
      </c>
      <c r="CC59" s="1" t="e">
        <f t="shared" ca="1" si="125"/>
        <v>#VALUE!</v>
      </c>
      <c r="CE59" s="5" t="e">
        <f t="shared" si="115"/>
        <v>#VALUE!</v>
      </c>
      <c r="CF59" s="5" t="e">
        <f t="shared" si="116"/>
        <v>#VALUE!</v>
      </c>
      <c r="CG59" s="1" t="e">
        <f t="shared" si="126"/>
        <v>#VALUE!</v>
      </c>
      <c r="CI59" s="5">
        <f t="shared" ca="1" si="117"/>
        <v>-31.219227899596873</v>
      </c>
      <c r="CJ59" s="5">
        <f t="shared" ca="1" si="118"/>
        <v>4.4493845887803181</v>
      </c>
      <c r="CK59" s="1">
        <f t="shared" ca="1" si="127"/>
        <v>7.0165271795834592</v>
      </c>
      <c r="CM59" s="5" t="e">
        <f t="shared" ca="1" si="119"/>
        <v>#VALUE!</v>
      </c>
      <c r="CN59" s="5" t="e">
        <f t="shared" ca="1" si="120"/>
        <v>#VALUE!</v>
      </c>
      <c r="CO59" s="1" t="e">
        <f t="shared" ca="1" si="128"/>
        <v>#VALUE!</v>
      </c>
    </row>
    <row r="60" spans="22:93" x14ac:dyDescent="0.2">
      <c r="V60">
        <f t="shared" ref="V60:W60" si="131">V6</f>
        <v>1994</v>
      </c>
      <c r="W60" s="5">
        <f t="shared" si="131"/>
        <v>5</v>
      </c>
      <c r="X60" s="7">
        <f t="shared" si="86"/>
        <v>0.75</v>
      </c>
      <c r="Y60" s="5">
        <f t="shared" ca="1" si="66"/>
        <v>349.57831616003779</v>
      </c>
      <c r="Z60" s="5">
        <f t="shared" ca="1" si="67"/>
        <v>187.12340447230923</v>
      </c>
      <c r="AA60" s="5">
        <f t="shared" ca="1" si="87"/>
        <v>186.98440557572124</v>
      </c>
      <c r="AB60" s="5">
        <f t="shared" ca="1" si="88"/>
        <v>69.804335303712918</v>
      </c>
      <c r="AC60" t="str">
        <f t="shared" ca="1" si="89"/>
        <v/>
      </c>
      <c r="AD60" s="5">
        <f t="shared" si="68"/>
        <v>3</v>
      </c>
      <c r="AE60" s="5">
        <f t="shared" ca="1" si="69"/>
        <v>563.12468142336024</v>
      </c>
      <c r="AF60" s="5">
        <f t="shared" ca="1" si="70"/>
        <v>243.29766941188876</v>
      </c>
      <c r="AG60" s="5">
        <f t="shared" ca="1" si="90"/>
        <v>225.5540583016116</v>
      </c>
      <c r="AH60" s="5">
        <f t="shared" ca="1" si="91"/>
        <v>108.49284262006042</v>
      </c>
      <c r="AI60" t="str">
        <f t="shared" ca="1" si="92"/>
        <v/>
      </c>
      <c r="AJ60" s="5">
        <f t="shared" si="71"/>
        <v>0</v>
      </c>
      <c r="AK60" s="5" t="str">
        <f t="shared" si="72"/>
        <v>-</v>
      </c>
      <c r="AL60" s="5" t="str">
        <f t="shared" si="73"/>
        <v>-</v>
      </c>
      <c r="AM60" s="5" t="str">
        <f t="shared" si="93"/>
        <v>-</v>
      </c>
      <c r="AN60" s="5" t="str">
        <f t="shared" si="94"/>
        <v>-</v>
      </c>
      <c r="AO60" t="e">
        <f t="shared" si="95"/>
        <v>#VALUE!</v>
      </c>
      <c r="AP60" s="5">
        <f t="shared" si="74"/>
        <v>0</v>
      </c>
      <c r="AQ60" s="5" t="str">
        <f t="shared" si="75"/>
        <v>-</v>
      </c>
      <c r="AR60" s="5" t="str">
        <f t="shared" si="76"/>
        <v>-</v>
      </c>
      <c r="AS60" s="5">
        <f t="shared" ca="1" si="96"/>
        <v>284.65978554989834</v>
      </c>
      <c r="AT60" s="5">
        <f t="shared" ca="1" si="97"/>
        <v>146.53310128047781</v>
      </c>
      <c r="AU60" t="e">
        <f t="shared" ca="1" si="130"/>
        <v>#VALUE!</v>
      </c>
      <c r="AV60" s="5">
        <f t="shared" si="77"/>
        <v>0</v>
      </c>
      <c r="AW60" s="5" t="str">
        <f t="shared" si="78"/>
        <v>-</v>
      </c>
      <c r="AX60" s="5" t="str">
        <f t="shared" si="79"/>
        <v>-</v>
      </c>
      <c r="AY60" s="5" t="str">
        <f t="shared" si="98"/>
        <v>-</v>
      </c>
      <c r="AZ60" s="5" t="str">
        <f t="shared" si="99"/>
        <v>-</v>
      </c>
      <c r="BA60" t="e">
        <f t="shared" si="100"/>
        <v>#VALUE!</v>
      </c>
      <c r="BB60" s="5">
        <f t="shared" si="80"/>
        <v>0</v>
      </c>
      <c r="BC60" s="1" t="str">
        <f t="shared" si="81"/>
        <v>-</v>
      </c>
      <c r="BD60" s="1" t="str">
        <f t="shared" si="82"/>
        <v>-</v>
      </c>
      <c r="BE60" s="1">
        <f t="shared" ca="1" si="101"/>
        <v>23.421561812052932</v>
      </c>
      <c r="BF60" s="1">
        <f t="shared" ca="1" si="102"/>
        <v>7.3156670127855072</v>
      </c>
      <c r="BG60" s="1" t="e">
        <f t="shared" ca="1" si="103"/>
        <v>#VALUE!</v>
      </c>
      <c r="BH60" s="5">
        <f t="shared" si="83"/>
        <v>1</v>
      </c>
      <c r="BI60" s="1">
        <f t="shared" ca="1" si="84"/>
        <v>11.65148024910456</v>
      </c>
      <c r="BJ60" s="1">
        <f t="shared" ca="1" si="85"/>
        <v>0</v>
      </c>
      <c r="BK60" s="1">
        <f t="shared" ca="1" si="104"/>
        <v>31.662238130967527</v>
      </c>
      <c r="BL60" s="1">
        <f t="shared" ca="1" si="105"/>
        <v>2.798609886820671</v>
      </c>
      <c r="BM60" s="1" t="str">
        <f t="shared" ca="1" si="106"/>
        <v>***</v>
      </c>
      <c r="BO60" s="5">
        <f t="shared" ca="1" si="107"/>
        <v>162.59391058431655</v>
      </c>
      <c r="BP60" s="5">
        <f t="shared" ca="1" si="108"/>
        <v>199.71933739250343</v>
      </c>
      <c r="BQ60" s="1">
        <f t="shared" ca="1" si="122"/>
        <v>0.81411200691485763</v>
      </c>
      <c r="BS60" s="5">
        <f t="shared" ca="1" si="109"/>
        <v>337.57062312174867</v>
      </c>
      <c r="BT60" s="5">
        <f t="shared" ca="1" si="110"/>
        <v>266.39154048324792</v>
      </c>
      <c r="BU60" s="1">
        <f t="shared" ca="1" si="123"/>
        <v>1.2671972334758763</v>
      </c>
      <c r="BW60" s="5" t="e">
        <f t="shared" si="111"/>
        <v>#VALUE!</v>
      </c>
      <c r="BX60" s="5" t="e">
        <f t="shared" si="112"/>
        <v>#VALUE!</v>
      </c>
      <c r="BY60" s="1" t="e">
        <f t="shared" si="124"/>
        <v>#VALUE!</v>
      </c>
      <c r="CA60" s="5" t="e">
        <f t="shared" ca="1" si="113"/>
        <v>#VALUE!</v>
      </c>
      <c r="CB60" s="5" t="e">
        <f t="shared" ca="1" si="114"/>
        <v>#VALUE!</v>
      </c>
      <c r="CC60" s="1" t="e">
        <f t="shared" ca="1" si="125"/>
        <v>#VALUE!</v>
      </c>
      <c r="CE60" s="5" t="e">
        <f t="shared" si="115"/>
        <v>#VALUE!</v>
      </c>
      <c r="CF60" s="5" t="e">
        <f t="shared" si="116"/>
        <v>#VALUE!</v>
      </c>
      <c r="CG60" s="1" t="e">
        <f t="shared" si="126"/>
        <v>#VALUE!</v>
      </c>
      <c r="CI60" s="5" t="e">
        <f t="shared" ca="1" si="117"/>
        <v>#VALUE!</v>
      </c>
      <c r="CJ60" s="5" t="e">
        <f t="shared" ca="1" si="118"/>
        <v>#VALUE!</v>
      </c>
      <c r="CK60" s="1" t="e">
        <f t="shared" ca="1" si="127"/>
        <v>#VALUE!</v>
      </c>
      <c r="CM60" s="5">
        <f t="shared" ca="1" si="119"/>
        <v>-20.010757881862965</v>
      </c>
      <c r="CN60" s="5">
        <f t="shared" ca="1" si="120"/>
        <v>2.798609886820671</v>
      </c>
      <c r="CO60" s="1">
        <f t="shared" ca="1" si="128"/>
        <v>7.1502491205003063</v>
      </c>
    </row>
    <row r="61" spans="22:93" x14ac:dyDescent="0.2">
      <c r="V61">
        <f t="shared" ref="V61:W61" si="132">V7</f>
        <v>1995</v>
      </c>
      <c r="W61" s="5">
        <f t="shared" si="132"/>
        <v>3</v>
      </c>
      <c r="X61" s="7">
        <f t="shared" si="86"/>
        <v>3</v>
      </c>
      <c r="Y61" s="5">
        <f t="shared" ca="1" si="66"/>
        <v>101.32873006763278</v>
      </c>
      <c r="Z61" s="5">
        <f t="shared" ca="1" si="67"/>
        <v>62.16459684705179</v>
      </c>
      <c r="AA61" s="5">
        <f t="shared" ca="1" si="87"/>
        <v>193.75915185006775</v>
      </c>
      <c r="AB61" s="5">
        <f t="shared" ca="1" si="88"/>
        <v>67.413931021189796</v>
      </c>
      <c r="AC61" t="str">
        <f t="shared" ca="1" si="89"/>
        <v/>
      </c>
      <c r="AD61" s="5">
        <f t="shared" si="68"/>
        <v>0</v>
      </c>
      <c r="AE61" s="5" t="str">
        <f t="shared" si="69"/>
        <v>-</v>
      </c>
      <c r="AF61" s="5" t="str">
        <f t="shared" si="70"/>
        <v>-</v>
      </c>
      <c r="AG61" s="5">
        <f t="shared" ca="1" si="90"/>
        <v>240.44687990992404</v>
      </c>
      <c r="AH61" s="5">
        <f t="shared" ca="1" si="91"/>
        <v>104.598753280574</v>
      </c>
      <c r="AI61" t="e">
        <f t="shared" ca="1" si="92"/>
        <v>#VALUE!</v>
      </c>
      <c r="AJ61" s="5">
        <f t="shared" si="71"/>
        <v>0</v>
      </c>
      <c r="AK61" s="5" t="str">
        <f t="shared" si="72"/>
        <v>-</v>
      </c>
      <c r="AL61" s="5" t="str">
        <f t="shared" si="73"/>
        <v>-</v>
      </c>
      <c r="AM61" s="5" t="str">
        <f t="shared" si="93"/>
        <v>-</v>
      </c>
      <c r="AN61" s="5" t="str">
        <f t="shared" si="94"/>
        <v>-</v>
      </c>
      <c r="AO61" t="e">
        <f t="shared" si="95"/>
        <v>#VALUE!</v>
      </c>
      <c r="AP61" s="5">
        <f t="shared" si="74"/>
        <v>0</v>
      </c>
      <c r="AQ61" s="5" t="str">
        <f t="shared" si="75"/>
        <v>-</v>
      </c>
      <c r="AR61" s="5" t="str">
        <f t="shared" si="76"/>
        <v>-</v>
      </c>
      <c r="AS61" s="5">
        <f t="shared" ca="1" si="96"/>
        <v>284.65978554989834</v>
      </c>
      <c r="AT61" s="5">
        <f t="shared" ca="1" si="97"/>
        <v>146.53310128047781</v>
      </c>
      <c r="AU61" t="e">
        <f t="shared" ca="1" si="130"/>
        <v>#VALUE!</v>
      </c>
      <c r="AV61" s="5">
        <f t="shared" si="77"/>
        <v>0</v>
      </c>
      <c r="AW61" s="5" t="str">
        <f t="shared" si="78"/>
        <v>-</v>
      </c>
      <c r="AX61" s="5" t="str">
        <f t="shared" si="79"/>
        <v>-</v>
      </c>
      <c r="AY61" s="5" t="str">
        <f t="shared" si="98"/>
        <v>-</v>
      </c>
      <c r="AZ61" s="5" t="str">
        <f t="shared" si="99"/>
        <v>-</v>
      </c>
      <c r="BA61" t="e">
        <f t="shared" si="100"/>
        <v>#VALUE!</v>
      </c>
      <c r="BB61" s="5">
        <f t="shared" si="80"/>
        <v>0</v>
      </c>
      <c r="BC61" s="1" t="str">
        <f t="shared" si="81"/>
        <v>-</v>
      </c>
      <c r="BD61" s="1" t="str">
        <f t="shared" si="82"/>
        <v>-</v>
      </c>
      <c r="BE61" s="1">
        <f t="shared" ca="1" si="101"/>
        <v>23.421561812052932</v>
      </c>
      <c r="BF61" s="1">
        <f t="shared" ca="1" si="102"/>
        <v>7.3156670127855072</v>
      </c>
      <c r="BG61" s="1" t="e">
        <f t="shared" ca="1" si="103"/>
        <v>#VALUE!</v>
      </c>
      <c r="BH61" s="5">
        <f t="shared" si="83"/>
        <v>1</v>
      </c>
      <c r="BI61" s="1">
        <f t="shared" ca="1" si="84"/>
        <v>31.947414103450058</v>
      </c>
      <c r="BJ61" s="1">
        <f t="shared" ca="1" si="85"/>
        <v>0</v>
      </c>
      <c r="BK61" s="1">
        <f t="shared" ca="1" si="104"/>
        <v>31.016729812197756</v>
      </c>
      <c r="BL61" s="1">
        <f t="shared" ca="1" si="105"/>
        <v>2.781780489929091</v>
      </c>
      <c r="BM61" s="1" t="str">
        <f t="shared" ca="1" si="106"/>
        <v/>
      </c>
      <c r="BO61" s="5">
        <f t="shared" ca="1" si="107"/>
        <v>-92.430421782434976</v>
      </c>
      <c r="BP61" s="5">
        <f t="shared" ca="1" si="108"/>
        <v>91.701009792074899</v>
      </c>
      <c r="BQ61" s="1">
        <f t="shared" ca="1" si="122"/>
        <v>1.0079542416382761</v>
      </c>
      <c r="BS61" s="5" t="e">
        <f t="shared" ca="1" si="109"/>
        <v>#VALUE!</v>
      </c>
      <c r="BT61" s="5" t="e">
        <f t="shared" ca="1" si="110"/>
        <v>#VALUE!</v>
      </c>
      <c r="BU61" s="1" t="e">
        <f t="shared" ca="1" si="123"/>
        <v>#VALUE!</v>
      </c>
      <c r="BW61" s="5" t="e">
        <f t="shared" si="111"/>
        <v>#VALUE!</v>
      </c>
      <c r="BX61" s="5" t="e">
        <f t="shared" si="112"/>
        <v>#VALUE!</v>
      </c>
      <c r="BY61" s="1" t="e">
        <f t="shared" si="124"/>
        <v>#VALUE!</v>
      </c>
      <c r="CA61" s="5" t="e">
        <f t="shared" ca="1" si="113"/>
        <v>#VALUE!</v>
      </c>
      <c r="CB61" s="5" t="e">
        <f t="shared" ca="1" si="114"/>
        <v>#VALUE!</v>
      </c>
      <c r="CC61" s="1" t="e">
        <f t="shared" ca="1" si="125"/>
        <v>#VALUE!</v>
      </c>
      <c r="CE61" s="5" t="e">
        <f t="shared" si="115"/>
        <v>#VALUE!</v>
      </c>
      <c r="CF61" s="5" t="e">
        <f t="shared" si="116"/>
        <v>#VALUE!</v>
      </c>
      <c r="CG61" s="1" t="e">
        <f t="shared" si="126"/>
        <v>#VALUE!</v>
      </c>
      <c r="CI61" s="5" t="e">
        <f t="shared" ca="1" si="117"/>
        <v>#VALUE!</v>
      </c>
      <c r="CJ61" s="5" t="e">
        <f t="shared" ca="1" si="118"/>
        <v>#VALUE!</v>
      </c>
      <c r="CK61" s="1" t="e">
        <f t="shared" ca="1" si="127"/>
        <v>#VALUE!</v>
      </c>
      <c r="CM61" s="5">
        <f t="shared" ca="1" si="119"/>
        <v>0.93068429125230168</v>
      </c>
      <c r="CN61" s="5">
        <f t="shared" ca="1" si="120"/>
        <v>2.781780489929091</v>
      </c>
      <c r="CO61" s="1">
        <f t="shared" ca="1" si="128"/>
        <v>0.33456424567706466</v>
      </c>
    </row>
    <row r="62" spans="22:93" x14ac:dyDescent="0.2">
      <c r="V62">
        <f t="shared" ref="V62:W62" si="133">V8</f>
        <v>1996</v>
      </c>
      <c r="W62" s="5">
        <f t="shared" si="133"/>
        <v>34</v>
      </c>
      <c r="X62" s="7">
        <f t="shared" si="86"/>
        <v>1.6580645161290322</v>
      </c>
      <c r="Y62" s="5">
        <f t="shared" ca="1" si="66"/>
        <v>253.21082634647203</v>
      </c>
      <c r="Z62" s="5">
        <f t="shared" ca="1" si="67"/>
        <v>68.094976045500189</v>
      </c>
      <c r="AA62" s="5">
        <f t="shared" ca="1" si="87"/>
        <v>191.50475131878889</v>
      </c>
      <c r="AB62" s="5">
        <f t="shared" ca="1" si="88"/>
        <v>65.799723740723749</v>
      </c>
      <c r="AC62" t="str">
        <f t="shared" ca="1" si="89"/>
        <v/>
      </c>
      <c r="AD62" s="5">
        <f t="shared" si="68"/>
        <v>5</v>
      </c>
      <c r="AE62" s="5">
        <f t="shared" ca="1" si="69"/>
        <v>709.53709859343394</v>
      </c>
      <c r="AF62" s="5">
        <f t="shared" ca="1" si="70"/>
        <v>180.42500732257628</v>
      </c>
      <c r="AG62" s="5">
        <f t="shared" ca="1" si="90"/>
        <v>240.44687990992404</v>
      </c>
      <c r="AH62" s="5">
        <f t="shared" ca="1" si="91"/>
        <v>104.598753280574</v>
      </c>
      <c r="AI62" t="str">
        <f t="shared" ca="1" si="92"/>
        <v>**</v>
      </c>
      <c r="AJ62" s="5">
        <f t="shared" si="71"/>
        <v>4</v>
      </c>
      <c r="AK62" s="5">
        <f t="shared" ca="1" si="72"/>
        <v>481.47160261697303</v>
      </c>
      <c r="AL62" s="5">
        <f t="shared" ca="1" si="73"/>
        <v>141.86802904327971</v>
      </c>
      <c r="AM62" s="5" t="str">
        <f t="shared" si="93"/>
        <v>-</v>
      </c>
      <c r="AN62" s="5" t="str">
        <f t="shared" si="94"/>
        <v>-</v>
      </c>
      <c r="AO62" t="e">
        <f t="shared" ca="1" si="95"/>
        <v>#VALUE!</v>
      </c>
      <c r="AP62" s="5">
        <f t="shared" si="74"/>
        <v>4</v>
      </c>
      <c r="AQ62" s="5">
        <f t="shared" ca="1" si="75"/>
        <v>145.28616780722695</v>
      </c>
      <c r="AR62" s="5">
        <f t="shared" ca="1" si="76"/>
        <v>36.061969960087978</v>
      </c>
      <c r="AS62" s="5">
        <f t="shared" ca="1" si="96"/>
        <v>284.65978554989834</v>
      </c>
      <c r="AT62" s="5">
        <f t="shared" ca="1" si="97"/>
        <v>146.53310128047781</v>
      </c>
      <c r="AU62" t="str">
        <f t="shared" ca="1" si="130"/>
        <v/>
      </c>
      <c r="AV62" s="5">
        <f t="shared" si="77"/>
        <v>0</v>
      </c>
      <c r="AW62" s="5" t="str">
        <f t="shared" si="78"/>
        <v>-</v>
      </c>
      <c r="AX62" s="5" t="str">
        <f t="shared" si="79"/>
        <v>-</v>
      </c>
      <c r="AY62" s="5" t="str">
        <f t="shared" si="98"/>
        <v>-</v>
      </c>
      <c r="AZ62" s="5" t="str">
        <f t="shared" si="99"/>
        <v>-</v>
      </c>
      <c r="BA62" t="e">
        <f t="shared" si="100"/>
        <v>#VALUE!</v>
      </c>
      <c r="BB62" s="5">
        <f t="shared" si="80"/>
        <v>7</v>
      </c>
      <c r="BC62" s="1">
        <f t="shared" ca="1" si="81"/>
        <v>44.7281889816269</v>
      </c>
      <c r="BD62" s="1">
        <f t="shared" ca="1" si="82"/>
        <v>11.552311885349232</v>
      </c>
      <c r="BE62" s="1">
        <f t="shared" ca="1" si="101"/>
        <v>23.421561812052932</v>
      </c>
      <c r="BF62" s="1">
        <f t="shared" ca="1" si="102"/>
        <v>7.3156670127855072</v>
      </c>
      <c r="BG62" s="1" t="str">
        <f t="shared" ca="1" si="103"/>
        <v/>
      </c>
      <c r="BH62" s="5">
        <f t="shared" si="83"/>
        <v>11</v>
      </c>
      <c r="BI62" s="1">
        <f t="shared" ca="1" si="84"/>
        <v>38.154721382374269</v>
      </c>
      <c r="BJ62" s="1">
        <f t="shared" ca="1" si="85"/>
        <v>8.8768667593395172</v>
      </c>
      <c r="BK62" s="1">
        <f t="shared" ca="1" si="104"/>
        <v>31.04581369629939</v>
      </c>
      <c r="BL62" s="1">
        <f t="shared" ca="1" si="105"/>
        <v>2.6950018832637417</v>
      </c>
      <c r="BM62" s="1" t="str">
        <f t="shared" ca="1" si="106"/>
        <v/>
      </c>
      <c r="BO62" s="5">
        <f t="shared" ca="1" si="107"/>
        <v>61.706075027683141</v>
      </c>
      <c r="BP62" s="5">
        <f t="shared" ca="1" si="108"/>
        <v>94.691759974101288</v>
      </c>
      <c r="BQ62" s="1">
        <f t="shared" ca="1" si="122"/>
        <v>0.65165200271449264</v>
      </c>
      <c r="BS62" s="5">
        <f t="shared" ca="1" si="109"/>
        <v>469.09021868350987</v>
      </c>
      <c r="BT62" s="5">
        <f t="shared" ca="1" si="110"/>
        <v>208.55234943582414</v>
      </c>
      <c r="BU62" s="1">
        <f t="shared" ca="1" si="123"/>
        <v>2.249268444841273</v>
      </c>
      <c r="BW62" s="5" t="e">
        <f t="shared" ca="1" si="111"/>
        <v>#VALUE!</v>
      </c>
      <c r="BX62" s="5" t="e">
        <f t="shared" ca="1" si="112"/>
        <v>#VALUE!</v>
      </c>
      <c r="BY62" s="1" t="e">
        <f t="shared" ca="1" si="124"/>
        <v>#VALUE!</v>
      </c>
      <c r="CA62" s="5">
        <f t="shared" ca="1" si="113"/>
        <v>-139.3736177426714</v>
      </c>
      <c r="CB62" s="5">
        <f t="shared" ca="1" si="114"/>
        <v>150.90531948303564</v>
      </c>
      <c r="CC62" s="1">
        <f t="shared" ca="1" si="125"/>
        <v>0.92358319918827914</v>
      </c>
      <c r="CE62" s="5" t="e">
        <f t="shared" si="115"/>
        <v>#VALUE!</v>
      </c>
      <c r="CF62" s="5" t="e">
        <f t="shared" si="116"/>
        <v>#VALUE!</v>
      </c>
      <c r="CG62" s="1" t="e">
        <f t="shared" si="126"/>
        <v>#VALUE!</v>
      </c>
      <c r="CI62" s="5">
        <f t="shared" ca="1" si="117"/>
        <v>21.306627169573968</v>
      </c>
      <c r="CJ62" s="5">
        <f t="shared" ca="1" si="118"/>
        <v>13.673876324522579</v>
      </c>
      <c r="CK62" s="1">
        <f t="shared" ca="1" si="127"/>
        <v>1.5581994939769126</v>
      </c>
      <c r="CM62" s="5">
        <f t="shared" ca="1" si="119"/>
        <v>7.108907686074879</v>
      </c>
      <c r="CN62" s="5">
        <f t="shared" ca="1" si="120"/>
        <v>9.2769498550904093</v>
      </c>
      <c r="CO62" s="1">
        <f t="shared" ca="1" si="128"/>
        <v>0.76629795321940963</v>
      </c>
    </row>
    <row r="63" spans="22:93" x14ac:dyDescent="0.2">
      <c r="V63">
        <f t="shared" ref="V63:W63" si="134">V9</f>
        <v>1997</v>
      </c>
      <c r="W63" s="5">
        <f t="shared" si="134"/>
        <v>3</v>
      </c>
      <c r="X63" s="7">
        <f t="shared" si="86"/>
        <v>3</v>
      </c>
      <c r="Y63" s="5">
        <f t="shared" ca="1" si="66"/>
        <v>64.128515399905623</v>
      </c>
      <c r="Z63" s="5">
        <f t="shared" ca="1" si="67"/>
        <v>38.28164815581421</v>
      </c>
      <c r="AA63" s="5">
        <f t="shared" ca="1" si="87"/>
        <v>204.86785036936988</v>
      </c>
      <c r="AB63" s="5">
        <f t="shared" ca="1" si="88"/>
        <v>53.656242853466992</v>
      </c>
      <c r="AC63" t="str">
        <f t="shared" ca="1" si="89"/>
        <v>**</v>
      </c>
      <c r="AD63" s="5">
        <f t="shared" si="68"/>
        <v>0</v>
      </c>
      <c r="AE63" s="5" t="str">
        <f t="shared" si="69"/>
        <v>-</v>
      </c>
      <c r="AF63" s="5" t="str">
        <f t="shared" si="70"/>
        <v>-</v>
      </c>
      <c r="AG63" s="5">
        <f t="shared" ca="1" si="90"/>
        <v>272.57634694304113</v>
      </c>
      <c r="AH63" s="5">
        <f t="shared" ca="1" si="91"/>
        <v>99.189261364808345</v>
      </c>
      <c r="AI63" t="e">
        <f t="shared" ca="1" si="92"/>
        <v>#VALUE!</v>
      </c>
      <c r="AJ63" s="5">
        <f t="shared" si="71"/>
        <v>0</v>
      </c>
      <c r="AK63" s="5" t="str">
        <f t="shared" si="72"/>
        <v>-</v>
      </c>
      <c r="AL63" s="5" t="str">
        <f t="shared" si="73"/>
        <v>-</v>
      </c>
      <c r="AM63" s="5">
        <f t="shared" ca="1" si="93"/>
        <v>481.47160261697303</v>
      </c>
      <c r="AN63" s="5">
        <f t="shared" ca="1" si="94"/>
        <v>141.86802904327971</v>
      </c>
      <c r="AO63" t="e">
        <f t="shared" ca="1" si="95"/>
        <v>#VALUE!</v>
      </c>
      <c r="AP63" s="5">
        <f t="shared" si="74"/>
        <v>0</v>
      </c>
      <c r="AQ63" s="5" t="str">
        <f t="shared" si="75"/>
        <v>-</v>
      </c>
      <c r="AR63" s="5" t="str">
        <f t="shared" si="76"/>
        <v>-</v>
      </c>
      <c r="AS63" s="5">
        <f t="shared" ca="1" si="96"/>
        <v>228.91033845282976</v>
      </c>
      <c r="AT63" s="5">
        <f t="shared" ca="1" si="97"/>
        <v>91.67429603571334</v>
      </c>
      <c r="AU63" t="e">
        <f t="shared" ca="1" si="130"/>
        <v>#VALUE!</v>
      </c>
      <c r="AV63" s="5">
        <f t="shared" si="77"/>
        <v>0</v>
      </c>
      <c r="AW63" s="5" t="str">
        <f t="shared" si="78"/>
        <v>-</v>
      </c>
      <c r="AX63" s="5" t="str">
        <f t="shared" si="79"/>
        <v>-</v>
      </c>
      <c r="AY63" s="5" t="str">
        <f t="shared" si="98"/>
        <v>-</v>
      </c>
      <c r="AZ63" s="5" t="str">
        <f t="shared" si="99"/>
        <v>-</v>
      </c>
      <c r="BA63" t="e">
        <f t="shared" si="100"/>
        <v>#VALUE!</v>
      </c>
      <c r="BB63" s="5">
        <f t="shared" si="80"/>
        <v>0</v>
      </c>
      <c r="BC63" s="1" t="str">
        <f t="shared" si="81"/>
        <v>-</v>
      </c>
      <c r="BD63" s="1" t="str">
        <f t="shared" si="82"/>
        <v>-</v>
      </c>
      <c r="BE63" s="1">
        <f t="shared" ca="1" si="101"/>
        <v>35.850427660971086</v>
      </c>
      <c r="BF63" s="1">
        <f t="shared" ca="1" si="102"/>
        <v>7.9936607847898635</v>
      </c>
      <c r="BG63" s="1" t="e">
        <f t="shared" ca="1" si="103"/>
        <v>#VALUE!</v>
      </c>
      <c r="BH63" s="5">
        <f t="shared" si="83"/>
        <v>2</v>
      </c>
      <c r="BI63" s="1">
        <f t="shared" ca="1" si="84"/>
        <v>17.340389511854415</v>
      </c>
      <c r="BJ63" s="1">
        <f t="shared" ca="1" si="85"/>
        <v>3.6942159192855577</v>
      </c>
      <c r="BK63" s="1">
        <f t="shared" ca="1" si="104"/>
        <v>32.864371476458075</v>
      </c>
      <c r="BL63" s="1">
        <f t="shared" ca="1" si="105"/>
        <v>3.0663911201436362</v>
      </c>
      <c r="BM63" s="1" t="str">
        <f t="shared" ca="1" si="106"/>
        <v>***</v>
      </c>
      <c r="BO63" s="5">
        <f t="shared" ca="1" si="107"/>
        <v>-140.73933496946427</v>
      </c>
      <c r="BP63" s="5">
        <f t="shared" ca="1" si="108"/>
        <v>65.912646606518393</v>
      </c>
      <c r="BQ63" s="1">
        <f t="shared" ca="1" si="122"/>
        <v>2.1352402340880352</v>
      </c>
      <c r="BS63" s="5" t="e">
        <f t="shared" ca="1" si="109"/>
        <v>#VALUE!</v>
      </c>
      <c r="BT63" s="5" t="e">
        <f t="shared" ca="1" si="110"/>
        <v>#VALUE!</v>
      </c>
      <c r="BU63" s="1" t="e">
        <f t="shared" ca="1" si="123"/>
        <v>#VALUE!</v>
      </c>
      <c r="BW63" s="5" t="e">
        <f t="shared" ca="1" si="111"/>
        <v>#VALUE!</v>
      </c>
      <c r="BX63" s="5" t="e">
        <f t="shared" ca="1" si="112"/>
        <v>#VALUE!</v>
      </c>
      <c r="BY63" s="1" t="e">
        <f t="shared" ca="1" si="124"/>
        <v>#VALUE!</v>
      </c>
      <c r="CA63" s="5" t="e">
        <f t="shared" ca="1" si="113"/>
        <v>#VALUE!</v>
      </c>
      <c r="CB63" s="5" t="e">
        <f t="shared" ca="1" si="114"/>
        <v>#VALUE!</v>
      </c>
      <c r="CC63" s="1" t="e">
        <f t="shared" ca="1" si="125"/>
        <v>#VALUE!</v>
      </c>
      <c r="CE63" s="5" t="e">
        <f t="shared" si="115"/>
        <v>#VALUE!</v>
      </c>
      <c r="CF63" s="5" t="e">
        <f t="shared" si="116"/>
        <v>#VALUE!</v>
      </c>
      <c r="CG63" s="1" t="e">
        <f t="shared" si="126"/>
        <v>#VALUE!</v>
      </c>
      <c r="CI63" s="5" t="e">
        <f t="shared" ca="1" si="117"/>
        <v>#VALUE!</v>
      </c>
      <c r="CJ63" s="5" t="e">
        <f t="shared" ca="1" si="118"/>
        <v>#VALUE!</v>
      </c>
      <c r="CK63" s="1" t="e">
        <f t="shared" ca="1" si="127"/>
        <v>#VALUE!</v>
      </c>
      <c r="CM63" s="5">
        <f t="shared" ca="1" si="119"/>
        <v>-15.52398196460366</v>
      </c>
      <c r="CN63" s="5">
        <f t="shared" ca="1" si="120"/>
        <v>4.8010400706512106</v>
      </c>
      <c r="CO63" s="1">
        <f t="shared" ca="1" si="128"/>
        <v>3.2334622782054794</v>
      </c>
    </row>
    <row r="64" spans="22:93" x14ac:dyDescent="0.2">
      <c r="V64">
        <f t="shared" ref="V64:W64" si="135">V10</f>
        <v>1999</v>
      </c>
      <c r="W64" s="5">
        <f t="shared" si="135"/>
        <v>35</v>
      </c>
      <c r="X64" s="7">
        <f t="shared" si="86"/>
        <v>1.9333333333333333</v>
      </c>
      <c r="Y64" s="5">
        <f t="shared" ca="1" si="66"/>
        <v>176.54846305695199</v>
      </c>
      <c r="Z64" s="5">
        <f t="shared" ca="1" si="67"/>
        <v>29.298612928737146</v>
      </c>
      <c r="AA64" s="5">
        <f t="shared" ca="1" si="87"/>
        <v>202.2289878386924</v>
      </c>
      <c r="AB64" s="5">
        <f t="shared" ca="1" si="88"/>
        <v>52.676704656422736</v>
      </c>
      <c r="AC64" t="str">
        <f t="shared" ca="1" si="89"/>
        <v/>
      </c>
      <c r="AD64" s="5">
        <f t="shared" si="68"/>
        <v>0</v>
      </c>
      <c r="AE64" s="5" t="str">
        <f t="shared" si="69"/>
        <v>-</v>
      </c>
      <c r="AF64" s="5" t="str">
        <f t="shared" si="70"/>
        <v>-</v>
      </c>
      <c r="AG64" s="5">
        <f t="shared" ca="1" si="90"/>
        <v>272.57634694304113</v>
      </c>
      <c r="AH64" s="5">
        <f t="shared" ca="1" si="91"/>
        <v>99.189261364808345</v>
      </c>
      <c r="AI64" t="e">
        <f t="shared" ca="1" si="92"/>
        <v>#VALUE!</v>
      </c>
      <c r="AJ64" s="5">
        <f t="shared" si="71"/>
        <v>0</v>
      </c>
      <c r="AK64" s="5" t="str">
        <f t="shared" si="72"/>
        <v>-</v>
      </c>
      <c r="AL64" s="5" t="str">
        <f t="shared" si="73"/>
        <v>-</v>
      </c>
      <c r="AM64" s="5">
        <f t="shared" ca="1" si="93"/>
        <v>481.47160261697303</v>
      </c>
      <c r="AN64" s="5">
        <f t="shared" ca="1" si="94"/>
        <v>141.86802904327971</v>
      </c>
      <c r="AO64" t="e">
        <f t="shared" ca="1" si="95"/>
        <v>#VALUE!</v>
      </c>
      <c r="AP64" s="5">
        <f t="shared" si="74"/>
        <v>8</v>
      </c>
      <c r="AQ64" s="5">
        <f t="shared" ca="1" si="75"/>
        <v>101.25273006924095</v>
      </c>
      <c r="AR64" s="5">
        <f t="shared" ca="1" si="76"/>
        <v>9.4621315958497636</v>
      </c>
      <c r="AS64" s="5">
        <f t="shared" ca="1" si="96"/>
        <v>228.91033845282976</v>
      </c>
      <c r="AT64" s="5">
        <f t="shared" ca="1" si="97"/>
        <v>91.67429603571334</v>
      </c>
      <c r="AU64" t="str">
        <f t="shared" ca="1" si="130"/>
        <v/>
      </c>
      <c r="AV64" s="5">
        <f t="shared" si="77"/>
        <v>0</v>
      </c>
      <c r="AW64" s="5" t="str">
        <f t="shared" si="78"/>
        <v>-</v>
      </c>
      <c r="AX64" s="5" t="str">
        <f t="shared" si="79"/>
        <v>-</v>
      </c>
      <c r="AY64" s="5" t="str">
        <f t="shared" si="98"/>
        <v>-</v>
      </c>
      <c r="AZ64" s="5" t="str">
        <f t="shared" si="99"/>
        <v>-</v>
      </c>
      <c r="BA64" t="e">
        <f t="shared" si="100"/>
        <v>#VALUE!</v>
      </c>
      <c r="BB64" s="5">
        <f t="shared" si="80"/>
        <v>0</v>
      </c>
      <c r="BC64" s="1" t="str">
        <f t="shared" si="81"/>
        <v>-</v>
      </c>
      <c r="BD64" s="1" t="str">
        <f t="shared" si="82"/>
        <v>-</v>
      </c>
      <c r="BE64" s="1">
        <f t="shared" ca="1" si="101"/>
        <v>35.850427660971086</v>
      </c>
      <c r="BF64" s="1">
        <f t="shared" ca="1" si="102"/>
        <v>7.9936607847898635</v>
      </c>
      <c r="BG64" s="1" t="e">
        <f t="shared" ca="1" si="103"/>
        <v>#VALUE!</v>
      </c>
      <c r="BH64" s="5">
        <f t="shared" si="83"/>
        <v>7</v>
      </c>
      <c r="BI64" s="1">
        <f t="shared" ca="1" si="84"/>
        <v>45.791760067483345</v>
      </c>
      <c r="BJ64" s="1">
        <f t="shared" ca="1" si="85"/>
        <v>7.1115227708158484</v>
      </c>
      <c r="BK64" s="1">
        <f t="shared" ca="1" si="104"/>
        <v>32.174416722475698</v>
      </c>
      <c r="BL64" s="1">
        <f t="shared" ca="1" si="105"/>
        <v>2.973201154712648</v>
      </c>
      <c r="BM64" s="1" t="str">
        <f t="shared" ca="1" si="106"/>
        <v>*</v>
      </c>
      <c r="BO64" s="5">
        <f t="shared" ca="1" si="107"/>
        <v>-25.680524781740417</v>
      </c>
      <c r="BP64" s="5">
        <f t="shared" ca="1" si="108"/>
        <v>60.276396151461739</v>
      </c>
      <c r="BQ64" s="1">
        <f t="shared" ca="1" si="122"/>
        <v>0.42604612122481128</v>
      </c>
      <c r="BS64" s="5" t="e">
        <f t="shared" ca="1" si="109"/>
        <v>#VALUE!</v>
      </c>
      <c r="BT64" s="5" t="e">
        <f t="shared" ca="1" si="110"/>
        <v>#VALUE!</v>
      </c>
      <c r="BU64" s="1" t="e">
        <f t="shared" ca="1" si="123"/>
        <v>#VALUE!</v>
      </c>
      <c r="BW64" s="5" t="e">
        <f t="shared" ca="1" si="111"/>
        <v>#VALUE!</v>
      </c>
      <c r="BX64" s="5" t="e">
        <f t="shared" ca="1" si="112"/>
        <v>#VALUE!</v>
      </c>
      <c r="BY64" s="1" t="e">
        <f t="shared" ca="1" si="124"/>
        <v>#VALUE!</v>
      </c>
      <c r="CA64" s="5">
        <f t="shared" ca="1" si="113"/>
        <v>-127.65760838358881</v>
      </c>
      <c r="CB64" s="5">
        <f t="shared" ca="1" si="114"/>
        <v>92.16131774221104</v>
      </c>
      <c r="CC64" s="1">
        <f t="shared" ca="1" si="125"/>
        <v>1.3851538965693415</v>
      </c>
      <c r="CE64" s="5" t="e">
        <f t="shared" si="115"/>
        <v>#VALUE!</v>
      </c>
      <c r="CF64" s="5" t="e">
        <f t="shared" si="116"/>
        <v>#VALUE!</v>
      </c>
      <c r="CG64" s="1" t="e">
        <f t="shared" si="126"/>
        <v>#VALUE!</v>
      </c>
      <c r="CI64" s="5" t="e">
        <f t="shared" ca="1" si="117"/>
        <v>#VALUE!</v>
      </c>
      <c r="CJ64" s="5" t="e">
        <f t="shared" ca="1" si="118"/>
        <v>#VALUE!</v>
      </c>
      <c r="CK64" s="1" t="e">
        <f t="shared" ca="1" si="127"/>
        <v>#VALUE!</v>
      </c>
      <c r="CM64" s="5">
        <f t="shared" ca="1" si="119"/>
        <v>13.617343345007647</v>
      </c>
      <c r="CN64" s="5">
        <f t="shared" ca="1" si="120"/>
        <v>7.7080270644450222</v>
      </c>
      <c r="CO64" s="1">
        <f t="shared" ca="1" si="128"/>
        <v>1.7666444644208181</v>
      </c>
    </row>
    <row r="65" spans="22:93" x14ac:dyDescent="0.2">
      <c r="V65">
        <f t="shared" ref="V65:W65" si="136">V11</f>
        <v>2000</v>
      </c>
      <c r="W65" s="5">
        <f t="shared" si="136"/>
        <v>1</v>
      </c>
      <c r="X65" s="35" t="s">
        <v>228</v>
      </c>
      <c r="Y65" s="5">
        <f t="shared" ca="1" si="66"/>
        <v>12.328877586942637</v>
      </c>
      <c r="Z65" s="5">
        <f t="shared" ca="1" si="67"/>
        <v>0</v>
      </c>
      <c r="AA65" s="5">
        <f t="shared" ca="1" si="87"/>
        <v>197.61966287786723</v>
      </c>
      <c r="AB65" s="5">
        <f t="shared" ca="1" si="88"/>
        <v>43.546364939826375</v>
      </c>
      <c r="AC65" t="str">
        <f t="shared" ca="1" si="89"/>
        <v>***</v>
      </c>
      <c r="AD65" s="5">
        <f t="shared" si="68"/>
        <v>0</v>
      </c>
      <c r="AE65" s="5" t="str">
        <f t="shared" si="69"/>
        <v>-</v>
      </c>
      <c r="AF65" s="5" t="str">
        <f t="shared" si="70"/>
        <v>-</v>
      </c>
      <c r="AG65" s="5">
        <f t="shared" ca="1" si="90"/>
        <v>272.57634694304113</v>
      </c>
      <c r="AH65" s="5">
        <f t="shared" ca="1" si="91"/>
        <v>99.189261364808345</v>
      </c>
      <c r="AI65" t="e">
        <f t="shared" ca="1" si="92"/>
        <v>#VALUE!</v>
      </c>
      <c r="AJ65" s="5">
        <f t="shared" si="71"/>
        <v>0</v>
      </c>
      <c r="AK65" s="5" t="str">
        <f t="shared" si="72"/>
        <v>-</v>
      </c>
      <c r="AL65" s="5" t="str">
        <f t="shared" si="73"/>
        <v>-</v>
      </c>
      <c r="AM65" s="5">
        <f t="shared" ca="1" si="93"/>
        <v>481.47160261697303</v>
      </c>
      <c r="AN65" s="5">
        <f t="shared" ca="1" si="94"/>
        <v>141.86802904327971</v>
      </c>
      <c r="AO65" t="e">
        <f t="shared" ca="1" si="95"/>
        <v>#VALUE!</v>
      </c>
      <c r="AP65" s="5">
        <f t="shared" si="74"/>
        <v>0</v>
      </c>
      <c r="AQ65" s="5" t="str">
        <f t="shared" si="75"/>
        <v>-</v>
      </c>
      <c r="AR65" s="5" t="str">
        <f t="shared" si="76"/>
        <v>-</v>
      </c>
      <c r="AS65" s="5">
        <f t="shared" ca="1" si="96"/>
        <v>172.17362361567925</v>
      </c>
      <c r="AT65" s="5">
        <f t="shared" ca="1" si="97"/>
        <v>53.245773970093332</v>
      </c>
      <c r="AU65" t="e">
        <f t="shared" ca="1" si="130"/>
        <v>#VALUE!</v>
      </c>
      <c r="AV65" s="5">
        <f t="shared" si="77"/>
        <v>0</v>
      </c>
      <c r="AW65" s="5" t="str">
        <f t="shared" si="78"/>
        <v>-</v>
      </c>
      <c r="AX65" s="5" t="str">
        <f t="shared" si="79"/>
        <v>-</v>
      </c>
      <c r="AY65" s="5" t="str">
        <f t="shared" si="98"/>
        <v>-</v>
      </c>
      <c r="AZ65" s="5" t="str">
        <f t="shared" si="99"/>
        <v>-</v>
      </c>
      <c r="BA65" t="e">
        <f t="shared" si="100"/>
        <v>#VALUE!</v>
      </c>
      <c r="BB65" s="5">
        <f t="shared" si="80"/>
        <v>0</v>
      </c>
      <c r="BC65" s="1" t="str">
        <f t="shared" si="81"/>
        <v>-</v>
      </c>
      <c r="BD65" s="1" t="str">
        <f t="shared" si="82"/>
        <v>-</v>
      </c>
      <c r="BE65" s="1">
        <f t="shared" ca="1" si="101"/>
        <v>35.850427660971086</v>
      </c>
      <c r="BF65" s="1">
        <f t="shared" ca="1" si="102"/>
        <v>7.9936607847898635</v>
      </c>
      <c r="BG65" s="1" t="e">
        <f t="shared" ca="1" si="103"/>
        <v>#VALUE!</v>
      </c>
      <c r="BH65" s="5">
        <f t="shared" si="83"/>
        <v>0</v>
      </c>
      <c r="BI65" s="1" t="str">
        <f t="shared" si="84"/>
        <v>-</v>
      </c>
      <c r="BJ65" s="1" t="str">
        <f t="shared" si="85"/>
        <v>-</v>
      </c>
      <c r="BK65" s="1">
        <f t="shared" ca="1" si="104"/>
        <v>34.007520634303646</v>
      </c>
      <c r="BL65" s="1">
        <f t="shared" ca="1" si="105"/>
        <v>2.819932003726318</v>
      </c>
      <c r="BM65" s="1" t="e">
        <f t="shared" ca="1" si="106"/>
        <v>#VALUE!</v>
      </c>
      <c r="BO65" s="5">
        <f t="shared" ca="1" si="107"/>
        <v>-185.29078529092459</v>
      </c>
      <c r="BP65" s="5">
        <f t="shared" ca="1" si="108"/>
        <v>43.546364939826375</v>
      </c>
      <c r="BQ65" s="1">
        <f t="shared" ca="1" si="122"/>
        <v>4.2550230207955302</v>
      </c>
      <c r="BS65" s="5" t="e">
        <f t="shared" ca="1" si="109"/>
        <v>#VALUE!</v>
      </c>
      <c r="BT65" s="5" t="e">
        <f t="shared" ca="1" si="110"/>
        <v>#VALUE!</v>
      </c>
      <c r="BU65" s="1" t="e">
        <f t="shared" ca="1" si="123"/>
        <v>#VALUE!</v>
      </c>
      <c r="BW65" s="5" t="e">
        <f t="shared" ca="1" si="111"/>
        <v>#VALUE!</v>
      </c>
      <c r="BX65" s="5" t="e">
        <f t="shared" ca="1" si="112"/>
        <v>#VALUE!</v>
      </c>
      <c r="BY65" s="1" t="e">
        <f t="shared" ca="1" si="124"/>
        <v>#VALUE!</v>
      </c>
      <c r="CA65" s="5" t="e">
        <f t="shared" ca="1" si="113"/>
        <v>#VALUE!</v>
      </c>
      <c r="CB65" s="5" t="e">
        <f t="shared" ca="1" si="114"/>
        <v>#VALUE!</v>
      </c>
      <c r="CC65" s="1" t="e">
        <f t="shared" ca="1" si="125"/>
        <v>#VALUE!</v>
      </c>
      <c r="CE65" s="5" t="e">
        <f t="shared" si="115"/>
        <v>#VALUE!</v>
      </c>
      <c r="CF65" s="5" t="e">
        <f t="shared" si="116"/>
        <v>#VALUE!</v>
      </c>
      <c r="CG65" s="1" t="e">
        <f t="shared" si="126"/>
        <v>#VALUE!</v>
      </c>
      <c r="CI65" s="5" t="e">
        <f t="shared" ca="1" si="117"/>
        <v>#VALUE!</v>
      </c>
      <c r="CJ65" s="5" t="e">
        <f t="shared" ca="1" si="118"/>
        <v>#VALUE!</v>
      </c>
      <c r="CK65" s="1" t="e">
        <f t="shared" ca="1" si="127"/>
        <v>#VALUE!</v>
      </c>
      <c r="CM65" s="5" t="e">
        <f t="shared" ca="1" si="119"/>
        <v>#VALUE!</v>
      </c>
      <c r="CN65" s="5" t="e">
        <f t="shared" ca="1" si="120"/>
        <v>#VALUE!</v>
      </c>
      <c r="CO65" s="1" t="e">
        <f t="shared" ca="1" si="128"/>
        <v>#VALUE!</v>
      </c>
    </row>
    <row r="66" spans="22:93" x14ac:dyDescent="0.2">
      <c r="V66">
        <f t="shared" ref="V66:W66" si="137">V12</f>
        <v>2001</v>
      </c>
      <c r="W66" s="5">
        <f t="shared" si="137"/>
        <v>4</v>
      </c>
      <c r="X66" s="7">
        <f t="shared" si="86"/>
        <v>1</v>
      </c>
      <c r="Y66" s="5">
        <f t="shared" ca="1" si="66"/>
        <v>36.066004993376836</v>
      </c>
      <c r="Z66" s="5">
        <f t="shared" ca="1" si="67"/>
        <v>15.500933392247566</v>
      </c>
      <c r="AA66" s="5">
        <f t="shared" ca="1" si="87"/>
        <v>196.67430172842373</v>
      </c>
      <c r="AB66" s="5">
        <f t="shared" ca="1" si="88"/>
        <v>43.334449958468632</v>
      </c>
      <c r="AC66" t="str">
        <f t="shared" ca="1" si="89"/>
        <v>***</v>
      </c>
      <c r="AD66" s="5">
        <f t="shared" si="68"/>
        <v>0</v>
      </c>
      <c r="AE66" s="5" t="str">
        <f t="shared" si="69"/>
        <v>-</v>
      </c>
      <c r="AF66" s="5" t="str">
        <f t="shared" si="70"/>
        <v>-</v>
      </c>
      <c r="AG66" s="5">
        <f t="shared" ca="1" si="90"/>
        <v>272.57634694304113</v>
      </c>
      <c r="AH66" s="5">
        <f t="shared" ca="1" si="91"/>
        <v>99.189261364808345</v>
      </c>
      <c r="AI66" t="e">
        <f t="shared" ca="1" si="92"/>
        <v>#VALUE!</v>
      </c>
      <c r="AJ66" s="5">
        <f t="shared" si="71"/>
        <v>0</v>
      </c>
      <c r="AK66" s="5" t="str">
        <f t="shared" si="72"/>
        <v>-</v>
      </c>
      <c r="AL66" s="5" t="str">
        <f t="shared" si="73"/>
        <v>-</v>
      </c>
      <c r="AM66" s="5">
        <f t="shared" ca="1" si="93"/>
        <v>481.47160261697303</v>
      </c>
      <c r="AN66" s="5">
        <f t="shared" ca="1" si="94"/>
        <v>141.86802904327971</v>
      </c>
      <c r="AO66" t="e">
        <f t="shared" ca="1" si="95"/>
        <v>#VALUE!</v>
      </c>
      <c r="AP66" s="5">
        <f t="shared" si="74"/>
        <v>4</v>
      </c>
      <c r="AQ66" s="5">
        <f t="shared" ca="1" si="75"/>
        <v>36.066004993376836</v>
      </c>
      <c r="AR66" s="5">
        <f t="shared" ca="1" si="76"/>
        <v>15.500933392247566</v>
      </c>
      <c r="AS66" s="5">
        <f t="shared" ca="1" si="96"/>
        <v>172.17362361567925</v>
      </c>
      <c r="AT66" s="5">
        <f t="shared" ca="1" si="97"/>
        <v>53.245773970093332</v>
      </c>
      <c r="AU66" t="str">
        <f t="shared" ca="1" si="130"/>
        <v>**</v>
      </c>
      <c r="AV66" s="5">
        <f t="shared" si="77"/>
        <v>0</v>
      </c>
      <c r="AW66" s="5" t="str">
        <f t="shared" si="78"/>
        <v>-</v>
      </c>
      <c r="AX66" s="5" t="str">
        <f t="shared" si="79"/>
        <v>-</v>
      </c>
      <c r="AY66" s="5" t="str">
        <f t="shared" si="98"/>
        <v>-</v>
      </c>
      <c r="AZ66" s="5" t="str">
        <f t="shared" si="99"/>
        <v>-</v>
      </c>
      <c r="BA66" t="e">
        <f t="shared" si="100"/>
        <v>#VALUE!</v>
      </c>
      <c r="BB66" s="5">
        <f t="shared" si="80"/>
        <v>0</v>
      </c>
      <c r="BC66" s="1" t="str">
        <f t="shared" si="81"/>
        <v>-</v>
      </c>
      <c r="BD66" s="1" t="str">
        <f t="shared" si="82"/>
        <v>-</v>
      </c>
      <c r="BE66" s="1">
        <f t="shared" ca="1" si="101"/>
        <v>35.850427660971086</v>
      </c>
      <c r="BF66" s="1">
        <f t="shared" ca="1" si="102"/>
        <v>7.9936607847898635</v>
      </c>
      <c r="BG66" s="1" t="e">
        <f t="shared" ca="1" si="103"/>
        <v>#VALUE!</v>
      </c>
      <c r="BH66" s="5">
        <f t="shared" si="83"/>
        <v>0</v>
      </c>
      <c r="BI66" s="1" t="str">
        <f t="shared" si="84"/>
        <v>-</v>
      </c>
      <c r="BJ66" s="1" t="str">
        <f t="shared" si="85"/>
        <v>-</v>
      </c>
      <c r="BK66" s="1">
        <f t="shared" ca="1" si="104"/>
        <v>34.007520634303646</v>
      </c>
      <c r="BL66" s="1">
        <f t="shared" ca="1" si="105"/>
        <v>2.819932003726318</v>
      </c>
      <c r="BM66" s="1" t="e">
        <f t="shared" ca="1" si="106"/>
        <v>#VALUE!</v>
      </c>
      <c r="BO66" s="5">
        <f t="shared" ca="1" si="107"/>
        <v>-160.60829673504691</v>
      </c>
      <c r="BP66" s="5">
        <f t="shared" ca="1" si="108"/>
        <v>46.023401539150903</v>
      </c>
      <c r="BQ66" s="1">
        <f t="shared" ca="1" si="122"/>
        <v>3.4897093948699474</v>
      </c>
      <c r="BS66" s="5" t="e">
        <f t="shared" ca="1" si="109"/>
        <v>#VALUE!</v>
      </c>
      <c r="BT66" s="5" t="e">
        <f t="shared" ca="1" si="110"/>
        <v>#VALUE!</v>
      </c>
      <c r="BU66" s="1" t="e">
        <f t="shared" ca="1" si="123"/>
        <v>#VALUE!</v>
      </c>
      <c r="BW66" s="5" t="e">
        <f t="shared" ca="1" si="111"/>
        <v>#VALUE!</v>
      </c>
      <c r="BX66" s="5" t="e">
        <f t="shared" ca="1" si="112"/>
        <v>#VALUE!</v>
      </c>
      <c r="BY66" s="1" t="e">
        <f t="shared" ca="1" si="124"/>
        <v>#VALUE!</v>
      </c>
      <c r="CA66" s="5">
        <f t="shared" ca="1" si="113"/>
        <v>-136.10761862230243</v>
      </c>
      <c r="CB66" s="5">
        <f t="shared" ca="1" si="114"/>
        <v>55.456211389754749</v>
      </c>
      <c r="CC66" s="1">
        <f t="shared" ca="1" si="125"/>
        <v>2.4543259485527642</v>
      </c>
      <c r="CE66" s="5" t="e">
        <f t="shared" si="115"/>
        <v>#VALUE!</v>
      </c>
      <c r="CF66" s="5" t="e">
        <f t="shared" si="116"/>
        <v>#VALUE!</v>
      </c>
      <c r="CG66" s="1" t="e">
        <f t="shared" si="126"/>
        <v>#VALUE!</v>
      </c>
      <c r="CI66" s="5" t="e">
        <f t="shared" ca="1" si="117"/>
        <v>#VALUE!</v>
      </c>
      <c r="CJ66" s="5" t="e">
        <f t="shared" ca="1" si="118"/>
        <v>#VALUE!</v>
      </c>
      <c r="CK66" s="1" t="e">
        <f t="shared" ca="1" si="127"/>
        <v>#VALUE!</v>
      </c>
      <c r="CM66" s="5" t="e">
        <f t="shared" ca="1" si="119"/>
        <v>#VALUE!</v>
      </c>
      <c r="CN66" s="5" t="e">
        <f t="shared" ca="1" si="120"/>
        <v>#VALUE!</v>
      </c>
      <c r="CO66" s="1" t="e">
        <f t="shared" ca="1" si="128"/>
        <v>#VALUE!</v>
      </c>
    </row>
    <row r="67" spans="22:93" x14ac:dyDescent="0.2">
      <c r="V67">
        <f t="shared" ref="V67:W67" si="138">V13</f>
        <v>2002</v>
      </c>
      <c r="W67" s="5">
        <f t="shared" si="138"/>
        <v>1</v>
      </c>
      <c r="X67" s="7">
        <f t="shared" si="86"/>
        <v>1</v>
      </c>
      <c r="Y67" s="5">
        <f t="shared" ca="1" si="66"/>
        <v>149.34372740092297</v>
      </c>
      <c r="Z67" s="5">
        <f t="shared" ca="1" si="67"/>
        <v>0</v>
      </c>
      <c r="AA67" s="5">
        <f t="shared" ca="1" si="87"/>
        <v>193.46213579372281</v>
      </c>
      <c r="AB67" s="5">
        <f t="shared" ca="1" si="88"/>
        <v>42.498644036235405</v>
      </c>
      <c r="AC67" t="str">
        <f t="shared" ca="1" si="89"/>
        <v/>
      </c>
      <c r="AD67" s="5">
        <f t="shared" si="68"/>
        <v>0</v>
      </c>
      <c r="AE67" s="5" t="str">
        <f t="shared" si="69"/>
        <v>-</v>
      </c>
      <c r="AF67" s="5" t="str">
        <f t="shared" si="70"/>
        <v>-</v>
      </c>
      <c r="AG67" s="5">
        <f t="shared" ca="1" si="90"/>
        <v>272.57634694304113</v>
      </c>
      <c r="AH67" s="5">
        <f t="shared" ca="1" si="91"/>
        <v>99.189261364808345</v>
      </c>
      <c r="AI67" t="e">
        <f t="shared" ca="1" si="92"/>
        <v>#VALUE!</v>
      </c>
      <c r="AJ67" s="5">
        <f t="shared" si="71"/>
        <v>0</v>
      </c>
      <c r="AK67" s="5" t="str">
        <f t="shared" si="72"/>
        <v>-</v>
      </c>
      <c r="AL67" s="5" t="str">
        <f t="shared" si="73"/>
        <v>-</v>
      </c>
      <c r="AM67" s="5">
        <f t="shared" ca="1" si="93"/>
        <v>481.47160261697303</v>
      </c>
      <c r="AN67" s="5">
        <f t="shared" ca="1" si="94"/>
        <v>141.86802904327971</v>
      </c>
      <c r="AO67" t="e">
        <f t="shared" ca="1" si="95"/>
        <v>#VALUE!</v>
      </c>
      <c r="AP67" s="5">
        <f t="shared" si="74"/>
        <v>1</v>
      </c>
      <c r="AQ67" s="5">
        <f t="shared" ca="1" si="75"/>
        <v>149.34372740092297</v>
      </c>
      <c r="AR67" s="5">
        <f t="shared" ca="1" si="76"/>
        <v>0</v>
      </c>
      <c r="AS67" s="5">
        <f t="shared" ca="1" si="96"/>
        <v>147.4267838661697</v>
      </c>
      <c r="AT67" s="5">
        <f t="shared" ca="1" si="97"/>
        <v>45.067651100715992</v>
      </c>
      <c r="AU67" t="str">
        <f t="shared" ca="1" si="130"/>
        <v/>
      </c>
      <c r="AV67" s="5">
        <f t="shared" si="77"/>
        <v>0</v>
      </c>
      <c r="AW67" s="5" t="str">
        <f t="shared" si="78"/>
        <v>-</v>
      </c>
      <c r="AX67" s="5" t="str">
        <f t="shared" si="79"/>
        <v>-</v>
      </c>
      <c r="AY67" s="5" t="str">
        <f t="shared" si="98"/>
        <v>-</v>
      </c>
      <c r="AZ67" s="5" t="str">
        <f t="shared" si="99"/>
        <v>-</v>
      </c>
      <c r="BA67" t="e">
        <f t="shared" si="100"/>
        <v>#VALUE!</v>
      </c>
      <c r="BB67" s="5">
        <f t="shared" si="80"/>
        <v>0</v>
      </c>
      <c r="BC67" s="1" t="str">
        <f t="shared" si="81"/>
        <v>-</v>
      </c>
      <c r="BD67" s="1" t="str">
        <f t="shared" si="82"/>
        <v>-</v>
      </c>
      <c r="BE67" s="1">
        <f t="shared" ca="1" si="101"/>
        <v>35.850427660971086</v>
      </c>
      <c r="BF67" s="1">
        <f t="shared" ca="1" si="102"/>
        <v>7.9936607847898635</v>
      </c>
      <c r="BG67" s="1" t="e">
        <f t="shared" ca="1" si="103"/>
        <v>#VALUE!</v>
      </c>
      <c r="BH67" s="5">
        <f t="shared" si="83"/>
        <v>0</v>
      </c>
      <c r="BI67" s="1" t="str">
        <f t="shared" si="84"/>
        <v>-</v>
      </c>
      <c r="BJ67" s="1" t="str">
        <f t="shared" si="85"/>
        <v>-</v>
      </c>
      <c r="BK67" s="1">
        <f t="shared" ca="1" si="104"/>
        <v>34.007520634303646</v>
      </c>
      <c r="BL67" s="1">
        <f t="shared" ca="1" si="105"/>
        <v>2.819932003726318</v>
      </c>
      <c r="BM67" s="1" t="e">
        <f t="shared" ca="1" si="106"/>
        <v>#VALUE!</v>
      </c>
      <c r="BO67" s="5">
        <f t="shared" ca="1" si="107"/>
        <v>-44.118408392799836</v>
      </c>
      <c r="BP67" s="5">
        <f t="shared" ca="1" si="108"/>
        <v>42.498644036235405</v>
      </c>
      <c r="BQ67" s="1">
        <f t="shared" ca="1" si="122"/>
        <v>1.0381133185139597</v>
      </c>
      <c r="BS67" s="5" t="e">
        <f t="shared" ca="1" si="109"/>
        <v>#VALUE!</v>
      </c>
      <c r="BT67" s="5" t="e">
        <f t="shared" ca="1" si="110"/>
        <v>#VALUE!</v>
      </c>
      <c r="BU67" s="1" t="e">
        <f t="shared" ca="1" si="123"/>
        <v>#VALUE!</v>
      </c>
      <c r="BW67" s="5" t="e">
        <f t="shared" ca="1" si="111"/>
        <v>#VALUE!</v>
      </c>
      <c r="BX67" s="5" t="e">
        <f t="shared" ca="1" si="112"/>
        <v>#VALUE!</v>
      </c>
      <c r="BY67" s="1" t="e">
        <f t="shared" ca="1" si="124"/>
        <v>#VALUE!</v>
      </c>
      <c r="CA67" s="5">
        <f t="shared" ca="1" si="113"/>
        <v>1.9169435347532726</v>
      </c>
      <c r="CB67" s="5">
        <f t="shared" ca="1" si="114"/>
        <v>45.067651100715992</v>
      </c>
      <c r="CC67" s="1">
        <f t="shared" ca="1" si="125"/>
        <v>4.2534800193365703E-2</v>
      </c>
      <c r="CE67" s="5" t="e">
        <f t="shared" si="115"/>
        <v>#VALUE!</v>
      </c>
      <c r="CF67" s="5" t="e">
        <f t="shared" si="116"/>
        <v>#VALUE!</v>
      </c>
      <c r="CG67" s="1" t="e">
        <f t="shared" si="126"/>
        <v>#VALUE!</v>
      </c>
      <c r="CI67" s="5" t="e">
        <f t="shared" ca="1" si="117"/>
        <v>#VALUE!</v>
      </c>
      <c r="CJ67" s="5" t="e">
        <f t="shared" ca="1" si="118"/>
        <v>#VALUE!</v>
      </c>
      <c r="CK67" s="1" t="e">
        <f t="shared" ca="1" si="127"/>
        <v>#VALUE!</v>
      </c>
      <c r="CM67" s="5" t="e">
        <f t="shared" ca="1" si="119"/>
        <v>#VALUE!</v>
      </c>
      <c r="CN67" s="5" t="e">
        <f t="shared" ca="1" si="120"/>
        <v>#VALUE!</v>
      </c>
      <c r="CO67" s="1" t="e">
        <f t="shared" ca="1" si="128"/>
        <v>#VALUE!</v>
      </c>
    </row>
    <row r="68" spans="22:93" x14ac:dyDescent="0.2">
      <c r="V68">
        <f t="shared" ref="V68:W68" si="139">V14</f>
        <v>2003</v>
      </c>
      <c r="W68" s="5">
        <f t="shared" si="139"/>
        <v>11</v>
      </c>
      <c r="X68" s="7">
        <f t="shared" si="86"/>
        <v>1</v>
      </c>
      <c r="Y68" s="5">
        <f t="shared" ca="1" si="66"/>
        <v>44.964020734644151</v>
      </c>
      <c r="Z68" s="5">
        <f t="shared" ca="1" si="67"/>
        <v>19.276933635533268</v>
      </c>
      <c r="AA68" s="5">
        <f t="shared" ca="1" si="87"/>
        <v>193.24264122460443</v>
      </c>
      <c r="AB68" s="5">
        <f t="shared" ca="1" si="88"/>
        <v>42.287774808961714</v>
      </c>
      <c r="AC68" t="str">
        <f t="shared" ca="1" si="89"/>
        <v>***</v>
      </c>
      <c r="AD68" s="5">
        <f t="shared" si="68"/>
        <v>3</v>
      </c>
      <c r="AE68" s="5">
        <f t="shared" ca="1" si="69"/>
        <v>53.732012551836625</v>
      </c>
      <c r="AF68" s="5">
        <f t="shared" ca="1" si="70"/>
        <v>6.3388778948988023</v>
      </c>
      <c r="AG68" s="5">
        <f t="shared" ca="1" si="90"/>
        <v>272.57634694304113</v>
      </c>
      <c r="AH68" s="5">
        <f t="shared" ca="1" si="91"/>
        <v>99.189261364808345</v>
      </c>
      <c r="AI68" t="str">
        <f t="shared" ca="1" si="92"/>
        <v>**</v>
      </c>
      <c r="AJ68" s="5">
        <f t="shared" si="71"/>
        <v>0</v>
      </c>
      <c r="AK68" s="5" t="str">
        <f t="shared" si="72"/>
        <v>-</v>
      </c>
      <c r="AL68" s="5" t="str">
        <f t="shared" si="73"/>
        <v>-</v>
      </c>
      <c r="AM68" s="5">
        <f t="shared" ca="1" si="93"/>
        <v>481.47160261697303</v>
      </c>
      <c r="AN68" s="5">
        <f t="shared" ca="1" si="94"/>
        <v>141.86802904327971</v>
      </c>
      <c r="AO68" t="e">
        <f t="shared" ca="1" si="95"/>
        <v>#VALUE!</v>
      </c>
      <c r="AP68" s="5">
        <f t="shared" si="74"/>
        <v>1</v>
      </c>
      <c r="AQ68" s="5">
        <f t="shared" ca="1" si="75"/>
        <v>38.010308287591222</v>
      </c>
      <c r="AR68" s="5">
        <f t="shared" ca="1" si="76"/>
        <v>0</v>
      </c>
      <c r="AS68" s="5">
        <f t="shared" ca="1" si="96"/>
        <v>147.51012923724593</v>
      </c>
      <c r="AT68" s="5">
        <f t="shared" ca="1" si="97"/>
        <v>43.108265076240016</v>
      </c>
      <c r="AU68" t="str">
        <f t="shared" ca="1" si="130"/>
        <v>**</v>
      </c>
      <c r="AV68" s="5">
        <f t="shared" si="77"/>
        <v>0</v>
      </c>
      <c r="AW68" s="5" t="str">
        <f t="shared" si="78"/>
        <v>-</v>
      </c>
      <c r="AX68" s="5" t="str">
        <f t="shared" si="79"/>
        <v>-</v>
      </c>
      <c r="AY68" s="5" t="str">
        <f t="shared" si="98"/>
        <v>-</v>
      </c>
      <c r="AZ68" s="5" t="str">
        <f t="shared" si="99"/>
        <v>-</v>
      </c>
      <c r="BA68" t="e">
        <f t="shared" si="100"/>
        <v>#VALUE!</v>
      </c>
      <c r="BB68" s="5">
        <f t="shared" si="80"/>
        <v>3</v>
      </c>
      <c r="BC68" s="1">
        <f t="shared" ca="1" si="81"/>
        <v>15.460979654286874</v>
      </c>
      <c r="BD68" s="1">
        <f t="shared" ca="1" si="82"/>
        <v>2.4261201242424515</v>
      </c>
      <c r="BE68" s="1">
        <f t="shared" ca="1" si="101"/>
        <v>35.850427660971086</v>
      </c>
      <c r="BF68" s="1">
        <f t="shared" ca="1" si="102"/>
        <v>7.9936607847898635</v>
      </c>
      <c r="BG68" s="1" t="str">
        <f t="shared" ca="1" si="103"/>
        <v>**</v>
      </c>
      <c r="BH68" s="5">
        <f t="shared" si="83"/>
        <v>0</v>
      </c>
      <c r="BI68" s="1" t="str">
        <f t="shared" si="84"/>
        <v>-</v>
      </c>
      <c r="BJ68" s="1" t="str">
        <f t="shared" si="85"/>
        <v>-</v>
      </c>
      <c r="BK68" s="1">
        <f t="shared" ca="1" si="104"/>
        <v>34.007520634303646</v>
      </c>
      <c r="BL68" s="1">
        <f t="shared" ca="1" si="105"/>
        <v>2.819932003726318</v>
      </c>
      <c r="BM68" s="1" t="e">
        <f t="shared" ca="1" si="106"/>
        <v>#VALUE!</v>
      </c>
      <c r="BO68" s="5">
        <f t="shared" ca="1" si="107"/>
        <v>-148.27862048996028</v>
      </c>
      <c r="BP68" s="5">
        <f t="shared" ca="1" si="108"/>
        <v>46.474251674257339</v>
      </c>
      <c r="BQ68" s="1">
        <f t="shared" ca="1" si="122"/>
        <v>3.1905542348322227</v>
      </c>
      <c r="BS68" s="5">
        <f t="shared" ca="1" si="109"/>
        <v>-218.84433439120451</v>
      </c>
      <c r="BT68" s="5">
        <f t="shared" ca="1" si="110"/>
        <v>99.391603986768914</v>
      </c>
      <c r="BU68" s="1">
        <f t="shared" ca="1" si="123"/>
        <v>2.2018392461030936</v>
      </c>
      <c r="BW68" s="5" t="e">
        <f t="shared" ca="1" si="111"/>
        <v>#VALUE!</v>
      </c>
      <c r="BX68" s="5" t="e">
        <f t="shared" ca="1" si="112"/>
        <v>#VALUE!</v>
      </c>
      <c r="BY68" s="1" t="e">
        <f t="shared" ca="1" si="124"/>
        <v>#VALUE!</v>
      </c>
      <c r="CA68" s="5">
        <f t="shared" ca="1" si="113"/>
        <v>-109.49982094965472</v>
      </c>
      <c r="CB68" s="5">
        <f t="shared" ca="1" si="114"/>
        <v>43.108265076240016</v>
      </c>
      <c r="CC68" s="1">
        <f t="shared" ca="1" si="125"/>
        <v>2.5401119891045614</v>
      </c>
      <c r="CE68" s="5" t="e">
        <f t="shared" si="115"/>
        <v>#VALUE!</v>
      </c>
      <c r="CF68" s="5" t="e">
        <f t="shared" si="116"/>
        <v>#VALUE!</v>
      </c>
      <c r="CG68" s="1" t="e">
        <f t="shared" si="126"/>
        <v>#VALUE!</v>
      </c>
      <c r="CI68" s="5">
        <f t="shared" ca="1" si="117"/>
        <v>-20.389448006684212</v>
      </c>
      <c r="CJ68" s="5">
        <f t="shared" ca="1" si="118"/>
        <v>8.353722020724744</v>
      </c>
      <c r="CK68" s="1">
        <f t="shared" ca="1" si="127"/>
        <v>2.4407620885756125</v>
      </c>
      <c r="CM68" s="5" t="e">
        <f t="shared" ca="1" si="119"/>
        <v>#VALUE!</v>
      </c>
      <c r="CN68" s="5" t="e">
        <f t="shared" ca="1" si="120"/>
        <v>#VALUE!</v>
      </c>
      <c r="CO68" s="1" t="e">
        <f t="shared" ca="1" si="128"/>
        <v>#VALUE!</v>
      </c>
    </row>
    <row r="69" spans="22:93" x14ac:dyDescent="0.2">
      <c r="V69">
        <f t="shared" ref="V69:W69" si="140">V15</f>
        <v>2004</v>
      </c>
      <c r="W69" s="5">
        <f t="shared" si="140"/>
        <v>26</v>
      </c>
      <c r="X69" s="7">
        <f t="shared" si="86"/>
        <v>1.3461538461538463</v>
      </c>
      <c r="Y69" s="5">
        <f t="shared" ca="1" si="66"/>
        <v>204.78310276064062</v>
      </c>
      <c r="Z69" s="5">
        <f t="shared" ca="1" si="67"/>
        <v>56.089666866099478</v>
      </c>
      <c r="AA69" s="5">
        <f t="shared" ca="1" si="87"/>
        <v>185.54893921804984</v>
      </c>
      <c r="AB69" s="5">
        <f t="shared" ca="1" si="88"/>
        <v>40.16962778210371</v>
      </c>
      <c r="AC69" t="str">
        <f t="shared" ca="1" si="89"/>
        <v/>
      </c>
      <c r="AD69" s="5">
        <f t="shared" si="68"/>
        <v>9</v>
      </c>
      <c r="AE69" s="5">
        <f t="shared" ca="1" si="69"/>
        <v>413.70160982774644</v>
      </c>
      <c r="AF69" s="5">
        <f t="shared" ca="1" si="70"/>
        <v>128.67859163449072</v>
      </c>
      <c r="AG69" s="5">
        <f t="shared" ca="1" si="90"/>
        <v>263.93775479601987</v>
      </c>
      <c r="AH69" s="5">
        <f t="shared" ca="1" si="91"/>
        <v>95.399533580527518</v>
      </c>
      <c r="AI69" t="str">
        <f t="shared" ca="1" si="92"/>
        <v/>
      </c>
      <c r="AJ69" s="5">
        <f t="shared" si="71"/>
        <v>0</v>
      </c>
      <c r="AK69" s="5" t="str">
        <f t="shared" si="72"/>
        <v>-</v>
      </c>
      <c r="AL69" s="5" t="str">
        <f t="shared" si="73"/>
        <v>-</v>
      </c>
      <c r="AM69" s="5">
        <f t="shared" ca="1" si="93"/>
        <v>481.47160261697303</v>
      </c>
      <c r="AN69" s="5">
        <f t="shared" ca="1" si="94"/>
        <v>141.86802904327971</v>
      </c>
      <c r="AO69" t="e">
        <f t="shared" ca="1" si="95"/>
        <v>#VALUE!</v>
      </c>
      <c r="AP69" s="5">
        <f t="shared" si="74"/>
        <v>7</v>
      </c>
      <c r="AQ69" s="5">
        <f t="shared" ca="1" si="75"/>
        <v>148.29114846315886</v>
      </c>
      <c r="AR69" s="5">
        <f t="shared" ca="1" si="76"/>
        <v>49.822238735800859</v>
      </c>
      <c r="AS69" s="5">
        <f t="shared" ca="1" si="96"/>
        <v>142.94763669767698</v>
      </c>
      <c r="AT69" s="5">
        <f t="shared" ca="1" si="97"/>
        <v>41.552828461860535</v>
      </c>
      <c r="AU69" t="str">
        <f t="shared" ca="1" si="130"/>
        <v/>
      </c>
      <c r="AV69" s="5">
        <f t="shared" si="77"/>
        <v>0</v>
      </c>
      <c r="AW69" s="5" t="str">
        <f t="shared" si="78"/>
        <v>-</v>
      </c>
      <c r="AX69" s="5" t="str">
        <f t="shared" si="79"/>
        <v>-</v>
      </c>
      <c r="AY69" s="5" t="str">
        <f t="shared" si="98"/>
        <v>-</v>
      </c>
      <c r="AZ69" s="5" t="str">
        <f t="shared" si="99"/>
        <v>-</v>
      </c>
      <c r="BA69" t="e">
        <f t="shared" si="100"/>
        <v>#VALUE!</v>
      </c>
      <c r="BB69" s="5">
        <f t="shared" si="80"/>
        <v>2</v>
      </c>
      <c r="BC69" s="1">
        <f t="shared" ca="1" si="81"/>
        <v>122.54658284264863</v>
      </c>
      <c r="BD69" s="1">
        <f t="shared" ca="1" si="82"/>
        <v>44.268645953760512</v>
      </c>
      <c r="BE69" s="1">
        <f t="shared" ca="1" si="101"/>
        <v>31.772538059634243</v>
      </c>
      <c r="BF69" s="1">
        <f t="shared" ca="1" si="102"/>
        <v>6.7501854396407754</v>
      </c>
      <c r="BG69" s="1" t="str">
        <f t="shared" ca="1" si="103"/>
        <v>**</v>
      </c>
      <c r="BH69" s="5">
        <f t="shared" si="83"/>
        <v>8</v>
      </c>
      <c r="BI69" s="1">
        <f t="shared" ca="1" si="84"/>
        <v>39.739372299941145</v>
      </c>
      <c r="BJ69" s="1">
        <f t="shared" ca="1" si="85"/>
        <v>12.148381675384886</v>
      </c>
      <c r="BK69" s="1">
        <f t="shared" ca="1" si="104"/>
        <v>34.007520634303646</v>
      </c>
      <c r="BL69" s="1">
        <f t="shared" ca="1" si="105"/>
        <v>2.819932003726318</v>
      </c>
      <c r="BM69" s="1" t="str">
        <f t="shared" ca="1" si="106"/>
        <v/>
      </c>
      <c r="BO69" s="5">
        <f t="shared" ca="1" si="107"/>
        <v>19.234163542590778</v>
      </c>
      <c r="BP69" s="5">
        <f t="shared" ca="1" si="108"/>
        <v>68.990214706889958</v>
      </c>
      <c r="BQ69" s="1">
        <f t="shared" ca="1" si="122"/>
        <v>0.27879553099390325</v>
      </c>
      <c r="BS69" s="5">
        <f t="shared" ca="1" si="109"/>
        <v>149.76385503172656</v>
      </c>
      <c r="BT69" s="5">
        <f t="shared" ca="1" si="110"/>
        <v>160.18505221280236</v>
      </c>
      <c r="BU69" s="1">
        <f t="shared" ca="1" si="123"/>
        <v>0.93494276128067511</v>
      </c>
      <c r="BW69" s="5" t="e">
        <f t="shared" ca="1" si="111"/>
        <v>#VALUE!</v>
      </c>
      <c r="BX69" s="5" t="e">
        <f t="shared" ca="1" si="112"/>
        <v>#VALUE!</v>
      </c>
      <c r="BY69" s="1" t="e">
        <f t="shared" ca="1" si="124"/>
        <v>#VALUE!</v>
      </c>
      <c r="CA69" s="5">
        <f t="shared" ca="1" si="113"/>
        <v>5.3435117654818782</v>
      </c>
      <c r="CB69" s="5">
        <f t="shared" ca="1" si="114"/>
        <v>64.875981887197227</v>
      </c>
      <c r="CC69" s="1">
        <f t="shared" ca="1" si="125"/>
        <v>8.2365023388360908E-2</v>
      </c>
      <c r="CE69" s="5" t="e">
        <f t="shared" si="115"/>
        <v>#VALUE!</v>
      </c>
      <c r="CF69" s="5" t="e">
        <f t="shared" si="116"/>
        <v>#VALUE!</v>
      </c>
      <c r="CG69" s="1" t="e">
        <f t="shared" si="126"/>
        <v>#VALUE!</v>
      </c>
      <c r="CI69" s="5">
        <f t="shared" ca="1" si="117"/>
        <v>90.774044783014389</v>
      </c>
      <c r="CJ69" s="5">
        <f t="shared" ca="1" si="118"/>
        <v>44.780330704997425</v>
      </c>
      <c r="CK69" s="1">
        <f t="shared" ca="1" si="127"/>
        <v>2.0270963468540022</v>
      </c>
      <c r="CM69" s="5">
        <f t="shared" ca="1" si="119"/>
        <v>5.7318516656374996</v>
      </c>
      <c r="CN69" s="5">
        <f t="shared" ca="1" si="120"/>
        <v>12.471374977782812</v>
      </c>
      <c r="CO69" s="1">
        <f t="shared" ca="1" si="128"/>
        <v>0.45960061948650671</v>
      </c>
    </row>
    <row r="70" spans="22:93" x14ac:dyDescent="0.2">
      <c r="V70">
        <f t="shared" ref="V70:W70" si="141">V16</f>
        <v>2005</v>
      </c>
      <c r="W70" s="5">
        <f t="shared" si="141"/>
        <v>14</v>
      </c>
      <c r="X70" s="7">
        <f t="shared" si="86"/>
        <v>2.2307692307692308</v>
      </c>
      <c r="Y70" s="5">
        <f t="shared" ca="1" si="66"/>
        <v>35.412151678392043</v>
      </c>
      <c r="Z70" s="5">
        <f t="shared" ca="1" si="67"/>
        <v>6.8780215715473823</v>
      </c>
      <c r="AA70" s="5">
        <f t="shared" ca="1" si="87"/>
        <v>187.65015036135802</v>
      </c>
      <c r="AB70" s="5">
        <f t="shared" ca="1" si="88"/>
        <v>36.304293929487528</v>
      </c>
      <c r="AC70" t="str">
        <f t="shared" ca="1" si="89"/>
        <v>***</v>
      </c>
      <c r="AD70" s="5">
        <f t="shared" si="68"/>
        <v>2</v>
      </c>
      <c r="AE70" s="5">
        <f t="shared" ca="1" si="69"/>
        <v>27.761862848894641</v>
      </c>
      <c r="AF70" s="5">
        <f t="shared" ca="1" si="70"/>
        <v>2.0721190449870033</v>
      </c>
      <c r="AG70" s="5">
        <f t="shared" ca="1" si="90"/>
        <v>279.79510415232039</v>
      </c>
      <c r="AH70" s="5">
        <f t="shared" ca="1" si="91"/>
        <v>86.524183394425521</v>
      </c>
      <c r="AI70" t="str">
        <f t="shared" ca="1" si="92"/>
        <v>***</v>
      </c>
      <c r="AJ70" s="5">
        <f t="shared" si="71"/>
        <v>0</v>
      </c>
      <c r="AK70" s="5" t="str">
        <f t="shared" si="72"/>
        <v>-</v>
      </c>
      <c r="AL70" s="5" t="str">
        <f t="shared" si="73"/>
        <v>-</v>
      </c>
      <c r="AM70" s="5">
        <f t="shared" ca="1" si="93"/>
        <v>481.47160261697303</v>
      </c>
      <c r="AN70" s="5">
        <f t="shared" ca="1" si="94"/>
        <v>141.86802904327971</v>
      </c>
      <c r="AO70" t="e">
        <f t="shared" ca="1" si="95"/>
        <v>#VALUE!</v>
      </c>
      <c r="AP70" s="5">
        <f t="shared" si="74"/>
        <v>2</v>
      </c>
      <c r="AQ70" s="5">
        <f t="shared" ca="1" si="75"/>
        <v>8.0200937119028968</v>
      </c>
      <c r="AR70" s="5">
        <f t="shared" ca="1" si="76"/>
        <v>1.5268245594641088</v>
      </c>
      <c r="AS70" s="5">
        <f t="shared" ca="1" si="96"/>
        <v>144.15423612859223</v>
      </c>
      <c r="AT70" s="5">
        <f t="shared" ca="1" si="97"/>
        <v>34.082724976154552</v>
      </c>
      <c r="AU70" t="str">
        <f t="shared" ca="1" si="130"/>
        <v>***</v>
      </c>
      <c r="AV70" s="5">
        <f t="shared" si="77"/>
        <v>0</v>
      </c>
      <c r="AW70" s="5" t="str">
        <f t="shared" si="78"/>
        <v>-</v>
      </c>
      <c r="AX70" s="5" t="str">
        <f t="shared" si="79"/>
        <v>-</v>
      </c>
      <c r="AY70" s="5" t="str">
        <f t="shared" si="98"/>
        <v>-</v>
      </c>
      <c r="AZ70" s="5" t="str">
        <f t="shared" si="99"/>
        <v>-</v>
      </c>
      <c r="BA70" t="e">
        <f t="shared" si="100"/>
        <v>#VALUE!</v>
      </c>
      <c r="BB70" s="5">
        <f t="shared" si="80"/>
        <v>0</v>
      </c>
      <c r="BC70" s="1" t="str">
        <f t="shared" si="81"/>
        <v>-</v>
      </c>
      <c r="BD70" s="1" t="str">
        <f t="shared" si="82"/>
        <v>-</v>
      </c>
      <c r="BE70" s="1">
        <f t="shared" ca="1" si="101"/>
        <v>42.451837445871234</v>
      </c>
      <c r="BF70" s="1">
        <f t="shared" ca="1" si="102"/>
        <v>10.626080380655219</v>
      </c>
      <c r="BG70" s="1" t="e">
        <f t="shared" ca="1" si="103"/>
        <v>#VALUE!</v>
      </c>
      <c r="BH70" s="5">
        <f t="shared" si="83"/>
        <v>9</v>
      </c>
      <c r="BI70" s="1">
        <f t="shared" ca="1" si="84"/>
        <v>38.837149630603562</v>
      </c>
      <c r="BJ70" s="1">
        <f t="shared" ca="1" si="85"/>
        <v>8.593066353676349</v>
      </c>
      <c r="BK70" s="1">
        <f t="shared" ca="1" si="104"/>
        <v>34.771767523055317</v>
      </c>
      <c r="BL70" s="1">
        <f t="shared" ca="1" si="105"/>
        <v>2.9427578037795818</v>
      </c>
      <c r="BM70" s="1" t="str">
        <f t="shared" ca="1" si="106"/>
        <v/>
      </c>
      <c r="BO70" s="5">
        <f t="shared" ca="1" si="107"/>
        <v>-152.23799868296598</v>
      </c>
      <c r="BP70" s="5">
        <f t="shared" ca="1" si="108"/>
        <v>36.950087123811983</v>
      </c>
      <c r="BQ70" s="1">
        <f t="shared" ca="1" si="122"/>
        <v>4.1200985040400155</v>
      </c>
      <c r="BS70" s="5">
        <f t="shared" ca="1" si="109"/>
        <v>-252.03324130342574</v>
      </c>
      <c r="BT70" s="5">
        <f t="shared" ca="1" si="110"/>
        <v>86.548991845132306</v>
      </c>
      <c r="BU70" s="1">
        <f t="shared" ca="1" si="123"/>
        <v>2.9120297756258684</v>
      </c>
      <c r="BW70" s="5" t="e">
        <f t="shared" ca="1" si="111"/>
        <v>#VALUE!</v>
      </c>
      <c r="BX70" s="5" t="e">
        <f t="shared" ca="1" si="112"/>
        <v>#VALUE!</v>
      </c>
      <c r="BY70" s="1" t="e">
        <f t="shared" ca="1" si="124"/>
        <v>#VALUE!</v>
      </c>
      <c r="CA70" s="5">
        <f t="shared" ca="1" si="113"/>
        <v>-136.13414241668934</v>
      </c>
      <c r="CB70" s="5">
        <f t="shared" ca="1" si="114"/>
        <v>34.116906879662636</v>
      </c>
      <c r="CC70" s="1">
        <f t="shared" ca="1" si="125"/>
        <v>3.9902252246038166</v>
      </c>
      <c r="CE70" s="5" t="e">
        <f t="shared" si="115"/>
        <v>#VALUE!</v>
      </c>
      <c r="CF70" s="5" t="e">
        <f t="shared" si="116"/>
        <v>#VALUE!</v>
      </c>
      <c r="CG70" s="1" t="e">
        <f t="shared" si="126"/>
        <v>#VALUE!</v>
      </c>
      <c r="CI70" s="5" t="e">
        <f t="shared" ca="1" si="117"/>
        <v>#VALUE!</v>
      </c>
      <c r="CJ70" s="5" t="e">
        <f t="shared" ca="1" si="118"/>
        <v>#VALUE!</v>
      </c>
      <c r="CK70" s="1" t="e">
        <f t="shared" ca="1" si="127"/>
        <v>#VALUE!</v>
      </c>
      <c r="CM70" s="5">
        <f t="shared" ca="1" si="119"/>
        <v>4.0653821075482455</v>
      </c>
      <c r="CN70" s="5">
        <f t="shared" ca="1" si="120"/>
        <v>9.0829847985334737</v>
      </c>
      <c r="CO70" s="1">
        <f t="shared" ca="1" si="128"/>
        <v>0.44758217675368528</v>
      </c>
    </row>
    <row r="71" spans="22:93" x14ac:dyDescent="0.2">
      <c r="V71">
        <f t="shared" ref="V71:W71" si="142">V17</f>
        <v>2006</v>
      </c>
      <c r="W71" s="5">
        <f t="shared" si="142"/>
        <v>71</v>
      </c>
      <c r="X71" s="7">
        <f t="shared" si="86"/>
        <v>1.5094339622641511</v>
      </c>
      <c r="Y71" s="5">
        <f t="shared" ca="1" si="66"/>
        <v>192.7729546537665</v>
      </c>
      <c r="Z71" s="5">
        <f t="shared" ca="1" si="67"/>
        <v>66.545550475691584</v>
      </c>
      <c r="AA71" s="5">
        <f t="shared" ca="1" si="87"/>
        <v>179.19248376785995</v>
      </c>
      <c r="AB71" s="5">
        <f t="shared" ca="1" si="88"/>
        <v>34.359811033479666</v>
      </c>
      <c r="AC71" t="str">
        <f t="shared" ca="1" si="89"/>
        <v/>
      </c>
      <c r="AD71" s="5">
        <f t="shared" si="68"/>
        <v>15</v>
      </c>
      <c r="AE71" s="5">
        <f t="shared" ca="1" si="69"/>
        <v>591.40525407400321</v>
      </c>
      <c r="AF71" s="5">
        <f t="shared" ca="1" si="70"/>
        <v>279.85595601174111</v>
      </c>
      <c r="AG71" s="5">
        <f t="shared" ca="1" si="90"/>
        <v>274.00123653614963</v>
      </c>
      <c r="AH71" s="5">
        <f t="shared" ca="1" si="91"/>
        <v>84.632072364236947</v>
      </c>
      <c r="AI71" t="str">
        <f t="shared" ca="1" si="92"/>
        <v/>
      </c>
      <c r="AJ71" s="5">
        <f t="shared" si="71"/>
        <v>0</v>
      </c>
      <c r="AK71" s="5" t="str">
        <f t="shared" si="72"/>
        <v>-</v>
      </c>
      <c r="AL71" s="5" t="str">
        <f t="shared" si="73"/>
        <v>-</v>
      </c>
      <c r="AM71" s="5">
        <f t="shared" ca="1" si="93"/>
        <v>481.47160261697303</v>
      </c>
      <c r="AN71" s="5">
        <f t="shared" ca="1" si="94"/>
        <v>141.86802904327971</v>
      </c>
      <c r="AO71" t="e">
        <f t="shared" ca="1" si="95"/>
        <v>#VALUE!</v>
      </c>
      <c r="AP71" s="5">
        <f t="shared" si="74"/>
        <v>16</v>
      </c>
      <c r="AQ71" s="5">
        <f t="shared" ca="1" si="75"/>
        <v>145.24931627165856</v>
      </c>
      <c r="AR71" s="5">
        <f t="shared" ca="1" si="76"/>
        <v>63.834437024500829</v>
      </c>
      <c r="AS71" s="5">
        <f t="shared" ca="1" si="96"/>
        <v>135.90368204273227</v>
      </c>
      <c r="AT71" s="5">
        <f t="shared" ca="1" si="97"/>
        <v>32.51271501357288</v>
      </c>
      <c r="AU71" t="str">
        <f t="shared" ca="1" si="130"/>
        <v/>
      </c>
      <c r="AV71" s="5">
        <f t="shared" si="77"/>
        <v>0</v>
      </c>
      <c r="AW71" s="5" t="str">
        <f t="shared" si="78"/>
        <v>-</v>
      </c>
      <c r="AX71" s="5" t="str">
        <f t="shared" si="79"/>
        <v>-</v>
      </c>
      <c r="AY71" s="5" t="str">
        <f t="shared" si="98"/>
        <v>-</v>
      </c>
      <c r="AZ71" s="5" t="str">
        <f t="shared" si="99"/>
        <v>-</v>
      </c>
      <c r="BA71" t="e">
        <f t="shared" si="100"/>
        <v>#VALUE!</v>
      </c>
      <c r="BB71" s="5">
        <f t="shared" si="80"/>
        <v>2</v>
      </c>
      <c r="BC71" s="1">
        <f t="shared" ca="1" si="81"/>
        <v>56.64762073828112</v>
      </c>
      <c r="BD71" s="1">
        <f t="shared" ca="1" si="82"/>
        <v>8.8435140903386991</v>
      </c>
      <c r="BE71" s="1">
        <f t="shared" ca="1" si="101"/>
        <v>42.451837445871234</v>
      </c>
      <c r="BF71" s="1">
        <f t="shared" ca="1" si="102"/>
        <v>10.626080380655219</v>
      </c>
      <c r="BG71" s="1" t="str">
        <f t="shared" ca="1" si="103"/>
        <v/>
      </c>
      <c r="BH71" s="5">
        <f t="shared" si="83"/>
        <v>20</v>
      </c>
      <c r="BI71" s="1">
        <f t="shared" ca="1" si="84"/>
        <v>24.84334005943041</v>
      </c>
      <c r="BJ71" s="1">
        <f t="shared" ca="1" si="85"/>
        <v>11.120882646626372</v>
      </c>
      <c r="BK71" s="1">
        <f t="shared" ca="1" si="104"/>
        <v>35.302034754474647</v>
      </c>
      <c r="BL71" s="1">
        <f t="shared" ca="1" si="105"/>
        <v>2.7984832827261026</v>
      </c>
      <c r="BM71" s="1" t="str">
        <f t="shared" ca="1" si="106"/>
        <v/>
      </c>
      <c r="BO71" s="5">
        <f t="shared" ca="1" si="107"/>
        <v>13.58047088590655</v>
      </c>
      <c r="BP71" s="5">
        <f t="shared" ca="1" si="108"/>
        <v>74.892635835369333</v>
      </c>
      <c r="BQ71" s="1">
        <f t="shared" ca="1" si="122"/>
        <v>0.18133252668205516</v>
      </c>
      <c r="BS71" s="5">
        <f t="shared" ca="1" si="109"/>
        <v>317.40401753785358</v>
      </c>
      <c r="BT71" s="5">
        <f t="shared" ca="1" si="110"/>
        <v>292.37295324279063</v>
      </c>
      <c r="BU71" s="1">
        <f t="shared" ca="1" si="123"/>
        <v>1.0856134742199521</v>
      </c>
      <c r="BW71" s="5" t="e">
        <f t="shared" ca="1" si="111"/>
        <v>#VALUE!</v>
      </c>
      <c r="BX71" s="5" t="e">
        <f t="shared" ca="1" si="112"/>
        <v>#VALUE!</v>
      </c>
      <c r="BY71" s="1" t="e">
        <f t="shared" ca="1" si="124"/>
        <v>#VALUE!</v>
      </c>
      <c r="CA71" s="5">
        <f t="shared" ca="1" si="113"/>
        <v>9.3456342289262864</v>
      </c>
      <c r="CB71" s="5">
        <f t="shared" ca="1" si="114"/>
        <v>71.637364467076608</v>
      </c>
      <c r="CC71" s="1">
        <f t="shared" ca="1" si="125"/>
        <v>0.13045753844310382</v>
      </c>
      <c r="CE71" s="5" t="e">
        <f t="shared" si="115"/>
        <v>#VALUE!</v>
      </c>
      <c r="CF71" s="5" t="e">
        <f t="shared" si="116"/>
        <v>#VALUE!</v>
      </c>
      <c r="CG71" s="1" t="e">
        <f t="shared" si="126"/>
        <v>#VALUE!</v>
      </c>
      <c r="CI71" s="5">
        <f t="shared" ca="1" si="117"/>
        <v>14.195783292409885</v>
      </c>
      <c r="CJ71" s="5">
        <f t="shared" ca="1" si="118"/>
        <v>13.824663674830028</v>
      </c>
      <c r="CK71" s="1">
        <f t="shared" ca="1" si="127"/>
        <v>1.0268447483648762</v>
      </c>
      <c r="CM71" s="5">
        <f t="shared" ca="1" si="119"/>
        <v>-10.458694695044237</v>
      </c>
      <c r="CN71" s="5">
        <f t="shared" ca="1" si="120"/>
        <v>11.467586473348829</v>
      </c>
      <c r="CO71" s="1">
        <f t="shared" ca="1" si="128"/>
        <v>0.91202230908401682</v>
      </c>
    </row>
    <row r="72" spans="22:93" x14ac:dyDescent="0.2">
      <c r="V72">
        <f t="shared" ref="V72:W72" si="143">V18</f>
        <v>2007</v>
      </c>
      <c r="W72" s="5">
        <f t="shared" si="143"/>
        <v>2</v>
      </c>
      <c r="X72" s="7">
        <f t="shared" si="86"/>
        <v>0</v>
      </c>
      <c r="Y72" s="5">
        <f t="shared" ca="1" si="66"/>
        <v>148.36281621930772</v>
      </c>
      <c r="Z72" s="5">
        <f t="shared" ca="1" si="67"/>
        <v>9.5371230386004129</v>
      </c>
      <c r="AA72" s="5">
        <f t="shared" ca="1" si="87"/>
        <v>182.17766467466913</v>
      </c>
      <c r="AB72" s="5">
        <f t="shared" ca="1" si="88"/>
        <v>30.539867198988603</v>
      </c>
      <c r="AC72" t="str">
        <f t="shared" ca="1" si="89"/>
        <v/>
      </c>
      <c r="AD72" s="5">
        <f t="shared" si="68"/>
        <v>2</v>
      </c>
      <c r="AE72" s="5">
        <f t="shared" ca="1" si="69"/>
        <v>148.36281621930772</v>
      </c>
      <c r="AF72" s="5">
        <f t="shared" ca="1" si="70"/>
        <v>9.5371230386004129</v>
      </c>
      <c r="AG72" s="5">
        <f t="shared" ca="1" si="90"/>
        <v>320.67829793877519</v>
      </c>
      <c r="AH72" s="5">
        <f t="shared" ca="1" si="91"/>
        <v>83.836100750543821</v>
      </c>
      <c r="AI72" t="str">
        <f t="shared" ca="1" si="92"/>
        <v>**</v>
      </c>
      <c r="AJ72" s="5">
        <f t="shared" si="71"/>
        <v>0</v>
      </c>
      <c r="AK72" s="5" t="str">
        <f t="shared" si="72"/>
        <v>-</v>
      </c>
      <c r="AL72" s="5" t="str">
        <f t="shared" si="73"/>
        <v>-</v>
      </c>
      <c r="AM72" s="5">
        <f t="shared" ca="1" si="93"/>
        <v>481.47160261697303</v>
      </c>
      <c r="AN72" s="5">
        <f t="shared" ca="1" si="94"/>
        <v>141.86802904327971</v>
      </c>
      <c r="AO72" t="e">
        <f t="shared" ca="1" si="95"/>
        <v>#VALUE!</v>
      </c>
      <c r="AP72" s="5">
        <f t="shared" si="74"/>
        <v>0</v>
      </c>
      <c r="AQ72" s="5" t="str">
        <f t="shared" si="75"/>
        <v>-</v>
      </c>
      <c r="AR72" s="5" t="str">
        <f t="shared" si="76"/>
        <v>-</v>
      </c>
      <c r="AS72" s="5">
        <f t="shared" ca="1" si="96"/>
        <v>138.95531770932044</v>
      </c>
      <c r="AT72" s="5">
        <f t="shared" ca="1" si="97"/>
        <v>30.237539731830228</v>
      </c>
      <c r="AU72" t="e">
        <f t="shared" ca="1" si="130"/>
        <v>#VALUE!</v>
      </c>
      <c r="AV72" s="5">
        <f t="shared" si="77"/>
        <v>0</v>
      </c>
      <c r="AW72" s="5" t="str">
        <f t="shared" si="78"/>
        <v>-</v>
      </c>
      <c r="AX72" s="5" t="str">
        <f t="shared" si="79"/>
        <v>-</v>
      </c>
      <c r="AY72" s="5" t="str">
        <f t="shared" si="98"/>
        <v>-</v>
      </c>
      <c r="AZ72" s="5" t="str">
        <f t="shared" si="99"/>
        <v>-</v>
      </c>
      <c r="BA72" t="e">
        <f t="shared" si="100"/>
        <v>#VALUE!</v>
      </c>
      <c r="BB72" s="5">
        <f t="shared" si="80"/>
        <v>0</v>
      </c>
      <c r="BC72" s="1" t="str">
        <f t="shared" si="81"/>
        <v>-</v>
      </c>
      <c r="BD72" s="1" t="str">
        <f t="shared" si="82"/>
        <v>-</v>
      </c>
      <c r="BE72" s="1">
        <f t="shared" ca="1" si="101"/>
        <v>43.946130424019643</v>
      </c>
      <c r="BF72" s="1">
        <f t="shared" ca="1" si="102"/>
        <v>9.6051509761111582</v>
      </c>
      <c r="BG72" s="1" t="e">
        <f t="shared" ca="1" si="103"/>
        <v>#VALUE!</v>
      </c>
      <c r="BH72" s="5">
        <f t="shared" si="83"/>
        <v>0</v>
      </c>
      <c r="BI72" s="1" t="str">
        <f t="shared" si="84"/>
        <v>-</v>
      </c>
      <c r="BJ72" s="1" t="str">
        <f t="shared" si="85"/>
        <v>-</v>
      </c>
      <c r="BK72" s="1">
        <f t="shared" ca="1" si="104"/>
        <v>32.951766283678197</v>
      </c>
      <c r="BL72" s="1">
        <f t="shared" ca="1" si="105"/>
        <v>3.3416625020293398</v>
      </c>
      <c r="BM72" s="1" t="e">
        <f t="shared" ca="1" si="106"/>
        <v>#VALUE!</v>
      </c>
      <c r="BO72" s="5">
        <f t="shared" ca="1" si="107"/>
        <v>-33.814848455361414</v>
      </c>
      <c r="BP72" s="5">
        <f t="shared" ca="1" si="108"/>
        <v>31.994377699609391</v>
      </c>
      <c r="BQ72" s="1">
        <f t="shared" ca="1" si="122"/>
        <v>1.0568997082188678</v>
      </c>
      <c r="BS72" s="5">
        <f t="shared" ca="1" si="109"/>
        <v>-172.31548171946747</v>
      </c>
      <c r="BT72" s="5">
        <f t="shared" ca="1" si="110"/>
        <v>84.376824453808027</v>
      </c>
      <c r="BU72" s="1">
        <f t="shared" ca="1" si="123"/>
        <v>2.0422134020201406</v>
      </c>
      <c r="BW72" s="5" t="e">
        <f t="shared" ca="1" si="111"/>
        <v>#VALUE!</v>
      </c>
      <c r="BX72" s="5" t="e">
        <f t="shared" ca="1" si="112"/>
        <v>#VALUE!</v>
      </c>
      <c r="BY72" s="1" t="e">
        <f t="shared" ca="1" si="124"/>
        <v>#VALUE!</v>
      </c>
      <c r="CA72" s="5" t="e">
        <f t="shared" ca="1" si="113"/>
        <v>#VALUE!</v>
      </c>
      <c r="CB72" s="5" t="e">
        <f t="shared" ca="1" si="114"/>
        <v>#VALUE!</v>
      </c>
      <c r="CC72" s="1" t="e">
        <f t="shared" ca="1" si="125"/>
        <v>#VALUE!</v>
      </c>
      <c r="CE72" s="5" t="e">
        <f t="shared" si="115"/>
        <v>#VALUE!</v>
      </c>
      <c r="CF72" s="5" t="e">
        <f t="shared" si="116"/>
        <v>#VALUE!</v>
      </c>
      <c r="CG72" s="1" t="e">
        <f t="shared" si="126"/>
        <v>#VALUE!</v>
      </c>
      <c r="CI72" s="5" t="e">
        <f t="shared" ca="1" si="117"/>
        <v>#VALUE!</v>
      </c>
      <c r="CJ72" s="5" t="e">
        <f t="shared" ca="1" si="118"/>
        <v>#VALUE!</v>
      </c>
      <c r="CK72" s="1" t="e">
        <f t="shared" ca="1" si="127"/>
        <v>#VALUE!</v>
      </c>
      <c r="CM72" s="5" t="e">
        <f t="shared" ca="1" si="119"/>
        <v>#VALUE!</v>
      </c>
      <c r="CN72" s="5" t="e">
        <f t="shared" ca="1" si="120"/>
        <v>#VALUE!</v>
      </c>
      <c r="CO72" s="1" t="e">
        <f t="shared" ca="1" si="128"/>
        <v>#VALUE!</v>
      </c>
    </row>
    <row r="73" spans="22:93" x14ac:dyDescent="0.2">
      <c r="V73">
        <f t="shared" ref="V73:W73" si="144">V19</f>
        <v>2008</v>
      </c>
      <c r="W73" s="5">
        <f t="shared" si="144"/>
        <v>19</v>
      </c>
      <c r="X73" s="7">
        <f t="shared" si="86"/>
        <v>1.8947368421052631</v>
      </c>
      <c r="Y73" s="5">
        <f t="shared" ca="1" si="66"/>
        <v>148.15911504906512</v>
      </c>
      <c r="Z73" s="5">
        <f t="shared" ca="1" si="67"/>
        <v>60.690425565881107</v>
      </c>
      <c r="AA73" s="5">
        <f t="shared" ca="1" si="87"/>
        <v>181.96957329955919</v>
      </c>
      <c r="AB73" s="5">
        <f t="shared" ca="1" si="88"/>
        <v>30.352340766085664</v>
      </c>
      <c r="AC73" t="str">
        <f t="shared" ca="1" si="89"/>
        <v/>
      </c>
      <c r="AD73" s="5">
        <f t="shared" si="68"/>
        <v>2</v>
      </c>
      <c r="AE73" s="5">
        <f t="shared" ca="1" si="69"/>
        <v>152.93924479722045</v>
      </c>
      <c r="AF73" s="5">
        <f t="shared" ca="1" si="70"/>
        <v>84.358145824111304</v>
      </c>
      <c r="AG73" s="5">
        <f t="shared" ca="1" si="90"/>
        <v>317.36453867493924</v>
      </c>
      <c r="AH73" s="5">
        <f t="shared" ca="1" si="91"/>
        <v>82.256811435952372</v>
      </c>
      <c r="AI73" t="str">
        <f t="shared" ca="1" si="92"/>
        <v/>
      </c>
      <c r="AJ73" s="5">
        <f t="shared" si="71"/>
        <v>0</v>
      </c>
      <c r="AK73" s="5" t="str">
        <f t="shared" si="72"/>
        <v>-</v>
      </c>
      <c r="AL73" s="5" t="str">
        <f t="shared" si="73"/>
        <v>-</v>
      </c>
      <c r="AM73" s="5">
        <f t="shared" ca="1" si="93"/>
        <v>481.47160261697303</v>
      </c>
      <c r="AN73" s="5">
        <f t="shared" ca="1" si="94"/>
        <v>141.86802904327971</v>
      </c>
      <c r="AO73" t="e">
        <f t="shared" ca="1" si="95"/>
        <v>#VALUE!</v>
      </c>
      <c r="AP73" s="5">
        <f t="shared" si="74"/>
        <v>6</v>
      </c>
      <c r="AQ73" s="5">
        <f t="shared" ca="1" si="75"/>
        <v>316.34385607092054</v>
      </c>
      <c r="AR73" s="5">
        <f t="shared" ca="1" si="76"/>
        <v>164.01578543173287</v>
      </c>
      <c r="AS73" s="5">
        <f t="shared" ca="1" si="96"/>
        <v>138.95531770932044</v>
      </c>
      <c r="AT73" s="5">
        <f t="shared" ca="1" si="97"/>
        <v>30.237539731830228</v>
      </c>
      <c r="AU73" t="str">
        <f t="shared" ca="1" si="130"/>
        <v/>
      </c>
      <c r="AV73" s="5">
        <f t="shared" si="77"/>
        <v>0</v>
      </c>
      <c r="AW73" s="5" t="str">
        <f t="shared" si="78"/>
        <v>-</v>
      </c>
      <c r="AX73" s="5" t="str">
        <f t="shared" si="79"/>
        <v>-</v>
      </c>
      <c r="AY73" s="5" t="str">
        <f t="shared" si="98"/>
        <v>-</v>
      </c>
      <c r="AZ73" s="5" t="str">
        <f t="shared" si="99"/>
        <v>-</v>
      </c>
      <c r="BA73" t="e">
        <f t="shared" si="100"/>
        <v>#VALUE!</v>
      </c>
      <c r="BB73" s="5">
        <f t="shared" si="80"/>
        <v>3</v>
      </c>
      <c r="BC73" s="1">
        <f t="shared" ca="1" si="81"/>
        <v>141.7416657434047</v>
      </c>
      <c r="BD73" s="1">
        <f t="shared" ca="1" si="82"/>
        <v>64.756236799825345</v>
      </c>
      <c r="BE73" s="1">
        <f t="shared" ca="1" si="101"/>
        <v>43.946130424019643</v>
      </c>
      <c r="BF73" s="1">
        <f t="shared" ca="1" si="102"/>
        <v>9.6051509761111582</v>
      </c>
      <c r="BG73" s="1" t="str">
        <f t="shared" ca="1" si="103"/>
        <v/>
      </c>
      <c r="BH73" s="5">
        <f t="shared" si="83"/>
        <v>8</v>
      </c>
      <c r="BI73" s="1">
        <f t="shared" ca="1" si="84"/>
        <v>23.23207033525744</v>
      </c>
      <c r="BJ73" s="1">
        <f t="shared" ca="1" si="85"/>
        <v>2.1410150230541816</v>
      </c>
      <c r="BK73" s="1">
        <f t="shared" ca="1" si="104"/>
        <v>32.951766283678197</v>
      </c>
      <c r="BL73" s="1">
        <f t="shared" ca="1" si="105"/>
        <v>3.3416625020293398</v>
      </c>
      <c r="BM73" s="1" t="str">
        <f t="shared" ca="1" si="106"/>
        <v>**</v>
      </c>
      <c r="BO73" s="5">
        <f t="shared" ca="1" si="107"/>
        <v>-33.810458250494065</v>
      </c>
      <c r="BP73" s="5">
        <f t="shared" ca="1" si="108"/>
        <v>67.857146604822262</v>
      </c>
      <c r="BQ73" s="1">
        <f t="shared" ca="1" si="122"/>
        <v>0.49825935722577713</v>
      </c>
      <c r="BS73" s="5">
        <f t="shared" ca="1" si="109"/>
        <v>-164.42529387771879</v>
      </c>
      <c r="BT73" s="5">
        <f t="shared" ca="1" si="110"/>
        <v>117.82393557546723</v>
      </c>
      <c r="BU73" s="1">
        <f t="shared" ca="1" si="123"/>
        <v>1.3955169047328502</v>
      </c>
      <c r="BW73" s="5" t="e">
        <f t="shared" ca="1" si="111"/>
        <v>#VALUE!</v>
      </c>
      <c r="BX73" s="5" t="e">
        <f t="shared" ca="1" si="112"/>
        <v>#VALUE!</v>
      </c>
      <c r="BY73" s="1" t="e">
        <f t="shared" ca="1" si="124"/>
        <v>#VALUE!</v>
      </c>
      <c r="CA73" s="5">
        <f t="shared" ca="1" si="113"/>
        <v>177.3885383616001</v>
      </c>
      <c r="CB73" s="5">
        <f t="shared" ca="1" si="114"/>
        <v>166.77975500588266</v>
      </c>
      <c r="CC73" s="1">
        <f t="shared" ca="1" si="125"/>
        <v>1.0636095391514591</v>
      </c>
      <c r="CE73" s="5" t="e">
        <f t="shared" si="115"/>
        <v>#VALUE!</v>
      </c>
      <c r="CF73" s="5" t="e">
        <f t="shared" si="116"/>
        <v>#VALUE!</v>
      </c>
      <c r="CG73" s="1" t="e">
        <f t="shared" si="126"/>
        <v>#VALUE!</v>
      </c>
      <c r="CI73" s="5">
        <f t="shared" ca="1" si="117"/>
        <v>97.795535319385053</v>
      </c>
      <c r="CJ73" s="5">
        <f t="shared" ca="1" si="118"/>
        <v>65.464716678138487</v>
      </c>
      <c r="CK73" s="1">
        <f t="shared" ca="1" si="127"/>
        <v>1.4938663188630774</v>
      </c>
      <c r="CM73" s="5">
        <f t="shared" ca="1" si="119"/>
        <v>-9.7196959484207568</v>
      </c>
      <c r="CN73" s="5">
        <f t="shared" ca="1" si="120"/>
        <v>3.9687093124103567</v>
      </c>
      <c r="CO73" s="1">
        <f t="shared" ca="1" si="128"/>
        <v>2.449082354816658</v>
      </c>
    </row>
    <row r="74" spans="22:93" x14ac:dyDescent="0.2">
      <c r="V74">
        <f t="shared" ref="V74:W74" si="145">V20</f>
        <v>2009</v>
      </c>
      <c r="W74" s="5">
        <f t="shared" si="145"/>
        <v>57</v>
      </c>
      <c r="X74" s="7">
        <f t="shared" si="86"/>
        <v>1.3333333333333333</v>
      </c>
      <c r="Y74" s="5">
        <f t="shared" ca="1" si="66"/>
        <v>55.924155754216251</v>
      </c>
      <c r="Z74" s="5">
        <f t="shared" ca="1" si="67"/>
        <v>10.68154966045282</v>
      </c>
      <c r="AA74" s="5">
        <f t="shared" ca="1" si="87"/>
        <v>180.1021351985145</v>
      </c>
      <c r="AB74" s="5">
        <f t="shared" ca="1" si="88"/>
        <v>28.874163685713814</v>
      </c>
      <c r="AC74" t="str">
        <f t="shared" ca="1" si="89"/>
        <v>***</v>
      </c>
      <c r="AD74" s="5">
        <f t="shared" si="68"/>
        <v>12</v>
      </c>
      <c r="AE74" s="5">
        <f t="shared" ca="1" si="69"/>
        <v>87.711517748050312</v>
      </c>
      <c r="AF74" s="5">
        <f t="shared" ca="1" si="70"/>
        <v>14.763550182212231</v>
      </c>
      <c r="AG74" s="5">
        <f t="shared" ca="1" si="90"/>
        <v>314.26217463951059</v>
      </c>
      <c r="AH74" s="5">
        <f t="shared" ca="1" si="91"/>
        <v>80.749730908710518</v>
      </c>
      <c r="AI74" t="str">
        <f t="shared" ca="1" si="92"/>
        <v>***</v>
      </c>
      <c r="AJ74" s="5">
        <f t="shared" si="71"/>
        <v>0</v>
      </c>
      <c r="AK74" s="5" t="str">
        <f t="shared" si="72"/>
        <v>-</v>
      </c>
      <c r="AL74" s="5" t="str">
        <f t="shared" si="73"/>
        <v>-</v>
      </c>
      <c r="AM74" s="5">
        <f t="shared" ca="1" si="93"/>
        <v>481.47160261697303</v>
      </c>
      <c r="AN74" s="5">
        <f t="shared" ca="1" si="94"/>
        <v>141.86802904327971</v>
      </c>
      <c r="AO74" t="e">
        <f t="shared" ca="1" si="95"/>
        <v>#VALUE!</v>
      </c>
      <c r="AP74" s="5">
        <f t="shared" si="74"/>
        <v>12</v>
      </c>
      <c r="AQ74" s="5">
        <f t="shared" ca="1" si="75"/>
        <v>14.998894190242348</v>
      </c>
      <c r="AR74" s="5">
        <f t="shared" ca="1" si="76"/>
        <v>3.6121201467945157</v>
      </c>
      <c r="AS74" s="5">
        <f t="shared" ca="1" si="96"/>
        <v>158.30679462149496</v>
      </c>
      <c r="AT74" s="5">
        <f t="shared" ca="1" si="97"/>
        <v>33.188176894412884</v>
      </c>
      <c r="AU74" t="str">
        <f t="shared" ca="1" si="130"/>
        <v>***</v>
      </c>
      <c r="AV74" s="5">
        <f t="shared" si="77"/>
        <v>0</v>
      </c>
      <c r="AW74" s="5" t="str">
        <f t="shared" si="78"/>
        <v>-</v>
      </c>
      <c r="AX74" s="5" t="str">
        <f t="shared" si="79"/>
        <v>-</v>
      </c>
      <c r="AY74" s="5" t="str">
        <f t="shared" si="98"/>
        <v>-</v>
      </c>
      <c r="AZ74" s="5" t="str">
        <f t="shared" si="99"/>
        <v>-</v>
      </c>
      <c r="BA74" t="e">
        <f t="shared" si="100"/>
        <v>#VALUE!</v>
      </c>
      <c r="BB74" s="5">
        <f t="shared" si="80"/>
        <v>0</v>
      </c>
      <c r="BC74" s="1" t="str">
        <f t="shared" si="81"/>
        <v>-</v>
      </c>
      <c r="BD74" s="1" t="str">
        <f t="shared" si="82"/>
        <v>-</v>
      </c>
      <c r="BE74" s="1">
        <f t="shared" ca="1" si="101"/>
        <v>57.281885240299424</v>
      </c>
      <c r="BF74" s="1">
        <f t="shared" ca="1" si="102"/>
        <v>14.070745999677877</v>
      </c>
      <c r="BG74" s="1" t="e">
        <f t="shared" ca="1" si="103"/>
        <v>#VALUE!</v>
      </c>
      <c r="BH74" s="5">
        <f t="shared" si="83"/>
        <v>12</v>
      </c>
      <c r="BI74" s="1">
        <f t="shared" ca="1" si="84"/>
        <v>-5.2722625708076816</v>
      </c>
      <c r="BJ74" s="1">
        <f t="shared" ca="1" si="85"/>
        <v>0.60970972073228291</v>
      </c>
      <c r="BK74" s="1">
        <f t="shared" ca="1" si="104"/>
        <v>32.150141875561012</v>
      </c>
      <c r="BL74" s="1">
        <f t="shared" ca="1" si="105"/>
        <v>3.083117477920347</v>
      </c>
      <c r="BM74" s="1" t="str">
        <f t="shared" ca="1" si="106"/>
        <v>***</v>
      </c>
      <c r="BO74" s="5">
        <f t="shared" ca="1" si="107"/>
        <v>-124.17797944429824</v>
      </c>
      <c r="BP74" s="5">
        <f t="shared" ca="1" si="108"/>
        <v>30.786569014719944</v>
      </c>
      <c r="BQ74" s="1">
        <f t="shared" ca="1" si="122"/>
        <v>4.0335114765443718</v>
      </c>
      <c r="BS74" s="5">
        <f t="shared" ca="1" si="109"/>
        <v>-226.55065689146028</v>
      </c>
      <c r="BT74" s="5">
        <f t="shared" ca="1" si="110"/>
        <v>82.088254067265055</v>
      </c>
      <c r="BU74" s="1">
        <f t="shared" ca="1" si="123"/>
        <v>2.7598425556209212</v>
      </c>
      <c r="BW74" s="5" t="e">
        <f t="shared" ca="1" si="111"/>
        <v>#VALUE!</v>
      </c>
      <c r="BX74" s="5" t="e">
        <f t="shared" ca="1" si="112"/>
        <v>#VALUE!</v>
      </c>
      <c r="BY74" s="1" t="e">
        <f t="shared" ca="1" si="124"/>
        <v>#VALUE!</v>
      </c>
      <c r="CA74" s="5">
        <f t="shared" ca="1" si="113"/>
        <v>-143.30790043125262</v>
      </c>
      <c r="CB74" s="5">
        <f t="shared" ca="1" si="114"/>
        <v>33.384165371171406</v>
      </c>
      <c r="CC74" s="1">
        <f t="shared" ca="1" si="125"/>
        <v>4.2926908262623469</v>
      </c>
      <c r="CE74" s="5" t="e">
        <f t="shared" si="115"/>
        <v>#VALUE!</v>
      </c>
      <c r="CF74" s="5" t="e">
        <f t="shared" si="116"/>
        <v>#VALUE!</v>
      </c>
      <c r="CG74" s="1" t="e">
        <f t="shared" si="126"/>
        <v>#VALUE!</v>
      </c>
      <c r="CI74" s="5" t="e">
        <f t="shared" ca="1" si="117"/>
        <v>#VALUE!</v>
      </c>
      <c r="CJ74" s="5" t="e">
        <f t="shared" ca="1" si="118"/>
        <v>#VALUE!</v>
      </c>
      <c r="CK74" s="1" t="e">
        <f t="shared" ca="1" si="127"/>
        <v>#VALUE!</v>
      </c>
      <c r="CM74" s="5">
        <f t="shared" ca="1" si="119"/>
        <v>-37.422404446368695</v>
      </c>
      <c r="CN74" s="5">
        <f t="shared" ca="1" si="120"/>
        <v>3.1428266459054597</v>
      </c>
      <c r="CO74" s="1">
        <f t="shared" ca="1" si="128"/>
        <v>11.907244230324757</v>
      </c>
    </row>
    <row r="75" spans="22:93" x14ac:dyDescent="0.2">
      <c r="V75">
        <f t="shared" ref="V75:W75" si="146">V21</f>
        <v>2010</v>
      </c>
      <c r="W75" s="5">
        <f t="shared" si="146"/>
        <v>25</v>
      </c>
      <c r="X75" s="7">
        <f t="shared" si="86"/>
        <v>1.3333333333333333</v>
      </c>
      <c r="Y75" s="5">
        <f t="shared" ca="1" si="66"/>
        <v>57.641126849275253</v>
      </c>
      <c r="Z75" s="5">
        <f t="shared" ca="1" si="67"/>
        <v>13.670797466567844</v>
      </c>
      <c r="AA75" s="5">
        <f t="shared" ca="1" si="87"/>
        <v>162.45090121266668</v>
      </c>
      <c r="AB75" s="5">
        <f t="shared" ca="1" si="88"/>
        <v>24.91064395087675</v>
      </c>
      <c r="AC75" t="str">
        <f t="shared" ca="1" si="89"/>
        <v>***</v>
      </c>
      <c r="AD75" s="5">
        <f t="shared" si="68"/>
        <v>3</v>
      </c>
      <c r="AE75" s="5">
        <f t="shared" ca="1" si="69"/>
        <v>188.8683906164955</v>
      </c>
      <c r="AF75" s="5">
        <f t="shared" ca="1" si="70"/>
        <v>29.506020556340545</v>
      </c>
      <c r="AG75" s="5">
        <f t="shared" ca="1" si="90"/>
        <v>291.22312478614174</v>
      </c>
      <c r="AH75" s="5">
        <f t="shared" ca="1" si="91"/>
        <v>72.826746786135459</v>
      </c>
      <c r="AI75" t="str">
        <f t="shared" ca="1" si="92"/>
        <v/>
      </c>
      <c r="AJ75" s="5">
        <f t="shared" si="71"/>
        <v>0</v>
      </c>
      <c r="AK75" s="5" t="str">
        <f t="shared" si="72"/>
        <v>-</v>
      </c>
      <c r="AL75" s="5" t="str">
        <f t="shared" si="73"/>
        <v>-</v>
      </c>
      <c r="AM75" s="5">
        <f t="shared" ca="1" si="93"/>
        <v>481.47160261697303</v>
      </c>
      <c r="AN75" s="5">
        <f t="shared" ca="1" si="94"/>
        <v>141.86802904327971</v>
      </c>
      <c r="AO75" t="e">
        <f t="shared" ca="1" si="95"/>
        <v>#VALUE!</v>
      </c>
      <c r="AP75" s="5">
        <f t="shared" si="74"/>
        <v>13</v>
      </c>
      <c r="AQ75" s="5">
        <f t="shared" ca="1" si="75"/>
        <v>34.138689540730489</v>
      </c>
      <c r="AR75" s="5">
        <f t="shared" ca="1" si="76"/>
        <v>8.0294093061850997</v>
      </c>
      <c r="AS75" s="5">
        <f t="shared" ca="1" si="96"/>
        <v>132.63970797709149</v>
      </c>
      <c r="AT75" s="5">
        <f t="shared" ca="1" si="97"/>
        <v>28.066396301731164</v>
      </c>
      <c r="AU75" t="str">
        <f t="shared" ca="1" si="130"/>
        <v>***</v>
      </c>
      <c r="AV75" s="5">
        <f t="shared" si="77"/>
        <v>0</v>
      </c>
      <c r="AW75" s="5" t="str">
        <f t="shared" si="78"/>
        <v>-</v>
      </c>
      <c r="AX75" s="5" t="str">
        <f t="shared" si="79"/>
        <v>-</v>
      </c>
      <c r="AY75" s="5" t="str">
        <f t="shared" si="98"/>
        <v>-</v>
      </c>
      <c r="AZ75" s="5" t="str">
        <f t="shared" si="99"/>
        <v>-</v>
      </c>
      <c r="BA75" t="e">
        <f t="shared" si="100"/>
        <v>#VALUE!</v>
      </c>
      <c r="BB75" s="5">
        <f t="shared" si="80"/>
        <v>0</v>
      </c>
      <c r="BC75" s="1" t="str">
        <f t="shared" si="81"/>
        <v>-</v>
      </c>
      <c r="BD75" s="1" t="str">
        <f t="shared" si="82"/>
        <v>-</v>
      </c>
      <c r="BE75" s="1">
        <f t="shared" ca="1" si="101"/>
        <v>57.281885240299424</v>
      </c>
      <c r="BF75" s="1">
        <f t="shared" ca="1" si="102"/>
        <v>14.070745999677877</v>
      </c>
      <c r="BG75" s="1" t="e">
        <f t="shared" ca="1" si="103"/>
        <v>#VALUE!</v>
      </c>
      <c r="BH75" s="5">
        <f t="shared" si="83"/>
        <v>5</v>
      </c>
      <c r="BI75" s="1">
        <f t="shared" ca="1" si="84"/>
        <v>13.466396066620707</v>
      </c>
      <c r="BJ75" s="1">
        <f t="shared" ca="1" si="85"/>
        <v>6.3949809194277822</v>
      </c>
      <c r="BK75" s="1">
        <f t="shared" ca="1" si="104"/>
        <v>28.030244138346109</v>
      </c>
      <c r="BL75" s="1">
        <f t="shared" ca="1" si="105"/>
        <v>2.9649776025705536</v>
      </c>
      <c r="BM75" s="1" t="str">
        <f t="shared" ca="1" si="106"/>
        <v>**</v>
      </c>
      <c r="BO75" s="5">
        <f t="shared" ca="1" si="107"/>
        <v>-104.80977436339143</v>
      </c>
      <c r="BP75" s="5">
        <f t="shared" ca="1" si="108"/>
        <v>28.415328353184137</v>
      </c>
      <c r="BQ75" s="1">
        <f t="shared" ca="1" si="122"/>
        <v>3.6884942190592973</v>
      </c>
      <c r="BS75" s="5">
        <f t="shared" ca="1" si="109"/>
        <v>-102.35473416964624</v>
      </c>
      <c r="BT75" s="5">
        <f t="shared" ca="1" si="110"/>
        <v>78.576970522686111</v>
      </c>
      <c r="BU75" s="1">
        <f t="shared" ca="1" si="123"/>
        <v>1.3026047388795068</v>
      </c>
      <c r="BW75" s="5" t="e">
        <f t="shared" ca="1" si="111"/>
        <v>#VALUE!</v>
      </c>
      <c r="BX75" s="5" t="e">
        <f t="shared" ca="1" si="112"/>
        <v>#VALUE!</v>
      </c>
      <c r="BY75" s="1" t="e">
        <f t="shared" ca="1" si="124"/>
        <v>#VALUE!</v>
      </c>
      <c r="CA75" s="5">
        <f t="shared" ca="1" si="113"/>
        <v>-98.501018436360994</v>
      </c>
      <c r="CB75" s="5">
        <f t="shared" ca="1" si="114"/>
        <v>29.192362274610129</v>
      </c>
      <c r="CC75" s="1">
        <f t="shared" ca="1" si="125"/>
        <v>3.3742051263193464</v>
      </c>
      <c r="CE75" s="5" t="e">
        <f t="shared" si="115"/>
        <v>#VALUE!</v>
      </c>
      <c r="CF75" s="5" t="e">
        <f t="shared" si="116"/>
        <v>#VALUE!</v>
      </c>
      <c r="CG75" s="1" t="e">
        <f t="shared" si="126"/>
        <v>#VALUE!</v>
      </c>
      <c r="CI75" s="5" t="e">
        <f t="shared" ca="1" si="117"/>
        <v>#VALUE!</v>
      </c>
      <c r="CJ75" s="5" t="e">
        <f t="shared" ca="1" si="118"/>
        <v>#VALUE!</v>
      </c>
      <c r="CK75" s="1" t="e">
        <f t="shared" ca="1" si="127"/>
        <v>#VALUE!</v>
      </c>
      <c r="CM75" s="5">
        <f t="shared" ca="1" si="119"/>
        <v>-14.563848071725403</v>
      </c>
      <c r="CN75" s="5">
        <f t="shared" ca="1" si="120"/>
        <v>7.0488916251840923</v>
      </c>
      <c r="CO75" s="1">
        <f t="shared" ca="1" si="128"/>
        <v>2.0661188802636818</v>
      </c>
    </row>
    <row r="76" spans="22:93" x14ac:dyDescent="0.2">
      <c r="V76">
        <f t="shared" ref="V76:W76" si="147">V22</f>
        <v>2011</v>
      </c>
      <c r="W76" s="5">
        <f t="shared" si="147"/>
        <v>131</v>
      </c>
      <c r="X76" s="7">
        <f t="shared" si="86"/>
        <v>1.2844827586206897</v>
      </c>
      <c r="Y76" s="5">
        <f t="shared" ca="1" si="66"/>
        <v>333.21302487383099</v>
      </c>
      <c r="Z76" s="5">
        <f t="shared" ca="1" si="67"/>
        <v>76.869025947249625</v>
      </c>
      <c r="AA76" s="5">
        <f t="shared" ca="1" si="87"/>
        <v>156.30009285800753</v>
      </c>
      <c r="AB76" s="5">
        <f t="shared" ca="1" si="88"/>
        <v>23.492809402497691</v>
      </c>
      <c r="AC76" t="str">
        <f t="shared" ca="1" si="89"/>
        <v>**</v>
      </c>
      <c r="AD76" s="5">
        <f t="shared" si="68"/>
        <v>20</v>
      </c>
      <c r="AE76" s="5">
        <f t="shared" ca="1" si="69"/>
        <v>1194.2566719599427</v>
      </c>
      <c r="AF76" s="5">
        <f t="shared" ca="1" si="70"/>
        <v>418.78640407199828</v>
      </c>
      <c r="AG76" s="5">
        <f t="shared" ca="1" si="90"/>
        <v>288.68540410424964</v>
      </c>
      <c r="AH76" s="5">
        <f t="shared" ca="1" si="91"/>
        <v>71.039628482591951</v>
      </c>
      <c r="AI76" t="str">
        <f t="shared" ca="1" si="92"/>
        <v>**</v>
      </c>
      <c r="AJ76" s="5">
        <f t="shared" si="71"/>
        <v>10</v>
      </c>
      <c r="AK76" s="5">
        <f t="shared" ca="1" si="72"/>
        <v>574.69957756433462</v>
      </c>
      <c r="AL76" s="5">
        <f t="shared" ca="1" si="73"/>
        <v>269.61314463591162</v>
      </c>
      <c r="AM76" s="5">
        <f t="shared" ca="1" si="93"/>
        <v>481.47160261697303</v>
      </c>
      <c r="AN76" s="5">
        <f t="shared" ca="1" si="94"/>
        <v>141.86802904327971</v>
      </c>
      <c r="AO76" t="str">
        <f t="shared" ca="1" si="95"/>
        <v/>
      </c>
      <c r="AP76" s="5">
        <f t="shared" si="74"/>
        <v>49</v>
      </c>
      <c r="AQ76" s="5">
        <f t="shared" ca="1" si="75"/>
        <v>123.32966456864384</v>
      </c>
      <c r="AR76" s="5">
        <f t="shared" ca="1" si="76"/>
        <v>27.512325193335265</v>
      </c>
      <c r="AS76" s="5">
        <f t="shared" ca="1" si="96"/>
        <v>116.63329248118286</v>
      </c>
      <c r="AT76" s="5">
        <f t="shared" ca="1" si="97"/>
        <v>23.889778991663114</v>
      </c>
      <c r="AU76" t="str">
        <f t="shared" ca="1" si="130"/>
        <v/>
      </c>
      <c r="AV76" s="5">
        <f t="shared" si="77"/>
        <v>8</v>
      </c>
      <c r="AW76" s="5">
        <f t="shared" ca="1" si="78"/>
        <v>144.17196164100866</v>
      </c>
      <c r="AX76" s="5">
        <f t="shared" ca="1" si="79"/>
        <v>67.738339422094441</v>
      </c>
      <c r="AY76" s="5" t="str">
        <f t="shared" si="98"/>
        <v>-</v>
      </c>
      <c r="AZ76" s="5" t="str">
        <f t="shared" si="99"/>
        <v>-</v>
      </c>
      <c r="BA76" t="e">
        <f t="shared" ca="1" si="100"/>
        <v>#VALUE!</v>
      </c>
      <c r="BB76" s="5">
        <f t="shared" si="80"/>
        <v>0</v>
      </c>
      <c r="BC76" s="1" t="str">
        <f t="shared" si="81"/>
        <v>-</v>
      </c>
      <c r="BD76" s="1" t="str">
        <f t="shared" si="82"/>
        <v>-</v>
      </c>
      <c r="BE76" s="1">
        <f t="shared" ca="1" si="101"/>
        <v>57.281885240299424</v>
      </c>
      <c r="BF76" s="1">
        <f t="shared" ca="1" si="102"/>
        <v>14.070745999677877</v>
      </c>
      <c r="BG76" s="1" t="e">
        <f t="shared" ca="1" si="103"/>
        <v>#VALUE!</v>
      </c>
      <c r="BH76" s="5">
        <f t="shared" si="83"/>
        <v>29</v>
      </c>
      <c r="BI76" s="1">
        <f t="shared" ca="1" si="84"/>
        <v>17.530030667973996</v>
      </c>
      <c r="BJ76" s="1">
        <f t="shared" ca="1" si="85"/>
        <v>5.6839984787912243</v>
      </c>
      <c r="BK76" s="1">
        <f t="shared" ca="1" si="104"/>
        <v>27.391478872042363</v>
      </c>
      <c r="BL76" s="1">
        <f t="shared" ca="1" si="105"/>
        <v>2.8624377576109361</v>
      </c>
      <c r="BM76" s="1" t="str">
        <f t="shared" ca="1" si="106"/>
        <v/>
      </c>
      <c r="BO76" s="5">
        <f t="shared" ca="1" si="107"/>
        <v>176.91293201582346</v>
      </c>
      <c r="BP76" s="5">
        <f t="shared" ca="1" si="108"/>
        <v>80.378848235720696</v>
      </c>
      <c r="BQ76" s="1">
        <f t="shared" ca="1" si="122"/>
        <v>2.2009886418999796</v>
      </c>
      <c r="BS76" s="5">
        <f t="shared" ca="1" si="109"/>
        <v>905.57126785569301</v>
      </c>
      <c r="BT76" s="5">
        <f t="shared" ca="1" si="110"/>
        <v>424.76897373807765</v>
      </c>
      <c r="BU76" s="1">
        <f t="shared" ca="1" si="123"/>
        <v>2.131914814508296</v>
      </c>
      <c r="BW76" s="5">
        <f t="shared" ca="1" si="111"/>
        <v>93.227974947361588</v>
      </c>
      <c r="BX76" s="5">
        <f t="shared" ca="1" si="112"/>
        <v>304.66011459508422</v>
      </c>
      <c r="BY76" s="1">
        <f t="shared" ca="1" si="124"/>
        <v>0.30600649865594792</v>
      </c>
      <c r="CA76" s="5">
        <f t="shared" ca="1" si="113"/>
        <v>6.696372087460972</v>
      </c>
      <c r="CB76" s="5">
        <f t="shared" ca="1" si="114"/>
        <v>36.436926020375793</v>
      </c>
      <c r="CC76" s="1">
        <f t="shared" ca="1" si="125"/>
        <v>0.18377983048614782</v>
      </c>
      <c r="CE76" s="5" t="e">
        <f t="shared" ca="1" si="115"/>
        <v>#VALUE!</v>
      </c>
      <c r="CF76" s="5" t="e">
        <f t="shared" ca="1" si="116"/>
        <v>#VALUE!</v>
      </c>
      <c r="CG76" s="1" t="e">
        <f t="shared" ca="1" si="126"/>
        <v>#VALUE!</v>
      </c>
      <c r="CI76" s="5" t="e">
        <f t="shared" ca="1" si="117"/>
        <v>#VALUE!</v>
      </c>
      <c r="CJ76" s="5" t="e">
        <f t="shared" ca="1" si="118"/>
        <v>#VALUE!</v>
      </c>
      <c r="CK76" s="1" t="e">
        <f t="shared" ca="1" si="127"/>
        <v>#VALUE!</v>
      </c>
      <c r="CM76" s="5">
        <f t="shared" ca="1" si="119"/>
        <v>-9.8614482040683669</v>
      </c>
      <c r="CN76" s="5">
        <f t="shared" ca="1" si="120"/>
        <v>6.3640701302780815</v>
      </c>
      <c r="CO76" s="1">
        <f t="shared" ca="1" si="128"/>
        <v>1.5495505238308027</v>
      </c>
    </row>
    <row r="77" spans="22:93" x14ac:dyDescent="0.2">
      <c r="V77">
        <f t="shared" ref="V77:W77" si="148">V23</f>
        <v>2012</v>
      </c>
      <c r="W77" s="5">
        <f t="shared" si="148"/>
        <v>230</v>
      </c>
      <c r="X77" s="7">
        <f t="shared" si="86"/>
        <v>2.6923076923076925</v>
      </c>
      <c r="Y77" s="5">
        <f t="shared" ca="1" si="66"/>
        <v>106.79507908195839</v>
      </c>
      <c r="Z77" s="5">
        <f t="shared" ca="1" si="67"/>
        <v>10.771421707621707</v>
      </c>
      <c r="AA77" s="5">
        <f t="shared" ca="1" si="87"/>
        <v>197.90798171630689</v>
      </c>
      <c r="AB77" s="5">
        <f t="shared" ca="1" si="88"/>
        <v>25.686196519729126</v>
      </c>
      <c r="AC77" t="str">
        <f t="shared" ca="1" si="89"/>
        <v>***</v>
      </c>
      <c r="AD77" s="5">
        <f t="shared" si="68"/>
        <v>0</v>
      </c>
      <c r="AE77" s="5" t="str">
        <f t="shared" si="69"/>
        <v>-</v>
      </c>
      <c r="AF77" s="5" t="str">
        <f t="shared" si="70"/>
        <v>-</v>
      </c>
      <c r="AG77" s="5">
        <f t="shared" ca="1" si="90"/>
        <v>417.13522933200755</v>
      </c>
      <c r="AH77" s="5">
        <f t="shared" ca="1" si="91"/>
        <v>89.180072755977932</v>
      </c>
      <c r="AI77" t="e">
        <f t="shared" ca="1" si="92"/>
        <v>#VALUE!</v>
      </c>
      <c r="AJ77" s="5">
        <f t="shared" si="71"/>
        <v>0</v>
      </c>
      <c r="AK77" s="5" t="str">
        <f t="shared" si="72"/>
        <v>-</v>
      </c>
      <c r="AL77" s="5" t="str">
        <f t="shared" si="73"/>
        <v>-</v>
      </c>
      <c r="AM77" s="5">
        <f t="shared" ca="1" si="93"/>
        <v>548.06301329365988</v>
      </c>
      <c r="AN77" s="5">
        <f t="shared" ca="1" si="94"/>
        <v>197.12192057752338</v>
      </c>
      <c r="AO77" t="e">
        <f t="shared" ca="1" si="95"/>
        <v>#VALUE!</v>
      </c>
      <c r="AP77" s="5">
        <f t="shared" si="74"/>
        <v>8</v>
      </c>
      <c r="AQ77" s="5">
        <f t="shared" ca="1" si="75"/>
        <v>111.7402648763878</v>
      </c>
      <c r="AR77" s="5">
        <f t="shared" ca="1" si="76"/>
        <v>23.690927654094665</v>
      </c>
      <c r="AS77" s="5">
        <f t="shared" ca="1" si="96"/>
        <v>119.17687567719516</v>
      </c>
      <c r="AT77" s="5">
        <f t="shared" ca="1" si="97"/>
        <v>18.132518185469031</v>
      </c>
      <c r="AU77" t="str">
        <f t="shared" ca="1" si="130"/>
        <v/>
      </c>
      <c r="AV77" s="5">
        <f t="shared" si="77"/>
        <v>0</v>
      </c>
      <c r="AW77" s="5" t="str">
        <f t="shared" si="78"/>
        <v>-</v>
      </c>
      <c r="AX77" s="5" t="str">
        <f t="shared" si="79"/>
        <v>-</v>
      </c>
      <c r="AY77" s="5">
        <f t="shared" ca="1" si="98"/>
        <v>144.17196164100866</v>
      </c>
      <c r="AZ77" s="5">
        <f t="shared" ca="1" si="99"/>
        <v>67.738339422094441</v>
      </c>
      <c r="BA77" t="e">
        <f t="shared" ca="1" si="100"/>
        <v>#VALUE!</v>
      </c>
      <c r="BB77" s="5">
        <f t="shared" si="80"/>
        <v>0</v>
      </c>
      <c r="BC77" s="1" t="str">
        <f t="shared" si="81"/>
        <v>-</v>
      </c>
      <c r="BD77" s="1" t="str">
        <f t="shared" si="82"/>
        <v>-</v>
      </c>
      <c r="BE77" s="1">
        <f t="shared" ca="1" si="101"/>
        <v>57.281885240299424</v>
      </c>
      <c r="BF77" s="1">
        <f t="shared" ca="1" si="102"/>
        <v>14.070745999677877</v>
      </c>
      <c r="BG77" s="1" t="e">
        <f t="shared" ca="1" si="103"/>
        <v>#VALUE!</v>
      </c>
      <c r="BH77" s="5">
        <f t="shared" si="83"/>
        <v>44</v>
      </c>
      <c r="BI77" s="1">
        <f t="shared" ca="1" si="84"/>
        <v>38.436710483434815</v>
      </c>
      <c r="BJ77" s="1">
        <f t="shared" ca="1" si="85"/>
        <v>1.7299458126181606</v>
      </c>
      <c r="BK77" s="1">
        <f t="shared" ca="1" si="104"/>
        <v>25.391604760727798</v>
      </c>
      <c r="BL77" s="1">
        <f t="shared" ca="1" si="105"/>
        <v>2.5779693080600361</v>
      </c>
      <c r="BM77" s="1" t="str">
        <f t="shared" ca="1" si="106"/>
        <v>***</v>
      </c>
      <c r="BO77" s="5">
        <f t="shared" ca="1" si="107"/>
        <v>-91.112902634348501</v>
      </c>
      <c r="BP77" s="5">
        <f t="shared" ca="1" si="108"/>
        <v>27.853262237188105</v>
      </c>
      <c r="BQ77" s="1">
        <f t="shared" ca="1" si="122"/>
        <v>3.2711752705469341</v>
      </c>
      <c r="BS77" s="5" t="e">
        <f t="shared" ca="1" si="109"/>
        <v>#VALUE!</v>
      </c>
      <c r="BT77" s="5" t="e">
        <f t="shared" ca="1" si="110"/>
        <v>#VALUE!</v>
      </c>
      <c r="BU77" s="1" t="e">
        <f t="shared" ca="1" si="123"/>
        <v>#VALUE!</v>
      </c>
      <c r="BW77" s="5" t="e">
        <f t="shared" ca="1" si="111"/>
        <v>#VALUE!</v>
      </c>
      <c r="BX77" s="5" t="e">
        <f t="shared" ca="1" si="112"/>
        <v>#VALUE!</v>
      </c>
      <c r="BY77" s="1" t="e">
        <f t="shared" ca="1" si="124"/>
        <v>#VALUE!</v>
      </c>
      <c r="CA77" s="5">
        <f t="shared" ca="1" si="113"/>
        <v>-7.4366108008073581</v>
      </c>
      <c r="CB77" s="5">
        <f t="shared" ca="1" si="114"/>
        <v>29.833676757280731</v>
      </c>
      <c r="CC77" s="1">
        <f t="shared" ca="1" si="125"/>
        <v>0.24926900097865065</v>
      </c>
      <c r="CE77" s="5" t="e">
        <f t="shared" ca="1" si="115"/>
        <v>#VALUE!</v>
      </c>
      <c r="CF77" s="5" t="e">
        <f t="shared" ca="1" si="116"/>
        <v>#VALUE!</v>
      </c>
      <c r="CG77" s="1" t="e">
        <f t="shared" ca="1" si="126"/>
        <v>#VALUE!</v>
      </c>
      <c r="CI77" s="5" t="e">
        <f t="shared" ca="1" si="117"/>
        <v>#VALUE!</v>
      </c>
      <c r="CJ77" s="5" t="e">
        <f t="shared" ca="1" si="118"/>
        <v>#VALUE!</v>
      </c>
      <c r="CK77" s="1" t="e">
        <f t="shared" ca="1" si="127"/>
        <v>#VALUE!</v>
      </c>
      <c r="CM77" s="5">
        <f t="shared" ca="1" si="119"/>
        <v>13.045105722707017</v>
      </c>
      <c r="CN77" s="5">
        <f t="shared" ca="1" si="120"/>
        <v>3.104615639317474</v>
      </c>
      <c r="CO77" s="1">
        <f t="shared" ca="1" si="128"/>
        <v>4.2018424301872308</v>
      </c>
    </row>
    <row r="78" spans="22:93" x14ac:dyDescent="0.2">
      <c r="V78">
        <f t="shared" ref="V78:W78" si="149">V24</f>
        <v>2013</v>
      </c>
      <c r="W78" s="5">
        <f t="shared" si="149"/>
        <v>110</v>
      </c>
      <c r="X78" s="7">
        <f t="shared" si="86"/>
        <v>1.413846153846154</v>
      </c>
      <c r="Y78" s="5">
        <f t="shared" ca="1" si="66"/>
        <v>292.63422104263151</v>
      </c>
      <c r="Z78" s="5">
        <f t="shared" ca="1" si="67"/>
        <v>73.242028888487596</v>
      </c>
      <c r="AA78" s="5">
        <f t="shared" ca="1" si="87"/>
        <v>171.28032275074113</v>
      </c>
      <c r="AB78" s="5">
        <f t="shared" ca="1" si="88"/>
        <v>18.508998023782496</v>
      </c>
      <c r="AC78" t="str">
        <f t="shared" ca="1" si="89"/>
        <v/>
      </c>
      <c r="AD78" s="5">
        <f t="shared" si="68"/>
        <v>4</v>
      </c>
      <c r="AE78" s="5">
        <f t="shared" ca="1" si="69"/>
        <v>1606.3184108284368</v>
      </c>
      <c r="AF78" s="5">
        <f t="shared" ca="1" si="70"/>
        <v>1195.0199829755288</v>
      </c>
      <c r="AG78" s="5">
        <f t="shared" ca="1" si="90"/>
        <v>417.13522933200755</v>
      </c>
      <c r="AH78" s="5">
        <f t="shared" ca="1" si="91"/>
        <v>89.180072755977932</v>
      </c>
      <c r="AI78" t="str">
        <f t="shared" ca="1" si="92"/>
        <v/>
      </c>
      <c r="AJ78" s="5">
        <f t="shared" si="71"/>
        <v>9</v>
      </c>
      <c r="AK78" s="5">
        <f t="shared" ca="1" si="72"/>
        <v>539.78851717529085</v>
      </c>
      <c r="AL78" s="5">
        <f t="shared" ca="1" si="73"/>
        <v>186.51189566117441</v>
      </c>
      <c r="AM78" s="5">
        <f t="shared" ca="1" si="93"/>
        <v>548.06301329365988</v>
      </c>
      <c r="AN78" s="5">
        <f t="shared" ca="1" si="94"/>
        <v>197.12192057752338</v>
      </c>
      <c r="AO78" t="str">
        <f t="shared" ca="1" si="95"/>
        <v/>
      </c>
      <c r="AP78" s="5">
        <f t="shared" si="74"/>
        <v>12</v>
      </c>
      <c r="AQ78" s="5">
        <f t="shared" ca="1" si="75"/>
        <v>307.14661968690291</v>
      </c>
      <c r="AR78" s="5">
        <f t="shared" ca="1" si="76"/>
        <v>118.63647536827709</v>
      </c>
      <c r="AS78" s="5">
        <f t="shared" ca="1" si="96"/>
        <v>118.74262103189253</v>
      </c>
      <c r="AT78" s="5">
        <f t="shared" ca="1" si="97"/>
        <v>17.130287320235173</v>
      </c>
      <c r="AU78" t="str">
        <f t="shared" ca="1" si="130"/>
        <v/>
      </c>
      <c r="AV78" s="5">
        <f t="shared" si="77"/>
        <v>24</v>
      </c>
      <c r="AW78" s="5">
        <f t="shared" ca="1" si="78"/>
        <v>422.57344265678648</v>
      </c>
      <c r="AX78" s="5">
        <f t="shared" ca="1" si="79"/>
        <v>214.05579454594073</v>
      </c>
      <c r="AY78" s="5">
        <f t="shared" ca="1" si="98"/>
        <v>144.17196164100866</v>
      </c>
      <c r="AZ78" s="5">
        <f t="shared" ca="1" si="99"/>
        <v>67.738339422094441</v>
      </c>
      <c r="BA78" t="str">
        <f t="shared" ca="1" si="100"/>
        <v/>
      </c>
      <c r="BB78" s="5">
        <f t="shared" si="80"/>
        <v>5</v>
      </c>
      <c r="BC78" s="1">
        <f t="shared" ca="1" si="81"/>
        <v>59.904921804756</v>
      </c>
      <c r="BD78" s="1">
        <f t="shared" ca="1" si="82"/>
        <v>15.364257726488523</v>
      </c>
      <c r="BE78" s="1">
        <f t="shared" ca="1" si="101"/>
        <v>57.281885240299424</v>
      </c>
      <c r="BF78" s="1">
        <f t="shared" ca="1" si="102"/>
        <v>14.070745999677877</v>
      </c>
      <c r="BG78" s="1" t="str">
        <f t="shared" ca="1" si="103"/>
        <v/>
      </c>
      <c r="BH78" s="5">
        <f t="shared" si="83"/>
        <v>11</v>
      </c>
      <c r="BI78" s="1">
        <f t="shared" ca="1" si="84"/>
        <v>25.865300432022465</v>
      </c>
      <c r="BJ78" s="1">
        <f t="shared" ca="1" si="85"/>
        <v>5.4534061909049516</v>
      </c>
      <c r="BK78" s="1">
        <f t="shared" ca="1" si="104"/>
        <v>28.461041401364739</v>
      </c>
      <c r="BL78" s="1">
        <f t="shared" ca="1" si="105"/>
        <v>2.0532413253206245</v>
      </c>
      <c r="BM78" s="1" t="str">
        <f t="shared" ca="1" si="106"/>
        <v/>
      </c>
      <c r="BO78" s="5">
        <f t="shared" ca="1" si="107"/>
        <v>121.35389829189037</v>
      </c>
      <c r="BP78" s="5">
        <f t="shared" ca="1" si="108"/>
        <v>75.54454185145633</v>
      </c>
      <c r="BQ78" s="1">
        <f t="shared" ca="1" si="122"/>
        <v>1.606388698875284</v>
      </c>
      <c r="BS78" s="5">
        <f t="shared" ca="1" si="109"/>
        <v>1189.1831814964291</v>
      </c>
      <c r="BT78" s="5">
        <f t="shared" ca="1" si="110"/>
        <v>1198.3429580414761</v>
      </c>
      <c r="BU78" s="1">
        <f t="shared" ca="1" si="123"/>
        <v>0.9923562979332583</v>
      </c>
      <c r="BW78" s="5">
        <f t="shared" ca="1" si="111"/>
        <v>-8.2744961183690293</v>
      </c>
      <c r="BX78" s="5">
        <f t="shared" ca="1" si="112"/>
        <v>271.3737990213798</v>
      </c>
      <c r="BY78" s="1">
        <f t="shared" ca="1" si="124"/>
        <v>3.0491138599998503E-2</v>
      </c>
      <c r="CA78" s="5">
        <f t="shared" ca="1" si="113"/>
        <v>188.40399865501038</v>
      </c>
      <c r="CB78" s="5">
        <f t="shared" ca="1" si="114"/>
        <v>119.86684291947306</v>
      </c>
      <c r="CC78" s="1">
        <f t="shared" ca="1" si="125"/>
        <v>1.5717774329101235</v>
      </c>
      <c r="CE78" s="5">
        <f t="shared" ca="1" si="115"/>
        <v>278.40148101577779</v>
      </c>
      <c r="CF78" s="5">
        <f t="shared" ca="1" si="116"/>
        <v>224.51807456495985</v>
      </c>
      <c r="CG78" s="1">
        <f t="shared" ca="1" si="126"/>
        <v>1.2399958513595208</v>
      </c>
      <c r="CI78" s="5">
        <f t="shared" ca="1" si="117"/>
        <v>2.6230365644565765</v>
      </c>
      <c r="CJ78" s="5">
        <f t="shared" ca="1" si="118"/>
        <v>20.833778065281706</v>
      </c>
      <c r="CK78" s="1">
        <f t="shared" ca="1" si="127"/>
        <v>0.12590306742432456</v>
      </c>
      <c r="CM78" s="5">
        <f t="shared" ca="1" si="119"/>
        <v>-2.5957409693422733</v>
      </c>
      <c r="CN78" s="5">
        <f t="shared" ca="1" si="120"/>
        <v>5.827129569780034</v>
      </c>
      <c r="CO78" s="1">
        <f t="shared" ca="1" si="128"/>
        <v>0.44545791169703797</v>
      </c>
    </row>
    <row r="79" spans="22:93" x14ac:dyDescent="0.2">
      <c r="V79">
        <f t="shared" ref="V79:W79" si="150">V25</f>
        <v>2014</v>
      </c>
      <c r="W79" s="5">
        <f t="shared" si="150"/>
        <v>244</v>
      </c>
      <c r="X79" s="7">
        <f t="shared" si="86"/>
        <v>0.99828571428571422</v>
      </c>
      <c r="Y79" s="5">
        <f t="shared" ca="1" si="66"/>
        <v>842.25018689809838</v>
      </c>
      <c r="Z79" s="5">
        <f t="shared" ca="1" si="67"/>
        <v>441.12561125672681</v>
      </c>
      <c r="AA79" s="5">
        <f t="shared" ca="1" si="87"/>
        <v>186.16207170515364</v>
      </c>
      <c r="AB79" s="5">
        <f t="shared" ca="1" si="88"/>
        <v>18.605118709894025</v>
      </c>
      <c r="AC79" t="str">
        <f t="shared" ca="1" si="89"/>
        <v/>
      </c>
      <c r="AD79" s="5">
        <f t="shared" si="68"/>
        <v>6</v>
      </c>
      <c r="AE79" s="5">
        <f t="shared" ca="1" si="69"/>
        <v>5629.9565613012965</v>
      </c>
      <c r="AF79" s="5">
        <f t="shared" ca="1" si="70"/>
        <v>2059.6757016156848</v>
      </c>
      <c r="AG79" s="5">
        <f t="shared" ca="1" si="90"/>
        <v>449.94028261466758</v>
      </c>
      <c r="AH79" s="5">
        <f t="shared" ca="1" si="91"/>
        <v>94.173931784090641</v>
      </c>
      <c r="AI79" t="str">
        <f t="shared" ca="1" si="92"/>
        <v>**</v>
      </c>
      <c r="AJ79" s="5">
        <f t="shared" si="71"/>
        <v>52</v>
      </c>
      <c r="AK79" s="5">
        <f t="shared" ca="1" si="72"/>
        <v>152.41273484460365</v>
      </c>
      <c r="AL79" s="5">
        <f t="shared" ca="1" si="73"/>
        <v>19.208048265736398</v>
      </c>
      <c r="AM79" s="5">
        <f t="shared" ca="1" si="93"/>
        <v>544.82516698647191</v>
      </c>
      <c r="AN79" s="5">
        <f t="shared" ca="1" si="94"/>
        <v>140.44271652694528</v>
      </c>
      <c r="AO79" t="str">
        <f t="shared" ca="1" si="95"/>
        <v>***</v>
      </c>
      <c r="AP79" s="5">
        <f t="shared" si="74"/>
        <v>36</v>
      </c>
      <c r="AQ79" s="5">
        <f t="shared" ca="1" si="75"/>
        <v>699.56154930318246</v>
      </c>
      <c r="AR79" s="5">
        <f t="shared" ca="1" si="76"/>
        <v>413.79609720154389</v>
      </c>
      <c r="AS79" s="5">
        <f t="shared" ca="1" si="96"/>
        <v>133.91609743363833</v>
      </c>
      <c r="AT79" s="5">
        <f t="shared" ca="1" si="97"/>
        <v>18.894845461431238</v>
      </c>
      <c r="AU79" t="str">
        <f t="shared" ca="1" si="130"/>
        <v/>
      </c>
      <c r="AV79" s="5">
        <f t="shared" si="77"/>
        <v>73</v>
      </c>
      <c r="AW79" s="5">
        <f t="shared" ca="1" si="78"/>
        <v>1577.9199494712498</v>
      </c>
      <c r="AX79" s="5">
        <f t="shared" ca="1" si="79"/>
        <v>1432.5499138277582</v>
      </c>
      <c r="AY79" s="5">
        <f t="shared" ca="1" si="98"/>
        <v>352.97307240284204</v>
      </c>
      <c r="AZ79" s="5">
        <f t="shared" ca="1" si="99"/>
        <v>162.8330718376065</v>
      </c>
      <c r="BA79" t="str">
        <f t="shared" ca="1" si="100"/>
        <v/>
      </c>
      <c r="BB79" s="5">
        <f t="shared" si="80"/>
        <v>0</v>
      </c>
      <c r="BC79" s="1" t="str">
        <f t="shared" si="81"/>
        <v>-</v>
      </c>
      <c r="BD79" s="1" t="str">
        <f t="shared" si="82"/>
        <v>-</v>
      </c>
      <c r="BE79" s="1">
        <f t="shared" ca="1" si="101"/>
        <v>57.767632752235833</v>
      </c>
      <c r="BF79" s="1">
        <f t="shared" ca="1" si="102"/>
        <v>11.814449868376329</v>
      </c>
      <c r="BG79" s="1" t="e">
        <f t="shared" ca="1" si="103"/>
        <v>#VALUE!</v>
      </c>
      <c r="BH79" s="5">
        <f t="shared" si="83"/>
        <v>8</v>
      </c>
      <c r="BI79" s="1">
        <f t="shared" ca="1" si="84"/>
        <v>57.434037768599097</v>
      </c>
      <c r="BJ79" s="1">
        <f t="shared" ca="1" si="85"/>
        <v>9.4445372455980934</v>
      </c>
      <c r="BK79" s="1">
        <f t="shared" ca="1" si="104"/>
        <v>28.316833569734612</v>
      </c>
      <c r="BL79" s="1">
        <f t="shared" ca="1" si="105"/>
        <v>1.9631515399041444</v>
      </c>
      <c r="BM79" s="1" t="str">
        <f t="shared" ca="1" si="106"/>
        <v>***</v>
      </c>
      <c r="BO79" s="5">
        <f t="shared" ca="1" si="107"/>
        <v>656.08811519294477</v>
      </c>
      <c r="BP79" s="5">
        <f t="shared" ca="1" si="108"/>
        <v>441.51778599375825</v>
      </c>
      <c r="BQ79" s="1">
        <f t="shared" ca="1" si="122"/>
        <v>1.4859834326180914</v>
      </c>
      <c r="BS79" s="5">
        <f t="shared" ca="1" si="109"/>
        <v>5180.0162786866285</v>
      </c>
      <c r="BT79" s="5">
        <f t="shared" ca="1" si="110"/>
        <v>2061.8275207334241</v>
      </c>
      <c r="BU79" s="1">
        <f t="shared" ca="1" si="123"/>
        <v>2.5123421947748645</v>
      </c>
      <c r="BW79" s="5">
        <f t="shared" ca="1" si="111"/>
        <v>-392.41243214186829</v>
      </c>
      <c r="BX79" s="5">
        <f t="shared" ca="1" si="112"/>
        <v>141.75015253482715</v>
      </c>
      <c r="BY79" s="1">
        <f t="shared" ca="1" si="124"/>
        <v>2.7683386939950907</v>
      </c>
      <c r="CA79" s="5">
        <f t="shared" ca="1" si="113"/>
        <v>565.6454518695441</v>
      </c>
      <c r="CB79" s="5">
        <f t="shared" ca="1" si="114"/>
        <v>414.22726279693484</v>
      </c>
      <c r="CC79" s="1">
        <f t="shared" ca="1" si="125"/>
        <v>1.3655437550155614</v>
      </c>
      <c r="CE79" s="5">
        <f t="shared" ca="1" si="115"/>
        <v>1224.9468770684077</v>
      </c>
      <c r="CF79" s="5">
        <f t="shared" ca="1" si="116"/>
        <v>1441.7745541144734</v>
      </c>
      <c r="CG79" s="1">
        <f t="shared" ca="1" si="126"/>
        <v>0.84961055358669479</v>
      </c>
      <c r="CI79" s="5" t="e">
        <f t="shared" ca="1" si="117"/>
        <v>#VALUE!</v>
      </c>
      <c r="CJ79" s="5" t="e">
        <f t="shared" ca="1" si="118"/>
        <v>#VALUE!</v>
      </c>
      <c r="CK79" s="1" t="e">
        <f t="shared" ca="1" si="127"/>
        <v>#VALUE!</v>
      </c>
      <c r="CM79" s="5">
        <f t="shared" ca="1" si="119"/>
        <v>29.117204198864485</v>
      </c>
      <c r="CN79" s="5">
        <f t="shared" ca="1" si="120"/>
        <v>9.6464111332721885</v>
      </c>
      <c r="CO79" s="1">
        <f t="shared" ca="1" si="128"/>
        <v>3.0184494312536678</v>
      </c>
    </row>
    <row r="80" spans="22:93" x14ac:dyDescent="0.2">
      <c r="V80">
        <f t="shared" ref="V80:W80" si="151">V26</f>
        <v>2015</v>
      </c>
      <c r="W80" s="5">
        <f t="shared" si="151"/>
        <v>72</v>
      </c>
      <c r="X80" s="7">
        <f t="shared" si="86"/>
        <v>1.3586206896551725</v>
      </c>
      <c r="Y80" s="5">
        <f t="shared" ca="1" si="66"/>
        <v>170.87722731057602</v>
      </c>
      <c r="Z80" s="5">
        <f t="shared" ca="1" si="67"/>
        <v>35.260631386137163</v>
      </c>
      <c r="AA80" s="5">
        <f t="shared" ca="1" si="87"/>
        <v>326.4648763564054</v>
      </c>
      <c r="AB80" s="5">
        <f t="shared" ca="1" si="88"/>
        <v>95.792414988585236</v>
      </c>
      <c r="AC80" t="str">
        <f t="shared" ca="1" si="89"/>
        <v/>
      </c>
      <c r="AD80" s="5">
        <f t="shared" si="68"/>
        <v>0</v>
      </c>
      <c r="AE80" s="5" t="str">
        <f t="shared" si="69"/>
        <v>-</v>
      </c>
      <c r="AF80" s="5" t="str">
        <f t="shared" si="70"/>
        <v>-</v>
      </c>
      <c r="AG80" s="5">
        <f t="shared" ca="1" si="90"/>
        <v>655.76874401943428</v>
      </c>
      <c r="AH80" s="5">
        <f t="shared" ca="1" si="91"/>
        <v>147.16071996136597</v>
      </c>
      <c r="AI80" t="e">
        <f t="shared" ca="1" si="92"/>
        <v>#VALUE!</v>
      </c>
      <c r="AJ80" s="5">
        <f t="shared" si="71"/>
        <v>8</v>
      </c>
      <c r="AK80" s="5">
        <f t="shared" ca="1" si="72"/>
        <v>59.886542360409642</v>
      </c>
      <c r="AL80" s="5">
        <f t="shared" ca="1" si="73"/>
        <v>5.5792622505042155</v>
      </c>
      <c r="AM80" s="5">
        <f t="shared" ca="1" si="93"/>
        <v>272.75254736810996</v>
      </c>
      <c r="AN80" s="5">
        <f t="shared" ca="1" si="94"/>
        <v>49.687565845886091</v>
      </c>
      <c r="AO80" t="str">
        <f t="shared" ca="1" si="95"/>
        <v>***</v>
      </c>
      <c r="AP80" s="5">
        <f t="shared" si="74"/>
        <v>0</v>
      </c>
      <c r="AQ80" s="5" t="str">
        <f t="shared" si="75"/>
        <v>-</v>
      </c>
      <c r="AR80" s="5" t="str">
        <f t="shared" si="76"/>
        <v>-</v>
      </c>
      <c r="AS80" s="5">
        <f t="shared" ca="1" si="96"/>
        <v>243.98764482446848</v>
      </c>
      <c r="AT80" s="5">
        <f t="shared" ca="1" si="97"/>
        <v>83.585382775240518</v>
      </c>
      <c r="AU80" t="e">
        <f t="shared" ca="1" si="130"/>
        <v>#VALUE!</v>
      </c>
      <c r="AV80" s="5">
        <f t="shared" si="77"/>
        <v>48</v>
      </c>
      <c r="AW80" s="5">
        <f t="shared" ca="1" si="78"/>
        <v>203.27214681275413</v>
      </c>
      <c r="AX80" s="5">
        <f t="shared" ca="1" si="79"/>
        <v>51.81938512864923</v>
      </c>
      <c r="AY80" s="5">
        <f t="shared" ca="1" si="98"/>
        <v>1204.6028059837349</v>
      </c>
      <c r="AZ80" s="5">
        <f t="shared" ca="1" si="99"/>
        <v>998.71587532522824</v>
      </c>
      <c r="BA80" t="str">
        <f t="shared" ca="1" si="100"/>
        <v/>
      </c>
      <c r="BB80" s="5">
        <f t="shared" si="80"/>
        <v>0</v>
      </c>
      <c r="BC80" s="1" t="str">
        <f t="shared" si="81"/>
        <v>-</v>
      </c>
      <c r="BD80" s="1" t="str">
        <f t="shared" si="82"/>
        <v>-</v>
      </c>
      <c r="BE80" s="1">
        <f t="shared" ca="1" si="101"/>
        <v>57.767632752235833</v>
      </c>
      <c r="BF80" s="1">
        <f t="shared" ca="1" si="102"/>
        <v>11.814449868376329</v>
      </c>
      <c r="BG80" s="1" t="e">
        <f t="shared" ca="1" si="103"/>
        <v>#VALUE!</v>
      </c>
      <c r="BH80" s="5">
        <f t="shared" si="83"/>
        <v>2</v>
      </c>
      <c r="BI80" s="1">
        <f t="shared" ca="1" si="84"/>
        <v>55.543152841957308</v>
      </c>
      <c r="BJ80" s="1">
        <f t="shared" ca="1" si="85"/>
        <v>8.042214154228013</v>
      </c>
      <c r="BK80" s="1">
        <f t="shared" ca="1" si="104"/>
        <v>29.447598781341004</v>
      </c>
      <c r="BL80" s="1">
        <f t="shared" ca="1" si="105"/>
        <v>1.961781675497303</v>
      </c>
      <c r="BM80" s="1" t="str">
        <f t="shared" ca="1" si="106"/>
        <v>***</v>
      </c>
      <c r="BO80" s="5">
        <f t="shared" ca="1" si="107"/>
        <v>-155.58764904582938</v>
      </c>
      <c r="BP80" s="5">
        <f t="shared" ca="1" si="108"/>
        <v>102.07594670192567</v>
      </c>
      <c r="BQ80" s="1">
        <f t="shared" ca="1" si="122"/>
        <v>1.5242342008364074</v>
      </c>
      <c r="BS80" s="5" t="e">
        <f t="shared" ca="1" si="109"/>
        <v>#VALUE!</v>
      </c>
      <c r="BT80" s="5" t="e">
        <f t="shared" ca="1" si="110"/>
        <v>#VALUE!</v>
      </c>
      <c r="BU80" s="1" t="e">
        <f t="shared" ca="1" si="123"/>
        <v>#VALUE!</v>
      </c>
      <c r="BW80" s="5">
        <f t="shared" ca="1" si="111"/>
        <v>-212.86600500770032</v>
      </c>
      <c r="BX80" s="5">
        <f t="shared" ca="1" si="112"/>
        <v>49.999823669180742</v>
      </c>
      <c r="BY80" s="1">
        <f t="shared" ca="1" si="124"/>
        <v>4.2573351141417772</v>
      </c>
      <c r="CA80" s="5" t="e">
        <f t="shared" ca="1" si="113"/>
        <v>#VALUE!</v>
      </c>
      <c r="CB80" s="5" t="e">
        <f t="shared" ca="1" si="114"/>
        <v>#VALUE!</v>
      </c>
      <c r="CC80" s="1" t="e">
        <f t="shared" ca="1" si="125"/>
        <v>#VALUE!</v>
      </c>
      <c r="CE80" s="5">
        <f t="shared" ca="1" si="115"/>
        <v>-1001.3306591709808</v>
      </c>
      <c r="CF80" s="5">
        <f t="shared" ca="1" si="116"/>
        <v>1000.059322391301</v>
      </c>
      <c r="CG80" s="1">
        <f t="shared" ca="1" si="126"/>
        <v>1.0012712613654156</v>
      </c>
      <c r="CI80" s="5" t="e">
        <f t="shared" ca="1" si="117"/>
        <v>#VALUE!</v>
      </c>
      <c r="CJ80" s="5" t="e">
        <f t="shared" ca="1" si="118"/>
        <v>#VALUE!</v>
      </c>
      <c r="CK80" s="1" t="e">
        <f t="shared" ca="1" si="127"/>
        <v>#VALUE!</v>
      </c>
      <c r="CM80" s="5">
        <f t="shared" ca="1" si="119"/>
        <v>26.095554060616305</v>
      </c>
      <c r="CN80" s="5">
        <f t="shared" ca="1" si="120"/>
        <v>8.2780309159112466</v>
      </c>
      <c r="CO80" s="1">
        <f t="shared" ca="1" si="128"/>
        <v>3.152386639491513</v>
      </c>
    </row>
    <row r="81" spans="22:64" x14ac:dyDescent="0.2">
      <c r="V81">
        <v>2016</v>
      </c>
      <c r="W81" s="5"/>
      <c r="Y81" s="5"/>
      <c r="Z81" s="5"/>
      <c r="AA81" s="5">
        <f t="shared" ca="1" si="87"/>
        <v>317.22966553093158</v>
      </c>
      <c r="AB81" s="5">
        <f t="shared" ca="1" si="88"/>
        <v>90.136953053056445</v>
      </c>
      <c r="AD81" s="5"/>
      <c r="AE81" s="5"/>
      <c r="AF81" s="5"/>
      <c r="AG81" s="5">
        <f t="shared" ca="1" si="90"/>
        <v>655.76874401943428</v>
      </c>
      <c r="AH81" s="5">
        <f t="shared" ca="1" si="91"/>
        <v>147.16071996136597</v>
      </c>
      <c r="AJ81" s="5"/>
      <c r="AK81" s="5"/>
      <c r="AL81" s="5"/>
      <c r="AM81" s="5">
        <f t="shared" ca="1" si="93"/>
        <v>252.2353420661629</v>
      </c>
      <c r="AN81" s="5">
        <f t="shared" ca="1" si="94"/>
        <v>45.428003204744257</v>
      </c>
      <c r="AP81" s="5"/>
      <c r="AQ81" s="5"/>
      <c r="AR81" s="5"/>
      <c r="AS81" s="5">
        <f t="shared" ca="1" si="96"/>
        <v>243.98764482446848</v>
      </c>
      <c r="AT81" s="5">
        <f t="shared" ca="1" si="97"/>
        <v>83.585382775240518</v>
      </c>
      <c r="AV81" s="5"/>
      <c r="AW81" s="5"/>
      <c r="AX81" s="5"/>
      <c r="AY81" s="5">
        <f t="shared" ca="1" si="98"/>
        <v>890.45985408695628</v>
      </c>
      <c r="AZ81" s="5">
        <f t="shared" ca="1" si="99"/>
        <v>686.61426216764244</v>
      </c>
      <c r="BB81" s="5"/>
      <c r="BC81" s="1"/>
      <c r="BD81" s="1"/>
      <c r="BE81" s="1">
        <f t="shared" ca="1" si="101"/>
        <v>57.767632752235833</v>
      </c>
      <c r="BF81" s="1">
        <f t="shared" ca="1" si="102"/>
        <v>11.814449868376329</v>
      </c>
      <c r="BH81" s="5"/>
      <c r="BI81" s="1"/>
      <c r="BJ81" s="1"/>
      <c r="BK81" s="1">
        <f t="shared" ca="1" si="104"/>
        <v>29.698517570385395</v>
      </c>
      <c r="BL81" s="1">
        <f t="shared" ca="1" si="105"/>
        <v>1.9524571872886127</v>
      </c>
    </row>
    <row r="83" spans="22:64" x14ac:dyDescent="0.2">
      <c r="AT83" t="str">
        <f ca="1">IF(CC57&gt;2.57,"***",IF(CC57&gt;1.96,"**",IF(CC57&gt;1.65,"*","")))</f>
        <v/>
      </c>
    </row>
    <row r="1048576" spans="6:6" x14ac:dyDescent="0.2">
      <c r="F1048576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44"/>
  <sheetViews>
    <sheetView workbookViewId="0">
      <selection activeCell="Y1" sqref="Y1"/>
    </sheetView>
  </sheetViews>
  <sheetFormatPr defaultRowHeight="12.75" x14ac:dyDescent="0.2"/>
  <sheetData>
    <row r="1" spans="1:18" x14ac:dyDescent="0.2">
      <c r="A1" s="17" t="s">
        <v>205</v>
      </c>
      <c r="B1" s="17" t="s">
        <v>206</v>
      </c>
      <c r="C1" s="17" t="s">
        <v>8</v>
      </c>
      <c r="D1" s="17" t="s">
        <v>170</v>
      </c>
      <c r="E1" s="17" t="s">
        <v>31</v>
      </c>
    </row>
    <row r="2" spans="1:18" x14ac:dyDescent="0.2">
      <c r="A2" s="5">
        <f>Data!E4</f>
        <v>1982</v>
      </c>
      <c r="B2" s="5">
        <f>Data!M4</f>
        <v>1.1000000000000001</v>
      </c>
      <c r="C2" s="5">
        <f>Data!N4</f>
        <v>0.5</v>
      </c>
      <c r="D2" s="5">
        <f ca="1">Data!O4</f>
        <v>1065.5367929456841</v>
      </c>
      <c r="E2" s="1">
        <f>Data!AQ4</f>
        <v>1</v>
      </c>
      <c r="P2" s="7"/>
    </row>
    <row r="3" spans="1:18" x14ac:dyDescent="0.2">
      <c r="A3" s="5">
        <f>Data!E5</f>
        <v>1982</v>
      </c>
      <c r="B3" s="5">
        <f>Data!M5</f>
        <v>1.1000000000000001</v>
      </c>
      <c r="C3" s="5">
        <f>Data!N5</f>
        <v>0.5</v>
      </c>
      <c r="D3" s="5">
        <f ca="1">Data!O5</f>
        <v>152.21954184938343</v>
      </c>
      <c r="E3" s="1">
        <f>Data!AQ5</f>
        <v>1</v>
      </c>
      <c r="F3" t="str">
        <f>IF(A3&lt;&gt;A2,A3,"")</f>
        <v/>
      </c>
      <c r="G3" s="5">
        <f ca="1">AVERAGE(D$2:D2)</f>
        <v>1065.5367929456841</v>
      </c>
      <c r="H3" s="5">
        <f ca="1">PERCENTILE(D$2:D2,0.025)</f>
        <v>1065.5367929456841</v>
      </c>
      <c r="I3" s="5">
        <f ca="1">PERCENTILE(D$2:D2,0.165)</f>
        <v>1065.5367929456841</v>
      </c>
      <c r="J3" s="5">
        <f ca="1">PERCENTILE(D$2:D2,0.5)</f>
        <v>1065.5367929456841</v>
      </c>
      <c r="K3" s="5">
        <f ca="1">PERCENTILE(D$2:D2,0.835)</f>
        <v>1065.5367929456841</v>
      </c>
      <c r="L3" s="5">
        <f ca="1">PERCENTILE(D$2:D2,0.975)</f>
        <v>1065.5367929456841</v>
      </c>
      <c r="M3" s="7">
        <f>AVERAGE(E$2:E2)</f>
        <v>1</v>
      </c>
      <c r="N3" s="7">
        <f>PERCENTILE($E$2:$E2,0.025)</f>
        <v>1</v>
      </c>
      <c r="O3" s="7">
        <f>PERCENTILE($E$2:$E2,0.165)</f>
        <v>1</v>
      </c>
      <c r="P3" s="7">
        <f>PERCENTILE($E$2:$E2,0.5)</f>
        <v>1</v>
      </c>
      <c r="Q3" s="7">
        <f>PERCENTILE($E$2:$E2,0.835)</f>
        <v>1</v>
      </c>
      <c r="R3" s="7">
        <f>PERCENTILE($E$2:$E2,0.975)</f>
        <v>1</v>
      </c>
    </row>
    <row r="4" spans="1:18" x14ac:dyDescent="0.2">
      <c r="A4" s="5">
        <f>Data!E6</f>
        <v>1991</v>
      </c>
      <c r="B4" s="5">
        <f>Data!M6</f>
        <v>3.1</v>
      </c>
      <c r="C4" s="5">
        <f>Data!N6</f>
        <v>1</v>
      </c>
      <c r="D4" s="5">
        <f ca="1">Data!O6</f>
        <v>282.92625291050393</v>
      </c>
      <c r="E4" s="1">
        <f>Data!AQ6</f>
        <v>1</v>
      </c>
      <c r="F4">
        <f>IF(A4&lt;&gt;A3,A4,"")</f>
        <v>1991</v>
      </c>
      <c r="G4" s="5">
        <f ca="1">AVERAGE(D$2:D3)</f>
        <v>608.87816739753373</v>
      </c>
      <c r="H4" s="5">
        <f ca="1">PERCENTILE(D$2:D3,0.025)</f>
        <v>175.05247312679086</v>
      </c>
      <c r="I4" s="5">
        <f ca="1">PERCENTILE(D$2:D3,0.165)</f>
        <v>302.91688828027304</v>
      </c>
      <c r="J4" s="5">
        <f ca="1">PERCENTILE(D$2:D3,0.5)</f>
        <v>608.87816739753373</v>
      </c>
      <c r="K4" s="5">
        <f ca="1">PERCENTILE(D$2:D3,0.835)</f>
        <v>914.83944651479442</v>
      </c>
      <c r="L4" s="5">
        <f ca="1">PERCENTILE(D$2:D3,0.975)</f>
        <v>1042.7038616682767</v>
      </c>
      <c r="M4" s="7">
        <f>AVERAGE(E$2:E3)</f>
        <v>1</v>
      </c>
      <c r="N4" s="7">
        <f>PERCENTILE($E$2:$E3,0.025)</f>
        <v>1</v>
      </c>
      <c r="O4" s="7">
        <f>PERCENTILE($E$2:$E3,0.165)</f>
        <v>1</v>
      </c>
      <c r="P4" s="7">
        <f>PERCENTILE($E$2:$E3,0.5)</f>
        <v>1</v>
      </c>
      <c r="Q4" s="7">
        <f>PERCENTILE($E$2:$E3,0.835)</f>
        <v>1</v>
      </c>
      <c r="R4" s="7">
        <f>PERCENTILE($E$2:$E3,0.975)</f>
        <v>1</v>
      </c>
    </row>
    <row r="5" spans="1:18" x14ac:dyDescent="0.2">
      <c r="A5" s="5">
        <f>Data!E7</f>
        <v>1991</v>
      </c>
      <c r="B5" s="5">
        <f>Data!M7</f>
        <v>0.19375000000000001</v>
      </c>
      <c r="C5" s="5">
        <f>Data!N7</f>
        <v>6.25E-2</v>
      </c>
      <c r="D5" s="5">
        <f ca="1">Data!O7</f>
        <v>574.03560359749611</v>
      </c>
      <c r="E5" s="1">
        <f>Data!AQ7</f>
        <v>0</v>
      </c>
      <c r="F5" t="str">
        <f t="shared" ref="F5:F68" si="0">IF(A5&lt;&gt;A4,A5,"")</f>
        <v/>
      </c>
      <c r="G5" s="5">
        <f ca="1">AVERAGE(D$2:D4)</f>
        <v>500.2275292351905</v>
      </c>
      <c r="H5" s="5">
        <f ca="1">PERCENTILE(D$2:D4,0.025)</f>
        <v>158.75487740243946</v>
      </c>
      <c r="I5" s="5">
        <f ca="1">PERCENTILE(D$2:D4,0.165)</f>
        <v>195.35275649955321</v>
      </c>
      <c r="J5" s="5">
        <f ca="1">PERCENTILE(D$2:D4,0.5)</f>
        <v>282.92625291050393</v>
      </c>
      <c r="K5" s="5">
        <f ca="1">PERCENTILE(D$2:D4,0.835)</f>
        <v>807.27531473407453</v>
      </c>
      <c r="L5" s="5">
        <f ca="1">PERCENTILE(D$2:D4,0.975)</f>
        <v>1026.4062659439251</v>
      </c>
      <c r="M5" s="7">
        <f>AVERAGE(E$2:E4)</f>
        <v>1</v>
      </c>
      <c r="N5" s="7">
        <f>PERCENTILE($E$2:$E4,0.025)</f>
        <v>1</v>
      </c>
      <c r="O5" s="7">
        <f>PERCENTILE($E$2:$E4,0.165)</f>
        <v>1</v>
      </c>
      <c r="P5" s="7">
        <f>PERCENTILE($E$2:$E4,0.5)</f>
        <v>1</v>
      </c>
      <c r="Q5" s="7">
        <f>PERCENTILE($E$2:$E4,0.835)</f>
        <v>1</v>
      </c>
      <c r="R5" s="7">
        <f>PERCENTILE($E$2:$E4,0.975)</f>
        <v>1</v>
      </c>
    </row>
    <row r="6" spans="1:18" x14ac:dyDescent="0.2">
      <c r="A6" s="5">
        <f>Data!E8</f>
        <v>1991</v>
      </c>
      <c r="B6" s="5">
        <f>Data!M8</f>
        <v>0.38750000000000001</v>
      </c>
      <c r="C6" s="5">
        <f>Data!N8</f>
        <v>0.125</v>
      </c>
      <c r="D6" s="5">
        <f ca="1">Data!O8</f>
        <v>287.01780179874805</v>
      </c>
      <c r="E6" s="1">
        <f>Data!AQ8</f>
        <v>0</v>
      </c>
      <c r="F6" t="str">
        <f t="shared" si="0"/>
        <v/>
      </c>
      <c r="G6" s="5">
        <f ca="1">AVERAGE(D$2:D5)</f>
        <v>518.67954782576692</v>
      </c>
      <c r="H6" s="5">
        <f ca="1">PERCENTILE(D$2:D5,0.025)</f>
        <v>162.02254517896748</v>
      </c>
      <c r="I6" s="5">
        <f ca="1">PERCENTILE(D$2:D5,0.165)</f>
        <v>216.91936382463808</v>
      </c>
      <c r="J6" s="5">
        <f ca="1">PERCENTILE(D$2:D5,0.5)</f>
        <v>428.48092825399999</v>
      </c>
      <c r="K6" s="5">
        <f ca="1">PERCENTILE(D$2:D5,0.835)</f>
        <v>822.243704218331</v>
      </c>
      <c r="L6" s="5">
        <f ca="1">PERCENTILE(D$2:D5,0.975)</f>
        <v>1028.6742037445699</v>
      </c>
      <c r="M6" s="7">
        <f>AVERAGE(E$2:E5)</f>
        <v>0.75</v>
      </c>
      <c r="N6" s="7">
        <f>PERCENTILE($E$2:$E5,0.025)</f>
        <v>7.4999999999999956E-2</v>
      </c>
      <c r="O6" s="7">
        <f>PERCENTILE($E$2:$E5,0.165)</f>
        <v>0.49500000000000011</v>
      </c>
      <c r="P6" s="7">
        <f>PERCENTILE($E$2:$E5,0.5)</f>
        <v>1</v>
      </c>
      <c r="Q6" s="7">
        <f>PERCENTILE($E$2:$E5,0.835)</f>
        <v>1</v>
      </c>
      <c r="R6" s="7">
        <f>PERCENTILE($E$2:$E5,0.975)</f>
        <v>1</v>
      </c>
    </row>
    <row r="7" spans="1:18" x14ac:dyDescent="0.2">
      <c r="A7" s="5">
        <f>Data!E9</f>
        <v>1991</v>
      </c>
      <c r="B7" s="5">
        <f>Data!M9</f>
        <v>0.19375000000000001</v>
      </c>
      <c r="C7" s="5">
        <f>Data!N9</f>
        <v>6.25E-2</v>
      </c>
      <c r="D7" s="5">
        <f ca="1">Data!O9</f>
        <v>71.73268689177084</v>
      </c>
      <c r="E7" s="1">
        <f>Data!AQ9</f>
        <v>0</v>
      </c>
      <c r="F7" t="str">
        <f t="shared" si="0"/>
        <v/>
      </c>
      <c r="G7" s="5">
        <f ca="1">AVERAGE(D$2:D6)</f>
        <v>472.3471986203632</v>
      </c>
      <c r="H7" s="5">
        <f ca="1">PERCENTILE(D$2:D6,0.025)</f>
        <v>165.29021295549549</v>
      </c>
      <c r="I7" s="5">
        <f ca="1">PERCENTILE(D$2:D6,0.165)</f>
        <v>238.48597114972299</v>
      </c>
      <c r="J7" s="5">
        <f ca="1">PERCENTILE(D$2:D6,0.5)</f>
        <v>287.01780179874805</v>
      </c>
      <c r="K7" s="5">
        <f ca="1">PERCENTILE(D$2:D6,0.835)</f>
        <v>741.14600797587991</v>
      </c>
      <c r="L7" s="5">
        <f ca="1">PERCENTILE(D$2:D6,0.975)</f>
        <v>1016.3866740108654</v>
      </c>
      <c r="M7" s="7">
        <f>AVERAGE(E$2:E6)</f>
        <v>0.6</v>
      </c>
      <c r="N7" s="7">
        <f>PERCENTILE($E$2:$E6,0.025)</f>
        <v>0</v>
      </c>
      <c r="O7" s="7">
        <f>PERCENTILE($E$2:$E6,0.165)</f>
        <v>0</v>
      </c>
      <c r="P7" s="7">
        <f>PERCENTILE($E$2:$E6,0.5)</f>
        <v>1</v>
      </c>
      <c r="Q7" s="7">
        <f>PERCENTILE($E$2:$E6,0.835)</f>
        <v>1</v>
      </c>
      <c r="R7" s="7">
        <f>PERCENTILE($E$2:$E6,0.975)</f>
        <v>1</v>
      </c>
    </row>
    <row r="8" spans="1:18" x14ac:dyDescent="0.2">
      <c r="A8" s="5">
        <f>Data!E10</f>
        <v>1991</v>
      </c>
      <c r="B8" s="5">
        <f>Data!M10</f>
        <v>0.38750000000000001</v>
      </c>
      <c r="C8" s="5">
        <f>Data!N10</f>
        <v>0.125</v>
      </c>
      <c r="D8" s="5">
        <f ca="1">Data!O10</f>
        <v>127.53444938888869</v>
      </c>
      <c r="E8" s="1">
        <f>Data!AQ10</f>
        <v>1</v>
      </c>
      <c r="F8" t="str">
        <f t="shared" si="0"/>
        <v/>
      </c>
      <c r="G8" s="5">
        <f ca="1">AVERAGE(D$2:D7)</f>
        <v>405.57811333226442</v>
      </c>
      <c r="H8" s="5">
        <f ca="1">PERCENTILE(D$2:D7,0.025)</f>
        <v>81.793543761472421</v>
      </c>
      <c r="I8" s="5">
        <f ca="1">PERCENTILE(D$2:D7,0.165)</f>
        <v>138.13434223180124</v>
      </c>
      <c r="J8" s="5">
        <f ca="1">PERCENTILE(D$2:D7,0.5)</f>
        <v>284.97202735462599</v>
      </c>
      <c r="K8" s="5">
        <f ca="1">PERCENTILE(D$2:D7,0.835)</f>
        <v>660.04831173342893</v>
      </c>
      <c r="L8" s="5">
        <f ca="1">PERCENTILE(D$2:D7,0.975)</f>
        <v>1004.0991442771606</v>
      </c>
      <c r="M8" s="7">
        <f>AVERAGE(E$2:E7)</f>
        <v>0.5</v>
      </c>
      <c r="N8" s="7">
        <f>PERCENTILE($E$2:$E7,0.025)</f>
        <v>0</v>
      </c>
      <c r="O8" s="7">
        <f>PERCENTILE($E$2:$E7,0.165)</f>
        <v>0</v>
      </c>
      <c r="P8" s="7">
        <f>PERCENTILE($E$2:$E7,0.5)</f>
        <v>0.5</v>
      </c>
      <c r="Q8" s="7">
        <f>PERCENTILE($E$2:$E7,0.835)</f>
        <v>1</v>
      </c>
      <c r="R8" s="7">
        <f>PERCENTILE($E$2:$E7,0.975)</f>
        <v>1</v>
      </c>
    </row>
    <row r="9" spans="1:18" x14ac:dyDescent="0.2">
      <c r="A9" s="5">
        <f>Data!E11</f>
        <v>1991</v>
      </c>
      <c r="B9" s="5">
        <f>Data!M11</f>
        <v>0.77500000000000002</v>
      </c>
      <c r="C9" s="5">
        <f>Data!N11</f>
        <v>0.25</v>
      </c>
      <c r="D9" s="5">
        <f ca="1">Data!O11</f>
        <v>63.81075181027672</v>
      </c>
      <c r="E9" s="1">
        <f>Data!AQ11</f>
        <v>1</v>
      </c>
      <c r="F9" t="str">
        <f t="shared" si="0"/>
        <v/>
      </c>
      <c r="G9" s="5">
        <f ca="1">AVERAGE(D$2:D8)</f>
        <v>365.85758991178221</v>
      </c>
      <c r="H9" s="5">
        <f ca="1">PERCENTILE(D$2:D8,0.025)</f>
        <v>80.102951266338508</v>
      </c>
      <c r="I9" s="5">
        <f ca="1">PERCENTILE(D$2:D8,0.165)</f>
        <v>126.9764317639175</v>
      </c>
      <c r="J9" s="5">
        <f ca="1">PERCENTILE(D$2:D8,0.5)</f>
        <v>282.92625291050393</v>
      </c>
      <c r="K9" s="5">
        <f ca="1">PERCENTILE(D$2:D8,0.835)</f>
        <v>578.95061549097784</v>
      </c>
      <c r="L9" s="5">
        <f ca="1">PERCENTILE(D$2:D8,0.975)</f>
        <v>991.81161454345568</v>
      </c>
      <c r="M9" s="7">
        <f>AVERAGE(E$2:E8)</f>
        <v>0.5714285714285714</v>
      </c>
      <c r="N9" s="7">
        <f>PERCENTILE($E$2:$E8,0.025)</f>
        <v>0</v>
      </c>
      <c r="O9" s="7">
        <f>PERCENTILE($E$2:$E8,0.165)</f>
        <v>0</v>
      </c>
      <c r="P9" s="7">
        <f>PERCENTILE($E$2:$E8,0.5)</f>
        <v>1</v>
      </c>
      <c r="Q9" s="7">
        <f>PERCENTILE($E$2:$E8,0.835)</f>
        <v>1</v>
      </c>
      <c r="R9" s="7">
        <f>PERCENTILE($E$2:$E8,0.975)</f>
        <v>1</v>
      </c>
    </row>
    <row r="10" spans="1:18" x14ac:dyDescent="0.2">
      <c r="A10" s="5">
        <f>Data!E12</f>
        <v>1991</v>
      </c>
      <c r="B10" s="5">
        <f>Data!M12</f>
        <v>0.38750000000000001</v>
      </c>
      <c r="C10" s="5">
        <f>Data!N12</f>
        <v>0.125</v>
      </c>
      <c r="D10" s="5">
        <f ca="1">Data!O12</f>
        <v>15.93092439465299</v>
      </c>
      <c r="E10" s="1">
        <f>Data!AQ12</f>
        <v>1</v>
      </c>
      <c r="F10" t="str">
        <f t="shared" si="0"/>
        <v/>
      </c>
      <c r="G10" s="5">
        <f ca="1">AVERAGE(D$2:D9)</f>
        <v>328.101735149094</v>
      </c>
      <c r="H10" s="5">
        <f ca="1">PERCENTILE(D$2:D9,0.025)</f>
        <v>65.197090449538194</v>
      </c>
      <c r="I10" s="5">
        <f ca="1">PERCENTILE(D$2:D9,0.165)</f>
        <v>80.381960078824122</v>
      </c>
      <c r="J10" s="5">
        <f ca="1">PERCENTILE(D$2:D9,0.5)</f>
        <v>217.5728973799437</v>
      </c>
      <c r="K10" s="5">
        <f ca="1">PERCENTILE(D$2:D9,0.835)</f>
        <v>529.54784431869007</v>
      </c>
      <c r="L10" s="5">
        <f ca="1">PERCENTILE(D$2:D9,0.975)</f>
        <v>979.52408480975123</v>
      </c>
      <c r="M10" s="7">
        <f>AVERAGE(E$2:E9)</f>
        <v>0.625</v>
      </c>
      <c r="N10" s="7">
        <f>PERCENTILE($E$2:$E9,0.025)</f>
        <v>0</v>
      </c>
      <c r="O10" s="7">
        <f>PERCENTILE($E$2:$E9,0.165)</f>
        <v>0</v>
      </c>
      <c r="P10" s="7">
        <f>PERCENTILE($E$2:$E9,0.5)</f>
        <v>1</v>
      </c>
      <c r="Q10" s="7">
        <f>PERCENTILE($E$2:$E9,0.835)</f>
        <v>1</v>
      </c>
      <c r="R10" s="7">
        <f>PERCENTILE($E$2:$E9,0.975)</f>
        <v>1</v>
      </c>
    </row>
    <row r="11" spans="1:18" x14ac:dyDescent="0.2">
      <c r="A11" s="5">
        <f>Data!E13</f>
        <v>1991</v>
      </c>
      <c r="B11" s="5">
        <f>Data!M13</f>
        <v>0.19375000000000001</v>
      </c>
      <c r="C11" s="5">
        <f>Data!N13</f>
        <v>6.25E-2</v>
      </c>
      <c r="D11" s="5">
        <f ca="1">Data!O13</f>
        <v>21.241232526203987</v>
      </c>
      <c r="E11" s="1">
        <f>Data!AQ13</f>
        <v>4</v>
      </c>
      <c r="F11" t="str">
        <f t="shared" si="0"/>
        <v/>
      </c>
      <c r="G11" s="5">
        <f ca="1">AVERAGE(D$2:D10)</f>
        <v>293.4160895097117</v>
      </c>
      <c r="H11" s="5">
        <f ca="1">PERCENTILE(D$2:D10,0.025)</f>
        <v>25.506889877777734</v>
      </c>
      <c r="I11" s="5">
        <f ca="1">PERCENTILE(D$2:D10,0.165)</f>
        <v>66.345771036354847</v>
      </c>
      <c r="J11" s="5">
        <f ca="1">PERCENTILE(D$2:D10,0.5)</f>
        <v>152.21954184938343</v>
      </c>
      <c r="K11" s="5">
        <f ca="1">PERCENTILE(D$2:D10,0.835)</f>
        <v>482.18990702189666</v>
      </c>
      <c r="L11" s="5">
        <f ca="1">PERCENTILE(D$2:D10,0.975)</f>
        <v>967.2365550760469</v>
      </c>
      <c r="M11" s="7">
        <f>AVERAGE(E$2:E10)</f>
        <v>0.66666666666666663</v>
      </c>
      <c r="N11" s="7">
        <f>PERCENTILE($E$2:$E10,0.025)</f>
        <v>0</v>
      </c>
      <c r="O11" s="7">
        <f>PERCENTILE($E$2:$E10,0.165)</f>
        <v>0</v>
      </c>
      <c r="P11" s="7">
        <f>PERCENTILE($E$2:$E10,0.5)</f>
        <v>1</v>
      </c>
      <c r="Q11" s="7">
        <f>PERCENTILE($E$2:$E10,0.835)</f>
        <v>1</v>
      </c>
      <c r="R11" s="7">
        <f>PERCENTILE($E$2:$E10,0.975)</f>
        <v>1</v>
      </c>
    </row>
    <row r="12" spans="1:18" x14ac:dyDescent="0.2">
      <c r="A12" s="5">
        <f>Data!E14</f>
        <v>1991</v>
      </c>
      <c r="B12" s="5">
        <f>Data!M14</f>
        <v>0.38750000000000001</v>
      </c>
      <c r="C12" s="5">
        <f>Data!N14</f>
        <v>0.125</v>
      </c>
      <c r="D12" s="5">
        <f ca="1">Data!O14</f>
        <v>10.620616263101994</v>
      </c>
      <c r="E12" s="1">
        <f>Data!AQ14</f>
        <v>4</v>
      </c>
      <c r="F12" t="str">
        <f t="shared" si="0"/>
        <v/>
      </c>
      <c r="G12" s="5">
        <f ca="1">AVERAGE(D$2:D11)</f>
        <v>266.1986038113609</v>
      </c>
      <c r="H12" s="5">
        <f ca="1">PERCENTILE(D$2:D11,0.025)</f>
        <v>17.125743724251965</v>
      </c>
      <c r="I12" s="5">
        <f ca="1">PERCENTILE(D$2:D11,0.165)</f>
        <v>41.887449378979277</v>
      </c>
      <c r="J12" s="5">
        <f ca="1">PERCENTILE(D$2:D11,0.5)</f>
        <v>139.87699561913607</v>
      </c>
      <c r="K12" s="5">
        <f ca="1">PERCENTILE(D$2:D11,0.835)</f>
        <v>434.83196972510348</v>
      </c>
      <c r="L12" s="5">
        <f ca="1">PERCENTILE(D$2:D11,0.975)</f>
        <v>954.94902534234188</v>
      </c>
      <c r="M12" s="7">
        <f>AVERAGE(E$2:E11)</f>
        <v>1</v>
      </c>
      <c r="N12" s="7">
        <f>PERCENTILE($E$2:$E11,0.025)</f>
        <v>0</v>
      </c>
      <c r="O12" s="7">
        <f>PERCENTILE($E$2:$E11,0.165)</f>
        <v>0</v>
      </c>
      <c r="P12" s="7">
        <f>PERCENTILE($E$2:$E11,0.5)</f>
        <v>1</v>
      </c>
      <c r="Q12" s="7">
        <f>PERCENTILE($E$2:$E11,0.835)</f>
        <v>1</v>
      </c>
      <c r="R12" s="7">
        <f>PERCENTILE($E$2:$E11,0.975)</f>
        <v>3.3250000000000011</v>
      </c>
    </row>
    <row r="13" spans="1:18" x14ac:dyDescent="0.2">
      <c r="A13" s="5">
        <f>Data!E15</f>
        <v>1991</v>
      </c>
      <c r="B13" s="5">
        <f>Data!M15</f>
        <v>0.19375000000000001</v>
      </c>
      <c r="C13" s="5">
        <f>Data!N15</f>
        <v>6.25E-2</v>
      </c>
      <c r="D13" s="5">
        <f ca="1">Data!O15</f>
        <v>2.6986811816078835</v>
      </c>
      <c r="E13" s="1">
        <f>Data!AQ15</f>
        <v>4</v>
      </c>
      <c r="F13" t="str">
        <f t="shared" si="0"/>
        <v/>
      </c>
      <c r="G13" s="5">
        <f ca="1">AVERAGE(D$2:D12)</f>
        <v>242.96424130697372</v>
      </c>
      <c r="H13" s="5">
        <f ca="1">PERCENTILE(D$2:D12,0.025)</f>
        <v>11.948193295989743</v>
      </c>
      <c r="I13" s="5">
        <f ca="1">PERCENTILE(D$2:D12,0.165)</f>
        <v>19.38262468016114</v>
      </c>
      <c r="J13" s="5">
        <f ca="1">PERCENTILE(D$2:D12,0.5)</f>
        <v>127.53444938888869</v>
      </c>
      <c r="K13" s="5">
        <f ca="1">PERCENTILE(D$2:D12,0.835)</f>
        <v>387.47403242830978</v>
      </c>
      <c r="L13" s="5">
        <f ca="1">PERCENTILE(D$2:D12,0.975)</f>
        <v>942.6614956086371</v>
      </c>
      <c r="M13" s="7">
        <f>AVERAGE(E$2:E12)</f>
        <v>1.2727272727272727</v>
      </c>
      <c r="N13" s="7">
        <f>PERCENTILE($E$2:$E12,0.025)</f>
        <v>0</v>
      </c>
      <c r="O13" s="7">
        <f>PERCENTILE($E$2:$E12,0.165)</f>
        <v>0</v>
      </c>
      <c r="P13" s="7">
        <f>PERCENTILE($E$2:$E12,0.5)</f>
        <v>1</v>
      </c>
      <c r="Q13" s="7">
        <f>PERCENTILE($E$2:$E12,0.835)</f>
        <v>2.0499999999999989</v>
      </c>
      <c r="R13" s="7">
        <f>PERCENTILE($E$2:$E12,0.975)</f>
        <v>4</v>
      </c>
    </row>
    <row r="14" spans="1:18" x14ac:dyDescent="0.2">
      <c r="A14" s="5">
        <f>Data!E16</f>
        <v>1992</v>
      </c>
      <c r="B14" s="5">
        <f>Data!M16</f>
        <v>3.2</v>
      </c>
      <c r="C14" s="5">
        <f>Data!N16</f>
        <v>1</v>
      </c>
      <c r="D14" s="5">
        <f ca="1">Data!O16</f>
        <v>44.129645206691066</v>
      </c>
      <c r="E14" s="1">
        <f>Data!AQ16</f>
        <v>2</v>
      </c>
      <c r="F14">
        <f t="shared" si="0"/>
        <v>1992</v>
      </c>
      <c r="G14" s="5">
        <f ca="1">AVERAGE(D$2:D13)</f>
        <v>222.94211129652658</v>
      </c>
      <c r="H14" s="5">
        <f ca="1">PERCENTILE(D$2:D13,0.025)</f>
        <v>4.8772133290187636</v>
      </c>
      <c r="I14" s="5">
        <f ca="1">PERCENTILE(D$2:D13,0.165)</f>
        <v>14.948517390316059</v>
      </c>
      <c r="J14" s="5">
        <f ca="1">PERCENTILE(D$2:D13,0.5)</f>
        <v>99.633568140329771</v>
      </c>
      <c r="K14" s="5">
        <f ca="1">PERCENTILE(D$2:D13,0.835)</f>
        <v>340.11609513151609</v>
      </c>
      <c r="L14" s="5">
        <f ca="1">PERCENTILE(D$2:D13,0.975)</f>
        <v>930.3739658749322</v>
      </c>
      <c r="M14" s="7">
        <f>AVERAGE(E$2:E13)</f>
        <v>1.5</v>
      </c>
      <c r="N14" s="7">
        <f>PERCENTILE($E$2:$E13,0.025)</f>
        <v>0</v>
      </c>
      <c r="O14" s="7">
        <f>PERCENTILE($E$2:$E13,0.165)</f>
        <v>0</v>
      </c>
      <c r="P14" s="7">
        <f>PERCENTILE($E$2:$E13,0.5)</f>
        <v>1</v>
      </c>
      <c r="Q14" s="7">
        <f>PERCENTILE($E$2:$E13,0.835)</f>
        <v>4</v>
      </c>
      <c r="R14" s="7">
        <f>PERCENTILE($E$2:$E13,0.975)</f>
        <v>4</v>
      </c>
    </row>
    <row r="15" spans="1:18" x14ac:dyDescent="0.2">
      <c r="A15" s="5">
        <f>Data!E17</f>
        <v>1992</v>
      </c>
      <c r="B15" s="5">
        <f>Data!M17</f>
        <v>4.2</v>
      </c>
      <c r="C15" s="5">
        <f>Data!N17</f>
        <v>1</v>
      </c>
      <c r="D15" s="5">
        <f ca="1">Data!O17</f>
        <v>154.08599004664367</v>
      </c>
      <c r="E15" s="1" t="str">
        <f>Data!AQ17</f>
        <v>NA</v>
      </c>
      <c r="F15" t="str">
        <f t="shared" si="0"/>
        <v/>
      </c>
      <c r="G15" s="5">
        <f ca="1">AVERAGE(D$2:D14)</f>
        <v>209.18730621269304</v>
      </c>
      <c r="H15" s="5">
        <f ca="1">PERCENTILE(D$2:D14,0.025)</f>
        <v>5.0752617060561169</v>
      </c>
      <c r="I15" s="5">
        <f ca="1">PERCENTILE(D$2:D14,0.165)</f>
        <v>15.82471823202197</v>
      </c>
      <c r="J15" s="5">
        <f ca="1">PERCENTILE(D$2:D14,0.5)</f>
        <v>71.73268689177084</v>
      </c>
      <c r="K15" s="5">
        <f ca="1">PERCENTILE(D$2:D14,0.835)</f>
        <v>292.75815783472291</v>
      </c>
      <c r="L15" s="5">
        <f ca="1">PERCENTILE(D$2:D14,0.975)</f>
        <v>918.0864361412273</v>
      </c>
      <c r="M15" s="7">
        <f>AVERAGE(E$2:E14)</f>
        <v>1.5384615384615385</v>
      </c>
      <c r="N15" s="7">
        <f>PERCENTILE($E$2:$E14,0.025)</f>
        <v>0</v>
      </c>
      <c r="O15" s="7">
        <f>PERCENTILE($E$2:$E14,0.165)</f>
        <v>0</v>
      </c>
      <c r="P15" s="7">
        <f>PERCENTILE($E$2:$E14,0.5)</f>
        <v>1</v>
      </c>
      <c r="Q15" s="7">
        <f>PERCENTILE($E$2:$E14,0.835)</f>
        <v>4</v>
      </c>
      <c r="R15" s="7">
        <f>PERCENTILE($E$2:$E14,0.975)</f>
        <v>4</v>
      </c>
    </row>
    <row r="16" spans="1:18" x14ac:dyDescent="0.2">
      <c r="A16" s="5">
        <f>Data!E19</f>
        <v>1992</v>
      </c>
      <c r="B16" s="5">
        <f>Data!M19</f>
        <v>3.2</v>
      </c>
      <c r="C16" s="5">
        <f>Data!N19</f>
        <v>1</v>
      </c>
      <c r="D16" s="5">
        <f ca="1">Data!O19</f>
        <v>3754.1645428224019</v>
      </c>
      <c r="E16" s="1">
        <f>Data!AQ19</f>
        <v>-2</v>
      </c>
      <c r="F16" t="str">
        <f t="shared" si="0"/>
        <v/>
      </c>
      <c r="G16" s="5">
        <f ca="1">AVERAGE(D$2:D15)</f>
        <v>205.25149791511808</v>
      </c>
      <c r="H16" s="5">
        <f ca="1">PERCENTILE(D$2:D15,0.025)</f>
        <v>5.2733100830934685</v>
      </c>
      <c r="I16" s="5">
        <f ca="1">PERCENTILE(D$2:D15,0.165)</f>
        <v>16.700919073727885</v>
      </c>
      <c r="J16" s="5">
        <f ca="1">PERCENTILE(D$2:D15,0.5)</f>
        <v>99.633568140329771</v>
      </c>
      <c r="K16" s="5">
        <f ca="1">PERCENTILE(D$2:D15,0.835)</f>
        <v>286.42452720995266</v>
      </c>
      <c r="L16" s="5">
        <f ca="1">PERCENTILE(D$2:D15,0.975)</f>
        <v>905.79890640752251</v>
      </c>
      <c r="M16" s="7">
        <f>AVERAGE(E$2:E15)</f>
        <v>1.5384615384615385</v>
      </c>
      <c r="N16" s="7">
        <f>PERCENTILE($E$2:$E15,0.025)</f>
        <v>0</v>
      </c>
      <c r="O16" s="7">
        <f>PERCENTILE($E$2:$E15,0.165)</f>
        <v>0</v>
      </c>
      <c r="P16" s="7">
        <f>PERCENTILE($E$2:$E15,0.5)</f>
        <v>1</v>
      </c>
      <c r="Q16" s="7">
        <f>PERCENTILE($E$2:$E15,0.835)</f>
        <v>4</v>
      </c>
      <c r="R16" s="7">
        <f>PERCENTILE($E$2:$E15,0.975)</f>
        <v>4</v>
      </c>
    </row>
    <row r="17" spans="1:18" x14ac:dyDescent="0.2">
      <c r="A17" s="5">
        <f>Data!E20</f>
        <v>1993</v>
      </c>
      <c r="B17" s="5">
        <f>Data!M20</f>
        <v>0.57499999999999996</v>
      </c>
      <c r="C17" s="5">
        <f>Data!N20</f>
        <v>0.25</v>
      </c>
      <c r="D17" s="5">
        <f ca="1">Data!O20</f>
        <v>4.4587055194554539</v>
      </c>
      <c r="E17" s="1">
        <f>Data!AQ20</f>
        <v>2</v>
      </c>
      <c r="F17">
        <f t="shared" si="0"/>
        <v>1993</v>
      </c>
      <c r="G17" s="5">
        <f ca="1">AVERAGE(D$2:D16)</f>
        <v>441.84570090893698</v>
      </c>
      <c r="H17" s="5">
        <f ca="1">PERCENTILE(D$2:D16,0.025)</f>
        <v>5.4713584601308227</v>
      </c>
      <c r="I17" s="5">
        <f ca="1">PERCENTILE(D$2:D16,0.165)</f>
        <v>17.577119915433798</v>
      </c>
      <c r="J17" s="5">
        <f ca="1">PERCENTILE(D$2:D16,0.5)</f>
        <v>127.53444938888869</v>
      </c>
      <c r="K17" s="5">
        <f ca="1">PERCENTILE(D$2:D16,0.835)</f>
        <v>485.06008503988403</v>
      </c>
      <c r="L17" s="5">
        <f ca="1">PERCENTILE(D$2:D16,0.975)</f>
        <v>2813.1448303655516</v>
      </c>
      <c r="M17" s="7">
        <f>AVERAGE(E$2:E16)</f>
        <v>1.2857142857142858</v>
      </c>
      <c r="N17" s="7">
        <f>PERCENTILE($E$2:$E16,0.025)</f>
        <v>-1.35</v>
      </c>
      <c r="O17" s="7">
        <f>PERCENTILE($E$2:$E16,0.165)</f>
        <v>0</v>
      </c>
      <c r="P17" s="7">
        <f>PERCENTILE($E$2:$E16,0.5)</f>
        <v>1</v>
      </c>
      <c r="Q17" s="7">
        <f>PERCENTILE($E$2:$E16,0.835)</f>
        <v>3.7100000000000009</v>
      </c>
      <c r="R17" s="7">
        <f>PERCENTILE($E$2:$E16,0.975)</f>
        <v>4</v>
      </c>
    </row>
    <row r="18" spans="1:18" x14ac:dyDescent="0.2">
      <c r="A18" s="5">
        <f>Data!E21</f>
        <v>1993</v>
      </c>
      <c r="B18" s="5">
        <f>Data!M21</f>
        <v>1.1499999999999999</v>
      </c>
      <c r="C18" s="5">
        <f>Data!N21</f>
        <v>0.5</v>
      </c>
      <c r="D18" s="5">
        <f ca="1">Data!O21</f>
        <v>7.1821310529606759</v>
      </c>
      <c r="E18" s="1">
        <f>Data!AQ21</f>
        <v>2</v>
      </c>
      <c r="F18" t="str">
        <f t="shared" si="0"/>
        <v/>
      </c>
      <c r="G18" s="5">
        <f ca="1">AVERAGE(D$2:D17)</f>
        <v>414.50901369709436</v>
      </c>
      <c r="H18" s="5">
        <f ca="1">PERCENTILE(D$2:D17,0.025)</f>
        <v>3.3586903083007225</v>
      </c>
      <c r="I18" s="5">
        <f ca="1">PERCENTILE(D$2:D17,0.165)</f>
        <v>13.143012625588717</v>
      </c>
      <c r="J18" s="5">
        <f ca="1">PERCENTILE(D$2:D17,0.5)</f>
        <v>99.633568140329771</v>
      </c>
      <c r="K18" s="5">
        <f ca="1">PERCENTILE(D$2:D17,0.835)</f>
        <v>437.70214774309034</v>
      </c>
      <c r="L18" s="5">
        <f ca="1">PERCENTILE(D$2:D17,0.975)</f>
        <v>2745.9291366186326</v>
      </c>
      <c r="M18" s="7">
        <f>AVERAGE(E$2:E17)</f>
        <v>1.3333333333333333</v>
      </c>
      <c r="N18" s="7">
        <f>PERCENTILE($E$2:$E17,0.025)</f>
        <v>-1.2999999999999998</v>
      </c>
      <c r="O18" s="7">
        <f>PERCENTILE($E$2:$E17,0.165)</f>
        <v>0</v>
      </c>
      <c r="P18" s="7">
        <f>PERCENTILE($E$2:$E17,0.5)</f>
        <v>1</v>
      </c>
      <c r="Q18" s="7">
        <f>PERCENTILE($E$2:$E17,0.835)</f>
        <v>3.379999999999999</v>
      </c>
      <c r="R18" s="7">
        <f>PERCENTILE($E$2:$E17,0.975)</f>
        <v>4</v>
      </c>
    </row>
    <row r="19" spans="1:18" x14ac:dyDescent="0.2">
      <c r="A19" s="5">
        <f>Data!E22</f>
        <v>1993</v>
      </c>
      <c r="B19" s="5">
        <f>Data!M22</f>
        <v>0.57499999999999996</v>
      </c>
      <c r="C19" s="5">
        <f>Data!N22</f>
        <v>0.25</v>
      </c>
      <c r="D19" s="5">
        <f ca="1">Data!O22</f>
        <v>21.160775384226422</v>
      </c>
      <c r="E19" s="1">
        <f>Data!AQ22</f>
        <v>2</v>
      </c>
      <c r="F19" t="str">
        <f t="shared" si="0"/>
        <v/>
      </c>
      <c r="G19" s="5">
        <f ca="1">AVERAGE(D$2:D18)</f>
        <v>390.54860883567471</v>
      </c>
      <c r="H19" s="5">
        <f ca="1">PERCENTILE(D$2:D18,0.025)</f>
        <v>3.4026909167469115</v>
      </c>
      <c r="I19" s="5">
        <f ca="1">PERCENTILE(D$2:D18,0.165)</f>
        <v>9.3827615874511192</v>
      </c>
      <c r="J19" s="5">
        <f ca="1">PERCENTILE(D$2:D18,0.5)</f>
        <v>71.73268689177084</v>
      </c>
      <c r="K19" s="5">
        <f ca="1">PERCENTILE(D$2:D18,0.835)</f>
        <v>390.34421044629721</v>
      </c>
      <c r="L19" s="5">
        <f ca="1">PERCENTILE(D$2:D18,0.975)</f>
        <v>2678.7134428717181</v>
      </c>
      <c r="M19" s="7">
        <f>AVERAGE(E$2:E18)</f>
        <v>1.375</v>
      </c>
      <c r="N19" s="7">
        <f>PERCENTILE($E$2:$E18,0.025)</f>
        <v>-1.25</v>
      </c>
      <c r="O19" s="7">
        <f>PERCENTILE($E$2:$E18,0.165)</f>
        <v>0</v>
      </c>
      <c r="P19" s="7">
        <f>PERCENTILE($E$2:$E18,0.5)</f>
        <v>1</v>
      </c>
      <c r="Q19" s="7">
        <f>PERCENTILE($E$2:$E18,0.835)</f>
        <v>3.0499999999999972</v>
      </c>
      <c r="R19" s="7">
        <f>PERCENTILE($E$2:$E18,0.975)</f>
        <v>4</v>
      </c>
    </row>
    <row r="20" spans="1:18" x14ac:dyDescent="0.2">
      <c r="A20" s="5">
        <f>Data!E23</f>
        <v>1992</v>
      </c>
      <c r="B20" s="5">
        <f>Data!M23</f>
        <v>2.2000000000000002</v>
      </c>
      <c r="C20" s="5">
        <f>Data!N23</f>
        <v>1</v>
      </c>
      <c r="D20" s="5">
        <f ca="1">Data!O23</f>
        <v>40.176551896931038</v>
      </c>
      <c r="E20" s="1">
        <f>Data!AQ23</f>
        <v>2</v>
      </c>
      <c r="F20">
        <f t="shared" si="0"/>
        <v>1992</v>
      </c>
      <c r="G20" s="5">
        <f ca="1">AVERAGE(D$2:D19)</f>
        <v>370.02706253281644</v>
      </c>
      <c r="H20" s="5">
        <f ca="1">PERCENTILE(D$2:D19,0.025)</f>
        <v>3.446691525193101</v>
      </c>
      <c r="I20" s="5">
        <f ca="1">PERCENTILE(D$2:D19,0.165)</f>
        <v>9.9501116471244373</v>
      </c>
      <c r="J20" s="5">
        <f ca="1">PERCENTILE(D$2:D19,0.5)</f>
        <v>67.771719351023776</v>
      </c>
      <c r="K20" s="5">
        <f ca="1">PERCENTILE(D$2:D19,0.835)</f>
        <v>342.98627314950403</v>
      </c>
      <c r="L20" s="5">
        <f ca="1">PERCENTILE(D$2:D19,0.975)</f>
        <v>2611.4977491247946</v>
      </c>
      <c r="M20" s="7">
        <f>AVERAGE(E$2:E19)</f>
        <v>1.411764705882353</v>
      </c>
      <c r="N20" s="7">
        <f>PERCENTILE($E$2:$E19,0.025)</f>
        <v>-1.2000000000000002</v>
      </c>
      <c r="O20" s="7">
        <f>PERCENTILE($E$2:$E19,0.165)</f>
        <v>0</v>
      </c>
      <c r="P20" s="7">
        <f>PERCENTILE($E$2:$E19,0.5)</f>
        <v>1</v>
      </c>
      <c r="Q20" s="7">
        <f>PERCENTILE($E$2:$E19,0.835)</f>
        <v>2.7199999999999989</v>
      </c>
      <c r="R20" s="7">
        <f>PERCENTILE($E$2:$E19,0.975)</f>
        <v>4</v>
      </c>
    </row>
    <row r="21" spans="1:18" x14ac:dyDescent="0.2">
      <c r="A21" s="5">
        <f>Data!E24</f>
        <v>1993</v>
      </c>
      <c r="B21" s="5">
        <f>Data!M24</f>
        <v>2.946428571428571E-2</v>
      </c>
      <c r="C21" s="5">
        <f>Data!N24</f>
        <v>8.9285714285714281E-3</v>
      </c>
      <c r="D21" s="5">
        <f ca="1">Data!O24</f>
        <v>1.5851284473467744E-2</v>
      </c>
      <c r="E21" s="1">
        <f>Data!AQ24</f>
        <v>0</v>
      </c>
      <c r="F21">
        <f t="shared" si="0"/>
        <v>1993</v>
      </c>
      <c r="G21" s="5">
        <f ca="1">AVERAGE(D$2:D20)</f>
        <v>352.66650934145412</v>
      </c>
      <c r="H21" s="5">
        <f ca="1">PERCENTILE(D$2:D20,0.025)</f>
        <v>3.49069213363929</v>
      </c>
      <c r="I21" s="5">
        <f ca="1">PERCENTILE(D$2:D20,0.165)</f>
        <v>10.517461706797755</v>
      </c>
      <c r="J21" s="5">
        <f ca="1">PERCENTILE(D$2:D20,0.5)</f>
        <v>63.81075181027672</v>
      </c>
      <c r="K21" s="5">
        <f ca="1">PERCENTILE(D$2:D20,0.835)</f>
        <v>295.62833585271085</v>
      </c>
      <c r="L21" s="5">
        <f ca="1">PERCENTILE(D$2:D20,0.975)</f>
        <v>2544.2820553778806</v>
      </c>
      <c r="M21" s="7">
        <f>AVERAGE(E$2:E20)</f>
        <v>1.4444444444444444</v>
      </c>
      <c r="N21" s="7">
        <f>PERCENTILE($E$2:$E20,0.025)</f>
        <v>-1.1499999999999999</v>
      </c>
      <c r="O21" s="7">
        <f>PERCENTILE($E$2:$E20,0.165)</f>
        <v>0</v>
      </c>
      <c r="P21" s="7">
        <f>PERCENTILE($E$2:$E20,0.5)</f>
        <v>1</v>
      </c>
      <c r="Q21" s="7">
        <f>PERCENTILE($E$2:$E20,0.835)</f>
        <v>2.3900000000000006</v>
      </c>
      <c r="R21" s="7">
        <f>PERCENTILE($E$2:$E20,0.975)</f>
        <v>4</v>
      </c>
    </row>
    <row r="22" spans="1:18" x14ac:dyDescent="0.2">
      <c r="A22" s="5">
        <f>Data!E25</f>
        <v>1993</v>
      </c>
      <c r="B22" s="5">
        <f>Data!M25</f>
        <v>2.946428571428571E-2</v>
      </c>
      <c r="C22" s="5">
        <f>Data!N25</f>
        <v>8.9285714285714281E-3</v>
      </c>
      <c r="D22" s="5">
        <f ca="1">Data!O25</f>
        <v>9.5107706840806452E-2</v>
      </c>
      <c r="E22" s="1">
        <f>Data!AQ25</f>
        <v>0</v>
      </c>
      <c r="F22" t="str">
        <f t="shared" si="0"/>
        <v/>
      </c>
      <c r="G22" s="5">
        <f ca="1">AVERAGE(D$2:D21)</f>
        <v>335.03397643860507</v>
      </c>
      <c r="H22" s="5">
        <f ca="1">PERCENTILE(D$2:D21,0.025)</f>
        <v>1.2901954856123155</v>
      </c>
      <c r="I22" s="5">
        <f ca="1">PERCENTILE(D$2:D21,0.165)</f>
        <v>7.6463265563297531</v>
      </c>
      <c r="J22" s="5">
        <f ca="1">PERCENTILE(D$2:D21,0.5)</f>
        <v>53.97019850848389</v>
      </c>
      <c r="K22" s="5">
        <f ca="1">PERCENTILE(D$2:D21,0.835)</f>
        <v>286.46544269883509</v>
      </c>
      <c r="L22" s="5">
        <f ca="1">PERCENTILE(D$2:D21,0.975)</f>
        <v>2477.0663616309571</v>
      </c>
      <c r="M22" s="7">
        <f>AVERAGE(E$2:E21)</f>
        <v>1.368421052631579</v>
      </c>
      <c r="N22" s="7">
        <f>PERCENTILE($E$2:$E21,0.025)</f>
        <v>-1.1000000000000001</v>
      </c>
      <c r="O22" s="7">
        <f>PERCENTILE($E$2:$E21,0.165)</f>
        <v>0</v>
      </c>
      <c r="P22" s="7">
        <f>PERCENTILE($E$2:$E21,0.5)</f>
        <v>1</v>
      </c>
      <c r="Q22" s="7">
        <f>PERCENTILE($E$2:$E21,0.835)</f>
        <v>2.0600000000000023</v>
      </c>
      <c r="R22" s="7">
        <f>PERCENTILE($E$2:$E21,0.975)</f>
        <v>4</v>
      </c>
    </row>
    <row r="23" spans="1:18" x14ac:dyDescent="0.2">
      <c r="A23" s="5">
        <f>Data!E26</f>
        <v>1993</v>
      </c>
      <c r="B23" s="5">
        <f>Data!M26</f>
        <v>5.892857142857142E-2</v>
      </c>
      <c r="C23" s="5">
        <f>Data!N26</f>
        <v>1.7857142857142856E-2</v>
      </c>
      <c r="D23" s="5">
        <f ca="1">Data!O26</f>
        <v>2.3776926710201613E-2</v>
      </c>
      <c r="E23" s="1">
        <f>Data!AQ26</f>
        <v>0</v>
      </c>
      <c r="F23" t="str">
        <f t="shared" si="0"/>
        <v/>
      </c>
      <c r="G23" s="5">
        <f ca="1">AVERAGE(D$2:D22)</f>
        <v>319.08450649899726</v>
      </c>
      <c r="H23" s="5">
        <f ca="1">PERCENTILE(D$2:D22,0.025)</f>
        <v>5.5479495657137098E-2</v>
      </c>
      <c r="I23" s="5">
        <f ca="1">PERCENTILE(D$2:D22,0.165)</f>
        <v>5.2757331795070224</v>
      </c>
      <c r="J23" s="5">
        <f ca="1">PERCENTILE(D$2:D22,0.5)</f>
        <v>44.129645206691066</v>
      </c>
      <c r="K23" s="5">
        <f ca="1">PERCENTILE(D$2:D22,0.835)</f>
        <v>285.79033713227483</v>
      </c>
      <c r="L23" s="5">
        <f ca="1">PERCENTILE(D$2:D22,0.975)</f>
        <v>2409.8506678840431</v>
      </c>
      <c r="M23" s="7">
        <f>AVERAGE(E$2:E22)</f>
        <v>1.3</v>
      </c>
      <c r="N23" s="7">
        <f>PERCENTILE($E$2:$E22,0.025)</f>
        <v>-1.0499999999999998</v>
      </c>
      <c r="O23" s="7">
        <f>PERCENTILE($E$2:$E22,0.165)</f>
        <v>0</v>
      </c>
      <c r="P23" s="7">
        <f>PERCENTILE($E$2:$E22,0.5)</f>
        <v>1</v>
      </c>
      <c r="Q23" s="7">
        <f>PERCENTILE($E$2:$E22,0.835)</f>
        <v>2</v>
      </c>
      <c r="R23" s="7">
        <f>PERCENTILE($E$2:$E22,0.975)</f>
        <v>4</v>
      </c>
    </row>
    <row r="24" spans="1:18" x14ac:dyDescent="0.2">
      <c r="A24" s="5">
        <f>Data!E27</f>
        <v>1993</v>
      </c>
      <c r="B24" s="5">
        <f>Data!M27</f>
        <v>5.892857142857142E-2</v>
      </c>
      <c r="C24" s="5">
        <f>Data!N27</f>
        <v>1.7857142857142856E-2</v>
      </c>
      <c r="D24" s="5">
        <f ca="1">Data!O27</f>
        <v>0.14266156026120969</v>
      </c>
      <c r="E24" s="1">
        <f>Data!AQ27</f>
        <v>0</v>
      </c>
      <c r="F24" t="str">
        <f t="shared" si="0"/>
        <v/>
      </c>
      <c r="G24" s="5">
        <f ca="1">AVERAGE(D$2:D23)</f>
        <v>304.58174606389332</v>
      </c>
      <c r="H24" s="5">
        <f ca="1">PERCENTILE(D$2:D23,0.025)</f>
        <v>2.0012246647753026E-2</v>
      </c>
      <c r="I24" s="5">
        <f ca="1">PERCENTILE(D$2:D23,0.165)</f>
        <v>3.5170924987070036</v>
      </c>
      <c r="J24" s="5">
        <f ca="1">PERCENTILE(D$2:D23,0.5)</f>
        <v>42.153098551811055</v>
      </c>
      <c r="K24" s="5">
        <f ca="1">PERCENTILE(D$2:D23,0.835)</f>
        <v>285.11523156571457</v>
      </c>
      <c r="L24" s="5">
        <f ca="1">PERCENTILE(D$2:D23,0.975)</f>
        <v>2342.6349741371191</v>
      </c>
      <c r="M24" s="7">
        <f>AVERAGE(E$2:E23)</f>
        <v>1.2380952380952381</v>
      </c>
      <c r="N24" s="7">
        <f>PERCENTILE($E$2:$E23,0.025)</f>
        <v>-1</v>
      </c>
      <c r="O24" s="7">
        <f>PERCENTILE($E$2:$E23,0.165)</f>
        <v>0</v>
      </c>
      <c r="P24" s="7">
        <f>PERCENTILE($E$2:$E23,0.5)</f>
        <v>1</v>
      </c>
      <c r="Q24" s="7">
        <f>PERCENTILE($E$2:$E23,0.835)</f>
        <v>2</v>
      </c>
      <c r="R24" s="7">
        <f>PERCENTILE($E$2:$E23,0.975)</f>
        <v>4</v>
      </c>
    </row>
    <row r="25" spans="1:18" x14ac:dyDescent="0.2">
      <c r="A25" s="5">
        <f>Data!E28</f>
        <v>1993</v>
      </c>
      <c r="B25" s="5">
        <f>Data!M28</f>
        <v>5.892857142857142E-2</v>
      </c>
      <c r="C25" s="5">
        <f>Data!N28</f>
        <v>1.7857142857142856E-2</v>
      </c>
      <c r="D25" s="5">
        <f ca="1">Data!O28</f>
        <v>4.7553853420403226E-2</v>
      </c>
      <c r="E25" s="1">
        <f>Data!AQ28</f>
        <v>0</v>
      </c>
      <c r="F25" t="str">
        <f t="shared" si="0"/>
        <v/>
      </c>
      <c r="G25" s="5">
        <f ca="1">AVERAGE(D$2:D24)</f>
        <v>291.34526412895281</v>
      </c>
      <c r="H25" s="5">
        <f ca="1">PERCENTILE(D$2:D24,0.025)</f>
        <v>2.0210387703671374E-2</v>
      </c>
      <c r="I25" s="5">
        <f ca="1">PERCENTILE(D$2:D24,0.165)</f>
        <v>1.7529539217096159</v>
      </c>
      <c r="J25" s="5">
        <f ca="1">PERCENTILE(D$2:D24,0.5)</f>
        <v>40.176551896931038</v>
      </c>
      <c r="K25" s="5">
        <f ca="1">PERCENTILE(D$2:D24,0.835)</f>
        <v>284.44012599915425</v>
      </c>
      <c r="L25" s="5">
        <f ca="1">PERCENTILE(D$2:D24,0.975)</f>
        <v>2275.4192803902051</v>
      </c>
      <c r="M25" s="7">
        <f>AVERAGE(E$2:E24)</f>
        <v>1.1818181818181819</v>
      </c>
      <c r="N25" s="7">
        <f>PERCENTILE($E$2:$E24,0.025)</f>
        <v>-0.95000000000000018</v>
      </c>
      <c r="O25" s="7">
        <f>PERCENTILE($E$2:$E24,0.165)</f>
        <v>0</v>
      </c>
      <c r="P25" s="7">
        <f>PERCENTILE($E$2:$E24,0.5)</f>
        <v>1</v>
      </c>
      <c r="Q25" s="7">
        <f>PERCENTILE($E$2:$E24,0.835)</f>
        <v>2</v>
      </c>
      <c r="R25" s="7">
        <f>PERCENTILE($E$2:$E24,0.975)</f>
        <v>4</v>
      </c>
    </row>
    <row r="26" spans="1:18" x14ac:dyDescent="0.2">
      <c r="A26" s="5">
        <f>Data!E29</f>
        <v>1993</v>
      </c>
      <c r="B26" s="5">
        <f>Data!M29</f>
        <v>5.892857142857142E-2</v>
      </c>
      <c r="C26" s="5">
        <f>Data!N29</f>
        <v>1.7857142857142856E-2</v>
      </c>
      <c r="D26" s="5">
        <f ca="1">Data!O29</f>
        <v>0.28532312052241937</v>
      </c>
      <c r="E26" s="1">
        <f>Data!AQ29</f>
        <v>0</v>
      </c>
      <c r="F26" t="str">
        <f t="shared" si="0"/>
        <v/>
      </c>
      <c r="G26" s="5">
        <f ca="1">AVERAGE(D$2:D25)</f>
        <v>279.20785953413895</v>
      </c>
      <c r="H26" s="5">
        <f ca="1">PERCENTILE(D$2:D25,0.025)</f>
        <v>2.040852875958972E-2</v>
      </c>
      <c r="I26" s="5">
        <f ca="1">PERCENTILE(D$2:D25,0.165)</f>
        <v>0.13291302031002702</v>
      </c>
      <c r="J26" s="5">
        <f ca="1">PERCENTILE(D$2:D25,0.5)</f>
        <v>30.708892211567512</v>
      </c>
      <c r="K26" s="5">
        <f ca="1">PERCENTILE(D$2:D25,0.835)</f>
        <v>283.76502043259399</v>
      </c>
      <c r="L26" s="5">
        <f ca="1">PERCENTILE(D$2:D25,0.975)</f>
        <v>2208.2035866432907</v>
      </c>
      <c r="M26" s="7">
        <f>AVERAGE(E$2:E25)</f>
        <v>1.1304347826086956</v>
      </c>
      <c r="N26" s="7">
        <f>PERCENTILE($E$2:$E25,0.025)</f>
        <v>-0.89999999999999991</v>
      </c>
      <c r="O26" s="7">
        <f>PERCENTILE($E$2:$E25,0.165)</f>
        <v>0</v>
      </c>
      <c r="P26" s="7">
        <f>PERCENTILE($E$2:$E25,0.5)</f>
        <v>1</v>
      </c>
      <c r="Q26" s="7">
        <f>PERCENTILE($E$2:$E25,0.835)</f>
        <v>2</v>
      </c>
      <c r="R26" s="7">
        <f>PERCENTILE($E$2:$E25,0.975)</f>
        <v>4</v>
      </c>
    </row>
    <row r="27" spans="1:18" x14ac:dyDescent="0.2">
      <c r="A27" s="5">
        <f>Data!E30</f>
        <v>1993</v>
      </c>
      <c r="B27" s="5">
        <f>Data!M30</f>
        <v>2.946428571428571E-2</v>
      </c>
      <c r="C27" s="5">
        <f>Data!N30</f>
        <v>8.9285714285714281E-3</v>
      </c>
      <c r="D27" s="5">
        <f ca="1">Data!O30</f>
        <v>8.7182064604072587E-2</v>
      </c>
      <c r="E27" s="1">
        <f>Data!AQ30</f>
        <v>0</v>
      </c>
      <c r="F27" t="str">
        <f t="shared" si="0"/>
        <v/>
      </c>
      <c r="G27" s="5">
        <f ca="1">AVERAGE(D$2:D26)</f>
        <v>268.05095807759432</v>
      </c>
      <c r="H27" s="5">
        <f ca="1">PERCENTILE(D$2:D26,0.025)</f>
        <v>2.0606669815508065E-2</v>
      </c>
      <c r="I27" s="5">
        <f ca="1">PERCENTILE(D$2:D26,0.165)</f>
        <v>0.14075940612439355</v>
      </c>
      <c r="J27" s="5">
        <f ca="1">PERCENTILE(D$2:D26,0.5)</f>
        <v>21.241232526203987</v>
      </c>
      <c r="K27" s="5">
        <f ca="1">PERCENTILE(D$2:D26,0.835)</f>
        <v>283.08991486603367</v>
      </c>
      <c r="L27" s="5">
        <f ca="1">PERCENTILE(D$2:D26,0.975)</f>
        <v>2140.9878928963672</v>
      </c>
      <c r="M27" s="7">
        <f>AVERAGE(E$2:E26)</f>
        <v>1.0833333333333333</v>
      </c>
      <c r="N27" s="7">
        <f>PERCENTILE($E$2:$E26,0.025)</f>
        <v>-0.84999999999999964</v>
      </c>
      <c r="O27" s="7">
        <f>PERCENTILE($E$2:$E26,0.165)</f>
        <v>0</v>
      </c>
      <c r="P27" s="7">
        <f>PERCENTILE($E$2:$E26,0.5)</f>
        <v>1</v>
      </c>
      <c r="Q27" s="7">
        <f>PERCENTILE($E$2:$E26,0.835)</f>
        <v>2</v>
      </c>
      <c r="R27" s="7">
        <f>PERCENTILE($E$2:$E26,0.975)</f>
        <v>4</v>
      </c>
    </row>
    <row r="28" spans="1:18" x14ac:dyDescent="0.2">
      <c r="A28" s="5">
        <f>Data!E31</f>
        <v>1993</v>
      </c>
      <c r="B28" s="5">
        <f>Data!M31</f>
        <v>2.946428571428571E-2</v>
      </c>
      <c r="C28" s="5">
        <f>Data!N31</f>
        <v>8.9285714285714281E-3</v>
      </c>
      <c r="D28" s="5">
        <f ca="1">Data!O31</f>
        <v>0.52309238762443544</v>
      </c>
      <c r="E28" s="1">
        <f>Data!AQ31</f>
        <v>0</v>
      </c>
      <c r="F28" t="str">
        <f t="shared" si="0"/>
        <v/>
      </c>
      <c r="G28" s="5">
        <f ca="1">AVERAGE(D$2:D27)</f>
        <v>257.74465900017162</v>
      </c>
      <c r="H28" s="5">
        <f ca="1">PERCENTILE(D$2:D27,0.025)</f>
        <v>2.080481087142641E-2</v>
      </c>
      <c r="I28" s="5">
        <f ca="1">PERCENTILE(D$2:D27,0.165)</f>
        <v>0.10105193851835685</v>
      </c>
      <c r="J28" s="5">
        <f ca="1">PERCENTILE(D$2:D27,0.5)</f>
        <v>21.201003955215207</v>
      </c>
      <c r="K28" s="5">
        <f ca="1">PERCENTILE(D$2:D27,0.835)</f>
        <v>266.82122005252143</v>
      </c>
      <c r="L28" s="5">
        <f ca="1">PERCENTILE(D$2:D27,0.975)</f>
        <v>2073.7721991494532</v>
      </c>
      <c r="M28" s="7">
        <f>AVERAGE(E$2:E27)</f>
        <v>1.04</v>
      </c>
      <c r="N28" s="7">
        <f>PERCENTILE($E$2:$E27,0.025)</f>
        <v>-0.79999999999999982</v>
      </c>
      <c r="O28" s="7">
        <f>PERCENTILE($E$2:$E27,0.165)</f>
        <v>0</v>
      </c>
      <c r="P28" s="7">
        <f>PERCENTILE($E$2:$E27,0.5)</f>
        <v>1</v>
      </c>
      <c r="Q28" s="7">
        <f>PERCENTILE($E$2:$E27,0.835)</f>
        <v>2</v>
      </c>
      <c r="R28" s="7">
        <f>PERCENTILE($E$2:$E27,0.975)</f>
        <v>4</v>
      </c>
    </row>
    <row r="29" spans="1:18" x14ac:dyDescent="0.2">
      <c r="A29" s="5">
        <f>Data!E32</f>
        <v>1993</v>
      </c>
      <c r="B29" s="5">
        <f>Data!M32</f>
        <v>2.946428571428571E-2</v>
      </c>
      <c r="C29" s="5">
        <f>Data!N32</f>
        <v>8.9285714285714281E-3</v>
      </c>
      <c r="D29" s="5">
        <f ca="1">Data!O32</f>
        <v>0.21399234039181453</v>
      </c>
      <c r="E29" s="1">
        <f>Data!AQ32</f>
        <v>0</v>
      </c>
      <c r="F29" t="str">
        <f t="shared" si="0"/>
        <v/>
      </c>
      <c r="G29" s="5">
        <f ca="1">AVERAGE(D$2:D28)</f>
        <v>248.21793431081801</v>
      </c>
      <c r="H29" s="5">
        <f ca="1">PERCENTILE(D$2:D28,0.025)</f>
        <v>2.1002951927344759E-2</v>
      </c>
      <c r="I29" s="5">
        <f ca="1">PERCENTILE(D$2:D28,0.165)</f>
        <v>0.1088983243327234</v>
      </c>
      <c r="J29" s="5">
        <f ca="1">PERCENTILE(D$2:D28,0.5)</f>
        <v>21.160775384226422</v>
      </c>
      <c r="K29" s="5">
        <f ca="1">PERCENTILE(D$2:D28,0.835)</f>
        <v>245.56257667998457</v>
      </c>
      <c r="L29" s="5">
        <f ca="1">PERCENTILE(D$2:D28,0.975)</f>
        <v>2006.5565054025296</v>
      </c>
      <c r="M29" s="7">
        <f>AVERAGE(E$2:E28)</f>
        <v>1</v>
      </c>
      <c r="N29" s="7">
        <f>PERCENTILE($E$2:$E28,0.025)</f>
        <v>-0.75</v>
      </c>
      <c r="O29" s="7">
        <f>PERCENTILE($E$2:$E28,0.165)</f>
        <v>0</v>
      </c>
      <c r="P29" s="7">
        <f>PERCENTILE($E$2:$E28,0.5)</f>
        <v>1</v>
      </c>
      <c r="Q29" s="7">
        <f>PERCENTILE($E$2:$E28,0.835)</f>
        <v>2</v>
      </c>
      <c r="R29" s="7">
        <f>PERCENTILE($E$2:$E28,0.975)</f>
        <v>4</v>
      </c>
    </row>
    <row r="30" spans="1:18" x14ac:dyDescent="0.2">
      <c r="A30" s="5">
        <f>Data!E33</f>
        <v>1993</v>
      </c>
      <c r="B30" s="5">
        <f>Data!M33</f>
        <v>2.946428571428571E-2</v>
      </c>
      <c r="C30" s="5">
        <f>Data!N33</f>
        <v>8.9285714285714281E-3</v>
      </c>
      <c r="D30" s="5">
        <f ca="1">Data!O33</f>
        <v>1.2839540423508873</v>
      </c>
      <c r="E30" s="1">
        <f>Data!AQ33</f>
        <v>0</v>
      </c>
      <c r="F30" t="str">
        <f t="shared" si="0"/>
        <v/>
      </c>
      <c r="G30" s="5">
        <f ca="1">AVERAGE(D$2:D29)</f>
        <v>239.36065066901708</v>
      </c>
      <c r="H30" s="5">
        <f ca="1">PERCENTILE(D$2:D29,0.025)</f>
        <v>2.1201092983263108E-2</v>
      </c>
      <c r="I30" s="5">
        <f ca="1">PERCENTILE(D$2:D29,0.165)</f>
        <v>0.11674471014708993</v>
      </c>
      <c r="J30" s="5">
        <f ca="1">PERCENTILE(D$2:D29,0.5)</f>
        <v>18.545849889439708</v>
      </c>
      <c r="K30" s="5">
        <f ca="1">PERCENTILE(D$2:D29,0.835)</f>
        <v>224.30393330744727</v>
      </c>
      <c r="L30" s="5">
        <f ca="1">PERCENTILE(D$2:D29,0.975)</f>
        <v>1939.3408116556154</v>
      </c>
      <c r="M30" s="7">
        <f>AVERAGE(E$2:E29)</f>
        <v>0.96296296296296291</v>
      </c>
      <c r="N30" s="7">
        <f>PERCENTILE($E$2:$E29,0.025)</f>
        <v>-0.70000000000000018</v>
      </c>
      <c r="O30" s="7">
        <f>PERCENTILE($E$2:$E29,0.165)</f>
        <v>0</v>
      </c>
      <c r="P30" s="7">
        <f>PERCENTILE($E$2:$E29,0.5)</f>
        <v>1</v>
      </c>
      <c r="Q30" s="7">
        <f>PERCENTILE($E$2:$E29,0.835)</f>
        <v>2</v>
      </c>
      <c r="R30" s="7">
        <f>PERCENTILE($E$2:$E29,0.975)</f>
        <v>4</v>
      </c>
    </row>
    <row r="31" spans="1:18" x14ac:dyDescent="0.2">
      <c r="A31" s="5">
        <f>Data!E34</f>
        <v>1993</v>
      </c>
      <c r="B31" s="5">
        <f>Data!M34</f>
        <v>2.946428571428571E-2</v>
      </c>
      <c r="C31" s="5">
        <f>Data!N34</f>
        <v>8.9285714285714281E-3</v>
      </c>
      <c r="D31" s="5">
        <f ca="1">Data!O34</f>
        <v>3.1702568946935489E-2</v>
      </c>
      <c r="E31" s="1">
        <f>Data!AQ34</f>
        <v>0</v>
      </c>
      <c r="F31" t="str">
        <f t="shared" si="0"/>
        <v/>
      </c>
      <c r="G31" s="5">
        <f ca="1">AVERAGE(D$2:D30)</f>
        <v>231.15110940602858</v>
      </c>
      <c r="H31" s="5">
        <f ca="1">PERCENTILE(D$2:D30,0.025)</f>
        <v>2.1399234039181453E-2</v>
      </c>
      <c r="I31" s="5">
        <f ca="1">PERCENTILE(D$2:D30,0.165)</f>
        <v>0.12459109596145646</v>
      </c>
      <c r="J31" s="5">
        <f ca="1">PERCENTILE(D$2:D30,0.5)</f>
        <v>15.93092439465299</v>
      </c>
      <c r="K31" s="5">
        <f ca="1">PERCENTILE(D$2:D30,0.835)</f>
        <v>203.04528993491044</v>
      </c>
      <c r="L31" s="5">
        <f ca="1">PERCENTILE(D$2:D30,0.975)</f>
        <v>1872.1251179087012</v>
      </c>
      <c r="M31" s="7">
        <f>AVERAGE(E$2:E30)</f>
        <v>0.9285714285714286</v>
      </c>
      <c r="N31" s="7">
        <f>PERCENTILE($E$2:$E30,0.025)</f>
        <v>-0.64999999999999991</v>
      </c>
      <c r="O31" s="7">
        <f>PERCENTILE($E$2:$E30,0.165)</f>
        <v>0</v>
      </c>
      <c r="P31" s="7">
        <f>PERCENTILE($E$2:$E30,0.5)</f>
        <v>0.5</v>
      </c>
      <c r="Q31" s="7">
        <f>PERCENTILE($E$2:$E30,0.835)</f>
        <v>2</v>
      </c>
      <c r="R31" s="7">
        <f>PERCENTILE($E$2:$E30,0.975)</f>
        <v>4</v>
      </c>
    </row>
    <row r="32" spans="1:18" x14ac:dyDescent="0.2">
      <c r="A32" s="5">
        <f>Data!E35</f>
        <v>1993</v>
      </c>
      <c r="B32" s="5">
        <f>Data!M35</f>
        <v>2.946428571428571E-2</v>
      </c>
      <c r="C32" s="5">
        <f>Data!N35</f>
        <v>8.9285714285714281E-3</v>
      </c>
      <c r="D32" s="5">
        <f ca="1">Data!O35</f>
        <v>0.1902154136816129</v>
      </c>
      <c r="E32" s="1">
        <f>Data!AQ35</f>
        <v>0</v>
      </c>
      <c r="F32" t="str">
        <f t="shared" si="0"/>
        <v/>
      </c>
      <c r="G32" s="5">
        <f ca="1">AVERAGE(D$2:D31)</f>
        <v>223.44712917812589</v>
      </c>
      <c r="H32" s="5">
        <f ca="1">PERCENTILE(D$2:D31,0.025)</f>
        <v>2.1597375095099798E-2</v>
      </c>
      <c r="I32" s="5">
        <f ca="1">PERCENTILE(D$2:D31,0.165)</f>
        <v>9.3403693759908674E-2</v>
      </c>
      <c r="J32" s="5">
        <f ca="1">PERCENTILE(D$2:D31,0.5)</f>
        <v>13.275770328877492</v>
      </c>
      <c r="K32" s="5">
        <f ca="1">PERCENTILE(D$2:D31,0.835)</f>
        <v>181.78664656237362</v>
      </c>
      <c r="L32" s="5">
        <f ca="1">PERCENTILE(D$2:D31,0.975)</f>
        <v>1804.9094241617777</v>
      </c>
      <c r="M32" s="7">
        <f>AVERAGE(E$2:E31)</f>
        <v>0.89655172413793105</v>
      </c>
      <c r="N32" s="7">
        <f>PERCENTILE($E$2:$E31,0.025)</f>
        <v>-0.59999999999999964</v>
      </c>
      <c r="O32" s="7">
        <f>PERCENTILE($E$2:$E31,0.165)</f>
        <v>0</v>
      </c>
      <c r="P32" s="7">
        <f>PERCENTILE($E$2:$E31,0.5)</f>
        <v>0</v>
      </c>
      <c r="Q32" s="7">
        <f>PERCENTILE($E$2:$E31,0.835)</f>
        <v>2</v>
      </c>
      <c r="R32" s="7">
        <f>PERCENTILE($E$2:$E31,0.975)</f>
        <v>4</v>
      </c>
    </row>
    <row r="33" spans="1:18" x14ac:dyDescent="0.2">
      <c r="A33" s="5">
        <f>Data!E36</f>
        <v>1993</v>
      </c>
      <c r="B33" s="5">
        <f>Data!M36</f>
        <v>5.892857142857142E-2</v>
      </c>
      <c r="C33" s="5">
        <f>Data!N36</f>
        <v>1.7857142857142856E-2</v>
      </c>
      <c r="D33" s="5">
        <f ca="1">Data!O36</f>
        <v>4.7553853420403226E-2</v>
      </c>
      <c r="E33" s="1">
        <f>Data!AQ36</f>
        <v>0</v>
      </c>
      <c r="F33" t="str">
        <f t="shared" si="0"/>
        <v/>
      </c>
      <c r="G33" s="5">
        <f ca="1">AVERAGE(D$2:D32)</f>
        <v>216.24529325024056</v>
      </c>
      <c r="H33" s="5">
        <f ca="1">PERCENTILE(D$2:D32,0.025)</f>
        <v>2.1795516151018147E-2</v>
      </c>
      <c r="I33" s="5">
        <f ca="1">PERCENTILE(D$2:D32,0.165)</f>
        <v>9.4711424728969762E-2</v>
      </c>
      <c r="J33" s="5">
        <f ca="1">PERCENTILE(D$2:D32,0.5)</f>
        <v>10.620616263101994</v>
      </c>
      <c r="K33" s="5">
        <f ca="1">PERCENTILE(D$2:D32,0.835)</f>
        <v>160.52800318983631</v>
      </c>
      <c r="L33" s="5">
        <f ca="1">PERCENTILE(D$2:D32,0.975)</f>
        <v>1737.6937304148635</v>
      </c>
      <c r="M33" s="7">
        <f>AVERAGE(E$2:E32)</f>
        <v>0.8666666666666667</v>
      </c>
      <c r="N33" s="7">
        <f>PERCENTILE($E$2:$E32,0.025)</f>
        <v>-0.54999999999999982</v>
      </c>
      <c r="O33" s="7">
        <f>PERCENTILE($E$2:$E32,0.165)</f>
        <v>0</v>
      </c>
      <c r="P33" s="7">
        <f>PERCENTILE($E$2:$E32,0.5)</f>
        <v>0</v>
      </c>
      <c r="Q33" s="7">
        <f>PERCENTILE($E$2:$E32,0.835)</f>
        <v>2</v>
      </c>
      <c r="R33" s="7">
        <f>PERCENTILE($E$2:$E32,0.975)</f>
        <v>4</v>
      </c>
    </row>
    <row r="34" spans="1:18" x14ac:dyDescent="0.2">
      <c r="A34" s="5">
        <f>Data!E37</f>
        <v>1993</v>
      </c>
      <c r="B34" s="5">
        <f>Data!M37</f>
        <v>5.892857142857142E-2</v>
      </c>
      <c r="C34" s="5">
        <f>Data!N37</f>
        <v>1.7857142857142856E-2</v>
      </c>
      <c r="D34" s="5">
        <f ca="1">Data!O37</f>
        <v>0.28532312052241937</v>
      </c>
      <c r="E34" s="1">
        <f>Data!AQ37</f>
        <v>0</v>
      </c>
      <c r="F34" t="str">
        <f t="shared" si="0"/>
        <v/>
      </c>
      <c r="G34" s="5">
        <f ca="1">AVERAGE(D$2:D33)</f>
        <v>209.48911389408994</v>
      </c>
      <c r="H34" s="5">
        <f ca="1">PERCENTILE(D$2:D33,0.025)</f>
        <v>2.1993657206936492E-2</v>
      </c>
      <c r="I34" s="5">
        <f ca="1">PERCENTILE(D$2:D33,0.165)</f>
        <v>8.8093513461296985E-2</v>
      </c>
      <c r="J34" s="5">
        <f ca="1">PERCENTILE(D$2:D33,0.5)</f>
        <v>8.9013736580313356</v>
      </c>
      <c r="K34" s="5">
        <f ca="1">PERCENTILE(D$2:D33,0.835)</f>
        <v>153.87134850395873</v>
      </c>
      <c r="L34" s="5">
        <f ca="1">PERCENTILE(D$2:D33,0.975)</f>
        <v>1670.4780366679397</v>
      </c>
      <c r="M34" s="7">
        <f>AVERAGE(E$2:E33)</f>
        <v>0.83870967741935487</v>
      </c>
      <c r="N34" s="7">
        <f>PERCENTILE($E$2:$E33,0.025)</f>
        <v>-0.5</v>
      </c>
      <c r="O34" s="7">
        <f>PERCENTILE($E$2:$E33,0.165)</f>
        <v>0</v>
      </c>
      <c r="P34" s="7">
        <f>PERCENTILE($E$2:$E33,0.5)</f>
        <v>0</v>
      </c>
      <c r="Q34" s="7">
        <f>PERCENTILE($E$2:$E33,0.835)</f>
        <v>2</v>
      </c>
      <c r="R34" s="7">
        <f>PERCENTILE($E$2:$E33,0.975)</f>
        <v>4</v>
      </c>
    </row>
    <row r="35" spans="1:18" x14ac:dyDescent="0.2">
      <c r="A35" s="5">
        <f>Data!E38</f>
        <v>1993</v>
      </c>
      <c r="B35" s="5">
        <f>Data!M38</f>
        <v>5.892857142857142E-2</v>
      </c>
      <c r="C35" s="5">
        <f>Data!N38</f>
        <v>1.7857142857142856E-2</v>
      </c>
      <c r="D35" s="5">
        <f ca="1">Data!O38</f>
        <v>8.7182064604072587E-2</v>
      </c>
      <c r="E35" s="1">
        <f>Data!AQ38</f>
        <v>0</v>
      </c>
      <c r="F35" t="str">
        <f t="shared" si="0"/>
        <v/>
      </c>
      <c r="G35" s="5">
        <f ca="1">AVERAGE(D$2:D34)</f>
        <v>203.14960508276971</v>
      </c>
      <c r="H35" s="5">
        <f ca="1">PERCENTILE(D$2:D34,0.025)</f>
        <v>2.2191798262854841E-2</v>
      </c>
      <c r="I35" s="5">
        <f ca="1">PERCENTILE(D$2:D34,0.165)</f>
        <v>8.9401244430358073E-2</v>
      </c>
      <c r="J35" s="5">
        <f ca="1">PERCENTILE(D$2:D34,0.5)</f>
        <v>7.1821310529606759</v>
      </c>
      <c r="K35" s="5">
        <f ca="1">PERCENTILE(D$2:D34,0.835)</f>
        <v>153.56338455141079</v>
      </c>
      <c r="L35" s="5">
        <f ca="1">PERCENTILE(D$2:D34,0.975)</f>
        <v>1603.2623429210353</v>
      </c>
      <c r="M35" s="7">
        <f>AVERAGE(E$2:E34)</f>
        <v>0.8125</v>
      </c>
      <c r="N35" s="7">
        <f>PERCENTILE($E$2:$E34,0.025)</f>
        <v>-0.45000000000000018</v>
      </c>
      <c r="O35" s="7">
        <f>PERCENTILE($E$2:$E34,0.165)</f>
        <v>0</v>
      </c>
      <c r="P35" s="7">
        <f>PERCENTILE($E$2:$E34,0.5)</f>
        <v>0</v>
      </c>
      <c r="Q35" s="7">
        <f>PERCENTILE($E$2:$E34,0.835)</f>
        <v>2</v>
      </c>
      <c r="R35" s="7">
        <f>PERCENTILE($E$2:$E34,0.975)</f>
        <v>4</v>
      </c>
    </row>
    <row r="36" spans="1:18" x14ac:dyDescent="0.2">
      <c r="A36" s="5">
        <f>Data!E39</f>
        <v>1993</v>
      </c>
      <c r="B36" s="5">
        <f>Data!M39</f>
        <v>5.892857142857142E-2</v>
      </c>
      <c r="C36" s="5">
        <f>Data!N39</f>
        <v>1.7857142857142856E-2</v>
      </c>
      <c r="D36" s="5">
        <f ca="1">Data!O39</f>
        <v>0.52309238762443544</v>
      </c>
      <c r="E36" s="1">
        <f>Data!AQ39</f>
        <v>0</v>
      </c>
      <c r="F36" t="str">
        <f t="shared" si="0"/>
        <v/>
      </c>
      <c r="G36" s="5">
        <f ca="1">AVERAGE(D$2:D35)</f>
        <v>197.17718087635308</v>
      </c>
      <c r="H36" s="5">
        <f ca="1">PERCENTILE(D$2:D35,0.025)</f>
        <v>2.2389939318773186E-2</v>
      </c>
      <c r="I36" s="5">
        <f ca="1">PERCENTILE(D$2:D35,0.165)</f>
        <v>8.7182064604072587E-2</v>
      </c>
      <c r="J36" s="5">
        <f ca="1">PERCENTILE(D$2:D35,0.5)</f>
        <v>5.8204182862080653</v>
      </c>
      <c r="K36" s="5">
        <f ca="1">PERCENTILE(D$2:D35,0.835)</f>
        <v>153.25542059886286</v>
      </c>
      <c r="L36" s="5">
        <f ca="1">PERCENTILE(D$2:D35,0.975)</f>
        <v>1536.046649174102</v>
      </c>
      <c r="M36" s="7">
        <f>AVERAGE(E$2:E35)</f>
        <v>0.78787878787878785</v>
      </c>
      <c r="N36" s="7">
        <f>PERCENTILE($E$2:$E35,0.025)</f>
        <v>-0.39999999999999991</v>
      </c>
      <c r="O36" s="7">
        <f>PERCENTILE($E$2:$E35,0.165)</f>
        <v>0</v>
      </c>
      <c r="P36" s="7">
        <f>PERCENTILE($E$2:$E35,0.5)</f>
        <v>0</v>
      </c>
      <c r="Q36" s="7">
        <f>PERCENTILE($E$2:$E35,0.835)</f>
        <v>2</v>
      </c>
      <c r="R36" s="7">
        <f>PERCENTILE($E$2:$E35,0.975)</f>
        <v>4</v>
      </c>
    </row>
    <row r="37" spans="1:18" x14ac:dyDescent="0.2">
      <c r="A37" s="5">
        <f>Data!E40</f>
        <v>1993</v>
      </c>
      <c r="B37" s="5">
        <f>Data!M40</f>
        <v>2.946428571428571E-2</v>
      </c>
      <c r="C37" s="5">
        <f>Data!N40</f>
        <v>8.9285714285714281E-3</v>
      </c>
      <c r="D37" s="5">
        <f ca="1">Data!O40</f>
        <v>0.16643848697141131</v>
      </c>
      <c r="E37" s="1">
        <f>Data!AQ40</f>
        <v>0</v>
      </c>
      <c r="F37" t="str">
        <f t="shared" si="0"/>
        <v/>
      </c>
      <c r="G37" s="5">
        <f ca="1">AVERAGE(D$2:D36)</f>
        <v>191.55849263381799</v>
      </c>
      <c r="H37" s="5">
        <f ca="1">PERCENTILE(D$2:D36,0.025)</f>
        <v>2.2588080374691535E-2</v>
      </c>
      <c r="I37" s="5">
        <f ca="1">PERCENTILE(D$2:D36,0.165)</f>
        <v>8.7182064604072587E-2</v>
      </c>
      <c r="J37" s="5">
        <f ca="1">PERCENTILE(D$2:D36,0.5)</f>
        <v>4.4587055194554539</v>
      </c>
      <c r="K37" s="5">
        <f ca="1">PERCENTILE(D$2:D36,0.835)</f>
        <v>152.94745664631492</v>
      </c>
      <c r="L37" s="5">
        <f ca="1">PERCENTILE(D$2:D36,0.975)</f>
        <v>1468.8309554271877</v>
      </c>
      <c r="M37" s="7">
        <f>AVERAGE(E$2:E36)</f>
        <v>0.76470588235294112</v>
      </c>
      <c r="N37" s="7">
        <f>PERCENTILE($E$2:$E36,0.025)</f>
        <v>-0.34999999999999964</v>
      </c>
      <c r="O37" s="7">
        <f>PERCENTILE($E$2:$E36,0.165)</f>
        <v>0</v>
      </c>
      <c r="P37" s="7">
        <f>PERCENTILE($E$2:$E36,0.5)</f>
        <v>0</v>
      </c>
      <c r="Q37" s="7">
        <f>PERCENTILE($E$2:$E36,0.835)</f>
        <v>2</v>
      </c>
      <c r="R37" s="7">
        <f>PERCENTILE($E$2:$E36,0.975)</f>
        <v>4</v>
      </c>
    </row>
    <row r="38" spans="1:18" x14ac:dyDescent="0.2">
      <c r="A38" s="5">
        <f>Data!E41</f>
        <v>1993</v>
      </c>
      <c r="B38" s="5">
        <f>Data!M41</f>
        <v>2.946428571428571E-2</v>
      </c>
      <c r="C38" s="5">
        <f>Data!N41</f>
        <v>8.9285714285714281E-3</v>
      </c>
      <c r="D38" s="5">
        <f ca="1">Data!O41</f>
        <v>0.9986309218284678</v>
      </c>
      <c r="E38" s="1">
        <f>Data!AQ41</f>
        <v>0</v>
      </c>
      <c r="F38" t="str">
        <f t="shared" si="0"/>
        <v/>
      </c>
      <c r="G38" s="5">
        <f ca="1">AVERAGE(D$2:D37)</f>
        <v>186.24204668529447</v>
      </c>
      <c r="H38" s="5">
        <f ca="1">PERCENTILE(D$2:D37,0.025)</f>
        <v>2.278622143060988E-2</v>
      </c>
      <c r="I38" s="5">
        <f ca="1">PERCENTILE(D$2:D37,0.165)</f>
        <v>8.7182064604072587E-2</v>
      </c>
      <c r="J38" s="5">
        <f ca="1">PERCENTILE(D$2:D37,0.5)</f>
        <v>3.5786933505316689</v>
      </c>
      <c r="K38" s="5">
        <f ca="1">PERCENTILE(D$2:D37,0.835)</f>
        <v>152.63949269376698</v>
      </c>
      <c r="L38" s="5">
        <f ca="1">PERCENTILE(D$2:D37,0.975)</f>
        <v>1401.6152616802738</v>
      </c>
      <c r="M38" s="7">
        <f>AVERAGE(E$2:E37)</f>
        <v>0.74285714285714288</v>
      </c>
      <c r="N38" s="7">
        <f>PERCENTILE($E$2:$E37,0.025)</f>
        <v>-0.29999999999999982</v>
      </c>
      <c r="O38" s="7">
        <f>PERCENTILE($E$2:$E37,0.165)</f>
        <v>0</v>
      </c>
      <c r="P38" s="7">
        <f>PERCENTILE($E$2:$E37,0.5)</f>
        <v>0</v>
      </c>
      <c r="Q38" s="7">
        <f>PERCENTILE($E$2:$E37,0.835)</f>
        <v>2</v>
      </c>
      <c r="R38" s="7">
        <f>PERCENTILE($E$2:$E37,0.975)</f>
        <v>4</v>
      </c>
    </row>
    <row r="39" spans="1:18" x14ac:dyDescent="0.2">
      <c r="A39" s="5">
        <f>Data!E42</f>
        <v>1993</v>
      </c>
      <c r="B39" s="5">
        <f>Data!M42</f>
        <v>2.946428571428571E-2</v>
      </c>
      <c r="C39" s="5">
        <f>Data!N42</f>
        <v>8.9285714285714281E-3</v>
      </c>
      <c r="D39" s="5">
        <f ca="1">Data!O42</f>
        <v>0.43591032302036292</v>
      </c>
      <c r="E39" s="1">
        <f>Data!AQ42</f>
        <v>0</v>
      </c>
      <c r="F39" t="str">
        <f t="shared" si="0"/>
        <v/>
      </c>
      <c r="G39" s="5">
        <f ca="1">AVERAGE(D$2:D38)</f>
        <v>181.23546788087648</v>
      </c>
      <c r="H39" s="5">
        <f ca="1">PERCENTILE(D$2:D38,0.025)</f>
        <v>2.2984362486528225E-2</v>
      </c>
      <c r="I39" s="5">
        <f ca="1">PERCENTILE(D$2:D38,0.165)</f>
        <v>8.7182064604072587E-2</v>
      </c>
      <c r="J39" s="5">
        <f ca="1">PERCENTILE(D$2:D38,0.5)</f>
        <v>2.6986811816078835</v>
      </c>
      <c r="K39" s="5">
        <f ca="1">PERCENTILE(D$2:D38,0.835)</f>
        <v>152.33152874121905</v>
      </c>
      <c r="L39" s="5">
        <f ca="1">PERCENTILE(D$2:D38,0.975)</f>
        <v>1334.3995679333598</v>
      </c>
      <c r="M39" s="7">
        <f>AVERAGE(E$2:E38)</f>
        <v>0.72222222222222221</v>
      </c>
      <c r="N39" s="7">
        <f>PERCENTILE($E$2:$E38,0.025)</f>
        <v>-0.25</v>
      </c>
      <c r="O39" s="7">
        <f>PERCENTILE($E$2:$E38,0.165)</f>
        <v>0</v>
      </c>
      <c r="P39" s="7">
        <f>PERCENTILE($E$2:$E38,0.5)</f>
        <v>0</v>
      </c>
      <c r="Q39" s="7">
        <f>PERCENTILE($E$2:$E38,0.835)</f>
        <v>2</v>
      </c>
      <c r="R39" s="7">
        <f>PERCENTILE($E$2:$E38,0.975)</f>
        <v>4</v>
      </c>
    </row>
    <row r="40" spans="1:18" x14ac:dyDescent="0.2">
      <c r="A40" s="5">
        <f>Data!E43</f>
        <v>1993</v>
      </c>
      <c r="B40" s="5">
        <f>Data!M43</f>
        <v>2.946428571428571E-2</v>
      </c>
      <c r="C40" s="5">
        <f>Data!N43</f>
        <v>8.9285714285714281E-3</v>
      </c>
      <c r="D40" s="5">
        <f ca="1">Data!O43</f>
        <v>2.6154619381221775</v>
      </c>
      <c r="E40" s="1">
        <f>Data!AQ43</f>
        <v>0</v>
      </c>
      <c r="F40" t="str">
        <f t="shared" si="0"/>
        <v/>
      </c>
      <c r="G40" s="5">
        <f ca="1">AVERAGE(D$2:D39)</f>
        <v>176.47758478724867</v>
      </c>
      <c r="H40" s="5">
        <f ca="1">PERCENTILE(D$2:D39,0.025)</f>
        <v>2.3182503542446574E-2</v>
      </c>
      <c r="I40" s="5">
        <f ca="1">PERCENTILE(D$2:D39,0.165)</f>
        <v>8.801425703892965E-2</v>
      </c>
      <c r="J40" s="5">
        <f ca="1">PERCENTILE(D$2:D39,0.5)</f>
        <v>1.9913176119793854</v>
      </c>
      <c r="K40" s="5">
        <f ca="1">PERCENTILE(D$2:D39,0.835)</f>
        <v>149.62760714103146</v>
      </c>
      <c r="L40" s="5">
        <f ca="1">PERCENTILE(D$2:D39,0.975)</f>
        <v>1267.1838741864265</v>
      </c>
      <c r="M40" s="7">
        <f>AVERAGE(E$2:E39)</f>
        <v>0.70270270270270274</v>
      </c>
      <c r="N40" s="7">
        <f>PERCENTILE($E$2:$E39,0.025)</f>
        <v>-0.20000000000000018</v>
      </c>
      <c r="O40" s="7">
        <f>PERCENTILE($E$2:$E39,0.165)</f>
        <v>0</v>
      </c>
      <c r="P40" s="7">
        <f>PERCENTILE($E$2:$E39,0.5)</f>
        <v>0</v>
      </c>
      <c r="Q40" s="7">
        <f>PERCENTILE($E$2:$E39,0.835)</f>
        <v>2</v>
      </c>
      <c r="R40" s="7">
        <f>PERCENTILE($E$2:$E39,0.975)</f>
        <v>4</v>
      </c>
    </row>
    <row r="41" spans="1:18" x14ac:dyDescent="0.2">
      <c r="A41" s="5">
        <f>Data!E44</f>
        <v>1993</v>
      </c>
      <c r="B41" s="5">
        <f>Data!M44</f>
        <v>5.892857142857142E-2</v>
      </c>
      <c r="C41" s="5">
        <f>Data!N44</f>
        <v>1.7857142857142856E-2</v>
      </c>
      <c r="D41" s="5">
        <f ca="1">Data!O44</f>
        <v>3.9628211183669361E-2</v>
      </c>
      <c r="E41" s="1">
        <f>Data!AQ44</f>
        <v>0</v>
      </c>
      <c r="F41" t="str">
        <f t="shared" si="0"/>
        <v/>
      </c>
      <c r="G41" s="5">
        <f ca="1">AVERAGE(D$2:D40)</f>
        <v>172.01958163727107</v>
      </c>
      <c r="H41" s="5">
        <f ca="1">PERCENTILE(D$2:D40,0.025)</f>
        <v>2.3380644598364919E-2</v>
      </c>
      <c r="I41" s="5">
        <f ca="1">PERCENTILE(D$2:D40,0.165)</f>
        <v>8.9321988007990738E-2</v>
      </c>
      <c r="J41" s="5">
        <f ca="1">PERCENTILE(D$2:D40,0.5)</f>
        <v>2.6154619381221775</v>
      </c>
      <c r="K41" s="5">
        <f ca="1">PERCENTILE(D$2:D40,0.835)</f>
        <v>145.55456688504978</v>
      </c>
      <c r="L41" s="5">
        <f ca="1">PERCENTILE(D$2:D40,0.975)</f>
        <v>1199.9681804395123</v>
      </c>
      <c r="M41" s="7">
        <f>AVERAGE(E$2:E40)</f>
        <v>0.68421052631578949</v>
      </c>
      <c r="N41" s="7">
        <f>PERCENTILE($E$2:$E40,0.025)</f>
        <v>-0.14999999999999991</v>
      </c>
      <c r="O41" s="7">
        <f>PERCENTILE($E$2:$E40,0.165)</f>
        <v>0</v>
      </c>
      <c r="P41" s="7">
        <f>PERCENTILE($E$2:$E40,0.5)</f>
        <v>0</v>
      </c>
      <c r="Q41" s="7">
        <f>PERCENTILE($E$2:$E40,0.835)</f>
        <v>2</v>
      </c>
      <c r="R41" s="7">
        <f>PERCENTILE($E$2:$E40,0.975)</f>
        <v>4</v>
      </c>
    </row>
    <row r="42" spans="1:18" x14ac:dyDescent="0.2">
      <c r="A42" s="5">
        <f>Data!E45</f>
        <v>1993</v>
      </c>
      <c r="B42" s="5">
        <f>Data!M45</f>
        <v>5.892857142857142E-2</v>
      </c>
      <c r="C42" s="5">
        <f>Data!N45</f>
        <v>1.7857142857142856E-2</v>
      </c>
      <c r="D42" s="5">
        <f ca="1">Data!O45</f>
        <v>0.23776926710201612</v>
      </c>
      <c r="E42" s="1">
        <f>Data!AQ45</f>
        <v>0</v>
      </c>
      <c r="F42" t="str">
        <f t="shared" si="0"/>
        <v/>
      </c>
      <c r="G42" s="5">
        <f ca="1">AVERAGE(D$2:D41)</f>
        <v>167.72008280161887</v>
      </c>
      <c r="H42" s="5">
        <f ca="1">PERCENTILE(D$2:D41,0.025)</f>
        <v>2.3578785654283268E-2</v>
      </c>
      <c r="I42" s="5">
        <f ca="1">PERCENTILE(D$2:D41,0.165)</f>
        <v>8.7182064604072587E-2</v>
      </c>
      <c r="J42" s="5">
        <f ca="1">PERCENTILE(D$2:D41,0.5)</f>
        <v>1.9497079902365324</v>
      </c>
      <c r="K42" s="5">
        <f ca="1">PERCENTILE(D$2:D41,0.835)</f>
        <v>141.48152662906816</v>
      </c>
      <c r="L42" s="5">
        <f ca="1">PERCENTILE(D$2:D41,0.975)</f>
        <v>1132.7524866925983</v>
      </c>
      <c r="M42" s="7">
        <f>AVERAGE(E$2:E41)</f>
        <v>0.66666666666666663</v>
      </c>
      <c r="N42" s="7">
        <f>PERCENTILE($E$2:$E41,0.025)</f>
        <v>-9.9999999999999645E-2</v>
      </c>
      <c r="O42" s="7">
        <f>PERCENTILE($E$2:$E41,0.165)</f>
        <v>0</v>
      </c>
      <c r="P42" s="7">
        <f>PERCENTILE($E$2:$E41,0.5)</f>
        <v>0</v>
      </c>
      <c r="Q42" s="7">
        <f>PERCENTILE($E$2:$E41,0.835)</f>
        <v>2</v>
      </c>
      <c r="R42" s="7">
        <f>PERCENTILE($E$2:$E41,0.975)</f>
        <v>4</v>
      </c>
    </row>
    <row r="43" spans="1:18" x14ac:dyDescent="0.2">
      <c r="A43" s="5">
        <f>Data!E46</f>
        <v>1993</v>
      </c>
      <c r="B43" s="5">
        <f>Data!M46</f>
        <v>0.11785714285714284</v>
      </c>
      <c r="C43" s="5">
        <f>Data!N46</f>
        <v>3.5714285714285712E-2</v>
      </c>
      <c r="D43" s="5">
        <f ca="1">Data!O46</f>
        <v>5.5479495657137098E-2</v>
      </c>
      <c r="E43" s="1">
        <f>Data!AQ46</f>
        <v>0</v>
      </c>
      <c r="F43" t="str">
        <f t="shared" si="0"/>
        <v/>
      </c>
      <c r="G43" s="5">
        <f ca="1">AVERAGE(D$2:D42)</f>
        <v>163.63514832516725</v>
      </c>
      <c r="H43" s="5">
        <f ca="1">PERCENTILE(D$2:D42,0.025)</f>
        <v>2.3776926710201613E-2</v>
      </c>
      <c r="I43" s="5">
        <f ca="1">PERCENTILE(D$2:D42,0.165)</f>
        <v>8.7182064604072587E-2</v>
      </c>
      <c r="J43" s="5">
        <f ca="1">PERCENTILE(D$2:D42,0.5)</f>
        <v>1.2839540423508873</v>
      </c>
      <c r="K43" s="5">
        <f ca="1">PERCENTILE(D$2:D42,0.835)</f>
        <v>137.40848637308656</v>
      </c>
      <c r="L43" s="5">
        <f ca="1">PERCENTILE(D$2:D42,0.975)</f>
        <v>1065.5367929456841</v>
      </c>
      <c r="M43" s="7">
        <f>AVERAGE(E$2:E42)</f>
        <v>0.65</v>
      </c>
      <c r="N43" s="7">
        <f>PERCENTILE($E$2:$E42,0.025)</f>
        <v>-4.9999999999999822E-2</v>
      </c>
      <c r="O43" s="7">
        <f>PERCENTILE($E$2:$E42,0.165)</f>
        <v>0</v>
      </c>
      <c r="P43" s="7">
        <f>PERCENTILE($E$2:$E42,0.5)</f>
        <v>0</v>
      </c>
      <c r="Q43" s="7">
        <f>PERCENTILE($E$2:$E42,0.835)</f>
        <v>2</v>
      </c>
      <c r="R43" s="7">
        <f>PERCENTILE($E$2:$E42,0.975)</f>
        <v>4</v>
      </c>
    </row>
    <row r="44" spans="1:18" x14ac:dyDescent="0.2">
      <c r="A44" s="5">
        <f>Data!E47</f>
        <v>1993</v>
      </c>
      <c r="B44" s="5">
        <f>Data!M47</f>
        <v>0.11785714285714284</v>
      </c>
      <c r="C44" s="5">
        <f>Data!N47</f>
        <v>3.5714285714285712E-2</v>
      </c>
      <c r="D44" s="5">
        <f ca="1">Data!O47</f>
        <v>0.33287697394282262</v>
      </c>
      <c r="E44" s="1">
        <f>Data!AQ47</f>
        <v>0</v>
      </c>
      <c r="F44" t="str">
        <f t="shared" si="0"/>
        <v/>
      </c>
      <c r="G44" s="5">
        <f ca="1">AVERAGE(D$2:D43)</f>
        <v>159.740394305417</v>
      </c>
      <c r="H44" s="5">
        <f ca="1">PERCENTILE(D$2:D43,0.025)</f>
        <v>2.3975067766119962E-2</v>
      </c>
      <c r="I44" s="5">
        <f ca="1">PERCENTILE(D$2:D43,0.165)</f>
        <v>7.9731960901542762E-2</v>
      </c>
      <c r="J44" s="5">
        <f ca="1">PERCENTILE(D$2:D43,0.5)</f>
        <v>1.1412924820896775</v>
      </c>
      <c r="K44" s="5">
        <f ca="1">PERCENTILE(D$2:D43,0.835)</f>
        <v>133.33544611710494</v>
      </c>
      <c r="L44" s="5">
        <f ca="1">PERCENTILE(D$2:D43,0.975)</f>
        <v>1053.2492632119802</v>
      </c>
      <c r="M44" s="7">
        <f>AVERAGE(E$2:E43)</f>
        <v>0.63414634146341464</v>
      </c>
      <c r="N44" s="7">
        <f>PERCENTILE($E$2:$E43,0.025)</f>
        <v>0</v>
      </c>
      <c r="O44" s="7">
        <f>PERCENTILE($E$2:$E43,0.165)</f>
        <v>0</v>
      </c>
      <c r="P44" s="7">
        <f>PERCENTILE($E$2:$E43,0.5)</f>
        <v>0</v>
      </c>
      <c r="Q44" s="7">
        <f>PERCENTILE($E$2:$E43,0.835)</f>
        <v>2</v>
      </c>
      <c r="R44" s="7">
        <f>PERCENTILE($E$2:$E43,0.975)</f>
        <v>4</v>
      </c>
    </row>
    <row r="45" spans="1:18" x14ac:dyDescent="0.2">
      <c r="A45" s="5">
        <f>Data!E48</f>
        <v>1993</v>
      </c>
      <c r="B45" s="5">
        <f>Data!M48</f>
        <v>0.11785714285714284</v>
      </c>
      <c r="C45" s="5">
        <f>Data!N48</f>
        <v>3.5714285714285712E-2</v>
      </c>
      <c r="D45" s="5">
        <f ca="1">Data!O48</f>
        <v>0.1109589913142742</v>
      </c>
      <c r="E45" s="1">
        <f>Data!AQ48</f>
        <v>0</v>
      </c>
      <c r="F45" t="str">
        <f t="shared" si="0"/>
        <v/>
      </c>
      <c r="G45" s="5">
        <f ca="1">AVERAGE(D$2:D44)</f>
        <v>156.03324273956875</v>
      </c>
      <c r="H45" s="5">
        <f ca="1">PERCENTILE(D$2:D44,0.025)</f>
        <v>2.4173208822038307E-2</v>
      </c>
      <c r="I45" s="5">
        <f ca="1">PERCENTILE(D$2:D44,0.165)</f>
        <v>8.4962884777787129E-2</v>
      </c>
      <c r="J45" s="5">
        <f ca="1">PERCENTILE(D$2:D44,0.5)</f>
        <v>0.9986309218284678</v>
      </c>
      <c r="K45" s="5">
        <f ca="1">PERCENTILE(D$2:D44,0.835)</f>
        <v>129.26240586112334</v>
      </c>
      <c r="L45" s="5">
        <f ca="1">PERCENTILE(D$2:D44,0.975)</f>
        <v>1040.9617334782724</v>
      </c>
      <c r="M45" s="7">
        <f>AVERAGE(E$2:E44)</f>
        <v>0.61904761904761907</v>
      </c>
      <c r="N45" s="7">
        <f>PERCENTILE($E$2:$E44,0.025)</f>
        <v>0</v>
      </c>
      <c r="O45" s="7">
        <f>PERCENTILE($E$2:$E44,0.165)</f>
        <v>0</v>
      </c>
      <c r="P45" s="7">
        <f>PERCENTILE($E$2:$E44,0.5)</f>
        <v>0</v>
      </c>
      <c r="Q45" s="7">
        <f>PERCENTILE($E$2:$E44,0.835)</f>
        <v>2</v>
      </c>
      <c r="R45" s="7">
        <f>PERCENTILE($E$2:$E44,0.975)</f>
        <v>4</v>
      </c>
    </row>
    <row r="46" spans="1:18" x14ac:dyDescent="0.2">
      <c r="A46" s="5">
        <f>Data!E49</f>
        <v>1993</v>
      </c>
      <c r="B46" s="5">
        <f>Data!M49</f>
        <v>0.11785714285714284</v>
      </c>
      <c r="C46" s="5">
        <f>Data!N49</f>
        <v>3.5714285714285712E-2</v>
      </c>
      <c r="D46" s="5">
        <f ca="1">Data!O49</f>
        <v>0.66575394788564524</v>
      </c>
      <c r="E46" s="1">
        <f>Data!AQ49</f>
        <v>0</v>
      </c>
      <c r="F46" t="str">
        <f t="shared" si="0"/>
        <v/>
      </c>
      <c r="G46" s="5">
        <f ca="1">AVERAGE(D$2:D45)</f>
        <v>152.48955447256296</v>
      </c>
      <c r="H46" s="5">
        <f ca="1">PERCENTILE(D$2:D45,0.025)</f>
        <v>2.4371349877956656E-2</v>
      </c>
      <c r="I46" s="5">
        <f ca="1">PERCENTILE(D$2:D45,0.165)</f>
        <v>8.7182064604072587E-2</v>
      </c>
      <c r="J46" s="5">
        <f ca="1">PERCENTILE(D$2:D45,0.5)</f>
        <v>0.76086165472645162</v>
      </c>
      <c r="K46" s="5">
        <f ca="1">PERCENTILE(D$2:D45,0.835)</f>
        <v>122.23328195166255</v>
      </c>
      <c r="L46" s="5">
        <f ca="1">PERCENTILE(D$2:D45,0.975)</f>
        <v>1028.6742037445686</v>
      </c>
      <c r="M46" s="7">
        <f>AVERAGE(E$2:E45)</f>
        <v>0.60465116279069764</v>
      </c>
      <c r="N46" s="7">
        <f>PERCENTILE($E$2:$E45,0.025)</f>
        <v>0</v>
      </c>
      <c r="O46" s="7">
        <f>PERCENTILE($E$2:$E45,0.165)</f>
        <v>0</v>
      </c>
      <c r="P46" s="7">
        <f>PERCENTILE($E$2:$E45,0.5)</f>
        <v>0</v>
      </c>
      <c r="Q46" s="7">
        <f>PERCENTILE($E$2:$E45,0.835)</f>
        <v>2</v>
      </c>
      <c r="R46" s="7">
        <f>PERCENTILE($E$2:$E45,0.975)</f>
        <v>4</v>
      </c>
    </row>
    <row r="47" spans="1:18" x14ac:dyDescent="0.2">
      <c r="A47" s="5">
        <f>Data!E50</f>
        <v>1993</v>
      </c>
      <c r="B47" s="5">
        <f>Data!M50</f>
        <v>5.892857142857142E-2</v>
      </c>
      <c r="C47" s="5">
        <f>Data!N50</f>
        <v>1.7857142857142856E-2</v>
      </c>
      <c r="D47" s="5">
        <f ca="1">Data!O50</f>
        <v>0.20606669815508064</v>
      </c>
      <c r="E47" s="1">
        <f>Data!AQ50</f>
        <v>0</v>
      </c>
      <c r="F47" t="str">
        <f t="shared" si="0"/>
        <v/>
      </c>
      <c r="G47" s="5">
        <f ca="1">AVERAGE(D$2:D46)</f>
        <v>149.11569223868125</v>
      </c>
      <c r="H47" s="5">
        <f ca="1">PERCENTILE(D$2:D46,0.025)</f>
        <v>2.4569490933875001E-2</v>
      </c>
      <c r="I47" s="5">
        <f ca="1">PERCENTILE(D$2:D46,0.165)</f>
        <v>8.7182064604072587E-2</v>
      </c>
      <c r="J47" s="5">
        <f ca="1">PERCENTILE(D$2:D46,0.5)</f>
        <v>0.66575394788564524</v>
      </c>
      <c r="K47" s="5">
        <f ca="1">PERCENTILE(D$2:D46,0.835)</f>
        <v>113.02599113963777</v>
      </c>
      <c r="L47" s="5">
        <f ca="1">PERCENTILE(D$2:D46,0.975)</f>
        <v>1016.3866740108646</v>
      </c>
      <c r="M47" s="7">
        <f>AVERAGE(E$2:E46)</f>
        <v>0.59090909090909094</v>
      </c>
      <c r="N47" s="7">
        <f>PERCENTILE($E$2:$E46,0.025)</f>
        <v>0</v>
      </c>
      <c r="O47" s="7">
        <f>PERCENTILE($E$2:$E46,0.165)</f>
        <v>0</v>
      </c>
      <c r="P47" s="7">
        <f>PERCENTILE($E$2:$E46,0.5)</f>
        <v>0</v>
      </c>
      <c r="Q47" s="7">
        <f>PERCENTILE($E$2:$E46,0.835)</f>
        <v>1.9050000000000011</v>
      </c>
      <c r="R47" s="7">
        <f>PERCENTILE($E$2:$E46,0.975)</f>
        <v>4</v>
      </c>
    </row>
    <row r="48" spans="1:18" x14ac:dyDescent="0.2">
      <c r="A48" s="5">
        <f>Data!E51</f>
        <v>1993</v>
      </c>
      <c r="B48" s="5">
        <f>Data!M51</f>
        <v>5.892857142857142E-2</v>
      </c>
      <c r="C48" s="5">
        <f>Data!N51</f>
        <v>1.7857142857142856E-2</v>
      </c>
      <c r="D48" s="5">
        <f ca="1">Data!O51</f>
        <v>1.2364001889304839</v>
      </c>
      <c r="E48" s="1">
        <f>Data!AQ51</f>
        <v>0</v>
      </c>
      <c r="F48" t="str">
        <f t="shared" si="0"/>
        <v/>
      </c>
      <c r="G48" s="5">
        <f ca="1">AVERAGE(D$2:D47)</f>
        <v>145.87852646606112</v>
      </c>
      <c r="H48" s="5">
        <f ca="1">PERCENTILE(D$2:D47,0.025)</f>
        <v>2.4767631989793346E-2</v>
      </c>
      <c r="I48" s="5">
        <f ca="1">PERCENTILE(D$2:D47,0.165)</f>
        <v>8.7182064604072587E-2</v>
      </c>
      <c r="J48" s="5">
        <f ca="1">PERCENTILE(D$2:D47,0.5)</f>
        <v>0.59442316775504034</v>
      </c>
      <c r="K48" s="5">
        <f ca="1">PERCENTILE(D$2:D47,0.835)</f>
        <v>103.81870032761336</v>
      </c>
      <c r="L48" s="5">
        <f ca="1">PERCENTILE(D$2:D47,0.975)</f>
        <v>1004.0991442771606</v>
      </c>
      <c r="M48" s="7">
        <f>AVERAGE(E$2:E47)</f>
        <v>0.57777777777777772</v>
      </c>
      <c r="N48" s="7">
        <f>PERCENTILE($E$2:$E47,0.025)</f>
        <v>0</v>
      </c>
      <c r="O48" s="7">
        <f>PERCENTILE($E$2:$E47,0.165)</f>
        <v>0</v>
      </c>
      <c r="P48" s="7">
        <f>PERCENTILE($E$2:$E47,0.5)</f>
        <v>0</v>
      </c>
      <c r="Q48" s="7">
        <f>PERCENTILE($E$2:$E47,0.835)</f>
        <v>1.7399999999999949</v>
      </c>
      <c r="R48" s="7">
        <f>PERCENTILE($E$2:$E47,0.975)</f>
        <v>4</v>
      </c>
    </row>
    <row r="49" spans="1:18" x14ac:dyDescent="0.2">
      <c r="A49" s="5">
        <f>Data!E52</f>
        <v>1993</v>
      </c>
      <c r="B49" s="5">
        <f>Data!M52</f>
        <v>5.892857142857142E-2</v>
      </c>
      <c r="C49" s="5">
        <f>Data!N52</f>
        <v>1.7857142857142856E-2</v>
      </c>
      <c r="D49" s="5">
        <f ca="1">Data!O52</f>
        <v>0.54686931433463715</v>
      </c>
      <c r="E49" s="1">
        <f>Data!AQ52</f>
        <v>0</v>
      </c>
      <c r="F49" t="str">
        <f t="shared" si="0"/>
        <v/>
      </c>
      <c r="G49" s="5">
        <f ca="1">AVERAGE(D$2:D48)</f>
        <v>142.80103441761153</v>
      </c>
      <c r="H49" s="5">
        <f ca="1">PERCENTILE(D$2:D48,0.025)</f>
        <v>2.4965773045711698E-2</v>
      </c>
      <c r="I49" s="5">
        <f ca="1">PERCENTILE(D$2:D48,0.165)</f>
        <v>8.7182064604072587E-2</v>
      </c>
      <c r="J49" s="5">
        <f ca="1">PERCENTILE(D$2:D48,0.5)</f>
        <v>0.66575394788564524</v>
      </c>
      <c r="K49" s="5">
        <f ca="1">PERCENTILE(D$2:D48,0.835)</f>
        <v>94.611409515588974</v>
      </c>
      <c r="L49" s="5">
        <f ca="1">PERCENTILE(D$2:D48,0.975)</f>
        <v>991.81161454345659</v>
      </c>
      <c r="M49" s="7">
        <f>AVERAGE(E$2:E48)</f>
        <v>0.56521739130434778</v>
      </c>
      <c r="N49" s="7">
        <f>PERCENTILE($E$2:$E48,0.025)</f>
        <v>0</v>
      </c>
      <c r="O49" s="7">
        <f>PERCENTILE($E$2:$E48,0.165)</f>
        <v>0</v>
      </c>
      <c r="P49" s="7">
        <f>PERCENTILE($E$2:$E48,0.5)</f>
        <v>0</v>
      </c>
      <c r="Q49" s="7">
        <f>PERCENTILE($E$2:$E48,0.835)</f>
        <v>1.5749999999999957</v>
      </c>
      <c r="R49" s="7">
        <f>PERCENTILE($E$2:$E48,0.975)</f>
        <v>4</v>
      </c>
    </row>
    <row r="50" spans="1:18" x14ac:dyDescent="0.2">
      <c r="A50" s="5">
        <f>Data!E53</f>
        <v>1993</v>
      </c>
      <c r="B50" s="5">
        <f>Data!M53</f>
        <v>5.892857142857142E-2</v>
      </c>
      <c r="C50" s="5">
        <f>Data!N53</f>
        <v>1.7857142857142856E-2</v>
      </c>
      <c r="D50" s="5">
        <f ca="1">Data!O53</f>
        <v>3.2812158860078227</v>
      </c>
      <c r="E50" s="1">
        <f>Data!AQ53</f>
        <v>0</v>
      </c>
      <c r="F50" t="str">
        <f t="shared" si="0"/>
        <v/>
      </c>
      <c r="G50" s="5">
        <f ca="1">AVERAGE(D$2:D49)</f>
        <v>139.83740597795995</v>
      </c>
      <c r="H50" s="5">
        <f ca="1">PERCENTILE(D$2:D49,0.025)</f>
        <v>2.516391410163004E-2</v>
      </c>
      <c r="I50" s="5">
        <f ca="1">PERCENTILE(D$2:D49,0.165)</f>
        <v>8.7182064604072587E-2</v>
      </c>
      <c r="J50" s="5">
        <f ca="1">PERCENTILE(D$2:D49,0.5)</f>
        <v>0.60631163111014119</v>
      </c>
      <c r="K50" s="5">
        <f ca="1">PERCENTILE(D$2:D49,0.835)</f>
        <v>85.404118703564563</v>
      </c>
      <c r="L50" s="5">
        <f ca="1">PERCENTILE(D$2:D49,0.975)</f>
        <v>979.52408480974907</v>
      </c>
      <c r="M50" s="7">
        <f>AVERAGE(E$2:E49)</f>
        <v>0.55319148936170215</v>
      </c>
      <c r="N50" s="7">
        <f>PERCENTILE($E$2:$E49,0.025)</f>
        <v>0</v>
      </c>
      <c r="O50" s="7">
        <f>PERCENTILE($E$2:$E49,0.165)</f>
        <v>0</v>
      </c>
      <c r="P50" s="7">
        <f>PERCENTILE($E$2:$E49,0.5)</f>
        <v>0</v>
      </c>
      <c r="Q50" s="7">
        <f>PERCENTILE($E$2:$E49,0.835)</f>
        <v>1.4099999999999966</v>
      </c>
      <c r="R50" s="7">
        <f>PERCENTILE($E$2:$E49,0.975)</f>
        <v>4</v>
      </c>
    </row>
    <row r="51" spans="1:18" x14ac:dyDescent="0.2">
      <c r="A51" s="5">
        <f>Data!E54</f>
        <v>1993</v>
      </c>
      <c r="B51" s="5">
        <f>Data!M54</f>
        <v>5.892857142857142E-2</v>
      </c>
      <c r="C51" s="5">
        <f>Data!N54</f>
        <v>1.7857142857142856E-2</v>
      </c>
      <c r="D51" s="5">
        <f ca="1">Data!O54</f>
        <v>0.16643848697141131</v>
      </c>
      <c r="E51" s="1">
        <f>Data!AQ54</f>
        <v>0</v>
      </c>
      <c r="F51" t="str">
        <f t="shared" si="0"/>
        <v/>
      </c>
      <c r="G51" s="5">
        <f ca="1">AVERAGE(D$2:D50)</f>
        <v>137.05054495567521</v>
      </c>
      <c r="H51" s="5">
        <f ca="1">PERCENTILE(D$2:D50,0.025)</f>
        <v>2.5362055157548389E-2</v>
      </c>
      <c r="I51" s="5">
        <f ca="1">PERCENTILE(D$2:D50,0.165)</f>
        <v>8.7182064604072587E-2</v>
      </c>
      <c r="J51" s="5">
        <f ca="1">PERCENTILE(D$2:D50,0.5)</f>
        <v>0.66575394788564524</v>
      </c>
      <c r="K51" s="5">
        <f ca="1">PERCENTILE(D$2:D50,0.835)</f>
        <v>76.196827891540167</v>
      </c>
      <c r="L51" s="5">
        <f ca="1">PERCENTILE(D$2:D50,0.975)</f>
        <v>967.23655507604508</v>
      </c>
      <c r="M51" s="7">
        <f>AVERAGE(E$2:E50)</f>
        <v>0.54166666666666663</v>
      </c>
      <c r="N51" s="7">
        <f>PERCENTILE($E$2:$E50,0.025)</f>
        <v>0</v>
      </c>
      <c r="O51" s="7">
        <f>PERCENTILE($E$2:$E50,0.165)</f>
        <v>0</v>
      </c>
      <c r="P51" s="7">
        <f>PERCENTILE($E$2:$E50,0.5)</f>
        <v>0</v>
      </c>
      <c r="Q51" s="7">
        <f>PERCENTILE($E$2:$E50,0.835)</f>
        <v>1.2449999999999974</v>
      </c>
      <c r="R51" s="7">
        <f>PERCENTILE($E$2:$E50,0.975)</f>
        <v>4</v>
      </c>
    </row>
    <row r="52" spans="1:18" x14ac:dyDescent="0.2">
      <c r="A52" s="5">
        <f>Data!E55</f>
        <v>1993</v>
      </c>
      <c r="B52" s="5">
        <f>Data!M55</f>
        <v>5.892857142857142E-2</v>
      </c>
      <c r="C52" s="5">
        <f>Data!N55</f>
        <v>1.7857142857142856E-2</v>
      </c>
      <c r="D52" s="5">
        <f ca="1">Data!O55</f>
        <v>0.9986309218284678</v>
      </c>
      <c r="E52" s="1">
        <f>Data!AQ55</f>
        <v>0</v>
      </c>
      <c r="F52" t="str">
        <f t="shared" si="0"/>
        <v/>
      </c>
      <c r="G52" s="5">
        <f ca="1">AVERAGE(D$2:D51)</f>
        <v>134.31286282630114</v>
      </c>
      <c r="H52" s="5">
        <f ca="1">PERCENTILE(D$2:D51,0.025)</f>
        <v>2.5560196213466738E-2</v>
      </c>
      <c r="I52" s="5">
        <f ca="1">PERCENTILE(D$2:D51,0.165)</f>
        <v>8.7855744194194979E-2</v>
      </c>
      <c r="J52" s="5">
        <f ca="1">PERCENTILE(D$2:D51,0.5)</f>
        <v>0.60631163111014119</v>
      </c>
      <c r="K52" s="5">
        <f ca="1">PERCENTILE(D$2:D51,0.835)</f>
        <v>71.05932240984383</v>
      </c>
      <c r="L52" s="5">
        <f ca="1">PERCENTILE(D$2:D51,0.975)</f>
        <v>954.94902534234109</v>
      </c>
      <c r="M52" s="7">
        <f>AVERAGE(E$2:E51)</f>
        <v>0.53061224489795922</v>
      </c>
      <c r="N52" s="7">
        <f>PERCENTILE($E$2:$E51,0.025)</f>
        <v>0</v>
      </c>
      <c r="O52" s="7">
        <f>PERCENTILE($E$2:$E51,0.165)</f>
        <v>0</v>
      </c>
      <c r="P52" s="7">
        <f>PERCENTILE($E$2:$E51,0.5)</f>
        <v>0</v>
      </c>
      <c r="Q52" s="7">
        <f>PERCENTILE($E$2:$E51,0.835)</f>
        <v>1.0799999999999983</v>
      </c>
      <c r="R52" s="7">
        <f>PERCENTILE($E$2:$E51,0.975)</f>
        <v>4</v>
      </c>
    </row>
    <row r="53" spans="1:18" x14ac:dyDescent="0.2">
      <c r="A53" s="5">
        <f>Data!E56</f>
        <v>1993</v>
      </c>
      <c r="B53" s="5">
        <f>Data!M56</f>
        <v>0.11785714285714284</v>
      </c>
      <c r="C53" s="5">
        <f>Data!N56</f>
        <v>3.5714285714285712E-2</v>
      </c>
      <c r="D53" s="5">
        <f ca="1">Data!O56</f>
        <v>0.24569490933875002</v>
      </c>
      <c r="E53" s="1">
        <f>Data!AQ56</f>
        <v>0</v>
      </c>
      <c r="F53" t="str">
        <f t="shared" si="0"/>
        <v/>
      </c>
      <c r="G53" s="5">
        <f ca="1">AVERAGE(D$2:D52)</f>
        <v>131.69885827915462</v>
      </c>
      <c r="H53" s="5">
        <f ca="1">PERCENTILE(D$2:D52,0.025)</f>
        <v>2.5758337269385083E-2</v>
      </c>
      <c r="I53" s="5">
        <f ca="1">PERCENTILE(D$2:D52,0.165)</f>
        <v>8.9163475163256053E-2</v>
      </c>
      <c r="J53" s="5">
        <f ca="1">PERCENTILE(D$2:D52,0.5)</f>
        <v>0.66575394788564524</v>
      </c>
      <c r="K53" s="5">
        <f ca="1">PERCENTILE(D$2:D52,0.835)</f>
        <v>69.752203121397315</v>
      </c>
      <c r="L53" s="5">
        <f ca="1">PERCENTILE(D$2:D52,0.975)</f>
        <v>942.6614956086371</v>
      </c>
      <c r="M53" s="7">
        <f>AVERAGE(E$2:E52)</f>
        <v>0.52</v>
      </c>
      <c r="N53" s="7">
        <f>PERCENTILE($E$2:$E52,0.025)</f>
        <v>0</v>
      </c>
      <c r="O53" s="7">
        <f>PERCENTILE($E$2:$E52,0.165)</f>
        <v>0</v>
      </c>
      <c r="P53" s="7">
        <f>PERCENTILE($E$2:$E52,0.5)</f>
        <v>0</v>
      </c>
      <c r="Q53" s="7">
        <f>PERCENTILE($E$2:$E52,0.835)</f>
        <v>1</v>
      </c>
      <c r="R53" s="7">
        <f>PERCENTILE($E$2:$E52,0.975)</f>
        <v>4</v>
      </c>
    </row>
    <row r="54" spans="1:18" x14ac:dyDescent="0.2">
      <c r="A54" s="5">
        <f>Data!E57</f>
        <v>1993</v>
      </c>
      <c r="B54" s="5">
        <f>Data!M57</f>
        <v>0.11785714285714284</v>
      </c>
      <c r="C54" s="5">
        <f>Data!N57</f>
        <v>3.5714285714285712E-2</v>
      </c>
      <c r="D54" s="5">
        <f ca="1">Data!O57</f>
        <v>1.4741694560324998</v>
      </c>
      <c r="E54" s="1">
        <f>Data!AQ57</f>
        <v>0</v>
      </c>
      <c r="F54" t="str">
        <f t="shared" si="0"/>
        <v/>
      </c>
      <c r="G54" s="5">
        <f ca="1">AVERAGE(D$2:D53)</f>
        <v>129.17091282973507</v>
      </c>
      <c r="H54" s="5">
        <f ca="1">PERCENTILE(D$2:D53,0.025)</f>
        <v>2.5956478325303432E-2</v>
      </c>
      <c r="I54" s="5">
        <f ca="1">PERCENTILE(D$2:D53,0.165)</f>
        <v>9.0471206132317156E-2</v>
      </c>
      <c r="J54" s="5">
        <f ca="1">PERCENTILE(D$2:D53,0.5)</f>
        <v>0.60631163111014119</v>
      </c>
      <c r="K54" s="5">
        <f ca="1">PERCENTILE(D$2:D53,0.835)</f>
        <v>68.445083832950786</v>
      </c>
      <c r="L54" s="5">
        <f ca="1">PERCENTILE(D$2:D53,0.975)</f>
        <v>930.37396587493299</v>
      </c>
      <c r="M54" s="7">
        <f>AVERAGE(E$2:E53)</f>
        <v>0.50980392156862742</v>
      </c>
      <c r="N54" s="7">
        <f>PERCENTILE($E$2:$E53,0.025)</f>
        <v>0</v>
      </c>
      <c r="O54" s="7">
        <f>PERCENTILE($E$2:$E53,0.165)</f>
        <v>0</v>
      </c>
      <c r="P54" s="7">
        <f>PERCENTILE($E$2:$E53,0.5)</f>
        <v>0</v>
      </c>
      <c r="Q54" s="7">
        <f>PERCENTILE($E$2:$E53,0.835)</f>
        <v>1</v>
      </c>
      <c r="R54" s="7">
        <f>PERCENTILE($E$2:$E53,0.975)</f>
        <v>4</v>
      </c>
    </row>
    <row r="55" spans="1:18" x14ac:dyDescent="0.2">
      <c r="A55" s="5">
        <f>Data!E58</f>
        <v>1993</v>
      </c>
      <c r="B55" s="5">
        <f>Data!M58</f>
        <v>0.11785714285714284</v>
      </c>
      <c r="C55" s="5">
        <f>Data!N58</f>
        <v>3.5714285714285712E-2</v>
      </c>
      <c r="D55" s="5">
        <f ca="1">Data!O58</f>
        <v>0.49138981867750003</v>
      </c>
      <c r="E55" s="1">
        <f>Data!AQ58</f>
        <v>0</v>
      </c>
      <c r="F55" t="str">
        <f t="shared" si="0"/>
        <v/>
      </c>
      <c r="G55" s="5">
        <f ca="1">AVERAGE(D$2:D54)</f>
        <v>126.76154031325011</v>
      </c>
      <c r="H55" s="5">
        <f ca="1">PERCENTILE(D$2:D54,0.025)</f>
        <v>2.6154619381221773E-2</v>
      </c>
      <c r="I55" s="5">
        <f ca="1">PERCENTILE(D$2:D54,0.165)</f>
        <v>9.177893710137823E-2</v>
      </c>
      <c r="J55" s="5">
        <f ca="1">PERCENTILE(D$2:D54,0.5)</f>
        <v>0.66575394788564524</v>
      </c>
      <c r="K55" s="5">
        <f ca="1">PERCENTILE(D$2:D54,0.835)</f>
        <v>67.137964544504257</v>
      </c>
      <c r="L55" s="5">
        <f ca="1">PERCENTILE(D$2:D54,0.975)</f>
        <v>918.08643614122559</v>
      </c>
      <c r="M55" s="7">
        <f>AVERAGE(E$2:E54)</f>
        <v>0.5</v>
      </c>
      <c r="N55" s="7">
        <f>PERCENTILE($E$2:$E54,0.025)</f>
        <v>0</v>
      </c>
      <c r="O55" s="7">
        <f>PERCENTILE($E$2:$E54,0.165)</f>
        <v>0</v>
      </c>
      <c r="P55" s="7">
        <f>PERCENTILE($E$2:$E54,0.5)</f>
        <v>0</v>
      </c>
      <c r="Q55" s="7">
        <f>PERCENTILE($E$2:$E54,0.835)</f>
        <v>1</v>
      </c>
      <c r="R55" s="7">
        <f>PERCENTILE($E$2:$E54,0.975)</f>
        <v>4</v>
      </c>
    </row>
    <row r="56" spans="1:18" x14ac:dyDescent="0.2">
      <c r="A56" s="5">
        <f>Data!E59</f>
        <v>1993</v>
      </c>
      <c r="B56" s="5">
        <f>Data!M59</f>
        <v>0.11785714285714284</v>
      </c>
      <c r="C56" s="5">
        <f>Data!N59</f>
        <v>3.5714285714285712E-2</v>
      </c>
      <c r="D56" s="5">
        <f ca="1">Data!O59</f>
        <v>2.9483389120649997</v>
      </c>
      <c r="E56" s="1">
        <f>Data!AQ59</f>
        <v>0</v>
      </c>
      <c r="F56" t="str">
        <f t="shared" si="0"/>
        <v/>
      </c>
      <c r="G56" s="5">
        <f ca="1">AVERAGE(D$2:D55)</f>
        <v>124.42320419298026</v>
      </c>
      <c r="H56" s="5">
        <f ca="1">PERCENTILE(D$2:D55,0.025)</f>
        <v>2.6352760437140126E-2</v>
      </c>
      <c r="I56" s="5">
        <f ca="1">PERCENTILE(D$2:D55,0.165)</f>
        <v>9.3086668070439318E-2</v>
      </c>
      <c r="J56" s="5">
        <f ca="1">PERCENTILE(D$2:D55,0.5)</f>
        <v>0.60631163111014119</v>
      </c>
      <c r="K56" s="5">
        <f ca="1">PERCENTILE(D$2:D55,0.835)</f>
        <v>65.830845256057685</v>
      </c>
      <c r="L56" s="5">
        <f ca="1">PERCENTILE(D$2:D55,0.975)</f>
        <v>905.7989064075216</v>
      </c>
      <c r="M56" s="7">
        <f>AVERAGE(E$2:E55)</f>
        <v>0.49056603773584906</v>
      </c>
      <c r="N56" s="7">
        <f>PERCENTILE($E$2:$E55,0.025)</f>
        <v>0</v>
      </c>
      <c r="O56" s="7">
        <f>PERCENTILE($E$2:$E55,0.165)</f>
        <v>0</v>
      </c>
      <c r="P56" s="7">
        <f>PERCENTILE($E$2:$E55,0.5)</f>
        <v>0</v>
      </c>
      <c r="Q56" s="7">
        <f>PERCENTILE($E$2:$E55,0.835)</f>
        <v>1</v>
      </c>
      <c r="R56" s="7">
        <f>PERCENTILE($E$2:$E55,0.975)</f>
        <v>4</v>
      </c>
    </row>
    <row r="57" spans="1:18" x14ac:dyDescent="0.2">
      <c r="A57" s="5">
        <f>Data!E60</f>
        <v>1993</v>
      </c>
      <c r="B57" s="5">
        <f>Data!M60</f>
        <v>5.892857142857142E-2</v>
      </c>
      <c r="C57" s="5">
        <f>Data!N60</f>
        <v>1.7857142857142856E-2</v>
      </c>
      <c r="D57" s="5">
        <f ca="1">Data!O60</f>
        <v>0.93522578393459677</v>
      </c>
      <c r="E57" s="1">
        <f>Data!AQ60</f>
        <v>0</v>
      </c>
      <c r="F57" t="str">
        <f t="shared" si="0"/>
        <v/>
      </c>
      <c r="G57" s="5">
        <f ca="1">AVERAGE(D$2:D56)</f>
        <v>122.21457027878181</v>
      </c>
      <c r="H57" s="5">
        <f ca="1">PERCENTILE(D$2:D56,0.025)</f>
        <v>2.6550901493058471E-2</v>
      </c>
      <c r="I57" s="5">
        <f ca="1">PERCENTILE(D$2:D56,0.165)</f>
        <v>9.4394399039500407E-2</v>
      </c>
      <c r="J57" s="5">
        <f ca="1">PERCENTILE(D$2:D56,0.5)</f>
        <v>0.66575394788564524</v>
      </c>
      <c r="K57" s="5">
        <f ca="1">PERCENTILE(D$2:D56,0.835)</f>
        <v>64.523725967611156</v>
      </c>
      <c r="L57" s="5">
        <f ca="1">PERCENTILE(D$2:D56,0.975)</f>
        <v>893.51137667381749</v>
      </c>
      <c r="M57" s="7">
        <f>AVERAGE(E$2:E56)</f>
        <v>0.48148148148148145</v>
      </c>
      <c r="N57" s="7">
        <f>PERCENTILE($E$2:$E56,0.025)</f>
        <v>0</v>
      </c>
      <c r="O57" s="7">
        <f>PERCENTILE($E$2:$E56,0.165)</f>
        <v>0</v>
      </c>
      <c r="P57" s="7">
        <f>PERCENTILE($E$2:$E56,0.5)</f>
        <v>0</v>
      </c>
      <c r="Q57" s="7">
        <f>PERCENTILE($E$2:$E56,0.835)</f>
        <v>1</v>
      </c>
      <c r="R57" s="7">
        <f>PERCENTILE($E$2:$E56,0.975)</f>
        <v>4</v>
      </c>
    </row>
    <row r="58" spans="1:18" x14ac:dyDescent="0.2">
      <c r="A58" s="5">
        <f>Data!E61</f>
        <v>1993</v>
      </c>
      <c r="B58" s="5">
        <f>Data!M61</f>
        <v>5.892857142857142E-2</v>
      </c>
      <c r="C58" s="5">
        <f>Data!N61</f>
        <v>1.7857142857142856E-2</v>
      </c>
      <c r="D58" s="5">
        <f ca="1">Data!O61</f>
        <v>5.6113547036075806</v>
      </c>
      <c r="E58" s="1">
        <f>Data!AQ61</f>
        <v>0</v>
      </c>
      <c r="F58" t="str">
        <f t="shared" si="0"/>
        <v/>
      </c>
      <c r="G58" s="5">
        <f ca="1">AVERAGE(D$2:D57)</f>
        <v>120.04886769851667</v>
      </c>
      <c r="H58" s="5">
        <f ca="1">PERCENTILE(D$2:D57,0.025)</f>
        <v>2.6749042548976816E-2</v>
      </c>
      <c r="I58" s="5">
        <f ca="1">PERCENTILE(D$2:D57,0.165)</f>
        <v>9.6296553176316552E-2</v>
      </c>
      <c r="J58" s="5">
        <f ca="1">PERCENTILE(D$2:D57,0.5)</f>
        <v>0.80048986591012095</v>
      </c>
      <c r="K58" s="5">
        <f ca="1">PERCENTILE(D$2:D57,0.835)</f>
        <v>62.334668815007745</v>
      </c>
      <c r="L58" s="5">
        <f ca="1">PERCENTILE(D$2:D57,0.975)</f>
        <v>881.22384694011362</v>
      </c>
      <c r="M58" s="7">
        <f>AVERAGE(E$2:E57)</f>
        <v>0.47272727272727272</v>
      </c>
      <c r="N58" s="7">
        <f>PERCENTILE($E$2:$E57,0.025)</f>
        <v>0</v>
      </c>
      <c r="O58" s="7">
        <f>PERCENTILE($E$2:$E57,0.165)</f>
        <v>0</v>
      </c>
      <c r="P58" s="7">
        <f>PERCENTILE($E$2:$E57,0.5)</f>
        <v>0</v>
      </c>
      <c r="Q58" s="7">
        <f>PERCENTILE($E$2:$E57,0.835)</f>
        <v>1</v>
      </c>
      <c r="R58" s="7">
        <f>PERCENTILE($E$2:$E57,0.975)</f>
        <v>4</v>
      </c>
    </row>
    <row r="59" spans="1:18" x14ac:dyDescent="0.2">
      <c r="A59" s="5">
        <f>Data!E62</f>
        <v>1993</v>
      </c>
      <c r="B59" s="5">
        <f>Data!M62</f>
        <v>5.892857142857142E-2</v>
      </c>
      <c r="C59" s="5">
        <f>Data!N62</f>
        <v>1.7857142857142856E-2</v>
      </c>
      <c r="D59" s="5">
        <f ca="1">Data!O62</f>
        <v>2.4490234511507665</v>
      </c>
      <c r="E59" s="1">
        <f>Data!AQ62</f>
        <v>0</v>
      </c>
      <c r="F59" t="str">
        <f t="shared" si="0"/>
        <v/>
      </c>
      <c r="G59" s="5">
        <f ca="1">AVERAGE(D$2:D58)</f>
        <v>118.04119203193932</v>
      </c>
      <c r="H59" s="5">
        <f ca="1">PERCENTILE(D$2:D58,0.025)</f>
        <v>2.6947183604895165E-2</v>
      </c>
      <c r="I59" s="5">
        <f ca="1">PERCENTILE(D$2:D58,0.165)</f>
        <v>9.8912015114438714E-2</v>
      </c>
      <c r="J59" s="5">
        <f ca="1">PERCENTILE(D$2:D58,0.5)</f>
        <v>0.93522578393459677</v>
      </c>
      <c r="K59" s="5">
        <f ca="1">PERCENTILE(D$2:D58,0.835)</f>
        <v>59.087286225416122</v>
      </c>
      <c r="L59" s="5">
        <f ca="1">PERCENTILE(D$2:D58,0.975)</f>
        <v>868.93631720640951</v>
      </c>
      <c r="M59" s="7">
        <f>AVERAGE(E$2:E58)</f>
        <v>0.4642857142857143</v>
      </c>
      <c r="N59" s="7">
        <f>PERCENTILE($E$2:$E58,0.025)</f>
        <v>0</v>
      </c>
      <c r="O59" s="7">
        <f>PERCENTILE($E$2:$E58,0.165)</f>
        <v>0</v>
      </c>
      <c r="P59" s="7">
        <f>PERCENTILE($E$2:$E58,0.5)</f>
        <v>0</v>
      </c>
      <c r="Q59" s="7">
        <f>PERCENTILE($E$2:$E58,0.835)</f>
        <v>1</v>
      </c>
      <c r="R59" s="7">
        <f>PERCENTILE($E$2:$E58,0.975)</f>
        <v>4</v>
      </c>
    </row>
    <row r="60" spans="1:18" x14ac:dyDescent="0.2">
      <c r="A60" s="5">
        <f>Data!E63</f>
        <v>1993</v>
      </c>
      <c r="B60" s="5">
        <f>Data!M63</f>
        <v>5.892857142857142E-2</v>
      </c>
      <c r="C60" s="5">
        <f>Data!N63</f>
        <v>1.7857142857142856E-2</v>
      </c>
      <c r="D60" s="5">
        <f ca="1">Data!O63</f>
        <v>14.694140706904598</v>
      </c>
      <c r="E60" s="1">
        <f>Data!AQ63</f>
        <v>0</v>
      </c>
      <c r="F60" t="str">
        <f t="shared" si="0"/>
        <v/>
      </c>
      <c r="G60" s="5">
        <f ca="1">AVERAGE(D$2:D59)</f>
        <v>116.04822360813262</v>
      </c>
      <c r="H60" s="5">
        <f ca="1">PERCENTILE(D$2:D59,0.025)</f>
        <v>2.714532466081351E-2</v>
      </c>
      <c r="I60" s="5">
        <f ca="1">PERCENTILE(D$2:D59,0.165)</f>
        <v>0.1015274770525609</v>
      </c>
      <c r="J60" s="5">
        <f ca="1">PERCENTILE(D$2:D59,0.5)</f>
        <v>0.96692835288153223</v>
      </c>
      <c r="K60" s="5">
        <f ca="1">PERCENTILE(D$2:D59,0.835)</f>
        <v>55.839903635824506</v>
      </c>
      <c r="L60" s="5">
        <f ca="1">PERCENTILE(D$2:D59,0.975)</f>
        <v>856.648787472702</v>
      </c>
      <c r="M60" s="7">
        <f>AVERAGE(E$2:E59)</f>
        <v>0.45614035087719296</v>
      </c>
      <c r="N60" s="7">
        <f>PERCENTILE($E$2:$E59,0.025)</f>
        <v>0</v>
      </c>
      <c r="O60" s="7">
        <f>PERCENTILE($E$2:$E59,0.165)</f>
        <v>0</v>
      </c>
      <c r="P60" s="7">
        <f>PERCENTILE($E$2:$E59,0.5)</f>
        <v>0</v>
      </c>
      <c r="Q60" s="7">
        <f>PERCENTILE($E$2:$E59,0.835)</f>
        <v>1</v>
      </c>
      <c r="R60" s="7">
        <f>PERCENTILE($E$2:$E59,0.975)</f>
        <v>4</v>
      </c>
    </row>
    <row r="61" spans="1:18" x14ac:dyDescent="0.2">
      <c r="A61" s="5">
        <f>Data!E64</f>
        <v>1993</v>
      </c>
      <c r="B61" s="5">
        <f>Data!M64</f>
        <v>2.946428571428571E-2</v>
      </c>
      <c r="C61" s="5">
        <f>Data!N64</f>
        <v>8.9285714285714281E-3</v>
      </c>
      <c r="D61" s="5">
        <f ca="1">Data!O64</f>
        <v>0.72915908577951627</v>
      </c>
      <c r="E61" s="1">
        <f>Data!AQ64</f>
        <v>0</v>
      </c>
      <c r="F61" t="str">
        <f t="shared" si="0"/>
        <v/>
      </c>
      <c r="G61" s="5">
        <f ca="1">AVERAGE(D$2:D60)</f>
        <v>114.33035779624738</v>
      </c>
      <c r="H61" s="5">
        <f ca="1">PERCENTILE(D$2:D60,0.025)</f>
        <v>2.7343465716731859E-2</v>
      </c>
      <c r="I61" s="5">
        <f ca="1">PERCENTILE(D$2:D60,0.165)</f>
        <v>0.10414293899068307</v>
      </c>
      <c r="J61" s="5">
        <f ca="1">PERCENTILE(D$2:D60,0.5)</f>
        <v>0.9986309218284678</v>
      </c>
      <c r="K61" s="5">
        <f ca="1">PERCENTILE(D$2:D60,0.835)</f>
        <v>52.592521046232889</v>
      </c>
      <c r="L61" s="5">
        <f ca="1">PERCENTILE(D$2:D60,0.975)</f>
        <v>844.36125773899812</v>
      </c>
      <c r="M61" s="7">
        <f>AVERAGE(E$2:E60)</f>
        <v>0.44827586206896552</v>
      </c>
      <c r="N61" s="7">
        <f>PERCENTILE($E$2:$E60,0.025)</f>
        <v>0</v>
      </c>
      <c r="O61" s="7">
        <f>PERCENTILE($E$2:$E60,0.165)</f>
        <v>0</v>
      </c>
      <c r="P61" s="7">
        <f>PERCENTILE($E$2:$E60,0.5)</f>
        <v>0</v>
      </c>
      <c r="Q61" s="7">
        <f>PERCENTILE($E$2:$E60,0.835)</f>
        <v>1</v>
      </c>
      <c r="R61" s="7">
        <f>PERCENTILE($E$2:$E60,0.975)</f>
        <v>4</v>
      </c>
    </row>
    <row r="62" spans="1:18" x14ac:dyDescent="0.2">
      <c r="A62" s="5">
        <f>Data!E65</f>
        <v>1993</v>
      </c>
      <c r="B62" s="5">
        <f>Data!M65</f>
        <v>2.946428571428571E-2</v>
      </c>
      <c r="C62" s="5">
        <f>Data!N65</f>
        <v>8.9285714285714281E-3</v>
      </c>
      <c r="D62" s="5">
        <f ca="1">Data!O65</f>
        <v>4.3749545146770972</v>
      </c>
      <c r="E62" s="1">
        <f>Data!AQ65</f>
        <v>0</v>
      </c>
      <c r="F62" t="str">
        <f t="shared" si="0"/>
        <v/>
      </c>
      <c r="G62" s="5">
        <f ca="1">AVERAGE(D$2:D61)</f>
        <v>112.43700448440626</v>
      </c>
      <c r="H62" s="5">
        <f ca="1">PERCENTILE(D$2:D61,0.025)</f>
        <v>2.7541606772650204E-2</v>
      </c>
      <c r="I62" s="5">
        <f ca="1">PERCENTILE(D$2:D61,0.165)</f>
        <v>0.10675840092880526</v>
      </c>
      <c r="J62" s="5">
        <f ca="1">PERCENTILE(D$2:D61,0.5)</f>
        <v>0.96692835288153223</v>
      </c>
      <c r="K62" s="5">
        <f ca="1">PERCENTILE(D$2:D61,0.835)</f>
        <v>49.345138456641273</v>
      </c>
      <c r="L62" s="5">
        <f ca="1">PERCENTILE(D$2:D61,0.975)</f>
        <v>832.07372800529402</v>
      </c>
      <c r="M62" s="7">
        <f>AVERAGE(E$2:E61)</f>
        <v>0.44067796610169491</v>
      </c>
      <c r="N62" s="7">
        <f>PERCENTILE($E$2:$E61,0.025)</f>
        <v>0</v>
      </c>
      <c r="O62" s="7">
        <f>PERCENTILE($E$2:$E61,0.165)</f>
        <v>0</v>
      </c>
      <c r="P62" s="7">
        <f>PERCENTILE($E$2:$E61,0.5)</f>
        <v>0</v>
      </c>
      <c r="Q62" s="7">
        <f>PERCENTILE($E$2:$E61,0.835)</f>
        <v>1</v>
      </c>
      <c r="R62" s="7">
        <f>PERCENTILE($E$2:$E61,0.975)</f>
        <v>4</v>
      </c>
    </row>
    <row r="63" spans="1:18" x14ac:dyDescent="0.2">
      <c r="A63" s="5">
        <f>Data!E66</f>
        <v>1993</v>
      </c>
      <c r="B63" s="5">
        <f>Data!M66</f>
        <v>5.892857142857142E-2</v>
      </c>
      <c r="C63" s="5">
        <f>Data!N66</f>
        <v>1.7857142857142856E-2</v>
      </c>
      <c r="D63" s="5">
        <f ca="1">Data!O66</f>
        <v>1.109589913142742</v>
      </c>
      <c r="E63" s="1">
        <f>Data!AQ66</f>
        <v>0</v>
      </c>
      <c r="F63" t="str">
        <f t="shared" si="0"/>
        <v/>
      </c>
      <c r="G63" s="5">
        <f ca="1">AVERAGE(D$2:D62)</f>
        <v>110.66549546850906</v>
      </c>
      <c r="H63" s="5">
        <f ca="1">PERCENTILE(D$2:D62,0.025)</f>
        <v>2.7739747828568549E-2</v>
      </c>
      <c r="I63" s="5">
        <f ca="1">PERCENTILE(D$2:D62,0.165)</f>
        <v>0.10937386286692743</v>
      </c>
      <c r="J63" s="5">
        <f ca="1">PERCENTILE(D$2:D62,0.5)</f>
        <v>0.9986309218284678</v>
      </c>
      <c r="K63" s="5">
        <f ca="1">PERCENTILE(D$2:D62,0.835)</f>
        <v>46.097755867049521</v>
      </c>
      <c r="L63" s="5">
        <f ca="1">PERCENTILE(D$2:D62,0.975)</f>
        <v>819.78619827159014</v>
      </c>
      <c r="M63" s="7">
        <f>AVERAGE(E$2:E62)</f>
        <v>0.43333333333333335</v>
      </c>
      <c r="N63" s="7">
        <f>PERCENTILE($E$2:$E62,0.025)</f>
        <v>0</v>
      </c>
      <c r="O63" s="7">
        <f>PERCENTILE($E$2:$E62,0.165)</f>
        <v>0</v>
      </c>
      <c r="P63" s="7">
        <f>PERCENTILE($E$2:$E62,0.5)</f>
        <v>0</v>
      </c>
      <c r="Q63" s="7">
        <f>PERCENTILE($E$2:$E62,0.835)</f>
        <v>1</v>
      </c>
      <c r="R63" s="7">
        <f>PERCENTILE($E$2:$E62,0.975)</f>
        <v>4</v>
      </c>
    </row>
    <row r="64" spans="1:18" x14ac:dyDescent="0.2">
      <c r="A64" s="5">
        <f>Data!E67</f>
        <v>1993</v>
      </c>
      <c r="B64" s="5">
        <f>Data!M67</f>
        <v>5.892857142857142E-2</v>
      </c>
      <c r="C64" s="5">
        <f>Data!N67</f>
        <v>1.7857142857142856E-2</v>
      </c>
      <c r="D64" s="5">
        <f ca="1">Data!O67</f>
        <v>6.6575394788564513</v>
      </c>
      <c r="E64" s="1">
        <f>Data!AQ67</f>
        <v>0</v>
      </c>
      <c r="F64" t="str">
        <f t="shared" si="0"/>
        <v/>
      </c>
      <c r="G64" s="5">
        <f ca="1">AVERAGE(D$2:D63)</f>
        <v>108.89846473374509</v>
      </c>
      <c r="H64" s="5">
        <f ca="1">PERCENTILE(D$2:D63,0.025)</f>
        <v>2.7937888884486901E-2</v>
      </c>
      <c r="I64" s="5">
        <f ca="1">PERCENTILE(D$2:D63,0.165)</f>
        <v>0.11301965829582504</v>
      </c>
      <c r="J64" s="5">
        <f ca="1">PERCENTILE(D$2:D63,0.5)</f>
        <v>0.9986309218284678</v>
      </c>
      <c r="K64" s="5">
        <f ca="1">PERCENTILE(D$2:D63,0.835)</f>
        <v>43.872694141556643</v>
      </c>
      <c r="L64" s="5">
        <f ca="1">PERCENTILE(D$2:D63,0.975)</f>
        <v>807.49866853788603</v>
      </c>
      <c r="M64" s="7">
        <f>AVERAGE(E$2:E63)</f>
        <v>0.42622950819672129</v>
      </c>
      <c r="N64" s="7">
        <f>PERCENTILE($E$2:$E63,0.025)</f>
        <v>0</v>
      </c>
      <c r="O64" s="7">
        <f>PERCENTILE($E$2:$E63,0.165)</f>
        <v>0</v>
      </c>
      <c r="P64" s="7">
        <f>PERCENTILE($E$2:$E63,0.5)</f>
        <v>0</v>
      </c>
      <c r="Q64" s="7">
        <f>PERCENTILE($E$2:$E63,0.835)</f>
        <v>1</v>
      </c>
      <c r="R64" s="7">
        <f>PERCENTILE($E$2:$E63,0.975)</f>
        <v>4</v>
      </c>
    </row>
    <row r="65" spans="1:18" x14ac:dyDescent="0.2">
      <c r="A65" s="5">
        <f>Data!E68</f>
        <v>1993</v>
      </c>
      <c r="B65" s="5">
        <f>Data!M68</f>
        <v>5.892857142857142E-2</v>
      </c>
      <c r="C65" s="5">
        <f>Data!N68</f>
        <v>1.7857142857142856E-2</v>
      </c>
      <c r="D65" s="5">
        <f ca="1">Data!O68</f>
        <v>2.1874772573385486</v>
      </c>
      <c r="E65" s="1">
        <f>Data!AQ68</f>
        <v>0</v>
      </c>
      <c r="F65" t="str">
        <f t="shared" si="0"/>
        <v/>
      </c>
      <c r="G65" s="5">
        <f ca="1">AVERAGE(D$2:D64)</f>
        <v>107.2755929043024</v>
      </c>
      <c r="H65" s="5">
        <f ca="1">PERCENTILE(D$2:D64,0.025)</f>
        <v>2.8136029940405243E-2</v>
      </c>
      <c r="I65" s="5">
        <f ca="1">PERCENTILE(D$2:D64,0.165)</f>
        <v>0.11825058217206938</v>
      </c>
      <c r="J65" s="5">
        <f ca="1">PERCENTILE(D$2:D64,0.5)</f>
        <v>0.9986309218284678</v>
      </c>
      <c r="K65" s="5">
        <f ca="1">PERCENTILE(D$2:D64,0.835)</f>
        <v>43.220433745446243</v>
      </c>
      <c r="L65" s="5">
        <f ca="1">PERCENTILE(D$2:D64,0.975)</f>
        <v>795.21113880417852</v>
      </c>
      <c r="M65" s="7">
        <f>AVERAGE(E$2:E64)</f>
        <v>0.41935483870967744</v>
      </c>
      <c r="N65" s="7">
        <f>PERCENTILE($E$2:$E64,0.025)</f>
        <v>0</v>
      </c>
      <c r="O65" s="7">
        <f>PERCENTILE($E$2:$E64,0.165)</f>
        <v>0</v>
      </c>
      <c r="P65" s="7">
        <f>PERCENTILE($E$2:$E64,0.5)</f>
        <v>0</v>
      </c>
      <c r="Q65" s="7">
        <f>PERCENTILE($E$2:$E64,0.835)</f>
        <v>1</v>
      </c>
      <c r="R65" s="7">
        <f>PERCENTILE($E$2:$E64,0.975)</f>
        <v>4</v>
      </c>
    </row>
    <row r="66" spans="1:18" x14ac:dyDescent="0.2">
      <c r="A66" s="5">
        <f>Data!E69</f>
        <v>1993</v>
      </c>
      <c r="B66" s="5">
        <f>Data!M69</f>
        <v>5.892857142857142E-2</v>
      </c>
      <c r="C66" s="5">
        <f>Data!N69</f>
        <v>1.7857142857142856E-2</v>
      </c>
      <c r="D66" s="5">
        <f ca="1">Data!O69</f>
        <v>13.124863544031291</v>
      </c>
      <c r="E66" s="1">
        <f>Data!AQ69</f>
        <v>0</v>
      </c>
      <c r="F66" t="str">
        <f t="shared" si="0"/>
        <v/>
      </c>
      <c r="G66" s="5">
        <f ca="1">AVERAGE(D$2:D65)</f>
        <v>105.63359109731859</v>
      </c>
      <c r="H66" s="5">
        <f ca="1">PERCENTILE(D$2:D65,0.025)</f>
        <v>2.8334170996323592E-2</v>
      </c>
      <c r="I66" s="5">
        <f ca="1">PERCENTILE(D$2:D65,0.165)</f>
        <v>0.12348150604831376</v>
      </c>
      <c r="J66" s="5">
        <f ca="1">PERCENTILE(D$2:D65,0.5)</f>
        <v>1.0541104174856049</v>
      </c>
      <c r="K66" s="5">
        <f ca="1">PERCENTILE(D$2:D65,0.835)</f>
        <v>42.568173349335844</v>
      </c>
      <c r="L66" s="5">
        <f ca="1">PERCENTILE(D$2:D65,0.975)</f>
        <v>782.92360907047464</v>
      </c>
      <c r="M66" s="7">
        <f>AVERAGE(E$2:E65)</f>
        <v>0.41269841269841268</v>
      </c>
      <c r="N66" s="7">
        <f>PERCENTILE($E$2:$E65,0.025)</f>
        <v>0</v>
      </c>
      <c r="O66" s="7">
        <f>PERCENTILE($E$2:$E65,0.165)</f>
        <v>0</v>
      </c>
      <c r="P66" s="7">
        <f>PERCENTILE($E$2:$E65,0.5)</f>
        <v>0</v>
      </c>
      <c r="Q66" s="7">
        <f>PERCENTILE($E$2:$E65,0.835)</f>
        <v>1</v>
      </c>
      <c r="R66" s="7">
        <f>PERCENTILE($E$2:$E65,0.975)</f>
        <v>4</v>
      </c>
    </row>
    <row r="67" spans="1:18" x14ac:dyDescent="0.2">
      <c r="A67" s="5">
        <f>Data!E70</f>
        <v>1993</v>
      </c>
      <c r="B67" s="5">
        <f>Data!M70</f>
        <v>2.946428571428571E-2</v>
      </c>
      <c r="C67" s="5">
        <f>Data!N70</f>
        <v>8.9285714285714281E-3</v>
      </c>
      <c r="D67" s="5">
        <f ca="1">Data!O70</f>
        <v>4.4542109370444356</v>
      </c>
      <c r="E67" s="1">
        <f>Data!AQ70</f>
        <v>0</v>
      </c>
      <c r="F67" t="str">
        <f t="shared" si="0"/>
        <v/>
      </c>
      <c r="G67" s="5">
        <f ca="1">AVERAGE(D$2:D66)</f>
        <v>104.21037990419109</v>
      </c>
      <c r="H67" s="5">
        <f ca="1">PERCENTILE(D$2:D66,0.025)</f>
        <v>2.8532312052241937E-2</v>
      </c>
      <c r="I67" s="5">
        <f ca="1">PERCENTILE(D$2:D66,0.165)</f>
        <v>0.12871242992455809</v>
      </c>
      <c r="J67" s="5">
        <f ca="1">PERCENTILE(D$2:D66,0.5)</f>
        <v>1.109589913142742</v>
      </c>
      <c r="K67" s="5">
        <f ca="1">PERCENTILE(D$2:D66,0.835)</f>
        <v>41.915912953225444</v>
      </c>
      <c r="L67" s="5">
        <f ca="1">PERCENTILE(D$2:D66,0.975)</f>
        <v>770.63607933677054</v>
      </c>
      <c r="M67" s="7">
        <f>AVERAGE(E$2:E66)</f>
        <v>0.40625</v>
      </c>
      <c r="N67" s="7">
        <f>PERCENTILE($E$2:$E66,0.025)</f>
        <v>0</v>
      </c>
      <c r="O67" s="7">
        <f>PERCENTILE($E$2:$E66,0.165)</f>
        <v>0</v>
      </c>
      <c r="P67" s="7">
        <f>PERCENTILE($E$2:$E66,0.5)</f>
        <v>0</v>
      </c>
      <c r="Q67" s="7">
        <f>PERCENTILE($E$2:$E66,0.835)</f>
        <v>1</v>
      </c>
      <c r="R67" s="7">
        <f>PERCENTILE($E$2:$E66,0.975)</f>
        <v>4</v>
      </c>
    </row>
    <row r="68" spans="1:18" x14ac:dyDescent="0.2">
      <c r="A68" s="5">
        <f>Data!E71</f>
        <v>1993</v>
      </c>
      <c r="B68" s="5">
        <f>Data!M71</f>
        <v>2.946428571428571E-2</v>
      </c>
      <c r="C68" s="5">
        <f>Data!N71</f>
        <v>8.9285714285714281E-3</v>
      </c>
      <c r="D68" s="5">
        <f ca="1">Data!O71</f>
        <v>25.0133268991321</v>
      </c>
      <c r="E68" s="1">
        <f>Data!AQ71</f>
        <v>0</v>
      </c>
      <c r="F68" t="str">
        <f t="shared" si="0"/>
        <v/>
      </c>
      <c r="G68" s="5">
        <f ca="1">AVERAGE(D$2:D67)</f>
        <v>102.69892279862826</v>
      </c>
      <c r="H68" s="5">
        <f ca="1">PERCENTILE(D$2:D67,0.025)</f>
        <v>2.8730453108160286E-2</v>
      </c>
      <c r="I68" s="5">
        <f ca="1">PERCENTILE(D$2:D67,0.165)</f>
        <v>0.13394335380080241</v>
      </c>
      <c r="J68" s="5">
        <f ca="1">PERCENTILE(D$2:D67,0.5)</f>
        <v>1.1729950510366129</v>
      </c>
      <c r="K68" s="5">
        <f ca="1">PERCENTILE(D$2:D67,0.835)</f>
        <v>41.263652557115037</v>
      </c>
      <c r="L68" s="5">
        <f ca="1">PERCENTILE(D$2:D67,0.975)</f>
        <v>758.34854960306666</v>
      </c>
      <c r="M68" s="7">
        <f>AVERAGE(E$2:E67)</f>
        <v>0.4</v>
      </c>
      <c r="N68" s="7">
        <f>PERCENTILE($E$2:$E67,0.025)</f>
        <v>0</v>
      </c>
      <c r="O68" s="7">
        <f>PERCENTILE($E$2:$E67,0.165)</f>
        <v>0</v>
      </c>
      <c r="P68" s="7">
        <f>PERCENTILE($E$2:$E67,0.5)</f>
        <v>0</v>
      </c>
      <c r="Q68" s="7">
        <f>PERCENTILE($E$2:$E67,0.835)</f>
        <v>1</v>
      </c>
      <c r="R68" s="7">
        <f>PERCENTILE($E$2:$E67,0.975)</f>
        <v>4</v>
      </c>
    </row>
    <row r="69" spans="1:18" x14ac:dyDescent="0.2">
      <c r="A69" s="5">
        <f>Data!E72</f>
        <v>1993</v>
      </c>
      <c r="B69" s="5">
        <f>Data!M72</f>
        <v>2.946428571428571E-2</v>
      </c>
      <c r="C69" s="5">
        <f>Data!N72</f>
        <v>8.9285714285714281E-3</v>
      </c>
      <c r="D69" s="5">
        <f ca="1">Data!O72</f>
        <v>10.873981148798872</v>
      </c>
      <c r="E69" s="1">
        <f>Data!AQ72</f>
        <v>0</v>
      </c>
      <c r="F69" t="str">
        <f t="shared" ref="F69:F132" si="1">IF(A69&lt;&gt;A68,A69,"")</f>
        <v/>
      </c>
      <c r="G69" s="5">
        <f ca="1">AVERAGE(D$2:D68)</f>
        <v>101.53943629266563</v>
      </c>
      <c r="H69" s="5">
        <f ca="1">PERCENTILE(D$2:D68,0.025)</f>
        <v>2.8928594164078635E-2</v>
      </c>
      <c r="I69" s="5">
        <f ca="1">PERCENTILE(D$2:D68,0.165)</f>
        <v>0.13917427767704679</v>
      </c>
      <c r="J69" s="5">
        <f ca="1">PERCENTILE(D$2:D68,0.5)</f>
        <v>1.2364001889304839</v>
      </c>
      <c r="K69" s="5">
        <f ca="1">PERCENTILE(D$2:D68,0.835)</f>
        <v>40.611392161004638</v>
      </c>
      <c r="L69" s="5">
        <f ca="1">PERCENTILE(D$2:D68,0.975)</f>
        <v>746.06101986935914</v>
      </c>
      <c r="M69" s="7">
        <f>AVERAGE(E$2:E68)</f>
        <v>0.39393939393939392</v>
      </c>
      <c r="N69" s="7">
        <f>PERCENTILE($E$2:$E68,0.025)</f>
        <v>0</v>
      </c>
      <c r="O69" s="7">
        <f>PERCENTILE($E$2:$E68,0.165)</f>
        <v>0</v>
      </c>
      <c r="P69" s="7">
        <f>PERCENTILE($E$2:$E68,0.5)</f>
        <v>0</v>
      </c>
      <c r="Q69" s="7">
        <f>PERCENTILE($E$2:$E68,0.835)</f>
        <v>1</v>
      </c>
      <c r="R69" s="7">
        <f>PERCENTILE($E$2:$E68,0.975)</f>
        <v>4</v>
      </c>
    </row>
    <row r="70" spans="1:18" x14ac:dyDescent="0.2">
      <c r="A70" s="5">
        <f>Data!E73</f>
        <v>1993</v>
      </c>
      <c r="B70" s="5">
        <f>Data!M73</f>
        <v>2.946428571428571E-2</v>
      </c>
      <c r="C70" s="5">
        <f>Data!N73</f>
        <v>8.9285714285714281E-3</v>
      </c>
      <c r="D70" s="5">
        <f ca="1">Data!O73</f>
        <v>65.243886892793228</v>
      </c>
      <c r="E70" s="1">
        <f>Data!AQ73</f>
        <v>0</v>
      </c>
      <c r="F70" t="str">
        <f t="shared" si="1"/>
        <v/>
      </c>
      <c r="G70" s="5">
        <f ca="1">AVERAGE(D$2:D69)</f>
        <v>100.20612077584406</v>
      </c>
      <c r="H70" s="5">
        <f ca="1">PERCENTILE(D$2:D69,0.025)</f>
        <v>2.912673521999698E-2</v>
      </c>
      <c r="I70" s="5">
        <f ca="1">PERCENTILE(D$2:D69,0.165)</f>
        <v>0.14396929123027077</v>
      </c>
      <c r="J70" s="5">
        <f ca="1">PERCENTILE(D$2:D69,0.5)</f>
        <v>1.2601771156406856</v>
      </c>
      <c r="K70" s="5">
        <f ca="1">PERCENTILE(D$2:D69,0.835)</f>
        <v>39.342574522052104</v>
      </c>
      <c r="L70" s="5">
        <f ca="1">PERCENTILE(D$2:D69,0.975)</f>
        <v>733.77349013565856</v>
      </c>
      <c r="M70" s="7">
        <f>AVERAGE(E$2:E69)</f>
        <v>0.38805970149253732</v>
      </c>
      <c r="N70" s="7">
        <f>PERCENTILE($E$2:$E69,0.025)</f>
        <v>0</v>
      </c>
      <c r="O70" s="7">
        <f>PERCENTILE($E$2:$E69,0.165)</f>
        <v>0</v>
      </c>
      <c r="P70" s="7">
        <f>PERCENTILE($E$2:$E69,0.5)</f>
        <v>0</v>
      </c>
      <c r="Q70" s="7">
        <f>PERCENTILE($E$2:$E69,0.835)</f>
        <v>1</v>
      </c>
      <c r="R70" s="7">
        <f>PERCENTILE($E$2:$E69,0.975)</f>
        <v>4</v>
      </c>
    </row>
    <row r="71" spans="1:18" x14ac:dyDescent="0.2">
      <c r="A71" s="5">
        <f>Data!E74</f>
        <v>1993</v>
      </c>
      <c r="B71" s="5">
        <f>Data!M74</f>
        <v>2.946428571428571E-2</v>
      </c>
      <c r="C71" s="5">
        <f>Data!N74</f>
        <v>8.9285714285714281E-3</v>
      </c>
      <c r="D71" s="5">
        <f ca="1">Data!O74</f>
        <v>72.757395733216939</v>
      </c>
      <c r="E71" s="1">
        <f>Data!AQ74</f>
        <v>0</v>
      </c>
      <c r="F71" t="str">
        <f t="shared" si="1"/>
        <v/>
      </c>
      <c r="G71" s="5">
        <f ca="1">AVERAGE(D$2:D70)</f>
        <v>99.699421734060707</v>
      </c>
      <c r="H71" s="5">
        <f ca="1">PERCENTILE(D$2:D70,0.025)</f>
        <v>2.9324876275915328E-2</v>
      </c>
      <c r="I71" s="5">
        <f ca="1">PERCENTILE(D$2:D70,0.165)</f>
        <v>0.14789248413745407</v>
      </c>
      <c r="J71" s="5">
        <f ca="1">PERCENTILE(D$2:D70,0.5)</f>
        <v>1.2839540423508873</v>
      </c>
      <c r="K71" s="5">
        <f ca="1">PERCENTILE(D$2:D70,0.835)</f>
        <v>43.259964678543867</v>
      </c>
      <c r="L71" s="5">
        <f ca="1">PERCENTILE(D$2:D70,0.975)</f>
        <v>721.48596040195116</v>
      </c>
      <c r="M71" s="7">
        <f>AVERAGE(E$2:E70)</f>
        <v>0.38235294117647056</v>
      </c>
      <c r="N71" s="7">
        <f>PERCENTILE($E$2:$E70,0.025)</f>
        <v>0</v>
      </c>
      <c r="O71" s="7">
        <f>PERCENTILE($E$2:$E70,0.165)</f>
        <v>0</v>
      </c>
      <c r="P71" s="7">
        <f>PERCENTILE($E$2:$E70,0.5)</f>
        <v>0</v>
      </c>
      <c r="Q71" s="7">
        <f>PERCENTILE($E$2:$E70,0.835)</f>
        <v>1</v>
      </c>
      <c r="R71" s="7">
        <f>PERCENTILE($E$2:$E70,0.975)</f>
        <v>4</v>
      </c>
    </row>
    <row r="72" spans="1:18" x14ac:dyDescent="0.2">
      <c r="A72" s="5">
        <f>Data!E75</f>
        <v>1993</v>
      </c>
      <c r="B72" s="5">
        <f>Data!M75</f>
        <v>2.946428571428571E-2</v>
      </c>
      <c r="C72" s="5">
        <f>Data!N75</f>
        <v>8.9285714285714281E-3</v>
      </c>
      <c r="D72" s="5">
        <f ca="1">Data!O75</f>
        <v>436.70288724403633</v>
      </c>
      <c r="E72" s="1">
        <f>Data!AQ75</f>
        <v>0</v>
      </c>
      <c r="F72" t="str">
        <f t="shared" si="1"/>
        <v/>
      </c>
      <c r="G72" s="5">
        <f ca="1">AVERAGE(D$2:D71)</f>
        <v>99.31453564833437</v>
      </c>
      <c r="H72" s="5">
        <f ca="1">PERCENTILE(D$2:D71,0.025)</f>
        <v>2.9523017331833674E-2</v>
      </c>
      <c r="I72" s="5">
        <f ca="1">PERCENTILE(D$2:D71,0.165)</f>
        <v>0.1518156770446373</v>
      </c>
      <c r="J72" s="5">
        <f ca="1">PERCENTILE(D$2:D71,0.5)</f>
        <v>1.3790617491916937</v>
      </c>
      <c r="K72" s="5">
        <f ca="1">PERCENTILE(D$2:D71,0.835)</f>
        <v>56.23352576789614</v>
      </c>
      <c r="L72" s="5">
        <f ca="1">PERCENTILE(D$2:D71,0.975)</f>
        <v>709.19843066824365</v>
      </c>
      <c r="M72" s="7">
        <f>AVERAGE(E$2:E71)</f>
        <v>0.37681159420289856</v>
      </c>
      <c r="N72" s="7">
        <f>PERCENTILE($E$2:$E71,0.025)</f>
        <v>0</v>
      </c>
      <c r="O72" s="7">
        <f>PERCENTILE($E$2:$E71,0.165)</f>
        <v>0</v>
      </c>
      <c r="P72" s="7">
        <f>PERCENTILE($E$2:$E71,0.5)</f>
        <v>0</v>
      </c>
      <c r="Q72" s="7">
        <f>PERCENTILE($E$2:$E71,0.835)</f>
        <v>1</v>
      </c>
      <c r="R72" s="7">
        <f>PERCENTILE($E$2:$E71,0.975)</f>
        <v>4</v>
      </c>
    </row>
    <row r="73" spans="1:18" x14ac:dyDescent="0.2">
      <c r="A73" s="5">
        <f>Data!E76</f>
        <v>1993</v>
      </c>
      <c r="B73" s="5">
        <f>Data!M76</f>
        <v>5.892857142857142E-2</v>
      </c>
      <c r="C73" s="5">
        <f>Data!N76</f>
        <v>1.7857142857142856E-2</v>
      </c>
      <c r="D73" s="5">
        <f ca="1">Data!O76</f>
        <v>109.37386286692744</v>
      </c>
      <c r="E73" s="1">
        <f>Data!AQ76</f>
        <v>0</v>
      </c>
      <c r="F73" t="str">
        <f t="shared" si="1"/>
        <v/>
      </c>
      <c r="G73" s="5">
        <f ca="1">AVERAGE(D$2:D72)</f>
        <v>104.06648426235833</v>
      </c>
      <c r="H73" s="5">
        <f ca="1">PERCENTILE(D$2:D72,0.025)</f>
        <v>2.9721158387752019E-2</v>
      </c>
      <c r="I73" s="5">
        <f ca="1">PERCENTILE(D$2:D72,0.165)</f>
        <v>0.1557388699518206</v>
      </c>
      <c r="J73" s="5">
        <f ca="1">PERCENTILE(D$2:D72,0.5)</f>
        <v>1.4741694560324998</v>
      </c>
      <c r="K73" s="5">
        <f ca="1">PERCENTILE(D$2:D72,0.835)</f>
        <v>64.455662597409145</v>
      </c>
      <c r="L73" s="5">
        <f ca="1">PERCENTILE(D$2:D72,0.975)</f>
        <v>696.91090093454306</v>
      </c>
      <c r="M73" s="7">
        <f>AVERAGE(E$2:E72)</f>
        <v>0.37142857142857144</v>
      </c>
      <c r="N73" s="7">
        <f>PERCENTILE($E$2:$E72,0.025)</f>
        <v>0</v>
      </c>
      <c r="O73" s="7">
        <f>PERCENTILE($E$2:$E72,0.165)</f>
        <v>0</v>
      </c>
      <c r="P73" s="7">
        <f>PERCENTILE($E$2:$E72,0.5)</f>
        <v>0</v>
      </c>
      <c r="Q73" s="7">
        <f>PERCENTILE($E$2:$E72,0.835)</f>
        <v>1</v>
      </c>
      <c r="R73" s="7">
        <f>PERCENTILE($E$2:$E72,0.975)</f>
        <v>4</v>
      </c>
    </row>
    <row r="74" spans="1:18" x14ac:dyDescent="0.2">
      <c r="A74" s="5">
        <f>Data!E77</f>
        <v>1993</v>
      </c>
      <c r="B74" s="5">
        <f>Data!M77</f>
        <v>5.892857142857142E-2</v>
      </c>
      <c r="C74" s="5">
        <f>Data!N77</f>
        <v>1.7857142857142856E-2</v>
      </c>
      <c r="D74" s="5">
        <f ca="1">Data!O77</f>
        <v>656.08466435682988</v>
      </c>
      <c r="E74" s="1">
        <f>Data!AQ77</f>
        <v>0</v>
      </c>
      <c r="F74" t="str">
        <f t="shared" si="1"/>
        <v/>
      </c>
      <c r="G74" s="5">
        <f ca="1">AVERAGE(D$2:D73)</f>
        <v>104.14019785408846</v>
      </c>
      <c r="H74" s="5">
        <f ca="1">PERCENTILE(D$2:D73,0.025)</f>
        <v>2.9919299443670368E-2</v>
      </c>
      <c r="I74" s="5">
        <f ca="1">PERCENTILE(D$2:D73,0.165)</f>
        <v>0.15966206285900383</v>
      </c>
      <c r="J74" s="5">
        <f ca="1">PERCENTILE(D$2:D73,0.5)</f>
        <v>1.8308233566855243</v>
      </c>
      <c r="K74" s="5">
        <f ca="1">PERCENTILE(D$2:D73,0.835)</f>
        <v>67.093194892501828</v>
      </c>
      <c r="L74" s="5">
        <f ca="1">PERCENTILE(D$2:D73,0.975)</f>
        <v>684.62337120083566</v>
      </c>
      <c r="M74" s="7">
        <f>AVERAGE(E$2:E73)</f>
        <v>0.36619718309859156</v>
      </c>
      <c r="N74" s="7">
        <f>PERCENTILE($E$2:$E73,0.025)</f>
        <v>0</v>
      </c>
      <c r="O74" s="7">
        <f>PERCENTILE($E$2:$E73,0.165)</f>
        <v>0</v>
      </c>
      <c r="P74" s="7">
        <f>PERCENTILE($E$2:$E73,0.5)</f>
        <v>0</v>
      </c>
      <c r="Q74" s="7">
        <f>PERCENTILE($E$2:$E73,0.835)</f>
        <v>1</v>
      </c>
      <c r="R74" s="7">
        <f>PERCENTILE($E$2:$E73,0.975)</f>
        <v>4</v>
      </c>
    </row>
    <row r="75" spans="1:18" x14ac:dyDescent="0.2">
      <c r="A75" s="5">
        <f>Data!E78</f>
        <v>1993</v>
      </c>
      <c r="B75" s="5">
        <f>Data!M78</f>
        <v>5.892857142857142E-2</v>
      </c>
      <c r="C75" s="5">
        <f>Data!N78</f>
        <v>1.7857142857142856E-2</v>
      </c>
      <c r="D75" s="5">
        <f ca="1">Data!O78</f>
        <v>218.58921288912015</v>
      </c>
      <c r="E75" s="1">
        <f>Data!AQ78</f>
        <v>0</v>
      </c>
      <c r="F75" t="str">
        <f t="shared" si="1"/>
        <v/>
      </c>
      <c r="G75" s="5">
        <f ca="1">AVERAGE(D$2:D74)</f>
        <v>111.70108095686574</v>
      </c>
      <c r="H75" s="5">
        <f ca="1">PERCENTILE(D$2:D74,0.025)</f>
        <v>3.0117440499588713E-2</v>
      </c>
      <c r="I75" s="5">
        <f ca="1">PERCENTILE(D$2:D74,0.165)</f>
        <v>0.16358525576618713</v>
      </c>
      <c r="J75" s="5">
        <f ca="1">PERCENTILE(D$2:D74,0.5)</f>
        <v>2.1874772573385486</v>
      </c>
      <c r="K75" s="5">
        <f ca="1">PERCENTILE(D$2:D74,0.835)</f>
        <v>71.855651952744367</v>
      </c>
      <c r="L75" s="5">
        <f ca="1">PERCENTILE(D$2:D74,0.975)</f>
        <v>737.97509007460189</v>
      </c>
      <c r="M75" s="7">
        <f>AVERAGE(E$2:E74)</f>
        <v>0.3611111111111111</v>
      </c>
      <c r="N75" s="7">
        <f>PERCENTILE($E$2:$E74,0.025)</f>
        <v>0</v>
      </c>
      <c r="O75" s="7">
        <f>PERCENTILE($E$2:$E74,0.165)</f>
        <v>0</v>
      </c>
      <c r="P75" s="7">
        <f>PERCENTILE($E$2:$E74,0.5)</f>
        <v>0</v>
      </c>
      <c r="Q75" s="7">
        <f>PERCENTILE($E$2:$E74,0.835)</f>
        <v>1</v>
      </c>
      <c r="R75" s="7">
        <f>PERCENTILE($E$2:$E74,0.975)</f>
        <v>4</v>
      </c>
    </row>
    <row r="76" spans="1:18" x14ac:dyDescent="0.2">
      <c r="A76" s="5">
        <f>Data!E79</f>
        <v>1993</v>
      </c>
      <c r="B76" s="5">
        <f>Data!M79</f>
        <v>5.892857142857142E-2</v>
      </c>
      <c r="C76" s="5">
        <f>Data!N79</f>
        <v>1.7857142857142856E-2</v>
      </c>
      <c r="D76" s="5">
        <f ca="1">Data!O79</f>
        <v>1311.297508067619</v>
      </c>
      <c r="E76" s="1">
        <f>Data!AQ79</f>
        <v>0</v>
      </c>
      <c r="F76" t="str">
        <f t="shared" si="1"/>
        <v/>
      </c>
      <c r="G76" s="5">
        <f ca="1">AVERAGE(D$2:D75)</f>
        <v>113.14551517216647</v>
      </c>
      <c r="H76" s="5">
        <f ca="1">PERCENTILE(D$2:D75,0.025)</f>
        <v>3.0315581555507062E-2</v>
      </c>
      <c r="I76" s="5">
        <f ca="1">PERCENTILE(D$2:D75,0.165)</f>
        <v>0.16643848697141131</v>
      </c>
      <c r="J76" s="5">
        <f ca="1">PERCENTILE(D$2:D75,0.5)</f>
        <v>2.3182503542446575</v>
      </c>
      <c r="K76" s="5">
        <f ca="1">PERCENTILE(D$2:D75,0.835)</f>
        <v>72.711283835351864</v>
      </c>
      <c r="L76" s="5">
        <f ca="1">PERCENTILE(D$2:D75,0.975)</f>
        <v>727.73878685987825</v>
      </c>
      <c r="M76" s="7">
        <f>AVERAGE(E$2:E75)</f>
        <v>0.35616438356164382</v>
      </c>
      <c r="N76" s="7">
        <f>PERCENTILE($E$2:$E75,0.025)</f>
        <v>0</v>
      </c>
      <c r="O76" s="7">
        <f>PERCENTILE($E$2:$E75,0.165)</f>
        <v>0</v>
      </c>
      <c r="P76" s="7">
        <f>PERCENTILE($E$2:$E75,0.5)</f>
        <v>0</v>
      </c>
      <c r="Q76" s="7">
        <f>PERCENTILE($E$2:$E75,0.835)</f>
        <v>1</v>
      </c>
      <c r="R76" s="7">
        <f>PERCENTILE($E$2:$E75,0.975)</f>
        <v>4</v>
      </c>
    </row>
    <row r="77" spans="1:18" x14ac:dyDescent="0.2">
      <c r="A77" s="5">
        <f>Data!E80</f>
        <v>1993</v>
      </c>
      <c r="B77" s="5">
        <f>Data!M80</f>
        <v>2.946428571428571E-2</v>
      </c>
      <c r="C77" s="5">
        <f>Data!N80</f>
        <v>8.9285714285714281E-3</v>
      </c>
      <c r="D77" s="5">
        <f ca="1">Data!O80</f>
        <v>416.80952522983432</v>
      </c>
      <c r="E77" s="1">
        <f>Data!AQ80</f>
        <v>0</v>
      </c>
      <c r="F77" t="str">
        <f t="shared" si="1"/>
        <v/>
      </c>
      <c r="G77" s="5">
        <f ca="1">AVERAGE(D$2:D76)</f>
        <v>129.12087507743917</v>
      </c>
      <c r="H77" s="5">
        <f ca="1">PERCENTILE(D$2:D76,0.025)</f>
        <v>3.0513722611425407E-2</v>
      </c>
      <c r="I77" s="5">
        <f ca="1">PERCENTILE(D$2:D76,0.165)</f>
        <v>0.16643848697141131</v>
      </c>
      <c r="J77" s="5">
        <f ca="1">PERCENTILE(D$2:D76,0.5)</f>
        <v>2.4490234511507665</v>
      </c>
      <c r="K77" s="5">
        <f ca="1">PERCENTILE(D$2:D76,0.835)</f>
        <v>101.6844047688482</v>
      </c>
      <c r="L77" s="5">
        <f ca="1">PERCENTILE(D$2:D76,0.975)</f>
        <v>1102.4009002139721</v>
      </c>
      <c r="M77" s="7">
        <f>AVERAGE(E$2:E76)</f>
        <v>0.35135135135135137</v>
      </c>
      <c r="N77" s="7">
        <f>PERCENTILE($E$2:$E76,0.025)</f>
        <v>0</v>
      </c>
      <c r="O77" s="7">
        <f>PERCENTILE($E$2:$E76,0.165)</f>
        <v>0</v>
      </c>
      <c r="P77" s="7">
        <f>PERCENTILE($E$2:$E76,0.5)</f>
        <v>0</v>
      </c>
      <c r="Q77" s="7">
        <f>PERCENTILE($E$2:$E76,0.835)</f>
        <v>1</v>
      </c>
      <c r="R77" s="7">
        <f>PERCENTILE($E$2:$E76,0.975)</f>
        <v>4</v>
      </c>
    </row>
    <row r="78" spans="1:18" x14ac:dyDescent="0.2">
      <c r="A78" s="5">
        <f>Data!E81</f>
        <v>1993</v>
      </c>
      <c r="B78" s="5">
        <f>Data!M81</f>
        <v>2.946428571428571E-2</v>
      </c>
      <c r="C78" s="5">
        <f>Data!N81</f>
        <v>8.9285714285714281E-3</v>
      </c>
      <c r="D78" s="5">
        <f ca="1">Data!O81</f>
        <v>2500.6193821119036</v>
      </c>
      <c r="E78" s="1">
        <f>Data!AQ81</f>
        <v>0</v>
      </c>
      <c r="F78" t="str">
        <f t="shared" si="1"/>
        <v/>
      </c>
      <c r="G78" s="5">
        <f ca="1">AVERAGE(D$2:D77)</f>
        <v>132.90625205312858</v>
      </c>
      <c r="H78" s="5">
        <f ca="1">PERCENTILE(D$2:D77,0.025)</f>
        <v>3.0711863667343756E-2</v>
      </c>
      <c r="I78" s="5">
        <f ca="1">PERCENTILE(D$2:D77,0.165)</f>
        <v>0.16643848697141131</v>
      </c>
      <c r="J78" s="5">
        <f ca="1">PERCENTILE(D$2:D77,0.5)</f>
        <v>2.532242694636472</v>
      </c>
      <c r="K78" s="5">
        <f ca="1">PERCENTILE(D$2:D77,0.835)</f>
        <v>120.72422944315322</v>
      </c>
      <c r="L78" s="5">
        <f ca="1">PERCENTILE(D$2:D77,0.975)</f>
        <v>1096.2568823359259</v>
      </c>
      <c r="M78" s="7">
        <f>AVERAGE(E$2:E77)</f>
        <v>0.34666666666666668</v>
      </c>
      <c r="N78" s="7">
        <f>PERCENTILE($E$2:$E77,0.025)</f>
        <v>0</v>
      </c>
      <c r="O78" s="7">
        <f>PERCENTILE($E$2:$E77,0.165)</f>
        <v>0</v>
      </c>
      <c r="P78" s="7">
        <f>PERCENTILE($E$2:$E77,0.5)</f>
        <v>0</v>
      </c>
      <c r="Q78" s="7">
        <f>PERCENTILE($E$2:$E77,0.835)</f>
        <v>1</v>
      </c>
      <c r="R78" s="7">
        <f>PERCENTILE($E$2:$E77,0.975)</f>
        <v>4</v>
      </c>
    </row>
    <row r="79" spans="1:18" x14ac:dyDescent="0.2">
      <c r="A79" s="5">
        <f>Data!E82</f>
        <v>1993</v>
      </c>
      <c r="B79" s="5">
        <f>Data!M82</f>
        <v>2.946428571428571E-2</v>
      </c>
      <c r="C79" s="5">
        <f>Data!N82</f>
        <v>8.9285714285714281E-3</v>
      </c>
      <c r="D79" s="5">
        <f ca="1">Data!O82</f>
        <v>1087.5566277246219</v>
      </c>
      <c r="E79" s="1">
        <f>Data!AQ82</f>
        <v>0</v>
      </c>
      <c r="F79" t="str">
        <f t="shared" si="1"/>
        <v/>
      </c>
      <c r="G79" s="5">
        <f ca="1">AVERAGE(D$2:D78)</f>
        <v>163.65577322272304</v>
      </c>
      <c r="H79" s="5">
        <f ca="1">PERCENTILE(D$2:D78,0.025)</f>
        <v>3.0910004723262104E-2</v>
      </c>
      <c r="I79" s="5">
        <f ca="1">PERCENTILE(D$2:D78,0.165)</f>
        <v>0.16643848697141131</v>
      </c>
      <c r="J79" s="5">
        <f ca="1">PERCENTILE(D$2:D78,0.5)</f>
        <v>2.6154619381221775</v>
      </c>
      <c r="K79" s="5">
        <f ca="1">PERCENTILE(D$2:D78,0.835)</f>
        <v>138.88959192071613</v>
      </c>
      <c r="L79" s="5">
        <f ca="1">PERCENTILE(D$2:D78,0.975)</f>
        <v>1430.2296954720407</v>
      </c>
      <c r="M79" s="7">
        <f>AVERAGE(E$2:E78)</f>
        <v>0.34210526315789475</v>
      </c>
      <c r="N79" s="7">
        <f>PERCENTILE($E$2:$E78,0.025)</f>
        <v>0</v>
      </c>
      <c r="O79" s="7">
        <f>PERCENTILE($E$2:$E78,0.165)</f>
        <v>0</v>
      </c>
      <c r="P79" s="7">
        <f>PERCENTILE($E$2:$E78,0.5)</f>
        <v>0</v>
      </c>
      <c r="Q79" s="7">
        <f>PERCENTILE($E$2:$E78,0.835)</f>
        <v>1</v>
      </c>
      <c r="R79" s="7">
        <f>PERCENTILE($E$2:$E78,0.975)</f>
        <v>4</v>
      </c>
    </row>
    <row r="80" spans="1:18" x14ac:dyDescent="0.2">
      <c r="A80" s="5">
        <f>Data!E83</f>
        <v>1993</v>
      </c>
      <c r="B80" s="5">
        <f>Data!M83</f>
        <v>2.946428571428571E-2</v>
      </c>
      <c r="C80" s="5">
        <f>Data!N83</f>
        <v>8.9285714285714281E-3</v>
      </c>
      <c r="D80" s="5">
        <f ca="1">Data!O83</f>
        <v>6525.1019970806292</v>
      </c>
      <c r="E80" s="1">
        <f>Data!AQ83</f>
        <v>0</v>
      </c>
      <c r="F80" t="str">
        <f t="shared" si="1"/>
        <v/>
      </c>
      <c r="G80" s="5">
        <f ca="1">AVERAGE(D$2:D79)</f>
        <v>175.50065597274738</v>
      </c>
      <c r="H80" s="5">
        <f ca="1">PERCENTILE(D$2:D79,0.025)</f>
        <v>3.1108145779180446E-2</v>
      </c>
      <c r="I80" s="5">
        <f ca="1">PERCENTILE(D$2:D79,0.165)</f>
        <v>0.16643848697141131</v>
      </c>
      <c r="J80" s="5">
        <f ca="1">PERCENTILE(D$2:D79,0.5)</f>
        <v>2.6570715598650305</v>
      </c>
      <c r="K80" s="5">
        <f ca="1">PERCENTILE(D$2:D79,0.835)</f>
        <v>152.77014406757522</v>
      </c>
      <c r="L80" s="5">
        <f ca="1">PERCENTILE(D$2:D79,0.975)</f>
        <v>1400.4966486209437</v>
      </c>
      <c r="M80" s="7">
        <f>AVERAGE(E$2:E79)</f>
        <v>0.33766233766233766</v>
      </c>
      <c r="N80" s="7">
        <f>PERCENTILE($E$2:$E79,0.025)</f>
        <v>0</v>
      </c>
      <c r="O80" s="7">
        <f>PERCENTILE($E$2:$E79,0.165)</f>
        <v>0</v>
      </c>
      <c r="P80" s="7">
        <f>PERCENTILE($E$2:$E79,0.5)</f>
        <v>0</v>
      </c>
      <c r="Q80" s="7">
        <f>PERCENTILE($E$2:$E79,0.835)</f>
        <v>1</v>
      </c>
      <c r="R80" s="7">
        <f>PERCENTILE($E$2:$E79,0.975)</f>
        <v>4</v>
      </c>
    </row>
    <row r="81" spans="1:18" x14ac:dyDescent="0.2">
      <c r="A81" s="5">
        <f>Data!E84</f>
        <v>1993</v>
      </c>
      <c r="B81" s="5">
        <f>Data!M84</f>
        <v>4.3</v>
      </c>
      <c r="C81" s="5">
        <f>Data!N84</f>
        <v>1</v>
      </c>
      <c r="D81" s="5">
        <f ca="1">Data!O84</f>
        <v>11.871031590650512</v>
      </c>
      <c r="E81" s="1">
        <f>Data!AQ84</f>
        <v>3</v>
      </c>
      <c r="F81" t="str">
        <f t="shared" si="1"/>
        <v/>
      </c>
      <c r="G81" s="5">
        <f ca="1">AVERAGE(D$2:D80)</f>
        <v>255.8753564931003</v>
      </c>
      <c r="H81" s="5">
        <f ca="1">PERCENTILE(D$2:D80,0.025)</f>
        <v>3.1306286835098798E-2</v>
      </c>
      <c r="I81" s="5">
        <f ca="1">PERCENTILE(D$2:D80,0.165)</f>
        <v>0.16643848697141131</v>
      </c>
      <c r="J81" s="5">
        <f ca="1">PERCENTILE(D$2:D80,0.5)</f>
        <v>2.6986811816078835</v>
      </c>
      <c r="K81" s="5">
        <f ca="1">PERCENTILE(D$2:D80,0.835)</f>
        <v>162.47140901616532</v>
      </c>
      <c r="L81" s="5">
        <f ca="1">PERCENTILE(D$2:D80,0.975)</f>
        <v>2563.296640147425</v>
      </c>
      <c r="M81" s="7">
        <f>AVERAGE(E$2:E80)</f>
        <v>0.33333333333333331</v>
      </c>
      <c r="N81" s="7">
        <f>PERCENTILE($E$2:$E80,0.025)</f>
        <v>0</v>
      </c>
      <c r="O81" s="7">
        <f>PERCENTILE($E$2:$E80,0.165)</f>
        <v>0</v>
      </c>
      <c r="P81" s="7">
        <f>PERCENTILE($E$2:$E80,0.5)</f>
        <v>0</v>
      </c>
      <c r="Q81" s="7">
        <f>PERCENTILE($E$2:$E80,0.835)</f>
        <v>1</v>
      </c>
      <c r="R81" s="7">
        <f>PERCENTILE($E$2:$E80,0.975)</f>
        <v>4</v>
      </c>
    </row>
    <row r="82" spans="1:18" x14ac:dyDescent="0.2">
      <c r="A82" s="5">
        <f>Data!E85</f>
        <v>1993</v>
      </c>
      <c r="B82" s="5">
        <f>Data!M85</f>
        <v>2.15</v>
      </c>
      <c r="C82" s="5">
        <f>Data!N85</f>
        <v>0.5</v>
      </c>
      <c r="D82" s="5">
        <f ca="1">Data!O85</f>
        <v>23.742063181301024</v>
      </c>
      <c r="E82" s="1">
        <f>Data!AQ85</f>
        <v>3</v>
      </c>
      <c r="F82" t="str">
        <f t="shared" si="1"/>
        <v/>
      </c>
      <c r="G82" s="5">
        <f ca="1">AVERAGE(D$2:D81)</f>
        <v>252.82530243181969</v>
      </c>
      <c r="H82" s="5">
        <f ca="1">PERCENTILE(D$2:D81,0.025)</f>
        <v>3.1504427891017144E-2</v>
      </c>
      <c r="I82" s="5">
        <f ca="1">PERCENTILE(D$2:D81,0.165)</f>
        <v>0.16727067940626836</v>
      </c>
      <c r="J82" s="5">
        <f ca="1">PERCENTILE(D$2:D81,0.5)</f>
        <v>2.8235100468364416</v>
      </c>
      <c r="K82" s="5">
        <f ca="1">PERCENTILE(D$2:D81,0.835)</f>
        <v>154.02066435973958</v>
      </c>
      <c r="L82" s="5">
        <f ca="1">PERCENTILE(D$2:D81,0.975)</f>
        <v>2531.9580111296555</v>
      </c>
      <c r="M82" s="7">
        <f>AVERAGE(E$2:E81)</f>
        <v>0.36708860759493672</v>
      </c>
      <c r="N82" s="7">
        <f>PERCENTILE($E$2:$E81,0.025)</f>
        <v>0</v>
      </c>
      <c r="O82" s="7">
        <f>PERCENTILE($E$2:$E81,0.165)</f>
        <v>0</v>
      </c>
      <c r="P82" s="7">
        <f>PERCENTILE($E$2:$E81,0.5)</f>
        <v>0</v>
      </c>
      <c r="Q82" s="7">
        <f>PERCENTILE($E$2:$E81,0.835)</f>
        <v>1</v>
      </c>
      <c r="R82" s="7">
        <f>PERCENTILE($E$2:$E81,0.975)</f>
        <v>4</v>
      </c>
    </row>
    <row r="83" spans="1:18" x14ac:dyDescent="0.2">
      <c r="A83" s="5">
        <f>Data!E86</f>
        <v>1993</v>
      </c>
      <c r="B83" s="5">
        <f>Data!M86</f>
        <v>8.269230769230769E-2</v>
      </c>
      <c r="C83" s="5">
        <f>Data!N86</f>
        <v>1.9230769230769232E-2</v>
      </c>
      <c r="D83" s="5">
        <f ca="1">Data!O86</f>
        <v>28.394272714827164</v>
      </c>
      <c r="E83" s="1">
        <f>Data!AQ86</f>
        <v>3</v>
      </c>
      <c r="F83" t="str">
        <f t="shared" si="1"/>
        <v/>
      </c>
      <c r="G83" s="5">
        <f ca="1">AVERAGE(D$2:D82)</f>
        <v>249.99711429292438</v>
      </c>
      <c r="H83" s="5">
        <f ca="1">PERCENTILE(D$2:D82,0.025)</f>
        <v>3.1702568946935489E-2</v>
      </c>
      <c r="I83" s="5">
        <f ca="1">PERCENTILE(D$2:D82,0.165)</f>
        <v>0.17119387231345165</v>
      </c>
      <c r="J83" s="5">
        <f ca="1">PERCENTILE(D$2:D82,0.5)</f>
        <v>2.9483389120649997</v>
      </c>
      <c r="K83" s="5">
        <f ca="1">PERCENTILE(D$2:D82,0.835)</f>
        <v>153.71270040719162</v>
      </c>
      <c r="L83" s="5">
        <f ca="1">PERCENTILE(D$2:D82,0.975)</f>
        <v>2500.6193821119036</v>
      </c>
      <c r="M83" s="7">
        <f>AVERAGE(E$2:E82)</f>
        <v>0.4</v>
      </c>
      <c r="N83" s="7">
        <f>PERCENTILE($E$2:$E82,0.025)</f>
        <v>0</v>
      </c>
      <c r="O83" s="7">
        <f>PERCENTILE($E$2:$E82,0.165)</f>
        <v>0</v>
      </c>
      <c r="P83" s="7">
        <f>PERCENTILE($E$2:$E82,0.5)</f>
        <v>0</v>
      </c>
      <c r="Q83" s="7">
        <f>PERCENTILE($E$2:$E82,0.835)</f>
        <v>1</v>
      </c>
      <c r="R83" s="7">
        <f>PERCENTILE($E$2:$E82,0.975)</f>
        <v>4</v>
      </c>
    </row>
    <row r="84" spans="1:18" x14ac:dyDescent="0.2">
      <c r="A84" s="5">
        <f>Data!E87</f>
        <v>1993</v>
      </c>
      <c r="B84" s="5">
        <f>Data!M87</f>
        <v>8.269230769230769E-2</v>
      </c>
      <c r="C84" s="5">
        <f>Data!N87</f>
        <v>1.9230769230769232E-2</v>
      </c>
      <c r="D84" s="5">
        <f ca="1">Data!O87</f>
        <v>28.785019587049558</v>
      </c>
      <c r="E84" s="1">
        <f>Data!AQ87</f>
        <v>3</v>
      </c>
      <c r="F84" t="str">
        <f t="shared" si="1"/>
        <v/>
      </c>
      <c r="G84" s="5">
        <f ca="1">AVERAGE(D$2:D83)</f>
        <v>247.29464061514273</v>
      </c>
      <c r="H84" s="5">
        <f ca="1">PERCENTILE(D$2:D83,0.025)</f>
        <v>3.1900710002853834E-2</v>
      </c>
      <c r="I84" s="5">
        <f ca="1">PERCENTILE(D$2:D83,0.165)</f>
        <v>0.17511706522063489</v>
      </c>
      <c r="J84" s="5">
        <f ca="1">PERCENTILE(D$2:D83,0.5)</f>
        <v>3.1147773990364112</v>
      </c>
      <c r="K84" s="5">
        <f ca="1">PERCENTILE(D$2:D83,0.835)</f>
        <v>153.40473645464365</v>
      </c>
      <c r="L84" s="5">
        <f ca="1">PERCENTILE(D$2:D83,0.975)</f>
        <v>2470.8863352607896</v>
      </c>
      <c r="M84" s="7">
        <f>AVERAGE(E$2:E83)</f>
        <v>0.43209876543209874</v>
      </c>
      <c r="N84" s="7">
        <f>PERCENTILE($E$2:$E83,0.025)</f>
        <v>0</v>
      </c>
      <c r="O84" s="7">
        <f>PERCENTILE($E$2:$E83,0.165)</f>
        <v>0</v>
      </c>
      <c r="P84" s="7">
        <f>PERCENTILE($E$2:$E83,0.5)</f>
        <v>0</v>
      </c>
      <c r="Q84" s="7">
        <f>PERCENTILE($E$2:$E83,0.835)</f>
        <v>1</v>
      </c>
      <c r="R84" s="7">
        <f>PERCENTILE($E$2:$E83,0.975)</f>
        <v>4</v>
      </c>
    </row>
    <row r="85" spans="1:18" x14ac:dyDescent="0.2">
      <c r="A85" s="5">
        <f>Data!E88</f>
        <v>1993</v>
      </c>
      <c r="B85" s="5">
        <f>Data!M88</f>
        <v>8.269230769230769E-2</v>
      </c>
      <c r="C85" s="5">
        <f>Data!N88</f>
        <v>1.9230769230769232E-2</v>
      </c>
      <c r="D85" s="5">
        <f ca="1">Data!O88</f>
        <v>29.827011246309265</v>
      </c>
      <c r="E85" s="1">
        <f>Data!AQ88</f>
        <v>3</v>
      </c>
      <c r="F85" t="str">
        <f t="shared" si="1"/>
        <v/>
      </c>
      <c r="G85" s="5">
        <f ca="1">AVERAGE(D$2:D84)</f>
        <v>244.66199457865966</v>
      </c>
      <c r="H85" s="5">
        <f ca="1">PERCENTILE(D$2:D84,0.025)</f>
        <v>3.2098851058772186E-2</v>
      </c>
      <c r="I85" s="5">
        <f ca="1">PERCENTILE(D$2:D84,0.165)</f>
        <v>0.17904025812781818</v>
      </c>
      <c r="J85" s="5">
        <f ca="1">PERCENTILE(D$2:D84,0.5)</f>
        <v>3.2812158860078227</v>
      </c>
      <c r="K85" s="5">
        <f ca="1">PERCENTILE(D$2:D84,0.835)</f>
        <v>153.09677250209575</v>
      </c>
      <c r="L85" s="5">
        <f ca="1">PERCENTILE(D$2:D84,0.975)</f>
        <v>2441.1532884096928</v>
      </c>
      <c r="M85" s="7">
        <f>AVERAGE(E$2:E84)</f>
        <v>0.46341463414634149</v>
      </c>
      <c r="N85" s="7">
        <f>PERCENTILE($E$2:$E84,0.025)</f>
        <v>0</v>
      </c>
      <c r="O85" s="7">
        <f>PERCENTILE($E$2:$E84,0.165)</f>
        <v>0</v>
      </c>
      <c r="P85" s="7">
        <f>PERCENTILE($E$2:$E84,0.5)</f>
        <v>0</v>
      </c>
      <c r="Q85" s="7">
        <f>PERCENTILE($E$2:$E84,0.835)</f>
        <v>1</v>
      </c>
      <c r="R85" s="7">
        <f>PERCENTILE($E$2:$E84,0.975)</f>
        <v>3.9749999999999943</v>
      </c>
    </row>
    <row r="86" spans="1:18" x14ac:dyDescent="0.2">
      <c r="A86" s="5">
        <f>Data!E89</f>
        <v>1993</v>
      </c>
      <c r="B86" s="5">
        <f>Data!M89</f>
        <v>8.269230769230769E-2</v>
      </c>
      <c r="C86" s="5">
        <f>Data!N89</f>
        <v>1.9230769230769232E-2</v>
      </c>
      <c r="D86" s="5">
        <f ca="1">Data!O89</f>
        <v>28.394272714827164</v>
      </c>
      <c r="E86" s="1">
        <f>Data!AQ89</f>
        <v>3</v>
      </c>
      <c r="F86" t="str">
        <f t="shared" si="1"/>
        <v/>
      </c>
      <c r="G86" s="5">
        <f ca="1">AVERAGE(D$2:D85)</f>
        <v>242.10443525327454</v>
      </c>
      <c r="H86" s="5">
        <f ca="1">PERCENTILE(D$2:D85,0.025)</f>
        <v>3.2296992114690531E-2</v>
      </c>
      <c r="I86" s="5">
        <f ca="1">PERCENTILE(D$2:D85,0.165)</f>
        <v>0.18296345103500142</v>
      </c>
      <c r="J86" s="5">
        <f ca="1">PERCENTILE(D$2:D85,0.5)</f>
        <v>3.8280852003424597</v>
      </c>
      <c r="K86" s="5">
        <f ca="1">PERCENTILE(D$2:D85,0.835)</f>
        <v>152.78880854954778</v>
      </c>
      <c r="L86" s="5">
        <f ca="1">PERCENTILE(D$2:D85,0.975)</f>
        <v>2411.4202415585787</v>
      </c>
      <c r="M86" s="7">
        <f>AVERAGE(E$2:E85)</f>
        <v>0.49397590361445781</v>
      </c>
      <c r="N86" s="7">
        <f>PERCENTILE($E$2:$E85,0.025)</f>
        <v>0</v>
      </c>
      <c r="O86" s="7">
        <f>PERCENTILE($E$2:$E85,0.165)</f>
        <v>0</v>
      </c>
      <c r="P86" s="7">
        <f>PERCENTILE($E$2:$E85,0.5)</f>
        <v>0</v>
      </c>
      <c r="Q86" s="7">
        <f>PERCENTILE($E$2:$E85,0.835)</f>
        <v>1</v>
      </c>
      <c r="R86" s="7">
        <f>PERCENTILE($E$2:$E85,0.975)</f>
        <v>3.9500000000000028</v>
      </c>
    </row>
    <row r="87" spans="1:18" x14ac:dyDescent="0.2">
      <c r="A87" s="5">
        <f>Data!E90</f>
        <v>1993</v>
      </c>
      <c r="B87" s="5">
        <f>Data!M90</f>
        <v>8.269230769230769E-2</v>
      </c>
      <c r="C87" s="5">
        <f>Data!N90</f>
        <v>1.9230769230769232E-2</v>
      </c>
      <c r="D87" s="5">
        <f ca="1">Data!O90</f>
        <v>28.785019587049558</v>
      </c>
      <c r="E87" s="1">
        <f>Data!AQ90</f>
        <v>3</v>
      </c>
      <c r="F87" t="str">
        <f t="shared" si="1"/>
        <v/>
      </c>
      <c r="G87" s="5">
        <f ca="1">AVERAGE(D$2:D86)</f>
        <v>239.59019804693989</v>
      </c>
      <c r="H87" s="5">
        <f ca="1">PERCENTILE(D$2:D86,0.025)</f>
        <v>3.2495133170608877E-2</v>
      </c>
      <c r="I87" s="5">
        <f ca="1">PERCENTILE(D$2:D86,0.165)</f>
        <v>0.18688664394218471</v>
      </c>
      <c r="J87" s="5">
        <f ca="1">PERCENTILE(D$2:D86,0.5)</f>
        <v>4.3749545146770972</v>
      </c>
      <c r="K87" s="5">
        <f ca="1">PERCENTILE(D$2:D86,0.835)</f>
        <v>152.48084459699987</v>
      </c>
      <c r="L87" s="5">
        <f ca="1">PERCENTILE(D$2:D86,0.975)</f>
        <v>2381.6871947074651</v>
      </c>
      <c r="M87" s="7">
        <f>AVERAGE(E$2:E86)</f>
        <v>0.52380952380952384</v>
      </c>
      <c r="N87" s="7">
        <f>PERCENTILE($E$2:$E86,0.025)</f>
        <v>0</v>
      </c>
      <c r="O87" s="7">
        <f>PERCENTILE($E$2:$E86,0.165)</f>
        <v>0</v>
      </c>
      <c r="P87" s="7">
        <f>PERCENTILE($E$2:$E86,0.5)</f>
        <v>0</v>
      </c>
      <c r="Q87" s="7">
        <f>PERCENTILE($E$2:$E86,0.835)</f>
        <v>1.3049999999999926</v>
      </c>
      <c r="R87" s="7">
        <f>PERCENTILE($E$2:$E86,0.975)</f>
        <v>3.9249999999999972</v>
      </c>
    </row>
    <row r="88" spans="1:18" x14ac:dyDescent="0.2">
      <c r="A88" s="5">
        <f>Data!E91</f>
        <v>1993</v>
      </c>
      <c r="B88" s="5">
        <f>Data!M91</f>
        <v>8.269230769230769E-2</v>
      </c>
      <c r="C88" s="5">
        <f>Data!N91</f>
        <v>1.9230769230769232E-2</v>
      </c>
      <c r="D88" s="5">
        <f ca="1">Data!O91</f>
        <v>4.4284645518537777</v>
      </c>
      <c r="E88" s="1">
        <f>Data!AQ91</f>
        <v>3</v>
      </c>
      <c r="F88" t="str">
        <f t="shared" si="1"/>
        <v/>
      </c>
      <c r="G88" s="5">
        <f ca="1">AVERAGE(D$2:D87)</f>
        <v>237.13897504159232</v>
      </c>
      <c r="H88" s="5">
        <f ca="1">PERCENTILE(D$2:D87,0.025)</f>
        <v>3.2693274226527222E-2</v>
      </c>
      <c r="I88" s="5">
        <f ca="1">PERCENTILE(D$2:D87,0.165)</f>
        <v>0.19061169579344961</v>
      </c>
      <c r="J88" s="5">
        <f ca="1">PERCENTILE(D$2:D87,0.5)</f>
        <v>4.4145827258607664</v>
      </c>
      <c r="K88" s="5">
        <f ca="1">PERCENTILE(D$2:D87,0.835)</f>
        <v>151.60241453787091</v>
      </c>
      <c r="L88" s="5">
        <f ca="1">PERCENTILE(D$2:D87,0.975)</f>
        <v>2351.9541478563679</v>
      </c>
      <c r="M88" s="7">
        <f>AVERAGE(E$2:E87)</f>
        <v>0.55294117647058827</v>
      </c>
      <c r="N88" s="7">
        <f>PERCENTILE($E$2:$E87,0.025)</f>
        <v>0</v>
      </c>
      <c r="O88" s="7">
        <f>PERCENTILE($E$2:$E87,0.165)</f>
        <v>0</v>
      </c>
      <c r="P88" s="7">
        <f>PERCENTILE($E$2:$E87,0.5)</f>
        <v>0</v>
      </c>
      <c r="Q88" s="7">
        <f>PERCENTILE($E$2:$E87,0.835)</f>
        <v>2</v>
      </c>
      <c r="R88" s="7">
        <f>PERCENTILE($E$2:$E87,0.975)</f>
        <v>3.8999999999999915</v>
      </c>
    </row>
    <row r="89" spans="1:18" x14ac:dyDescent="0.2">
      <c r="A89" s="5">
        <f>Data!E92</f>
        <v>1993</v>
      </c>
      <c r="B89" s="5">
        <f>Data!M92</f>
        <v>8.269230769230769E-2</v>
      </c>
      <c r="C89" s="5">
        <f>Data!N92</f>
        <v>1.9230769230769232E-2</v>
      </c>
      <c r="D89" s="5">
        <f ca="1">Data!O92</f>
        <v>7.1636926574105226</v>
      </c>
      <c r="E89" s="1">
        <f>Data!AQ92</f>
        <v>3</v>
      </c>
      <c r="F89" t="str">
        <f t="shared" si="1"/>
        <v/>
      </c>
      <c r="G89" s="5">
        <f ca="1">AVERAGE(D$2:D88)</f>
        <v>234.46414158768727</v>
      </c>
      <c r="H89" s="5">
        <f ca="1">PERCENTILE(D$2:D88,0.025)</f>
        <v>3.2891415282445567E-2</v>
      </c>
      <c r="I89" s="5">
        <f ca="1">PERCENTILE(D$2:D88,0.165)</f>
        <v>0.19322715773157179</v>
      </c>
      <c r="J89" s="5">
        <f ca="1">PERCENTILE(D$2:D88,0.5)</f>
        <v>4.4284645518537777</v>
      </c>
      <c r="K89" s="5">
        <f ca="1">PERCENTILE(D$2:D88,0.835)</f>
        <v>147.52937428188949</v>
      </c>
      <c r="L89" s="5">
        <f ca="1">PERCENTILE(D$2:D88,0.975)</f>
        <v>2322.2211010052542</v>
      </c>
      <c r="M89" s="7">
        <f>AVERAGE(E$2:E88)</f>
        <v>0.58139534883720934</v>
      </c>
      <c r="N89" s="7">
        <f>PERCENTILE($E$2:$E88,0.025)</f>
        <v>0</v>
      </c>
      <c r="O89" s="7">
        <f>PERCENTILE($E$2:$E88,0.165)</f>
        <v>0</v>
      </c>
      <c r="P89" s="7">
        <f>PERCENTILE($E$2:$E88,0.5)</f>
        <v>0</v>
      </c>
      <c r="Q89" s="7">
        <f>PERCENTILE($E$2:$E88,0.835)</f>
        <v>2</v>
      </c>
      <c r="R89" s="7">
        <f>PERCENTILE($E$2:$E88,0.975)</f>
        <v>3.875</v>
      </c>
    </row>
    <row r="90" spans="1:18" x14ac:dyDescent="0.2">
      <c r="A90" s="5">
        <f>Data!E93</f>
        <v>1993</v>
      </c>
      <c r="B90" s="5">
        <f>Data!M93</f>
        <v>8.269230769230769E-2</v>
      </c>
      <c r="C90" s="5">
        <f>Data!N93</f>
        <v>1.9230769230769232E-2</v>
      </c>
      <c r="D90" s="5">
        <f ca="1">Data!O93</f>
        <v>15.629874888895687</v>
      </c>
      <c r="E90" s="1">
        <f>Data!AQ93</f>
        <v>3</v>
      </c>
      <c r="F90" t="str">
        <f t="shared" si="1"/>
        <v/>
      </c>
      <c r="G90" s="5">
        <f ca="1">AVERAGE(D$2:D89)</f>
        <v>231.8811819407523</v>
      </c>
      <c r="H90" s="5">
        <f ca="1">PERCENTILE(D$2:D89,0.025)</f>
        <v>3.3089556338363919E-2</v>
      </c>
      <c r="I90" s="5">
        <f ca="1">PERCENTILE(D$2:D89,0.165)</f>
        <v>0.19584261966969396</v>
      </c>
      <c r="J90" s="5">
        <f ca="1">PERCENTILE(D$2:D89,0.5)</f>
        <v>4.4413377444491067</v>
      </c>
      <c r="K90" s="5">
        <f ca="1">PERCENTILE(D$2:D89,0.835)</f>
        <v>143.45633402590769</v>
      </c>
      <c r="L90" s="5">
        <f ca="1">PERCENTILE(D$2:D89,0.975)</f>
        <v>2292.488054154157</v>
      </c>
      <c r="M90" s="7">
        <f>AVERAGE(E$2:E89)</f>
        <v>0.60919540229885061</v>
      </c>
      <c r="N90" s="7">
        <f>PERCENTILE($E$2:$E89,0.025)</f>
        <v>0</v>
      </c>
      <c r="O90" s="7">
        <f>PERCENTILE($E$2:$E89,0.165)</f>
        <v>0</v>
      </c>
      <c r="P90" s="7">
        <f>PERCENTILE($E$2:$E89,0.5)</f>
        <v>0</v>
      </c>
      <c r="Q90" s="7">
        <f>PERCENTILE($E$2:$E89,0.835)</f>
        <v>2</v>
      </c>
      <c r="R90" s="7">
        <f>PERCENTILE($E$2:$E89,0.975)</f>
        <v>3.8499999999999943</v>
      </c>
    </row>
    <row r="91" spans="1:18" x14ac:dyDescent="0.2">
      <c r="A91" s="5">
        <f>Data!E94</f>
        <v>1993</v>
      </c>
      <c r="B91" s="5">
        <f>Data!M94</f>
        <v>8.269230769230769E-2</v>
      </c>
      <c r="C91" s="5">
        <f>Data!N94</f>
        <v>1.9230769230769232E-2</v>
      </c>
      <c r="D91" s="5">
        <f ca="1">Data!O94</f>
        <v>13.936638442598651</v>
      </c>
      <c r="E91" s="1">
        <f>Data!AQ94</f>
        <v>3</v>
      </c>
      <c r="F91" t="str">
        <f t="shared" si="1"/>
        <v/>
      </c>
      <c r="G91" s="5">
        <f ca="1">AVERAGE(D$2:D90)</f>
        <v>229.45139197387749</v>
      </c>
      <c r="H91" s="5">
        <f ca="1">PERCENTILE(D$2:D90,0.025)</f>
        <v>3.3287697394282265E-2</v>
      </c>
      <c r="I91" s="5">
        <f ca="1">PERCENTILE(D$2:D90,0.165)</f>
        <v>0.19845808160781614</v>
      </c>
      <c r="J91" s="5">
        <f ca="1">PERCENTILE(D$2:D90,0.5)</f>
        <v>4.4542109370444356</v>
      </c>
      <c r="K91" s="5">
        <f ca="1">PERCENTILE(D$2:D90,0.835)</f>
        <v>139.3832937699259</v>
      </c>
      <c r="L91" s="5">
        <f ca="1">PERCENTILE(D$2:D90,0.975)</f>
        <v>2262.7550073030434</v>
      </c>
      <c r="M91" s="7">
        <f>AVERAGE(E$2:E90)</f>
        <v>0.63636363636363635</v>
      </c>
      <c r="N91" s="7">
        <f>PERCENTILE($E$2:$E90,0.025)</f>
        <v>0</v>
      </c>
      <c r="O91" s="7">
        <f>PERCENTILE($E$2:$E90,0.165)</f>
        <v>0</v>
      </c>
      <c r="P91" s="7">
        <f>PERCENTILE($E$2:$E90,0.5)</f>
        <v>0</v>
      </c>
      <c r="Q91" s="7">
        <f>PERCENTILE($E$2:$E90,0.835)</f>
        <v>2</v>
      </c>
      <c r="R91" s="7">
        <f>PERCENTILE($E$2:$E90,0.975)</f>
        <v>3.8250000000000028</v>
      </c>
    </row>
    <row r="92" spans="1:18" x14ac:dyDescent="0.2">
      <c r="A92" s="5">
        <f>Data!E95</f>
        <v>1993</v>
      </c>
      <c r="B92" s="5">
        <f>Data!M95</f>
        <v>8.269230769230769E-2</v>
      </c>
      <c r="C92" s="5">
        <f>Data!N95</f>
        <v>1.9230769230769232E-2</v>
      </c>
      <c r="D92" s="5">
        <f ca="1">Data!O95</f>
        <v>24.877550864825636</v>
      </c>
      <c r="E92" s="1">
        <f>Data!AQ95</f>
        <v>3</v>
      </c>
      <c r="F92" t="str">
        <f t="shared" si="1"/>
        <v/>
      </c>
      <c r="G92" s="5">
        <f ca="1">AVERAGE(D$2:D91)</f>
        <v>227.05678360130773</v>
      </c>
      <c r="H92" s="5">
        <f ca="1">PERCENTILE(D$2:D91,0.025)</f>
        <v>3.348583845020061E-2</v>
      </c>
      <c r="I92" s="5">
        <f ca="1">PERCENTILE(D$2:D91,0.165)</f>
        <v>0.20107354354593832</v>
      </c>
      <c r="J92" s="5">
        <f ca="1">PERCENTILE(D$2:D91,0.5)</f>
        <v>4.4564582282499448</v>
      </c>
      <c r="K92" s="5">
        <f ca="1">PERCENTILE(D$2:D91,0.835)</f>
        <v>135.31025351394447</v>
      </c>
      <c r="L92" s="5">
        <f ca="1">PERCENTILE(D$2:D91,0.975)</f>
        <v>2233.0219604519293</v>
      </c>
      <c r="M92" s="7">
        <f>AVERAGE(E$2:E91)</f>
        <v>0.6629213483146067</v>
      </c>
      <c r="N92" s="7">
        <f>PERCENTILE($E$2:$E91,0.025)</f>
        <v>0</v>
      </c>
      <c r="O92" s="7">
        <f>PERCENTILE($E$2:$E91,0.165)</f>
        <v>0</v>
      </c>
      <c r="P92" s="7">
        <f>PERCENTILE($E$2:$E91,0.5)</f>
        <v>0</v>
      </c>
      <c r="Q92" s="7">
        <f>PERCENTILE($E$2:$E91,0.835)</f>
        <v>2</v>
      </c>
      <c r="R92" s="7">
        <f>PERCENTILE($E$2:$E91,0.975)</f>
        <v>3.7999999999999972</v>
      </c>
    </row>
    <row r="93" spans="1:18" x14ac:dyDescent="0.2">
      <c r="A93" s="5">
        <f>Data!E96</f>
        <v>1993</v>
      </c>
      <c r="B93" s="5">
        <f>Data!M96</f>
        <v>8.269230769230769E-2</v>
      </c>
      <c r="C93" s="5">
        <f>Data!N96</f>
        <v>1.9230769230769232E-2</v>
      </c>
      <c r="D93" s="5">
        <f ca="1">Data!O96</f>
        <v>25.007799822233096</v>
      </c>
      <c r="E93" s="1">
        <f>Data!AQ96</f>
        <v>3</v>
      </c>
      <c r="F93" t="str">
        <f t="shared" si="1"/>
        <v/>
      </c>
      <c r="G93" s="5">
        <f ca="1">AVERAGE(D$2:D92)</f>
        <v>224.83503379101671</v>
      </c>
      <c r="H93" s="5">
        <f ca="1">PERCENTILE(D$2:D92,0.025)</f>
        <v>3.3683979506118955E-2</v>
      </c>
      <c r="I93" s="5">
        <f ca="1">PERCENTILE(D$2:D92,0.165)</f>
        <v>0.20368900548406049</v>
      </c>
      <c r="J93" s="5">
        <f ca="1">PERCENTILE(D$2:D92,0.5)</f>
        <v>4.4587055194554539</v>
      </c>
      <c r="K93" s="5">
        <f ca="1">PERCENTILE(D$2:D92,0.835)</f>
        <v>131.23721325796268</v>
      </c>
      <c r="L93" s="5">
        <f ca="1">PERCENTILE(D$2:D92,0.975)</f>
        <v>2203.2889136008325</v>
      </c>
      <c r="M93" s="7">
        <f>AVERAGE(E$2:E92)</f>
        <v>0.68888888888888888</v>
      </c>
      <c r="N93" s="7">
        <f>PERCENTILE($E$2:$E92,0.025)</f>
        <v>0</v>
      </c>
      <c r="O93" s="7">
        <f>PERCENTILE($E$2:$E92,0.165)</f>
        <v>0</v>
      </c>
      <c r="P93" s="7">
        <f>PERCENTILE($E$2:$E92,0.5)</f>
        <v>0</v>
      </c>
      <c r="Q93" s="7">
        <f>PERCENTILE($E$2:$E92,0.835)</f>
        <v>2.3149999999999977</v>
      </c>
      <c r="R93" s="7">
        <f>PERCENTILE($E$2:$E92,0.975)</f>
        <v>3.7749999999999915</v>
      </c>
    </row>
    <row r="94" spans="1:18" x14ac:dyDescent="0.2">
      <c r="A94" s="5">
        <f>Data!E97</f>
        <v>1993</v>
      </c>
      <c r="B94" s="5">
        <f>Data!M97</f>
        <v>8.269230769230769E-2</v>
      </c>
      <c r="C94" s="5">
        <f>Data!N97</f>
        <v>1.9230769230769232E-2</v>
      </c>
      <c r="D94" s="5">
        <f ca="1">Data!O97</f>
        <v>22.663318588898743</v>
      </c>
      <c r="E94" s="1">
        <f>Data!AQ97</f>
        <v>3</v>
      </c>
      <c r="F94" t="str">
        <f t="shared" si="1"/>
        <v/>
      </c>
      <c r="G94" s="5">
        <f ca="1">AVERAGE(D$2:D93)</f>
        <v>222.66299863918212</v>
      </c>
      <c r="H94" s="5">
        <f ca="1">PERCENTILE(D$2:D93,0.025)</f>
        <v>3.38821205620373E-2</v>
      </c>
      <c r="I94" s="5">
        <f ca="1">PERCENTILE(D$2:D93,0.165)</f>
        <v>0.20618558278863164</v>
      </c>
      <c r="J94" s="5">
        <f ca="1">PERCENTILE(D$2:D93,0.5)</f>
        <v>5.0350301115315172</v>
      </c>
      <c r="K94" s="5">
        <f ca="1">PERCENTILE(D$2:D93,0.835)</f>
        <v>127.26204059105926</v>
      </c>
      <c r="L94" s="5">
        <f ca="1">PERCENTILE(D$2:D93,0.975)</f>
        <v>2173.5558667497185</v>
      </c>
      <c r="M94" s="7">
        <f>AVERAGE(E$2:E93)</f>
        <v>0.7142857142857143</v>
      </c>
      <c r="N94" s="7">
        <f>PERCENTILE($E$2:$E93,0.025)</f>
        <v>0</v>
      </c>
      <c r="O94" s="7">
        <f>PERCENTILE($E$2:$E93,0.165)</f>
        <v>0</v>
      </c>
      <c r="P94" s="7">
        <f>PERCENTILE($E$2:$E93,0.5)</f>
        <v>0</v>
      </c>
      <c r="Q94" s="7">
        <f>PERCENTILE($E$2:$E93,0.835)</f>
        <v>3</v>
      </c>
      <c r="R94" s="7">
        <f>PERCENTILE($E$2:$E93,0.975)</f>
        <v>3.75</v>
      </c>
    </row>
    <row r="95" spans="1:18" x14ac:dyDescent="0.2">
      <c r="A95" s="5">
        <f>Data!E98</f>
        <v>1993</v>
      </c>
      <c r="B95" s="5">
        <f>Data!M98</f>
        <v>8.269230769230769E-2</v>
      </c>
      <c r="C95" s="5">
        <f>Data!N98</f>
        <v>1.9230769230769232E-2</v>
      </c>
      <c r="D95" s="5">
        <f ca="1">Data!O98</f>
        <v>29.696762288901802</v>
      </c>
      <c r="E95" s="1">
        <f>Data!AQ98</f>
        <v>3</v>
      </c>
      <c r="F95" t="str">
        <f t="shared" si="1"/>
        <v/>
      </c>
      <c r="G95" s="5">
        <f ca="1">AVERAGE(D$2:D94)</f>
        <v>220.51246444509306</v>
      </c>
      <c r="H95" s="5">
        <f ca="1">PERCENTILE(D$2:D94,0.025)</f>
        <v>3.4080261617955653E-2</v>
      </c>
      <c r="I95" s="5">
        <f ca="1">PERCENTILE(D$2:D94,0.165)</f>
        <v>0.20749331375769273</v>
      </c>
      <c r="J95" s="5">
        <f ca="1">PERCENTILE(D$2:D94,0.5)</f>
        <v>5.6113547036075806</v>
      </c>
      <c r="K95" s="5">
        <f ca="1">PERCENTILE(D$2:D94,0.835)</f>
        <v>124.26554381493554</v>
      </c>
      <c r="L95" s="5">
        <f ca="1">PERCENTILE(D$2:D94,0.975)</f>
        <v>2143.8228198986217</v>
      </c>
      <c r="M95" s="7">
        <f>AVERAGE(E$2:E94)</f>
        <v>0.73913043478260865</v>
      </c>
      <c r="N95" s="7">
        <f>PERCENTILE($E$2:$E94,0.025)</f>
        <v>0</v>
      </c>
      <c r="O95" s="7">
        <f>PERCENTILE($E$2:$E94,0.165)</f>
        <v>0</v>
      </c>
      <c r="P95" s="7">
        <f>PERCENTILE($E$2:$E94,0.5)</f>
        <v>0</v>
      </c>
      <c r="Q95" s="7">
        <f>PERCENTILE($E$2:$E94,0.835)</f>
        <v>3</v>
      </c>
      <c r="R95" s="7">
        <f>PERCENTILE($E$2:$E94,0.975)</f>
        <v>3.7249999999999943</v>
      </c>
    </row>
    <row r="96" spans="1:18" x14ac:dyDescent="0.2">
      <c r="A96" s="5">
        <f>Data!E99</f>
        <v>1993</v>
      </c>
      <c r="B96" s="5">
        <f>Data!M99</f>
        <v>8.269230769230769E-2</v>
      </c>
      <c r="C96" s="5">
        <f>Data!N99</f>
        <v>1.9230769230769232E-2</v>
      </c>
      <c r="D96" s="5">
        <f ca="1">Data!O99</f>
        <v>28.394272714827164</v>
      </c>
      <c r="E96" s="1">
        <f>Data!AQ99</f>
        <v>3</v>
      </c>
      <c r="F96" t="str">
        <f t="shared" si="1"/>
        <v/>
      </c>
      <c r="G96" s="5">
        <f ca="1">AVERAGE(D$2:D95)</f>
        <v>218.48251016683571</v>
      </c>
      <c r="H96" s="5">
        <f ca="1">PERCENTILE(D$2:D95,0.025)</f>
        <v>3.4278402673873998E-2</v>
      </c>
      <c r="I96" s="5">
        <f ca="1">PERCENTILE(D$2:D95,0.165)</f>
        <v>0.20880104472675381</v>
      </c>
      <c r="J96" s="5">
        <f ca="1">PERCENTILE(D$2:D95,0.5)</f>
        <v>6.1344470912320155</v>
      </c>
      <c r="K96" s="5">
        <f ca="1">PERCENTILE(D$2:D95,0.835)</f>
        <v>121.26904703881208</v>
      </c>
      <c r="L96" s="5">
        <f ca="1">PERCENTILE(D$2:D95,0.975)</f>
        <v>2114.0897730475076</v>
      </c>
      <c r="M96" s="7">
        <f>AVERAGE(E$2:E95)</f>
        <v>0.76344086021505375</v>
      </c>
      <c r="N96" s="7">
        <f>PERCENTILE($E$2:$E95,0.025)</f>
        <v>0</v>
      </c>
      <c r="O96" s="7">
        <f>PERCENTILE($E$2:$E95,0.165)</f>
        <v>0</v>
      </c>
      <c r="P96" s="7">
        <f>PERCENTILE($E$2:$E95,0.5)</f>
        <v>0</v>
      </c>
      <c r="Q96" s="7">
        <f>PERCENTILE($E$2:$E95,0.835)</f>
        <v>3</v>
      </c>
      <c r="R96" s="7">
        <f>PERCENTILE($E$2:$E95,0.975)</f>
        <v>3.7000000000000028</v>
      </c>
    </row>
    <row r="97" spans="1:18" x14ac:dyDescent="0.2">
      <c r="A97" s="5">
        <f>Data!E100</f>
        <v>1993</v>
      </c>
      <c r="B97" s="5">
        <f>Data!M100</f>
        <v>8.269230769230769E-2</v>
      </c>
      <c r="C97" s="5">
        <f>Data!N100</f>
        <v>1.9230769230769232E-2</v>
      </c>
      <c r="D97" s="5">
        <f ca="1">Data!O100</f>
        <v>29.045517501864481</v>
      </c>
      <c r="E97" s="1">
        <f>Data!AQ100</f>
        <v>3</v>
      </c>
      <c r="F97" t="str">
        <f t="shared" si="1"/>
        <v/>
      </c>
      <c r="G97" s="5">
        <f ca="1">AVERAGE(D$2:D96)</f>
        <v>216.48158135155143</v>
      </c>
      <c r="H97" s="5">
        <f ca="1">PERCENTILE(D$2:D96,0.025)</f>
        <v>3.4476543729792343E-2</v>
      </c>
      <c r="I97" s="5">
        <f ca="1">PERCENTILE(D$2:D96,0.165)</f>
        <v>0.21010877569581493</v>
      </c>
      <c r="J97" s="5">
        <f ca="1">PERCENTILE(D$2:D96,0.5)</f>
        <v>6.6575394788564513</v>
      </c>
      <c r="K97" s="5">
        <f ca="1">PERCENTILE(D$2:D96,0.835)</f>
        <v>118.27255026268836</v>
      </c>
      <c r="L97" s="5">
        <f ca="1">PERCENTILE(D$2:D96,0.975)</f>
        <v>2084.356726196394</v>
      </c>
      <c r="M97" s="7">
        <f>AVERAGE(E$2:E96)</f>
        <v>0.78723404255319152</v>
      </c>
      <c r="N97" s="7">
        <f>PERCENTILE($E$2:$E96,0.025)</f>
        <v>0</v>
      </c>
      <c r="O97" s="7">
        <f>PERCENTILE($E$2:$E96,0.165)</f>
        <v>0</v>
      </c>
      <c r="P97" s="7">
        <f>PERCENTILE($E$2:$E96,0.5)</f>
        <v>0</v>
      </c>
      <c r="Q97" s="7">
        <f>PERCENTILE($E$2:$E96,0.835)</f>
        <v>3</v>
      </c>
      <c r="R97" s="7">
        <f>PERCENTILE($E$2:$E96,0.975)</f>
        <v>3.6749999999999972</v>
      </c>
    </row>
    <row r="98" spans="1:18" x14ac:dyDescent="0.2">
      <c r="A98" s="5">
        <f>Data!E101</f>
        <v>1993</v>
      </c>
      <c r="B98" s="5">
        <f>Data!M101</f>
        <v>8.269230769230769E-2</v>
      </c>
      <c r="C98" s="5">
        <f>Data!N101</f>
        <v>1.9230769230769232E-2</v>
      </c>
      <c r="D98" s="5">
        <f ca="1">Data!O101</f>
        <v>29.045517501864481</v>
      </c>
      <c r="E98" s="1">
        <f>Data!AQ101</f>
        <v>3</v>
      </c>
      <c r="F98" t="str">
        <f t="shared" si="1"/>
        <v/>
      </c>
      <c r="G98" s="5">
        <f ca="1">AVERAGE(D$2:D97)</f>
        <v>214.52912235311717</v>
      </c>
      <c r="H98" s="5">
        <f ca="1">PERCENTILE(D$2:D97,0.025)</f>
        <v>3.4674684785710688E-2</v>
      </c>
      <c r="I98" s="5">
        <f ca="1">PERCENTILE(D$2:D97,0.165)</f>
        <v>0.21141650666487602</v>
      </c>
      <c r="J98" s="5">
        <f ca="1">PERCENTILE(D$2:D97,0.5)</f>
        <v>6.9106160681334874</v>
      </c>
      <c r="K98" s="5">
        <f ca="1">PERCENTILE(D$2:D97,0.835)</f>
        <v>115.27605348656489</v>
      </c>
      <c r="L98" s="5">
        <f ca="1">PERCENTILE(D$2:D97,0.975)</f>
        <v>2054.6236793452968</v>
      </c>
      <c r="M98" s="7">
        <f>AVERAGE(E$2:E97)</f>
        <v>0.81052631578947365</v>
      </c>
      <c r="N98" s="7">
        <f>PERCENTILE($E$2:$E97,0.025)</f>
        <v>0</v>
      </c>
      <c r="O98" s="7">
        <f>PERCENTILE($E$2:$E97,0.165)</f>
        <v>0</v>
      </c>
      <c r="P98" s="7">
        <f>PERCENTILE($E$2:$E97,0.5)</f>
        <v>0</v>
      </c>
      <c r="Q98" s="7">
        <f>PERCENTILE($E$2:$E97,0.835)</f>
        <v>3</v>
      </c>
      <c r="R98" s="7">
        <f>PERCENTILE($E$2:$E97,0.975)</f>
        <v>3.6499999999999915</v>
      </c>
    </row>
    <row r="99" spans="1:18" x14ac:dyDescent="0.2">
      <c r="A99" s="5">
        <f>Data!E102</f>
        <v>1993</v>
      </c>
      <c r="B99" s="5">
        <f>Data!M102</f>
        <v>8.269230769230769E-2</v>
      </c>
      <c r="C99" s="5">
        <f>Data!N102</f>
        <v>1.9230769230769232E-2</v>
      </c>
      <c r="D99" s="5">
        <f ca="1">Data!O102</f>
        <v>29.175766459271944</v>
      </c>
      <c r="E99" s="1">
        <f>Data!AQ102</f>
        <v>3</v>
      </c>
      <c r="F99" t="str">
        <f t="shared" si="1"/>
        <v/>
      </c>
      <c r="G99" s="5">
        <f ca="1">AVERAGE(D$2:D98)</f>
        <v>212.61692024124861</v>
      </c>
      <c r="H99" s="5">
        <f ca="1">PERCENTILE(D$2:D98,0.025)</f>
        <v>3.487282584162904E-2</v>
      </c>
      <c r="I99" s="5">
        <f ca="1">PERCENTILE(D$2:D98,0.165)</f>
        <v>0.21272423763393711</v>
      </c>
      <c r="J99" s="5">
        <f ca="1">PERCENTILE(D$2:D98,0.5)</f>
        <v>7.1636926574105226</v>
      </c>
      <c r="K99" s="5">
        <f ca="1">PERCENTILE(D$2:D98,0.835)</f>
        <v>112.27955671044117</v>
      </c>
      <c r="L99" s="5">
        <f ca="1">PERCENTILE(D$2:D98,0.975)</f>
        <v>2024.8906324941831</v>
      </c>
      <c r="M99" s="7">
        <f>AVERAGE(E$2:E98)</f>
        <v>0.83333333333333337</v>
      </c>
      <c r="N99" s="7">
        <f>PERCENTILE($E$2:$E98,0.025)</f>
        <v>0</v>
      </c>
      <c r="O99" s="7">
        <f>PERCENTILE($E$2:$E98,0.165)</f>
        <v>0</v>
      </c>
      <c r="P99" s="7">
        <f>PERCENTILE($E$2:$E98,0.5)</f>
        <v>0</v>
      </c>
      <c r="Q99" s="7">
        <f>PERCENTILE($E$2:$E98,0.835)</f>
        <v>3</v>
      </c>
      <c r="R99" s="7">
        <f>PERCENTILE($E$2:$E98,0.975)</f>
        <v>3.625</v>
      </c>
    </row>
    <row r="100" spans="1:18" x14ac:dyDescent="0.2">
      <c r="A100" s="5">
        <f>Data!E103</f>
        <v>1993</v>
      </c>
      <c r="B100" s="5">
        <f>Data!M103</f>
        <v>8.269230769230769E-2</v>
      </c>
      <c r="C100" s="5">
        <f>Data!N103</f>
        <v>1.9230769230769232E-2</v>
      </c>
      <c r="D100" s="5">
        <f ca="1">Data!O103</f>
        <v>75.023399466699303</v>
      </c>
      <c r="E100" s="1">
        <f>Data!AQ103</f>
        <v>3</v>
      </c>
      <c r="F100" t="str">
        <f t="shared" si="1"/>
        <v/>
      </c>
      <c r="G100" s="5">
        <f ca="1">AVERAGE(D$2:D99)</f>
        <v>210.74507173326927</v>
      </c>
      <c r="H100" s="5">
        <f ca="1">PERCENTILE(D$2:D99,0.025)</f>
        <v>3.5070966897547386E-2</v>
      </c>
      <c r="I100" s="5">
        <f ca="1">PERCENTILE(D$2:D99,0.165)</f>
        <v>0.2141112250253655</v>
      </c>
      <c r="J100" s="5">
        <f ca="1">PERCENTILE(D$2:D99,0.5)</f>
        <v>7.1729118551855997</v>
      </c>
      <c r="K100" s="5">
        <f ca="1">PERCENTILE(D$2:D99,0.835)</f>
        <v>109.19078053125853</v>
      </c>
      <c r="L100" s="5">
        <f ca="1">PERCENTILE(D$2:D99,0.975)</f>
        <v>1995.1575856430859</v>
      </c>
      <c r="M100" s="7">
        <f>AVERAGE(E$2:E99)</f>
        <v>0.85567010309278346</v>
      </c>
      <c r="N100" s="7">
        <f>PERCENTILE($E$2:$E99,0.025)</f>
        <v>0</v>
      </c>
      <c r="O100" s="7">
        <f>PERCENTILE($E$2:$E99,0.165)</f>
        <v>0</v>
      </c>
      <c r="P100" s="7">
        <f>PERCENTILE($E$2:$E99,0.5)</f>
        <v>0</v>
      </c>
      <c r="Q100" s="7">
        <f>PERCENTILE($E$2:$E99,0.835)</f>
        <v>3</v>
      </c>
      <c r="R100" s="7">
        <f>PERCENTILE($E$2:$E99,0.975)</f>
        <v>3.5999999999999943</v>
      </c>
    </row>
    <row r="101" spans="1:18" x14ac:dyDescent="0.2">
      <c r="A101" s="5">
        <f>Data!E104</f>
        <v>1993</v>
      </c>
      <c r="B101" s="5">
        <f>Data!M104</f>
        <v>8.269230769230769E-2</v>
      </c>
      <c r="C101" s="5">
        <f>Data!N104</f>
        <v>1.9230769230769232E-2</v>
      </c>
      <c r="D101" s="5">
        <f ca="1">Data!O104</f>
        <v>51.578587133355768</v>
      </c>
      <c r="E101" s="1">
        <f>Data!AQ104</f>
        <v>3</v>
      </c>
      <c r="F101" t="str">
        <f t="shared" si="1"/>
        <v/>
      </c>
      <c r="G101" s="5">
        <f ca="1">AVERAGE(D$2:D100)</f>
        <v>209.37414575077867</v>
      </c>
      <c r="H101" s="5">
        <f ca="1">PERCENTILE(D$2:D100,0.025)</f>
        <v>3.5269107953465731E-2</v>
      </c>
      <c r="I101" s="5">
        <f ca="1">PERCENTILE(D$2:D100,0.165)</f>
        <v>0.21803441793254885</v>
      </c>
      <c r="J101" s="5">
        <f ca="1">PERCENTILE(D$2:D100,0.5)</f>
        <v>7.1821310529606759</v>
      </c>
      <c r="K101" s="5">
        <f ca="1">PERCENTILE(D$2:D100,0.835)</f>
        <v>103.5342840888886</v>
      </c>
      <c r="L101" s="5">
        <f ca="1">PERCENTILE(D$2:D100,0.975)</f>
        <v>1965.4245387919723</v>
      </c>
      <c r="M101" s="7">
        <f>AVERAGE(E$2:E100)</f>
        <v>0.87755102040816324</v>
      </c>
      <c r="N101" s="7">
        <f>PERCENTILE($E$2:$E100,0.025)</f>
        <v>0</v>
      </c>
      <c r="O101" s="7">
        <f>PERCENTILE($E$2:$E100,0.165)</f>
        <v>0</v>
      </c>
      <c r="P101" s="7">
        <f>PERCENTILE($E$2:$E100,0.5)</f>
        <v>0</v>
      </c>
      <c r="Q101" s="7">
        <f>PERCENTILE($E$2:$E100,0.835)</f>
        <v>3</v>
      </c>
      <c r="R101" s="7">
        <f>PERCENTILE($E$2:$E100,0.975)</f>
        <v>3.5750000000000028</v>
      </c>
    </row>
    <row r="102" spans="1:18" x14ac:dyDescent="0.2">
      <c r="A102" s="5">
        <f>Data!E105</f>
        <v>1993</v>
      </c>
      <c r="B102" s="5">
        <f>Data!M105</f>
        <v>8.269230769230769E-2</v>
      </c>
      <c r="C102" s="5">
        <f>Data!N105</f>
        <v>1.9230769230769232E-2</v>
      </c>
      <c r="D102" s="5">
        <f ca="1">Data!O105</f>
        <v>42.330911157425817</v>
      </c>
      <c r="E102" s="1">
        <f>Data!AQ105</f>
        <v>3</v>
      </c>
      <c r="F102" t="str">
        <f t="shared" si="1"/>
        <v/>
      </c>
      <c r="G102" s="5">
        <f ca="1">AVERAGE(D$2:D101)</f>
        <v>207.79619016460444</v>
      </c>
      <c r="H102" s="5">
        <f ca="1">PERCENTILE(D$2:D101,0.025)</f>
        <v>3.5467249009384076E-2</v>
      </c>
      <c r="I102" s="5">
        <f ca="1">PERCENTILE(D$2:D101,0.165)</f>
        <v>0.22195761083973209</v>
      </c>
      <c r="J102" s="5">
        <f ca="1">PERCENTILE(D$2:D101,0.5)</f>
        <v>8.9013736580313356</v>
      </c>
      <c r="K102" s="5">
        <f ca="1">PERCENTILE(D$2:D101,0.835)</f>
        <v>97.866457627850735</v>
      </c>
      <c r="L102" s="5">
        <f ca="1">PERCENTILE(D$2:D101,0.975)</f>
        <v>1935.6914919408582</v>
      </c>
      <c r="M102" s="7">
        <f>AVERAGE(E$2:E101)</f>
        <v>0.89898989898989901</v>
      </c>
      <c r="N102" s="7">
        <f>PERCENTILE($E$2:$E101,0.025)</f>
        <v>0</v>
      </c>
      <c r="O102" s="7">
        <f>PERCENTILE($E$2:$E101,0.165)</f>
        <v>0</v>
      </c>
      <c r="P102" s="7">
        <f>PERCENTILE($E$2:$E101,0.5)</f>
        <v>0</v>
      </c>
      <c r="Q102" s="7">
        <f>PERCENTILE($E$2:$E101,0.835)</f>
        <v>3</v>
      </c>
      <c r="R102" s="7">
        <f>PERCENTILE($E$2:$E101,0.975)</f>
        <v>3.5499999999999972</v>
      </c>
    </row>
    <row r="103" spans="1:18" x14ac:dyDescent="0.2">
      <c r="A103" s="5">
        <f>Data!E106</f>
        <v>1993</v>
      </c>
      <c r="B103" s="5">
        <f>Data!M106</f>
        <v>8.269230769230769E-2</v>
      </c>
      <c r="C103" s="5">
        <f>Data!N106</f>
        <v>1.9230769230769232E-2</v>
      </c>
      <c r="D103" s="5">
        <f ca="1">Data!O106</f>
        <v>67.599208894473847</v>
      </c>
      <c r="E103" s="1">
        <f>Data!AQ106</f>
        <v>3</v>
      </c>
      <c r="F103" t="str">
        <f t="shared" si="1"/>
        <v/>
      </c>
      <c r="G103" s="5">
        <f ca="1">AVERAGE(D$2:D102)</f>
        <v>206.15792007542447</v>
      </c>
      <c r="H103" s="5">
        <f ca="1">PERCENTILE(D$2:D102,0.025)</f>
        <v>3.5665390065302421E-2</v>
      </c>
      <c r="I103" s="5">
        <f ca="1">PERCENTILE(D$2:D102,0.165)</f>
        <v>0.22588080374691533</v>
      </c>
      <c r="J103" s="5">
        <f ca="1">PERCENTILE(D$2:D102,0.5)</f>
        <v>10.620616263101994</v>
      </c>
      <c r="K103" s="5">
        <f ca="1">PERCENTILE(D$2:D102,0.835)</f>
        <v>92.198631166813371</v>
      </c>
      <c r="L103" s="5">
        <f ca="1">PERCENTILE(D$2:D102,0.975)</f>
        <v>1905.9584450897614</v>
      </c>
      <c r="M103" s="7">
        <f>AVERAGE(E$2:E102)</f>
        <v>0.92</v>
      </c>
      <c r="N103" s="7">
        <f>PERCENTILE($E$2:$E102,0.025)</f>
        <v>0</v>
      </c>
      <c r="O103" s="7">
        <f>PERCENTILE($E$2:$E102,0.165)</f>
        <v>0</v>
      </c>
      <c r="P103" s="7">
        <f>PERCENTILE($E$2:$E102,0.5)</f>
        <v>0</v>
      </c>
      <c r="Q103" s="7">
        <f>PERCENTILE($E$2:$E102,0.835)</f>
        <v>3</v>
      </c>
      <c r="R103" s="7">
        <f>PERCENTILE($E$2:$E102,0.975)</f>
        <v>3.5249999999999915</v>
      </c>
    </row>
    <row r="104" spans="1:18" x14ac:dyDescent="0.2">
      <c r="A104" s="5">
        <f>Data!E107</f>
        <v>1993</v>
      </c>
      <c r="B104" s="5">
        <f>Data!M107</f>
        <v>8.269230769230769E-2</v>
      </c>
      <c r="C104" s="5">
        <f>Data!N107</f>
        <v>1.9230769230769232E-2</v>
      </c>
      <c r="D104" s="5">
        <f ca="1">Data!O107</f>
        <v>32.301741437051085</v>
      </c>
      <c r="E104" s="1">
        <f>Data!AQ107</f>
        <v>3</v>
      </c>
      <c r="F104" t="str">
        <f t="shared" si="1"/>
        <v/>
      </c>
      <c r="G104" s="5">
        <f ca="1">AVERAGE(D$2:D103)</f>
        <v>204.79950133835632</v>
      </c>
      <c r="H104" s="5">
        <f ca="1">PERCENTILE(D$2:D103,0.025)</f>
        <v>3.5863531121220774E-2</v>
      </c>
      <c r="I104" s="5">
        <f ca="1">PERCENTILE(D$2:D103,0.165)</f>
        <v>0.22980399665409856</v>
      </c>
      <c r="J104" s="5">
        <f ca="1">PERCENTILE(D$2:D103,0.5)</f>
        <v>10.747298705950433</v>
      </c>
      <c r="K104" s="5">
        <f ca="1">PERCENTILE(D$2:D103,0.835)</f>
        <v>86.530804705775509</v>
      </c>
      <c r="L104" s="5">
        <f ca="1">PERCENTILE(D$2:D103,0.975)</f>
        <v>1876.2253982386474</v>
      </c>
      <c r="M104" s="7">
        <f>AVERAGE(E$2:E103)</f>
        <v>0.94059405940594054</v>
      </c>
      <c r="N104" s="7">
        <f>PERCENTILE($E$2:$E103,0.025)</f>
        <v>0</v>
      </c>
      <c r="O104" s="7">
        <f>PERCENTILE($E$2:$E103,0.165)</f>
        <v>0</v>
      </c>
      <c r="P104" s="7">
        <f>PERCENTILE($E$2:$E103,0.5)</f>
        <v>0</v>
      </c>
      <c r="Q104" s="7">
        <f>PERCENTILE($E$2:$E103,0.835)</f>
        <v>3</v>
      </c>
      <c r="R104" s="7">
        <f>PERCENTILE($E$2:$E103,0.975)</f>
        <v>3.5</v>
      </c>
    </row>
    <row r="105" spans="1:18" x14ac:dyDescent="0.2">
      <c r="A105" s="5">
        <f>Data!E108</f>
        <v>1993</v>
      </c>
      <c r="B105" s="5">
        <f>Data!M108</f>
        <v>8.269230769230769E-2</v>
      </c>
      <c r="C105" s="5">
        <f>Data!N108</f>
        <v>1.9230769230769232E-2</v>
      </c>
      <c r="D105" s="5">
        <f ca="1">Data!O108</f>
        <v>32.692488309273479</v>
      </c>
      <c r="E105" s="1">
        <f>Data!AQ108</f>
        <v>3</v>
      </c>
      <c r="F105" t="str">
        <f t="shared" si="1"/>
        <v/>
      </c>
      <c r="G105" s="5">
        <f ca="1">AVERAGE(D$2:D104)</f>
        <v>203.12476580533394</v>
      </c>
      <c r="H105" s="5">
        <f ca="1">PERCENTILE(D$2:D104,0.025)</f>
        <v>3.6061672177139119E-2</v>
      </c>
      <c r="I105" s="5">
        <f ca="1">PERCENTILE(D$2:D104,0.165)</f>
        <v>0.23372718956128191</v>
      </c>
      <c r="J105" s="5">
        <f ca="1">PERCENTILE(D$2:D104,0.5)</f>
        <v>10.873981148798872</v>
      </c>
      <c r="K105" s="5">
        <f ca="1">PERCENTILE(D$2:D104,0.835)</f>
        <v>80.862978244738144</v>
      </c>
      <c r="L105" s="5">
        <f ca="1">PERCENTILE(D$2:D104,0.975)</f>
        <v>1846.4923513875506</v>
      </c>
      <c r="M105" s="7">
        <f>AVERAGE(E$2:E104)</f>
        <v>0.96078431372549022</v>
      </c>
      <c r="N105" s="7">
        <f>PERCENTILE($E$2:$E104,0.025)</f>
        <v>0</v>
      </c>
      <c r="O105" s="7">
        <f>PERCENTILE($E$2:$E104,0.165)</f>
        <v>0</v>
      </c>
      <c r="P105" s="7">
        <f>PERCENTILE($E$2:$E104,0.5)</f>
        <v>0</v>
      </c>
      <c r="Q105" s="7">
        <f>PERCENTILE($E$2:$E104,0.835)</f>
        <v>3</v>
      </c>
      <c r="R105" s="7">
        <f>PERCENTILE($E$2:$E104,0.975)</f>
        <v>3.4749999999999943</v>
      </c>
    </row>
    <row r="106" spans="1:18" x14ac:dyDescent="0.2">
      <c r="A106" s="5">
        <f>Data!E109</f>
        <v>1993</v>
      </c>
      <c r="B106" s="5">
        <f>Data!M109</f>
        <v>8.269230769230769E-2</v>
      </c>
      <c r="C106" s="5">
        <f>Data!N109</f>
        <v>1.9230769230769232E-2</v>
      </c>
      <c r="D106" s="5">
        <f ca="1">Data!O109</f>
        <v>36.860454946312331</v>
      </c>
      <c r="E106" s="1">
        <f>Data!AQ109</f>
        <v>3</v>
      </c>
      <c r="F106" t="str">
        <f t="shared" si="1"/>
        <v/>
      </c>
      <c r="G106" s="5">
        <f ca="1">AVERAGE(D$2:D105)</f>
        <v>201.48599390633336</v>
      </c>
      <c r="H106" s="5">
        <f ca="1">PERCENTILE(D$2:D105,0.025)</f>
        <v>3.6259813233057464E-2</v>
      </c>
      <c r="I106" s="5">
        <f ca="1">PERCENTILE(D$2:D105,0.165)</f>
        <v>0.23765038246846515</v>
      </c>
      <c r="J106" s="5">
        <f ca="1">PERCENTILE(D$2:D105,0.5)</f>
        <v>11.372506369724693</v>
      </c>
      <c r="K106" s="5">
        <f ca="1">PERCENTILE(D$2:D105,0.835)</f>
        <v>75.195151783700283</v>
      </c>
      <c r="L106" s="5">
        <f ca="1">PERCENTILE(D$2:D105,0.975)</f>
        <v>1816.7593045364365</v>
      </c>
      <c r="M106" s="7">
        <f>AVERAGE(E$2:E105)</f>
        <v>0.98058252427184467</v>
      </c>
      <c r="N106" s="7">
        <f>PERCENTILE($E$2:$E105,0.025)</f>
        <v>0</v>
      </c>
      <c r="O106" s="7">
        <f>PERCENTILE($E$2:$E105,0.165)</f>
        <v>0</v>
      </c>
      <c r="P106" s="7">
        <f>PERCENTILE($E$2:$E105,0.5)</f>
        <v>0</v>
      </c>
      <c r="Q106" s="7">
        <f>PERCENTILE($E$2:$E105,0.835)</f>
        <v>3</v>
      </c>
      <c r="R106" s="7">
        <f>PERCENTILE($E$2:$E105,0.975)</f>
        <v>3.4500000000000028</v>
      </c>
    </row>
    <row r="107" spans="1:18" x14ac:dyDescent="0.2">
      <c r="A107" s="5">
        <f>Data!E110</f>
        <v>1993</v>
      </c>
      <c r="B107" s="5">
        <f>Data!M110</f>
        <v>8.269230769230769E-2</v>
      </c>
      <c r="C107" s="5">
        <f>Data!N110</f>
        <v>1.9230769230769232E-2</v>
      </c>
      <c r="D107" s="5">
        <f ca="1">Data!O110</f>
        <v>16.411368633340469</v>
      </c>
      <c r="E107" s="1" t="str">
        <f>Data!AQ110</f>
        <v>NA</v>
      </c>
      <c r="F107" t="str">
        <f t="shared" si="1"/>
        <v/>
      </c>
      <c r="G107" s="5">
        <f ca="1">AVERAGE(D$2:D106)</f>
        <v>199.91813163052365</v>
      </c>
      <c r="H107" s="5">
        <f ca="1">PERCENTILE(D$2:D106,0.025)</f>
        <v>3.6457954288975816E-2</v>
      </c>
      <c r="I107" s="5">
        <f ca="1">PERCENTILE(D$2:D106,0.165)</f>
        <v>0.23903736985989354</v>
      </c>
      <c r="J107" s="5">
        <f ca="1">PERCENTILE(D$2:D106,0.5)</f>
        <v>11.871031590650512</v>
      </c>
      <c r="K107" s="5">
        <f ca="1">PERCENTILE(D$2:D106,0.835)</f>
        <v>74.660838869342129</v>
      </c>
      <c r="L107" s="5">
        <f ca="1">PERCENTILE(D$2:D106,0.975)</f>
        <v>1787.0262576853227</v>
      </c>
      <c r="M107" s="7">
        <f>AVERAGE(E$2:E106)</f>
        <v>1</v>
      </c>
      <c r="N107" s="7">
        <f>PERCENTILE($E$2:$E106,0.025)</f>
        <v>0</v>
      </c>
      <c r="O107" s="7">
        <f>PERCENTILE($E$2:$E106,0.165)</f>
        <v>0</v>
      </c>
      <c r="P107" s="7">
        <f>PERCENTILE($E$2:$E106,0.5)</f>
        <v>0</v>
      </c>
      <c r="Q107" s="7">
        <f>PERCENTILE($E$2:$E106,0.835)</f>
        <v>3</v>
      </c>
      <c r="R107" s="7">
        <f>PERCENTILE($E$2:$E106,0.975)</f>
        <v>3.4249999999999972</v>
      </c>
    </row>
    <row r="108" spans="1:18" x14ac:dyDescent="0.2">
      <c r="A108" s="5">
        <f>Data!E111</f>
        <v>1993</v>
      </c>
      <c r="B108" s="5">
        <f>Data!M111</f>
        <v>8.269230769230769E-2</v>
      </c>
      <c r="C108" s="5">
        <f>Data!N111</f>
        <v>1.9230769230769232E-2</v>
      </c>
      <c r="D108" s="5">
        <f ca="1">Data!O111</f>
        <v>58.481781875951356</v>
      </c>
      <c r="E108" s="1" t="str">
        <f>Data!AQ111</f>
        <v>NA</v>
      </c>
      <c r="F108" t="str">
        <f t="shared" si="1"/>
        <v/>
      </c>
      <c r="G108" s="5">
        <f ca="1">AVERAGE(D$2:D107)</f>
        <v>198.1869357531917</v>
      </c>
      <c r="H108" s="5">
        <f ca="1">PERCENTILE(D$2:D107,0.025)</f>
        <v>3.6656095344894161E-2</v>
      </c>
      <c r="I108" s="5">
        <f ca="1">PERCENTILE(D$2:D107,0.165)</f>
        <v>0.24034510082895463</v>
      </c>
      <c r="J108" s="5">
        <f ca="1">PERCENTILE(D$2:D107,0.5)</f>
        <v>12.497947567340901</v>
      </c>
      <c r="K108" s="5">
        <f ca="1">PERCENTILE(D$2:D107,0.835)</f>
        <v>74.286948253317533</v>
      </c>
      <c r="L108" s="5">
        <f ca="1">PERCENTILE(D$2:D107,0.975)</f>
        <v>1757.2932108342256</v>
      </c>
      <c r="M108" s="7">
        <f>AVERAGE(E$2:E107)</f>
        <v>1</v>
      </c>
      <c r="N108" s="7">
        <f>PERCENTILE($E$2:$E107,0.025)</f>
        <v>0</v>
      </c>
      <c r="O108" s="7">
        <f>PERCENTILE($E$2:$E107,0.165)</f>
        <v>0</v>
      </c>
      <c r="P108" s="7">
        <f>PERCENTILE($E$2:$E107,0.5)</f>
        <v>0</v>
      </c>
      <c r="Q108" s="7">
        <f>PERCENTILE($E$2:$E107,0.835)</f>
        <v>3</v>
      </c>
      <c r="R108" s="7">
        <f>PERCENTILE($E$2:$E107,0.975)</f>
        <v>3.4249999999999972</v>
      </c>
    </row>
    <row r="109" spans="1:18" x14ac:dyDescent="0.2">
      <c r="A109" s="5">
        <f>Data!E112</f>
        <v>1993</v>
      </c>
      <c r="B109" s="5">
        <f>Data!M112</f>
        <v>0.66</v>
      </c>
      <c r="C109" s="5">
        <f>Data!N112</f>
        <v>0.2</v>
      </c>
      <c r="D109" s="5">
        <f ca="1">Data!O112</f>
        <v>32.210731777416207</v>
      </c>
      <c r="E109" s="1">
        <f>Data!AQ112</f>
        <v>3</v>
      </c>
      <c r="F109" t="str">
        <f t="shared" si="1"/>
        <v/>
      </c>
      <c r="G109" s="5">
        <f ca="1">AVERAGE(D$2:D108)</f>
        <v>196.88128010947918</v>
      </c>
      <c r="H109" s="5">
        <f ca="1">PERCENTILE(D$2:D108,0.025)</f>
        <v>3.6854236400812507E-2</v>
      </c>
      <c r="I109" s="5">
        <f ca="1">PERCENTILE(D$2:D108,0.165)</f>
        <v>0.24165283179801575</v>
      </c>
      <c r="J109" s="5">
        <f ca="1">PERCENTILE(D$2:D108,0.5)</f>
        <v>13.124863544031291</v>
      </c>
      <c r="K109" s="5">
        <f ca="1">PERCENTILE(D$2:D108,0.835)</f>
        <v>73.913057637292923</v>
      </c>
      <c r="L109" s="5">
        <f ca="1">PERCENTILE(D$2:D108,0.975)</f>
        <v>1727.5601639831118</v>
      </c>
      <c r="M109" s="7">
        <f>AVERAGE(E$2:E108)</f>
        <v>1</v>
      </c>
      <c r="N109" s="7">
        <f>PERCENTILE($E$2:$E108,0.025)</f>
        <v>0</v>
      </c>
      <c r="O109" s="7">
        <f>PERCENTILE($E$2:$E108,0.165)</f>
        <v>0</v>
      </c>
      <c r="P109" s="7">
        <f>PERCENTILE($E$2:$E108,0.5)</f>
        <v>0</v>
      </c>
      <c r="Q109" s="7">
        <f>PERCENTILE($E$2:$E108,0.835)</f>
        <v>3</v>
      </c>
      <c r="R109" s="7">
        <f>PERCENTILE($E$2:$E108,0.975)</f>
        <v>3.4249999999999972</v>
      </c>
    </row>
    <row r="110" spans="1:18" x14ac:dyDescent="0.2">
      <c r="A110" s="5">
        <f>Data!E113</f>
        <v>1993</v>
      </c>
      <c r="B110" s="5">
        <f>Data!M113</f>
        <v>0.66</v>
      </c>
      <c r="C110" s="5">
        <f>Data!N113</f>
        <v>0.2</v>
      </c>
      <c r="D110" s="5">
        <f ca="1">Data!O113</f>
        <v>47.903139566413849</v>
      </c>
      <c r="E110" s="1">
        <f>Data!AQ113</f>
        <v>3</v>
      </c>
      <c r="F110" t="str">
        <f t="shared" si="1"/>
        <v/>
      </c>
      <c r="G110" s="5">
        <f ca="1">AVERAGE(D$2:D109)</f>
        <v>195.35655281010824</v>
      </c>
      <c r="H110" s="5">
        <f ca="1">PERCENTILE(D$2:D109,0.025)</f>
        <v>3.7052377456730852E-2</v>
      </c>
      <c r="I110" s="5">
        <f ca="1">PERCENTILE(D$2:D109,0.165)</f>
        <v>0.24296056276707684</v>
      </c>
      <c r="J110" s="5">
        <f ca="1">PERCENTILE(D$2:D109,0.5)</f>
        <v>13.530750993314971</v>
      </c>
      <c r="K110" s="5">
        <f ca="1">PERCENTILE(D$2:D109,0.835)</f>
        <v>73.539167021268355</v>
      </c>
      <c r="L110" s="5">
        <f ca="1">PERCENTILE(D$2:D109,0.975)</f>
        <v>1697.8271171320148</v>
      </c>
      <c r="M110" s="7">
        <f>AVERAGE(E$2:E109)</f>
        <v>1.019047619047619</v>
      </c>
      <c r="N110" s="7">
        <f>PERCENTILE($E$2:$E109,0.025)</f>
        <v>0</v>
      </c>
      <c r="O110" s="7">
        <f>PERCENTILE($E$2:$E109,0.165)</f>
        <v>0</v>
      </c>
      <c r="P110" s="7">
        <f>PERCENTILE($E$2:$E109,0.5)</f>
        <v>0</v>
      </c>
      <c r="Q110" s="7">
        <f>PERCENTILE($E$2:$E109,0.835)</f>
        <v>3</v>
      </c>
      <c r="R110" s="7">
        <f>PERCENTILE($E$2:$E109,0.975)</f>
        <v>3.3999999999999915</v>
      </c>
    </row>
    <row r="111" spans="1:18" x14ac:dyDescent="0.2">
      <c r="A111" s="5">
        <f>Data!E114</f>
        <v>1993</v>
      </c>
      <c r="B111" s="5">
        <f>Data!M114</f>
        <v>0.33</v>
      </c>
      <c r="C111" s="5">
        <f>Data!N114</f>
        <v>0.1</v>
      </c>
      <c r="D111" s="5">
        <f ca="1">Data!O114</f>
        <v>115.62826791892998</v>
      </c>
      <c r="E111" s="1">
        <f>Data!AQ114</f>
        <v>0</v>
      </c>
      <c r="F111" t="str">
        <f t="shared" si="1"/>
        <v/>
      </c>
      <c r="G111" s="5">
        <f ca="1">AVERAGE(D$2:D110)</f>
        <v>194.00376920236792</v>
      </c>
      <c r="H111" s="5">
        <f ca="1">PERCENTILE(D$2:D110,0.025)</f>
        <v>3.7250518512649197E-2</v>
      </c>
      <c r="I111" s="5">
        <f ca="1">PERCENTILE(D$2:D110,0.165)</f>
        <v>0.24426829373613793</v>
      </c>
      <c r="J111" s="5">
        <f ca="1">PERCENTILE(D$2:D110,0.5)</f>
        <v>13.936638442598651</v>
      </c>
      <c r="K111" s="5">
        <f ca="1">PERCENTILE(D$2:D110,0.835)</f>
        <v>73.165276405243745</v>
      </c>
      <c r="L111" s="5">
        <f ca="1">PERCENTILE(D$2:D110,0.975)</f>
        <v>1668.094070280901</v>
      </c>
      <c r="M111" s="7">
        <f>AVERAGE(E$2:E110)</f>
        <v>1.0377358490566038</v>
      </c>
      <c r="N111" s="7">
        <f>PERCENTILE($E$2:$E110,0.025)</f>
        <v>0</v>
      </c>
      <c r="O111" s="7">
        <f>PERCENTILE($E$2:$E110,0.165)</f>
        <v>0</v>
      </c>
      <c r="P111" s="7">
        <f>PERCENTILE($E$2:$E110,0.5)</f>
        <v>0</v>
      </c>
      <c r="Q111" s="7">
        <f>PERCENTILE($E$2:$E110,0.835)</f>
        <v>3</v>
      </c>
      <c r="R111" s="7">
        <f>PERCENTILE($E$2:$E110,0.975)</f>
        <v>3.375</v>
      </c>
    </row>
    <row r="112" spans="1:18" x14ac:dyDescent="0.2">
      <c r="A112" s="5">
        <f>Data!E115</f>
        <v>1993</v>
      </c>
      <c r="B112" s="5">
        <f>Data!M115</f>
        <v>0.33</v>
      </c>
      <c r="C112" s="5">
        <f>Data!N115</f>
        <v>0.1</v>
      </c>
      <c r="D112" s="5">
        <f ca="1">Data!O115</f>
        <v>99.109943930511406</v>
      </c>
      <c r="E112" s="1">
        <f>Data!AQ115</f>
        <v>0</v>
      </c>
      <c r="F112" t="str">
        <f t="shared" si="1"/>
        <v/>
      </c>
      <c r="G112" s="5">
        <f ca="1">AVERAGE(D$2:D111)</f>
        <v>193.29126464524578</v>
      </c>
      <c r="H112" s="5">
        <f ca="1">PERCENTILE(D$2:D111,0.025)</f>
        <v>3.7448659568567549E-2</v>
      </c>
      <c r="I112" s="5">
        <f ca="1">PERCENTILE(D$2:D111,0.165)</f>
        <v>0.24557602470519901</v>
      </c>
      <c r="J112" s="5">
        <f ca="1">PERCENTILE(D$2:D111,0.5)</f>
        <v>14.315389574751624</v>
      </c>
      <c r="K112" s="5">
        <f ca="1">PERCENTILE(D$2:D111,0.835)</f>
        <v>75.53865641770274</v>
      </c>
      <c r="L112" s="5">
        <f ca="1">PERCENTILE(D$2:D111,0.975)</f>
        <v>1638.3610234297871</v>
      </c>
      <c r="M112" s="7">
        <f>AVERAGE(E$2:E111)</f>
        <v>1.02803738317757</v>
      </c>
      <c r="N112" s="7">
        <f>PERCENTILE($E$2:$E111,0.025)</f>
        <v>0</v>
      </c>
      <c r="O112" s="7">
        <f>PERCENTILE($E$2:$E111,0.165)</f>
        <v>0</v>
      </c>
      <c r="P112" s="7">
        <f>PERCENTILE($E$2:$E111,0.5)</f>
        <v>0</v>
      </c>
      <c r="Q112" s="7">
        <f>PERCENTILE($E$2:$E111,0.835)</f>
        <v>3</v>
      </c>
      <c r="R112" s="7">
        <f>PERCENTILE($E$2:$E111,0.975)</f>
        <v>3.3499999999999943</v>
      </c>
    </row>
    <row r="113" spans="1:18" x14ac:dyDescent="0.2">
      <c r="A113" s="5">
        <f>Data!E116</f>
        <v>1993</v>
      </c>
      <c r="B113" s="5">
        <f>Data!M116</f>
        <v>0.33</v>
      </c>
      <c r="C113" s="5">
        <f>Data!N116</f>
        <v>0.1</v>
      </c>
      <c r="D113" s="5">
        <f ca="1">Data!O116</f>
        <v>18.170156387260427</v>
      </c>
      <c r="E113" s="1">
        <f>Data!AQ116</f>
        <v>6</v>
      </c>
      <c r="F113" t="str">
        <f t="shared" si="1"/>
        <v/>
      </c>
      <c r="G113" s="5">
        <f ca="1">AVERAGE(D$2:D112)</f>
        <v>192.44278427844637</v>
      </c>
      <c r="H113" s="5">
        <f ca="1">PERCENTILE(D$2:D112,0.025)</f>
        <v>3.7646800624485895E-2</v>
      </c>
      <c r="I113" s="5">
        <f ca="1">PERCENTILE(D$2:D112,0.165)</f>
        <v>0.25163914101630053</v>
      </c>
      <c r="J113" s="5">
        <f ca="1">PERCENTILE(D$2:D112,0.5)</f>
        <v>14.694140706904598</v>
      </c>
      <c r="K113" s="5">
        <f ca="1">PERCENTILE(D$2:D112,0.835)</f>
        <v>95.496962260939455</v>
      </c>
      <c r="L113" s="5">
        <f ca="1">PERCENTILE(D$2:D112,0.975)</f>
        <v>1608.6279765786901</v>
      </c>
      <c r="M113" s="7">
        <f>AVERAGE(E$2:E112)</f>
        <v>1.0185185185185186</v>
      </c>
      <c r="N113" s="7">
        <f>PERCENTILE($E$2:$E112,0.025)</f>
        <v>0</v>
      </c>
      <c r="O113" s="7">
        <f>PERCENTILE($E$2:$E112,0.165)</f>
        <v>0</v>
      </c>
      <c r="P113" s="7">
        <f>PERCENTILE($E$2:$E112,0.5)</f>
        <v>0</v>
      </c>
      <c r="Q113" s="7">
        <f>PERCENTILE($E$2:$E112,0.835)</f>
        <v>3</v>
      </c>
      <c r="R113" s="7">
        <f>PERCENTILE($E$2:$E112,0.975)</f>
        <v>3.3250000000000028</v>
      </c>
    </row>
    <row r="114" spans="1:18" x14ac:dyDescent="0.2">
      <c r="A114" s="5">
        <f>Data!E117</f>
        <v>1993</v>
      </c>
      <c r="B114" s="5">
        <f>Data!M117</f>
        <v>0.33</v>
      </c>
      <c r="C114" s="5">
        <f>Data!N117</f>
        <v>0.1</v>
      </c>
      <c r="D114" s="5">
        <f ca="1">Data!O117</f>
        <v>31.384815577995276</v>
      </c>
      <c r="E114" s="1">
        <f>Data!AQ117</f>
        <v>6</v>
      </c>
      <c r="F114" t="str">
        <f t="shared" si="1"/>
        <v/>
      </c>
      <c r="G114" s="5">
        <f ca="1">AVERAGE(D$2:D113)</f>
        <v>190.88677867227506</v>
      </c>
      <c r="H114" s="5">
        <f ca="1">PERCENTILE(D$2:D113,0.025)</f>
        <v>3.784494168040424E-2</v>
      </c>
      <c r="I114" s="5">
        <f ca="1">PERCENTILE(D$2:D113,0.165)</f>
        <v>0.25817779586160594</v>
      </c>
      <c r="J114" s="5">
        <f ca="1">PERCENTILE(D$2:D113,0.5)</f>
        <v>15.162007797900142</v>
      </c>
      <c r="K114" s="5">
        <f ca="1">PERCENTILE(D$2:D113,0.835)</f>
        <v>91.522682424410647</v>
      </c>
      <c r="L114" s="5">
        <f ca="1">PERCENTILE(D$2:D113,0.975)</f>
        <v>1578.8949297275763</v>
      </c>
      <c r="M114" s="7">
        <f>AVERAGE(E$2:E113)</f>
        <v>1.0642201834862386</v>
      </c>
      <c r="N114" s="7">
        <f>PERCENTILE($E$2:$E113,0.025)</f>
        <v>0</v>
      </c>
      <c r="O114" s="7">
        <f>PERCENTILE($E$2:$E113,0.165)</f>
        <v>0</v>
      </c>
      <c r="P114" s="7">
        <f>PERCENTILE($E$2:$E113,0.5)</f>
        <v>0</v>
      </c>
      <c r="Q114" s="7">
        <f>PERCENTILE($E$2:$E113,0.835)</f>
        <v>3</v>
      </c>
      <c r="R114" s="7">
        <f>PERCENTILE($E$2:$E113,0.975)</f>
        <v>4</v>
      </c>
    </row>
    <row r="115" spans="1:18" x14ac:dyDescent="0.2">
      <c r="A115" s="5">
        <f>Data!E118</f>
        <v>1993</v>
      </c>
      <c r="B115" s="5">
        <f>Data!M118</f>
        <v>0.33</v>
      </c>
      <c r="C115" s="5">
        <f>Data!N118</f>
        <v>0.1</v>
      </c>
      <c r="D115" s="5">
        <f ca="1">Data!O118</f>
        <v>42.121726170467348</v>
      </c>
      <c r="E115" s="1">
        <f>Data!AQ118</f>
        <v>3</v>
      </c>
      <c r="F115" t="str">
        <f t="shared" si="1"/>
        <v/>
      </c>
      <c r="G115" s="5">
        <f ca="1">AVERAGE(D$2:D114)</f>
        <v>189.47525687498054</v>
      </c>
      <c r="H115" s="5">
        <f ca="1">PERCENTILE(D$2:D114,0.025)</f>
        <v>3.8043082736322592E-2</v>
      </c>
      <c r="I115" s="5">
        <f ca="1">PERCENTILE(D$2:D114,0.165)</f>
        <v>0.2647164507069113</v>
      </c>
      <c r="J115" s="5">
        <f ca="1">PERCENTILE(D$2:D114,0.5)</f>
        <v>15.629874888895687</v>
      </c>
      <c r="K115" s="5">
        <f ca="1">PERCENTILE(D$2:D114,0.835)</f>
        <v>87.548402587881498</v>
      </c>
      <c r="L115" s="5">
        <f ca="1">PERCENTILE(D$2:D114,0.975)</f>
        <v>1549.1618828764792</v>
      </c>
      <c r="M115" s="7">
        <f>AVERAGE(E$2:E114)</f>
        <v>1.1090909090909091</v>
      </c>
      <c r="N115" s="7">
        <f>PERCENTILE($E$2:$E114,0.025)</f>
        <v>0</v>
      </c>
      <c r="O115" s="7">
        <f>PERCENTILE($E$2:$E114,0.165)</f>
        <v>0</v>
      </c>
      <c r="P115" s="7">
        <f>PERCENTILE($E$2:$E114,0.5)</f>
        <v>0</v>
      </c>
      <c r="Q115" s="7">
        <f>PERCENTILE($E$2:$E114,0.835)</f>
        <v>3</v>
      </c>
      <c r="R115" s="7">
        <f>PERCENTILE($E$2:$E114,0.975)</f>
        <v>4</v>
      </c>
    </row>
    <row r="116" spans="1:18" x14ac:dyDescent="0.2">
      <c r="A116" s="5">
        <f>Data!E119</f>
        <v>1993</v>
      </c>
      <c r="B116" s="5">
        <f>Data!M119</f>
        <v>0.33</v>
      </c>
      <c r="C116" s="5">
        <f>Data!N119</f>
        <v>0.1</v>
      </c>
      <c r="D116" s="5">
        <f ca="1">Data!O119</f>
        <v>50.380888164676627</v>
      </c>
      <c r="E116" s="1">
        <f>Data!AQ119</f>
        <v>3</v>
      </c>
      <c r="F116" t="str">
        <f t="shared" si="1"/>
        <v/>
      </c>
      <c r="G116" s="5">
        <f ca="1">AVERAGE(D$2:D115)</f>
        <v>188.18268204423919</v>
      </c>
      <c r="H116" s="5">
        <f ca="1">PERCENTILE(D$2:D115,0.025)</f>
        <v>3.8241223792240937E-2</v>
      </c>
      <c r="I116" s="5">
        <f ca="1">PERCENTILE(D$2:D115,0.165)</f>
        <v>0.27125510555221671</v>
      </c>
      <c r="J116" s="5">
        <f ca="1">PERCENTILE(D$2:D115,0.5)</f>
        <v>15.780399641774338</v>
      </c>
      <c r="K116" s="5">
        <f ca="1">PERCENTILE(D$2:D115,0.835)</f>
        <v>83.574122751352348</v>
      </c>
      <c r="L116" s="5">
        <f ca="1">PERCENTILE(D$2:D115,0.975)</f>
        <v>1519.4288360253654</v>
      </c>
      <c r="M116" s="7">
        <f>AVERAGE(E$2:E115)</f>
        <v>1.1261261261261262</v>
      </c>
      <c r="N116" s="7">
        <f>PERCENTILE($E$2:$E115,0.025)</f>
        <v>0</v>
      </c>
      <c r="O116" s="7">
        <f>PERCENTILE($E$2:$E115,0.165)</f>
        <v>0</v>
      </c>
      <c r="P116" s="7">
        <f>PERCENTILE($E$2:$E115,0.5)</f>
        <v>0</v>
      </c>
      <c r="Q116" s="7">
        <f>PERCENTILE($E$2:$E115,0.835)</f>
        <v>3</v>
      </c>
      <c r="R116" s="7">
        <f>PERCENTILE($E$2:$E115,0.975)</f>
        <v>4</v>
      </c>
    </row>
    <row r="117" spans="1:18" x14ac:dyDescent="0.2">
      <c r="A117" s="5">
        <f>Data!E120</f>
        <v>1994</v>
      </c>
      <c r="B117" s="5">
        <f>Data!M120</f>
        <v>5.4</v>
      </c>
      <c r="C117" s="5">
        <f>Data!N120</f>
        <v>1</v>
      </c>
      <c r="D117" s="5">
        <f ca="1">Data!O120</f>
        <v>46.86605628100358</v>
      </c>
      <c r="E117" s="1" t="str">
        <f>Data!AQ120</f>
        <v>NA</v>
      </c>
      <c r="F117">
        <f t="shared" si="1"/>
        <v>1994</v>
      </c>
      <c r="G117" s="5">
        <f ca="1">AVERAGE(D$2:D116)</f>
        <v>186.98440557572124</v>
      </c>
      <c r="H117" s="5">
        <f ca="1">PERCENTILE(D$2:D116,0.025)</f>
        <v>3.8439364848159283E-2</v>
      </c>
      <c r="I117" s="5">
        <f ca="1">PERCENTILE(D$2:D116,0.165)</f>
        <v>0.27779376039752229</v>
      </c>
      <c r="J117" s="5">
        <f ca="1">PERCENTILE(D$2:D116,0.5)</f>
        <v>15.93092439465299</v>
      </c>
      <c r="K117" s="5">
        <f ca="1">PERCENTILE(D$2:D116,0.835)</f>
        <v>79.59984291482354</v>
      </c>
      <c r="L117" s="5">
        <f ca="1">PERCENTILE(D$2:D116,0.975)</f>
        <v>1489.6957891742516</v>
      </c>
      <c r="M117" s="7">
        <f>AVERAGE(E$2:E116)</f>
        <v>1.1428571428571428</v>
      </c>
      <c r="N117" s="7">
        <f>PERCENTILE($E$2:$E116,0.025)</f>
        <v>0</v>
      </c>
      <c r="O117" s="7">
        <f>PERCENTILE($E$2:$E116,0.165)</f>
        <v>0</v>
      </c>
      <c r="P117" s="7">
        <f>PERCENTILE($E$2:$E116,0.5)</f>
        <v>0</v>
      </c>
      <c r="Q117" s="7">
        <f>PERCENTILE($E$2:$E116,0.835)</f>
        <v>3</v>
      </c>
      <c r="R117" s="7">
        <f>PERCENTILE($E$2:$E116,0.975)</f>
        <v>4</v>
      </c>
    </row>
    <row r="118" spans="1:18" x14ac:dyDescent="0.2">
      <c r="A118" s="5">
        <f>Data!E121</f>
        <v>1994</v>
      </c>
      <c r="B118" s="5">
        <f>Data!M121</f>
        <v>4.4000000000000004</v>
      </c>
      <c r="C118" s="5">
        <f>Data!N121</f>
        <v>1</v>
      </c>
      <c r="D118" s="5">
        <f ca="1">Data!O121</f>
        <v>11.65148024910456</v>
      </c>
      <c r="E118" s="1">
        <f>Data!AQ121</f>
        <v>3</v>
      </c>
      <c r="F118" t="str">
        <f t="shared" si="1"/>
        <v/>
      </c>
      <c r="G118" s="5">
        <f ca="1">AVERAGE(D$2:D117)</f>
        <v>185.77648877145646</v>
      </c>
      <c r="H118" s="5">
        <f ca="1">PERCENTILE(D$2:D117,0.025)</f>
        <v>3.8637505904077628E-2</v>
      </c>
      <c r="I118" s="5">
        <f ca="1">PERCENTILE(D$2:D117,0.165)</f>
        <v>0.28433241524282771</v>
      </c>
      <c r="J118" s="5">
        <f ca="1">PERCENTILE(D$2:D117,0.5)</f>
        <v>16.171146513996732</v>
      </c>
      <c r="K118" s="5">
        <f ca="1">PERCENTILE(D$2:D117,0.835)</f>
        <v>75.625563078294405</v>
      </c>
      <c r="L118" s="5">
        <f ca="1">PERCENTILE(D$2:D117,0.975)</f>
        <v>1459.9627423231545</v>
      </c>
      <c r="M118" s="7">
        <f>AVERAGE(E$2:E117)</f>
        <v>1.1428571428571428</v>
      </c>
      <c r="N118" s="7">
        <f>PERCENTILE($E$2:$E117,0.025)</f>
        <v>0</v>
      </c>
      <c r="O118" s="7">
        <f>PERCENTILE($E$2:$E117,0.165)</f>
        <v>0</v>
      </c>
      <c r="P118" s="7">
        <f>PERCENTILE($E$2:$E117,0.5)</f>
        <v>0</v>
      </c>
      <c r="Q118" s="7">
        <f>PERCENTILE($E$2:$E117,0.835)</f>
        <v>3</v>
      </c>
      <c r="R118" s="7">
        <f>PERCENTILE($E$2:$E117,0.975)</f>
        <v>4</v>
      </c>
    </row>
    <row r="119" spans="1:18" x14ac:dyDescent="0.2">
      <c r="A119" s="5">
        <f>Data!E122</f>
        <v>1994</v>
      </c>
      <c r="B119" s="5">
        <f>Data!M122</f>
        <v>0.6</v>
      </c>
      <c r="C119" s="5">
        <f>Data!N122</f>
        <v>0.25</v>
      </c>
      <c r="D119" s="5">
        <f ca="1">Data!O122</f>
        <v>112.62493628467206</v>
      </c>
      <c r="E119" s="1">
        <f>Data!AQ122</f>
        <v>0</v>
      </c>
      <c r="F119" t="str">
        <f t="shared" si="1"/>
        <v/>
      </c>
      <c r="G119" s="5">
        <f ca="1">AVERAGE(D$2:D118)</f>
        <v>184.28824083536796</v>
      </c>
      <c r="H119" s="5">
        <f ca="1">PERCENTILE(D$2:D118,0.025)</f>
        <v>3.8835646959995973E-2</v>
      </c>
      <c r="I119" s="5">
        <f ca="1">PERCENTILE(D$2:D118,0.165)</f>
        <v>0.28532312052241937</v>
      </c>
      <c r="J119" s="5">
        <f ca="1">PERCENTILE(D$2:D118,0.5)</f>
        <v>15.93092439465299</v>
      </c>
      <c r="K119" s="5">
        <f ca="1">PERCENTILE(D$2:D118,0.835)</f>
        <v>74.706158944011776</v>
      </c>
      <c r="L119" s="5">
        <f ca="1">PERCENTILE(D$2:D118,0.975)</f>
        <v>1430.2296954720407</v>
      </c>
      <c r="M119" s="7">
        <f>AVERAGE(E$2:E118)</f>
        <v>1.1592920353982301</v>
      </c>
      <c r="N119" s="7">
        <f>PERCENTILE($E$2:$E118,0.025)</f>
        <v>0</v>
      </c>
      <c r="O119" s="7">
        <f>PERCENTILE($E$2:$E118,0.165)</f>
        <v>0</v>
      </c>
      <c r="P119" s="7">
        <f>PERCENTILE($E$2:$E118,0.5)</f>
        <v>0</v>
      </c>
      <c r="Q119" s="7">
        <f>PERCENTILE($E$2:$E118,0.835)</f>
        <v>3</v>
      </c>
      <c r="R119" s="7">
        <f>PERCENTILE($E$2:$E118,0.975)</f>
        <v>4</v>
      </c>
    </row>
    <row r="120" spans="1:18" x14ac:dyDescent="0.2">
      <c r="A120" s="5">
        <f>Data!E123</f>
        <v>1994</v>
      </c>
      <c r="B120" s="5">
        <f>Data!M123</f>
        <v>1.2</v>
      </c>
      <c r="C120" s="5">
        <f>Data!N123</f>
        <v>0.5</v>
      </c>
      <c r="D120" s="5">
        <f ca="1">Data!O123</f>
        <v>450.49974513868824</v>
      </c>
      <c r="E120" s="1">
        <f>Data!AQ123</f>
        <v>0</v>
      </c>
      <c r="F120" t="str">
        <f t="shared" si="1"/>
        <v/>
      </c>
      <c r="G120" s="5">
        <f ca="1">AVERAGE(D$2:D119)</f>
        <v>183.68092469510782</v>
      </c>
      <c r="H120" s="5">
        <f ca="1">PERCENTILE(D$2:D119,0.025)</f>
        <v>3.9033788015914325E-2</v>
      </c>
      <c r="I120" s="5">
        <f ca="1">PERCENTILE(D$2:D119,0.165)</f>
        <v>0.28532312052241937</v>
      </c>
      <c r="J120" s="5">
        <f ca="1">PERCENTILE(D$2:D119,0.5)</f>
        <v>16.171146513996732</v>
      </c>
      <c r="K120" s="5">
        <f ca="1">PERCENTILE(D$2:D119,0.835)</f>
        <v>91.763547869048551</v>
      </c>
      <c r="L120" s="5">
        <f ca="1">PERCENTILE(D$2:D119,0.975)</f>
        <v>1400.4966486209437</v>
      </c>
      <c r="M120" s="7">
        <f>AVERAGE(E$2:E119)</f>
        <v>1.1491228070175439</v>
      </c>
      <c r="N120" s="7">
        <f>PERCENTILE($E$2:$E119,0.025)</f>
        <v>0</v>
      </c>
      <c r="O120" s="7">
        <f>PERCENTILE($E$2:$E119,0.165)</f>
        <v>0</v>
      </c>
      <c r="P120" s="7">
        <f>PERCENTILE($E$2:$E119,0.5)</f>
        <v>0</v>
      </c>
      <c r="Q120" s="7">
        <f>PERCENTILE($E$2:$E119,0.835)</f>
        <v>3</v>
      </c>
      <c r="R120" s="7">
        <f>PERCENTILE($E$2:$E119,0.975)</f>
        <v>4</v>
      </c>
    </row>
    <row r="121" spans="1:18" x14ac:dyDescent="0.2">
      <c r="A121" s="5">
        <f>Data!E124</f>
        <v>1994</v>
      </c>
      <c r="B121" s="5">
        <f>Data!M124</f>
        <v>0.6</v>
      </c>
      <c r="C121" s="5">
        <f>Data!N124</f>
        <v>0.25</v>
      </c>
      <c r="D121" s="5">
        <f ca="1">Data!O124</f>
        <v>1126.2493628467205</v>
      </c>
      <c r="E121" s="1">
        <f>Data!AQ124</f>
        <v>0</v>
      </c>
      <c r="F121" t="str">
        <f t="shared" si="1"/>
        <v/>
      </c>
      <c r="G121" s="5">
        <f ca="1">AVERAGE(D$2:D120)</f>
        <v>185.92309965681858</v>
      </c>
      <c r="H121" s="5">
        <f ca="1">PERCENTILE(D$2:D120,0.025)</f>
        <v>3.923192907183267E-2</v>
      </c>
      <c r="I121" s="5">
        <f ca="1">PERCENTILE(D$2:D120,0.165)</f>
        <v>0.28532312052241937</v>
      </c>
      <c r="J121" s="5">
        <f ca="1">PERCENTILE(D$2:D120,0.5)</f>
        <v>16.411368633340469</v>
      </c>
      <c r="K121" s="5">
        <f ca="1">PERCENTILE(D$2:D120,0.835)</f>
        <v>104.54982096681192</v>
      </c>
      <c r="L121" s="5">
        <f ca="1">PERCENTILE(D$2:D120,0.975)</f>
        <v>1370.7636017698298</v>
      </c>
      <c r="M121" s="7">
        <f>AVERAGE(E$2:E120)</f>
        <v>1.1391304347826088</v>
      </c>
      <c r="N121" s="7">
        <f>PERCENTILE($E$2:$E120,0.025)</f>
        <v>0</v>
      </c>
      <c r="O121" s="7">
        <f>PERCENTILE($E$2:$E120,0.165)</f>
        <v>0</v>
      </c>
      <c r="P121" s="7">
        <f>PERCENTILE($E$2:$E120,0.5)</f>
        <v>0</v>
      </c>
      <c r="Q121" s="7">
        <f>PERCENTILE($E$2:$E120,0.835)</f>
        <v>3</v>
      </c>
      <c r="R121" s="7">
        <f>PERCENTILE($E$2:$E120,0.975)</f>
        <v>4</v>
      </c>
    </row>
    <row r="122" spans="1:18" x14ac:dyDescent="0.2">
      <c r="A122" s="5">
        <f>Data!E125</f>
        <v>1995</v>
      </c>
      <c r="B122" s="5">
        <f>Data!M125</f>
        <v>4.5</v>
      </c>
      <c r="C122" s="5">
        <f>Data!N125</f>
        <v>1</v>
      </c>
      <c r="D122" s="5">
        <f ca="1">Data!O125</f>
        <v>31.947414103450058</v>
      </c>
      <c r="E122" s="1">
        <f>Data!AQ125</f>
        <v>3</v>
      </c>
      <c r="F122">
        <f t="shared" si="1"/>
        <v>1995</v>
      </c>
      <c r="G122" s="5">
        <f ca="1">AVERAGE(D$2:D121)</f>
        <v>193.75915185006775</v>
      </c>
      <c r="H122" s="5">
        <f ca="1">PERCENTILE(D$2:D121,0.025)</f>
        <v>3.9430070127751016E-2</v>
      </c>
      <c r="I122" s="5">
        <f ca="1">PERCENTILE(D$2:D121,0.165)</f>
        <v>0.28532312052241937</v>
      </c>
      <c r="J122" s="5">
        <f ca="1">PERCENTILE(D$2:D121,0.5)</f>
        <v>17.290762510300446</v>
      </c>
      <c r="K122" s="5">
        <f ca="1">PERCENTILE(D$2:D121,0.835)</f>
        <v>110.56050466440421</v>
      </c>
      <c r="L122" s="5">
        <f ca="1">PERCENTILE(D$2:D121,0.975)</f>
        <v>1341.030554918716</v>
      </c>
      <c r="M122" s="7">
        <f>AVERAGE(E$2:E121)</f>
        <v>1.1293103448275863</v>
      </c>
      <c r="N122" s="7">
        <f>PERCENTILE($E$2:$E121,0.025)</f>
        <v>0</v>
      </c>
      <c r="O122" s="7">
        <f>PERCENTILE($E$2:$E121,0.165)</f>
        <v>0</v>
      </c>
      <c r="P122" s="7">
        <f>PERCENTILE($E$2:$E121,0.5)</f>
        <v>0</v>
      </c>
      <c r="Q122" s="7">
        <f>PERCENTILE($E$2:$E121,0.835)</f>
        <v>3</v>
      </c>
      <c r="R122" s="7">
        <f>PERCENTILE($E$2:$E121,0.975)</f>
        <v>4</v>
      </c>
    </row>
    <row r="123" spans="1:18" x14ac:dyDescent="0.2">
      <c r="A123" s="5">
        <f>Data!E134</f>
        <v>1995</v>
      </c>
      <c r="B123" s="5">
        <f>Data!M134</f>
        <v>2.75</v>
      </c>
      <c r="C123" s="5">
        <f>Data!N134</f>
        <v>0.5</v>
      </c>
      <c r="D123" s="5">
        <f ca="1">Data!O134</f>
        <v>18.632669458936146</v>
      </c>
      <c r="E123" s="1">
        <f>Data!AQ134</f>
        <v>2.3000000000000003</v>
      </c>
      <c r="F123" t="str">
        <f t="shared" si="1"/>
        <v/>
      </c>
      <c r="G123" s="5">
        <f ca="1">AVERAGE(D$2:D122)</f>
        <v>192.42186476125275</v>
      </c>
      <c r="H123" s="5">
        <f ca="1">PERCENTILE(D$2:D122,0.025)</f>
        <v>3.9628211183669361E-2</v>
      </c>
      <c r="I123" s="5">
        <f ca="1">PERCENTILE(D$2:D122,0.165)</f>
        <v>0.28532312052241937</v>
      </c>
      <c r="J123" s="5">
        <f ca="1">PERCENTILE(D$2:D122,0.5)</f>
        <v>18.170156387260427</v>
      </c>
      <c r="K123" s="5">
        <f ca="1">PERCENTILE(D$2:D122,0.835)</f>
        <v>110.02407755047632</v>
      </c>
      <c r="L123" s="5">
        <f ca="1">PERCENTILE(D$2:D122,0.975)</f>
        <v>1311.297508067619</v>
      </c>
      <c r="M123" s="7">
        <f>AVERAGE(E$2:E122)</f>
        <v>1.1452991452991452</v>
      </c>
      <c r="N123" s="7">
        <f>PERCENTILE($E$2:$E122,0.025)</f>
        <v>0</v>
      </c>
      <c r="O123" s="7">
        <f>PERCENTILE($E$2:$E122,0.165)</f>
        <v>0</v>
      </c>
      <c r="P123" s="7">
        <f>PERCENTILE($E$2:$E122,0.5)</f>
        <v>0</v>
      </c>
      <c r="Q123" s="7">
        <f>PERCENTILE($E$2:$E122,0.835)</f>
        <v>3</v>
      </c>
      <c r="R123" s="7">
        <f>PERCENTILE($E$2:$E122,0.975)</f>
        <v>4</v>
      </c>
    </row>
    <row r="124" spans="1:18" x14ac:dyDescent="0.2">
      <c r="A124" s="5">
        <f>Data!E135</f>
        <v>1995</v>
      </c>
      <c r="B124" s="5">
        <f>Data!M135</f>
        <v>2.75</v>
      </c>
      <c r="C124" s="5">
        <f>Data!N135</f>
        <v>0.5</v>
      </c>
      <c r="D124" s="5">
        <f ca="1">Data!O135</f>
        <v>253.40610664051212</v>
      </c>
      <c r="E124" s="1">
        <f>Data!AQ135</f>
        <v>2.3000000000000003</v>
      </c>
      <c r="F124" t="str">
        <f t="shared" si="1"/>
        <v/>
      </c>
      <c r="G124" s="5">
        <f ca="1">AVERAGE(D$2:D123)</f>
        <v>190.9973631604141</v>
      </c>
      <c r="H124" s="5">
        <f ca="1">PERCENTILE(D$2:D123,0.025)</f>
        <v>3.9826352239587713E-2</v>
      </c>
      <c r="I124" s="5">
        <f ca="1">PERCENTILE(D$2:D123,0.165)</f>
        <v>0.28532312052241937</v>
      </c>
      <c r="J124" s="5">
        <f ca="1">PERCENTILE(D$2:D123,0.5)</f>
        <v>18.401412923098285</v>
      </c>
      <c r="K124" s="5">
        <f ca="1">PERCENTILE(D$2:D123,0.835)</f>
        <v>109.48765043654849</v>
      </c>
      <c r="L124" s="5">
        <f ca="1">PERCENTILE(D$2:D123,0.975)</f>
        <v>1306.6713044370954</v>
      </c>
      <c r="M124" s="7">
        <f>AVERAGE(E$2:E123)</f>
        <v>1.155084745762712</v>
      </c>
      <c r="N124" s="7">
        <f>PERCENTILE($E$2:$E123,0.025)</f>
        <v>0</v>
      </c>
      <c r="O124" s="7">
        <f>PERCENTILE($E$2:$E123,0.165)</f>
        <v>0</v>
      </c>
      <c r="P124" s="7">
        <f>PERCENTILE($E$2:$E123,0.5)</f>
        <v>0</v>
      </c>
      <c r="Q124" s="7">
        <f>PERCENTILE($E$2:$E123,0.835)</f>
        <v>3</v>
      </c>
      <c r="R124" s="7">
        <f>PERCENTILE($E$2:$E123,0.975)</f>
        <v>4</v>
      </c>
    </row>
    <row r="125" spans="1:18" x14ac:dyDescent="0.2">
      <c r="A125" s="5">
        <f>Data!E126</f>
        <v>1996</v>
      </c>
      <c r="B125" s="5">
        <f>Data!M126</f>
        <v>0.7</v>
      </c>
      <c r="C125" s="5">
        <f>Data!N126</f>
        <v>0.125</v>
      </c>
      <c r="D125" s="5">
        <f ca="1">Data!O126</f>
        <v>6.7574961770803235</v>
      </c>
      <c r="E125" s="1">
        <f>Data!AQ126</f>
        <v>3</v>
      </c>
      <c r="F125">
        <f t="shared" si="1"/>
        <v>1996</v>
      </c>
      <c r="G125" s="5">
        <f ca="1">AVERAGE(D$2:D124)</f>
        <v>191.50475131878889</v>
      </c>
      <c r="H125" s="5">
        <f ca="1">PERCENTILE(D$2:D124,0.025)</f>
        <v>4.0024493295506058E-2</v>
      </c>
      <c r="I125" s="5">
        <f ca="1">PERCENTILE(D$2:D124,0.165)</f>
        <v>0.29150512146707191</v>
      </c>
      <c r="J125" s="5">
        <f ca="1">PERCENTILE(D$2:D124,0.5)</f>
        <v>18.632669458936146</v>
      </c>
      <c r="K125" s="5">
        <f ca="1">PERCENTILE(D$2:D124,0.835)</f>
        <v>112.20229674036523</v>
      </c>
      <c r="L125" s="5">
        <f ca="1">PERCENTILE(D$2:D124,0.975)</f>
        <v>1302.0451008065745</v>
      </c>
      <c r="M125" s="7">
        <f>AVERAGE(E$2:E124)</f>
        <v>1.1647058823529413</v>
      </c>
      <c r="N125" s="7">
        <f>PERCENTILE($E$2:$E124,0.025)</f>
        <v>0</v>
      </c>
      <c r="O125" s="7">
        <f>PERCENTILE($E$2:$E124,0.165)</f>
        <v>0</v>
      </c>
      <c r="P125" s="7">
        <f>PERCENTILE($E$2:$E124,0.5)</f>
        <v>0</v>
      </c>
      <c r="Q125" s="7">
        <f>PERCENTILE($E$2:$E124,0.835)</f>
        <v>3</v>
      </c>
      <c r="R125" s="7">
        <f>PERCENTILE($E$2:$E124,0.975)</f>
        <v>4</v>
      </c>
    </row>
    <row r="126" spans="1:18" x14ac:dyDescent="0.2">
      <c r="A126" s="5">
        <f>Data!E127</f>
        <v>1996</v>
      </c>
      <c r="B126" s="5">
        <f>Data!M127</f>
        <v>0.35</v>
      </c>
      <c r="C126" s="5">
        <f>Data!N127</f>
        <v>6.25E-2</v>
      </c>
      <c r="D126" s="5">
        <f ca="1">Data!O127</f>
        <v>11.262493628467205</v>
      </c>
      <c r="E126" s="1">
        <f>Data!AQ127</f>
        <v>3</v>
      </c>
      <c r="F126" t="str">
        <f t="shared" si="1"/>
        <v/>
      </c>
      <c r="G126" s="5">
        <f ca="1">AVERAGE(D$2:D125)</f>
        <v>190.01485409990414</v>
      </c>
      <c r="H126" s="5">
        <f ca="1">PERCENTILE(D$2:D125,0.025)</f>
        <v>4.0222634351424404E-2</v>
      </c>
      <c r="I126" s="5">
        <f ca="1">PERCENTILE(D$2:D125,0.165)</f>
        <v>0.29935150728143839</v>
      </c>
      <c r="J126" s="5">
        <f ca="1">PERCENTILE(D$2:D125,0.5)</f>
        <v>18.401412923098285</v>
      </c>
      <c r="K126" s="5">
        <f ca="1">PERCENTILE(D$2:D125,0.835)</f>
        <v>111.6658696264374</v>
      </c>
      <c r="L126" s="5">
        <f ca="1">PERCENTILE(D$2:D125,0.975)</f>
        <v>1297.4188971760511</v>
      </c>
      <c r="M126" s="7">
        <f>AVERAGE(E$2:E125)</f>
        <v>1.1800000000000002</v>
      </c>
      <c r="N126" s="7">
        <f>PERCENTILE($E$2:$E125,0.025)</f>
        <v>0</v>
      </c>
      <c r="O126" s="7">
        <f>PERCENTILE($E$2:$E125,0.165)</f>
        <v>0</v>
      </c>
      <c r="P126" s="7">
        <f>PERCENTILE($E$2:$E125,0.5)</f>
        <v>0</v>
      </c>
      <c r="Q126" s="7">
        <f>PERCENTILE($E$2:$E125,0.835)</f>
        <v>3</v>
      </c>
      <c r="R126" s="7">
        <f>PERCENTILE($E$2:$E125,0.975)</f>
        <v>4</v>
      </c>
    </row>
    <row r="127" spans="1:18" x14ac:dyDescent="0.2">
      <c r="A127" s="5">
        <f>Data!E128</f>
        <v>1996</v>
      </c>
      <c r="B127" s="5">
        <f>Data!M128</f>
        <v>0.7</v>
      </c>
      <c r="C127" s="5">
        <f>Data!N128</f>
        <v>0.125</v>
      </c>
      <c r="D127" s="5">
        <f ca="1">Data!O128</f>
        <v>18.019989805547528</v>
      </c>
      <c r="E127" s="1">
        <f>Data!AQ128</f>
        <v>3</v>
      </c>
      <c r="F127" t="str">
        <f t="shared" si="1"/>
        <v/>
      </c>
      <c r="G127" s="5">
        <f ca="1">AVERAGE(D$2:D126)</f>
        <v>188.58483521613263</v>
      </c>
      <c r="H127" s="5">
        <f ca="1">PERCENTILE(D$2:D126,0.025)</f>
        <v>4.0420775407342742E-2</v>
      </c>
      <c r="I127" s="5">
        <f ca="1">PERCENTILE(D$2:D126,0.165)</f>
        <v>0.30719789309580492</v>
      </c>
      <c r="J127" s="5">
        <f ca="1">PERCENTILE(D$2:D126,0.5)</f>
        <v>18.170156387260427</v>
      </c>
      <c r="K127" s="5">
        <f ca="1">PERCENTILE(D$2:D126,0.835)</f>
        <v>111.12944251250951</v>
      </c>
      <c r="L127" s="5">
        <f ca="1">PERCENTILE(D$2:D126,0.975)</f>
        <v>1292.7926935455275</v>
      </c>
      <c r="M127" s="7">
        <f>AVERAGE(E$2:E126)</f>
        <v>1.1950413223140497</v>
      </c>
      <c r="N127" s="7">
        <f>PERCENTILE($E$2:$E126,0.025)</f>
        <v>0</v>
      </c>
      <c r="O127" s="7">
        <f>PERCENTILE($E$2:$E126,0.165)</f>
        <v>0</v>
      </c>
      <c r="P127" s="7">
        <f>PERCENTILE($E$2:$E126,0.5)</f>
        <v>0</v>
      </c>
      <c r="Q127" s="7">
        <f>PERCENTILE($E$2:$E126,0.835)</f>
        <v>3</v>
      </c>
      <c r="R127" s="7">
        <f>PERCENTILE($E$2:$E126,0.975)</f>
        <v>4</v>
      </c>
    </row>
    <row r="128" spans="1:18" x14ac:dyDescent="0.2">
      <c r="A128" s="5">
        <f>Data!E129</f>
        <v>1996</v>
      </c>
      <c r="B128" s="5">
        <f>Data!M129</f>
        <v>0.7</v>
      </c>
      <c r="C128" s="5">
        <f>Data!N129</f>
        <v>0.125</v>
      </c>
      <c r="D128" s="5">
        <f ca="1">Data!O129</f>
        <v>18.019989805547528</v>
      </c>
      <c r="E128" s="1">
        <f>Data!AQ129</f>
        <v>3</v>
      </c>
      <c r="F128" t="str">
        <f t="shared" si="1"/>
        <v/>
      </c>
      <c r="G128" s="5">
        <f ca="1">AVERAGE(D$2:D127)</f>
        <v>187.23114596684226</v>
      </c>
      <c r="H128" s="5">
        <f ca="1">PERCENTILE(D$2:D127,0.025)</f>
        <v>4.0618916463261094E-2</v>
      </c>
      <c r="I128" s="5">
        <f ca="1">PERCENTILE(D$2:D127,0.165)</f>
        <v>0.31504427891017139</v>
      </c>
      <c r="J128" s="5">
        <f ca="1">PERCENTILE(D$2:D127,0.5)</f>
        <v>18.095073096403979</v>
      </c>
      <c r="K128" s="5">
        <f ca="1">PERCENTILE(D$2:D127,0.835)</f>
        <v>110.59301539858167</v>
      </c>
      <c r="L128" s="5">
        <f ca="1">PERCENTILE(D$2:D127,0.975)</f>
        <v>1288.1664899150067</v>
      </c>
      <c r="M128" s="7">
        <f>AVERAGE(E$2:E127)</f>
        <v>1.2098360655737708</v>
      </c>
      <c r="N128" s="7">
        <f>PERCENTILE($E$2:$E127,0.025)</f>
        <v>0</v>
      </c>
      <c r="O128" s="7">
        <f>PERCENTILE($E$2:$E127,0.165)</f>
        <v>0</v>
      </c>
      <c r="P128" s="7">
        <f>PERCENTILE($E$2:$E127,0.5)</f>
        <v>0</v>
      </c>
      <c r="Q128" s="7">
        <f>PERCENTILE($E$2:$E127,0.835)</f>
        <v>3</v>
      </c>
      <c r="R128" s="7">
        <f>PERCENTILE($E$2:$E127,0.975)</f>
        <v>4</v>
      </c>
    </row>
    <row r="129" spans="1:18" x14ac:dyDescent="0.2">
      <c r="A129" s="5">
        <f>Data!E130</f>
        <v>1996</v>
      </c>
      <c r="B129" s="5">
        <f>Data!M130</f>
        <v>1.4</v>
      </c>
      <c r="C129" s="5">
        <f>Data!N130</f>
        <v>0.25</v>
      </c>
      <c r="D129" s="5">
        <f ca="1">Data!O130</f>
        <v>47.302473239562268</v>
      </c>
      <c r="E129" s="1">
        <f>Data!AQ130</f>
        <v>3</v>
      </c>
      <c r="F129" t="str">
        <f t="shared" si="1"/>
        <v/>
      </c>
      <c r="G129" s="5">
        <f ca="1">AVERAGE(D$2:D128)</f>
        <v>185.89877465848562</v>
      </c>
      <c r="H129" s="5">
        <f ca="1">PERCENTILE(D$2:D128,0.025)</f>
        <v>4.0817057519179446E-2</v>
      </c>
      <c r="I129" s="5">
        <f ca="1">PERCENTILE(D$2:D128,0.165)</f>
        <v>0.32289066472453809</v>
      </c>
      <c r="J129" s="5">
        <f ca="1">PERCENTILE(D$2:D128,0.5)</f>
        <v>18.019989805547528</v>
      </c>
      <c r="K129" s="5">
        <f ca="1">PERCENTILE(D$2:D128,0.835)</f>
        <v>110.05658828465378</v>
      </c>
      <c r="L129" s="5">
        <f ca="1">PERCENTILE(D$2:D128,0.975)</f>
        <v>1283.540286284483</v>
      </c>
      <c r="M129" s="7">
        <f>AVERAGE(E$2:E128)</f>
        <v>1.2243902439024392</v>
      </c>
      <c r="N129" s="7">
        <f>PERCENTILE($E$2:$E128,0.025)</f>
        <v>0</v>
      </c>
      <c r="O129" s="7">
        <f>PERCENTILE($E$2:$E128,0.165)</f>
        <v>0</v>
      </c>
      <c r="P129" s="7">
        <f>PERCENTILE($E$2:$E128,0.5)</f>
        <v>0</v>
      </c>
      <c r="Q129" s="7">
        <f>PERCENTILE($E$2:$E128,0.835)</f>
        <v>3</v>
      </c>
      <c r="R129" s="7">
        <f>PERCENTILE($E$2:$E128,0.975)</f>
        <v>4</v>
      </c>
    </row>
    <row r="130" spans="1:18" x14ac:dyDescent="0.2">
      <c r="A130" s="5">
        <f>Data!E131</f>
        <v>1996</v>
      </c>
      <c r="B130" s="5">
        <f>Data!M131</f>
        <v>0.7</v>
      </c>
      <c r="C130" s="5">
        <f>Data!N131</f>
        <v>0.125</v>
      </c>
      <c r="D130" s="5">
        <f ca="1">Data!O131</f>
        <v>103.61494138189829</v>
      </c>
      <c r="E130" s="1">
        <f>Data!AQ131</f>
        <v>2</v>
      </c>
      <c r="F130" t="str">
        <f t="shared" si="1"/>
        <v/>
      </c>
      <c r="G130" s="5">
        <f ca="1">AVERAGE(D$2:D129)</f>
        <v>184.81599105365027</v>
      </c>
      <c r="H130" s="5">
        <f ca="1">PERCENTILE(D$2:D129,0.025)</f>
        <v>4.1015198575097792E-2</v>
      </c>
      <c r="I130" s="5">
        <f ca="1">PERCENTILE(D$2:D129,0.165)</f>
        <v>0.33073705053890456</v>
      </c>
      <c r="J130" s="5">
        <f ca="1">PERCENTILE(D$2:D129,0.5)</f>
        <v>18.095073096403979</v>
      </c>
      <c r="K130" s="5">
        <f ca="1">PERCENTILE(D$2:D129,0.835)</f>
        <v>109.52016117072596</v>
      </c>
      <c r="L130" s="5">
        <f ca="1">PERCENTILE(D$2:D129,0.975)</f>
        <v>1278.9140826539624</v>
      </c>
      <c r="M130" s="7">
        <f>AVERAGE(E$2:E129)</f>
        <v>1.2387096774193551</v>
      </c>
      <c r="N130" s="7">
        <f>PERCENTILE($E$2:$E129,0.025)</f>
        <v>0</v>
      </c>
      <c r="O130" s="7">
        <f>PERCENTILE($E$2:$E129,0.165)</f>
        <v>0</v>
      </c>
      <c r="P130" s="7">
        <f>PERCENTILE($E$2:$E129,0.5)</f>
        <v>0</v>
      </c>
      <c r="Q130" s="7">
        <f>PERCENTILE($E$2:$E129,0.835)</f>
        <v>3</v>
      </c>
      <c r="R130" s="7">
        <f>PERCENTILE($E$2:$E129,0.975)</f>
        <v>4</v>
      </c>
    </row>
    <row r="131" spans="1:18" x14ac:dyDescent="0.2">
      <c r="A131" s="5">
        <f>Data!E132</f>
        <v>1996</v>
      </c>
      <c r="B131" s="5">
        <f>Data!M132</f>
        <v>0.7</v>
      </c>
      <c r="C131" s="5">
        <f>Data!N132</f>
        <v>0.125</v>
      </c>
      <c r="D131" s="5">
        <f ca="1">Data!O132</f>
        <v>991.09943930511417</v>
      </c>
      <c r="E131" s="1">
        <f>Data!AQ132</f>
        <v>0</v>
      </c>
      <c r="F131" t="str">
        <f t="shared" si="1"/>
        <v/>
      </c>
      <c r="G131" s="5">
        <f ca="1">AVERAGE(D$2:D130)</f>
        <v>184.18652555231884</v>
      </c>
      <c r="H131" s="5">
        <f ca="1">PERCENTILE(D$2:D130,0.025)</f>
        <v>4.1213339631016137E-2</v>
      </c>
      <c r="I131" s="5">
        <f ca="1">PERCENTILE(D$2:D130,0.165)</f>
        <v>0.34524097583212754</v>
      </c>
      <c r="J131" s="5">
        <f ca="1">PERCENTILE(D$2:D130,0.5)</f>
        <v>18.170156387260427</v>
      </c>
      <c r="K131" s="5">
        <f ca="1">PERCENTILE(D$2:D130,0.835)</f>
        <v>108.68279228872392</v>
      </c>
      <c r="L131" s="5">
        <f ca="1">PERCENTILE(D$2:D130,0.975)</f>
        <v>1274.2878790234388</v>
      </c>
      <c r="M131" s="7">
        <f>AVERAGE(E$2:E130)</f>
        <v>1.2448000000000001</v>
      </c>
      <c r="N131" s="7">
        <f>PERCENTILE($E$2:$E130,0.025)</f>
        <v>0</v>
      </c>
      <c r="O131" s="7">
        <f>PERCENTILE($E$2:$E130,0.165)</f>
        <v>0</v>
      </c>
      <c r="P131" s="7">
        <f>PERCENTILE($E$2:$E130,0.5)</f>
        <v>0</v>
      </c>
      <c r="Q131" s="7">
        <f>PERCENTILE($E$2:$E130,0.835)</f>
        <v>3</v>
      </c>
      <c r="R131" s="7">
        <f>PERCENTILE($E$2:$E130,0.975)</f>
        <v>4</v>
      </c>
    </row>
    <row r="132" spans="1:18" x14ac:dyDescent="0.2">
      <c r="A132" s="5">
        <f>Data!E133</f>
        <v>1996</v>
      </c>
      <c r="B132" s="5">
        <f>Data!M133</f>
        <v>0.35</v>
      </c>
      <c r="C132" s="5">
        <f>Data!N133</f>
        <v>6.25E-2</v>
      </c>
      <c r="D132" s="5">
        <f ca="1">Data!O133</f>
        <v>72.079959222190112</v>
      </c>
      <c r="E132" s="1">
        <f>Data!AQ133</f>
        <v>3</v>
      </c>
      <c r="F132" t="str">
        <f t="shared" si="1"/>
        <v/>
      </c>
      <c r="G132" s="5">
        <f ca="1">AVERAGE(D$2:D131)</f>
        <v>190.3935479658019</v>
      </c>
      <c r="H132" s="5">
        <f ca="1">PERCENTILE(D$2:D131,0.025)</f>
        <v>4.1411480686934475E-2</v>
      </c>
      <c r="I132" s="5">
        <f ca="1">PERCENTILE(D$2:D131,0.165)</f>
        <v>0.3622414784299216</v>
      </c>
      <c r="J132" s="5">
        <f ca="1">PERCENTILE(D$2:D131,0.5)</f>
        <v>18.401412923098285</v>
      </c>
      <c r="K132" s="5">
        <f ca="1">PERCENTILE(D$2:D131,0.835)</f>
        <v>111.69838036061481</v>
      </c>
      <c r="L132" s="5">
        <f ca="1">PERCENTILE(D$2:D131,0.975)</f>
        <v>1269.6616753929152</v>
      </c>
      <c r="M132" s="7">
        <f>AVERAGE(E$2:E131)</f>
        <v>1.2349206349206352</v>
      </c>
      <c r="N132" s="7">
        <f>PERCENTILE($E$2:$E131,0.025)</f>
        <v>0</v>
      </c>
      <c r="O132" s="7">
        <f>PERCENTILE($E$2:$E131,0.165)</f>
        <v>0</v>
      </c>
      <c r="P132" s="7">
        <f>PERCENTILE($E$2:$E131,0.5)</f>
        <v>0</v>
      </c>
      <c r="Q132" s="7">
        <f>PERCENTILE($E$2:$E131,0.835)</f>
        <v>3</v>
      </c>
      <c r="R132" s="7">
        <f>PERCENTILE($E$2:$E131,0.975)</f>
        <v>4</v>
      </c>
    </row>
    <row r="133" spans="1:18" x14ac:dyDescent="0.2">
      <c r="A133" s="5">
        <f>Data!E136</f>
        <v>1996</v>
      </c>
      <c r="B133" s="5">
        <f>Data!M136</f>
        <v>0.20444444444444443</v>
      </c>
      <c r="C133" s="5">
        <f>Data!N136</f>
        <v>4.4444444444444446E-2</v>
      </c>
      <c r="D133" s="5">
        <f ca="1">Data!O136</f>
        <v>191.46239168394251</v>
      </c>
      <c r="E133" s="1">
        <f>Data!AQ136</f>
        <v>0</v>
      </c>
      <c r="F133" t="str">
        <f t="shared" ref="F133:F196" si="2">IF(A133&lt;&gt;A132,A133,"")</f>
        <v/>
      </c>
      <c r="G133" s="5">
        <f ca="1">AVERAGE(D$2:D132)</f>
        <v>189.49039079982012</v>
      </c>
      <c r="H133" s="5">
        <f ca="1">PERCENTILE(D$2:D132,0.025)</f>
        <v>4.1609621742852827E-2</v>
      </c>
      <c r="I133" s="5">
        <f ca="1">PERCENTILE(D$2:D132,0.165)</f>
        <v>0.37924198102771567</v>
      </c>
      <c r="J133" s="5">
        <f ca="1">PERCENTILE(D$2:D132,0.5)</f>
        <v>18.632669458936146</v>
      </c>
      <c r="K133" s="5">
        <f ca="1">PERCENTILE(D$2:D132,0.835)</f>
        <v>111.16195324668698</v>
      </c>
      <c r="L133" s="5">
        <f ca="1">PERCENTILE(D$2:D132,0.975)</f>
        <v>1265.0354717623943</v>
      </c>
      <c r="M133" s="7">
        <f>AVERAGE(E$2:E132)</f>
        <v>1.2488188976377954</v>
      </c>
      <c r="N133" s="7">
        <f>PERCENTILE($E$2:$E132,0.025)</f>
        <v>0</v>
      </c>
      <c r="O133" s="7">
        <f>PERCENTILE($E$2:$E132,0.165)</f>
        <v>0</v>
      </c>
      <c r="P133" s="7">
        <f>PERCENTILE($E$2:$E132,0.5)</f>
        <v>0</v>
      </c>
      <c r="Q133" s="7">
        <f>PERCENTILE($E$2:$E132,0.835)</f>
        <v>3</v>
      </c>
      <c r="R133" s="7">
        <f>PERCENTILE($E$2:$E132,0.975)</f>
        <v>4</v>
      </c>
    </row>
    <row r="134" spans="1:18" x14ac:dyDescent="0.2">
      <c r="A134" s="5">
        <f>Data!E137</f>
        <v>1996</v>
      </c>
      <c r="B134" s="5">
        <f>Data!M137</f>
        <v>0.40888888888888886</v>
      </c>
      <c r="C134" s="5">
        <f>Data!N137</f>
        <v>8.8888888888888892E-2</v>
      </c>
      <c r="D134" s="5">
        <f ca="1">Data!O137</f>
        <v>450.49974513868824</v>
      </c>
      <c r="E134" s="1">
        <f>Data!AQ137</f>
        <v>0</v>
      </c>
      <c r="F134" t="str">
        <f t="shared" si="2"/>
        <v/>
      </c>
      <c r="G134" s="5">
        <f ca="1">AVERAGE(D$2:D133)</f>
        <v>189.50533020045739</v>
      </c>
      <c r="H134" s="5">
        <f ca="1">PERCENTILE(D$2:D133,0.025)</f>
        <v>4.1807762798771179E-2</v>
      </c>
      <c r="I134" s="5">
        <f ca="1">PERCENTILE(D$2:D133,0.165)</f>
        <v>0.39624248362551012</v>
      </c>
      <c r="J134" s="5">
        <f ca="1">PERCENTILE(D$2:D133,0.5)</f>
        <v>19.896722421581284</v>
      </c>
      <c r="K134" s="5">
        <f ca="1">PERCENTILE(D$2:D133,0.835)</f>
        <v>113.78121896386133</v>
      </c>
      <c r="L134" s="5">
        <f ca="1">PERCENTILE(D$2:D133,0.975)</f>
        <v>1260.4092681318709</v>
      </c>
      <c r="M134" s="7">
        <f>AVERAGE(E$2:E133)</f>
        <v>1.2390625000000002</v>
      </c>
      <c r="N134" s="7">
        <f>PERCENTILE($E$2:$E133,0.025)</f>
        <v>0</v>
      </c>
      <c r="O134" s="7">
        <f>PERCENTILE($E$2:$E133,0.165)</f>
        <v>0</v>
      </c>
      <c r="P134" s="7">
        <f>PERCENTILE($E$2:$E133,0.5)</f>
        <v>0</v>
      </c>
      <c r="Q134" s="7">
        <f>PERCENTILE($E$2:$E133,0.835)</f>
        <v>3</v>
      </c>
      <c r="R134" s="7">
        <f>PERCENTILE($E$2:$E133,0.975)</f>
        <v>4</v>
      </c>
    </row>
    <row r="135" spans="1:18" x14ac:dyDescent="0.2">
      <c r="A135" s="5">
        <f>Data!E138</f>
        <v>1996</v>
      </c>
      <c r="B135" s="5">
        <f>Data!M138</f>
        <v>0.15333333333333332</v>
      </c>
      <c r="C135" s="5">
        <f>Data!N138</f>
        <v>3.3333333333333333E-2</v>
      </c>
      <c r="D135" s="5">
        <f ca="1">Data!O138</f>
        <v>168.93740442700809</v>
      </c>
      <c r="E135" s="1">
        <f>Data!AQ138</f>
        <v>0.1</v>
      </c>
      <c r="F135" t="str">
        <f t="shared" si="2"/>
        <v/>
      </c>
      <c r="G135" s="5">
        <f ca="1">AVERAGE(D$2:D134)</f>
        <v>191.46769422254934</v>
      </c>
      <c r="H135" s="5">
        <f ca="1">PERCENTILE(D$2:D134,0.025)</f>
        <v>4.2005903854689525E-2</v>
      </c>
      <c r="I135" s="5">
        <f ca="1">PERCENTILE(D$2:D134,0.165)</f>
        <v>0.41324298622330419</v>
      </c>
      <c r="J135" s="5">
        <f ca="1">PERCENTILE(D$2:D134,0.5)</f>
        <v>21.160775384226422</v>
      </c>
      <c r="K135" s="5">
        <f ca="1">PERCENTILE(D$2:D134,0.835)</f>
        <v>118.24762784232088</v>
      </c>
      <c r="L135" s="5">
        <f ca="1">PERCENTILE(D$2:D134,0.975)</f>
        <v>1255.7830645013473</v>
      </c>
      <c r="M135" s="7">
        <f>AVERAGE(E$2:E134)</f>
        <v>1.2294573643410855</v>
      </c>
      <c r="N135" s="7">
        <f>PERCENTILE($E$2:$E134,0.025)</f>
        <v>0</v>
      </c>
      <c r="O135" s="7">
        <f>PERCENTILE($E$2:$E134,0.165)</f>
        <v>0</v>
      </c>
      <c r="P135" s="7">
        <f>PERCENTILE($E$2:$E134,0.5)</f>
        <v>0</v>
      </c>
      <c r="Q135" s="7">
        <f>PERCENTILE($E$2:$E134,0.835)</f>
        <v>3</v>
      </c>
      <c r="R135" s="7">
        <f>PERCENTILE($E$2:$E134,0.975)</f>
        <v>4</v>
      </c>
    </row>
    <row r="136" spans="1:18" x14ac:dyDescent="0.2">
      <c r="A136" s="5">
        <f>Data!E139</f>
        <v>1996</v>
      </c>
      <c r="B136" s="5">
        <f>Data!M139</f>
        <v>0.30666666666666664</v>
      </c>
      <c r="C136" s="5">
        <f>Data!N139</f>
        <v>6.6666666666666666E-2</v>
      </c>
      <c r="D136" s="5">
        <f ca="1">Data!O139</f>
        <v>315.34982159708176</v>
      </c>
      <c r="E136" s="1">
        <f>Data!AQ139</f>
        <v>0.1</v>
      </c>
      <c r="F136" t="str">
        <f t="shared" si="2"/>
        <v/>
      </c>
      <c r="G136" s="5">
        <f ca="1">AVERAGE(D$2:D135)</f>
        <v>191.29955773153785</v>
      </c>
      <c r="H136" s="5">
        <f ca="1">PERCENTILE(D$2:D135,0.025)</f>
        <v>4.220404491060787E-2</v>
      </c>
      <c r="I136" s="5">
        <f ca="1">PERCENTILE(D$2:D135,0.165)</f>
        <v>0.43024348882109825</v>
      </c>
      <c r="J136" s="5">
        <f ca="1">PERCENTILE(D$2:D135,0.5)</f>
        <v>21.201003955215207</v>
      </c>
      <c r="K136" s="5">
        <f ca="1">PERCENTILE(D$2:D135,0.835)</f>
        <v>128.89212947421572</v>
      </c>
      <c r="L136" s="5">
        <f ca="1">PERCENTILE(D$2:D135,0.975)</f>
        <v>1251.1568608708237</v>
      </c>
      <c r="M136" s="7">
        <f>AVERAGE(E$2:E135)</f>
        <v>1.2207692307692308</v>
      </c>
      <c r="N136" s="7">
        <f>PERCENTILE($E$2:$E135,0.025)</f>
        <v>0</v>
      </c>
      <c r="O136" s="7">
        <f>PERCENTILE($E$2:$E135,0.165)</f>
        <v>0</v>
      </c>
      <c r="P136" s="7">
        <f>PERCENTILE($E$2:$E135,0.5)</f>
        <v>0</v>
      </c>
      <c r="Q136" s="7">
        <f>PERCENTILE($E$2:$E135,0.835)</f>
        <v>3</v>
      </c>
      <c r="R136" s="7">
        <f>PERCENTILE($E$2:$E135,0.975)</f>
        <v>4</v>
      </c>
    </row>
    <row r="137" spans="1:18" x14ac:dyDescent="0.2">
      <c r="A137" s="5">
        <f>Data!E140</f>
        <v>1996</v>
      </c>
      <c r="B137" s="5">
        <f>Data!M140</f>
        <v>0.10222222222222221</v>
      </c>
      <c r="C137" s="5">
        <f>Data!N140</f>
        <v>2.2222222222222223E-2</v>
      </c>
      <c r="D137" s="5">
        <f ca="1">Data!O140</f>
        <v>72.079959222190112</v>
      </c>
      <c r="E137" s="1">
        <f>Data!AQ140</f>
        <v>1</v>
      </c>
      <c r="F137" t="str">
        <f t="shared" si="2"/>
        <v/>
      </c>
      <c r="G137" s="5">
        <f ca="1">AVERAGE(D$2:D136)</f>
        <v>192.21844857498633</v>
      </c>
      <c r="H137" s="5">
        <f ca="1">PERCENTILE(D$2:D136,0.025)</f>
        <v>4.2402185966526208E-2</v>
      </c>
      <c r="I137" s="5">
        <f ca="1">PERCENTILE(D$2:D136,0.165)</f>
        <v>0.44201306754264796</v>
      </c>
      <c r="J137" s="5">
        <f ca="1">PERCENTILE(D$2:D136,0.5)</f>
        <v>21.241232526203987</v>
      </c>
      <c r="K137" s="5">
        <f ca="1">PERCENTILE(D$2:D136,0.835)</f>
        <v>149.50418167872903</v>
      </c>
      <c r="L137" s="5">
        <f ca="1">PERCENTILE(D$2:D136,0.975)</f>
        <v>1246.5306572403056</v>
      </c>
      <c r="M137" s="7">
        <f>AVERAGE(E$2:E136)</f>
        <v>1.2122137404580153</v>
      </c>
      <c r="N137" s="7">
        <f>PERCENTILE($E$2:$E136,0.025)</f>
        <v>0</v>
      </c>
      <c r="O137" s="7">
        <f>PERCENTILE($E$2:$E136,0.165)</f>
        <v>0</v>
      </c>
      <c r="P137" s="7">
        <f>PERCENTILE($E$2:$E136,0.5)</f>
        <v>0</v>
      </c>
      <c r="Q137" s="7">
        <f>PERCENTILE($E$2:$E136,0.835)</f>
        <v>3</v>
      </c>
      <c r="R137" s="7">
        <f>PERCENTILE($E$2:$E136,0.975)</f>
        <v>4</v>
      </c>
    </row>
    <row r="138" spans="1:18" x14ac:dyDescent="0.2">
      <c r="A138" s="5">
        <f>Data!E141</f>
        <v>1996</v>
      </c>
      <c r="B138" s="5">
        <f>Data!M141</f>
        <v>0.20444444444444443</v>
      </c>
      <c r="C138" s="5">
        <f>Data!N141</f>
        <v>4.4444444444444446E-2</v>
      </c>
      <c r="D138" s="5">
        <f ca="1">Data!O141</f>
        <v>74.332457947883555</v>
      </c>
      <c r="E138" s="1">
        <f>Data!AQ141</f>
        <v>1</v>
      </c>
      <c r="F138" t="str">
        <f t="shared" si="2"/>
        <v/>
      </c>
      <c r="G138" s="5">
        <f ca="1">AVERAGE(D$2:D137)</f>
        <v>191.33507732974516</v>
      </c>
      <c r="H138" s="5">
        <f ca="1">PERCENTILE(D$2:D137,0.025)</f>
        <v>4.260032702244456E-2</v>
      </c>
      <c r="I138" s="5">
        <f ca="1">PERCENTILE(D$2:D137,0.165)</f>
        <v>0.45116718432607572</v>
      </c>
      <c r="J138" s="5">
        <f ca="1">PERCENTILE(D$2:D137,0.5)</f>
        <v>21.952275557551367</v>
      </c>
      <c r="K138" s="5">
        <f ca="1">PERCENTILE(D$2:D137,0.835)</f>
        <v>145.43114142274723</v>
      </c>
      <c r="L138" s="5">
        <f ca="1">PERCENTILE(D$2:D137,0.975)</f>
        <v>1241.904453609782</v>
      </c>
      <c r="M138" s="7">
        <f>AVERAGE(E$2:E137)</f>
        <v>1.2106060606060607</v>
      </c>
      <c r="N138" s="7">
        <f>PERCENTILE($E$2:$E137,0.025)</f>
        <v>0</v>
      </c>
      <c r="O138" s="7">
        <f>PERCENTILE($E$2:$E137,0.165)</f>
        <v>0</v>
      </c>
      <c r="P138" s="7">
        <f>PERCENTILE($E$2:$E137,0.5)</f>
        <v>0</v>
      </c>
      <c r="Q138" s="7">
        <f>PERCENTILE($E$2:$E137,0.835)</f>
        <v>3</v>
      </c>
      <c r="R138" s="7">
        <f>PERCENTILE($E$2:$E137,0.975)</f>
        <v>4</v>
      </c>
    </row>
    <row r="139" spans="1:18" x14ac:dyDescent="0.2">
      <c r="A139" s="5">
        <f>Data!E142</f>
        <v>1996</v>
      </c>
      <c r="B139" s="5">
        <f>Data!M142</f>
        <v>5.1111111111111107E-2</v>
      </c>
      <c r="C139" s="5">
        <f>Data!N142</f>
        <v>1.1111111111111112E-2</v>
      </c>
      <c r="D139" s="5">
        <f ca="1">Data!O142</f>
        <v>29.282483434014736</v>
      </c>
      <c r="E139" s="1">
        <f>Data!AQ142</f>
        <v>3</v>
      </c>
      <c r="F139" t="str">
        <f t="shared" si="2"/>
        <v/>
      </c>
      <c r="G139" s="5">
        <f ca="1">AVERAGE(D$2:D138)</f>
        <v>190.48104361162939</v>
      </c>
      <c r="H139" s="5">
        <f ca="1">PERCENTILE(D$2:D138,0.025)</f>
        <v>4.2798468078362913E-2</v>
      </c>
      <c r="I139" s="5">
        <f ca="1">PERCENTILE(D$2:D138,0.165)</f>
        <v>0.46032130110950331</v>
      </c>
      <c r="J139" s="5">
        <f ca="1">PERCENTILE(D$2:D138,0.5)</f>
        <v>22.663318588898743</v>
      </c>
      <c r="K139" s="5">
        <f ca="1">PERCENTILE(D$2:D138,0.835)</f>
        <v>141.35810116676581</v>
      </c>
      <c r="L139" s="5">
        <f ca="1">PERCENTILE(D$2:D138,0.975)</f>
        <v>1237.2782499792586</v>
      </c>
      <c r="M139" s="7">
        <f>AVERAGE(E$2:E138)</f>
        <v>1.2090225563909776</v>
      </c>
      <c r="N139" s="7">
        <f>PERCENTILE($E$2:$E138,0.025)</f>
        <v>0</v>
      </c>
      <c r="O139" s="7">
        <f>PERCENTILE($E$2:$E138,0.165)</f>
        <v>0</v>
      </c>
      <c r="P139" s="7">
        <f>PERCENTILE($E$2:$E138,0.5)</f>
        <v>0</v>
      </c>
      <c r="Q139" s="7">
        <f>PERCENTILE($E$2:$E138,0.835)</f>
        <v>3</v>
      </c>
      <c r="R139" s="7">
        <f>PERCENTILE($E$2:$E138,0.975)</f>
        <v>4</v>
      </c>
    </row>
    <row r="140" spans="1:18" x14ac:dyDescent="0.2">
      <c r="A140" s="5">
        <f>Data!E143</f>
        <v>1996</v>
      </c>
      <c r="B140" s="5">
        <f>Data!M143</f>
        <v>0.10222222222222221</v>
      </c>
      <c r="C140" s="5">
        <f>Data!N143</f>
        <v>2.2222222222222223E-2</v>
      </c>
      <c r="D140" s="5">
        <f ca="1">Data!O143</f>
        <v>29.282483434014736</v>
      </c>
      <c r="E140" s="1">
        <f>Data!AQ143</f>
        <v>3</v>
      </c>
      <c r="F140" t="str">
        <f t="shared" si="2"/>
        <v/>
      </c>
      <c r="G140" s="5">
        <f ca="1">AVERAGE(D$2:D139)</f>
        <v>189.31293810309595</v>
      </c>
      <c r="H140" s="5">
        <f ca="1">PERCENTILE(D$2:D139,0.025)</f>
        <v>4.2996609134281258E-2</v>
      </c>
      <c r="I140" s="5">
        <f ca="1">PERCENTILE(D$2:D139,0.165)</f>
        <v>0.4694754178929309</v>
      </c>
      <c r="J140" s="5">
        <f ca="1">PERCENTILE(D$2:D139,0.5)</f>
        <v>23.202690885099884</v>
      </c>
      <c r="K140" s="5">
        <f ca="1">PERCENTILE(D$2:D139,0.835)</f>
        <v>137.28506091078401</v>
      </c>
      <c r="L140" s="5">
        <f ca="1">PERCENTILE(D$2:D139,0.975)</f>
        <v>1232.652046348735</v>
      </c>
      <c r="M140" s="7">
        <f>AVERAGE(E$2:E139)</f>
        <v>1.2223880597014927</v>
      </c>
      <c r="N140" s="7">
        <f>PERCENTILE($E$2:$E139,0.025)</f>
        <v>0</v>
      </c>
      <c r="O140" s="7">
        <f>PERCENTILE($E$2:$E139,0.165)</f>
        <v>0</v>
      </c>
      <c r="P140" s="7">
        <f>PERCENTILE($E$2:$E139,0.5)</f>
        <v>0</v>
      </c>
      <c r="Q140" s="7">
        <f>PERCENTILE($E$2:$E139,0.835)</f>
        <v>3</v>
      </c>
      <c r="R140" s="7">
        <f>PERCENTILE($E$2:$E139,0.975)</f>
        <v>4</v>
      </c>
    </row>
    <row r="141" spans="1:18" x14ac:dyDescent="0.2">
      <c r="A141" s="5">
        <f>Data!E144</f>
        <v>1996</v>
      </c>
      <c r="B141" s="5">
        <f>Data!M144</f>
        <v>0.40888888888888886</v>
      </c>
      <c r="C141" s="5">
        <f>Data!N144</f>
        <v>8.8888888888888892E-2</v>
      </c>
      <c r="D141" s="5">
        <f ca="1">Data!O144</f>
        <v>585.64966868029467</v>
      </c>
      <c r="E141" s="1">
        <f>Data!AQ144</f>
        <v>0</v>
      </c>
      <c r="F141" t="str">
        <f t="shared" si="2"/>
        <v/>
      </c>
      <c r="G141" s="5">
        <f ca="1">AVERAGE(D$2:D140)</f>
        <v>188.16163986806657</v>
      </c>
      <c r="H141" s="5">
        <f ca="1">PERCENTILE(D$2:D140,0.025)</f>
        <v>4.3194750190199603E-2</v>
      </c>
      <c r="I141" s="5">
        <f ca="1">PERCENTILE(D$2:D140,0.165)</f>
        <v>0.47862953467635849</v>
      </c>
      <c r="J141" s="5">
        <f ca="1">PERCENTILE(D$2:D140,0.5)</f>
        <v>23.742063181301024</v>
      </c>
      <c r="K141" s="5">
        <f ca="1">PERCENTILE(D$2:D140,0.835)</f>
        <v>133.21202065480222</v>
      </c>
      <c r="L141" s="5">
        <f ca="1">PERCENTILE(D$2:D140,0.975)</f>
        <v>1228.0258427182116</v>
      </c>
      <c r="M141" s="7">
        <f>AVERAGE(E$2:E140)</f>
        <v>1.2355555555555557</v>
      </c>
      <c r="N141" s="7">
        <f>PERCENTILE($E$2:$E140,0.025)</f>
        <v>0</v>
      </c>
      <c r="O141" s="7">
        <f>PERCENTILE($E$2:$E140,0.165)</f>
        <v>0</v>
      </c>
      <c r="P141" s="7">
        <f>PERCENTILE($E$2:$E140,0.5)</f>
        <v>0</v>
      </c>
      <c r="Q141" s="7">
        <f>PERCENTILE($E$2:$E140,0.835)</f>
        <v>3</v>
      </c>
      <c r="R141" s="7">
        <f>PERCENTILE($E$2:$E140,0.975)</f>
        <v>4</v>
      </c>
    </row>
    <row r="142" spans="1:18" x14ac:dyDescent="0.2">
      <c r="A142" s="5">
        <f>Data!E145</f>
        <v>1996</v>
      </c>
      <c r="B142" s="5">
        <f>Data!M145</f>
        <v>0.81777777777777771</v>
      </c>
      <c r="C142" s="5">
        <f>Data!N145</f>
        <v>0.17777777777777778</v>
      </c>
      <c r="D142" s="5">
        <f ca="1">Data!O145</f>
        <v>1328.9742481591302</v>
      </c>
      <c r="E142" s="1">
        <f>Data!AQ145</f>
        <v>0</v>
      </c>
      <c r="F142" t="str">
        <f t="shared" si="2"/>
        <v/>
      </c>
      <c r="G142" s="5">
        <f ca="1">AVERAGE(D$2:D141)</f>
        <v>191.00084007386818</v>
      </c>
      <c r="H142" s="5">
        <f ca="1">PERCENTILE(D$2:D141,0.025)</f>
        <v>4.3392891246117941E-2</v>
      </c>
      <c r="I142" s="5">
        <f ca="1">PERCENTILE(D$2:D141,0.165)</f>
        <v>0.48778365145978625</v>
      </c>
      <c r="J142" s="5">
        <f ca="1">PERCENTILE(D$2:D141,0.5)</f>
        <v>24.309807023063328</v>
      </c>
      <c r="K142" s="5">
        <f ca="1">PERCENTILE(D$2:D141,0.835)</f>
        <v>152.34086098220536</v>
      </c>
      <c r="L142" s="5">
        <f ca="1">PERCENTILE(D$2:D141,0.975)</f>
        <v>1223.3996390876932</v>
      </c>
      <c r="M142" s="7">
        <f>AVERAGE(E$2:E141)</f>
        <v>1.2264705882352942</v>
      </c>
      <c r="N142" s="7">
        <f>PERCENTILE($E$2:$E141,0.025)</f>
        <v>0</v>
      </c>
      <c r="O142" s="7">
        <f>PERCENTILE($E$2:$E141,0.165)</f>
        <v>0</v>
      </c>
      <c r="P142" s="7">
        <f>PERCENTILE($E$2:$E141,0.5)</f>
        <v>0</v>
      </c>
      <c r="Q142" s="7">
        <f>PERCENTILE($E$2:$E141,0.835)</f>
        <v>3</v>
      </c>
      <c r="R142" s="7">
        <f>PERCENTILE($E$2:$E141,0.975)</f>
        <v>4</v>
      </c>
    </row>
    <row r="143" spans="1:18" x14ac:dyDescent="0.2">
      <c r="A143" s="5">
        <f>Data!E146</f>
        <v>1996</v>
      </c>
      <c r="B143" s="5">
        <f>Data!M146</f>
        <v>0.30666666666666664</v>
      </c>
      <c r="C143" s="5">
        <f>Data!N146</f>
        <v>6.6666666666666666E-2</v>
      </c>
      <c r="D143" s="5">
        <f ca="1">Data!O146</f>
        <v>518.0747069094914</v>
      </c>
      <c r="E143" s="1">
        <f>Data!AQ146</f>
        <v>0.1</v>
      </c>
      <c r="F143" t="str">
        <f t="shared" si="2"/>
        <v/>
      </c>
      <c r="G143" s="5">
        <f ca="1">AVERAGE(D$2:D142)</f>
        <v>199.0715734645438</v>
      </c>
      <c r="H143" s="5">
        <f ca="1">PERCENTILE(D$2:D142,0.025)</f>
        <v>4.3591032302036294E-2</v>
      </c>
      <c r="I143" s="5">
        <f ca="1">PERCENTILE(D$2:D142,0.165)</f>
        <v>0.49456007557219361</v>
      </c>
      <c r="J143" s="5">
        <f ca="1">PERCENTILE(D$2:D142,0.5)</f>
        <v>24.877550864825636</v>
      </c>
      <c r="K143" s="5">
        <f ca="1">PERCENTILE(D$2:D142,0.835)</f>
        <v>153.89934522691763</v>
      </c>
      <c r="L143" s="5">
        <f ca="1">PERCENTILE(D$2:D142,0.975)</f>
        <v>1320.1358781133745</v>
      </c>
      <c r="M143" s="7">
        <f>AVERAGE(E$2:E142)</f>
        <v>1.2175182481751825</v>
      </c>
      <c r="N143" s="7">
        <f>PERCENTILE($E$2:$E142,0.025)</f>
        <v>0</v>
      </c>
      <c r="O143" s="7">
        <f>PERCENTILE($E$2:$E142,0.165)</f>
        <v>0</v>
      </c>
      <c r="P143" s="7">
        <f>PERCENTILE($E$2:$E142,0.5)</f>
        <v>0</v>
      </c>
      <c r="Q143" s="7">
        <f>PERCENTILE($E$2:$E142,0.835)</f>
        <v>3</v>
      </c>
      <c r="R143" s="7">
        <f>PERCENTILE($E$2:$E142,0.975)</f>
        <v>4</v>
      </c>
    </row>
    <row r="144" spans="1:18" x14ac:dyDescent="0.2">
      <c r="A144" s="5">
        <f>Data!E147</f>
        <v>1996</v>
      </c>
      <c r="B144" s="5">
        <f>Data!M147</f>
        <v>0.61333333333333329</v>
      </c>
      <c r="C144" s="5">
        <f>Data!N147</f>
        <v>0.13333333333333333</v>
      </c>
      <c r="D144" s="5">
        <f ca="1">Data!O147</f>
        <v>923.5244775343109</v>
      </c>
      <c r="E144" s="1">
        <f>Data!AQ147</f>
        <v>0.1</v>
      </c>
      <c r="F144" t="str">
        <f t="shared" si="2"/>
        <v/>
      </c>
      <c r="G144" s="5">
        <f ca="1">AVERAGE(D$2:D143)</f>
        <v>201.31807440429696</v>
      </c>
      <c r="H144" s="5">
        <f ca="1">PERCENTILE(D$2:D143,0.025)</f>
        <v>4.3789173357954646E-2</v>
      </c>
      <c r="I144" s="5">
        <f ca="1">PERCENTILE(D$2:D143,0.165)</f>
        <v>0.49979099944843791</v>
      </c>
      <c r="J144" s="5">
        <f ca="1">PERCENTILE(D$2:D143,0.5)</f>
        <v>24.942675343529366</v>
      </c>
      <c r="K144" s="5">
        <f ca="1">PERCENTILE(D$2:D143,0.835)</f>
        <v>165.00177961621151</v>
      </c>
      <c r="L144" s="5">
        <f ca="1">PERCENTILE(D$2:D143,0.975)</f>
        <v>1319.6939596110867</v>
      </c>
      <c r="M144" s="7">
        <f>AVERAGE(E$2:E143)</f>
        <v>1.2094202898550726</v>
      </c>
      <c r="N144" s="7">
        <f>PERCENTILE($E$2:$E143,0.025)</f>
        <v>0</v>
      </c>
      <c r="O144" s="7">
        <f>PERCENTILE($E$2:$E143,0.165)</f>
        <v>0</v>
      </c>
      <c r="P144" s="7">
        <f>PERCENTILE($E$2:$E143,0.5)</f>
        <v>0</v>
      </c>
      <c r="Q144" s="7">
        <f>PERCENTILE($E$2:$E143,0.835)</f>
        <v>3</v>
      </c>
      <c r="R144" s="7">
        <f>PERCENTILE($E$2:$E143,0.975)</f>
        <v>4</v>
      </c>
    </row>
    <row r="145" spans="1:18" x14ac:dyDescent="0.2">
      <c r="A145" s="5">
        <f>Data!E148</f>
        <v>1996</v>
      </c>
      <c r="B145" s="5">
        <f>Data!M148</f>
        <v>0.20444444444444443</v>
      </c>
      <c r="C145" s="5">
        <f>Data!N148</f>
        <v>4.4444444444444446E-2</v>
      </c>
      <c r="D145" s="5">
        <f ca="1">Data!O148</f>
        <v>213.98737894087688</v>
      </c>
      <c r="E145" s="1">
        <f>Data!AQ148</f>
        <v>1</v>
      </c>
      <c r="F145" t="str">
        <f t="shared" si="2"/>
        <v/>
      </c>
      <c r="G145" s="5">
        <f ca="1">AVERAGE(D$2:D144)</f>
        <v>206.36846883177958</v>
      </c>
      <c r="H145" s="5">
        <f ca="1">PERCENTILE(D$2:D144,0.025)</f>
        <v>4.3987314413872991E-2</v>
      </c>
      <c r="I145" s="5">
        <f ca="1">PERCENTILE(D$2:D144,0.165)</f>
        <v>0.50502192332468221</v>
      </c>
      <c r="J145" s="5">
        <f ca="1">PERCENTILE(D$2:D144,0.5)</f>
        <v>25.007799822233096</v>
      </c>
      <c r="K145" s="5">
        <f ca="1">PERCENTILE(D$2:D144,0.835)</f>
        <v>181.77664716346055</v>
      </c>
      <c r="L145" s="5">
        <f ca="1">PERCENTILE(D$2:D144,0.975)</f>
        <v>1319.2520411087987</v>
      </c>
      <c r="M145" s="7">
        <f>AVERAGE(E$2:E144)</f>
        <v>1.2014388489208634</v>
      </c>
      <c r="N145" s="7">
        <f>PERCENTILE($E$2:$E144,0.025)</f>
        <v>0</v>
      </c>
      <c r="O145" s="7">
        <f>PERCENTILE($E$2:$E144,0.165)</f>
        <v>0</v>
      </c>
      <c r="P145" s="7">
        <f>PERCENTILE($E$2:$E144,0.5)</f>
        <v>0</v>
      </c>
      <c r="Q145" s="7">
        <f>PERCENTILE($E$2:$E144,0.835)</f>
        <v>3</v>
      </c>
      <c r="R145" s="7">
        <f>PERCENTILE($E$2:$E144,0.975)</f>
        <v>4</v>
      </c>
    </row>
    <row r="146" spans="1:18" x14ac:dyDescent="0.2">
      <c r="A146" s="5">
        <f>Data!E149</f>
        <v>1996</v>
      </c>
      <c r="B146" s="5">
        <f>Data!M149</f>
        <v>0.40888888888888886</v>
      </c>
      <c r="C146" s="5">
        <f>Data!N149</f>
        <v>8.8888888888888892E-2</v>
      </c>
      <c r="D146" s="5">
        <f ca="1">Data!O149</f>
        <v>220.74487511795721</v>
      </c>
      <c r="E146" s="1">
        <f>Data!AQ149</f>
        <v>1</v>
      </c>
      <c r="F146" t="str">
        <f t="shared" si="2"/>
        <v/>
      </c>
      <c r="G146" s="5">
        <f ca="1">AVERAGE(D$2:D145)</f>
        <v>206.42137792975942</v>
      </c>
      <c r="H146" s="5">
        <f ca="1">PERCENTILE(D$2:D145,0.025)</f>
        <v>4.4185455469791336E-2</v>
      </c>
      <c r="I146" s="5">
        <f ca="1">PERCENTILE(D$2:D145,0.165)</f>
        <v>0.51025284720092667</v>
      </c>
      <c r="J146" s="5">
        <f ca="1">PERCENTILE(D$2:D145,0.5)</f>
        <v>25.010563360682596</v>
      </c>
      <c r="K146" s="5">
        <f ca="1">PERCENTILE(D$2:D145,0.835)</f>
        <v>200.58501152300096</v>
      </c>
      <c r="L146" s="5">
        <f ca="1">PERCENTILE(D$2:D145,0.975)</f>
        <v>1318.810122606511</v>
      </c>
      <c r="M146" s="7">
        <f>AVERAGE(E$2:E145)</f>
        <v>1.2</v>
      </c>
      <c r="N146" s="7">
        <f>PERCENTILE($E$2:$E145,0.025)</f>
        <v>0</v>
      </c>
      <c r="O146" s="7">
        <f>PERCENTILE($E$2:$E145,0.165)</f>
        <v>0</v>
      </c>
      <c r="P146" s="7">
        <f>PERCENTILE($E$2:$E145,0.5)</f>
        <v>0</v>
      </c>
      <c r="Q146" s="7">
        <f>PERCENTILE($E$2:$E145,0.835)</f>
        <v>3</v>
      </c>
      <c r="R146" s="7">
        <f>PERCENTILE($E$2:$E145,0.975)</f>
        <v>4</v>
      </c>
    </row>
    <row r="147" spans="1:18" x14ac:dyDescent="0.2">
      <c r="A147" s="5">
        <f>Data!E150</f>
        <v>1996</v>
      </c>
      <c r="B147" s="5">
        <f>Data!M150</f>
        <v>0.10222222222222221</v>
      </c>
      <c r="C147" s="5">
        <f>Data!N150</f>
        <v>2.2222222222222223E-2</v>
      </c>
      <c r="D147" s="5">
        <f ca="1">Data!O150</f>
        <v>87.847450302044194</v>
      </c>
      <c r="E147" s="1">
        <f>Data!AQ150</f>
        <v>3</v>
      </c>
      <c r="F147" t="str">
        <f t="shared" si="2"/>
        <v/>
      </c>
      <c r="G147" s="5">
        <f ca="1">AVERAGE(D$2:D146)</f>
        <v>206.52016066898838</v>
      </c>
      <c r="H147" s="5">
        <f ca="1">PERCENTILE(D$2:D146,0.025)</f>
        <v>4.4383596525709675E-2</v>
      </c>
      <c r="I147" s="5">
        <f ca="1">PERCENTILE(D$2:D146,0.165)</f>
        <v>0.51548377107717103</v>
      </c>
      <c r="J147" s="5">
        <f ca="1">PERCENTILE(D$2:D146,0.5)</f>
        <v>25.0133268991321</v>
      </c>
      <c r="K147" s="5">
        <f ca="1">PERCENTILE(D$2:D146,0.835)</f>
        <v>215.09181908845525</v>
      </c>
      <c r="L147" s="5">
        <f ca="1">PERCENTILE(D$2:D146,0.975)</f>
        <v>1318.3682041042237</v>
      </c>
      <c r="M147" s="7">
        <f>AVERAGE(E$2:E146)</f>
        <v>1.198581560283688</v>
      </c>
      <c r="N147" s="7">
        <f>PERCENTILE($E$2:$E146,0.025)</f>
        <v>0</v>
      </c>
      <c r="O147" s="7">
        <f>PERCENTILE($E$2:$E146,0.165)</f>
        <v>0</v>
      </c>
      <c r="P147" s="7">
        <f>PERCENTILE($E$2:$E146,0.5)</f>
        <v>0</v>
      </c>
      <c r="Q147" s="7">
        <f>PERCENTILE($E$2:$E146,0.835)</f>
        <v>3</v>
      </c>
      <c r="R147" s="7">
        <f>PERCENTILE($E$2:$E146,0.975)</f>
        <v>4</v>
      </c>
    </row>
    <row r="148" spans="1:18" x14ac:dyDescent="0.2">
      <c r="A148" s="5">
        <f>Data!E151</f>
        <v>1996</v>
      </c>
      <c r="B148" s="5">
        <f>Data!M151</f>
        <v>0.20444444444444443</v>
      </c>
      <c r="C148" s="5">
        <f>Data!N151</f>
        <v>4.4444444444444446E-2</v>
      </c>
      <c r="D148" s="5">
        <f ca="1">Data!O151</f>
        <v>87.847450302044194</v>
      </c>
      <c r="E148" s="1">
        <f>Data!AQ151</f>
        <v>3</v>
      </c>
      <c r="F148" t="str">
        <f t="shared" si="2"/>
        <v/>
      </c>
      <c r="G148" s="5">
        <f ca="1">AVERAGE(D$2:D147)</f>
        <v>205.70733388565316</v>
      </c>
      <c r="H148" s="5">
        <f ca="1">PERCENTILE(D$2:D147,0.025)</f>
        <v>4.4581737581628027E-2</v>
      </c>
      <c r="I148" s="5">
        <f ca="1">PERCENTILE(D$2:D147,0.165)</f>
        <v>0.52071469495341527</v>
      </c>
      <c r="J148" s="5">
        <f ca="1">PERCENTILE(D$2:D147,0.5)</f>
        <v>26.703799806979632</v>
      </c>
      <c r="K148" s="5">
        <f ca="1">PERCENTILE(D$2:D147,0.835)</f>
        <v>214.33251648699508</v>
      </c>
      <c r="L148" s="5">
        <f ca="1">PERCENTILE(D$2:D147,0.975)</f>
        <v>1317.9262856019357</v>
      </c>
      <c r="M148" s="7">
        <f>AVERAGE(E$2:E147)</f>
        <v>1.2112676056338028</v>
      </c>
      <c r="N148" s="7">
        <f>PERCENTILE($E$2:$E147,0.025)</f>
        <v>0</v>
      </c>
      <c r="O148" s="7">
        <f>PERCENTILE($E$2:$E147,0.165)</f>
        <v>0</v>
      </c>
      <c r="P148" s="7">
        <f>PERCENTILE($E$2:$E147,0.5)</f>
        <v>0</v>
      </c>
      <c r="Q148" s="7">
        <f>PERCENTILE($E$2:$E147,0.835)</f>
        <v>3</v>
      </c>
      <c r="R148" s="7">
        <f>PERCENTILE($E$2:$E147,0.975)</f>
        <v>4</v>
      </c>
    </row>
    <row r="149" spans="1:18" x14ac:dyDescent="0.2">
      <c r="A149" s="5">
        <f>Data!E152</f>
        <v>1996</v>
      </c>
      <c r="B149" s="5">
        <f>Data!M152</f>
        <v>2.2999999999999998</v>
      </c>
      <c r="C149" s="5">
        <f>Data!N152</f>
        <v>0.5</v>
      </c>
      <c r="D149" s="5">
        <f ca="1">Data!O152</f>
        <v>111.69963093770028</v>
      </c>
      <c r="E149" s="1">
        <f>Data!AQ152</f>
        <v>-2</v>
      </c>
      <c r="F149" t="str">
        <f t="shared" si="2"/>
        <v/>
      </c>
      <c r="G149" s="5">
        <f ca="1">AVERAGE(D$2:D148)</f>
        <v>204.9055659701184</v>
      </c>
      <c r="H149" s="5">
        <f ca="1">PERCENTILE(D$2:D148,0.025)</f>
        <v>4.4779878637546379E-2</v>
      </c>
      <c r="I149" s="5">
        <f ca="1">PERCENTILE(D$2:D148,0.165)</f>
        <v>0.52309238762443544</v>
      </c>
      <c r="J149" s="5">
        <f ca="1">PERCENTILE(D$2:D148,0.5)</f>
        <v>28.394272714827164</v>
      </c>
      <c r="K149" s="5">
        <f ca="1">PERCENTILE(D$2:D148,0.835)</f>
        <v>211.9601300877527</v>
      </c>
      <c r="L149" s="5">
        <f ca="1">PERCENTILE(D$2:D148,0.975)</f>
        <v>1317.4843670996479</v>
      </c>
      <c r="M149" s="7">
        <f>AVERAGE(E$2:E148)</f>
        <v>1.2237762237762237</v>
      </c>
      <c r="N149" s="7">
        <f>PERCENTILE($E$2:$E148,0.025)</f>
        <v>0</v>
      </c>
      <c r="O149" s="7">
        <f>PERCENTILE($E$2:$E148,0.165)</f>
        <v>0</v>
      </c>
      <c r="P149" s="7">
        <f>PERCENTILE($E$2:$E148,0.5)</f>
        <v>0</v>
      </c>
      <c r="Q149" s="7">
        <f>PERCENTILE($E$2:$E148,0.835)</f>
        <v>3</v>
      </c>
      <c r="R149" s="7">
        <f>PERCENTILE($E$2:$E148,0.975)</f>
        <v>4</v>
      </c>
    </row>
    <row r="150" spans="1:18" x14ac:dyDescent="0.2">
      <c r="A150" s="5">
        <f>Data!E153</f>
        <v>1996</v>
      </c>
      <c r="B150" s="5">
        <f>Data!M153</f>
        <v>2.2999999999999998</v>
      </c>
      <c r="C150" s="5">
        <f>Data!N153</f>
        <v>0.5</v>
      </c>
      <c r="D150" s="5">
        <f ca="1">Data!O153</f>
        <v>38.240416922211907</v>
      </c>
      <c r="E150" s="1">
        <f>Data!AQ153</f>
        <v>-2</v>
      </c>
      <c r="F150" t="str">
        <f t="shared" si="2"/>
        <v/>
      </c>
      <c r="G150" s="5">
        <f ca="1">AVERAGE(D$2:D149)</f>
        <v>204.27579613881827</v>
      </c>
      <c r="H150" s="5">
        <f ca="1">PERCENTILE(D$2:D149,0.025)</f>
        <v>4.4978019693464724E-2</v>
      </c>
      <c r="I150" s="5">
        <f ca="1">PERCENTILE(D$2:D149,0.165)</f>
        <v>0.52309238762443544</v>
      </c>
      <c r="J150" s="5">
        <f ca="1">PERCENTILE(D$2:D149,0.5)</f>
        <v>28.394272714827164</v>
      </c>
      <c r="K150" s="5">
        <f ca="1">PERCENTILE(D$2:D149,0.835)</f>
        <v>208.2435071903584</v>
      </c>
      <c r="L150" s="5">
        <f ca="1">PERCENTILE(D$2:D149,0.975)</f>
        <v>1317.0424485973599</v>
      </c>
      <c r="M150" s="7">
        <f>AVERAGE(E$2:E149)</f>
        <v>1.2013888888888888</v>
      </c>
      <c r="N150" s="7">
        <f>PERCENTILE($E$2:$E149,0.025)</f>
        <v>0</v>
      </c>
      <c r="O150" s="7">
        <f>PERCENTILE($E$2:$E149,0.165)</f>
        <v>0</v>
      </c>
      <c r="P150" s="7">
        <f>PERCENTILE($E$2:$E149,0.5)</f>
        <v>0</v>
      </c>
      <c r="Q150" s="7">
        <f>PERCENTILE($E$2:$E149,0.835)</f>
        <v>3</v>
      </c>
      <c r="R150" s="7">
        <f>PERCENTILE($E$2:$E149,0.975)</f>
        <v>4</v>
      </c>
    </row>
    <row r="151" spans="1:18" x14ac:dyDescent="0.2">
      <c r="A151" s="5">
        <f>Data!E154</f>
        <v>1996</v>
      </c>
      <c r="B151" s="5">
        <f>Data!M154</f>
        <v>2.6</v>
      </c>
      <c r="C151" s="5">
        <f>Data!N154</f>
        <v>1</v>
      </c>
      <c r="D151" s="5">
        <f ca="1">Data!O154</f>
        <v>1671.7122151786623</v>
      </c>
      <c r="E151" s="1">
        <f>Data!AQ154</f>
        <v>-2</v>
      </c>
      <c r="F151" t="str">
        <f t="shared" si="2"/>
        <v/>
      </c>
      <c r="G151" s="5">
        <f ca="1">AVERAGE(D$2:D150)</f>
        <v>203.16146473467998</v>
      </c>
      <c r="H151" s="5">
        <f ca="1">PERCENTILE(D$2:D150,0.025)</f>
        <v>4.5176160749383069E-2</v>
      </c>
      <c r="I151" s="5">
        <f ca="1">PERCENTILE(D$2:D150,0.165)</f>
        <v>0.52309238762443544</v>
      </c>
      <c r="J151" s="5">
        <f ca="1">PERCENTILE(D$2:D150,0.5)</f>
        <v>28.394272714827164</v>
      </c>
      <c r="K151" s="5">
        <f ca="1">PERCENTILE(D$2:D150,0.835)</f>
        <v>204.52688429296441</v>
      </c>
      <c r="L151" s="5">
        <f ca="1">PERCENTILE(D$2:D150,0.975)</f>
        <v>1316.6005300950721</v>
      </c>
      <c r="M151" s="7">
        <f>AVERAGE(E$2:E150)</f>
        <v>1.1793103448275861</v>
      </c>
      <c r="N151" s="7">
        <f>PERCENTILE($E$2:$E150,0.025)</f>
        <v>0</v>
      </c>
      <c r="O151" s="7">
        <f>PERCENTILE($E$2:$E150,0.165)</f>
        <v>0</v>
      </c>
      <c r="P151" s="7">
        <f>PERCENTILE($E$2:$E150,0.5)</f>
        <v>0</v>
      </c>
      <c r="Q151" s="7">
        <f>PERCENTILE($E$2:$E150,0.835)</f>
        <v>3</v>
      </c>
      <c r="R151" s="7">
        <f>PERCENTILE($E$2:$E150,0.975)</f>
        <v>4</v>
      </c>
    </row>
    <row r="152" spans="1:18" x14ac:dyDescent="0.2">
      <c r="A152" s="5">
        <f>Data!E155</f>
        <v>1996</v>
      </c>
      <c r="B152" s="5">
        <f>Data!M155</f>
        <v>0.45999999999999996</v>
      </c>
      <c r="C152" s="5">
        <f>Data!N155</f>
        <v>0.1</v>
      </c>
      <c r="D152" s="5">
        <f ca="1">Data!O155</f>
        <v>15.767491079854087</v>
      </c>
      <c r="E152" s="1">
        <f>Data!AQ155</f>
        <v>2</v>
      </c>
      <c r="F152" t="str">
        <f t="shared" si="2"/>
        <v/>
      </c>
      <c r="G152" s="5">
        <f ca="1">AVERAGE(D$2:D151)</f>
        <v>212.95180307097317</v>
      </c>
      <c r="H152" s="5">
        <f ca="1">PERCENTILE(D$2:D151,0.025)</f>
        <v>4.5374301805301408E-2</v>
      </c>
      <c r="I152" s="5">
        <f ca="1">PERCENTILE(D$2:D151,0.165)</f>
        <v>0.52309238762443544</v>
      </c>
      <c r="J152" s="5">
        <f ca="1">PERCENTILE(D$2:D151,0.5)</f>
        <v>28.394272714827164</v>
      </c>
      <c r="K152" s="5">
        <f ca="1">PERCENTILE(D$2:D151,0.835)</f>
        <v>215.8971400293978</v>
      </c>
      <c r="L152" s="5">
        <f ca="1">PERCENTILE(D$2:D151,0.975)</f>
        <v>1423.2271890895036</v>
      </c>
      <c r="M152" s="7">
        <f>AVERAGE(E$2:E151)</f>
        <v>1.1575342465753424</v>
      </c>
      <c r="N152" s="7">
        <f>PERCENTILE($E$2:$E151,0.025)</f>
        <v>-0.75</v>
      </c>
      <c r="O152" s="7">
        <f>PERCENTILE($E$2:$E151,0.165)</f>
        <v>0</v>
      </c>
      <c r="P152" s="7">
        <f>PERCENTILE($E$2:$E151,0.5)</f>
        <v>0</v>
      </c>
      <c r="Q152" s="7">
        <f>PERCENTILE($E$2:$E151,0.835)</f>
        <v>3</v>
      </c>
      <c r="R152" s="7">
        <f>PERCENTILE($E$2:$E151,0.975)</f>
        <v>4</v>
      </c>
    </row>
    <row r="153" spans="1:18" x14ac:dyDescent="0.2">
      <c r="A153" s="5">
        <f>Data!E156</f>
        <v>1996</v>
      </c>
      <c r="B153" s="5">
        <f>Data!M156</f>
        <v>4.5999999999999996</v>
      </c>
      <c r="C153" s="5">
        <f>Data!N156</f>
        <v>1</v>
      </c>
      <c r="D153" s="5">
        <f ca="1">Data!O156</f>
        <v>54.059969416642588</v>
      </c>
      <c r="E153" s="1">
        <f>Data!AQ156</f>
        <v>2</v>
      </c>
      <c r="F153" t="str">
        <f t="shared" si="2"/>
        <v/>
      </c>
      <c r="G153" s="5">
        <f ca="1">AVERAGE(D$2:D152)</f>
        <v>211.64594670017107</v>
      </c>
      <c r="H153" s="5">
        <f ca="1">PERCENTILE(D$2:D152,0.025)</f>
        <v>4.557244286121976E-2</v>
      </c>
      <c r="I153" s="5">
        <f ca="1">PERCENTILE(D$2:D152,0.165)</f>
        <v>0.52309238762443544</v>
      </c>
      <c r="J153" s="5">
        <f ca="1">PERCENTILE(D$2:D152,0.5)</f>
        <v>28.394272714827164</v>
      </c>
      <c r="K153" s="5">
        <f ca="1">PERCENTILE(D$2:D152,0.835)</f>
        <v>215.13783742793771</v>
      </c>
      <c r="L153" s="5">
        <f ca="1">PERCENTILE(D$2:D152,0.975)</f>
        <v>1414.6587399140133</v>
      </c>
      <c r="M153" s="7">
        <f>AVERAGE(E$2:E152)</f>
        <v>1.1632653061224489</v>
      </c>
      <c r="N153" s="7">
        <f>PERCENTILE($E$2:$E152,0.025)</f>
        <v>-0.69999999999999929</v>
      </c>
      <c r="O153" s="7">
        <f>PERCENTILE($E$2:$E152,0.165)</f>
        <v>0</v>
      </c>
      <c r="P153" s="7">
        <f>PERCENTILE($E$2:$E152,0.5)</f>
        <v>0</v>
      </c>
      <c r="Q153" s="7">
        <f>PERCENTILE($E$2:$E152,0.835)</f>
        <v>3</v>
      </c>
      <c r="R153" s="7">
        <f>PERCENTILE($E$2:$E152,0.975)</f>
        <v>4</v>
      </c>
    </row>
    <row r="154" spans="1:18" x14ac:dyDescent="0.2">
      <c r="A154" s="5">
        <f>Data!E157</f>
        <v>1996</v>
      </c>
      <c r="B154" s="5">
        <f>Data!M157</f>
        <v>0.45999999999999996</v>
      </c>
      <c r="C154" s="5">
        <f>Data!N157</f>
        <v>0.1</v>
      </c>
      <c r="D154" s="5">
        <f ca="1">Data!O157</f>
        <v>20.27248853124097</v>
      </c>
      <c r="E154" s="1">
        <f>Data!AQ157</f>
        <v>2</v>
      </c>
      <c r="F154" t="str">
        <f t="shared" si="2"/>
        <v/>
      </c>
      <c r="G154" s="5">
        <f ca="1">AVERAGE(D$2:D153)</f>
        <v>210.60919684962153</v>
      </c>
      <c r="H154" s="5">
        <f ca="1">PERCENTILE(D$2:D153,0.025)</f>
        <v>4.5770583917138112E-2</v>
      </c>
      <c r="I154" s="5">
        <f ca="1">PERCENTILE(D$2:D153,0.165)</f>
        <v>0.52309238762443544</v>
      </c>
      <c r="J154" s="5">
        <f ca="1">PERCENTILE(D$2:D153,0.5)</f>
        <v>28.394272714827164</v>
      </c>
      <c r="K154" s="5">
        <f ca="1">PERCENTILE(D$2:D153,0.835)</f>
        <v>214.37853482647753</v>
      </c>
      <c r="L154" s="5">
        <f ca="1">PERCENTILE(D$2:D153,0.975)</f>
        <v>1406.090290738523</v>
      </c>
      <c r="M154" s="7">
        <f>AVERAGE(E$2:E153)</f>
        <v>1.1689189189189189</v>
      </c>
      <c r="N154" s="7">
        <f>PERCENTILE($E$2:$E153,0.025)</f>
        <v>-0.64999999999999858</v>
      </c>
      <c r="O154" s="7">
        <f>PERCENTILE($E$2:$E153,0.165)</f>
        <v>0</v>
      </c>
      <c r="P154" s="7">
        <f>PERCENTILE($E$2:$E153,0.5)</f>
        <v>0</v>
      </c>
      <c r="Q154" s="7">
        <f>PERCENTILE($E$2:$E153,0.835)</f>
        <v>3</v>
      </c>
      <c r="R154" s="7">
        <f>PERCENTILE($E$2:$E153,0.975)</f>
        <v>4</v>
      </c>
    </row>
    <row r="155" spans="1:18" x14ac:dyDescent="0.2">
      <c r="A155" s="5">
        <f>Data!E158</f>
        <v>1996</v>
      </c>
      <c r="B155" s="5">
        <f>Data!M158</f>
        <v>0.45999999999999996</v>
      </c>
      <c r="C155" s="5">
        <f>Data!N158</f>
        <v>0.1</v>
      </c>
      <c r="D155" s="5">
        <f ca="1">Data!O158</f>
        <v>42.797475788175376</v>
      </c>
      <c r="E155" s="1">
        <f>Data!AQ158</f>
        <v>2</v>
      </c>
      <c r="F155" t="str">
        <f t="shared" si="2"/>
        <v/>
      </c>
      <c r="G155" s="5">
        <f ca="1">AVERAGE(D$2:D154)</f>
        <v>209.36516607629878</v>
      </c>
      <c r="H155" s="5">
        <f ca="1">PERCENTILE(D$2:D154,0.025)</f>
        <v>4.5968724973056457E-2</v>
      </c>
      <c r="I155" s="5">
        <f ca="1">PERCENTILE(D$2:D154,0.165)</f>
        <v>0.5249945417612516</v>
      </c>
      <c r="J155" s="5">
        <f ca="1">PERCENTILE(D$2:D154,0.5)</f>
        <v>28.394272714827164</v>
      </c>
      <c r="K155" s="5">
        <f ca="1">PERCENTILE(D$2:D154,0.835)</f>
        <v>212.18537996032185</v>
      </c>
      <c r="L155" s="5">
        <f ca="1">PERCENTILE(D$2:D154,0.975)</f>
        <v>1397.5218415630327</v>
      </c>
      <c r="M155" s="7">
        <f>AVERAGE(E$2:E154)</f>
        <v>1.174496644295302</v>
      </c>
      <c r="N155" s="7">
        <f>PERCENTILE($E$2:$E154,0.025)</f>
        <v>-0.59999999999999964</v>
      </c>
      <c r="O155" s="7">
        <f>PERCENTILE($E$2:$E154,0.165)</f>
        <v>0</v>
      </c>
      <c r="P155" s="7">
        <f>PERCENTILE($E$2:$E154,0.5)</f>
        <v>0</v>
      </c>
      <c r="Q155" s="7">
        <f>PERCENTILE($E$2:$E154,0.835)</f>
        <v>3</v>
      </c>
      <c r="R155" s="7">
        <f>PERCENTILE($E$2:$E154,0.975)</f>
        <v>4</v>
      </c>
    </row>
    <row r="156" spans="1:18" x14ac:dyDescent="0.2">
      <c r="A156" s="5">
        <f>Data!E159</f>
        <v>1996</v>
      </c>
      <c r="B156" s="5">
        <f>Data!M159</f>
        <v>3.36</v>
      </c>
      <c r="C156" s="5">
        <f>Data!N159</f>
        <v>0.6</v>
      </c>
      <c r="D156" s="5">
        <f ca="1">Data!O159</f>
        <v>11.262493628467205</v>
      </c>
      <c r="E156" s="1">
        <f>Data!AQ159</f>
        <v>2</v>
      </c>
      <c r="F156" t="str">
        <f t="shared" si="2"/>
        <v/>
      </c>
      <c r="G156" s="5">
        <f ca="1">AVERAGE(D$2:D155)</f>
        <v>208.28355769780447</v>
      </c>
      <c r="H156" s="5">
        <f ca="1">PERCENTILE(D$2:D155,0.025)</f>
        <v>4.6166866028974803E-2</v>
      </c>
      <c r="I156" s="5">
        <f ca="1">PERCENTILE(D$2:D155,0.165)</f>
        <v>0.52891773466843484</v>
      </c>
      <c r="J156" s="5">
        <f ca="1">PERCENTILE(D$2:D155,0.5)</f>
        <v>28.394272714827164</v>
      </c>
      <c r="K156" s="5">
        <f ca="1">PERCENTILE(D$2:D155,0.835)</f>
        <v>208.46875706292786</v>
      </c>
      <c r="L156" s="5">
        <f ca="1">PERCENTILE(D$2:D155,0.975)</f>
        <v>1388.9533923875424</v>
      </c>
      <c r="M156" s="7">
        <f>AVERAGE(E$2:E155)</f>
        <v>1.18</v>
      </c>
      <c r="N156" s="7">
        <f>PERCENTILE($E$2:$E155,0.025)</f>
        <v>-0.55000000000000071</v>
      </c>
      <c r="O156" s="7">
        <f>PERCENTILE($E$2:$E155,0.165)</f>
        <v>0</v>
      </c>
      <c r="P156" s="7">
        <f>PERCENTILE($E$2:$E155,0.5)</f>
        <v>0</v>
      </c>
      <c r="Q156" s="7">
        <f>PERCENTILE($E$2:$E155,0.835)</f>
        <v>3</v>
      </c>
      <c r="R156" s="7">
        <f>PERCENTILE($E$2:$E155,0.975)</f>
        <v>4</v>
      </c>
    </row>
    <row r="157" spans="1:18" x14ac:dyDescent="0.2">
      <c r="A157" s="5">
        <f>Data!E160</f>
        <v>1996</v>
      </c>
      <c r="B157" s="5">
        <f>Data!M160</f>
        <v>0.45999999999999996</v>
      </c>
      <c r="C157" s="5">
        <f>Data!N160</f>
        <v>0.1</v>
      </c>
      <c r="D157" s="5">
        <f ca="1">Data!O160</f>
        <v>65.322463045109799</v>
      </c>
      <c r="E157" s="1">
        <f>Data!AQ160</f>
        <v>2</v>
      </c>
      <c r="F157" t="str">
        <f t="shared" si="2"/>
        <v/>
      </c>
      <c r="G157" s="5">
        <f ca="1">AVERAGE(D$2:D156)</f>
        <v>207.01245405864745</v>
      </c>
      <c r="H157" s="5">
        <f ca="1">PERCENTILE(D$2:D156,0.025)</f>
        <v>4.6365007084893141E-2</v>
      </c>
      <c r="I157" s="5">
        <f ca="1">PERCENTILE(D$2:D156,0.165)</f>
        <v>0.53284092757561818</v>
      </c>
      <c r="J157" s="5">
        <f ca="1">PERCENTILE(D$2:D156,0.5)</f>
        <v>28.394272714827164</v>
      </c>
      <c r="K157" s="5">
        <f ca="1">PERCENTILE(D$2:D156,0.835)</f>
        <v>204.75213416553387</v>
      </c>
      <c r="L157" s="5">
        <f ca="1">PERCENTILE(D$2:D156,0.975)</f>
        <v>1380.3849432120619</v>
      </c>
      <c r="M157" s="7">
        <f>AVERAGE(E$2:E156)</f>
        <v>1.185430463576159</v>
      </c>
      <c r="N157" s="7">
        <f>PERCENTILE($E$2:$E156,0.025)</f>
        <v>-0.5</v>
      </c>
      <c r="O157" s="7">
        <f>PERCENTILE($E$2:$E156,0.165)</f>
        <v>0</v>
      </c>
      <c r="P157" s="7">
        <f>PERCENTILE($E$2:$E156,0.5)</f>
        <v>0</v>
      </c>
      <c r="Q157" s="7">
        <f>PERCENTILE($E$2:$E156,0.835)</f>
        <v>3</v>
      </c>
      <c r="R157" s="7">
        <f>PERCENTILE($E$2:$E156,0.975)</f>
        <v>4</v>
      </c>
    </row>
    <row r="158" spans="1:18" x14ac:dyDescent="0.2">
      <c r="A158" s="5">
        <f>Data!E161</f>
        <v>1996</v>
      </c>
      <c r="B158" s="5">
        <f>Data!M161</f>
        <v>5.6</v>
      </c>
      <c r="C158" s="5">
        <f>Data!N161</f>
        <v>1</v>
      </c>
      <c r="D158" s="5">
        <f ca="1">Data!O161</f>
        <v>11.999665855604118</v>
      </c>
      <c r="E158" s="1">
        <f>Data!AQ161</f>
        <v>3</v>
      </c>
      <c r="F158" t="str">
        <f t="shared" si="2"/>
        <v/>
      </c>
      <c r="G158" s="5">
        <f ca="1">AVERAGE(D$2:D157)</f>
        <v>206.10418488548376</v>
      </c>
      <c r="H158" s="5">
        <f ca="1">PERCENTILE(D$2:D157,0.025)</f>
        <v>4.6563148140811493E-2</v>
      </c>
      <c r="I158" s="5">
        <f ca="1">PERCENTILE(D$2:D157,0.165)</f>
        <v>0.53676412048280153</v>
      </c>
      <c r="J158" s="5">
        <f ca="1">PERCENTILE(D$2:D157,0.5)</f>
        <v>28.394272714827164</v>
      </c>
      <c r="K158" s="5">
        <f ca="1">PERCENTILE(D$2:D157,0.835)</f>
        <v>201.03551126813923</v>
      </c>
      <c r="L158" s="5">
        <f ca="1">PERCENTILE(D$2:D157,0.975)</f>
        <v>1371.8164940365716</v>
      </c>
      <c r="M158" s="7">
        <f>AVERAGE(E$2:E157)</f>
        <v>1.1907894736842106</v>
      </c>
      <c r="N158" s="7">
        <f>PERCENTILE($E$2:$E157,0.025)</f>
        <v>-0.44999999999999929</v>
      </c>
      <c r="O158" s="7">
        <f>PERCENTILE($E$2:$E157,0.165)</f>
        <v>0</v>
      </c>
      <c r="P158" s="7">
        <f>PERCENTILE($E$2:$E157,0.5)</f>
        <v>0</v>
      </c>
      <c r="Q158" s="7">
        <f>PERCENTILE($E$2:$E157,0.835)</f>
        <v>3</v>
      </c>
      <c r="R158" s="7">
        <f>PERCENTILE($E$2:$E157,0.975)</f>
        <v>4</v>
      </c>
    </row>
    <row r="159" spans="1:18" x14ac:dyDescent="0.2">
      <c r="A159" s="5">
        <f>Data!E18</f>
        <v>1997</v>
      </c>
      <c r="B159" s="5">
        <f>Data!M18</f>
        <v>4.7</v>
      </c>
      <c r="C159" s="5">
        <f>Data!N18</f>
        <v>1</v>
      </c>
      <c r="D159" s="5">
        <f ca="1">Data!O18</f>
        <v>157.70476717600803</v>
      </c>
      <c r="E159" s="1" t="str">
        <f>Data!AQ18</f>
        <v>NA</v>
      </c>
      <c r="F159">
        <f t="shared" si="2"/>
        <v>1997</v>
      </c>
      <c r="G159" s="5">
        <f ca="1">AVERAGE(D$2:D158)</f>
        <v>204.86785036936988</v>
      </c>
      <c r="H159" s="5">
        <f ca="1">PERCENTILE(D$2:D158,0.025)</f>
        <v>4.6761289196729845E-2</v>
      </c>
      <c r="I159" s="5">
        <f ca="1">PERCENTILE(D$2:D158,0.165)</f>
        <v>0.54068731338998477</v>
      </c>
      <c r="J159" s="5">
        <f ca="1">PERCENTILE(D$2:D158,0.5)</f>
        <v>28.394272714827164</v>
      </c>
      <c r="K159" s="5">
        <f ca="1">PERCENTILE(D$2:D158,0.835)</f>
        <v>197.31888837074524</v>
      </c>
      <c r="L159" s="5">
        <f ca="1">PERCENTILE(D$2:D158,0.975)</f>
        <v>1363.2480448610816</v>
      </c>
      <c r="M159" s="7">
        <f>AVERAGE(E$2:E158)</f>
        <v>1.2026143790849673</v>
      </c>
      <c r="N159" s="7">
        <f>PERCENTILE($E$2:$E158,0.025)</f>
        <v>-0.39999999999999858</v>
      </c>
      <c r="O159" s="7">
        <f>PERCENTILE($E$2:$E158,0.165)</f>
        <v>0</v>
      </c>
      <c r="P159" s="7">
        <f>PERCENTILE($E$2:$E158,0.5)</f>
        <v>0</v>
      </c>
      <c r="Q159" s="7">
        <f>PERCENTILE($E$2:$E158,0.835)</f>
        <v>3</v>
      </c>
      <c r="R159" s="7">
        <f>PERCENTILE($E$2:$E158,0.975)</f>
        <v>4</v>
      </c>
    </row>
    <row r="160" spans="1:18" x14ac:dyDescent="0.2">
      <c r="A160" s="5">
        <f>Data!E162</f>
        <v>1997</v>
      </c>
      <c r="B160" s="5">
        <f>Data!M162</f>
        <v>4.2300000000000004</v>
      </c>
      <c r="C160" s="5">
        <f>Data!N162</f>
        <v>0.9</v>
      </c>
      <c r="D160" s="5">
        <f ca="1">Data!O162</f>
        <v>22.56479976724264</v>
      </c>
      <c r="E160" s="1">
        <f>Data!AQ162</f>
        <v>3</v>
      </c>
      <c r="F160" t="str">
        <f t="shared" si="2"/>
        <v/>
      </c>
      <c r="G160" s="5">
        <f ca="1">AVERAGE(D$2:D159)</f>
        <v>204.56934984282961</v>
      </c>
      <c r="H160" s="5">
        <f ca="1">PERCENTILE(D$2:D159,0.025)</f>
        <v>4.695943025264819E-2</v>
      </c>
      <c r="I160" s="5">
        <f ca="1">PERCENTILE(D$2:D159,0.165)</f>
        <v>0.54461050629716801</v>
      </c>
      <c r="J160" s="5">
        <f ca="1">PERCENTILE(D$2:D159,0.5)</f>
        <v>28.394272714827164</v>
      </c>
      <c r="K160" s="5">
        <f ca="1">PERCENTILE(D$2:D159,0.835)</f>
        <v>193.60226547335125</v>
      </c>
      <c r="L160" s="5">
        <f ca="1">PERCENTILE(D$2:D159,0.975)</f>
        <v>1354.6795956855913</v>
      </c>
      <c r="M160" s="7">
        <f>AVERAGE(E$2:E159)</f>
        <v>1.2026143790849673</v>
      </c>
      <c r="N160" s="7">
        <f>PERCENTILE($E$2:$E159,0.025)</f>
        <v>-0.39999999999999858</v>
      </c>
      <c r="O160" s="7">
        <f>PERCENTILE($E$2:$E159,0.165)</f>
        <v>0</v>
      </c>
      <c r="P160" s="7">
        <f>PERCENTILE($E$2:$E159,0.5)</f>
        <v>0</v>
      </c>
      <c r="Q160" s="7">
        <f>PERCENTILE($E$2:$E159,0.835)</f>
        <v>3</v>
      </c>
      <c r="R160" s="7">
        <f>PERCENTILE($E$2:$E159,0.975)</f>
        <v>4</v>
      </c>
    </row>
    <row r="161" spans="1:18" x14ac:dyDescent="0.2">
      <c r="A161" s="5">
        <f>Data!E163</f>
        <v>1997</v>
      </c>
      <c r="B161" s="5">
        <f>Data!M163</f>
        <v>0.47000000000000003</v>
      </c>
      <c r="C161" s="5">
        <f>Data!N163</f>
        <v>0.1</v>
      </c>
      <c r="D161" s="5">
        <f ca="1">Data!O163</f>
        <v>12.115979256466192</v>
      </c>
      <c r="E161" s="1">
        <f>Data!AQ163</f>
        <v>3</v>
      </c>
      <c r="F161" t="str">
        <f t="shared" si="2"/>
        <v/>
      </c>
      <c r="G161" s="5">
        <f ca="1">AVERAGE(D$2:D160)</f>
        <v>203.4246671379517</v>
      </c>
      <c r="H161" s="5">
        <f ca="1">PERCENTILE(D$2:D160,0.025)</f>
        <v>4.7157571308566536E-2</v>
      </c>
      <c r="I161" s="5">
        <f ca="1">PERCENTILE(D$2:D160,0.165)</f>
        <v>0.55519123868320774</v>
      </c>
      <c r="J161" s="5">
        <f ca="1">PERCENTILE(D$2:D160,0.5)</f>
        <v>28.394272714827164</v>
      </c>
      <c r="K161" s="5">
        <f ca="1">PERCENTILE(D$2:D160,0.835)</f>
        <v>189.88564257595726</v>
      </c>
      <c r="L161" s="5">
        <f ca="1">PERCENTILE(D$2:D160,0.975)</f>
        <v>1346.111146510101</v>
      </c>
      <c r="M161" s="7">
        <f>AVERAGE(E$2:E160)</f>
        <v>1.2142857142857142</v>
      </c>
      <c r="N161" s="7">
        <f>PERCENTILE($E$2:$E160,0.025)</f>
        <v>-0.34999999999999964</v>
      </c>
      <c r="O161" s="7">
        <f>PERCENTILE($E$2:$E160,0.165)</f>
        <v>0</v>
      </c>
      <c r="P161" s="7">
        <f>PERCENTILE($E$2:$E160,0.5)</f>
        <v>0.05</v>
      </c>
      <c r="Q161" s="7">
        <f>PERCENTILE($E$2:$E160,0.835)</f>
        <v>3</v>
      </c>
      <c r="R161" s="7">
        <f>PERCENTILE($E$2:$E160,0.975)</f>
        <v>4</v>
      </c>
    </row>
    <row r="162" spans="1:18" x14ac:dyDescent="0.2">
      <c r="A162" s="5">
        <f>Data!E164</f>
        <v>1999</v>
      </c>
      <c r="B162" s="5">
        <f>Data!M164</f>
        <v>2.4500000000000002</v>
      </c>
      <c r="C162" s="5">
        <f>Data!N164</f>
        <v>0.5</v>
      </c>
      <c r="D162" s="5">
        <f ca="1">Data!O164</f>
        <v>304.6569365900155</v>
      </c>
      <c r="E162" s="1">
        <f>Data!AQ164</f>
        <v>-1</v>
      </c>
      <c r="F162">
        <f t="shared" si="2"/>
        <v>1999</v>
      </c>
      <c r="G162" s="5">
        <f ca="1">AVERAGE(D$2:D161)</f>
        <v>202.2289878386924</v>
      </c>
      <c r="H162" s="5">
        <f ca="1">PERCENTILE(D$2:D161,0.025)</f>
        <v>4.7355712364484874E-2</v>
      </c>
      <c r="I162" s="5">
        <f ca="1">PERCENTILE(D$2:D161,0.165)</f>
        <v>0.57480720321912437</v>
      </c>
      <c r="J162" s="5">
        <f ca="1">PERCENTILE(D$2:D161,0.5)</f>
        <v>28.394272714827164</v>
      </c>
      <c r="K162" s="5">
        <f ca="1">PERCENTILE(D$2:D161,0.835)</f>
        <v>186.16901967856262</v>
      </c>
      <c r="L162" s="5">
        <f ca="1">PERCENTILE(D$2:D161,0.975)</f>
        <v>1337.5426973346205</v>
      </c>
      <c r="M162" s="7">
        <f>AVERAGE(E$2:E161)</f>
        <v>1.2258064516129032</v>
      </c>
      <c r="N162" s="7">
        <f>PERCENTILE($E$2:$E161,0.025)</f>
        <v>-0.30000000000000071</v>
      </c>
      <c r="O162" s="7">
        <f>PERCENTILE($E$2:$E161,0.165)</f>
        <v>0</v>
      </c>
      <c r="P162" s="7">
        <f>PERCENTILE($E$2:$E161,0.5)</f>
        <v>0.1</v>
      </c>
      <c r="Q162" s="7">
        <f>PERCENTILE($E$2:$E161,0.835)</f>
        <v>3</v>
      </c>
      <c r="R162" s="7">
        <f>PERCENTILE($E$2:$E161,0.975)</f>
        <v>4</v>
      </c>
    </row>
    <row r="163" spans="1:18" x14ac:dyDescent="0.2">
      <c r="A163" s="5">
        <f>Data!E165</f>
        <v>1999</v>
      </c>
      <c r="B163" s="5">
        <f>Data!M165</f>
        <v>2.4500000000000002</v>
      </c>
      <c r="C163" s="5">
        <f>Data!N165</f>
        <v>0.5</v>
      </c>
      <c r="D163" s="5">
        <f ca="1">Data!O165</f>
        <v>125.44697389000639</v>
      </c>
      <c r="E163" s="1">
        <f>Data!AQ165</f>
        <v>1</v>
      </c>
      <c r="F163" t="str">
        <f t="shared" si="2"/>
        <v/>
      </c>
      <c r="G163" s="5">
        <f ca="1">AVERAGE(D$2:D162)</f>
        <v>202.86518627814161</v>
      </c>
      <c r="H163" s="5">
        <f ca="1">PERCENTILE(D$2:D162,0.025)</f>
        <v>4.7553853420403226E-2</v>
      </c>
      <c r="I163" s="5">
        <f ca="1">PERCENTILE(D$2:D162,0.165)</f>
        <v>0.59442316775504067</v>
      </c>
      <c r="J163" s="5">
        <f ca="1">PERCENTILE(D$2:D162,0.5)</f>
        <v>28.394272714827164</v>
      </c>
      <c r="K163" s="5">
        <f ca="1">PERCENTILE(D$2:D162,0.835)</f>
        <v>204.977384038103</v>
      </c>
      <c r="L163" s="5">
        <f ca="1">PERCENTILE(D$2:D162,0.975)</f>
        <v>1328.9742481591302</v>
      </c>
      <c r="M163" s="7">
        <f>AVERAGE(E$2:E162)</f>
        <v>1.2115384615384615</v>
      </c>
      <c r="N163" s="7">
        <f>PERCENTILE($E$2:$E162,0.025)</f>
        <v>-1.125</v>
      </c>
      <c r="O163" s="7">
        <f>PERCENTILE($E$2:$E162,0.165)</f>
        <v>0</v>
      </c>
      <c r="P163" s="7">
        <f>PERCENTILE($E$2:$E162,0.5)</f>
        <v>0.05</v>
      </c>
      <c r="Q163" s="7">
        <f>PERCENTILE($E$2:$E162,0.835)</f>
        <v>3</v>
      </c>
      <c r="R163" s="7">
        <f>PERCENTILE($E$2:$E162,0.975)</f>
        <v>4</v>
      </c>
    </row>
    <row r="164" spans="1:18" x14ac:dyDescent="0.2">
      <c r="A164" s="5">
        <f>Data!E166</f>
        <v>1999</v>
      </c>
      <c r="B164" s="5">
        <f>Data!M166</f>
        <v>2.4500000000000002</v>
      </c>
      <c r="C164" s="5">
        <f>Data!N166</f>
        <v>0.5</v>
      </c>
      <c r="D164" s="5">
        <f ca="1">Data!O166</f>
        <v>286.73594032001461</v>
      </c>
      <c r="E164" s="1">
        <f>Data!AQ166</f>
        <v>-1</v>
      </c>
      <c r="F164" t="str">
        <f t="shared" si="2"/>
        <v/>
      </c>
      <c r="G164" s="5">
        <f ca="1">AVERAGE(D$2:D163)</f>
        <v>202.38729607821486</v>
      </c>
      <c r="H164" s="5">
        <f ca="1">PERCENTILE(D$2:D163,0.025)</f>
        <v>4.7553853420403226E-2</v>
      </c>
      <c r="I164" s="5">
        <f ca="1">PERCENTILE(D$2:D163,0.165)</f>
        <v>0.61403913229095686</v>
      </c>
      <c r="J164" s="5">
        <f ca="1">PERCENTILE(D$2:D163,0.5)</f>
        <v>28.394272714827164</v>
      </c>
      <c r="K164" s="5">
        <f ca="1">PERCENTILE(D$2:D163,0.835)</f>
        <v>201.26076114070901</v>
      </c>
      <c r="L164" s="5">
        <f ca="1">PERCENTILE(D$2:D163,0.975)</f>
        <v>1328.5323296568422</v>
      </c>
      <c r="M164" s="7">
        <f>AVERAGE(E$2:E163)</f>
        <v>1.2101910828025477</v>
      </c>
      <c r="N164" s="7">
        <f>PERCENTILE($E$2:$E163,0.025)</f>
        <v>-1.0999999999999996</v>
      </c>
      <c r="O164" s="7">
        <f>PERCENTILE($E$2:$E163,0.165)</f>
        <v>0</v>
      </c>
      <c r="P164" s="7">
        <f>PERCENTILE($E$2:$E163,0.5)</f>
        <v>0.1</v>
      </c>
      <c r="Q164" s="7">
        <f>PERCENTILE($E$2:$E163,0.835)</f>
        <v>3</v>
      </c>
      <c r="R164" s="7">
        <f>PERCENTILE($E$2:$E163,0.975)</f>
        <v>4</v>
      </c>
    </row>
    <row r="165" spans="1:18" x14ac:dyDescent="0.2">
      <c r="A165" s="5">
        <f>Data!E167</f>
        <v>1999</v>
      </c>
      <c r="B165" s="5">
        <f>Data!M167</f>
        <v>2.4500000000000002</v>
      </c>
      <c r="C165" s="5">
        <f>Data!N167</f>
        <v>0.5</v>
      </c>
      <c r="D165" s="5">
        <f ca="1">Data!O167</f>
        <v>132.61537239800677</v>
      </c>
      <c r="E165" s="1">
        <f>Data!AQ167</f>
        <v>1</v>
      </c>
      <c r="F165" t="str">
        <f t="shared" si="2"/>
        <v/>
      </c>
      <c r="G165" s="5">
        <f ca="1">AVERAGE(D$2:D164)</f>
        <v>202.90477242325659</v>
      </c>
      <c r="H165" s="5">
        <f ca="1">PERCENTILE(D$2:D164,0.025)</f>
        <v>4.7553853420403226E-2</v>
      </c>
      <c r="I165" s="5">
        <f ca="1">PERCENTILE(D$2:D164,0.165)</f>
        <v>0.63365509682687304</v>
      </c>
      <c r="J165" s="5">
        <f ca="1">PERCENTILE(D$2:D164,0.5)</f>
        <v>28.394272714827164</v>
      </c>
      <c r="K165" s="5">
        <f ca="1">PERCENTILE(D$2:D164,0.835)</f>
        <v>215.22987410690249</v>
      </c>
      <c r="L165" s="5">
        <f ca="1">PERCENTILE(D$2:D164,0.975)</f>
        <v>1328.0904111545544</v>
      </c>
      <c r="M165" s="7">
        <f>AVERAGE(E$2:E164)</f>
        <v>1.1962025316455696</v>
      </c>
      <c r="N165" s="7">
        <f>PERCENTILE($E$2:$E164,0.025)</f>
        <v>-1.0749999999999993</v>
      </c>
      <c r="O165" s="7">
        <f>PERCENTILE($E$2:$E164,0.165)</f>
        <v>0</v>
      </c>
      <c r="P165" s="7">
        <f>PERCENTILE($E$2:$E164,0.5)</f>
        <v>0.05</v>
      </c>
      <c r="Q165" s="7">
        <f>PERCENTILE($E$2:$E164,0.835)</f>
        <v>3</v>
      </c>
      <c r="R165" s="7">
        <f>PERCENTILE($E$2:$E164,0.975)</f>
        <v>4</v>
      </c>
    </row>
    <row r="166" spans="1:18" x14ac:dyDescent="0.2">
      <c r="A166" s="5">
        <f>Data!E168</f>
        <v>1999</v>
      </c>
      <c r="B166" s="5">
        <f>Data!M168</f>
        <v>1.7250000000000001</v>
      </c>
      <c r="C166" s="5">
        <f>Data!N168</f>
        <v>0.25</v>
      </c>
      <c r="D166" s="5">
        <f ca="1">Data!O168</f>
        <v>99.751715831189358</v>
      </c>
      <c r="E166" s="1">
        <f>Data!AQ168</f>
        <v>1</v>
      </c>
      <c r="F166" t="str">
        <f t="shared" si="2"/>
        <v/>
      </c>
      <c r="G166" s="5">
        <f ca="1">AVERAGE(D$2:D165)</f>
        <v>202.47617852066364</v>
      </c>
      <c r="H166" s="5">
        <f ca="1">PERCENTILE(D$2:D165,0.025)</f>
        <v>4.7553853420403226E-2</v>
      </c>
      <c r="I166" s="5">
        <f ca="1">PERCENTILE(D$2:D165,0.165)</f>
        <v>0.65327106136278934</v>
      </c>
      <c r="J166" s="5">
        <f ca="1">PERCENTILE(D$2:D165,0.5)</f>
        <v>28.589646150938361</v>
      </c>
      <c r="K166" s="5">
        <f ca="1">PERCENTILE(D$2:D165,0.835)</f>
        <v>214.47057150544236</v>
      </c>
      <c r="L166" s="5">
        <f ca="1">PERCENTILE(D$2:D165,0.975)</f>
        <v>1327.6484926522664</v>
      </c>
      <c r="M166" s="7">
        <f>AVERAGE(E$2:E165)</f>
        <v>1.1949685534591195</v>
      </c>
      <c r="N166" s="7">
        <f>PERCENTILE($E$2:$E165,0.025)</f>
        <v>-1.0499999999999998</v>
      </c>
      <c r="O166" s="7">
        <f>PERCENTILE($E$2:$E165,0.165)</f>
        <v>0</v>
      </c>
      <c r="P166" s="7">
        <f>PERCENTILE($E$2:$E165,0.5)</f>
        <v>0.1</v>
      </c>
      <c r="Q166" s="7">
        <f>PERCENTILE($E$2:$E165,0.835)</f>
        <v>3</v>
      </c>
      <c r="R166" s="7">
        <f>PERCENTILE($E$2:$E165,0.975)</f>
        <v>4</v>
      </c>
    </row>
    <row r="167" spans="1:18" x14ac:dyDescent="0.2">
      <c r="A167" s="5">
        <f>Data!E169</f>
        <v>1999</v>
      </c>
      <c r="B167" s="5">
        <f>Data!M169</f>
        <v>0.34500000000000003</v>
      </c>
      <c r="C167" s="5">
        <f>Data!N169</f>
        <v>0.05</v>
      </c>
      <c r="D167" s="5">
        <f ca="1">Data!O169</f>
        <v>103.07677302556235</v>
      </c>
      <c r="E167" s="1">
        <f>Data!AQ169</f>
        <v>1</v>
      </c>
      <c r="F167" t="str">
        <f t="shared" si="2"/>
        <v/>
      </c>
      <c r="G167" s="5">
        <f ca="1">AVERAGE(D$2:D166)</f>
        <v>201.8536060195153</v>
      </c>
      <c r="H167" s="5">
        <f ca="1">PERCENTILE(D$2:D166,0.025)</f>
        <v>4.7553853420403226E-2</v>
      </c>
      <c r="I167" s="5">
        <f ca="1">PERCENTILE(D$2:D166,0.165)</f>
        <v>0.66955825615927766</v>
      </c>
      <c r="J167" s="5">
        <f ca="1">PERCENTILE(D$2:D166,0.5)</f>
        <v>28.785019587049558</v>
      </c>
      <c r="K167" s="5">
        <f ca="1">PERCENTILE(D$2:D166,0.835)</f>
        <v>212.63587970546075</v>
      </c>
      <c r="L167" s="5">
        <f ca="1">PERCENTILE(D$2:D166,0.975)</f>
        <v>1327.2065741499791</v>
      </c>
      <c r="M167" s="7">
        <f>AVERAGE(E$2:E166)</f>
        <v>1.1937500000000001</v>
      </c>
      <c r="N167" s="7">
        <f>PERCENTILE($E$2:$E166,0.025)</f>
        <v>-1.0250000000000004</v>
      </c>
      <c r="O167" s="7">
        <f>PERCENTILE($E$2:$E166,0.165)</f>
        <v>0</v>
      </c>
      <c r="P167" s="7">
        <f>PERCENTILE($E$2:$E166,0.5)</f>
        <v>0.1</v>
      </c>
      <c r="Q167" s="7">
        <f>PERCENTILE($E$2:$E166,0.835)</f>
        <v>3</v>
      </c>
      <c r="R167" s="7">
        <f>PERCENTILE($E$2:$E166,0.975)</f>
        <v>4</v>
      </c>
    </row>
    <row r="168" spans="1:18" x14ac:dyDescent="0.2">
      <c r="A168" s="5">
        <f>Data!E170</f>
        <v>1999</v>
      </c>
      <c r="B168" s="5">
        <f>Data!M170</f>
        <v>0.34500000000000003</v>
      </c>
      <c r="C168" s="5">
        <f>Data!N170</f>
        <v>0.05</v>
      </c>
      <c r="D168" s="5">
        <f ca="1">Data!O170</f>
        <v>38.238157735289256</v>
      </c>
      <c r="E168" s="1">
        <f>Data!AQ170</f>
        <v>1</v>
      </c>
      <c r="F168" t="str">
        <f t="shared" si="2"/>
        <v/>
      </c>
      <c r="G168" s="5">
        <f ca="1">AVERAGE(D$2:D167)</f>
        <v>201.2585648569011</v>
      </c>
      <c r="H168" s="5">
        <f ca="1">PERCENTILE(D$2:D167,0.025)</f>
        <v>4.7553853420403226E-2</v>
      </c>
      <c r="I168" s="5">
        <f ca="1">PERCENTILE(D$2:D167,0.165)</f>
        <v>0.68002010391176626</v>
      </c>
      <c r="J168" s="5">
        <f ca="1">PERCENTILE(D$2:D167,0.5)</f>
        <v>28.785019587049558</v>
      </c>
      <c r="K168" s="5">
        <f ca="1">PERCENTILE(D$2:D167,0.835)</f>
        <v>208.91925680806679</v>
      </c>
      <c r="L168" s="5">
        <f ca="1">PERCENTILE(D$2:D167,0.975)</f>
        <v>1326.7646556476914</v>
      </c>
      <c r="M168" s="7">
        <f>AVERAGE(E$2:E167)</f>
        <v>1.1925465838509317</v>
      </c>
      <c r="N168" s="7">
        <f>PERCENTILE($E$2:$E167,0.025)</f>
        <v>-1</v>
      </c>
      <c r="O168" s="7">
        <f>PERCENTILE($E$2:$E167,0.165)</f>
        <v>0</v>
      </c>
      <c r="P168" s="7">
        <f>PERCENTILE($E$2:$E167,0.5)</f>
        <v>0.1</v>
      </c>
      <c r="Q168" s="7">
        <f>PERCENTILE($E$2:$E167,0.835)</f>
        <v>3</v>
      </c>
      <c r="R168" s="7">
        <f>PERCENTILE($E$2:$E167,0.975)</f>
        <v>4</v>
      </c>
    </row>
    <row r="169" spans="1:18" x14ac:dyDescent="0.2">
      <c r="A169" s="5">
        <f>Data!E171</f>
        <v>1999</v>
      </c>
      <c r="B169" s="5">
        <f>Data!M171</f>
        <v>0.34500000000000003</v>
      </c>
      <c r="C169" s="5">
        <f>Data!N171</f>
        <v>0.05</v>
      </c>
      <c r="D169" s="5">
        <f ca="1">Data!O171</f>
        <v>109.72688741430829</v>
      </c>
      <c r="E169" s="1">
        <f>Data!AQ171</f>
        <v>1</v>
      </c>
      <c r="F169" t="str">
        <f t="shared" si="2"/>
        <v/>
      </c>
      <c r="G169" s="5">
        <f ca="1">AVERAGE(D$2:D168)</f>
        <v>200.28239475437647</v>
      </c>
      <c r="H169" s="5">
        <f ca="1">PERCENTILE(D$2:D168,0.025)</f>
        <v>4.7553853420403226E-2</v>
      </c>
      <c r="I169" s="5">
        <f ca="1">PERCENTILE(D$2:D168,0.165)</f>
        <v>0.69048195166425497</v>
      </c>
      <c r="J169" s="5">
        <f ca="1">PERCENTILE(D$2:D168,0.5)</f>
        <v>28.785019587049558</v>
      </c>
      <c r="K169" s="5">
        <f ca="1">PERCENTILE(D$2:D168,0.835)</f>
        <v>205.20263391067215</v>
      </c>
      <c r="L169" s="5">
        <f ca="1">PERCENTILE(D$2:D168,0.975)</f>
        <v>1326.3227371454034</v>
      </c>
      <c r="M169" s="7">
        <f>AVERAGE(E$2:E168)</f>
        <v>1.191358024691358</v>
      </c>
      <c r="N169" s="7">
        <f>PERCENTILE($E$2:$E168,0.025)</f>
        <v>-1</v>
      </c>
      <c r="O169" s="7">
        <f>PERCENTILE($E$2:$E168,0.165)</f>
        <v>0</v>
      </c>
      <c r="P169" s="7">
        <f>PERCENTILE($E$2:$E168,0.5)</f>
        <v>0.1</v>
      </c>
      <c r="Q169" s="7">
        <f>PERCENTILE($E$2:$E168,0.835)</f>
        <v>3</v>
      </c>
      <c r="R169" s="7">
        <f>PERCENTILE($E$2:$E168,0.975)</f>
        <v>3.9749999999999943</v>
      </c>
    </row>
    <row r="170" spans="1:18" x14ac:dyDescent="0.2">
      <c r="A170" s="5">
        <f>Data!E172</f>
        <v>1999</v>
      </c>
      <c r="B170" s="5">
        <f>Data!M172</f>
        <v>0.34500000000000003</v>
      </c>
      <c r="C170" s="5">
        <f>Data!N172</f>
        <v>0.05</v>
      </c>
      <c r="D170" s="5">
        <f ca="1">Data!O172</f>
        <v>108.06435881712181</v>
      </c>
      <c r="E170" s="1">
        <f>Data!AQ172</f>
        <v>1</v>
      </c>
      <c r="F170" t="str">
        <f t="shared" si="2"/>
        <v/>
      </c>
      <c r="G170" s="5">
        <f ca="1">AVERAGE(D$2:D169)</f>
        <v>199.74337387735224</v>
      </c>
      <c r="H170" s="5">
        <f ca="1">PERCENTILE(D$2:D169,0.025)</f>
        <v>4.7553853420403226E-2</v>
      </c>
      <c r="I170" s="5">
        <f ca="1">PERCENTILE(D$2:D169,0.165)</f>
        <v>0.70094379941674367</v>
      </c>
      <c r="J170" s="5">
        <f ca="1">PERCENTILE(D$2:D169,0.5)</f>
        <v>28.915268544457021</v>
      </c>
      <c r="K170" s="5">
        <f ca="1">PERCENTILE(D$2:D169,0.835)</f>
        <v>201.48601101327816</v>
      </c>
      <c r="L170" s="5">
        <f ca="1">PERCENTILE(D$2:D169,0.975)</f>
        <v>1325.8808186431156</v>
      </c>
      <c r="M170" s="7">
        <f>AVERAGE(E$2:E169)</f>
        <v>1.1901840490797546</v>
      </c>
      <c r="N170" s="7">
        <f>PERCENTILE($E$2:$E169,0.025)</f>
        <v>-1</v>
      </c>
      <c r="O170" s="7">
        <f>PERCENTILE($E$2:$E169,0.165)</f>
        <v>0</v>
      </c>
      <c r="P170" s="7">
        <f>PERCENTILE($E$2:$E169,0.5)</f>
        <v>0.1</v>
      </c>
      <c r="Q170" s="7">
        <f>PERCENTILE($E$2:$E169,0.835)</f>
        <v>3</v>
      </c>
      <c r="R170" s="7">
        <f>PERCENTILE($E$2:$E169,0.975)</f>
        <v>3.9499999999999886</v>
      </c>
    </row>
    <row r="171" spans="1:18" x14ac:dyDescent="0.2">
      <c r="A171" s="5">
        <f>Data!E173</f>
        <v>1999</v>
      </c>
      <c r="B171" s="5">
        <f>Data!M173</f>
        <v>0.34500000000000003</v>
      </c>
      <c r="C171" s="5">
        <f>Data!N173</f>
        <v>0.05</v>
      </c>
      <c r="D171" s="5">
        <f ca="1">Data!O173</f>
        <v>93.10160144244341</v>
      </c>
      <c r="E171" s="1">
        <f>Data!AQ173</f>
        <v>1</v>
      </c>
      <c r="F171" t="str">
        <f t="shared" si="2"/>
        <v/>
      </c>
      <c r="G171" s="5">
        <f ca="1">AVERAGE(D$2:D170)</f>
        <v>199.20089449829763</v>
      </c>
      <c r="H171" s="5">
        <f ca="1">PERCENTILE(D$2:D170,0.025)</f>
        <v>4.7553853420403226E-2</v>
      </c>
      <c r="I171" s="5">
        <f ca="1">PERCENTILE(D$2:D170,0.165)</f>
        <v>0.71140564716923249</v>
      </c>
      <c r="J171" s="5">
        <f ca="1">PERCENTILE(D$2:D170,0.5)</f>
        <v>29.045517501864481</v>
      </c>
      <c r="K171" s="5">
        <f ca="1">PERCENTILE(D$2:D170,0.835)</f>
        <v>197.76938811588417</v>
      </c>
      <c r="L171" s="5">
        <f ca="1">PERCENTILE(D$2:D170,0.975)</f>
        <v>1325.4389001408276</v>
      </c>
      <c r="M171" s="7">
        <f>AVERAGE(E$2:E170)</f>
        <v>1.1890243902439024</v>
      </c>
      <c r="N171" s="7">
        <f>PERCENTILE($E$2:$E170,0.025)</f>
        <v>-1</v>
      </c>
      <c r="O171" s="7">
        <f>PERCENTILE($E$2:$E170,0.165)</f>
        <v>0</v>
      </c>
      <c r="P171" s="7">
        <f>PERCENTILE($E$2:$E170,0.5)</f>
        <v>0.1</v>
      </c>
      <c r="Q171" s="7">
        <f>PERCENTILE($E$2:$E170,0.835)</f>
        <v>3</v>
      </c>
      <c r="R171" s="7">
        <f>PERCENTILE($E$2:$E170,0.975)</f>
        <v>3.9249999999999829</v>
      </c>
    </row>
    <row r="172" spans="1:18" x14ac:dyDescent="0.2">
      <c r="A172" s="5">
        <f>Data!E174</f>
        <v>1999</v>
      </c>
      <c r="B172" s="5">
        <f>Data!M174</f>
        <v>0.34500000000000003</v>
      </c>
      <c r="C172" s="5">
        <f>Data!N174</f>
        <v>0.05</v>
      </c>
      <c r="D172" s="5">
        <f ca="1">Data!O174</f>
        <v>527.02156530811715</v>
      </c>
      <c r="E172" s="1">
        <f>Data!AQ174</f>
        <v>-2</v>
      </c>
      <c r="F172" t="str">
        <f t="shared" si="2"/>
        <v/>
      </c>
      <c r="G172" s="5">
        <f ca="1">AVERAGE(D$2:D171)</f>
        <v>198.57678100973379</v>
      </c>
      <c r="H172" s="5">
        <f ca="1">PERCENTILE(D$2:D171,0.025)</f>
        <v>4.7553853420403226E-2</v>
      </c>
      <c r="I172" s="5">
        <f ca="1">PERCENTILE(D$2:D171,0.165)</f>
        <v>0.7218674949217212</v>
      </c>
      <c r="J172" s="5">
        <f ca="1">PERCENTILE(D$2:D171,0.5)</f>
        <v>29.045517501864481</v>
      </c>
      <c r="K172" s="5">
        <f ca="1">PERCENTILE(D$2:D171,0.835)</f>
        <v>194.05276521848953</v>
      </c>
      <c r="L172" s="5">
        <f ca="1">PERCENTILE(D$2:D171,0.975)</f>
        <v>1324.9969816385403</v>
      </c>
      <c r="M172" s="7">
        <f>AVERAGE(E$2:E171)</f>
        <v>1.187878787878788</v>
      </c>
      <c r="N172" s="7">
        <f>PERCENTILE($E$2:$E171,0.025)</f>
        <v>-1</v>
      </c>
      <c r="O172" s="7">
        <f>PERCENTILE($E$2:$E171,0.165)</f>
        <v>0</v>
      </c>
      <c r="P172" s="7">
        <f>PERCENTILE($E$2:$E171,0.5)</f>
        <v>0.1</v>
      </c>
      <c r="Q172" s="7">
        <f>PERCENTILE($E$2:$E171,0.835)</f>
        <v>3</v>
      </c>
      <c r="R172" s="7">
        <f>PERCENTILE($E$2:$E171,0.975)</f>
        <v>3.9000000000000057</v>
      </c>
    </row>
    <row r="173" spans="1:18" x14ac:dyDescent="0.2">
      <c r="A173" s="5">
        <f>Data!E175</f>
        <v>1999</v>
      </c>
      <c r="B173" s="5">
        <f>Data!M175</f>
        <v>6.900000000000002E-2</v>
      </c>
      <c r="C173" s="5">
        <f>Data!N175</f>
        <v>1.0000000000000002E-2</v>
      </c>
      <c r="D173" s="5">
        <f ca="1">Data!O175</f>
        <v>403.9944491163169</v>
      </c>
      <c r="E173" s="1">
        <f>Data!AQ175</f>
        <v>-2</v>
      </c>
      <c r="F173" t="str">
        <f t="shared" si="2"/>
        <v/>
      </c>
      <c r="G173" s="5">
        <f ca="1">AVERAGE(D$2:D172)</f>
        <v>200.49751074247288</v>
      </c>
      <c r="H173" s="5">
        <f ca="1">PERCENTILE(D$2:D172,0.025)</f>
        <v>4.7553853420403226E-2</v>
      </c>
      <c r="I173" s="5">
        <f ca="1">PERCENTILE(D$2:D172,0.165)</f>
        <v>0.73946242068727042</v>
      </c>
      <c r="J173" s="5">
        <f ca="1">PERCENTILE(D$2:D172,0.5)</f>
        <v>29.045517501864481</v>
      </c>
      <c r="K173" s="5">
        <f ca="1">PERCENTILE(D$2:D172,0.835)</f>
        <v>212.8611295780299</v>
      </c>
      <c r="L173" s="5">
        <f ca="1">PERCENTILE(D$2:D172,0.975)</f>
        <v>1324.5550631362523</v>
      </c>
      <c r="M173" s="7">
        <f>AVERAGE(E$2:E172)</f>
        <v>1.1686746987951808</v>
      </c>
      <c r="N173" s="7">
        <f>PERCENTILE($E$2:$E172,0.025)</f>
        <v>-1.875</v>
      </c>
      <c r="O173" s="7">
        <f>PERCENTILE($E$2:$E172,0.165)</f>
        <v>0</v>
      </c>
      <c r="P173" s="7">
        <f>PERCENTILE($E$2:$E172,0.5)</f>
        <v>0.1</v>
      </c>
      <c r="Q173" s="7">
        <f>PERCENTILE($E$2:$E172,0.835)</f>
        <v>3</v>
      </c>
      <c r="R173" s="7">
        <f>PERCENTILE($E$2:$E172,0.975)</f>
        <v>3.875</v>
      </c>
    </row>
    <row r="174" spans="1:18" x14ac:dyDescent="0.2">
      <c r="A174" s="5">
        <f>Data!E176</f>
        <v>1999</v>
      </c>
      <c r="B174" s="5">
        <f>Data!M176</f>
        <v>6.900000000000002E-2</v>
      </c>
      <c r="C174" s="5">
        <f>Data!N176</f>
        <v>1.0000000000000002E-2</v>
      </c>
      <c r="D174" s="5">
        <f ca="1">Data!O176</f>
        <v>236.07906080048147</v>
      </c>
      <c r="E174" s="1">
        <f>Data!AQ176</f>
        <v>-2</v>
      </c>
      <c r="F174" t="str">
        <f t="shared" si="2"/>
        <v/>
      </c>
      <c r="G174" s="5">
        <f ca="1">AVERAGE(D$2:D173)</f>
        <v>201.68063247720454</v>
      </c>
      <c r="H174" s="5">
        <f ca="1">PERCENTILE(D$2:D173,0.025)</f>
        <v>4.7553853420403226E-2</v>
      </c>
      <c r="I174" s="5">
        <f ca="1">PERCENTILE(D$2:D173,0.165)</f>
        <v>0.77346342588285855</v>
      </c>
      <c r="J174" s="5">
        <f ca="1">PERCENTILE(D$2:D173,0.5)</f>
        <v>29.110641980568211</v>
      </c>
      <c r="K174" s="5">
        <f ca="1">PERCENTILE(D$2:D173,0.835)</f>
        <v>217.59981859024782</v>
      </c>
      <c r="L174" s="5">
        <f ca="1">PERCENTILE(D$2:D173,0.975)</f>
        <v>1324.1131446339646</v>
      </c>
      <c r="M174" s="7">
        <f>AVERAGE(E$2:E173)</f>
        <v>1.1497005988023952</v>
      </c>
      <c r="N174" s="7">
        <f>PERCENTILE($E$2:$E173,0.025)</f>
        <v>-2</v>
      </c>
      <c r="O174" s="7">
        <f>PERCENTILE($E$2:$E173,0.165)</f>
        <v>0</v>
      </c>
      <c r="P174" s="7">
        <f>PERCENTILE($E$2:$E173,0.5)</f>
        <v>0.1</v>
      </c>
      <c r="Q174" s="7">
        <f>PERCENTILE($E$2:$E173,0.835)</f>
        <v>3</v>
      </c>
      <c r="R174" s="7">
        <f>PERCENTILE($E$2:$E173,0.975)</f>
        <v>3.8499999999999943</v>
      </c>
    </row>
    <row r="175" spans="1:18" x14ac:dyDescent="0.2">
      <c r="A175" s="5">
        <f>Data!E177</f>
        <v>1999</v>
      </c>
      <c r="B175" s="5">
        <f>Data!M177</f>
        <v>6.900000000000002E-2</v>
      </c>
      <c r="C175" s="5">
        <f>Data!N177</f>
        <v>1.0000000000000002E-2</v>
      </c>
      <c r="D175" s="5">
        <f ca="1">Data!O177</f>
        <v>598.51029498713615</v>
      </c>
      <c r="E175" s="1">
        <f>Data!AQ177</f>
        <v>-2</v>
      </c>
      <c r="F175" t="str">
        <f t="shared" si="2"/>
        <v/>
      </c>
      <c r="G175" s="5">
        <f ca="1">AVERAGE(D$2:D174)</f>
        <v>201.87946732300384</v>
      </c>
      <c r="H175" s="5">
        <f ca="1">PERCENTILE(D$2:D174,0.025)</f>
        <v>4.7553853420403226E-2</v>
      </c>
      <c r="I175" s="5">
        <f ca="1">PERCENTILE(D$2:D174,0.165)</f>
        <v>0.80746443107844734</v>
      </c>
      <c r="J175" s="5">
        <f ca="1">PERCENTILE(D$2:D174,0.5)</f>
        <v>29.175766459271944</v>
      </c>
      <c r="K175" s="5">
        <f ca="1">PERCENTILE(D$2:D174,0.835)</f>
        <v>219.92572347099915</v>
      </c>
      <c r="L175" s="5">
        <f ca="1">PERCENTILE(D$2:D174,0.975)</f>
        <v>1323.6712261316766</v>
      </c>
      <c r="M175" s="7">
        <f>AVERAGE(E$2:E174)</f>
        <v>1.1309523809523809</v>
      </c>
      <c r="N175" s="7">
        <f>PERCENTILE($E$2:$E174,0.025)</f>
        <v>-2</v>
      </c>
      <c r="O175" s="7">
        <f>PERCENTILE($E$2:$E174,0.165)</f>
        <v>0</v>
      </c>
      <c r="P175" s="7">
        <f>PERCENTILE($E$2:$E174,0.5)</f>
        <v>0.1</v>
      </c>
      <c r="Q175" s="7">
        <f>PERCENTILE($E$2:$E174,0.835)</f>
        <v>3</v>
      </c>
      <c r="R175" s="7">
        <f>PERCENTILE($E$2:$E174,0.975)</f>
        <v>3.8249999999999886</v>
      </c>
    </row>
    <row r="176" spans="1:18" x14ac:dyDescent="0.2">
      <c r="A176" s="5">
        <f>Data!E178</f>
        <v>1999</v>
      </c>
      <c r="B176" s="5">
        <f>Data!M178</f>
        <v>6.900000000000002E-2</v>
      </c>
      <c r="C176" s="5">
        <f>Data!N178</f>
        <v>1.0000000000000002E-2</v>
      </c>
      <c r="D176" s="5">
        <f ca="1">Data!O178</f>
        <v>578.55995182089828</v>
      </c>
      <c r="E176" s="1">
        <f>Data!AQ178</f>
        <v>-2</v>
      </c>
      <c r="F176" t="str">
        <f t="shared" si="2"/>
        <v/>
      </c>
      <c r="G176" s="5">
        <f ca="1">AVERAGE(D$2:D175)</f>
        <v>204.15895483831494</v>
      </c>
      <c r="H176" s="5">
        <f ca="1">PERCENTILE(D$2:D175,0.025)</f>
        <v>4.7553853420403226E-2</v>
      </c>
      <c r="I176" s="5">
        <f ca="1">PERCENTILE(D$2:D175,0.165)</f>
        <v>0.84146543627403547</v>
      </c>
      <c r="J176" s="5">
        <f ca="1">PERCENTILE(D$2:D175,0.5)</f>
        <v>29.229124946643338</v>
      </c>
      <c r="K176" s="5">
        <f ca="1">PERCENTILE(D$2:D175,0.835)</f>
        <v>227.72192960350552</v>
      </c>
      <c r="L176" s="5">
        <f ca="1">PERCENTILE(D$2:D175,0.975)</f>
        <v>1323.2293076293888</v>
      </c>
      <c r="M176" s="7">
        <f>AVERAGE(E$2:E175)</f>
        <v>1.1124260355029585</v>
      </c>
      <c r="N176" s="7">
        <f>PERCENTILE($E$2:$E175,0.025)</f>
        <v>-2</v>
      </c>
      <c r="O176" s="7">
        <f>PERCENTILE($E$2:$E175,0.165)</f>
        <v>0</v>
      </c>
      <c r="P176" s="7">
        <f>PERCENTILE($E$2:$E175,0.5)</f>
        <v>0.1</v>
      </c>
      <c r="Q176" s="7">
        <f>PERCENTILE($E$2:$E175,0.835)</f>
        <v>3</v>
      </c>
      <c r="R176" s="7">
        <f>PERCENTILE($E$2:$E175,0.975)</f>
        <v>3.7999999999999829</v>
      </c>
    </row>
    <row r="177" spans="1:18" x14ac:dyDescent="0.2">
      <c r="A177" s="5">
        <f>Data!E179</f>
        <v>1999</v>
      </c>
      <c r="B177" s="5">
        <f>Data!M179</f>
        <v>6.900000000000002E-2</v>
      </c>
      <c r="C177" s="5">
        <f>Data!N179</f>
        <v>1.0000000000000002E-2</v>
      </c>
      <c r="D177" s="5">
        <f ca="1">Data!O179</f>
        <v>478.80823598970892</v>
      </c>
      <c r="E177" s="1">
        <f>Data!AQ179</f>
        <v>-2</v>
      </c>
      <c r="F177" t="str">
        <f t="shared" si="2"/>
        <v/>
      </c>
      <c r="G177" s="5">
        <f ca="1">AVERAGE(D$2:D176)</f>
        <v>206.29838910678686</v>
      </c>
      <c r="H177" s="5">
        <f ca="1">PERCENTILE(D$2:D176,0.025)</f>
        <v>4.7553853420403226E-2</v>
      </c>
      <c r="I177" s="5">
        <f ca="1">PERCENTILE(D$2:D176,0.165)</f>
        <v>0.8754664414696236</v>
      </c>
      <c r="J177" s="5">
        <f ca="1">PERCENTILE(D$2:D176,0.5)</f>
        <v>29.282483434014736</v>
      </c>
      <c r="K177" s="5">
        <f ca="1">PERCENTILE(D$2:D176,0.835)</f>
        <v>241.10390409409021</v>
      </c>
      <c r="L177" s="5">
        <f ca="1">PERCENTILE(D$2:D176,0.975)</f>
        <v>1322.7873891271013</v>
      </c>
      <c r="M177" s="7">
        <f>AVERAGE(E$2:E176)</f>
        <v>1.0941176470588236</v>
      </c>
      <c r="N177" s="7">
        <f>PERCENTILE($E$2:$E176,0.025)</f>
        <v>-2</v>
      </c>
      <c r="O177" s="7">
        <f>PERCENTILE($E$2:$E176,0.165)</f>
        <v>0</v>
      </c>
      <c r="P177" s="7">
        <f>PERCENTILE($E$2:$E176,0.5)</f>
        <v>0.1</v>
      </c>
      <c r="Q177" s="7">
        <f>PERCENTILE($E$2:$E176,0.835)</f>
        <v>3</v>
      </c>
      <c r="R177" s="7">
        <f>PERCENTILE($E$2:$E176,0.975)</f>
        <v>3.7750000000000057</v>
      </c>
    </row>
    <row r="178" spans="1:18" x14ac:dyDescent="0.2">
      <c r="A178" s="5">
        <f>Data!E180</f>
        <v>1999</v>
      </c>
      <c r="B178" s="5">
        <f>Data!M180</f>
        <v>0.34500000000000003</v>
      </c>
      <c r="C178" s="5">
        <f>Data!N180</f>
        <v>0.05</v>
      </c>
      <c r="D178" s="5">
        <f ca="1">Data!O180</f>
        <v>284.29239011888967</v>
      </c>
      <c r="E178" s="1">
        <f>Data!AQ180</f>
        <v>-1</v>
      </c>
      <c r="F178" t="str">
        <f t="shared" si="2"/>
        <v/>
      </c>
      <c r="G178" s="5">
        <f ca="1">AVERAGE(D$2:D177)</f>
        <v>207.84674050953072</v>
      </c>
      <c r="H178" s="5">
        <f ca="1">PERCENTILE(D$2:D177,0.025)</f>
        <v>4.7553853420403226E-2</v>
      </c>
      <c r="I178" s="5">
        <f ca="1">PERCENTILE(D$2:D177,0.165)</f>
        <v>0.90946744666521173</v>
      </c>
      <c r="J178" s="5">
        <f ca="1">PERCENTILE(D$2:D177,0.5)</f>
        <v>29.282483434014736</v>
      </c>
      <c r="K178" s="5">
        <f ca="1">PERCENTILE(D$2:D177,0.835)</f>
        <v>257.09612492426112</v>
      </c>
      <c r="L178" s="5">
        <f ca="1">PERCENTILE(D$2:D177,0.975)</f>
        <v>1322.3454706248135</v>
      </c>
      <c r="M178" s="7">
        <f>AVERAGE(E$2:E177)</f>
        <v>1.0760233918128654</v>
      </c>
      <c r="N178" s="7">
        <f>PERCENTILE($E$2:$E177,0.025)</f>
        <v>-2</v>
      </c>
      <c r="O178" s="7">
        <f>PERCENTILE($E$2:$E177,0.165)</f>
        <v>0</v>
      </c>
      <c r="P178" s="7">
        <f>PERCENTILE($E$2:$E177,0.5)</f>
        <v>0.1</v>
      </c>
      <c r="Q178" s="7">
        <f>PERCENTILE($E$2:$E177,0.835)</f>
        <v>3</v>
      </c>
      <c r="R178" s="7">
        <f>PERCENTILE($E$2:$E177,0.975)</f>
        <v>3.75</v>
      </c>
    </row>
    <row r="179" spans="1:18" x14ac:dyDescent="0.2">
      <c r="A179" s="5">
        <f>Data!E181</f>
        <v>1999</v>
      </c>
      <c r="B179" s="5">
        <f>Data!M181</f>
        <v>6.900000000000002E-2</v>
      </c>
      <c r="C179" s="5">
        <f>Data!N181</f>
        <v>1.0000000000000002E-2</v>
      </c>
      <c r="D179" s="5">
        <f ca="1">Data!O181</f>
        <v>285.95491871607618</v>
      </c>
      <c r="E179" s="1">
        <f>Data!AQ181</f>
        <v>-1</v>
      </c>
      <c r="F179" t="str">
        <f t="shared" si="2"/>
        <v/>
      </c>
      <c r="G179" s="5">
        <f ca="1">AVERAGE(D$2:D178)</f>
        <v>208.27863683500732</v>
      </c>
      <c r="H179" s="5">
        <f ca="1">PERCENTILE(D$2:D178,0.025)</f>
        <v>4.7553853420403226E-2</v>
      </c>
      <c r="I179" s="5">
        <f ca="1">PERCENTILE(D$2:D178,0.165)</f>
        <v>0.93776198945035183</v>
      </c>
      <c r="J179" s="5">
        <f ca="1">PERCENTILE(D$2:D178,0.5)</f>
        <v>29.282483434014736</v>
      </c>
      <c r="K179" s="5">
        <f ca="1">PERCENTILE(D$2:D178,0.835)</f>
        <v>281.74544705970368</v>
      </c>
      <c r="L179" s="5">
        <f ca="1">PERCENTILE(D$2:D178,0.975)</f>
        <v>1321.9035521225255</v>
      </c>
      <c r="M179" s="7">
        <f>AVERAGE(E$2:E178)</f>
        <v>1.0639534883720929</v>
      </c>
      <c r="N179" s="7">
        <f>PERCENTILE($E$2:$E178,0.025)</f>
        <v>-2</v>
      </c>
      <c r="O179" s="7">
        <f>PERCENTILE($E$2:$E178,0.165)</f>
        <v>0</v>
      </c>
      <c r="P179" s="7">
        <f>PERCENTILE($E$2:$E178,0.5)</f>
        <v>0.05</v>
      </c>
      <c r="Q179" s="7">
        <f>PERCENTILE($E$2:$E178,0.835)</f>
        <v>3</v>
      </c>
      <c r="R179" s="7">
        <f>PERCENTILE($E$2:$E178,0.975)</f>
        <v>3.7249999999999943</v>
      </c>
    </row>
    <row r="180" spans="1:18" x14ac:dyDescent="0.2">
      <c r="A180" s="5">
        <f>Data!E182</f>
        <v>1999</v>
      </c>
      <c r="B180" s="5">
        <f>Data!M182</f>
        <v>6.900000000000002E-2</v>
      </c>
      <c r="C180" s="5">
        <f>Data!N182</f>
        <v>1.0000000000000002E-2</v>
      </c>
      <c r="D180" s="5">
        <f ca="1">Data!O182</f>
        <v>121.36458759461372</v>
      </c>
      <c r="E180" s="1">
        <f>Data!AQ182</f>
        <v>-1</v>
      </c>
      <c r="F180" t="str">
        <f t="shared" si="2"/>
        <v/>
      </c>
      <c r="G180" s="5">
        <f ca="1">AVERAGE(D$2:D179)</f>
        <v>208.71502044108075</v>
      </c>
      <c r="H180" s="5">
        <f ca="1">PERCENTILE(D$2:D179,0.025)</f>
        <v>4.7553853420403226E-2</v>
      </c>
      <c r="I180" s="5">
        <f ca="1">PERCENTILE(D$2:D179,0.165)</f>
        <v>0.94822383720284042</v>
      </c>
      <c r="J180" s="5">
        <f ca="1">PERCENTILE(D$2:D179,0.5)</f>
        <v>29.489622861458269</v>
      </c>
      <c r="K180" s="5">
        <f ca="1">PERCENTILE(D$2:D179,0.835)</f>
        <v>284.01233199117058</v>
      </c>
      <c r="L180" s="5">
        <f ca="1">PERCENTILE(D$2:D179,0.975)</f>
        <v>1321.4616336202378</v>
      </c>
      <c r="M180" s="7">
        <f>AVERAGE(E$2:E179)</f>
        <v>1.0520231213872833</v>
      </c>
      <c r="N180" s="7">
        <f>PERCENTILE($E$2:$E179,0.025)</f>
        <v>-2</v>
      </c>
      <c r="O180" s="7">
        <f>PERCENTILE($E$2:$E179,0.165)</f>
        <v>0</v>
      </c>
      <c r="P180" s="7">
        <f>PERCENTILE($E$2:$E179,0.5)</f>
        <v>0</v>
      </c>
      <c r="Q180" s="7">
        <f>PERCENTILE($E$2:$E179,0.835)</f>
        <v>3</v>
      </c>
      <c r="R180" s="7">
        <f>PERCENTILE($E$2:$E179,0.975)</f>
        <v>3.6999999999999886</v>
      </c>
    </row>
    <row r="181" spans="1:18" x14ac:dyDescent="0.2">
      <c r="A181" s="5">
        <f>Data!E183</f>
        <v>1999</v>
      </c>
      <c r="B181" s="5">
        <f>Data!M183</f>
        <v>6.900000000000002E-2</v>
      </c>
      <c r="C181" s="5">
        <f>Data!N183</f>
        <v>1.0000000000000002E-2</v>
      </c>
      <c r="D181" s="5">
        <f ca="1">Data!O183</f>
        <v>319.20549065980595</v>
      </c>
      <c r="E181" s="1">
        <f>Data!AQ183</f>
        <v>-1</v>
      </c>
      <c r="F181" t="str">
        <f t="shared" si="2"/>
        <v/>
      </c>
      <c r="G181" s="5">
        <f ca="1">AVERAGE(D$2:D180)</f>
        <v>208.22702919612843</v>
      </c>
      <c r="H181" s="5">
        <f ca="1">PERCENTILE(D$2:D180,0.025)</f>
        <v>4.7553853420403226E-2</v>
      </c>
      <c r="I181" s="5">
        <f ca="1">PERCENTILE(D$2:D180,0.165)</f>
        <v>0.95868568495532913</v>
      </c>
      <c r="J181" s="5">
        <f ca="1">PERCENTILE(D$2:D180,0.5)</f>
        <v>29.696762288901802</v>
      </c>
      <c r="K181" s="5">
        <f ca="1">PERCENTILE(D$2:D180,0.835)</f>
        <v>283.78691935178693</v>
      </c>
      <c r="L181" s="5">
        <f ca="1">PERCENTILE(D$2:D180,0.975)</f>
        <v>1321.0197151179498</v>
      </c>
      <c r="M181" s="7">
        <f>AVERAGE(E$2:E180)</f>
        <v>1.0402298850574712</v>
      </c>
      <c r="N181" s="7">
        <f>PERCENTILE($E$2:$E180,0.025)</f>
        <v>-2</v>
      </c>
      <c r="O181" s="7">
        <f>PERCENTILE($E$2:$E180,0.165)</f>
        <v>0</v>
      </c>
      <c r="P181" s="7">
        <f>PERCENTILE($E$2:$E180,0.5)</f>
        <v>0</v>
      </c>
      <c r="Q181" s="7">
        <f>PERCENTILE($E$2:$E180,0.835)</f>
        <v>3</v>
      </c>
      <c r="R181" s="7">
        <f>PERCENTILE($E$2:$E180,0.975)</f>
        <v>3.6749999999999829</v>
      </c>
    </row>
    <row r="182" spans="1:18" x14ac:dyDescent="0.2">
      <c r="A182" s="5">
        <f>Data!E184</f>
        <v>1999</v>
      </c>
      <c r="B182" s="5">
        <f>Data!M184</f>
        <v>6.900000000000002E-2</v>
      </c>
      <c r="C182" s="5">
        <f>Data!N184</f>
        <v>1.0000000000000002E-2</v>
      </c>
      <c r="D182" s="5">
        <f ca="1">Data!O184</f>
        <v>310.89284767387352</v>
      </c>
      <c r="E182" s="1">
        <f>Data!AQ184</f>
        <v>-1</v>
      </c>
      <c r="F182" t="str">
        <f t="shared" si="2"/>
        <v/>
      </c>
      <c r="G182" s="5">
        <f ca="1">AVERAGE(D$2:D181)</f>
        <v>208.84357620425996</v>
      </c>
      <c r="H182" s="5">
        <f ca="1">PERCENTILE(D$2:D181,0.025)</f>
        <v>4.7553853420403226E-2</v>
      </c>
      <c r="I182" s="5">
        <f ca="1">PERCENTILE(D$2:D181,0.165)</f>
        <v>0.96914753270781773</v>
      </c>
      <c r="J182" s="5">
        <f ca="1">PERCENTILE(D$2:D181,0.5)</f>
        <v>29.761886767605532</v>
      </c>
      <c r="K182" s="5">
        <f ca="1">PERCENTILE(D$2:D181,0.835)</f>
        <v>285.06546591658139</v>
      </c>
      <c r="L182" s="5">
        <f ca="1">PERCENTILE(D$2:D181,0.975)</f>
        <v>1320.5777966156625</v>
      </c>
      <c r="M182" s="7">
        <f>AVERAGE(E$2:E181)</f>
        <v>1.0285714285714285</v>
      </c>
      <c r="N182" s="7">
        <f>PERCENTILE($E$2:$E181,0.025)</f>
        <v>-2</v>
      </c>
      <c r="O182" s="7">
        <f>PERCENTILE($E$2:$E181,0.165)</f>
        <v>0</v>
      </c>
      <c r="P182" s="7">
        <f>PERCENTILE($E$2:$E181,0.5)</f>
        <v>0</v>
      </c>
      <c r="Q182" s="7">
        <f>PERCENTILE($E$2:$E181,0.835)</f>
        <v>3</v>
      </c>
      <c r="R182" s="7">
        <f>PERCENTILE($E$2:$E181,0.975)</f>
        <v>3.6500000000000057</v>
      </c>
    </row>
    <row r="183" spans="1:18" x14ac:dyDescent="0.2">
      <c r="A183" s="5">
        <f>Data!E185</f>
        <v>1999</v>
      </c>
      <c r="B183" s="5">
        <f>Data!M185</f>
        <v>6.900000000000002E-2</v>
      </c>
      <c r="C183" s="5">
        <f>Data!N185</f>
        <v>1.0000000000000002E-2</v>
      </c>
      <c r="D183" s="5">
        <f ca="1">Data!O185</f>
        <v>259.35446116109233</v>
      </c>
      <c r="E183" s="1">
        <f>Data!AQ185</f>
        <v>-1</v>
      </c>
      <c r="F183" t="str">
        <f t="shared" si="2"/>
        <v/>
      </c>
      <c r="G183" s="5">
        <f ca="1">AVERAGE(D$2:D182)</f>
        <v>209.40738433392633</v>
      </c>
      <c r="H183" s="5">
        <f ca="1">PERCENTILE(D$2:D182,0.025)</f>
        <v>4.7553853420403226E-2</v>
      </c>
      <c r="I183" s="5">
        <f ca="1">PERCENTILE(D$2:D182,0.165)</f>
        <v>0.97960938046030666</v>
      </c>
      <c r="J183" s="5">
        <f ca="1">PERCENTILE(D$2:D182,0.5)</f>
        <v>29.827011246309265</v>
      </c>
      <c r="K183" s="5">
        <f ca="1">PERCENTILE(D$2:D182,0.835)</f>
        <v>286.18922519725771</v>
      </c>
      <c r="L183" s="5">
        <f ca="1">PERCENTILE(D$2:D182,0.975)</f>
        <v>1320.1358781133745</v>
      </c>
      <c r="M183" s="7">
        <f>AVERAGE(E$2:E182)</f>
        <v>1.0170454545454546</v>
      </c>
      <c r="N183" s="7">
        <f>PERCENTILE($E$2:$E182,0.025)</f>
        <v>-2</v>
      </c>
      <c r="O183" s="7">
        <f>PERCENTILE($E$2:$E182,0.165)</f>
        <v>0</v>
      </c>
      <c r="P183" s="7">
        <f>PERCENTILE($E$2:$E182,0.5)</f>
        <v>0</v>
      </c>
      <c r="Q183" s="7">
        <f>PERCENTILE($E$2:$E182,0.835)</f>
        <v>3</v>
      </c>
      <c r="R183" s="7">
        <f>PERCENTILE($E$2:$E182,0.975)</f>
        <v>3.625</v>
      </c>
    </row>
    <row r="184" spans="1:18" x14ac:dyDescent="0.2">
      <c r="A184" s="5">
        <f>Data!E186</f>
        <v>1999</v>
      </c>
      <c r="B184" s="5">
        <f>Data!M186</f>
        <v>0.69000000000000006</v>
      </c>
      <c r="C184" s="5">
        <f>Data!N186</f>
        <v>0.1</v>
      </c>
      <c r="D184" s="5">
        <f ca="1">Data!O186</f>
        <v>43.225743526848724</v>
      </c>
      <c r="E184" s="1">
        <f>Data!AQ186</f>
        <v>3</v>
      </c>
      <c r="F184" t="str">
        <f t="shared" si="2"/>
        <v/>
      </c>
      <c r="G184" s="5">
        <f ca="1">AVERAGE(D$2:D183)</f>
        <v>209.68181882198769</v>
      </c>
      <c r="H184" s="5">
        <f ca="1">PERCENTILE(D$2:D183,0.025)</f>
        <v>4.7553853420403226E-2</v>
      </c>
      <c r="I184" s="5">
        <f ca="1">PERCENTILE(D$2:D183,0.165)</f>
        <v>0.99007122821279536</v>
      </c>
      <c r="J184" s="5">
        <f ca="1">PERCENTILE(D$2:D183,0.5)</f>
        <v>30.605913412152269</v>
      </c>
      <c r="K184" s="5">
        <f ca="1">PERCENTILE(D$2:D183,0.835)</f>
        <v>286.06035663260786</v>
      </c>
      <c r="L184" s="5">
        <f ca="1">PERCENTILE(D$2:D183,0.975)</f>
        <v>1319.6939596110867</v>
      </c>
      <c r="M184" s="7">
        <f>AVERAGE(E$2:E183)</f>
        <v>1.0056497175141244</v>
      </c>
      <c r="N184" s="7">
        <f>PERCENTILE($E$2:$E183,0.025)</f>
        <v>-2</v>
      </c>
      <c r="O184" s="7">
        <f>PERCENTILE($E$2:$E183,0.165)</f>
        <v>0</v>
      </c>
      <c r="P184" s="7">
        <f>PERCENTILE($E$2:$E183,0.5)</f>
        <v>0</v>
      </c>
      <c r="Q184" s="7">
        <f>PERCENTILE($E$2:$E183,0.835)</f>
        <v>3</v>
      </c>
      <c r="R184" s="7">
        <f>PERCENTILE($E$2:$E183,0.975)</f>
        <v>3.5999999999999943</v>
      </c>
    </row>
    <row r="185" spans="1:18" x14ac:dyDescent="0.2">
      <c r="A185" s="5">
        <f>Data!E187</f>
        <v>1999</v>
      </c>
      <c r="B185" s="5">
        <f>Data!M187</f>
        <v>0.13800000000000004</v>
      </c>
      <c r="C185" s="5">
        <f>Data!N187</f>
        <v>2.0000000000000004E-2</v>
      </c>
      <c r="D185" s="5">
        <f ca="1">Data!O187</f>
        <v>43.225743526848724</v>
      </c>
      <c r="E185" s="1">
        <f>Data!AQ187</f>
        <v>3</v>
      </c>
      <c r="F185" t="str">
        <f t="shared" si="2"/>
        <v/>
      </c>
      <c r="G185" s="5">
        <f ca="1">AVERAGE(D$2:D184)</f>
        <v>208.77222278212355</v>
      </c>
      <c r="H185" s="5">
        <f ca="1">PERCENTILE(D$2:D184,0.025)</f>
        <v>4.7553853420403226E-2</v>
      </c>
      <c r="I185" s="5">
        <f ca="1">PERCENTILE(D$2:D184,0.165)</f>
        <v>0.9986309218284678</v>
      </c>
      <c r="J185" s="5">
        <f ca="1">PERCENTILE(D$2:D184,0.5)</f>
        <v>31.384815577995276</v>
      </c>
      <c r="K185" s="5">
        <f ca="1">PERCENTILE(D$2:D184,0.835)</f>
        <v>285.90504285816058</v>
      </c>
      <c r="L185" s="5">
        <f ca="1">PERCENTILE(D$2:D184,0.975)</f>
        <v>1319.2520411087987</v>
      </c>
      <c r="M185" s="7">
        <f>AVERAGE(E$2:E184)</f>
        <v>1.0168539325842696</v>
      </c>
      <c r="N185" s="7">
        <f>PERCENTILE($E$2:$E184,0.025)</f>
        <v>-2</v>
      </c>
      <c r="O185" s="7">
        <f>PERCENTILE($E$2:$E184,0.165)</f>
        <v>0</v>
      </c>
      <c r="P185" s="7">
        <f>PERCENTILE($E$2:$E184,0.5)</f>
        <v>0</v>
      </c>
      <c r="Q185" s="7">
        <f>PERCENTILE($E$2:$E184,0.835)</f>
        <v>3</v>
      </c>
      <c r="R185" s="7">
        <f>PERCENTILE($E$2:$E184,0.975)</f>
        <v>3.5749999999999886</v>
      </c>
    </row>
    <row r="186" spans="1:18" x14ac:dyDescent="0.2">
      <c r="A186" s="5">
        <f>Data!E188</f>
        <v>1999</v>
      </c>
      <c r="B186" s="5">
        <f>Data!M188</f>
        <v>0.13800000000000004</v>
      </c>
      <c r="C186" s="5">
        <f>Data!N188</f>
        <v>2.0000000000000004E-2</v>
      </c>
      <c r="D186" s="5">
        <f ca="1">Data!O188</f>
        <v>14.962757374678404</v>
      </c>
      <c r="E186" s="1">
        <f>Data!AQ188</f>
        <v>3</v>
      </c>
      <c r="F186" t="str">
        <f t="shared" si="2"/>
        <v/>
      </c>
      <c r="G186" s="5">
        <f ca="1">AVERAGE(D$2:D185)</f>
        <v>207.87251365573616</v>
      </c>
      <c r="H186" s="5">
        <f ca="1">PERCENTILE(D$2:D185,0.025)</f>
        <v>4.7553853420403226E-2</v>
      </c>
      <c r="I186" s="5">
        <f ca="1">PERCENTILE(D$2:D185,0.165)</f>
        <v>0.9986309218284678</v>
      </c>
      <c r="J186" s="5">
        <f ca="1">PERCENTILE(D$2:D185,0.5)</f>
        <v>31.666114840722667</v>
      </c>
      <c r="K186" s="5">
        <f ca="1">PERCENTILE(D$2:D185,0.835)</f>
        <v>285.63072563962481</v>
      </c>
      <c r="L186" s="5">
        <f ca="1">PERCENTILE(D$2:D185,0.975)</f>
        <v>1318.810122606511</v>
      </c>
      <c r="M186" s="7">
        <f>AVERAGE(E$2:E185)</f>
        <v>1.0279329608938548</v>
      </c>
      <c r="N186" s="7">
        <f>PERCENTILE($E$2:$E185,0.025)</f>
        <v>-2</v>
      </c>
      <c r="O186" s="7">
        <f>PERCENTILE($E$2:$E185,0.165)</f>
        <v>0</v>
      </c>
      <c r="P186" s="7">
        <f>PERCENTILE($E$2:$E185,0.5)</f>
        <v>0</v>
      </c>
      <c r="Q186" s="7">
        <f>PERCENTILE($E$2:$E185,0.835)</f>
        <v>3</v>
      </c>
      <c r="R186" s="7">
        <f>PERCENTILE($E$2:$E185,0.975)</f>
        <v>3.5499999999999829</v>
      </c>
    </row>
    <row r="187" spans="1:18" x14ac:dyDescent="0.2">
      <c r="A187" s="5">
        <f>Data!E189</f>
        <v>1999</v>
      </c>
      <c r="B187" s="5">
        <f>Data!M189</f>
        <v>0.13800000000000004</v>
      </c>
      <c r="C187" s="5">
        <f>Data!N189</f>
        <v>2.0000000000000004E-2</v>
      </c>
      <c r="D187" s="5">
        <f ca="1">Data!O189</f>
        <v>46.550800721221705</v>
      </c>
      <c r="E187" s="1">
        <f>Data!AQ189</f>
        <v>3</v>
      </c>
      <c r="F187" t="str">
        <f t="shared" si="2"/>
        <v/>
      </c>
      <c r="G187" s="5">
        <f ca="1">AVERAGE(D$2:D186)</f>
        <v>206.82975821637908</v>
      </c>
      <c r="H187" s="5">
        <f ca="1">PERCENTILE(D$2:D186,0.025)</f>
        <v>4.7553853420403226E-2</v>
      </c>
      <c r="I187" s="5">
        <f ca="1">PERCENTILE(D$2:D186,0.165)</f>
        <v>0.9986309218284678</v>
      </c>
      <c r="J187" s="5">
        <f ca="1">PERCENTILE(D$2:D186,0.5)</f>
        <v>31.384815577995276</v>
      </c>
      <c r="K187" s="5">
        <f ca="1">PERCENTILE(D$2:D186,0.835)</f>
        <v>285.35640842108899</v>
      </c>
      <c r="L187" s="5">
        <f ca="1">PERCENTILE(D$2:D186,0.975)</f>
        <v>1318.3682041042237</v>
      </c>
      <c r="M187" s="7">
        <f>AVERAGE(E$2:E186)</f>
        <v>1.038888888888889</v>
      </c>
      <c r="N187" s="7">
        <f>PERCENTILE($E$2:$E186,0.025)</f>
        <v>-2</v>
      </c>
      <c r="O187" s="7">
        <f>PERCENTILE($E$2:$E186,0.165)</f>
        <v>0</v>
      </c>
      <c r="P187" s="7">
        <f>PERCENTILE($E$2:$E186,0.5)</f>
        <v>0</v>
      </c>
      <c r="Q187" s="7">
        <f>PERCENTILE($E$2:$E186,0.835)</f>
        <v>3</v>
      </c>
      <c r="R187" s="7">
        <f>PERCENTILE($E$2:$E186,0.975)</f>
        <v>3.5250000000000057</v>
      </c>
    </row>
    <row r="188" spans="1:18" x14ac:dyDescent="0.2">
      <c r="A188" s="5">
        <f>Data!E190</f>
        <v>1999</v>
      </c>
      <c r="B188" s="5">
        <f>Data!M190</f>
        <v>0.13800000000000004</v>
      </c>
      <c r="C188" s="5">
        <f>Data!N190</f>
        <v>2.0000000000000004E-2</v>
      </c>
      <c r="D188" s="5">
        <f ca="1">Data!O190</f>
        <v>46.550800721221705</v>
      </c>
      <c r="E188" s="1">
        <f>Data!AQ190</f>
        <v>3</v>
      </c>
      <c r="F188" t="str">
        <f t="shared" si="2"/>
        <v/>
      </c>
      <c r="G188" s="5">
        <f ca="1">AVERAGE(D$2:D187)</f>
        <v>205.96804339113629</v>
      </c>
      <c r="H188" s="5">
        <f ca="1">PERCENTILE(D$2:D187,0.025)</f>
        <v>4.7553853420403226E-2</v>
      </c>
      <c r="I188" s="5">
        <f ca="1">PERCENTILE(D$2:D187,0.165)</f>
        <v>0.9986309218284678</v>
      </c>
      <c r="J188" s="5">
        <f ca="1">PERCENTILE(D$2:D187,0.5)</f>
        <v>31.666114840722667</v>
      </c>
      <c r="K188" s="5">
        <f ca="1">PERCENTILE(D$2:D187,0.835)</f>
        <v>285.08209120255327</v>
      </c>
      <c r="L188" s="5">
        <f ca="1">PERCENTILE(D$2:D187,0.975)</f>
        <v>1317.9262856019357</v>
      </c>
      <c r="M188" s="7">
        <f>AVERAGE(E$2:E187)</f>
        <v>1.0497237569060773</v>
      </c>
      <c r="N188" s="7">
        <f>PERCENTILE($E$2:$E187,0.025)</f>
        <v>-2</v>
      </c>
      <c r="O188" s="7">
        <f>PERCENTILE($E$2:$E187,0.165)</f>
        <v>0</v>
      </c>
      <c r="P188" s="7">
        <f>PERCENTILE($E$2:$E187,0.5)</f>
        <v>0</v>
      </c>
      <c r="Q188" s="7">
        <f>PERCENTILE($E$2:$E187,0.835)</f>
        <v>3</v>
      </c>
      <c r="R188" s="7">
        <f>PERCENTILE($E$2:$E187,0.975)</f>
        <v>3.5</v>
      </c>
    </row>
    <row r="189" spans="1:18" x14ac:dyDescent="0.2">
      <c r="A189" s="5">
        <f>Data!E191</f>
        <v>1999</v>
      </c>
      <c r="B189" s="5">
        <f>Data!M191</f>
        <v>0.13800000000000004</v>
      </c>
      <c r="C189" s="5">
        <f>Data!N191</f>
        <v>2.0000000000000004E-2</v>
      </c>
      <c r="D189" s="5">
        <f ca="1">Data!O191</f>
        <v>41.563214929662237</v>
      </c>
      <c r="E189" s="1">
        <f>Data!AQ191</f>
        <v>3</v>
      </c>
      <c r="F189" t="str">
        <f t="shared" si="2"/>
        <v/>
      </c>
      <c r="G189" s="5">
        <f ca="1">AVERAGE(D$2:D188)</f>
        <v>205.11554476723299</v>
      </c>
      <c r="H189" s="5">
        <f ca="1">PERCENTILE(D$2:D188,0.025)</f>
        <v>4.7553853420403226E-2</v>
      </c>
      <c r="I189" s="5">
        <f ca="1">PERCENTILE(D$2:D188,0.165)</f>
        <v>0.9986309218284678</v>
      </c>
      <c r="J189" s="5">
        <f ca="1">PERCENTILE(D$2:D188,0.5)</f>
        <v>31.947414103450058</v>
      </c>
      <c r="K189" s="5">
        <f ca="1">PERCENTILE(D$2:D188,0.835)</f>
        <v>284.8077739840175</v>
      </c>
      <c r="L189" s="5">
        <f ca="1">PERCENTILE(D$2:D188,0.975)</f>
        <v>1317.4843670996479</v>
      </c>
      <c r="M189" s="7">
        <f>AVERAGE(E$2:E188)</f>
        <v>1.0604395604395604</v>
      </c>
      <c r="N189" s="7">
        <f>PERCENTILE($E$2:$E188,0.025)</f>
        <v>-2</v>
      </c>
      <c r="O189" s="7">
        <f>PERCENTILE($E$2:$E188,0.165)</f>
        <v>0</v>
      </c>
      <c r="P189" s="7">
        <f>PERCENTILE($E$2:$E188,0.5)</f>
        <v>0.05</v>
      </c>
      <c r="Q189" s="7">
        <f>PERCENTILE($E$2:$E188,0.835)</f>
        <v>3</v>
      </c>
      <c r="R189" s="7">
        <f>PERCENTILE($E$2:$E188,0.975)</f>
        <v>3.4749999999999943</v>
      </c>
    </row>
    <row r="190" spans="1:18" x14ac:dyDescent="0.2">
      <c r="A190" s="5">
        <f>Data!E192</f>
        <v>1999</v>
      </c>
      <c r="B190" s="5">
        <f>Data!M192</f>
        <v>0.34500000000000003</v>
      </c>
      <c r="C190" s="5">
        <f>Data!N192</f>
        <v>0.05</v>
      </c>
      <c r="D190" s="5">
        <f ca="1">Data!O192</f>
        <v>9.9751715831189358</v>
      </c>
      <c r="E190" s="1">
        <f>Data!AQ192</f>
        <v>8</v>
      </c>
      <c r="F190" t="str">
        <f t="shared" si="2"/>
        <v/>
      </c>
      <c r="G190" s="5">
        <f ca="1">AVERAGE(D$2:D189)</f>
        <v>204.24558556596932</v>
      </c>
      <c r="H190" s="5">
        <f ca="1">PERCENTILE(D$2:D189,0.025)</f>
        <v>4.7553853420403226E-2</v>
      </c>
      <c r="I190" s="5">
        <f ca="1">PERCENTILE(D$2:D189,0.165)</f>
        <v>0.9986309218284678</v>
      </c>
      <c r="J190" s="5">
        <f ca="1">PERCENTILE(D$2:D189,0.5)</f>
        <v>32.079072940433136</v>
      </c>
      <c r="K190" s="5">
        <f ca="1">PERCENTILE(D$2:D189,0.835)</f>
        <v>284.53345676548167</v>
      </c>
      <c r="L190" s="5">
        <f ca="1">PERCENTILE(D$2:D189,0.975)</f>
        <v>1317.0424485973599</v>
      </c>
      <c r="M190" s="7">
        <f>AVERAGE(E$2:E189)</f>
        <v>1.0710382513661203</v>
      </c>
      <c r="N190" s="7">
        <f>PERCENTILE($E$2:$E189,0.025)</f>
        <v>-2</v>
      </c>
      <c r="O190" s="7">
        <f>PERCENTILE($E$2:$E189,0.165)</f>
        <v>0</v>
      </c>
      <c r="P190" s="7">
        <f>PERCENTILE($E$2:$E189,0.5)</f>
        <v>0.1</v>
      </c>
      <c r="Q190" s="7">
        <f>PERCENTILE($E$2:$E189,0.835)</f>
        <v>3</v>
      </c>
      <c r="R190" s="7">
        <f>PERCENTILE($E$2:$E189,0.975)</f>
        <v>3.4499999999999886</v>
      </c>
    </row>
    <row r="191" spans="1:18" x14ac:dyDescent="0.2">
      <c r="A191" s="5">
        <f>Data!E193</f>
        <v>1999</v>
      </c>
      <c r="B191" s="5">
        <f>Data!M193</f>
        <v>6.900000000000002E-2</v>
      </c>
      <c r="C191" s="5">
        <f>Data!N193</f>
        <v>1.0000000000000002E-2</v>
      </c>
      <c r="D191" s="5">
        <f ca="1">Data!O193</f>
        <v>9.9751715831189358</v>
      </c>
      <c r="E191" s="1">
        <f>Data!AQ193</f>
        <v>8</v>
      </c>
      <c r="F191" t="str">
        <f t="shared" si="2"/>
        <v/>
      </c>
      <c r="G191" s="5">
        <f ca="1">AVERAGE(D$2:D190)</f>
        <v>203.21769977770026</v>
      </c>
      <c r="H191" s="5">
        <f ca="1">PERCENTILE(D$2:D190,0.025)</f>
        <v>4.7553853420403226E-2</v>
      </c>
      <c r="I191" s="5">
        <f ca="1">PERCENTILE(D$2:D190,0.165)</f>
        <v>1.0008501016547535</v>
      </c>
      <c r="J191" s="5">
        <f ca="1">PERCENTILE(D$2:D190,0.5)</f>
        <v>31.947414103450058</v>
      </c>
      <c r="K191" s="5">
        <f ca="1">PERCENTILE(D$2:D190,0.835)</f>
        <v>284.26506737472192</v>
      </c>
      <c r="L191" s="5">
        <f ca="1">PERCENTILE(D$2:D190,0.975)</f>
        <v>1316.6005300950721</v>
      </c>
      <c r="M191" s="7">
        <f>AVERAGE(E$2:E190)</f>
        <v>1.1086956521739131</v>
      </c>
      <c r="N191" s="7">
        <f>PERCENTILE($E$2:$E190,0.025)</f>
        <v>-2</v>
      </c>
      <c r="O191" s="7">
        <f>PERCENTILE($E$2:$E190,0.165)</f>
        <v>0</v>
      </c>
      <c r="P191" s="7">
        <f>PERCENTILE($E$2:$E190,0.5)</f>
        <v>0.1</v>
      </c>
      <c r="Q191" s="7">
        <f>PERCENTILE($E$2:$E190,0.835)</f>
        <v>3</v>
      </c>
      <c r="R191" s="7">
        <f>PERCENTILE($E$2:$E190,0.975)</f>
        <v>4</v>
      </c>
    </row>
    <row r="192" spans="1:18" x14ac:dyDescent="0.2">
      <c r="A192" s="5">
        <f>Data!E194</f>
        <v>1999</v>
      </c>
      <c r="B192" s="5">
        <f>Data!M194</f>
        <v>6.900000000000002E-2</v>
      </c>
      <c r="C192" s="5">
        <f>Data!N194</f>
        <v>1.0000000000000002E-2</v>
      </c>
      <c r="D192" s="5">
        <f ca="1">Data!O194</f>
        <v>3.3250571943729788</v>
      </c>
      <c r="E192" s="1">
        <f>Data!AQ194</f>
        <v>8</v>
      </c>
      <c r="F192" t="str">
        <f t="shared" si="2"/>
        <v/>
      </c>
      <c r="G192" s="5">
        <f ca="1">AVERAGE(D$2:D191)</f>
        <v>202.20063383983407</v>
      </c>
      <c r="H192" s="5">
        <f ca="1">PERCENTILE(D$2:D191,0.025)</f>
        <v>4.7553853420403226E-2</v>
      </c>
      <c r="I192" s="5">
        <f ca="1">PERCENTILE(D$2:D191,0.165)</f>
        <v>1.0191583352216087</v>
      </c>
      <c r="J192" s="5">
        <f ca="1">PERCENTILE(D$2:D191,0.5)</f>
        <v>31.666114840722667</v>
      </c>
      <c r="K192" s="5">
        <f ca="1">PERCENTILE(D$2:D191,0.835)</f>
        <v>284.03965473533833</v>
      </c>
      <c r="L192" s="5">
        <f ca="1">PERCENTILE(D$2:D191,0.975)</f>
        <v>1316.1586115927846</v>
      </c>
      <c r="M192" s="7">
        <f>AVERAGE(E$2:E191)</f>
        <v>1.145945945945946</v>
      </c>
      <c r="N192" s="7">
        <f>PERCENTILE($E$2:$E191,0.025)</f>
        <v>-2</v>
      </c>
      <c r="O192" s="7">
        <f>PERCENTILE($E$2:$E191,0.165)</f>
        <v>0</v>
      </c>
      <c r="P192" s="7">
        <f>PERCENTILE($E$2:$E191,0.5)</f>
        <v>0.1</v>
      </c>
      <c r="Q192" s="7">
        <f>PERCENTILE($E$2:$E191,0.835)</f>
        <v>3</v>
      </c>
      <c r="R192" s="7">
        <f>PERCENTILE($E$2:$E191,0.975)</f>
        <v>4</v>
      </c>
    </row>
    <row r="193" spans="1:18" x14ac:dyDescent="0.2">
      <c r="A193" s="5">
        <f>Data!E195</f>
        <v>1999</v>
      </c>
      <c r="B193" s="5">
        <f>Data!M195</f>
        <v>6.900000000000002E-2</v>
      </c>
      <c r="C193" s="5">
        <f>Data!N195</f>
        <v>1.0000000000000002E-2</v>
      </c>
      <c r="D193" s="5">
        <f ca="1">Data!O195</f>
        <v>9.9751715831189358</v>
      </c>
      <c r="E193" s="1">
        <f>Data!AQ195</f>
        <v>8</v>
      </c>
      <c r="F193" t="str">
        <f t="shared" si="2"/>
        <v/>
      </c>
      <c r="G193" s="5">
        <f ca="1">AVERAGE(D$2:D192)</f>
        <v>201.15940045425572</v>
      </c>
      <c r="H193" s="5">
        <f ca="1">PERCENTILE(D$2:D192,0.025)</f>
        <v>4.7553853420403226E-2</v>
      </c>
      <c r="I193" s="5">
        <f ca="1">PERCENTILE(D$2:D192,0.165)</f>
        <v>1.0374665687884639</v>
      </c>
      <c r="J193" s="5">
        <f ca="1">PERCENTILE(D$2:D192,0.5)</f>
        <v>31.384815577995276</v>
      </c>
      <c r="K193" s="5">
        <f ca="1">PERCENTILE(D$2:D192,0.835)</f>
        <v>283.81424209595468</v>
      </c>
      <c r="L193" s="5">
        <f ca="1">PERCENTILE(D$2:D192,0.975)</f>
        <v>1315.7166930904968</v>
      </c>
      <c r="M193" s="7">
        <f>AVERAGE(E$2:E192)</f>
        <v>1.1827956989247312</v>
      </c>
      <c r="N193" s="7">
        <f>PERCENTILE($E$2:$E192,0.025)</f>
        <v>-2</v>
      </c>
      <c r="O193" s="7">
        <f>PERCENTILE($E$2:$E192,0.165)</f>
        <v>0</v>
      </c>
      <c r="P193" s="7">
        <f>PERCENTILE($E$2:$E192,0.5)</f>
        <v>0.1</v>
      </c>
      <c r="Q193" s="7">
        <f>PERCENTILE($E$2:$E192,0.835)</f>
        <v>3</v>
      </c>
      <c r="R193" s="7">
        <f>PERCENTILE($E$2:$E192,0.975)</f>
        <v>4.75</v>
      </c>
    </row>
    <row r="194" spans="1:18" x14ac:dyDescent="0.2">
      <c r="A194" s="5">
        <f>Data!E196</f>
        <v>1999</v>
      </c>
      <c r="B194" s="5">
        <f>Data!M196</f>
        <v>6.900000000000002E-2</v>
      </c>
      <c r="C194" s="5">
        <f>Data!N196</f>
        <v>1.0000000000000002E-2</v>
      </c>
      <c r="D194" s="5">
        <f ca="1">Data!O196</f>
        <v>9.9751715831189358</v>
      </c>
      <c r="E194" s="1">
        <f>Data!AQ196</f>
        <v>8</v>
      </c>
      <c r="F194" t="str">
        <f t="shared" si="2"/>
        <v/>
      </c>
      <c r="G194" s="5">
        <f ca="1">AVERAGE(D$2:D193)</f>
        <v>200.16364926221854</v>
      </c>
      <c r="H194" s="5">
        <f ca="1">PERCENTILE(D$2:D193,0.025)</f>
        <v>4.7553853420403226E-2</v>
      </c>
      <c r="I194" s="5">
        <f ca="1">PERCENTILE(D$2:D193,0.165)</f>
        <v>1.0557748023553191</v>
      </c>
      <c r="J194" s="5">
        <f ca="1">PERCENTILE(D$2:D193,0.5)</f>
        <v>30.605913412152269</v>
      </c>
      <c r="K194" s="5">
        <f ca="1">PERCENTILE(D$2:D193,0.835)</f>
        <v>283.58882945657098</v>
      </c>
      <c r="L194" s="5">
        <f ca="1">PERCENTILE(D$2:D193,0.975)</f>
        <v>1315.2747745882089</v>
      </c>
      <c r="M194" s="7">
        <f>AVERAGE(E$2:E193)</f>
        <v>1.2192513368983957</v>
      </c>
      <c r="N194" s="7">
        <f>PERCENTILE($E$2:$E193,0.025)</f>
        <v>-2</v>
      </c>
      <c r="O194" s="7">
        <f>PERCENTILE($E$2:$E193,0.165)</f>
        <v>0</v>
      </c>
      <c r="P194" s="7">
        <f>PERCENTILE($E$2:$E193,0.5)</f>
        <v>0.1</v>
      </c>
      <c r="Q194" s="7">
        <f>PERCENTILE($E$2:$E193,0.835)</f>
        <v>3</v>
      </c>
      <c r="R194" s="7">
        <f>PERCENTILE($E$2:$E193,0.975)</f>
        <v>6</v>
      </c>
    </row>
    <row r="195" spans="1:18" x14ac:dyDescent="0.2">
      <c r="A195" s="5">
        <f>Data!E197</f>
        <v>1999</v>
      </c>
      <c r="B195" s="5">
        <f>Data!M197</f>
        <v>6.900000000000002E-2</v>
      </c>
      <c r="C195" s="5">
        <f>Data!N197</f>
        <v>1.0000000000000002E-2</v>
      </c>
      <c r="D195" s="5">
        <f ca="1">Data!O197</f>
        <v>9.9751715831189358</v>
      </c>
      <c r="E195" s="1">
        <f>Data!AQ197</f>
        <v>8</v>
      </c>
      <c r="F195" t="str">
        <f t="shared" si="2"/>
        <v/>
      </c>
      <c r="G195" s="5">
        <f ca="1">AVERAGE(D$2:D194)</f>
        <v>199.17821673538384</v>
      </c>
      <c r="H195" s="5">
        <f ca="1">PERCENTILE(D$2:D194,0.025)</f>
        <v>4.7553853420403226E-2</v>
      </c>
      <c r="I195" s="5">
        <f ca="1">PERCENTILE(D$2:D194,0.165)</f>
        <v>1.0740830359221742</v>
      </c>
      <c r="J195" s="5">
        <f ca="1">PERCENTILE(D$2:D194,0.5)</f>
        <v>29.827011246309265</v>
      </c>
      <c r="K195" s="5">
        <f ca="1">PERCENTILE(D$2:D194,0.835)</f>
        <v>283.36341681718739</v>
      </c>
      <c r="L195" s="5">
        <f ca="1">PERCENTILE(D$2:D194,0.975)</f>
        <v>1314.8328560859211</v>
      </c>
      <c r="M195" s="7">
        <f>AVERAGE(E$2:E194)</f>
        <v>1.2553191489361701</v>
      </c>
      <c r="N195" s="7">
        <f>PERCENTILE($E$2:$E194,0.025)</f>
        <v>-2</v>
      </c>
      <c r="O195" s="7">
        <f>PERCENTILE($E$2:$E194,0.165)</f>
        <v>0</v>
      </c>
      <c r="P195" s="7">
        <f>PERCENTILE($E$2:$E194,0.5)</f>
        <v>0.1</v>
      </c>
      <c r="Q195" s="7">
        <f>PERCENTILE($E$2:$E194,0.835)</f>
        <v>3</v>
      </c>
      <c r="R195" s="7">
        <f>PERCENTILE($E$2:$E194,0.975)</f>
        <v>6.6499999999999773</v>
      </c>
    </row>
    <row r="196" spans="1:18" x14ac:dyDescent="0.2">
      <c r="A196" s="5">
        <f>Data!E198</f>
        <v>1999</v>
      </c>
      <c r="B196" s="5">
        <f>Data!M198</f>
        <v>5.9</v>
      </c>
      <c r="C196" s="5">
        <f>Data!N198</f>
        <v>1</v>
      </c>
      <c r="D196" s="5">
        <f ca="1">Data!O198</f>
        <v>84.463259671901923</v>
      </c>
      <c r="E196" s="1">
        <f>Data!AQ198</f>
        <v>3</v>
      </c>
      <c r="F196" t="str">
        <f t="shared" si="2"/>
        <v/>
      </c>
      <c r="G196" s="5">
        <f ca="1">AVERAGE(D$2:D195)</f>
        <v>198.20294330676396</v>
      </c>
      <c r="H196" s="5">
        <f ca="1">PERCENTILE(D$2:D195,0.025)</f>
        <v>4.7553853420403226E-2</v>
      </c>
      <c r="I196" s="5">
        <f ca="1">PERCENTILE(D$2:D195,0.165)</f>
        <v>1.0923912694890294</v>
      </c>
      <c r="J196" s="5">
        <f ca="1">PERCENTILE(D$2:D195,0.5)</f>
        <v>29.761886767605532</v>
      </c>
      <c r="K196" s="5">
        <f ca="1">PERCENTILE(D$2:D195,0.835)</f>
        <v>283.13800417780374</v>
      </c>
      <c r="L196" s="5">
        <f ca="1">PERCENTILE(D$2:D195,0.975)</f>
        <v>1314.3909375836331</v>
      </c>
      <c r="M196" s="7">
        <f>AVERAGE(E$2:E195)</f>
        <v>1.2910052910052909</v>
      </c>
      <c r="N196" s="7">
        <f>PERCENTILE($E$2:$E195,0.025)</f>
        <v>-2</v>
      </c>
      <c r="O196" s="7">
        <f>PERCENTILE($E$2:$E195,0.165)</f>
        <v>0</v>
      </c>
      <c r="P196" s="7">
        <f>PERCENTILE($E$2:$E195,0.5)</f>
        <v>0.1</v>
      </c>
      <c r="Q196" s="7">
        <f>PERCENTILE($E$2:$E195,0.835)</f>
        <v>3</v>
      </c>
      <c r="R196" s="7">
        <f>PERCENTILE($E$2:$E195,0.975)</f>
        <v>8</v>
      </c>
    </row>
    <row r="197" spans="1:18" x14ac:dyDescent="0.2">
      <c r="A197" s="5">
        <f>Data!E199</f>
        <v>2000</v>
      </c>
      <c r="B197" s="5">
        <f>Data!M199</f>
        <v>5</v>
      </c>
      <c r="C197" s="5">
        <f>Data!N199</f>
        <v>1</v>
      </c>
      <c r="D197" s="5">
        <f ca="1">Data!O199</f>
        <v>12.328877586942637</v>
      </c>
      <c r="E197" s="1" t="str">
        <f>Data!AQ199</f>
        <v>NA</v>
      </c>
      <c r="F197">
        <f t="shared" ref="F197:F260" si="3">IF(A197&lt;&gt;A196,A197,"")</f>
        <v>2000</v>
      </c>
      <c r="G197" s="5">
        <f ca="1">AVERAGE(D$2:D196)</f>
        <v>197.61966287786723</v>
      </c>
      <c r="H197" s="5">
        <f ca="1">PERCENTILE(D$2:D196,0.025)</f>
        <v>4.7553853420403226E-2</v>
      </c>
      <c r="I197" s="5">
        <f ca="1">PERCENTILE(D$2:D196,0.165)</f>
        <v>1.1108580159006192</v>
      </c>
      <c r="J197" s="5">
        <f ca="1">PERCENTILE(D$2:D196,0.5)</f>
        <v>29.827011246309265</v>
      </c>
      <c r="K197" s="5">
        <f ca="1">PERCENTILE(D$2:D196,0.835)</f>
        <v>282.69053499300935</v>
      </c>
      <c r="L197" s="5">
        <f ca="1">PERCENTILE(D$2:D196,0.975)</f>
        <v>1313.9490190813458</v>
      </c>
      <c r="M197" s="7">
        <f>AVERAGE(E$2:E196)</f>
        <v>1.3</v>
      </c>
      <c r="N197" s="7">
        <f>PERCENTILE($E$2:$E196,0.025)</f>
        <v>-2</v>
      </c>
      <c r="O197" s="7">
        <f>PERCENTILE($E$2:$E196,0.165)</f>
        <v>0</v>
      </c>
      <c r="P197" s="7">
        <f>PERCENTILE($E$2:$E196,0.5)</f>
        <v>0.55000000000000004</v>
      </c>
      <c r="Q197" s="7">
        <f>PERCENTILE($E$2:$E196,0.835)</f>
        <v>3</v>
      </c>
      <c r="R197" s="7">
        <f>PERCENTILE($E$2:$E196,0.975)</f>
        <v>8</v>
      </c>
    </row>
    <row r="198" spans="1:18" x14ac:dyDescent="0.2">
      <c r="A198" s="5">
        <f>Data!E200</f>
        <v>2001</v>
      </c>
      <c r="B198" s="5">
        <f>Data!M200</f>
        <v>0.51</v>
      </c>
      <c r="C198" s="5">
        <f>Data!N200</f>
        <v>0.1</v>
      </c>
      <c r="D198" s="5">
        <f ca="1">Data!O200</f>
        <v>46.773800264702388</v>
      </c>
      <c r="E198" s="1">
        <f>Data!AQ200</f>
        <v>1</v>
      </c>
      <c r="F198">
        <f t="shared" si="3"/>
        <v>2001</v>
      </c>
      <c r="G198" s="5">
        <f ca="1">AVERAGE(D$2:D197)</f>
        <v>196.67430172842373</v>
      </c>
      <c r="H198" s="5">
        <f ca="1">PERCENTILE(D$2:D197,0.025)</f>
        <v>4.7553853420403226E-2</v>
      </c>
      <c r="I198" s="5">
        <f ca="1">PERCENTILE(D$2:D197,0.165)</f>
        <v>1.1317817114055975</v>
      </c>
      <c r="J198" s="5">
        <f ca="1">PERCENTILE(D$2:D197,0.5)</f>
        <v>29.761886767605532</v>
      </c>
      <c r="K198" s="5">
        <f ca="1">PERCENTILE(D$2:D197,0.835)</f>
        <v>278.80118935435661</v>
      </c>
      <c r="L198" s="5">
        <f ca="1">PERCENTILE(D$2:D197,0.975)</f>
        <v>1313.5071005790578</v>
      </c>
      <c r="M198" s="7">
        <f>AVERAGE(E$2:E197)</f>
        <v>1.3</v>
      </c>
      <c r="N198" s="7">
        <f>PERCENTILE($E$2:$E197,0.025)</f>
        <v>-2</v>
      </c>
      <c r="O198" s="7">
        <f>PERCENTILE($E$2:$E197,0.165)</f>
        <v>0</v>
      </c>
      <c r="P198" s="7">
        <f>PERCENTILE($E$2:$E197,0.5)</f>
        <v>0.55000000000000004</v>
      </c>
      <c r="Q198" s="7">
        <f>PERCENTILE($E$2:$E197,0.835)</f>
        <v>3</v>
      </c>
      <c r="R198" s="7">
        <f>PERCENTILE($E$2:$E197,0.975)</f>
        <v>8</v>
      </c>
    </row>
    <row r="199" spans="1:18" x14ac:dyDescent="0.2">
      <c r="A199" s="5">
        <f>Data!E201</f>
        <v>2001</v>
      </c>
      <c r="B199" s="5">
        <f>Data!M201</f>
        <v>0.51</v>
      </c>
      <c r="C199" s="5">
        <f>Data!N201</f>
        <v>0.1</v>
      </c>
      <c r="D199" s="5">
        <f ca="1">Data!O201</f>
        <v>6.2723486945003195</v>
      </c>
      <c r="E199" s="1">
        <f>Data!AQ201</f>
        <v>1</v>
      </c>
      <c r="F199" t="str">
        <f t="shared" si="3"/>
        <v/>
      </c>
      <c r="G199" s="5">
        <f ca="1">AVERAGE(D$2:D198)</f>
        <v>195.91338547733886</v>
      </c>
      <c r="H199" s="5">
        <f ca="1">PERCENTILE(D$2:D198,0.025)</f>
        <v>4.7553853420403226E-2</v>
      </c>
      <c r="I199" s="5">
        <f ca="1">PERCENTILE(D$2:D198,0.165)</f>
        <v>1.1527054069105747</v>
      </c>
      <c r="J199" s="5">
        <f ca="1">PERCENTILE(D$2:D198,0.5)</f>
        <v>29.827011246309265</v>
      </c>
      <c r="K199" s="5">
        <f ca="1">PERCENTILE(D$2:D198,0.835)</f>
        <v>274.91184371570392</v>
      </c>
      <c r="L199" s="5">
        <f ca="1">PERCENTILE(D$2:D198,0.975)</f>
        <v>1313.06518207677</v>
      </c>
      <c r="M199" s="7">
        <f>AVERAGE(E$2:E198)</f>
        <v>1.2984293193717278</v>
      </c>
      <c r="N199" s="7">
        <f>PERCENTILE($E$2:$E198,0.025)</f>
        <v>-2</v>
      </c>
      <c r="O199" s="7">
        <f>PERCENTILE($E$2:$E198,0.165)</f>
        <v>0</v>
      </c>
      <c r="P199" s="7">
        <f>PERCENTILE($E$2:$E198,0.5)</f>
        <v>1</v>
      </c>
      <c r="Q199" s="7">
        <f>PERCENTILE($E$2:$E198,0.835)</f>
        <v>3</v>
      </c>
      <c r="R199" s="7">
        <f>PERCENTILE($E$2:$E198,0.975)</f>
        <v>8</v>
      </c>
    </row>
    <row r="200" spans="1:18" x14ac:dyDescent="0.2">
      <c r="A200" s="5">
        <f>Data!E202</f>
        <v>2001</v>
      </c>
      <c r="B200" s="5">
        <f>Data!M202</f>
        <v>5.0999999999999996</v>
      </c>
      <c r="C200" s="5">
        <f>Data!N202</f>
        <v>1</v>
      </c>
      <c r="D200" s="5">
        <f ca="1">Data!O202</f>
        <v>82.078162916604185</v>
      </c>
      <c r="E200" s="1">
        <f>Data!AQ202</f>
        <v>1</v>
      </c>
      <c r="F200" t="str">
        <f t="shared" si="3"/>
        <v/>
      </c>
      <c r="G200" s="5">
        <f ca="1">AVERAGE(D$2:D199)</f>
        <v>194.95560246328412</v>
      </c>
      <c r="H200" s="5">
        <f ca="1">PERCENTILE(D$2:D199,0.025)</f>
        <v>4.7553853420403226E-2</v>
      </c>
      <c r="I200" s="5">
        <f ca="1">PERCENTILE(D$2:D199,0.165)</f>
        <v>1.1736291024155521</v>
      </c>
      <c r="J200" s="5">
        <f ca="1">PERCENTILE(D$2:D199,0.5)</f>
        <v>29.761886767605532</v>
      </c>
      <c r="K200" s="5">
        <f ca="1">PERCENTILE(D$2:D199,0.835)</f>
        <v>271.02249807705118</v>
      </c>
      <c r="L200" s="5">
        <f ca="1">PERCENTILE(D$2:D199,0.975)</f>
        <v>1312.6232635744821</v>
      </c>
      <c r="M200" s="7">
        <f>AVERAGE(E$2:E199)</f>
        <v>1.296875</v>
      </c>
      <c r="N200" s="7">
        <f>PERCENTILE($E$2:$E199,0.025)</f>
        <v>-2</v>
      </c>
      <c r="O200" s="7">
        <f>PERCENTILE($E$2:$E199,0.165)</f>
        <v>0</v>
      </c>
      <c r="P200" s="7">
        <f>PERCENTILE($E$2:$E199,0.5)</f>
        <v>1</v>
      </c>
      <c r="Q200" s="7">
        <f>PERCENTILE($E$2:$E199,0.835)</f>
        <v>3</v>
      </c>
      <c r="R200" s="7">
        <f>PERCENTILE($E$2:$E199,0.975)</f>
        <v>8</v>
      </c>
    </row>
    <row r="201" spans="1:18" x14ac:dyDescent="0.2">
      <c r="A201" s="5">
        <f>Data!E203</f>
        <v>2001</v>
      </c>
      <c r="B201" s="5">
        <f>Data!M203</f>
        <v>4.08</v>
      </c>
      <c r="C201" s="5">
        <f>Data!N203</f>
        <v>0.8</v>
      </c>
      <c r="D201" s="5">
        <f ca="1">Data!O203</f>
        <v>9.1397080977004652</v>
      </c>
      <c r="E201" s="1">
        <f>Data!AQ203</f>
        <v>1</v>
      </c>
      <c r="F201" t="str">
        <f t="shared" si="3"/>
        <v/>
      </c>
      <c r="G201" s="5">
        <f ca="1">AVERAGE(D$2:D200)</f>
        <v>194.3883791489792</v>
      </c>
      <c r="H201" s="5">
        <f ca="1">PERCENTILE(D$2:D200,0.025)</f>
        <v>4.7553853420403226E-2</v>
      </c>
      <c r="I201" s="5">
        <f ca="1">PERCENTILE(D$2:D200,0.165)</f>
        <v>1.1945527979205293</v>
      </c>
      <c r="J201" s="5">
        <f ca="1">PERCENTILE(D$2:D200,0.5)</f>
        <v>29.827011246309265</v>
      </c>
      <c r="K201" s="5">
        <f ca="1">PERCENTILE(D$2:D200,0.835)</f>
        <v>267.13315243839776</v>
      </c>
      <c r="L201" s="5">
        <f ca="1">PERCENTILE(D$2:D200,0.975)</f>
        <v>1312.1813450721943</v>
      </c>
      <c r="M201" s="7">
        <f>AVERAGE(E$2:E200)</f>
        <v>1.2953367875647668</v>
      </c>
      <c r="N201" s="7">
        <f>PERCENTILE($E$2:$E200,0.025)</f>
        <v>-2</v>
      </c>
      <c r="O201" s="7">
        <f>PERCENTILE($E$2:$E200,0.165)</f>
        <v>0</v>
      </c>
      <c r="P201" s="7">
        <f>PERCENTILE($E$2:$E200,0.5)</f>
        <v>1</v>
      </c>
      <c r="Q201" s="7">
        <f>PERCENTILE($E$2:$E200,0.835)</f>
        <v>3</v>
      </c>
      <c r="R201" s="7">
        <f>PERCENTILE($E$2:$E200,0.975)</f>
        <v>8</v>
      </c>
    </row>
    <row r="202" spans="1:18" x14ac:dyDescent="0.2">
      <c r="A202" s="5">
        <f>Data!E204</f>
        <v>2002</v>
      </c>
      <c r="B202" s="5">
        <f>Data!M204</f>
        <v>4.2</v>
      </c>
      <c r="C202" s="5">
        <f>Data!N204</f>
        <v>1</v>
      </c>
      <c r="D202" s="5">
        <f ca="1">Data!O204</f>
        <v>149.34372740092297</v>
      </c>
      <c r="E202" s="1">
        <f>Data!AQ204</f>
        <v>1</v>
      </c>
      <c r="F202">
        <f t="shared" si="3"/>
        <v>2002</v>
      </c>
      <c r="G202" s="5">
        <f ca="1">AVERAGE(D$2:D201)</f>
        <v>193.46213579372281</v>
      </c>
      <c r="H202" s="5">
        <f ca="1">PERCENTILE(D$2:D201,0.025)</f>
        <v>4.7553853420403226E-2</v>
      </c>
      <c r="I202" s="5">
        <f ca="1">PERCENTILE(D$2:D201,0.165)</f>
        <v>1.2154764934255065</v>
      </c>
      <c r="J202" s="5">
        <f ca="1">PERCENTILE(D$2:D201,0.5)</f>
        <v>29.761886767605532</v>
      </c>
      <c r="K202" s="5">
        <f ca="1">PERCENTILE(D$2:D201,0.835)</f>
        <v>263.24380679974507</v>
      </c>
      <c r="L202" s="5">
        <f ca="1">PERCENTILE(D$2:D201,0.975)</f>
        <v>1311.739426569907</v>
      </c>
      <c r="M202" s="7">
        <f>AVERAGE(E$2:E201)</f>
        <v>1.2938144329896908</v>
      </c>
      <c r="N202" s="7">
        <f>PERCENTILE($E$2:$E201,0.025)</f>
        <v>-2</v>
      </c>
      <c r="O202" s="7">
        <f>PERCENTILE($E$2:$E201,0.165)</f>
        <v>0</v>
      </c>
      <c r="P202" s="7">
        <f>PERCENTILE($E$2:$E201,0.5)</f>
        <v>1</v>
      </c>
      <c r="Q202" s="7">
        <f>PERCENTILE($E$2:$E201,0.835)</f>
        <v>3</v>
      </c>
      <c r="R202" s="7">
        <f>PERCENTILE($E$2:$E201,0.975)</f>
        <v>8</v>
      </c>
    </row>
    <row r="203" spans="1:18" x14ac:dyDescent="0.2">
      <c r="A203" s="5">
        <f>Data!E211</f>
        <v>2003</v>
      </c>
      <c r="B203" s="5">
        <f>Data!M211</f>
        <v>0.53</v>
      </c>
      <c r="C203" s="5">
        <f>Data!N211</f>
        <v>0.1</v>
      </c>
      <c r="D203" s="5">
        <f ca="1">Data!O211</f>
        <v>11.728549323648457</v>
      </c>
      <c r="E203" s="1">
        <f>Data!AQ211</f>
        <v>2</v>
      </c>
      <c r="F203">
        <f t="shared" si="3"/>
        <v>2003</v>
      </c>
      <c r="G203" s="5">
        <f ca="1">AVERAGE(D$2:D202)</f>
        <v>193.24264122460443</v>
      </c>
      <c r="H203" s="5">
        <f ca="1">PERCENTILE(D$2:D202,0.025)</f>
        <v>4.7553853420403226E-2</v>
      </c>
      <c r="I203" s="5">
        <f ca="1">PERCENTILE(D$2:D202,0.165)</f>
        <v>1.2364001889304839</v>
      </c>
      <c r="J203" s="5">
        <f ca="1">PERCENTILE(D$2:D202,0.5)</f>
        <v>29.827011246309265</v>
      </c>
      <c r="K203" s="5">
        <f ca="1">PERCENTILE(D$2:D202,0.835)</f>
        <v>259.35446116109233</v>
      </c>
      <c r="L203" s="5">
        <f ca="1">PERCENTILE(D$2:D202,0.975)</f>
        <v>1311.297508067619</v>
      </c>
      <c r="M203" s="7">
        <f>AVERAGE(E$2:E202)</f>
        <v>1.2923076923076924</v>
      </c>
      <c r="N203" s="7">
        <f>PERCENTILE($E$2:$E202,0.025)</f>
        <v>-2</v>
      </c>
      <c r="O203" s="7">
        <f>PERCENTILE($E$2:$E202,0.165)</f>
        <v>0</v>
      </c>
      <c r="P203" s="7">
        <f>PERCENTILE($E$2:$E202,0.5)</f>
        <v>1</v>
      </c>
      <c r="Q203" s="7">
        <f>PERCENTILE($E$2:$E202,0.835)</f>
        <v>3</v>
      </c>
      <c r="R203" s="7">
        <f>PERCENTILE($E$2:$E202,0.975)</f>
        <v>8</v>
      </c>
    </row>
    <row r="204" spans="1:18" x14ac:dyDescent="0.2">
      <c r="A204" s="5">
        <f>Data!E212</f>
        <v>2003</v>
      </c>
      <c r="B204" s="5">
        <f>Data!M212</f>
        <v>1.06</v>
      </c>
      <c r="C204" s="5">
        <f>Data!N212</f>
        <v>0.2</v>
      </c>
      <c r="D204" s="5">
        <f ca="1">Data!O212</f>
        <v>21.332065320364091</v>
      </c>
      <c r="E204" s="1">
        <f>Data!AQ212</f>
        <v>2</v>
      </c>
      <c r="F204" t="str">
        <f t="shared" si="3"/>
        <v/>
      </c>
      <c r="G204" s="5">
        <f ca="1">AVERAGE(D$2:D203)</f>
        <v>192.34405661123336</v>
      </c>
      <c r="H204" s="5">
        <f ca="1">PERCENTILE(D$2:D203,0.025)</f>
        <v>4.7751994476321578E-2</v>
      </c>
      <c r="I204" s="5">
        <f ca="1">PERCENTILE(D$2:D203,0.165)</f>
        <v>1.2442465747448503</v>
      </c>
      <c r="J204" s="5">
        <f ca="1">PERCENTILE(D$2:D203,0.5)</f>
        <v>29.761886767605532</v>
      </c>
      <c r="K204" s="5">
        <f ca="1">PERCENTILE(D$2:D203,0.835)</f>
        <v>258.3729826651965</v>
      </c>
      <c r="L204" s="5">
        <f ca="1">PERCENTILE(D$2:D203,0.975)</f>
        <v>1306.6713044370954</v>
      </c>
      <c r="M204" s="7">
        <f>AVERAGE(E$2:E203)</f>
        <v>1.2959183673469388</v>
      </c>
      <c r="N204" s="7">
        <f>PERCENTILE($E$2:$E203,0.025)</f>
        <v>-2</v>
      </c>
      <c r="O204" s="7">
        <f>PERCENTILE($E$2:$E203,0.165)</f>
        <v>0</v>
      </c>
      <c r="P204" s="7">
        <f>PERCENTILE($E$2:$E203,0.5)</f>
        <v>1</v>
      </c>
      <c r="Q204" s="7">
        <f>PERCENTILE($E$2:$E203,0.835)</f>
        <v>3</v>
      </c>
      <c r="R204" s="7">
        <f>PERCENTILE($E$2:$E203,0.975)</f>
        <v>8</v>
      </c>
    </row>
    <row r="205" spans="1:18" x14ac:dyDescent="0.2">
      <c r="A205" s="5">
        <f>Data!E213</f>
        <v>2003</v>
      </c>
      <c r="B205" s="5">
        <f>Data!M213</f>
        <v>1.06</v>
      </c>
      <c r="C205" s="5">
        <f>Data!N213</f>
        <v>0.2</v>
      </c>
      <c r="D205" s="5">
        <f ca="1">Data!O213</f>
        <v>13.322324318848072</v>
      </c>
      <c r="E205" s="1">
        <f>Data!AQ213</f>
        <v>2</v>
      </c>
      <c r="F205" t="str">
        <f t="shared" si="3"/>
        <v/>
      </c>
      <c r="G205" s="5">
        <f ca="1">AVERAGE(D$2:D204)</f>
        <v>191.50163300881528</v>
      </c>
      <c r="H205" s="5">
        <f ca="1">PERCENTILE(D$2:D204,0.025)</f>
        <v>4.7950135532239924E-2</v>
      </c>
      <c r="I205" s="5">
        <f ca="1">PERCENTILE(D$2:D204,0.165)</f>
        <v>1.2520929605592168</v>
      </c>
      <c r="J205" s="5">
        <f ca="1">PERCENTILE(D$2:D204,0.5)</f>
        <v>29.696762288901802</v>
      </c>
      <c r="K205" s="5">
        <f ca="1">PERCENTILE(D$2:D204,0.835)</f>
        <v>257.39150416930079</v>
      </c>
      <c r="L205" s="5">
        <f ca="1">PERCENTILE(D$2:D204,0.975)</f>
        <v>1302.045100806572</v>
      </c>
      <c r="M205" s="7">
        <f>AVERAGE(E$2:E204)</f>
        <v>1.2994923857868019</v>
      </c>
      <c r="N205" s="7">
        <f>PERCENTILE($E$2:$E204,0.025)</f>
        <v>-2</v>
      </c>
      <c r="O205" s="7">
        <f>PERCENTILE($E$2:$E204,0.165)</f>
        <v>0</v>
      </c>
      <c r="P205" s="7">
        <f>PERCENTILE($E$2:$E204,0.5)</f>
        <v>1</v>
      </c>
      <c r="Q205" s="7">
        <f>PERCENTILE($E$2:$E204,0.835)</f>
        <v>3</v>
      </c>
      <c r="R205" s="7">
        <f>PERCENTILE($E$2:$E204,0.975)</f>
        <v>8</v>
      </c>
    </row>
    <row r="206" spans="1:18" x14ac:dyDescent="0.2">
      <c r="A206" s="5">
        <f>Data!E214</f>
        <v>2003</v>
      </c>
      <c r="B206" s="5">
        <f>Data!M214</f>
        <v>0.26500000000000001</v>
      </c>
      <c r="C206" s="5">
        <f>Data!N214</f>
        <v>0.05</v>
      </c>
      <c r="D206" s="5">
        <f ca="1">Data!O214</f>
        <v>44.400936725240584</v>
      </c>
      <c r="E206" s="1">
        <f>Data!AQ214</f>
        <v>0</v>
      </c>
      <c r="F206" t="str">
        <f t="shared" si="3"/>
        <v/>
      </c>
      <c r="G206" s="5">
        <f ca="1">AVERAGE(D$2:D205)</f>
        <v>190.62820502504093</v>
      </c>
      <c r="H206" s="5">
        <f ca="1">PERCENTILE(D$2:D205,0.025)</f>
        <v>4.8148276588158269E-2</v>
      </c>
      <c r="I206" s="5">
        <f ca="1">PERCENTILE(D$2:D205,0.165)</f>
        <v>1.2599393463735837</v>
      </c>
      <c r="J206" s="5">
        <f ca="1">PERCENTILE(D$2:D205,0.5)</f>
        <v>29.489622861458269</v>
      </c>
      <c r="K206" s="5">
        <f ca="1">PERCENTILE(D$2:D205,0.835)</f>
        <v>256.41002567340507</v>
      </c>
      <c r="L206" s="5">
        <f ca="1">PERCENTILE(D$2:D205,0.975)</f>
        <v>1297.4188971760484</v>
      </c>
      <c r="M206" s="7">
        <f>AVERAGE(E$2:E205)</f>
        <v>1.303030303030303</v>
      </c>
      <c r="N206" s="7">
        <f>PERCENTILE($E$2:$E205,0.025)</f>
        <v>-2</v>
      </c>
      <c r="O206" s="7">
        <f>PERCENTILE($E$2:$E205,0.165)</f>
        <v>0</v>
      </c>
      <c r="P206" s="7">
        <f>PERCENTILE($E$2:$E205,0.5)</f>
        <v>1</v>
      </c>
      <c r="Q206" s="7">
        <f>PERCENTILE($E$2:$E205,0.835)</f>
        <v>3</v>
      </c>
      <c r="R206" s="7">
        <f>PERCENTILE($E$2:$E205,0.975)</f>
        <v>8</v>
      </c>
    </row>
    <row r="207" spans="1:18" x14ac:dyDescent="0.2">
      <c r="A207" s="5">
        <f>Data!E215</f>
        <v>2003</v>
      </c>
      <c r="B207" s="5">
        <f>Data!M215</f>
        <v>0.53</v>
      </c>
      <c r="C207" s="5">
        <f>Data!N215</f>
        <v>0.1</v>
      </c>
      <c r="D207" s="5">
        <f ca="1">Data!O215</f>
        <v>69.145315176352568</v>
      </c>
      <c r="E207" s="1">
        <f>Data!AQ215</f>
        <v>0</v>
      </c>
      <c r="F207" t="str">
        <f t="shared" si="3"/>
        <v/>
      </c>
      <c r="G207" s="5">
        <f ca="1">AVERAGE(D$2:D206)</f>
        <v>189.91490127723702</v>
      </c>
      <c r="H207" s="5">
        <f ca="1">PERCENTILE(D$2:D206,0.025)</f>
        <v>4.8346417644076621E-2</v>
      </c>
      <c r="I207" s="5">
        <f ca="1">PERCENTILE(D$2:D206,0.165)</f>
        <v>1.2677857321879502</v>
      </c>
      <c r="J207" s="5">
        <f ca="1">PERCENTILE(D$2:D206,0.5)</f>
        <v>29.696762288901802</v>
      </c>
      <c r="K207" s="5">
        <f ca="1">PERCENTILE(D$2:D206,0.835)</f>
        <v>255.42854717750942</v>
      </c>
      <c r="L207" s="5">
        <f ca="1">PERCENTILE(D$2:D206,0.975)</f>
        <v>1292.7926935455303</v>
      </c>
      <c r="M207" s="7">
        <f>AVERAGE(E$2:E206)</f>
        <v>1.2964824120603016</v>
      </c>
      <c r="N207" s="7">
        <f>PERCENTILE($E$2:$E206,0.025)</f>
        <v>-2</v>
      </c>
      <c r="O207" s="7">
        <f>PERCENTILE($E$2:$E206,0.165)</f>
        <v>0</v>
      </c>
      <c r="P207" s="7">
        <f>PERCENTILE($E$2:$E206,0.5)</f>
        <v>1</v>
      </c>
      <c r="Q207" s="7">
        <f>PERCENTILE($E$2:$E206,0.835)</f>
        <v>3</v>
      </c>
      <c r="R207" s="7">
        <f>PERCENTILE($E$2:$E206,0.975)</f>
        <v>8</v>
      </c>
    </row>
    <row r="208" spans="1:18" x14ac:dyDescent="0.2">
      <c r="A208" s="5">
        <f>Data!E216</f>
        <v>2003</v>
      </c>
      <c r="B208" s="5">
        <f>Data!M216</f>
        <v>0.53</v>
      </c>
      <c r="C208" s="5">
        <f>Data!N216</f>
        <v>0.1</v>
      </c>
      <c r="D208" s="5">
        <f ca="1">Data!O216</f>
        <v>47.649785753916724</v>
      </c>
      <c r="E208" s="1">
        <f>Data!AQ216</f>
        <v>0</v>
      </c>
      <c r="F208" t="str">
        <f t="shared" si="3"/>
        <v/>
      </c>
      <c r="G208" s="5">
        <f ca="1">AVERAGE(D$2:D207)</f>
        <v>189.32864115053368</v>
      </c>
      <c r="H208" s="5">
        <f ca="1">PERCENTILE(D$2:D207,0.025)</f>
        <v>4.8544558699994959E-2</v>
      </c>
      <c r="I208" s="5">
        <f ca="1">PERCENTILE(D$2:D207,0.165)</f>
        <v>1.2756321180023169</v>
      </c>
      <c r="J208" s="5">
        <f ca="1">PERCENTILE(D$2:D207,0.5)</f>
        <v>29.761886767605532</v>
      </c>
      <c r="K208" s="5">
        <f ca="1">PERCENTILE(D$2:D207,0.835)</f>
        <v>254.44706868161356</v>
      </c>
      <c r="L208" s="5">
        <f ca="1">PERCENTILE(D$2:D207,0.975)</f>
        <v>1288.1664899150067</v>
      </c>
      <c r="M208" s="7">
        <f>AVERAGE(E$2:E207)</f>
        <v>1.29</v>
      </c>
      <c r="N208" s="7">
        <f>PERCENTILE($E$2:$E207,0.025)</f>
        <v>-2</v>
      </c>
      <c r="O208" s="7">
        <f>PERCENTILE($E$2:$E207,0.165)</f>
        <v>0</v>
      </c>
      <c r="P208" s="7">
        <f>PERCENTILE($E$2:$E207,0.5)</f>
        <v>1</v>
      </c>
      <c r="Q208" s="7">
        <f>PERCENTILE($E$2:$E207,0.835)</f>
        <v>3</v>
      </c>
      <c r="R208" s="7">
        <f>PERCENTILE($E$2:$E207,0.975)</f>
        <v>8</v>
      </c>
    </row>
    <row r="209" spans="1:18" x14ac:dyDescent="0.2">
      <c r="A209" s="5">
        <f>Data!E217</f>
        <v>2003</v>
      </c>
      <c r="B209" s="5">
        <f>Data!M217</f>
        <v>0.26500000000000001</v>
      </c>
      <c r="C209" s="5">
        <f>Data!N217</f>
        <v>0.05</v>
      </c>
      <c r="D209" s="5">
        <f ca="1">Data!O217</f>
        <v>3.0240858883274764</v>
      </c>
      <c r="E209" s="1">
        <f>Data!AQ217</f>
        <v>5</v>
      </c>
      <c r="F209" t="str">
        <f t="shared" si="3"/>
        <v/>
      </c>
      <c r="G209" s="5">
        <f ca="1">AVERAGE(D$2:D208)</f>
        <v>188.64420223557417</v>
      </c>
      <c r="H209" s="5">
        <f ca="1">PERCENTILE(D$2:D208,0.025)</f>
        <v>4.8742699755913312E-2</v>
      </c>
      <c r="I209" s="5">
        <f ca="1">PERCENTILE(D$2:D208,0.165)</f>
        <v>1.2834785038166834</v>
      </c>
      <c r="J209" s="5">
        <f ca="1">PERCENTILE(D$2:D208,0.5)</f>
        <v>29.827011246309265</v>
      </c>
      <c r="K209" s="5">
        <f ca="1">PERCENTILE(D$2:D208,0.835)</f>
        <v>253.46559018571787</v>
      </c>
      <c r="L209" s="5">
        <f ca="1">PERCENTILE(D$2:D208,0.975)</f>
        <v>1283.540286284483</v>
      </c>
      <c r="M209" s="7">
        <f>AVERAGE(E$2:E208)</f>
        <v>1.2835820895522387</v>
      </c>
      <c r="N209" s="7">
        <f>PERCENTILE($E$2:$E208,0.025)</f>
        <v>-2</v>
      </c>
      <c r="O209" s="7">
        <f>PERCENTILE($E$2:$E208,0.165)</f>
        <v>0</v>
      </c>
      <c r="P209" s="7">
        <f>PERCENTILE($E$2:$E208,0.5)</f>
        <v>1</v>
      </c>
      <c r="Q209" s="7">
        <f>PERCENTILE($E$2:$E208,0.835)</f>
        <v>3</v>
      </c>
      <c r="R209" s="7">
        <f>PERCENTILE($E$2:$E208,0.975)</f>
        <v>8</v>
      </c>
    </row>
    <row r="210" spans="1:18" x14ac:dyDescent="0.2">
      <c r="A210" s="5">
        <f>Data!E218</f>
        <v>2003</v>
      </c>
      <c r="B210" s="5">
        <f>Data!M218</f>
        <v>0.53</v>
      </c>
      <c r="C210" s="5">
        <f>Data!N218</f>
        <v>0.1</v>
      </c>
      <c r="D210" s="5">
        <f ca="1">Data!O218</f>
        <v>5.884707674583197</v>
      </c>
      <c r="E210" s="1">
        <f>Data!AQ218</f>
        <v>5</v>
      </c>
      <c r="F210" t="str">
        <f t="shared" si="3"/>
        <v/>
      </c>
      <c r="G210" s="5">
        <f ca="1">AVERAGE(D$2:D209)</f>
        <v>187.75179783005856</v>
      </c>
      <c r="H210" s="5">
        <f ca="1">PERCENTILE(D$2:D209,0.025)</f>
        <v>4.8940840811831657E-2</v>
      </c>
      <c r="I210" s="5">
        <f ca="1">PERCENTILE(D$2:D209,0.165)</f>
        <v>1.3134374314715374</v>
      </c>
      <c r="J210" s="5">
        <f ca="1">PERCENTILE(D$2:D209,0.5)</f>
        <v>29.761886767605532</v>
      </c>
      <c r="K210" s="5">
        <f ca="1">PERCENTILE(D$2:D209,0.835)</f>
        <v>250.72041453530736</v>
      </c>
      <c r="L210" s="5">
        <f ca="1">PERCENTILE(D$2:D209,0.975)</f>
        <v>1278.9140826539597</v>
      </c>
      <c r="M210" s="7">
        <f>AVERAGE(E$2:E209)</f>
        <v>1.301980198019802</v>
      </c>
      <c r="N210" s="7">
        <f>PERCENTILE($E$2:$E209,0.025)</f>
        <v>-2</v>
      </c>
      <c r="O210" s="7">
        <f>PERCENTILE($E$2:$E209,0.165)</f>
        <v>0</v>
      </c>
      <c r="P210" s="7">
        <f>PERCENTILE($E$2:$E209,0.5)</f>
        <v>1</v>
      </c>
      <c r="Q210" s="7">
        <f>PERCENTILE($E$2:$E209,0.835)</f>
        <v>3</v>
      </c>
      <c r="R210" s="7">
        <f>PERCENTILE($E$2:$E209,0.975)</f>
        <v>7.9499999999999886</v>
      </c>
    </row>
    <row r="211" spans="1:18" x14ac:dyDescent="0.2">
      <c r="A211" s="5">
        <f>Data!E219</f>
        <v>2003</v>
      </c>
      <c r="B211" s="5">
        <f>Data!M219</f>
        <v>0.53</v>
      </c>
      <c r="C211" s="5">
        <f>Data!N219</f>
        <v>0.1</v>
      </c>
      <c r="D211" s="5">
        <f ca="1">Data!O219</f>
        <v>3.6575092838555285</v>
      </c>
      <c r="E211" s="1">
        <f>Data!AQ219</f>
        <v>5</v>
      </c>
      <c r="F211" t="str">
        <f t="shared" si="3"/>
        <v/>
      </c>
      <c r="G211" s="5">
        <f ca="1">AVERAGE(D$2:D210)</f>
        <v>186.88162036519981</v>
      </c>
      <c r="H211" s="5">
        <f ca="1">PERCENTILE(D$2:D210,0.025)</f>
        <v>4.9138981867750002E-2</v>
      </c>
      <c r="I211" s="5">
        <f ca="1">PERCENTILE(D$2:D210,0.165)</f>
        <v>1.3448229747290033</v>
      </c>
      <c r="J211" s="5">
        <f ca="1">PERCENTILE(D$2:D210,0.5)</f>
        <v>29.696762288901802</v>
      </c>
      <c r="K211" s="5">
        <f ca="1">PERCENTILE(D$2:D210,0.835)</f>
        <v>247.86145197170242</v>
      </c>
      <c r="L211" s="5">
        <f ca="1">PERCENTILE(D$2:D210,0.975)</f>
        <v>1274.2878790234361</v>
      </c>
      <c r="M211" s="7">
        <f>AVERAGE(E$2:E210)</f>
        <v>1.3201970443349753</v>
      </c>
      <c r="N211" s="7">
        <f>PERCENTILE($E$2:$E210,0.025)</f>
        <v>-2</v>
      </c>
      <c r="O211" s="7">
        <f>PERCENTILE($E$2:$E210,0.165)</f>
        <v>0</v>
      </c>
      <c r="P211" s="7">
        <f>PERCENTILE($E$2:$E210,0.5)</f>
        <v>1</v>
      </c>
      <c r="Q211" s="7">
        <f>PERCENTILE($E$2:$E210,0.835)</f>
        <v>3</v>
      </c>
      <c r="R211" s="7">
        <f>PERCENTILE($E$2:$E210,0.975)</f>
        <v>7.8999999999999773</v>
      </c>
    </row>
    <row r="212" spans="1:18" x14ac:dyDescent="0.2">
      <c r="A212" s="5">
        <f>Data!E220</f>
        <v>2003</v>
      </c>
      <c r="B212" s="5">
        <f>Data!M220</f>
        <v>5.3</v>
      </c>
      <c r="C212" s="5">
        <f>Data!N220</f>
        <v>1</v>
      </c>
      <c r="D212" s="5">
        <f ca="1">Data!O220</f>
        <v>38.010308287591222</v>
      </c>
      <c r="E212" s="1">
        <f>Data!AQ220</f>
        <v>1</v>
      </c>
      <c r="F212" t="str">
        <f t="shared" si="3"/>
        <v/>
      </c>
      <c r="G212" s="5">
        <f ca="1">AVERAGE(D$2:D211)</f>
        <v>186.00912459814577</v>
      </c>
      <c r="H212" s="5">
        <f ca="1">PERCENTILE(D$2:D211,0.025)</f>
        <v>4.9337122923668354E-2</v>
      </c>
      <c r="I212" s="5">
        <f ca="1">PERCENTILE(D$2:D211,0.165)</f>
        <v>1.3762085179864694</v>
      </c>
      <c r="J212" s="5">
        <f ca="1">PERCENTILE(D$2:D211,0.5)</f>
        <v>29.489622861458269</v>
      </c>
      <c r="K212" s="5">
        <f ca="1">PERCENTILE(D$2:D211,0.835)</f>
        <v>245.00248940809701</v>
      </c>
      <c r="L212" s="5">
        <f ca="1">PERCENTILE(D$2:D211,0.975)</f>
        <v>1269.6616753929179</v>
      </c>
      <c r="M212" s="7">
        <f>AVERAGE(E$2:E211)</f>
        <v>1.338235294117647</v>
      </c>
      <c r="N212" s="7">
        <f>PERCENTILE($E$2:$E211,0.025)</f>
        <v>-2</v>
      </c>
      <c r="O212" s="7">
        <f>PERCENTILE($E$2:$E211,0.165)</f>
        <v>0</v>
      </c>
      <c r="P212" s="7">
        <f>PERCENTILE($E$2:$E211,0.5)</f>
        <v>1</v>
      </c>
      <c r="Q212" s="7">
        <f>PERCENTILE($E$2:$E211,0.835)</f>
        <v>3</v>
      </c>
      <c r="R212" s="7">
        <f>PERCENTILE($E$2:$E211,0.975)</f>
        <v>7.8499999999999659</v>
      </c>
    </row>
    <row r="213" spans="1:18" x14ac:dyDescent="0.2">
      <c r="A213" s="5">
        <f>Data!E221</f>
        <v>2003</v>
      </c>
      <c r="B213" s="5">
        <f>Data!M221</f>
        <v>3.3</v>
      </c>
      <c r="C213" s="5">
        <f>Data!N221</f>
        <v>1</v>
      </c>
      <c r="D213" s="5">
        <f ca="1">Data!O221</f>
        <v>236.44864032835778</v>
      </c>
      <c r="E213" s="1" t="str">
        <f>Data!AQ221</f>
        <v>NA</v>
      </c>
      <c r="F213" t="str">
        <f t="shared" si="3"/>
        <v/>
      </c>
      <c r="G213" s="5">
        <f ca="1">AVERAGE(D$2:D212)</f>
        <v>185.30770840710051</v>
      </c>
      <c r="H213" s="5">
        <f ca="1">PERCENTILE(D$2:D212,0.025)</f>
        <v>4.9535263979586693E-2</v>
      </c>
      <c r="I213" s="5">
        <f ca="1">PERCENTILE(D$2:D212,0.165)</f>
        <v>1.4075940612439353</v>
      </c>
      <c r="J213" s="5">
        <f ca="1">PERCENTILE(D$2:D212,0.5)</f>
        <v>29.696762288901802</v>
      </c>
      <c r="K213" s="5">
        <f ca="1">PERCENTILE(D$2:D212,0.835)</f>
        <v>242.1435268444921</v>
      </c>
      <c r="L213" s="5">
        <f ca="1">PERCENTILE(D$2:D212,0.975)</f>
        <v>1265.0354717623943</v>
      </c>
      <c r="M213" s="7">
        <f>AVERAGE(E$2:E212)</f>
        <v>1.3365853658536586</v>
      </c>
      <c r="N213" s="7">
        <f>PERCENTILE($E$2:$E212,0.025)</f>
        <v>-2</v>
      </c>
      <c r="O213" s="7">
        <f>PERCENTILE($E$2:$E212,0.165)</f>
        <v>0</v>
      </c>
      <c r="P213" s="7">
        <f>PERCENTILE($E$2:$E212,0.5)</f>
        <v>1</v>
      </c>
      <c r="Q213" s="7">
        <f>PERCENTILE($E$2:$E212,0.835)</f>
        <v>3</v>
      </c>
      <c r="R213" s="7">
        <f>PERCENTILE($E$2:$E212,0.975)</f>
        <v>7.8000000000000114</v>
      </c>
    </row>
    <row r="214" spans="1:18" x14ac:dyDescent="0.2">
      <c r="A214" s="5">
        <f>Data!E222</f>
        <v>2004</v>
      </c>
      <c r="B214" s="5">
        <f>Data!M222</f>
        <v>1.2210000000000001</v>
      </c>
      <c r="C214" s="5">
        <f>Data!N222</f>
        <v>0.16500000000000001</v>
      </c>
      <c r="D214" s="5">
        <f ca="1">Data!O222</f>
        <v>131.33975917773265</v>
      </c>
      <c r="E214" s="1">
        <f>Data!AQ222</f>
        <v>0</v>
      </c>
      <c r="F214">
        <f t="shared" si="3"/>
        <v>2004</v>
      </c>
      <c r="G214" s="5">
        <f ca="1">AVERAGE(D$2:D213)</f>
        <v>185.54893921804984</v>
      </c>
      <c r="H214" s="5">
        <f ca="1">PERCENTILE(D$2:D213,0.025)</f>
        <v>4.9733405035505045E-2</v>
      </c>
      <c r="I214" s="5">
        <f ca="1">PERCENTILE(D$2:D213,0.165)</f>
        <v>1.4389796045014025</v>
      </c>
      <c r="J214" s="5">
        <f ca="1">PERCENTILE(D$2:D213,0.5)</f>
        <v>29.761886767605532</v>
      </c>
      <c r="K214" s="5">
        <f ca="1">PERCENTILE(D$2:D213,0.835)</f>
        <v>239.58577159610638</v>
      </c>
      <c r="L214" s="5">
        <f ca="1">PERCENTILE(D$2:D213,0.975)</f>
        <v>1260.4092681318709</v>
      </c>
      <c r="M214" s="7">
        <f>AVERAGE(E$2:E213)</f>
        <v>1.3365853658536586</v>
      </c>
      <c r="N214" s="7">
        <f>PERCENTILE($E$2:$E213,0.025)</f>
        <v>-2</v>
      </c>
      <c r="O214" s="7">
        <f>PERCENTILE($E$2:$E213,0.165)</f>
        <v>0</v>
      </c>
      <c r="P214" s="7">
        <f>PERCENTILE($E$2:$E213,0.5)</f>
        <v>1</v>
      </c>
      <c r="Q214" s="7">
        <f>PERCENTILE($E$2:$E213,0.835)</f>
        <v>3</v>
      </c>
      <c r="R214" s="7">
        <f>PERCENTILE($E$2:$E213,0.975)</f>
        <v>7.8000000000000114</v>
      </c>
    </row>
    <row r="215" spans="1:18" x14ac:dyDescent="0.2">
      <c r="A215" s="5">
        <f>Data!E223</f>
        <v>2004</v>
      </c>
      <c r="B215" s="5">
        <f>Data!M223</f>
        <v>1.2210000000000001</v>
      </c>
      <c r="C215" s="5">
        <f>Data!N223</f>
        <v>0.16500000000000001</v>
      </c>
      <c r="D215" s="5">
        <f ca="1">Data!O223</f>
        <v>282.62986152170316</v>
      </c>
      <c r="E215" s="1">
        <f>Data!AQ223</f>
        <v>0</v>
      </c>
      <c r="F215" t="str">
        <f t="shared" si="3"/>
        <v/>
      </c>
      <c r="G215" s="5">
        <f ca="1">AVERAGE(D$2:D214)</f>
        <v>185.29443602537231</v>
      </c>
      <c r="H215" s="5">
        <f ca="1">PERCENTILE(D$2:D214,0.025)</f>
        <v>4.993154609142339E-2</v>
      </c>
      <c r="I215" s="5">
        <f ca="1">PERCENTILE(D$2:D214,0.165)</f>
        <v>1.4703651477588684</v>
      </c>
      <c r="J215" s="5">
        <f ca="1">PERCENTILE(D$2:D214,0.5)</f>
        <v>29.827011246309265</v>
      </c>
      <c r="K215" s="5">
        <f ca="1">PERCENTILE(D$2:D214,0.835)</f>
        <v>236.78778965460057</v>
      </c>
      <c r="L215" s="5">
        <f ca="1">PERCENTILE(D$2:D214,0.975)</f>
        <v>1255.7830645013473</v>
      </c>
      <c r="M215" s="7">
        <f>AVERAGE(E$2:E214)</f>
        <v>1.3300970873786409</v>
      </c>
      <c r="N215" s="7">
        <f>PERCENTILE($E$2:$E214,0.025)</f>
        <v>-2</v>
      </c>
      <c r="O215" s="7">
        <f>PERCENTILE($E$2:$E214,0.165)</f>
        <v>0</v>
      </c>
      <c r="P215" s="7">
        <f>PERCENTILE($E$2:$E214,0.5)</f>
        <v>1</v>
      </c>
      <c r="Q215" s="7">
        <f>PERCENTILE($E$2:$E214,0.835)</f>
        <v>3</v>
      </c>
      <c r="R215" s="7">
        <f>PERCENTILE($E$2:$E214,0.975)</f>
        <v>7.75</v>
      </c>
    </row>
    <row r="216" spans="1:18" x14ac:dyDescent="0.2">
      <c r="A216" s="5">
        <f>Data!E224</f>
        <v>2004</v>
      </c>
      <c r="B216" s="5">
        <f>Data!M224</f>
        <v>1.2210000000000001</v>
      </c>
      <c r="C216" s="5">
        <f>Data!N224</f>
        <v>0.16500000000000001</v>
      </c>
      <c r="D216" s="5">
        <f ca="1">Data!O224</f>
        <v>41.89572064909953</v>
      </c>
      <c r="E216" s="1">
        <f>Data!AQ224</f>
        <v>1</v>
      </c>
      <c r="F216" t="str">
        <f t="shared" si="3"/>
        <v/>
      </c>
      <c r="G216" s="5">
        <f ca="1">AVERAGE(D$2:D215)</f>
        <v>185.74927446227105</v>
      </c>
      <c r="H216" s="5">
        <f ca="1">PERCENTILE(D$2:D215,0.025)</f>
        <v>5.0129687147341735E-2</v>
      </c>
      <c r="I216" s="5">
        <f ca="1">PERCENTILE(D$2:D215,0.165)</f>
        <v>1.577599087221879</v>
      </c>
      <c r="J216" s="5">
        <f ca="1">PERCENTILE(D$2:D215,0.5)</f>
        <v>30.605913412152269</v>
      </c>
      <c r="K216" s="5">
        <f ca="1">PERCENTILE(D$2:D215,0.835)</f>
        <v>250.94727402524956</v>
      </c>
      <c r="L216" s="5">
        <f ca="1">PERCENTILE(D$2:D215,0.975)</f>
        <v>1251.1568608708237</v>
      </c>
      <c r="M216" s="7">
        <f>AVERAGE(E$2:E215)</f>
        <v>1.3236714975845412</v>
      </c>
      <c r="N216" s="7">
        <f>PERCENTILE($E$2:$E215,0.025)</f>
        <v>-2</v>
      </c>
      <c r="O216" s="7">
        <f>PERCENTILE($E$2:$E215,0.165)</f>
        <v>0</v>
      </c>
      <c r="P216" s="7">
        <f>PERCENTILE($E$2:$E215,0.5)</f>
        <v>1</v>
      </c>
      <c r="Q216" s="7">
        <f>PERCENTILE($E$2:$E215,0.835)</f>
        <v>3</v>
      </c>
      <c r="R216" s="7">
        <f>PERCENTILE($E$2:$E215,0.975)</f>
        <v>7.6999999999999886</v>
      </c>
    </row>
    <row r="217" spans="1:18" x14ac:dyDescent="0.2">
      <c r="A217" s="5">
        <f>Data!E225</f>
        <v>2004</v>
      </c>
      <c r="B217" s="5">
        <f>Data!M225</f>
        <v>1.2210000000000001</v>
      </c>
      <c r="C217" s="5">
        <f>Data!N225</f>
        <v>0.16500000000000001</v>
      </c>
      <c r="D217" s="5">
        <f ca="1">Data!O225</f>
        <v>156.44394099524865</v>
      </c>
      <c r="E217" s="1">
        <f>Data!AQ225</f>
        <v>1</v>
      </c>
      <c r="F217" t="str">
        <f t="shared" si="3"/>
        <v/>
      </c>
      <c r="G217" s="5">
        <f ca="1">AVERAGE(D$2:D216)</f>
        <v>185.08018816546559</v>
      </c>
      <c r="H217" s="5">
        <f ca="1">PERCENTILE(D$2:D216,0.025)</f>
        <v>5.0327828203260087E-2</v>
      </c>
      <c r="I217" s="5">
        <f ca="1">PERCENTILE(D$2:D216,0.165)</f>
        <v>1.6952948744373766</v>
      </c>
      <c r="J217" s="5">
        <f ca="1">PERCENTILE(D$2:D216,0.5)</f>
        <v>31.384815577995276</v>
      </c>
      <c r="K217" s="5">
        <f ca="1">PERCENTILE(D$2:D216,0.835)</f>
        <v>248.14929208374423</v>
      </c>
      <c r="L217" s="5">
        <f ca="1">PERCENTILE(D$2:D216,0.975)</f>
        <v>1246.5306572403056</v>
      </c>
      <c r="M217" s="7">
        <f>AVERAGE(E$2:E216)</f>
        <v>1.3221153846153846</v>
      </c>
      <c r="N217" s="7">
        <f>PERCENTILE($E$2:$E216,0.025)</f>
        <v>-2</v>
      </c>
      <c r="O217" s="7">
        <f>PERCENTILE($E$2:$E216,0.165)</f>
        <v>0</v>
      </c>
      <c r="P217" s="7">
        <f>PERCENTILE($E$2:$E216,0.5)</f>
        <v>1</v>
      </c>
      <c r="Q217" s="7">
        <f>PERCENTILE($E$2:$E216,0.835)</f>
        <v>3</v>
      </c>
      <c r="R217" s="7">
        <f>PERCENTILE($E$2:$E216,0.975)</f>
        <v>7.6499999999999773</v>
      </c>
    </row>
    <row r="218" spans="1:18" x14ac:dyDescent="0.2">
      <c r="A218" s="5">
        <f>Data!E226</f>
        <v>2004</v>
      </c>
      <c r="B218" s="5">
        <f>Data!M226</f>
        <v>1.2210000000000001</v>
      </c>
      <c r="C218" s="5">
        <f>Data!N226</f>
        <v>0.16500000000000001</v>
      </c>
      <c r="D218" s="5">
        <f ca="1">Data!O226</f>
        <v>8.4788958456510954</v>
      </c>
      <c r="E218" s="1">
        <f>Data!AQ226</f>
        <v>3</v>
      </c>
      <c r="F218" t="str">
        <f t="shared" si="3"/>
        <v/>
      </c>
      <c r="G218" s="5">
        <f ca="1">AVERAGE(D$2:D217)</f>
        <v>184.94761294708493</v>
      </c>
      <c r="H218" s="5">
        <f ca="1">PERCENTILE(D$2:D217,0.025)</f>
        <v>5.0525969259178426E-2</v>
      </c>
      <c r="I218" s="5">
        <f ca="1">PERCENTILE(D$2:D217,0.165)</f>
        <v>1.8129906616528739</v>
      </c>
      <c r="J218" s="5">
        <f ca="1">PERCENTILE(D$2:D217,0.5)</f>
        <v>31.666114840722667</v>
      </c>
      <c r="K218" s="5">
        <f ca="1">PERCENTILE(D$2:D217,0.835)</f>
        <v>245.3513101422389</v>
      </c>
      <c r="L218" s="5">
        <f ca="1">PERCENTILE(D$2:D217,0.975)</f>
        <v>1241.904453609782</v>
      </c>
      <c r="M218" s="7">
        <f>AVERAGE(E$2:E217)</f>
        <v>1.3205741626794258</v>
      </c>
      <c r="N218" s="7">
        <f>PERCENTILE($E$2:$E217,0.025)</f>
        <v>-2</v>
      </c>
      <c r="O218" s="7">
        <f>PERCENTILE($E$2:$E217,0.165)</f>
        <v>0</v>
      </c>
      <c r="P218" s="7">
        <f>PERCENTILE($E$2:$E217,0.5)</f>
        <v>1</v>
      </c>
      <c r="Q218" s="7">
        <f>PERCENTILE($E$2:$E217,0.835)</f>
        <v>3</v>
      </c>
      <c r="R218" s="7">
        <f>PERCENTILE($E$2:$E217,0.975)</f>
        <v>7.5999999999999659</v>
      </c>
    </row>
    <row r="219" spans="1:18" x14ac:dyDescent="0.2">
      <c r="A219" s="5">
        <f>Data!E227</f>
        <v>2004</v>
      </c>
      <c r="B219" s="5">
        <f>Data!M227</f>
        <v>1.2210000000000001</v>
      </c>
      <c r="C219" s="5">
        <f>Data!N227</f>
        <v>0.16500000000000001</v>
      </c>
      <c r="D219" s="5">
        <f ca="1">Data!O227</f>
        <v>74.980039733110672</v>
      </c>
      <c r="E219" s="1">
        <f>Data!AQ227</f>
        <v>3</v>
      </c>
      <c r="F219" t="str">
        <f t="shared" si="3"/>
        <v/>
      </c>
      <c r="G219" s="5">
        <f ca="1">AVERAGE(D$2:D218)</f>
        <v>184.13439305260826</v>
      </c>
      <c r="H219" s="5">
        <f ca="1">PERCENTILE(D$2:D218,0.025)</f>
        <v>5.0724110315096778E-2</v>
      </c>
      <c r="I219" s="5">
        <f ca="1">PERCENTILE(D$2:D218,0.165)</f>
        <v>1.9306864488683715</v>
      </c>
      <c r="J219" s="5">
        <f ca="1">PERCENTILE(D$2:D218,0.5)</f>
        <v>31.384815577995276</v>
      </c>
      <c r="K219" s="5">
        <f ca="1">PERCENTILE(D$2:D218,0.835)</f>
        <v>242.55332820073309</v>
      </c>
      <c r="L219" s="5">
        <f ca="1">PERCENTILE(D$2:D218,0.975)</f>
        <v>1237.2782499792586</v>
      </c>
      <c r="M219" s="7">
        <f>AVERAGE(E$2:E218)</f>
        <v>1.3285714285714285</v>
      </c>
      <c r="N219" s="7">
        <f>PERCENTILE($E$2:$E218,0.025)</f>
        <v>-2</v>
      </c>
      <c r="O219" s="7">
        <f>PERCENTILE($E$2:$E218,0.165)</f>
        <v>0</v>
      </c>
      <c r="P219" s="7">
        <f>PERCENTILE($E$2:$E218,0.5)</f>
        <v>1</v>
      </c>
      <c r="Q219" s="7">
        <f>PERCENTILE($E$2:$E218,0.835)</f>
        <v>3</v>
      </c>
      <c r="R219" s="7">
        <f>PERCENTILE($E$2:$E218,0.975)</f>
        <v>7.5500000000000114</v>
      </c>
    </row>
    <row r="220" spans="1:18" x14ac:dyDescent="0.2">
      <c r="A220" s="5">
        <f>Data!E228</f>
        <v>2004</v>
      </c>
      <c r="B220" s="5">
        <f>Data!M228</f>
        <v>1.2333333333333335E-2</v>
      </c>
      <c r="C220" s="5">
        <f>Data!N228</f>
        <v>1.6666666666666668E-3</v>
      </c>
      <c r="D220" s="5">
        <f ca="1">Data!O228</f>
        <v>125.68716194729858</v>
      </c>
      <c r="E220" s="1">
        <f>Data!AQ228</f>
        <v>0</v>
      </c>
      <c r="F220" t="str">
        <f t="shared" si="3"/>
        <v/>
      </c>
      <c r="G220" s="5">
        <f ca="1">AVERAGE(D$2:D219)</f>
        <v>183.63368500985828</v>
      </c>
      <c r="H220" s="5">
        <f ca="1">PERCENTILE(D$2:D219,0.025)</f>
        <v>5.092225137101513E-2</v>
      </c>
      <c r="I220" s="5">
        <f ca="1">PERCENTILE(D$2:D219,0.165)</f>
        <v>2.048382236083869</v>
      </c>
      <c r="J220" s="5">
        <f ca="1">PERCENTILE(D$2:D219,0.5)</f>
        <v>31.666114840722667</v>
      </c>
      <c r="K220" s="5">
        <f ca="1">PERCENTILE(D$2:D219,0.835)</f>
        <v>239.75534625922776</v>
      </c>
      <c r="L220" s="5">
        <f ca="1">PERCENTILE(D$2:D219,0.975)</f>
        <v>1232.652046348735</v>
      </c>
      <c r="M220" s="7">
        <f>AVERAGE(E$2:E219)</f>
        <v>1.3364928909952607</v>
      </c>
      <c r="N220" s="7">
        <f>PERCENTILE($E$2:$E219,0.025)</f>
        <v>-2</v>
      </c>
      <c r="O220" s="7">
        <f>PERCENTILE($E$2:$E219,0.165)</f>
        <v>0</v>
      </c>
      <c r="P220" s="7">
        <f>PERCENTILE($E$2:$E219,0.5)</f>
        <v>1</v>
      </c>
      <c r="Q220" s="7">
        <f>PERCENTILE($E$2:$E219,0.835)</f>
        <v>3</v>
      </c>
      <c r="R220" s="7">
        <f>PERCENTILE($E$2:$E219,0.975)</f>
        <v>7.5</v>
      </c>
    </row>
    <row r="221" spans="1:18" x14ac:dyDescent="0.2">
      <c r="A221" s="5">
        <f>Data!E229</f>
        <v>2004</v>
      </c>
      <c r="B221" s="5">
        <f>Data!M229</f>
        <v>1.2333333333333335E-2</v>
      </c>
      <c r="C221" s="5">
        <f>Data!N229</f>
        <v>1.6666666666666668E-3</v>
      </c>
      <c r="D221" s="5">
        <f ca="1">Data!O229</f>
        <v>278.97229860789292</v>
      </c>
      <c r="E221" s="1">
        <f>Data!AQ229</f>
        <v>0</v>
      </c>
      <c r="F221" t="str">
        <f t="shared" si="3"/>
        <v/>
      </c>
      <c r="G221" s="5">
        <f ca="1">AVERAGE(D$2:D220)</f>
        <v>183.36908901413881</v>
      </c>
      <c r="H221" s="5">
        <f ca="1">PERCENTILE(D$2:D220,0.025)</f>
        <v>5.1120392426933468E-2</v>
      </c>
      <c r="I221" s="5">
        <f ca="1">PERCENTILE(D$2:D220,0.165)</f>
        <v>2.1660780232993662</v>
      </c>
      <c r="J221" s="5">
        <f ca="1">PERCENTILE(D$2:D220,0.5)</f>
        <v>31.947414103450058</v>
      </c>
      <c r="K221" s="5">
        <f ca="1">PERCENTILE(D$2:D220,0.835)</f>
        <v>236.95736431772244</v>
      </c>
      <c r="L221" s="5">
        <f ca="1">PERCENTILE(D$2:D220,0.975)</f>
        <v>1228.0258427182116</v>
      </c>
      <c r="M221" s="7">
        <f>AVERAGE(E$2:E220)</f>
        <v>1.3301886792452831</v>
      </c>
      <c r="N221" s="7">
        <f>PERCENTILE($E$2:$E220,0.025)</f>
        <v>-2</v>
      </c>
      <c r="O221" s="7">
        <f>PERCENTILE($E$2:$E220,0.165)</f>
        <v>0</v>
      </c>
      <c r="P221" s="7">
        <f>PERCENTILE($E$2:$E220,0.5)</f>
        <v>1</v>
      </c>
      <c r="Q221" s="7">
        <f>PERCENTILE($E$2:$E220,0.835)</f>
        <v>3</v>
      </c>
      <c r="R221" s="7">
        <f>PERCENTILE($E$2:$E220,0.975)</f>
        <v>7.4499999999999886</v>
      </c>
    </row>
    <row r="222" spans="1:18" x14ac:dyDescent="0.2">
      <c r="A222" s="5">
        <f>Data!E230</f>
        <v>2004</v>
      </c>
      <c r="B222" s="5">
        <f>Data!M230</f>
        <v>1.2333333333333335E-2</v>
      </c>
      <c r="C222" s="5">
        <f>Data!N230</f>
        <v>1.6666666666666668E-3</v>
      </c>
      <c r="D222" s="5">
        <f ca="1">Data!O230</f>
        <v>40.565697771350337</v>
      </c>
      <c r="E222" s="1">
        <f>Data!AQ230</f>
        <v>1</v>
      </c>
      <c r="F222" t="str">
        <f t="shared" si="3"/>
        <v/>
      </c>
      <c r="G222" s="5">
        <f ca="1">AVERAGE(D$2:D221)</f>
        <v>183.80364905774678</v>
      </c>
      <c r="H222" s="5">
        <f ca="1">PERCENTILE(D$2:D221,0.025)</f>
        <v>5.1318533482851821E-2</v>
      </c>
      <c r="I222" s="5">
        <f ca="1">PERCENTILE(D$2:D221,0.165)</f>
        <v>2.2227859935031993</v>
      </c>
      <c r="J222" s="5">
        <f ca="1">PERCENTILE(D$2:D221,0.5)</f>
        <v>32.079072940433136</v>
      </c>
      <c r="K222" s="5">
        <f ca="1">PERCENTILE(D$2:D221,0.835)</f>
        <v>251.11684868837096</v>
      </c>
      <c r="L222" s="5">
        <f ca="1">PERCENTILE(D$2:D221,0.975)</f>
        <v>1223.3996390876932</v>
      </c>
      <c r="M222" s="7">
        <f>AVERAGE(E$2:E221)</f>
        <v>1.323943661971831</v>
      </c>
      <c r="N222" s="7">
        <f>PERCENTILE($E$2:$E221,0.025)</f>
        <v>-2</v>
      </c>
      <c r="O222" s="7">
        <f>PERCENTILE($E$2:$E221,0.165)</f>
        <v>0</v>
      </c>
      <c r="P222" s="7">
        <f>PERCENTILE($E$2:$E221,0.5)</f>
        <v>1</v>
      </c>
      <c r="Q222" s="7">
        <f>PERCENTILE($E$2:$E221,0.835)</f>
        <v>3</v>
      </c>
      <c r="R222" s="7">
        <f>PERCENTILE($E$2:$E221,0.975)</f>
        <v>7.3999999999999773</v>
      </c>
    </row>
    <row r="223" spans="1:18" x14ac:dyDescent="0.2">
      <c r="A223" s="5">
        <f>Data!E231</f>
        <v>2004</v>
      </c>
      <c r="B223" s="5">
        <f>Data!M231</f>
        <v>1.2333333333333335E-2</v>
      </c>
      <c r="C223" s="5">
        <f>Data!N231</f>
        <v>1.6666666666666668E-3</v>
      </c>
      <c r="D223" s="5">
        <f ca="1">Data!O231</f>
        <v>155.6126766966554</v>
      </c>
      <c r="E223" s="1">
        <f>Data!AQ231</f>
        <v>1</v>
      </c>
      <c r="F223" t="str">
        <f t="shared" si="3"/>
        <v/>
      </c>
      <c r="G223" s="5">
        <f ca="1">AVERAGE(D$2:D222)</f>
        <v>183.155513531564</v>
      </c>
      <c r="H223" s="5">
        <f ca="1">PERCENTILE(D$2:D222,0.025)</f>
        <v>5.1516674538770166E-2</v>
      </c>
      <c r="I223" s="5">
        <f ca="1">PERCENTILE(D$2:D222,0.165)</f>
        <v>2.2659411154822151</v>
      </c>
      <c r="J223" s="5">
        <f ca="1">PERCENTILE(D$2:D222,0.5)</f>
        <v>32.210731777416207</v>
      </c>
      <c r="K223" s="5">
        <f ca="1">PERCENTILE(D$2:D222,0.835)</f>
        <v>248.31886674686564</v>
      </c>
      <c r="L223" s="5">
        <f ca="1">PERCENTILE(D$2:D222,0.975)</f>
        <v>1218.7734354571699</v>
      </c>
      <c r="M223" s="7">
        <f>AVERAGE(E$2:E222)</f>
        <v>1.3224299065420562</v>
      </c>
      <c r="N223" s="7">
        <f>PERCENTILE($E$2:$E222,0.025)</f>
        <v>-2</v>
      </c>
      <c r="O223" s="7">
        <f>PERCENTILE($E$2:$E222,0.165)</f>
        <v>0</v>
      </c>
      <c r="P223" s="7">
        <f>PERCENTILE($E$2:$E222,0.5)</f>
        <v>1</v>
      </c>
      <c r="Q223" s="7">
        <f>PERCENTILE($E$2:$E222,0.835)</f>
        <v>3</v>
      </c>
      <c r="R223" s="7">
        <f>PERCENTILE($E$2:$E222,0.975)</f>
        <v>7.3499999999999659</v>
      </c>
    </row>
    <row r="224" spans="1:18" x14ac:dyDescent="0.2">
      <c r="A224" s="5">
        <f>Data!E232</f>
        <v>2004</v>
      </c>
      <c r="B224" s="5">
        <f>Data!M232</f>
        <v>1.2333333333333335E-2</v>
      </c>
      <c r="C224" s="5">
        <f>Data!N232</f>
        <v>1.6666666666666668E-3</v>
      </c>
      <c r="D224" s="5">
        <f ca="1">Data!O232</f>
        <v>8.3126429859324471</v>
      </c>
      <c r="E224" s="1">
        <f>Data!AQ232</f>
        <v>3</v>
      </c>
      <c r="F224" t="str">
        <f t="shared" si="3"/>
        <v/>
      </c>
      <c r="G224" s="5">
        <f ca="1">AVERAGE(D$2:D223)</f>
        <v>183.03144669897432</v>
      </c>
      <c r="H224" s="5">
        <f ca="1">PERCENTILE(D$2:D223,0.025)</f>
        <v>5.1714815594688511E-2</v>
      </c>
      <c r="I224" s="5">
        <f ca="1">PERCENTILE(D$2:D223,0.165)</f>
        <v>2.3090962374612309</v>
      </c>
      <c r="J224" s="5">
        <f ca="1">PERCENTILE(D$2:D223,0.5)</f>
        <v>32.256236607233646</v>
      </c>
      <c r="K224" s="5">
        <f ca="1">PERCENTILE(D$2:D223,0.835)</f>
        <v>245.52088480536031</v>
      </c>
      <c r="L224" s="5">
        <f ca="1">PERCENTILE(D$2:D223,0.975)</f>
        <v>1214.1472318266462</v>
      </c>
      <c r="M224" s="7">
        <f>AVERAGE(E$2:E223)</f>
        <v>1.3209302325581396</v>
      </c>
      <c r="N224" s="7">
        <f>PERCENTILE($E$2:$E223,0.025)</f>
        <v>-2</v>
      </c>
      <c r="O224" s="7">
        <f>PERCENTILE($E$2:$E223,0.165)</f>
        <v>0</v>
      </c>
      <c r="P224" s="7">
        <f>PERCENTILE($E$2:$E223,0.5)</f>
        <v>1</v>
      </c>
      <c r="Q224" s="7">
        <f>PERCENTILE($E$2:$E223,0.835)</f>
        <v>3</v>
      </c>
      <c r="R224" s="7">
        <f>PERCENTILE($E$2:$E223,0.975)</f>
        <v>7.3000000000000114</v>
      </c>
    </row>
    <row r="225" spans="1:18" x14ac:dyDescent="0.2">
      <c r="A225" s="5">
        <f>Data!E233</f>
        <v>2004</v>
      </c>
      <c r="B225" s="5">
        <f>Data!M233</f>
        <v>1.2333333333333335E-2</v>
      </c>
      <c r="C225" s="5">
        <f>Data!N233</f>
        <v>1.6666666666666668E-3</v>
      </c>
      <c r="D225" s="5">
        <f ca="1">Data!O233</f>
        <v>74.813786873392019</v>
      </c>
      <c r="E225" s="1">
        <f>Data!AQ233</f>
        <v>3</v>
      </c>
      <c r="F225" t="str">
        <f t="shared" si="3"/>
        <v/>
      </c>
      <c r="G225" s="5">
        <f ca="1">AVERAGE(D$2:D224)</f>
        <v>182.24795430564231</v>
      </c>
      <c r="H225" s="5">
        <f ca="1">PERCENTILE(D$2:D224,0.025)</f>
        <v>5.1912956650606863E-2</v>
      </c>
      <c r="I225" s="5">
        <f ca="1">PERCENTILE(D$2:D224,0.165)</f>
        <v>2.3522513594402463</v>
      </c>
      <c r="J225" s="5">
        <f ca="1">PERCENTILE(D$2:D224,0.5)</f>
        <v>32.210731777416207</v>
      </c>
      <c r="K225" s="5">
        <f ca="1">PERCENTILE(D$2:D224,0.835)</f>
        <v>242.72290286385496</v>
      </c>
      <c r="L225" s="5">
        <f ca="1">PERCENTILE(D$2:D224,0.975)</f>
        <v>1209.5210281961226</v>
      </c>
      <c r="M225" s="7">
        <f>AVERAGE(E$2:E224)</f>
        <v>1.3287037037037037</v>
      </c>
      <c r="N225" s="7">
        <f>PERCENTILE($E$2:$E224,0.025)</f>
        <v>-2</v>
      </c>
      <c r="O225" s="7">
        <f>PERCENTILE($E$2:$E224,0.165)</f>
        <v>0</v>
      </c>
      <c r="P225" s="7">
        <f>PERCENTILE($E$2:$E224,0.5)</f>
        <v>1</v>
      </c>
      <c r="Q225" s="7">
        <f>PERCENTILE($E$2:$E224,0.835)</f>
        <v>3</v>
      </c>
      <c r="R225" s="7">
        <f>PERCENTILE($E$2:$E224,0.975)</f>
        <v>7.25</v>
      </c>
    </row>
    <row r="226" spans="1:18" x14ac:dyDescent="0.2">
      <c r="A226" s="5">
        <f>Data!E234</f>
        <v>2004</v>
      </c>
      <c r="B226" s="5">
        <f>Data!M234</f>
        <v>2.2000000000000002</v>
      </c>
      <c r="C226" s="5">
        <f>Data!N234</f>
        <v>0.5</v>
      </c>
      <c r="D226" s="5">
        <f ca="1">Data!O234</f>
        <v>72.079959222190112</v>
      </c>
      <c r="E226" s="1">
        <f>Data!AQ234</f>
        <v>1</v>
      </c>
      <c r="F226" t="str">
        <f t="shared" si="3"/>
        <v/>
      </c>
      <c r="G226" s="5">
        <f ca="1">AVERAGE(D$2:D225)</f>
        <v>181.76833748674832</v>
      </c>
      <c r="H226" s="5">
        <f ca="1">PERCENTILE(D$2:D225,0.025)</f>
        <v>5.2111097706525202E-2</v>
      </c>
      <c r="I226" s="5">
        <f ca="1">PERCENTILE(D$2:D225,0.165)</f>
        <v>2.3954064814192622</v>
      </c>
      <c r="J226" s="5">
        <f ca="1">PERCENTILE(D$2:D225,0.5)</f>
        <v>32.256236607233646</v>
      </c>
      <c r="K226" s="5">
        <f ca="1">PERCENTILE(D$2:D225,0.835)</f>
        <v>239.92492092234914</v>
      </c>
      <c r="L226" s="5">
        <f ca="1">PERCENTILE(D$2:D225,0.975)</f>
        <v>1204.8948245655993</v>
      </c>
      <c r="M226" s="7">
        <f>AVERAGE(E$2:E225)</f>
        <v>1.336405529953917</v>
      </c>
      <c r="N226" s="7">
        <f>PERCENTILE($E$2:$E225,0.025)</f>
        <v>-2</v>
      </c>
      <c r="O226" s="7">
        <f>PERCENTILE($E$2:$E225,0.165)</f>
        <v>0</v>
      </c>
      <c r="P226" s="7">
        <f>PERCENTILE($E$2:$E225,0.5)</f>
        <v>1</v>
      </c>
      <c r="Q226" s="7">
        <f>PERCENTILE($E$2:$E225,0.835)</f>
        <v>3</v>
      </c>
      <c r="R226" s="7">
        <f>PERCENTILE($E$2:$E225,0.975)</f>
        <v>7.1999999999999886</v>
      </c>
    </row>
    <row r="227" spans="1:18" x14ac:dyDescent="0.2">
      <c r="A227" s="5">
        <f>Data!E235</f>
        <v>2004</v>
      </c>
      <c r="B227" s="5">
        <f>Data!M235</f>
        <v>2.2000000000000002</v>
      </c>
      <c r="C227" s="5">
        <f>Data!N235</f>
        <v>0.5</v>
      </c>
      <c r="D227" s="5">
        <f ca="1">Data!O235</f>
        <v>1328.9742481591302</v>
      </c>
      <c r="E227" s="1">
        <f>Data!AQ235</f>
        <v>0</v>
      </c>
      <c r="F227" t="str">
        <f t="shared" si="3"/>
        <v/>
      </c>
      <c r="G227" s="5">
        <f ca="1">AVERAGE(D$2:D226)</f>
        <v>181.28083358335027</v>
      </c>
      <c r="H227" s="5">
        <f ca="1">PERCENTILE(D$2:D226,0.025)</f>
        <v>5.2309238762443554E-2</v>
      </c>
      <c r="I227" s="5">
        <f ca="1">PERCENTILE(D$2:D226,0.165)</f>
        <v>2.438561603398278</v>
      </c>
      <c r="J227" s="5">
        <f ca="1">PERCENTILE(D$2:D226,0.5)</f>
        <v>32.301741437051085</v>
      </c>
      <c r="K227" s="5">
        <f ca="1">PERCENTILE(D$2:D226,0.835)</f>
        <v>237.12693898084382</v>
      </c>
      <c r="L227" s="5">
        <f ca="1">PERCENTILE(D$2:D226,0.975)</f>
        <v>1200.2686209350809</v>
      </c>
      <c r="M227" s="7">
        <f>AVERAGE(E$2:E226)</f>
        <v>1.334862385321101</v>
      </c>
      <c r="N227" s="7">
        <f>PERCENTILE($E$2:$E226,0.025)</f>
        <v>-2</v>
      </c>
      <c r="O227" s="7">
        <f>PERCENTILE($E$2:$E226,0.165)</f>
        <v>0</v>
      </c>
      <c r="P227" s="7">
        <f>PERCENTILE($E$2:$E226,0.5)</f>
        <v>1</v>
      </c>
      <c r="Q227" s="7">
        <f>PERCENTILE($E$2:$E226,0.835)</f>
        <v>3</v>
      </c>
      <c r="R227" s="7">
        <f>PERCENTILE($E$2:$E226,0.975)</f>
        <v>7.1499999999999773</v>
      </c>
    </row>
    <row r="228" spans="1:18" x14ac:dyDescent="0.2">
      <c r="A228" s="5">
        <f>Data!E236</f>
        <v>2004</v>
      </c>
      <c r="B228" s="5">
        <f>Data!M236</f>
        <v>1.0352941176470589</v>
      </c>
      <c r="C228" s="5">
        <f>Data!N236</f>
        <v>0.23529411764705882</v>
      </c>
      <c r="D228" s="5">
        <f ca="1">Data!O236</f>
        <v>267.47395442858601</v>
      </c>
      <c r="E228" s="1">
        <f>Data!AQ236</f>
        <v>0</v>
      </c>
      <c r="F228" t="str">
        <f t="shared" si="3"/>
        <v/>
      </c>
      <c r="G228" s="5">
        <f ca="1">AVERAGE(D$2:D227)</f>
        <v>186.35912302837585</v>
      </c>
      <c r="H228" s="5">
        <f ca="1">PERCENTILE(D$2:D227,0.025)</f>
        <v>5.2507379818361899E-2</v>
      </c>
      <c r="I228" s="5">
        <f ca="1">PERCENTILE(D$2:D227,0.165)</f>
        <v>2.469828262022193</v>
      </c>
      <c r="J228" s="5">
        <f ca="1">PERCENTILE(D$2:D227,0.5)</f>
        <v>32.497114873162282</v>
      </c>
      <c r="K228" s="5">
        <f ca="1">PERCENTILE(D$2:D227,0.835)</f>
        <v>251.28642335149283</v>
      </c>
      <c r="L228" s="5">
        <f ca="1">PERCENTILE(D$2:D227,0.975)</f>
        <v>1317.9262856019357</v>
      </c>
      <c r="M228" s="7">
        <f>AVERAGE(E$2:E227)</f>
        <v>1.3287671232876712</v>
      </c>
      <c r="N228" s="7">
        <f>PERCENTILE($E$2:$E227,0.025)</f>
        <v>-2</v>
      </c>
      <c r="O228" s="7">
        <f>PERCENTILE($E$2:$E227,0.165)</f>
        <v>0</v>
      </c>
      <c r="P228" s="7">
        <f>PERCENTILE($E$2:$E227,0.5)</f>
        <v>1</v>
      </c>
      <c r="Q228" s="7">
        <f>PERCENTILE($E$2:$E227,0.835)</f>
        <v>3</v>
      </c>
      <c r="R228" s="7">
        <f>PERCENTILE($E$2:$E227,0.975)</f>
        <v>7.0999999999999659</v>
      </c>
    </row>
    <row r="229" spans="1:18" x14ac:dyDescent="0.2">
      <c r="A229" s="5">
        <f>Data!E237</f>
        <v>2004</v>
      </c>
      <c r="B229" s="5">
        <f>Data!M237</f>
        <v>5.1764705882352942E-2</v>
      </c>
      <c r="C229" s="5">
        <f>Data!N237</f>
        <v>1.1764705882352941E-2</v>
      </c>
      <c r="D229" s="5">
        <f ca="1">Data!O237</f>
        <v>809.27848090503903</v>
      </c>
      <c r="E229" s="1">
        <f>Data!AQ237</f>
        <v>0</v>
      </c>
      <c r="F229" t="str">
        <f t="shared" si="3"/>
        <v/>
      </c>
      <c r="G229" s="5">
        <f ca="1">AVERAGE(D$2:D228)</f>
        <v>186.7164570874076</v>
      </c>
      <c r="H229" s="5">
        <f ca="1">PERCENTILE(D$2:D228,0.025)</f>
        <v>5.2705520874280244E-2</v>
      </c>
      <c r="I229" s="5">
        <f ca="1">PERCENTILE(D$2:D228,0.165)</f>
        <v>2.4972906123724754</v>
      </c>
      <c r="J229" s="5">
        <f ca="1">PERCENTILE(D$2:D228,0.5)</f>
        <v>32.692488309273479</v>
      </c>
      <c r="K229" s="5">
        <f ca="1">PERCENTILE(D$2:D228,0.835)</f>
        <v>257.62943835012396</v>
      </c>
      <c r="L229" s="5">
        <f ca="1">PERCENTILE(D$2:D228,0.975)</f>
        <v>1317.4843670996479</v>
      </c>
      <c r="M229" s="7">
        <f>AVERAGE(E$2:E228)</f>
        <v>1.3227272727272728</v>
      </c>
      <c r="N229" s="7">
        <f>PERCENTILE($E$2:$E228,0.025)</f>
        <v>-2</v>
      </c>
      <c r="O229" s="7">
        <f>PERCENTILE($E$2:$E228,0.165)</f>
        <v>0</v>
      </c>
      <c r="P229" s="7">
        <f>PERCENTILE($E$2:$E228,0.5)</f>
        <v>1</v>
      </c>
      <c r="Q229" s="7">
        <f>PERCENTILE($E$2:$E228,0.835)</f>
        <v>3</v>
      </c>
      <c r="R229" s="7">
        <f>PERCENTILE($E$2:$E228,0.975)</f>
        <v>7.0500000000000114</v>
      </c>
    </row>
    <row r="230" spans="1:18" x14ac:dyDescent="0.2">
      <c r="A230" s="5">
        <f>Data!E238</f>
        <v>2004</v>
      </c>
      <c r="B230" s="5">
        <f>Data!M238</f>
        <v>5.1764705882352942E-2</v>
      </c>
      <c r="C230" s="5">
        <f>Data!N238</f>
        <v>1.1764705882352941E-2</v>
      </c>
      <c r="D230" s="5">
        <f ca="1">Data!O238</f>
        <v>57.548691975469445</v>
      </c>
      <c r="E230" s="1">
        <f>Data!AQ238</f>
        <v>0</v>
      </c>
      <c r="F230" t="str">
        <f t="shared" si="3"/>
        <v/>
      </c>
      <c r="G230" s="5">
        <f ca="1">AVERAGE(D$2:D229)</f>
        <v>189.44699227959018</v>
      </c>
      <c r="H230" s="5">
        <f ca="1">PERCENTILE(D$2:D229,0.025)</f>
        <v>5.2903661930198596E-2</v>
      </c>
      <c r="I230" s="5">
        <f ca="1">PERCENTILE(D$2:D229,0.165)</f>
        <v>2.5247529627227583</v>
      </c>
      <c r="J230" s="5">
        <f ca="1">PERCENTILE(D$2:D229,0.5)</f>
        <v>34.776471627792901</v>
      </c>
      <c r="K230" s="5">
        <f ca="1">PERCENTILE(D$2:D229,0.835)</f>
        <v>263.77958499187628</v>
      </c>
      <c r="L230" s="5">
        <f ca="1">PERCENTILE(D$2:D229,0.975)</f>
        <v>1317.0424485973599</v>
      </c>
      <c r="M230" s="7">
        <f>AVERAGE(E$2:E229)</f>
        <v>1.3167420814479638</v>
      </c>
      <c r="N230" s="7">
        <f>PERCENTILE($E$2:$E229,0.025)</f>
        <v>-2</v>
      </c>
      <c r="O230" s="7">
        <f>PERCENTILE($E$2:$E229,0.165)</f>
        <v>0</v>
      </c>
      <c r="P230" s="7">
        <f>PERCENTILE($E$2:$E229,0.5)</f>
        <v>1</v>
      </c>
      <c r="Q230" s="7">
        <f>PERCENTILE($E$2:$E229,0.835)</f>
        <v>3</v>
      </c>
      <c r="R230" s="7">
        <f>PERCENTILE($E$2:$E229,0.975)</f>
        <v>7</v>
      </c>
    </row>
    <row r="231" spans="1:18" x14ac:dyDescent="0.2">
      <c r="A231" s="5">
        <f>Data!E239</f>
        <v>2004</v>
      </c>
      <c r="B231" s="5">
        <f>Data!M239</f>
        <v>1.0352941176470589</v>
      </c>
      <c r="C231" s="5">
        <f>Data!N239</f>
        <v>0.23529411764705882</v>
      </c>
      <c r="D231" s="5">
        <f ca="1">Data!O239</f>
        <v>119.8825266938954</v>
      </c>
      <c r="E231" s="1">
        <f>Data!AQ239</f>
        <v>1</v>
      </c>
      <c r="F231" t="str">
        <f t="shared" si="3"/>
        <v/>
      </c>
      <c r="G231" s="5">
        <f ca="1">AVERAGE(D$2:D230)</f>
        <v>188.87101716909183</v>
      </c>
      <c r="H231" s="5">
        <f ca="1">PERCENTILE(D$2:D230,0.025)</f>
        <v>5.3101802986116942E-2</v>
      </c>
      <c r="I231" s="5">
        <f ca="1">PERCENTILE(D$2:D230,0.165)</f>
        <v>2.5522153130730421</v>
      </c>
      <c r="J231" s="5">
        <f ca="1">PERCENTILE(D$2:D230,0.5)</f>
        <v>36.860454946312331</v>
      </c>
      <c r="K231" s="5">
        <f ca="1">PERCENTILE(D$2:D230,0.835)</f>
        <v>262.43986860273992</v>
      </c>
      <c r="L231" s="5">
        <f ca="1">PERCENTILE(D$2:D230,0.975)</f>
        <v>1316.6005300950721</v>
      </c>
      <c r="M231" s="7">
        <f>AVERAGE(E$2:E230)</f>
        <v>1.3108108108108107</v>
      </c>
      <c r="N231" s="7">
        <f>PERCENTILE($E$2:$E230,0.025)</f>
        <v>-2</v>
      </c>
      <c r="O231" s="7">
        <f>PERCENTILE($E$2:$E230,0.165)</f>
        <v>0</v>
      </c>
      <c r="P231" s="7">
        <f>PERCENTILE($E$2:$E230,0.5)</f>
        <v>1</v>
      </c>
      <c r="Q231" s="7">
        <f>PERCENTILE($E$2:$E230,0.835)</f>
        <v>3</v>
      </c>
      <c r="R231" s="7">
        <f>PERCENTILE($E$2:$E230,0.975)</f>
        <v>6.9499999999999886</v>
      </c>
    </row>
    <row r="232" spans="1:18" x14ac:dyDescent="0.2">
      <c r="A232" s="5">
        <f>Data!E240</f>
        <v>2004</v>
      </c>
      <c r="B232" s="5">
        <f>Data!M240</f>
        <v>1.0352941176470589</v>
      </c>
      <c r="C232" s="5">
        <f>Data!N240</f>
        <v>0.23529411764705882</v>
      </c>
      <c r="D232" s="5">
        <f ca="1">Data!O240</f>
        <v>59.9412633469477</v>
      </c>
      <c r="E232" s="1">
        <f>Data!AQ240</f>
        <v>2</v>
      </c>
      <c r="F232" t="str">
        <f t="shared" si="3"/>
        <v/>
      </c>
      <c r="G232" s="5">
        <f ca="1">AVERAGE(D$2:D231)</f>
        <v>188.57106721050403</v>
      </c>
      <c r="H232" s="5">
        <f ca="1">PERCENTILE(D$2:D231,0.025)</f>
        <v>5.3299944042035287E-2</v>
      </c>
      <c r="I232" s="5">
        <f ca="1">PERCENTILE(D$2:D231,0.165)</f>
        <v>2.5796776634233249</v>
      </c>
      <c r="J232" s="5">
        <f ca="1">PERCENTILE(D$2:D231,0.5)</f>
        <v>37.435381616951773</v>
      </c>
      <c r="K232" s="5">
        <f ca="1">PERCENTILE(D$2:D231,0.835)</f>
        <v>261.10015221360351</v>
      </c>
      <c r="L232" s="5">
        <f ca="1">PERCENTILE(D$2:D231,0.975)</f>
        <v>1316.1586115927846</v>
      </c>
      <c r="M232" s="7">
        <f>AVERAGE(E$2:E231)</f>
        <v>1.3094170403587444</v>
      </c>
      <c r="N232" s="7">
        <f>PERCENTILE($E$2:$E231,0.025)</f>
        <v>-2</v>
      </c>
      <c r="O232" s="7">
        <f>PERCENTILE($E$2:$E231,0.165)</f>
        <v>0</v>
      </c>
      <c r="P232" s="7">
        <f>PERCENTILE($E$2:$E231,0.5)</f>
        <v>1</v>
      </c>
      <c r="Q232" s="7">
        <f>PERCENTILE($E$2:$E231,0.835)</f>
        <v>3</v>
      </c>
      <c r="R232" s="7">
        <f>PERCENTILE($E$2:$E231,0.975)</f>
        <v>6.8999999999999773</v>
      </c>
    </row>
    <row r="233" spans="1:18" x14ac:dyDescent="0.2">
      <c r="A233" s="5">
        <f>Data!E241</f>
        <v>2004</v>
      </c>
      <c r="B233" s="5">
        <f>Data!M241</f>
        <v>1.0352941176470589</v>
      </c>
      <c r="C233" s="5">
        <f>Data!N241</f>
        <v>0.23529411764705882</v>
      </c>
      <c r="D233" s="5">
        <f ca="1">Data!O241</f>
        <v>34.632729933792007</v>
      </c>
      <c r="E233" s="1">
        <f>Data!AQ241</f>
        <v>3</v>
      </c>
      <c r="F233" t="str">
        <f t="shared" si="3"/>
        <v/>
      </c>
      <c r="G233" s="5">
        <f ca="1">AVERAGE(D$2:D232)</f>
        <v>188.01422823273973</v>
      </c>
      <c r="H233" s="5">
        <f ca="1">PERCENTILE(D$2:D232,0.025)</f>
        <v>5.3498085097953632E-2</v>
      </c>
      <c r="I233" s="5">
        <f ca="1">PERCENTILE(D$2:D232,0.165)</f>
        <v>2.6071400137736074</v>
      </c>
      <c r="J233" s="5">
        <f ca="1">PERCENTILE(D$2:D232,0.5)</f>
        <v>38.010308287591222</v>
      </c>
      <c r="K233" s="5">
        <f ca="1">PERCENTILE(D$2:D232,0.835)</f>
        <v>259.76043582446687</v>
      </c>
      <c r="L233" s="5">
        <f ca="1">PERCENTILE(D$2:D232,0.975)</f>
        <v>1315.7166930904968</v>
      </c>
      <c r="M233" s="7">
        <f>AVERAGE(E$2:E232)</f>
        <v>1.3125</v>
      </c>
      <c r="N233" s="7">
        <f>PERCENTILE($E$2:$E232,0.025)</f>
        <v>-2</v>
      </c>
      <c r="O233" s="7">
        <f>PERCENTILE($E$2:$E232,0.165)</f>
        <v>0</v>
      </c>
      <c r="P233" s="7">
        <f>PERCENTILE($E$2:$E232,0.5)</f>
        <v>1</v>
      </c>
      <c r="Q233" s="7">
        <f>PERCENTILE($E$2:$E232,0.835)</f>
        <v>3</v>
      </c>
      <c r="R233" s="7">
        <f>PERCENTILE($E$2:$E232,0.975)</f>
        <v>6.8499999999999659</v>
      </c>
    </row>
    <row r="234" spans="1:18" x14ac:dyDescent="0.2">
      <c r="A234" s="5">
        <f>Data!E242</f>
        <v>2004</v>
      </c>
      <c r="B234" s="5">
        <f>Data!M242</f>
        <v>5.1764705882352942E-2</v>
      </c>
      <c r="C234" s="5">
        <f>Data!N242</f>
        <v>1.1764705882352941E-2</v>
      </c>
      <c r="D234" s="5">
        <f ca="1">Data!O242</f>
        <v>451.55751721367267</v>
      </c>
      <c r="E234" s="1">
        <f>Data!AQ242</f>
        <v>1</v>
      </c>
      <c r="F234" t="str">
        <f t="shared" si="3"/>
        <v/>
      </c>
      <c r="G234" s="5">
        <f ca="1">AVERAGE(D$2:D233)</f>
        <v>187.35310108489944</v>
      </c>
      <c r="H234" s="5">
        <f ca="1">PERCENTILE(D$2:D233,0.025)</f>
        <v>5.3696226153871977E-2</v>
      </c>
      <c r="I234" s="5">
        <f ca="1">PERCENTILE(D$2:D233,0.165)</f>
        <v>2.6250321511230337</v>
      </c>
      <c r="J234" s="5">
        <f ca="1">PERCENTILE(D$2:D233,0.5)</f>
        <v>37.435381616951773</v>
      </c>
      <c r="K234" s="5">
        <f ca="1">PERCENTILE(D$2:D233,0.835)</f>
        <v>258.67040039122554</v>
      </c>
      <c r="L234" s="5">
        <f ca="1">PERCENTILE(D$2:D233,0.975)</f>
        <v>1315.2747745882089</v>
      </c>
      <c r="M234" s="7">
        <f>AVERAGE(E$2:E233)</f>
        <v>1.32</v>
      </c>
      <c r="N234" s="7">
        <f>PERCENTILE($E$2:$E233,0.025)</f>
        <v>-2</v>
      </c>
      <c r="O234" s="7">
        <f>PERCENTILE($E$2:$E233,0.165)</f>
        <v>0</v>
      </c>
      <c r="P234" s="7">
        <f>PERCENTILE($E$2:$E233,0.5)</f>
        <v>1</v>
      </c>
      <c r="Q234" s="7">
        <f>PERCENTILE($E$2:$E233,0.835)</f>
        <v>3</v>
      </c>
      <c r="R234" s="7">
        <f>PERCENTILE($E$2:$E233,0.975)</f>
        <v>6.8000000000000114</v>
      </c>
    </row>
    <row r="235" spans="1:18" x14ac:dyDescent="0.2">
      <c r="A235" s="5">
        <f>Data!E243</f>
        <v>2004</v>
      </c>
      <c r="B235" s="5">
        <f>Data!M243</f>
        <v>5.1764705882352942E-2</v>
      </c>
      <c r="C235" s="5">
        <f>Data!N243</f>
        <v>1.1764705882352941E-2</v>
      </c>
      <c r="D235" s="5">
        <f ca="1">Data!O243</f>
        <v>185.15190233834957</v>
      </c>
      <c r="E235" s="1">
        <f>Data!AQ243</f>
        <v>2</v>
      </c>
      <c r="F235" t="str">
        <f t="shared" si="3"/>
        <v/>
      </c>
      <c r="G235" s="5">
        <f ca="1">AVERAGE(D$2:D234)</f>
        <v>188.48702561764094</v>
      </c>
      <c r="H235" s="5">
        <f ca="1">PERCENTILE(D$2:D234,0.025)</f>
        <v>5.389436720979033E-2</v>
      </c>
      <c r="I235" s="5">
        <f ca="1">PERCENTILE(D$2:D234,0.165)</f>
        <v>2.6387633262981751</v>
      </c>
      <c r="J235" s="5">
        <f ca="1">PERCENTILE(D$2:D234,0.5)</f>
        <v>38.010308287591222</v>
      </c>
      <c r="K235" s="5">
        <f ca="1">PERCENTILE(D$2:D234,0.835)</f>
        <v>265.20049631368778</v>
      </c>
      <c r="L235" s="5">
        <f ca="1">PERCENTILE(D$2:D234,0.975)</f>
        <v>1314.8328560859211</v>
      </c>
      <c r="M235" s="7">
        <f>AVERAGE(E$2:E234)</f>
        <v>1.3185840707964602</v>
      </c>
      <c r="N235" s="7">
        <f>PERCENTILE($E$2:$E234,0.025)</f>
        <v>-2</v>
      </c>
      <c r="O235" s="7">
        <f>PERCENTILE($E$2:$E234,0.165)</f>
        <v>0</v>
      </c>
      <c r="P235" s="7">
        <f>PERCENTILE($E$2:$E234,0.5)</f>
        <v>1</v>
      </c>
      <c r="Q235" s="7">
        <f>PERCENTILE($E$2:$E234,0.835)</f>
        <v>3</v>
      </c>
      <c r="R235" s="7">
        <f>PERCENTILE($E$2:$E234,0.975)</f>
        <v>6.75</v>
      </c>
    </row>
    <row r="236" spans="1:18" x14ac:dyDescent="0.2">
      <c r="A236" s="5">
        <f>Data!E244</f>
        <v>2004</v>
      </c>
      <c r="B236" s="5">
        <f>Data!M244</f>
        <v>5.1764705882352942E-2</v>
      </c>
      <c r="C236" s="5">
        <f>Data!N244</f>
        <v>1.1764705882352941E-2</v>
      </c>
      <c r="D236" s="5">
        <f ca="1">Data!O244</f>
        <v>95.906021355116323</v>
      </c>
      <c r="E236" s="1">
        <f>Data!AQ244</f>
        <v>3</v>
      </c>
      <c r="F236" t="str">
        <f t="shared" si="3"/>
        <v/>
      </c>
      <c r="G236" s="5">
        <f ca="1">AVERAGE(D$2:D235)</f>
        <v>188.47277295405425</v>
      </c>
      <c r="H236" s="5">
        <f ca="1">PERCENTILE(D$2:D235,0.025)</f>
        <v>5.4092508265708675E-2</v>
      </c>
      <c r="I236" s="5">
        <f ca="1">PERCENTILE(D$2:D235,0.165)</f>
        <v>2.6524945014733166</v>
      </c>
      <c r="J236" s="5">
        <f ca="1">PERCENTILE(D$2:D235,0.5)</f>
        <v>38.124233011440239</v>
      </c>
      <c r="K236" s="5">
        <f ca="1">PERCENTILE(D$2:D235,0.835)</f>
        <v>263.86077992455114</v>
      </c>
      <c r="L236" s="5">
        <f ca="1">PERCENTILE(D$2:D235,0.975)</f>
        <v>1314.3909375836331</v>
      </c>
      <c r="M236" s="7">
        <f>AVERAGE(E$2:E235)</f>
        <v>1.3215859030837005</v>
      </c>
      <c r="N236" s="7">
        <f>PERCENTILE($E$2:$E235,0.025)</f>
        <v>-2</v>
      </c>
      <c r="O236" s="7">
        <f>PERCENTILE($E$2:$E235,0.165)</f>
        <v>0</v>
      </c>
      <c r="P236" s="7">
        <f>PERCENTILE($E$2:$E235,0.5)</f>
        <v>1</v>
      </c>
      <c r="Q236" s="7">
        <f>PERCENTILE($E$2:$E235,0.835)</f>
        <v>3</v>
      </c>
      <c r="R236" s="7">
        <f>PERCENTILE($E$2:$E235,0.975)</f>
        <v>6.6999999999999886</v>
      </c>
    </row>
    <row r="237" spans="1:18" x14ac:dyDescent="0.2">
      <c r="A237" s="5">
        <f>Data!E245</f>
        <v>2004</v>
      </c>
      <c r="B237" s="5">
        <f>Data!M245</f>
        <v>0.22000000000000003</v>
      </c>
      <c r="C237" s="5">
        <f>Data!N245</f>
        <v>0.05</v>
      </c>
      <c r="D237" s="5">
        <f ca="1">Data!O245</f>
        <v>441.41003172686584</v>
      </c>
      <c r="E237" s="1">
        <f>Data!AQ245</f>
        <v>0</v>
      </c>
      <c r="F237" t="str">
        <f t="shared" si="3"/>
        <v/>
      </c>
      <c r="G237" s="5">
        <f ca="1">AVERAGE(D$2:D236)</f>
        <v>188.07887188342045</v>
      </c>
      <c r="H237" s="5">
        <f ca="1">PERCENTILE(D$2:D236,0.025)</f>
        <v>5.429064932162702E-2</v>
      </c>
      <c r="I237" s="5">
        <f ca="1">PERCENTILE(D$2:D236,0.165)</f>
        <v>2.666225676648458</v>
      </c>
      <c r="J237" s="5">
        <f ca="1">PERCENTILE(D$2:D236,0.5)</f>
        <v>38.238157735289256</v>
      </c>
      <c r="K237" s="5">
        <f ca="1">PERCENTILE(D$2:D236,0.835)</f>
        <v>262.52106353541478</v>
      </c>
      <c r="L237" s="5">
        <f ca="1">PERCENTILE(D$2:D236,0.975)</f>
        <v>1313.9490190813458</v>
      </c>
      <c r="M237" s="7">
        <f>AVERAGE(E$2:E236)</f>
        <v>1.3289473684210527</v>
      </c>
      <c r="N237" s="7">
        <f>PERCENTILE($E$2:$E236,0.025)</f>
        <v>-2</v>
      </c>
      <c r="O237" s="7">
        <f>PERCENTILE($E$2:$E236,0.165)</f>
        <v>0</v>
      </c>
      <c r="P237" s="7">
        <f>PERCENTILE($E$2:$E236,0.5)</f>
        <v>1</v>
      </c>
      <c r="Q237" s="7">
        <f>PERCENTILE($E$2:$E236,0.835)</f>
        <v>3</v>
      </c>
      <c r="R237" s="7">
        <f>PERCENTILE($E$2:$E236,0.975)</f>
        <v>6.6499999999999773</v>
      </c>
    </row>
    <row r="238" spans="1:18" x14ac:dyDescent="0.2">
      <c r="A238" s="5">
        <f>Data!E246</f>
        <v>2004</v>
      </c>
      <c r="B238" s="5">
        <f>Data!M246</f>
        <v>4.18</v>
      </c>
      <c r="C238" s="5">
        <f>Data!N246</f>
        <v>0.95</v>
      </c>
      <c r="D238" s="5">
        <f ca="1">Data!O246</f>
        <v>17.656401269074635</v>
      </c>
      <c r="E238" s="1">
        <f>Data!AQ246</f>
        <v>3</v>
      </c>
      <c r="F238" t="str">
        <f t="shared" si="3"/>
        <v/>
      </c>
      <c r="G238" s="5">
        <f ca="1">AVERAGE(D$2:D237)</f>
        <v>189.15230900140116</v>
      </c>
      <c r="H238" s="5">
        <f ca="1">PERCENTILE(D$2:D237,0.025)</f>
        <v>5.4488790377545365E-2</v>
      </c>
      <c r="I238" s="5">
        <f ca="1">PERCENTILE(D$2:D237,0.165)</f>
        <v>2.6799568518235994</v>
      </c>
      <c r="J238" s="5">
        <f ca="1">PERCENTILE(D$2:D237,0.5)</f>
        <v>38.239287328750578</v>
      </c>
      <c r="K238" s="5">
        <f ca="1">PERCENTILE(D$2:D237,0.835)</f>
        <v>270.06108186892999</v>
      </c>
      <c r="L238" s="5">
        <f ca="1">PERCENTILE(D$2:D237,0.975)</f>
        <v>1313.5071005790578</v>
      </c>
      <c r="M238" s="7">
        <f>AVERAGE(E$2:E237)</f>
        <v>1.3231441048034935</v>
      </c>
      <c r="N238" s="7">
        <f>PERCENTILE($E$2:$E237,0.025)</f>
        <v>-2</v>
      </c>
      <c r="O238" s="7">
        <f>PERCENTILE($E$2:$E237,0.165)</f>
        <v>0</v>
      </c>
      <c r="P238" s="7">
        <f>PERCENTILE($E$2:$E237,0.5)</f>
        <v>1</v>
      </c>
      <c r="Q238" s="7">
        <f>PERCENTILE($E$2:$E237,0.835)</f>
        <v>3</v>
      </c>
      <c r="R238" s="7">
        <f>PERCENTILE($E$2:$E237,0.975)</f>
        <v>6.5999999999999659</v>
      </c>
    </row>
    <row r="239" spans="1:18" x14ac:dyDescent="0.2">
      <c r="A239" s="5">
        <f>Data!E1216</f>
        <v>2004</v>
      </c>
      <c r="B239" s="5">
        <f>Data!M1216</f>
        <v>3.4</v>
      </c>
      <c r="C239" s="5">
        <f>Data!N1216</f>
        <v>1</v>
      </c>
      <c r="D239" s="5">
        <f ca="1">Data!O1216</f>
        <v>3.1344604034599923</v>
      </c>
      <c r="E239" s="1">
        <f>Data!AQ1216</f>
        <v>3</v>
      </c>
      <c r="F239" t="str">
        <f t="shared" si="3"/>
        <v/>
      </c>
      <c r="G239" s="5">
        <f ca="1">AVERAGE(D$2:D238)</f>
        <v>188.42869757637024</v>
      </c>
      <c r="H239" s="5">
        <f ca="1">PERCENTILE(D$2:D238,0.025)</f>
        <v>5.4686931433463717E-2</v>
      </c>
      <c r="I239" s="5">
        <f ca="1">PERCENTILE(D$2:D238,0.165)</f>
        <v>2.6936880269987418</v>
      </c>
      <c r="J239" s="5">
        <f ca="1">PERCENTILE(D$2:D238,0.5)</f>
        <v>38.238157735289256</v>
      </c>
      <c r="K239" s="5">
        <f ca="1">PERCENTILE(D$2:D238,0.835)</f>
        <v>268.16385507934444</v>
      </c>
      <c r="L239" s="5">
        <f ca="1">PERCENTILE(D$2:D238,0.975)</f>
        <v>1313.06518207677</v>
      </c>
      <c r="M239" s="7">
        <f>AVERAGE(E$2:E238)</f>
        <v>1.3304347826086957</v>
      </c>
      <c r="N239" s="7">
        <f>PERCENTILE($E$2:$E238,0.025)</f>
        <v>-2</v>
      </c>
      <c r="O239" s="7">
        <f>PERCENTILE($E$2:$E238,0.165)</f>
        <v>0</v>
      </c>
      <c r="P239" s="7">
        <f>PERCENTILE($E$2:$E238,0.5)</f>
        <v>1</v>
      </c>
      <c r="Q239" s="7">
        <f>PERCENTILE($E$2:$E238,0.835)</f>
        <v>3</v>
      </c>
      <c r="R239" s="7">
        <f>PERCENTILE($E$2:$E238,0.975)</f>
        <v>6.5500000000000114</v>
      </c>
    </row>
    <row r="240" spans="1:18" x14ac:dyDescent="0.2">
      <c r="A240" s="5">
        <f>Data!E205</f>
        <v>2005</v>
      </c>
      <c r="B240" s="5">
        <f>Data!M205</f>
        <v>0.62500000000000011</v>
      </c>
      <c r="C240" s="5">
        <f>Data!N205</f>
        <v>8.3333333333333343E-2</v>
      </c>
      <c r="D240" s="5">
        <f ca="1">Data!O205</f>
        <v>30.692281705166849</v>
      </c>
      <c r="E240" s="1">
        <f>Data!AQ205</f>
        <v>0</v>
      </c>
      <c r="F240">
        <f t="shared" si="3"/>
        <v>2005</v>
      </c>
      <c r="G240" s="5">
        <f ca="1">AVERAGE(D$2:D239)</f>
        <v>187.65015036135802</v>
      </c>
      <c r="H240" s="5">
        <f ca="1">PERCENTILE(D$2:D239,0.025)</f>
        <v>5.4885072489382063E-2</v>
      </c>
      <c r="I240" s="5">
        <f ca="1">PERCENTILE(D$2:D239,0.165)</f>
        <v>2.7248952433058817</v>
      </c>
      <c r="J240" s="5">
        <f ca="1">PERCENTILE(D$2:D239,0.5)</f>
        <v>38.124233011440239</v>
      </c>
      <c r="K240" s="5">
        <f ca="1">PERCENTILE(D$2:D239,0.835)</f>
        <v>266.62140763549905</v>
      </c>
      <c r="L240" s="5">
        <f ca="1">PERCENTILE(D$2:D239,0.975)</f>
        <v>1312.6232635744821</v>
      </c>
      <c r="M240" s="7">
        <f>AVERAGE(E$2:E239)</f>
        <v>1.3376623376623376</v>
      </c>
      <c r="N240" s="7">
        <f>PERCENTILE($E$2:$E239,0.025)</f>
        <v>-2</v>
      </c>
      <c r="O240" s="7">
        <f>PERCENTILE($E$2:$E239,0.165)</f>
        <v>0</v>
      </c>
      <c r="P240" s="7">
        <f>PERCENTILE($E$2:$E239,0.5)</f>
        <v>1</v>
      </c>
      <c r="Q240" s="7">
        <f>PERCENTILE($E$2:$E239,0.835)</f>
        <v>3</v>
      </c>
      <c r="R240" s="7">
        <f>PERCENTILE($E$2:$E239,0.975)</f>
        <v>6.5</v>
      </c>
    </row>
    <row r="241" spans="1:18" x14ac:dyDescent="0.2">
      <c r="A241" s="5">
        <f>Data!E206</f>
        <v>2005</v>
      </c>
      <c r="B241" s="5">
        <f>Data!M206</f>
        <v>1.2500000000000002</v>
      </c>
      <c r="C241" s="5">
        <f>Data!N206</f>
        <v>0.16666666666666669</v>
      </c>
      <c r="D241" s="5">
        <f ca="1">Data!O206</f>
        <v>24.831443992622432</v>
      </c>
      <c r="E241" s="1">
        <f>Data!AQ206</f>
        <v>0</v>
      </c>
      <c r="F241" t="str">
        <f t="shared" si="3"/>
        <v/>
      </c>
      <c r="G241" s="5">
        <f ca="1">AVERAGE(D$2:D240)</f>
        <v>186.99342287744091</v>
      </c>
      <c r="H241" s="5">
        <f ca="1">PERCENTILE(D$2:D240,0.025)</f>
        <v>5.5083213545300408E-2</v>
      </c>
      <c r="I241" s="5">
        <f ca="1">PERCENTILE(D$2:D240,0.165)</f>
        <v>2.7660887688313056</v>
      </c>
      <c r="J241" s="5">
        <f ca="1">PERCENTILE(D$2:D240,0.5)</f>
        <v>38.010308287591222</v>
      </c>
      <c r="K241" s="5">
        <f ca="1">PERCENTILE(D$2:D240,0.835)</f>
        <v>265.28169124636264</v>
      </c>
      <c r="L241" s="5">
        <f ca="1">PERCENTILE(D$2:D240,0.975)</f>
        <v>1312.1813450721943</v>
      </c>
      <c r="M241" s="7">
        <f>AVERAGE(E$2:E240)</f>
        <v>1.3318965517241379</v>
      </c>
      <c r="N241" s="7">
        <f>PERCENTILE($E$2:$E240,0.025)</f>
        <v>-2</v>
      </c>
      <c r="O241" s="7">
        <f>PERCENTILE($E$2:$E240,0.165)</f>
        <v>0</v>
      </c>
      <c r="P241" s="7">
        <f>PERCENTILE($E$2:$E240,0.5)</f>
        <v>1</v>
      </c>
      <c r="Q241" s="7">
        <f>PERCENTILE($E$2:$E240,0.835)</f>
        <v>3</v>
      </c>
      <c r="R241" s="7">
        <f>PERCENTILE($E$2:$E240,0.975)</f>
        <v>6.4499999999999886</v>
      </c>
    </row>
    <row r="242" spans="1:18" x14ac:dyDescent="0.2">
      <c r="A242" s="5">
        <f>Data!E207</f>
        <v>2005</v>
      </c>
      <c r="B242" s="5">
        <f>Data!M207</f>
        <v>1.2500000000000002</v>
      </c>
      <c r="C242" s="5">
        <f>Data!N207</f>
        <v>0.16666666666666669</v>
      </c>
      <c r="D242" s="5">
        <f ca="1">Data!O207</f>
        <v>5.8608377125444244</v>
      </c>
      <c r="E242" s="1">
        <f>Data!AQ207</f>
        <v>1</v>
      </c>
      <c r="F242" t="str">
        <f t="shared" si="3"/>
        <v/>
      </c>
      <c r="G242" s="5">
        <f ca="1">AVERAGE(D$2:D241)</f>
        <v>186.31774796542084</v>
      </c>
      <c r="H242" s="5">
        <f ca="1">PERCENTILE(D$2:D241,0.025)</f>
        <v>5.5281354601218753E-2</v>
      </c>
      <c r="I242" s="5">
        <f ca="1">PERCENTILE(D$2:D241,0.165)</f>
        <v>2.8072822943567295</v>
      </c>
      <c r="J242" s="5">
        <f ca="1">PERCENTILE(D$2:D241,0.5)</f>
        <v>37.435381616951773</v>
      </c>
      <c r="K242" s="5">
        <f ca="1">PERCENTILE(D$2:D241,0.835)</f>
        <v>263.94197485722623</v>
      </c>
      <c r="L242" s="5">
        <f ca="1">PERCENTILE(D$2:D241,0.975)</f>
        <v>1311.739426569907</v>
      </c>
      <c r="M242" s="7">
        <f>AVERAGE(E$2:E241)</f>
        <v>1.3261802575107295</v>
      </c>
      <c r="N242" s="7">
        <f>PERCENTILE($E$2:$E241,0.025)</f>
        <v>-2</v>
      </c>
      <c r="O242" s="7">
        <f>PERCENTILE($E$2:$E241,0.165)</f>
        <v>0</v>
      </c>
      <c r="P242" s="7">
        <f>PERCENTILE($E$2:$E241,0.5)</f>
        <v>1</v>
      </c>
      <c r="Q242" s="7">
        <f>PERCENTILE($E$2:$E241,0.835)</f>
        <v>3</v>
      </c>
      <c r="R242" s="7">
        <f>PERCENTILE($E$2:$E241,0.975)</f>
        <v>6.3999999999999773</v>
      </c>
    </row>
    <row r="243" spans="1:18" x14ac:dyDescent="0.2">
      <c r="A243" s="5">
        <f>Data!E208</f>
        <v>2005</v>
      </c>
      <c r="B243" s="5">
        <f>Data!M208</f>
        <v>2.5000000000000004</v>
      </c>
      <c r="C243" s="5">
        <f>Data!N208</f>
        <v>0.33333333333333337</v>
      </c>
      <c r="D243" s="5">
        <f ca="1">Data!O208</f>
        <v>10.179349711261368</v>
      </c>
      <c r="E243" s="1">
        <f>Data!AQ208</f>
        <v>1</v>
      </c>
      <c r="F243" t="str">
        <f t="shared" si="3"/>
        <v/>
      </c>
      <c r="G243" s="5">
        <f ca="1">AVERAGE(D$2:D242)</f>
        <v>185.56896410545036</v>
      </c>
      <c r="H243" s="5">
        <f ca="1">PERCENTILE(D$2:D242,0.025)</f>
        <v>5.5479495657137098E-2</v>
      </c>
      <c r="I243" s="5">
        <f ca="1">PERCENTILE(D$2:D242,0.165)</f>
        <v>2.8484758198821534</v>
      </c>
      <c r="J243" s="5">
        <f ca="1">PERCENTILE(D$2:D242,0.5)</f>
        <v>36.860454946312331</v>
      </c>
      <c r="K243" s="5">
        <f ca="1">PERCENTILE(D$2:D242,0.835)</f>
        <v>262.60225846808964</v>
      </c>
      <c r="L243" s="5">
        <f ca="1">PERCENTILE(D$2:D242,0.975)</f>
        <v>1311.297508067619</v>
      </c>
      <c r="M243" s="7">
        <f>AVERAGE(E$2:E242)</f>
        <v>1.3247863247863247</v>
      </c>
      <c r="N243" s="7">
        <f>PERCENTILE($E$2:$E242,0.025)</f>
        <v>-2</v>
      </c>
      <c r="O243" s="7">
        <f>PERCENTILE($E$2:$E242,0.165)</f>
        <v>0</v>
      </c>
      <c r="P243" s="7">
        <f>PERCENTILE($E$2:$E242,0.5)</f>
        <v>1</v>
      </c>
      <c r="Q243" s="7">
        <f>PERCENTILE($E$2:$E242,0.835)</f>
        <v>3</v>
      </c>
      <c r="R243" s="7">
        <f>PERCENTILE($E$2:$E242,0.975)</f>
        <v>6.3499999999999659</v>
      </c>
    </row>
    <row r="244" spans="1:18" x14ac:dyDescent="0.2">
      <c r="A244" s="5">
        <f>Data!E209</f>
        <v>2005</v>
      </c>
      <c r="B244" s="5">
        <f>Data!M209</f>
        <v>0.62500000000000011</v>
      </c>
      <c r="C244" s="5">
        <f>Data!N209</f>
        <v>8.3333333333333343E-2</v>
      </c>
      <c r="D244" s="5">
        <f ca="1">Data!O209</f>
        <v>-10.179349711261368</v>
      </c>
      <c r="E244" s="1">
        <f>Data!AQ209</f>
        <v>3</v>
      </c>
      <c r="F244" t="str">
        <f t="shared" si="3"/>
        <v/>
      </c>
      <c r="G244" s="5">
        <f ca="1">AVERAGE(D$2:D243)</f>
        <v>184.84421363274711</v>
      </c>
      <c r="H244" s="5">
        <f ca="1">PERCENTILE(D$2:D243,0.025)</f>
        <v>5.62720598808105E-2</v>
      </c>
      <c r="I244" s="5">
        <f ca="1">PERCENTILE(D$2:D243,0.165)</f>
        <v>2.8896693454075777</v>
      </c>
      <c r="J244" s="5">
        <f ca="1">PERCENTILE(D$2:D243,0.5)</f>
        <v>35.746592440052169</v>
      </c>
      <c r="K244" s="5">
        <f ca="1">PERCENTILE(D$2:D243,0.835)</f>
        <v>261.26254207895323</v>
      </c>
      <c r="L244" s="5">
        <f ca="1">PERCENTILE(D$2:D243,0.975)</f>
        <v>1306.6713044370954</v>
      </c>
      <c r="M244" s="7">
        <f>AVERAGE(E$2:E243)</f>
        <v>1.323404255319149</v>
      </c>
      <c r="N244" s="7">
        <f>PERCENTILE($E$2:$E243,0.025)</f>
        <v>-2</v>
      </c>
      <c r="O244" s="7">
        <f>PERCENTILE($E$2:$E243,0.165)</f>
        <v>0</v>
      </c>
      <c r="P244" s="7">
        <f>PERCENTILE($E$2:$E243,0.5)</f>
        <v>1</v>
      </c>
      <c r="Q244" s="7">
        <f>PERCENTILE($E$2:$E243,0.835)</f>
        <v>3</v>
      </c>
      <c r="R244" s="7">
        <f>PERCENTILE($E$2:$E243,0.975)</f>
        <v>6.3000000000000114</v>
      </c>
    </row>
    <row r="245" spans="1:18" x14ac:dyDescent="0.2">
      <c r="A245" s="5">
        <f>Data!E210</f>
        <v>2005</v>
      </c>
      <c r="B245" s="5">
        <f>Data!M210</f>
        <v>1.2500000000000002</v>
      </c>
      <c r="C245" s="5">
        <f>Data!N210</f>
        <v>0.16666666666666669</v>
      </c>
      <c r="D245" s="5">
        <f ca="1">Data!O210</f>
        <v>-0.77116285691374009</v>
      </c>
      <c r="E245" s="1">
        <f>Data!AQ210</f>
        <v>3</v>
      </c>
      <c r="F245" t="str">
        <f t="shared" si="3"/>
        <v/>
      </c>
      <c r="G245" s="5">
        <f ca="1">AVERAGE(D$2:D244)</f>
        <v>184.0416475284508</v>
      </c>
      <c r="H245" s="5">
        <f ca="1">PERCENTILE(D$2:D244,0.025)</f>
        <v>4.7950135532239924E-2</v>
      </c>
      <c r="I245" s="5">
        <f ca="1">PERCENTILE(D$2:D244,0.165)</f>
        <v>2.692855834563884</v>
      </c>
      <c r="J245" s="5">
        <f ca="1">PERCENTILE(D$2:D244,0.5)</f>
        <v>34.632729933792007</v>
      </c>
      <c r="K245" s="5">
        <f ca="1">PERCENTILE(D$2:D244,0.835)</f>
        <v>259.92282568981682</v>
      </c>
      <c r="L245" s="5">
        <f ca="1">PERCENTILE(D$2:D244,0.975)</f>
        <v>1302.045100806572</v>
      </c>
      <c r="M245" s="7">
        <f>AVERAGE(E$2:E244)</f>
        <v>1.3305084745762712</v>
      </c>
      <c r="N245" s="7">
        <f>PERCENTILE($E$2:$E244,0.025)</f>
        <v>-2</v>
      </c>
      <c r="O245" s="7">
        <f>PERCENTILE($E$2:$E244,0.165)</f>
        <v>0</v>
      </c>
      <c r="P245" s="7">
        <f>PERCENTILE($E$2:$E244,0.5)</f>
        <v>1</v>
      </c>
      <c r="Q245" s="7">
        <f>PERCENTILE($E$2:$E244,0.835)</f>
        <v>3</v>
      </c>
      <c r="R245" s="7">
        <f>PERCENTILE($E$2:$E244,0.975)</f>
        <v>6.25</v>
      </c>
    </row>
    <row r="246" spans="1:18" x14ac:dyDescent="0.2">
      <c r="A246" s="5">
        <f>Data!E247</f>
        <v>2006</v>
      </c>
      <c r="B246" s="5">
        <f>Data!M247</f>
        <v>1.3299999999999998</v>
      </c>
      <c r="C246" s="5">
        <f>Data!N247</f>
        <v>0.23749999999999999</v>
      </c>
      <c r="D246" s="5">
        <f ca="1">Data!O247</f>
        <v>96.426658636816384</v>
      </c>
      <c r="E246" s="1">
        <f>Data!AQ247</f>
        <v>0</v>
      </c>
      <c r="F246">
        <f t="shared" si="3"/>
        <v>2006</v>
      </c>
      <c r="G246" s="5">
        <f ca="1">AVERAGE(D$2:D245)</f>
        <v>183.28421797769107</v>
      </c>
      <c r="H246" s="5">
        <f ca="1">PERCENTILE(D$2:D245,0.025)</f>
        <v>4.7553853420403226E-2</v>
      </c>
      <c r="I246" s="5">
        <f ca="1">PERCENTILE(D$2:D245,0.165)</f>
        <v>2.6233677662533195</v>
      </c>
      <c r="J246" s="5">
        <f ca="1">PERCENTILE(D$2:D245,0.5)</f>
        <v>33.662609121532739</v>
      </c>
      <c r="K246" s="5">
        <f ca="1">PERCENTILE(D$2:D245,0.835)</f>
        <v>258.78936748163721</v>
      </c>
      <c r="L246" s="5">
        <f ca="1">PERCENTILE(D$2:D245,0.975)</f>
        <v>1297.4188971760484</v>
      </c>
      <c r="M246" s="7">
        <f>AVERAGE(E$2:E245)</f>
        <v>1.3375527426160339</v>
      </c>
      <c r="N246" s="7">
        <f>PERCENTILE($E$2:$E245,0.025)</f>
        <v>-2</v>
      </c>
      <c r="O246" s="7">
        <f>PERCENTILE($E$2:$E245,0.165)</f>
        <v>0</v>
      </c>
      <c r="P246" s="7">
        <f>PERCENTILE($E$2:$E245,0.5)</f>
        <v>1</v>
      </c>
      <c r="Q246" s="7">
        <f>PERCENTILE($E$2:$E245,0.835)</f>
        <v>3</v>
      </c>
      <c r="R246" s="7">
        <f>PERCENTILE($E$2:$E245,0.975)</f>
        <v>6.1999999999999886</v>
      </c>
    </row>
    <row r="247" spans="1:18" x14ac:dyDescent="0.2">
      <c r="A247" s="5">
        <f>Data!E248</f>
        <v>2006</v>
      </c>
      <c r="B247" s="5">
        <f>Data!M248</f>
        <v>1.3299999999999998</v>
      </c>
      <c r="C247" s="5">
        <f>Data!N248</f>
        <v>0.23749999999999999</v>
      </c>
      <c r="D247" s="5">
        <f ca="1">Data!O248</f>
        <v>18.287814569051381</v>
      </c>
      <c r="E247" s="1">
        <f>Data!AQ248</f>
        <v>1</v>
      </c>
      <c r="F247" t="str">
        <f t="shared" si="3"/>
        <v/>
      </c>
      <c r="G247" s="5">
        <f ca="1">AVERAGE(D$2:D246)</f>
        <v>182.92969732732018</v>
      </c>
      <c r="H247" s="5">
        <f ca="1">PERCENTILE(D$2:D246,0.025)</f>
        <v>4.7553853420403226E-2</v>
      </c>
      <c r="I247" s="5">
        <f ca="1">PERCENTILE(D$2:D246,0.165)</f>
        <v>2.6370989414284614</v>
      </c>
      <c r="J247" s="5">
        <f ca="1">PERCENTILE(D$2:D246,0.5)</f>
        <v>34.632729933792007</v>
      </c>
      <c r="K247" s="5">
        <f ca="1">PERCENTILE(D$2:D246,0.835)</f>
        <v>257.80788898574139</v>
      </c>
      <c r="L247" s="5">
        <f ca="1">PERCENTILE(D$2:D246,0.975)</f>
        <v>1292.7926935455303</v>
      </c>
      <c r="M247" s="7">
        <f>AVERAGE(E$2:E246)</f>
        <v>1.3319327731092436</v>
      </c>
      <c r="N247" s="7">
        <f>PERCENTILE($E$2:$E246,0.025)</f>
        <v>-2</v>
      </c>
      <c r="O247" s="7">
        <f>PERCENTILE($E$2:$E246,0.165)</f>
        <v>0</v>
      </c>
      <c r="P247" s="7">
        <f>PERCENTILE($E$2:$E246,0.5)</f>
        <v>1</v>
      </c>
      <c r="Q247" s="7">
        <f>PERCENTILE($E$2:$E246,0.835)</f>
        <v>3</v>
      </c>
      <c r="R247" s="7">
        <f>PERCENTILE($E$2:$E246,0.975)</f>
        <v>6.1499999999999773</v>
      </c>
    </row>
    <row r="248" spans="1:18" x14ac:dyDescent="0.2">
      <c r="A248" s="5">
        <f>Data!E249</f>
        <v>2006</v>
      </c>
      <c r="B248" s="5">
        <f>Data!M249</f>
        <v>1.3299999999999998</v>
      </c>
      <c r="C248" s="5">
        <f>Data!N249</f>
        <v>0.23749999999999999</v>
      </c>
      <c r="D248" s="5">
        <f ca="1">Data!O249</f>
        <v>-3.8238157735289251</v>
      </c>
      <c r="E248" s="1">
        <f>Data!AQ249</f>
        <v>3</v>
      </c>
      <c r="F248" t="str">
        <f t="shared" si="3"/>
        <v/>
      </c>
      <c r="G248" s="5">
        <f ca="1">AVERAGE(D$2:D247)</f>
        <v>182.26042138114835</v>
      </c>
      <c r="H248" s="5">
        <f ca="1">PERCENTILE(D$2:D247,0.025)</f>
        <v>4.7553853420403226E-2</v>
      </c>
      <c r="I248" s="5">
        <f ca="1">PERCENTILE(D$2:D247,0.165)</f>
        <v>2.6508301166036028</v>
      </c>
      <c r="J248" s="5">
        <f ca="1">PERCENTILE(D$2:D247,0.5)</f>
        <v>33.662609121532739</v>
      </c>
      <c r="K248" s="5">
        <f ca="1">PERCENTILE(D$2:D247,0.835)</f>
        <v>256.82641048984567</v>
      </c>
      <c r="L248" s="5">
        <f ca="1">PERCENTILE(D$2:D247,0.975)</f>
        <v>1288.1664899150067</v>
      </c>
      <c r="M248" s="7">
        <f>AVERAGE(E$2:E247)</f>
        <v>1.3305439330543933</v>
      </c>
      <c r="N248" s="7">
        <f>PERCENTILE($E$2:$E247,0.025)</f>
        <v>-2</v>
      </c>
      <c r="O248" s="7">
        <f>PERCENTILE($E$2:$E247,0.165)</f>
        <v>0</v>
      </c>
      <c r="P248" s="7">
        <f>PERCENTILE($E$2:$E247,0.5)</f>
        <v>1</v>
      </c>
      <c r="Q248" s="7">
        <f>PERCENTILE($E$2:$E247,0.835)</f>
        <v>3</v>
      </c>
      <c r="R248" s="7">
        <f>PERCENTILE($E$2:$E247,0.975)</f>
        <v>6.0999999999999659</v>
      </c>
    </row>
    <row r="249" spans="1:18" x14ac:dyDescent="0.2">
      <c r="A249" s="5">
        <f>Data!E250</f>
        <v>2006</v>
      </c>
      <c r="B249" s="5">
        <f>Data!M250</f>
        <v>1.3299999999999998</v>
      </c>
      <c r="C249" s="5">
        <f>Data!N250</f>
        <v>0.23749999999999999</v>
      </c>
      <c r="D249" s="5">
        <f ca="1">Data!O250</f>
        <v>29.925514749356807</v>
      </c>
      <c r="E249" s="1" t="str">
        <f>Data!AQ250</f>
        <v>NA</v>
      </c>
      <c r="F249" t="str">
        <f t="shared" si="3"/>
        <v/>
      </c>
      <c r="G249" s="5">
        <f ca="1">AVERAGE(D$2:D248)</f>
        <v>181.50704390278929</v>
      </c>
      <c r="H249" s="5">
        <f ca="1">PERCENTILE(D$2:D248,0.025)</f>
        <v>4.0817057519179446E-2</v>
      </c>
      <c r="I249" s="5">
        <f ca="1">PERCENTILE(D$2:D248,0.165)</f>
        <v>2.5472221584638994</v>
      </c>
      <c r="J249" s="5">
        <f ca="1">PERCENTILE(D$2:D248,0.5)</f>
        <v>32.692488309273479</v>
      </c>
      <c r="K249" s="5">
        <f ca="1">PERCENTILE(D$2:D248,0.835)</f>
        <v>255.84493199394998</v>
      </c>
      <c r="L249" s="5">
        <f ca="1">PERCENTILE(D$2:D248,0.975)</f>
        <v>1283.540286284483</v>
      </c>
      <c r="M249" s="7">
        <f>AVERAGE(E$2:E248)</f>
        <v>1.3374999999999999</v>
      </c>
      <c r="N249" s="7">
        <f>PERCENTILE($E$2:$E248,0.025)</f>
        <v>-2</v>
      </c>
      <c r="O249" s="7">
        <f>PERCENTILE($E$2:$E248,0.165)</f>
        <v>0</v>
      </c>
      <c r="P249" s="7">
        <f>PERCENTILE($E$2:$E248,0.5)</f>
        <v>1</v>
      </c>
      <c r="Q249" s="7">
        <f>PERCENTILE($E$2:$E248,0.835)</f>
        <v>3</v>
      </c>
      <c r="R249" s="7">
        <f>PERCENTILE($E$2:$E248,0.975)</f>
        <v>6.0500000000000114</v>
      </c>
    </row>
    <row r="250" spans="1:18" x14ac:dyDescent="0.2">
      <c r="A250" s="5">
        <f>Data!E251</f>
        <v>2006</v>
      </c>
      <c r="B250" s="5">
        <f>Data!M251</f>
        <v>6.9999999999999993E-3</v>
      </c>
      <c r="C250" s="5">
        <f>Data!N251</f>
        <v>1.25E-3</v>
      </c>
      <c r="D250" s="5">
        <f ca="1">Data!O251</f>
        <v>89.776544248070422</v>
      </c>
      <c r="E250" s="1">
        <f>Data!AQ251</f>
        <v>0</v>
      </c>
      <c r="F250" t="str">
        <f t="shared" si="3"/>
        <v/>
      </c>
      <c r="G250" s="5">
        <f ca="1">AVERAGE(D$2:D249)</f>
        <v>180.89582805942871</v>
      </c>
      <c r="H250" s="5">
        <f ca="1">PERCENTILE(D$2:D249,0.025)</f>
        <v>4.1015198575097792E-2</v>
      </c>
      <c r="I250" s="5">
        <f ca="1">PERCENTILE(D$2:D249,0.165)</f>
        <v>2.5746845088141823</v>
      </c>
      <c r="J250" s="5">
        <f ca="1">PERCENTILE(D$2:D249,0.5)</f>
        <v>32.497114873162282</v>
      </c>
      <c r="K250" s="5">
        <f ca="1">PERCENTILE(D$2:D249,0.835)</f>
        <v>254.8634534980543</v>
      </c>
      <c r="L250" s="5">
        <f ca="1">PERCENTILE(D$2:D249,0.975)</f>
        <v>1278.9140826539597</v>
      </c>
      <c r="M250" s="7">
        <f>AVERAGE(E$2:E249)</f>
        <v>1.3374999999999999</v>
      </c>
      <c r="N250" s="7">
        <f>PERCENTILE($E$2:$E249,0.025)</f>
        <v>-2</v>
      </c>
      <c r="O250" s="7">
        <f>PERCENTILE($E$2:$E249,0.165)</f>
        <v>0</v>
      </c>
      <c r="P250" s="7">
        <f>PERCENTILE($E$2:$E249,0.5)</f>
        <v>1</v>
      </c>
      <c r="Q250" s="7">
        <f>PERCENTILE($E$2:$E249,0.835)</f>
        <v>3</v>
      </c>
      <c r="R250" s="7">
        <f>PERCENTILE($E$2:$E249,0.975)</f>
        <v>6.0500000000000114</v>
      </c>
    </row>
    <row r="251" spans="1:18" x14ac:dyDescent="0.2">
      <c r="A251" s="5">
        <f>Data!E252</f>
        <v>2006</v>
      </c>
      <c r="B251" s="5">
        <f>Data!M252</f>
        <v>6.9999999999999993E-3</v>
      </c>
      <c r="C251" s="5">
        <f>Data!N252</f>
        <v>1.25E-3</v>
      </c>
      <c r="D251" s="5">
        <f ca="1">Data!O252</f>
        <v>18.287814569051381</v>
      </c>
      <c r="E251" s="1">
        <f>Data!AQ252</f>
        <v>1</v>
      </c>
      <c r="F251" t="str">
        <f t="shared" si="3"/>
        <v/>
      </c>
      <c r="G251" s="5">
        <f ca="1">AVERAGE(D$2:D250)</f>
        <v>180.52988716058792</v>
      </c>
      <c r="H251" s="5">
        <f ca="1">PERCENTILE(D$2:D250,0.025)</f>
        <v>4.1213339631016137E-2</v>
      </c>
      <c r="I251" s="5">
        <f ca="1">PERCENTILE(D$2:D250,0.165)</f>
        <v>2.6021468591644648</v>
      </c>
      <c r="J251" s="5">
        <f ca="1">PERCENTILE(D$2:D250,0.5)</f>
        <v>32.692488309273479</v>
      </c>
      <c r="K251" s="5">
        <f ca="1">PERCENTILE(D$2:D250,0.835)</f>
        <v>253.88197500215844</v>
      </c>
      <c r="L251" s="5">
        <f ca="1">PERCENTILE(D$2:D250,0.975)</f>
        <v>1274.2878790234361</v>
      </c>
      <c r="M251" s="7">
        <f>AVERAGE(E$2:E250)</f>
        <v>1.3319502074688796</v>
      </c>
      <c r="N251" s="7">
        <f>PERCENTILE($E$2:$E250,0.025)</f>
        <v>-2</v>
      </c>
      <c r="O251" s="7">
        <f>PERCENTILE($E$2:$E250,0.165)</f>
        <v>0</v>
      </c>
      <c r="P251" s="7">
        <f>PERCENTILE($E$2:$E250,0.5)</f>
        <v>1</v>
      </c>
      <c r="Q251" s="7">
        <f>PERCENTILE($E$2:$E250,0.835)</f>
        <v>3</v>
      </c>
      <c r="R251" s="7">
        <f>PERCENTILE($E$2:$E250,0.975)</f>
        <v>6</v>
      </c>
    </row>
    <row r="252" spans="1:18" x14ac:dyDescent="0.2">
      <c r="A252" s="5">
        <f>Data!E253</f>
        <v>2006</v>
      </c>
      <c r="B252" s="5">
        <f>Data!M253</f>
        <v>6.9999999999999993E-3</v>
      </c>
      <c r="C252" s="5">
        <f>Data!N253</f>
        <v>1.25E-3</v>
      </c>
      <c r="D252" s="5">
        <f ca="1">Data!O253</f>
        <v>-4.1563214929662236</v>
      </c>
      <c r="E252" s="1">
        <f>Data!AQ253</f>
        <v>3</v>
      </c>
      <c r="F252" t="str">
        <f t="shared" si="3"/>
        <v/>
      </c>
      <c r="G252" s="5">
        <f ca="1">AVERAGE(D$2:D251)</f>
        <v>179.88091887022176</v>
      </c>
      <c r="H252" s="5">
        <f ca="1">PERCENTILE(D$2:D251,0.025)</f>
        <v>4.1411480686934482E-2</v>
      </c>
      <c r="I252" s="5">
        <f ca="1">PERCENTILE(D$2:D251,0.165)</f>
        <v>2.6225355738184626</v>
      </c>
      <c r="J252" s="5">
        <f ca="1">PERCENTILE(D$2:D251,0.5)</f>
        <v>32.497114873162282</v>
      </c>
      <c r="K252" s="5">
        <f ca="1">PERCENTILE(D$2:D251,0.835)</f>
        <v>251.96472200397886</v>
      </c>
      <c r="L252" s="5">
        <f ca="1">PERCENTILE(D$2:D251,0.975)</f>
        <v>1269.6616753929179</v>
      </c>
      <c r="M252" s="7">
        <f>AVERAGE(E$2:E251)</f>
        <v>1.3305785123966942</v>
      </c>
      <c r="N252" s="7">
        <f>PERCENTILE($E$2:$E251,0.025)</f>
        <v>-2</v>
      </c>
      <c r="O252" s="7">
        <f>PERCENTILE($E$2:$E251,0.165)</f>
        <v>0</v>
      </c>
      <c r="P252" s="7">
        <f>PERCENTILE($E$2:$E251,0.5)</f>
        <v>1</v>
      </c>
      <c r="Q252" s="7">
        <f>PERCENTILE($E$2:$E251,0.835)</f>
        <v>3</v>
      </c>
      <c r="R252" s="7">
        <f>PERCENTILE($E$2:$E251,0.975)</f>
        <v>6</v>
      </c>
    </row>
    <row r="253" spans="1:18" x14ac:dyDescent="0.2">
      <c r="A253" s="5">
        <f>Data!E254</f>
        <v>2006</v>
      </c>
      <c r="B253" s="5">
        <f>Data!M254</f>
        <v>6.9999999999999993E-3</v>
      </c>
      <c r="C253" s="5">
        <f>Data!N254</f>
        <v>1.25E-3</v>
      </c>
      <c r="D253" s="5">
        <f ca="1">Data!O254</f>
        <v>28.262986152170317</v>
      </c>
      <c r="E253" s="1" t="str">
        <f>Data!AQ254</f>
        <v>NA</v>
      </c>
      <c r="F253" t="str">
        <f t="shared" si="3"/>
        <v/>
      </c>
      <c r="G253" s="5">
        <f ca="1">AVERAGE(D$2:D252)</f>
        <v>179.14770277315728</v>
      </c>
      <c r="H253" s="5">
        <f ca="1">PERCENTILE(D$2:D252,0.025)</f>
        <v>3.3683979506118955E-2</v>
      </c>
      <c r="I253" s="5">
        <f ca="1">PERCENTILE(D$2:D252,0.165)</f>
        <v>2.490633072893619</v>
      </c>
      <c r="J253" s="5">
        <f ca="1">PERCENTILE(D$2:D252,0.5)</f>
        <v>32.301741437051085</v>
      </c>
      <c r="K253" s="5">
        <f ca="1">PERCENTILE(D$2:D252,0.835)</f>
        <v>249.16674006247354</v>
      </c>
      <c r="L253" s="5">
        <f ca="1">PERCENTILE(D$2:D252,0.975)</f>
        <v>1265.0354717623943</v>
      </c>
      <c r="M253" s="7">
        <f>AVERAGE(E$2:E252)</f>
        <v>1.3374485596707819</v>
      </c>
      <c r="N253" s="7">
        <f>PERCENTILE($E$2:$E252,0.025)</f>
        <v>-2</v>
      </c>
      <c r="O253" s="7">
        <f>PERCENTILE($E$2:$E252,0.165)</f>
        <v>0</v>
      </c>
      <c r="P253" s="7">
        <f>PERCENTILE($E$2:$E252,0.5)</f>
        <v>1</v>
      </c>
      <c r="Q253" s="7">
        <f>PERCENTILE($E$2:$E252,0.835)</f>
        <v>3</v>
      </c>
      <c r="R253" s="7">
        <f>PERCENTILE($E$2:$E252,0.975)</f>
        <v>6</v>
      </c>
    </row>
    <row r="254" spans="1:18" x14ac:dyDescent="0.2">
      <c r="A254" s="5">
        <f>Data!E255</f>
        <v>2006</v>
      </c>
      <c r="B254" s="5">
        <f>Data!M255</f>
        <v>6.9999999999999993E-3</v>
      </c>
      <c r="C254" s="5">
        <f>Data!N255</f>
        <v>1.25E-3</v>
      </c>
      <c r="D254" s="5">
        <f ca="1">Data!O255</f>
        <v>89.776544248070422</v>
      </c>
      <c r="E254" s="1">
        <f>Data!AQ255</f>
        <v>0</v>
      </c>
      <c r="F254" t="str">
        <f t="shared" si="3"/>
        <v/>
      </c>
      <c r="G254" s="5">
        <f ca="1">AVERAGE(D$2:D253)</f>
        <v>178.54895389767719</v>
      </c>
      <c r="H254" s="5">
        <f ca="1">PERCENTILE(D$2:D253,0.025)</f>
        <v>3.3882120562037307E-2</v>
      </c>
      <c r="I254" s="5">
        <f ca="1">PERCENTILE(D$2:D253,0.165)</f>
        <v>2.5180954232439019</v>
      </c>
      <c r="J254" s="5">
        <f ca="1">PERCENTILE(D$2:D253,0.5)</f>
        <v>32.256236607233646</v>
      </c>
      <c r="K254" s="5">
        <f ca="1">PERCENTILE(D$2:D253,0.835)</f>
        <v>246.36875812096773</v>
      </c>
      <c r="L254" s="5">
        <f ca="1">PERCENTILE(D$2:D253,0.975)</f>
        <v>1260.4092681318709</v>
      </c>
      <c r="M254" s="7">
        <f>AVERAGE(E$2:E253)</f>
        <v>1.3374485596707819</v>
      </c>
      <c r="N254" s="7">
        <f>PERCENTILE($E$2:$E253,0.025)</f>
        <v>-2</v>
      </c>
      <c r="O254" s="7">
        <f>PERCENTILE($E$2:$E253,0.165)</f>
        <v>0</v>
      </c>
      <c r="P254" s="7">
        <f>PERCENTILE($E$2:$E253,0.5)</f>
        <v>1</v>
      </c>
      <c r="Q254" s="7">
        <f>PERCENTILE($E$2:$E253,0.835)</f>
        <v>3</v>
      </c>
      <c r="R254" s="7">
        <f>PERCENTILE($E$2:$E253,0.975)</f>
        <v>6</v>
      </c>
    </row>
    <row r="255" spans="1:18" x14ac:dyDescent="0.2">
      <c r="A255" s="5">
        <f>Data!E256</f>
        <v>2006</v>
      </c>
      <c r="B255" s="5">
        <f>Data!M256</f>
        <v>6.9999999999999993E-3</v>
      </c>
      <c r="C255" s="5">
        <f>Data!N256</f>
        <v>1.25E-3</v>
      </c>
      <c r="D255" s="5">
        <f ca="1">Data!O256</f>
        <v>21.612871763424362</v>
      </c>
      <c r="E255" s="1">
        <f>Data!AQ256</f>
        <v>1</v>
      </c>
      <c r="F255" t="str">
        <f t="shared" si="3"/>
        <v/>
      </c>
      <c r="G255" s="5">
        <f ca="1">AVERAGE(D$2:D254)</f>
        <v>178.19807480815305</v>
      </c>
      <c r="H255" s="5">
        <f ca="1">PERCENTILE(D$2:D254,0.025)</f>
        <v>3.4080261617955659E-2</v>
      </c>
      <c r="I255" s="5">
        <f ca="1">PERCENTILE(D$2:D254,0.165)</f>
        <v>2.5455577735941857</v>
      </c>
      <c r="J255" s="5">
        <f ca="1">PERCENTILE(D$2:D254,0.5)</f>
        <v>32.301741437051085</v>
      </c>
      <c r="K255" s="5">
        <f ca="1">PERCENTILE(D$2:D254,0.835)</f>
        <v>243.5707761794624</v>
      </c>
      <c r="L255" s="5">
        <f ca="1">PERCENTILE(D$2:D254,0.975)</f>
        <v>1255.7830645013473</v>
      </c>
      <c r="M255" s="7">
        <f>AVERAGE(E$2:E254)</f>
        <v>1.3319672131147542</v>
      </c>
      <c r="N255" s="7">
        <f>PERCENTILE($E$2:$E254,0.025)</f>
        <v>-2</v>
      </c>
      <c r="O255" s="7">
        <f>PERCENTILE($E$2:$E254,0.165)</f>
        <v>0</v>
      </c>
      <c r="P255" s="7">
        <f>PERCENTILE($E$2:$E254,0.5)</f>
        <v>1</v>
      </c>
      <c r="Q255" s="7">
        <f>PERCENTILE($E$2:$E254,0.835)</f>
        <v>3</v>
      </c>
      <c r="R255" s="7">
        <f>PERCENTILE($E$2:$E254,0.975)</f>
        <v>6</v>
      </c>
    </row>
    <row r="256" spans="1:18" x14ac:dyDescent="0.2">
      <c r="A256" s="5">
        <f>Data!E257</f>
        <v>2006</v>
      </c>
      <c r="B256" s="5">
        <f>Data!M257</f>
        <v>6.9999999999999993E-3</v>
      </c>
      <c r="C256" s="5">
        <f>Data!N257</f>
        <v>1.25E-3</v>
      </c>
      <c r="D256" s="5">
        <f ca="1">Data!O257</f>
        <v>-0.14131493076085161</v>
      </c>
      <c r="E256" s="1">
        <f>Data!AQ257</f>
        <v>3</v>
      </c>
      <c r="F256" t="str">
        <f t="shared" si="3"/>
        <v/>
      </c>
      <c r="G256" s="5">
        <f ca="1">AVERAGE(D$2:D255)</f>
        <v>177.58159763081161</v>
      </c>
      <c r="H256" s="5">
        <f ca="1">PERCENTILE(D$2:D255,0.025)</f>
        <v>3.4278402673873998E-2</v>
      </c>
      <c r="I256" s="5">
        <f ca="1">PERCENTILE(D$2:D255,0.165)</f>
        <v>2.5730201239444686</v>
      </c>
      <c r="J256" s="5">
        <f ca="1">PERCENTILE(D$2:D255,0.5)</f>
        <v>32.256236607233646</v>
      </c>
      <c r="K256" s="5">
        <f ca="1">PERCENTILE(D$2:D255,0.835)</f>
        <v>240.77279423795707</v>
      </c>
      <c r="L256" s="5">
        <f ca="1">PERCENTILE(D$2:D255,0.975)</f>
        <v>1251.1568608708237</v>
      </c>
      <c r="M256" s="7">
        <f>AVERAGE(E$2:E255)</f>
        <v>1.3306122448979592</v>
      </c>
      <c r="N256" s="7">
        <f>PERCENTILE($E$2:$E255,0.025)</f>
        <v>-2</v>
      </c>
      <c r="O256" s="7">
        <f>PERCENTILE($E$2:$E255,0.165)</f>
        <v>0</v>
      </c>
      <c r="P256" s="7">
        <f>PERCENTILE($E$2:$E255,0.5)</f>
        <v>1</v>
      </c>
      <c r="Q256" s="7">
        <f>PERCENTILE($E$2:$E255,0.835)</f>
        <v>3</v>
      </c>
      <c r="R256" s="7">
        <f>PERCENTILE($E$2:$E255,0.975)</f>
        <v>6</v>
      </c>
    </row>
    <row r="257" spans="1:18" x14ac:dyDescent="0.2">
      <c r="A257" s="5">
        <f>Data!E258</f>
        <v>2006</v>
      </c>
      <c r="B257" s="5">
        <f>Data!M258</f>
        <v>6.9999999999999993E-3</v>
      </c>
      <c r="C257" s="5">
        <f>Data!N258</f>
        <v>1.25E-3</v>
      </c>
      <c r="D257" s="5">
        <f ca="1">Data!O258</f>
        <v>33.250571943729788</v>
      </c>
      <c r="E257" s="1" t="str">
        <f>Data!AQ258</f>
        <v>NA</v>
      </c>
      <c r="F257" t="str">
        <f t="shared" si="3"/>
        <v/>
      </c>
      <c r="G257" s="5">
        <f ca="1">AVERAGE(D$2:D256)</f>
        <v>176.88464503253093</v>
      </c>
      <c r="H257" s="5">
        <f ca="1">PERCENTILE(D$2:D256,0.025)</f>
        <v>2.6550901493058474E-2</v>
      </c>
      <c r="I257" s="5">
        <f ca="1">PERCENTILE(D$2:D256,0.165)</f>
        <v>2.4254842937076679</v>
      </c>
      <c r="J257" s="5">
        <f ca="1">PERCENTILE(D$2:D256,0.5)</f>
        <v>32.210731777416207</v>
      </c>
      <c r="K257" s="5">
        <f ca="1">PERCENTILE(D$2:D256,0.835)</f>
        <v>237.97481229645174</v>
      </c>
      <c r="L257" s="5">
        <f ca="1">PERCENTILE(D$2:D256,0.975)</f>
        <v>1246.5306572403056</v>
      </c>
      <c r="M257" s="7">
        <f>AVERAGE(E$2:E256)</f>
        <v>1.3373983739837398</v>
      </c>
      <c r="N257" s="7">
        <f>PERCENTILE($E$2:$E256,0.025)</f>
        <v>-2</v>
      </c>
      <c r="O257" s="7">
        <f>PERCENTILE($E$2:$E256,0.165)</f>
        <v>0</v>
      </c>
      <c r="P257" s="7">
        <f>PERCENTILE($E$2:$E256,0.5)</f>
        <v>1</v>
      </c>
      <c r="Q257" s="7">
        <f>PERCENTILE($E$2:$E256,0.835)</f>
        <v>3</v>
      </c>
      <c r="R257" s="7">
        <f>PERCENTILE($E$2:$E256,0.975)</f>
        <v>6</v>
      </c>
    </row>
    <row r="258" spans="1:18" x14ac:dyDescent="0.2">
      <c r="A258" s="5">
        <f>Data!E259</f>
        <v>2006</v>
      </c>
      <c r="B258" s="5">
        <f>Data!M259</f>
        <v>6.9999999999999993E-3</v>
      </c>
      <c r="C258" s="5">
        <f>Data!N259</f>
        <v>1.25E-3</v>
      </c>
      <c r="D258" s="5">
        <f ca="1">Data!O259</f>
        <v>89.776544248070422</v>
      </c>
      <c r="E258" s="1">
        <f>Data!AQ259</f>
        <v>0</v>
      </c>
      <c r="F258" t="str">
        <f t="shared" si="3"/>
        <v/>
      </c>
      <c r="G258" s="5">
        <f ca="1">AVERAGE(D$2:D257)</f>
        <v>176.32357443452781</v>
      </c>
      <c r="H258" s="5">
        <f ca="1">PERCENTILE(D$2:D257,0.025)</f>
        <v>2.6749042548976816E-2</v>
      </c>
      <c r="I258" s="5">
        <f ca="1">PERCENTILE(D$2:D257,0.165)</f>
        <v>2.4615063376736228</v>
      </c>
      <c r="J258" s="5">
        <f ca="1">PERCENTILE(D$2:D257,0.5)</f>
        <v>32.256236607233646</v>
      </c>
      <c r="K258" s="5">
        <f ca="1">PERCENTILE(D$2:D257,0.835)</f>
        <v>236.42092186376706</v>
      </c>
      <c r="L258" s="5">
        <f ca="1">PERCENTILE(D$2:D257,0.975)</f>
        <v>1241.904453609782</v>
      </c>
      <c r="M258" s="7">
        <f>AVERAGE(E$2:E257)</f>
        <v>1.3373983739837398</v>
      </c>
      <c r="N258" s="7">
        <f>PERCENTILE($E$2:$E257,0.025)</f>
        <v>-2</v>
      </c>
      <c r="O258" s="7">
        <f>PERCENTILE($E$2:$E257,0.165)</f>
        <v>0</v>
      </c>
      <c r="P258" s="7">
        <f>PERCENTILE($E$2:$E257,0.5)</f>
        <v>1</v>
      </c>
      <c r="Q258" s="7">
        <f>PERCENTILE($E$2:$E257,0.835)</f>
        <v>3</v>
      </c>
      <c r="R258" s="7">
        <f>PERCENTILE($E$2:$E257,0.975)</f>
        <v>6</v>
      </c>
    </row>
    <row r="259" spans="1:18" x14ac:dyDescent="0.2">
      <c r="A259" s="5">
        <f>Data!E260</f>
        <v>2006</v>
      </c>
      <c r="B259" s="5">
        <f>Data!M260</f>
        <v>6.9999999999999993E-3</v>
      </c>
      <c r="C259" s="5">
        <f>Data!N260</f>
        <v>1.25E-3</v>
      </c>
      <c r="D259" s="5">
        <f ca="1">Data!O260</f>
        <v>16.625285971864894</v>
      </c>
      <c r="E259" s="1">
        <f>Data!AQ260</f>
        <v>1</v>
      </c>
      <c r="F259" t="str">
        <f t="shared" si="3"/>
        <v/>
      </c>
      <c r="G259" s="5">
        <f ca="1">AVERAGE(D$2:D258)</f>
        <v>175.98681556220697</v>
      </c>
      <c r="H259" s="5">
        <f ca="1">PERCENTILE(D$2:D258,0.025)</f>
        <v>2.6947183604895165E-2</v>
      </c>
      <c r="I259" s="5">
        <f ca="1">PERCENTILE(D$2:D258,0.165)</f>
        <v>2.4889686880239053</v>
      </c>
      <c r="J259" s="5">
        <f ca="1">PERCENTILE(D$2:D258,0.5)</f>
        <v>32.301741437051085</v>
      </c>
      <c r="K259" s="5">
        <f ca="1">PERCENTILE(D$2:D258,0.835)</f>
        <v>236.35994124166746</v>
      </c>
      <c r="L259" s="5">
        <f ca="1">PERCENTILE(D$2:D258,0.975)</f>
        <v>1237.2782499792586</v>
      </c>
      <c r="M259" s="7">
        <f>AVERAGE(E$2:E258)</f>
        <v>1.3319838056680162</v>
      </c>
      <c r="N259" s="7">
        <f>PERCENTILE($E$2:$E258,0.025)</f>
        <v>-2</v>
      </c>
      <c r="O259" s="7">
        <f>PERCENTILE($E$2:$E258,0.165)</f>
        <v>0</v>
      </c>
      <c r="P259" s="7">
        <f>PERCENTILE($E$2:$E258,0.5)</f>
        <v>1</v>
      </c>
      <c r="Q259" s="7">
        <f>PERCENTILE($E$2:$E258,0.835)</f>
        <v>3</v>
      </c>
      <c r="R259" s="7">
        <f>PERCENTILE($E$2:$E258,0.975)</f>
        <v>6</v>
      </c>
    </row>
    <row r="260" spans="1:18" x14ac:dyDescent="0.2">
      <c r="A260" s="5">
        <f>Data!E261</f>
        <v>2006</v>
      </c>
      <c r="B260" s="5">
        <f>Data!M261</f>
        <v>6.9999999999999993E-3</v>
      </c>
      <c r="C260" s="5">
        <f>Data!N261</f>
        <v>1.25E-3</v>
      </c>
      <c r="D260" s="5">
        <f ca="1">Data!O261</f>
        <v>-4.1563214929662236</v>
      </c>
      <c r="E260" s="1">
        <f>Data!AQ261</f>
        <v>3</v>
      </c>
      <c r="F260" t="str">
        <f t="shared" si="3"/>
        <v/>
      </c>
      <c r="G260" s="5">
        <f ca="1">AVERAGE(D$2:D259)</f>
        <v>175.36913521495759</v>
      </c>
      <c r="H260" s="5">
        <f ca="1">PERCENTILE(D$2:D259,0.025)</f>
        <v>2.7145324660813517E-2</v>
      </c>
      <c r="I260" s="5">
        <f ca="1">PERCENTILE(D$2:D259,0.165)</f>
        <v>2.5164310383741881</v>
      </c>
      <c r="J260" s="5">
        <f ca="1">PERCENTILE(D$2:D259,0.5)</f>
        <v>32.256236607233646</v>
      </c>
      <c r="K260" s="5">
        <f ca="1">PERCENTILE(D$2:D259,0.835)</f>
        <v>236.29896061956788</v>
      </c>
      <c r="L260" s="5">
        <f ca="1">PERCENTILE(D$2:D259,0.975)</f>
        <v>1232.652046348735</v>
      </c>
      <c r="M260" s="7">
        <f>AVERAGE(E$2:E259)</f>
        <v>1.3306451612903225</v>
      </c>
      <c r="N260" s="7">
        <f>PERCENTILE($E$2:$E259,0.025)</f>
        <v>-2</v>
      </c>
      <c r="O260" s="7">
        <f>PERCENTILE($E$2:$E259,0.165)</f>
        <v>0</v>
      </c>
      <c r="P260" s="7">
        <f>PERCENTILE($E$2:$E259,0.5)</f>
        <v>1</v>
      </c>
      <c r="Q260" s="7">
        <f>PERCENTILE($E$2:$E259,0.835)</f>
        <v>3</v>
      </c>
      <c r="R260" s="7">
        <f>PERCENTILE($E$2:$E259,0.975)</f>
        <v>6</v>
      </c>
    </row>
    <row r="261" spans="1:18" x14ac:dyDescent="0.2">
      <c r="A261" s="5">
        <f>Data!E262</f>
        <v>2006</v>
      </c>
      <c r="B261" s="5">
        <f>Data!M262</f>
        <v>6.9999999999999993E-3</v>
      </c>
      <c r="C261" s="5">
        <f>Data!N262</f>
        <v>1.25E-3</v>
      </c>
      <c r="D261" s="5">
        <f ca="1">Data!O262</f>
        <v>28.262986152170317</v>
      </c>
      <c r="E261" s="1" t="str">
        <f>Data!AQ262</f>
        <v>NA</v>
      </c>
      <c r="F261" t="str">
        <f t="shared" ref="F261:F324" si="4">IF(A261&lt;&gt;A260,A261,"")</f>
        <v/>
      </c>
      <c r="G261" s="5">
        <f ca="1">AVERAGE(D$2:D260)</f>
        <v>174.67598673345984</v>
      </c>
      <c r="H261" s="5">
        <f ca="1">PERCENTILE(D$2:D260,0.025)</f>
        <v>1.9417823479997987E-2</v>
      </c>
      <c r="I261" s="5">
        <f ca="1">PERCENTILE(D$2:D260,0.165)</f>
        <v>2.3365585878115129</v>
      </c>
      <c r="J261" s="5">
        <f ca="1">PERCENTILE(D$2:D260,0.5)</f>
        <v>32.210731777416207</v>
      </c>
      <c r="K261" s="5">
        <f ca="1">PERCENTILE(D$2:D260,0.835)</f>
        <v>236.23797999746827</v>
      </c>
      <c r="L261" s="5">
        <f ca="1">PERCENTILE(D$2:D260,0.975)</f>
        <v>1228.0258427182116</v>
      </c>
      <c r="M261" s="7">
        <f>AVERAGE(E$2:E260)</f>
        <v>1.3373493975903614</v>
      </c>
      <c r="N261" s="7">
        <f>PERCENTILE($E$2:$E260,0.025)</f>
        <v>-2</v>
      </c>
      <c r="O261" s="7">
        <f>PERCENTILE($E$2:$E260,0.165)</f>
        <v>0</v>
      </c>
      <c r="P261" s="7">
        <f>PERCENTILE($E$2:$E260,0.5)</f>
        <v>1</v>
      </c>
      <c r="Q261" s="7">
        <f>PERCENTILE($E$2:$E260,0.835)</f>
        <v>3</v>
      </c>
      <c r="R261" s="7">
        <f>PERCENTILE($E$2:$E260,0.975)</f>
        <v>6</v>
      </c>
    </row>
    <row r="262" spans="1:18" x14ac:dyDescent="0.2">
      <c r="A262" s="5">
        <f>Data!E263</f>
        <v>2006</v>
      </c>
      <c r="B262" s="5">
        <f>Data!M263</f>
        <v>6.9999999999999993E-3</v>
      </c>
      <c r="C262" s="5">
        <f>Data!N263</f>
        <v>1.25E-3</v>
      </c>
      <c r="D262" s="5">
        <f ca="1">Data!O263</f>
        <v>91.439072845256916</v>
      </c>
      <c r="E262" s="1">
        <f>Data!AQ263</f>
        <v>0</v>
      </c>
      <c r="F262" t="str">
        <f t="shared" si="4"/>
        <v/>
      </c>
      <c r="G262" s="5">
        <f ca="1">AVERAGE(D$2:D261)</f>
        <v>174.11285980814719</v>
      </c>
      <c r="H262" s="5">
        <f ca="1">PERCENTILE(D$2:D261,0.025)</f>
        <v>1.9615964535916335E-2</v>
      </c>
      <c r="I262" s="5">
        <f ca="1">PERCENTILE(D$2:D261,0.165)</f>
        <v>2.3797137097905288</v>
      </c>
      <c r="J262" s="5">
        <f ca="1">PERCENTILE(D$2:D261,0.5)</f>
        <v>32.079072940433136</v>
      </c>
      <c r="K262" s="5">
        <f ca="1">PERCENTILE(D$2:D261,0.835)</f>
        <v>236.17699937536869</v>
      </c>
      <c r="L262" s="5">
        <f ca="1">PERCENTILE(D$2:D261,0.975)</f>
        <v>1223.3996390876932</v>
      </c>
      <c r="M262" s="7">
        <f>AVERAGE(E$2:E261)</f>
        <v>1.3373493975903614</v>
      </c>
      <c r="N262" s="7">
        <f>PERCENTILE($E$2:$E261,0.025)</f>
        <v>-2</v>
      </c>
      <c r="O262" s="7">
        <f>PERCENTILE($E$2:$E261,0.165)</f>
        <v>0</v>
      </c>
      <c r="P262" s="7">
        <f>PERCENTILE($E$2:$E261,0.5)</f>
        <v>1</v>
      </c>
      <c r="Q262" s="7">
        <f>PERCENTILE($E$2:$E261,0.835)</f>
        <v>3</v>
      </c>
      <c r="R262" s="7">
        <f>PERCENTILE($E$2:$E261,0.975)</f>
        <v>6</v>
      </c>
    </row>
    <row r="263" spans="1:18" x14ac:dyDescent="0.2">
      <c r="A263" s="5">
        <f>Data!E264</f>
        <v>2006</v>
      </c>
      <c r="B263" s="5">
        <f>Data!M264</f>
        <v>6.9999999999999993E-3</v>
      </c>
      <c r="C263" s="5">
        <f>Data!N264</f>
        <v>1.25E-3</v>
      </c>
      <c r="D263" s="5">
        <f ca="1">Data!O264</f>
        <v>18.287814569051381</v>
      </c>
      <c r="E263" s="1">
        <f>Data!AQ264</f>
        <v>1</v>
      </c>
      <c r="F263" t="str">
        <f t="shared" si="4"/>
        <v/>
      </c>
      <c r="G263" s="5">
        <f ca="1">AVERAGE(D$2:D262)</f>
        <v>173.79610200369166</v>
      </c>
      <c r="H263" s="5">
        <f ca="1">PERCENTILE(D$2:D262,0.025)</f>
        <v>1.9814105591834677E-2</v>
      </c>
      <c r="I263" s="5">
        <f ca="1">PERCENTILE(D$2:D262,0.165)</f>
        <v>2.4228688317695442</v>
      </c>
      <c r="J263" s="5">
        <f ca="1">PERCENTILE(D$2:D262,0.5)</f>
        <v>32.210731777416207</v>
      </c>
      <c r="K263" s="5">
        <f ca="1">PERCENTILE(D$2:D262,0.835)</f>
        <v>236.11601875326909</v>
      </c>
      <c r="L263" s="5">
        <f ca="1">PERCENTILE(D$2:D262,0.975)</f>
        <v>1218.7734354571699</v>
      </c>
      <c r="M263" s="7">
        <f>AVERAGE(E$2:E262)</f>
        <v>1.3320000000000001</v>
      </c>
      <c r="N263" s="7">
        <f>PERCENTILE($E$2:$E262,0.025)</f>
        <v>-2</v>
      </c>
      <c r="O263" s="7">
        <f>PERCENTILE($E$2:$E262,0.165)</f>
        <v>0</v>
      </c>
      <c r="P263" s="7">
        <f>PERCENTILE($E$2:$E262,0.5)</f>
        <v>1</v>
      </c>
      <c r="Q263" s="7">
        <f>PERCENTILE($E$2:$E262,0.835)</f>
        <v>3</v>
      </c>
      <c r="R263" s="7">
        <f>PERCENTILE($E$2:$E262,0.975)</f>
        <v>6</v>
      </c>
    </row>
    <row r="264" spans="1:18" x14ac:dyDescent="0.2">
      <c r="A264" s="5">
        <f>Data!E265</f>
        <v>2006</v>
      </c>
      <c r="B264" s="5">
        <f>Data!M265</f>
        <v>6.9999999999999993E-3</v>
      </c>
      <c r="C264" s="5">
        <f>Data!N265</f>
        <v>1.25E-3</v>
      </c>
      <c r="D264" s="5">
        <f ca="1">Data!O265</f>
        <v>-4.1563214929662236</v>
      </c>
      <c r="E264" s="1">
        <f>Data!AQ265</f>
        <v>3</v>
      </c>
      <c r="F264" t="str">
        <f t="shared" si="4"/>
        <v/>
      </c>
      <c r="G264" s="5">
        <f ca="1">AVERAGE(D$2:D263)</f>
        <v>173.20255892188004</v>
      </c>
      <c r="H264" s="5">
        <f ca="1">PERCENTILE(D$2:D263,0.025)</f>
        <v>2.0012246647753029E-2</v>
      </c>
      <c r="I264" s="5">
        <f ca="1">PERCENTILE(D$2:D263,0.165)</f>
        <v>2.459841952803909</v>
      </c>
      <c r="J264" s="5">
        <f ca="1">PERCENTILE(D$2:D263,0.5)</f>
        <v>32.079072940433136</v>
      </c>
      <c r="K264" s="5">
        <f ca="1">PERCENTILE(D$2:D263,0.835)</f>
        <v>235.08233873111743</v>
      </c>
      <c r="L264" s="5">
        <f ca="1">PERCENTILE(D$2:D263,0.975)</f>
        <v>1214.1472318266462</v>
      </c>
      <c r="M264" s="7">
        <f>AVERAGE(E$2:E263)</f>
        <v>1.3306772908366533</v>
      </c>
      <c r="N264" s="7">
        <f>PERCENTILE($E$2:$E263,0.025)</f>
        <v>-2</v>
      </c>
      <c r="O264" s="7">
        <f>PERCENTILE($E$2:$E263,0.165)</f>
        <v>0</v>
      </c>
      <c r="P264" s="7">
        <f>PERCENTILE($E$2:$E263,0.5)</f>
        <v>1</v>
      </c>
      <c r="Q264" s="7">
        <f>PERCENTILE($E$2:$E263,0.835)</f>
        <v>3</v>
      </c>
      <c r="R264" s="7">
        <f>PERCENTILE($E$2:$E263,0.975)</f>
        <v>6</v>
      </c>
    </row>
    <row r="265" spans="1:18" x14ac:dyDescent="0.2">
      <c r="A265" s="5">
        <f>Data!E266</f>
        <v>2006</v>
      </c>
      <c r="B265" s="5">
        <f>Data!M266</f>
        <v>6.9999999999999993E-3</v>
      </c>
      <c r="C265" s="5">
        <f>Data!N266</f>
        <v>1.25E-3</v>
      </c>
      <c r="D265" s="5">
        <f ca="1">Data!O266</f>
        <v>29.925514749356807</v>
      </c>
      <c r="E265" s="1" t="str">
        <f>Data!AQ266</f>
        <v>NA</v>
      </c>
      <c r="F265" t="str">
        <f t="shared" si="4"/>
        <v/>
      </c>
      <c r="G265" s="5">
        <f ca="1">AVERAGE(D$2:D264)</f>
        <v>172.52819055528369</v>
      </c>
      <c r="H265" s="5">
        <f ca="1">PERCENTILE(D$2:D264,0.025)</f>
        <v>-5.4873512381975867E-2</v>
      </c>
      <c r="I265" s="5">
        <f ca="1">PERCENTILE(D$2:D264,0.165)</f>
        <v>2.2476328819153597</v>
      </c>
      <c r="J265" s="5">
        <f ca="1">PERCENTILE(D$2:D264,0.5)</f>
        <v>31.947414103450058</v>
      </c>
      <c r="K265" s="5">
        <f ca="1">PERCENTILE(D$2:D264,0.835)</f>
        <v>232.55219809350061</v>
      </c>
      <c r="L265" s="5">
        <f ca="1">PERCENTILE(D$2:D264,0.975)</f>
        <v>1209.5210281961226</v>
      </c>
      <c r="M265" s="7">
        <f>AVERAGE(E$2:E264)</f>
        <v>1.3373015873015872</v>
      </c>
      <c r="N265" s="7">
        <f>PERCENTILE($E$2:$E264,0.025)</f>
        <v>-2</v>
      </c>
      <c r="O265" s="7">
        <f>PERCENTILE($E$2:$E264,0.165)</f>
        <v>0</v>
      </c>
      <c r="P265" s="7">
        <f>PERCENTILE($E$2:$E264,0.5)</f>
        <v>1</v>
      </c>
      <c r="Q265" s="7">
        <f>PERCENTILE($E$2:$E264,0.835)</f>
        <v>3</v>
      </c>
      <c r="R265" s="7">
        <f>PERCENTILE($E$2:$E264,0.975)</f>
        <v>6</v>
      </c>
    </row>
    <row r="266" spans="1:18" x14ac:dyDescent="0.2">
      <c r="A266" s="5">
        <f>Data!E267</f>
        <v>2006</v>
      </c>
      <c r="B266" s="5">
        <f>Data!M267</f>
        <v>6.9999999999999993E-3</v>
      </c>
      <c r="C266" s="5">
        <f>Data!N267</f>
        <v>1.25E-3</v>
      </c>
      <c r="D266" s="5">
        <f ca="1">Data!O267</f>
        <v>96.426658636816384</v>
      </c>
      <c r="E266" s="1">
        <f>Data!AQ267</f>
        <v>0</v>
      </c>
      <c r="F266" t="str">
        <f t="shared" si="4"/>
        <v/>
      </c>
      <c r="G266" s="5">
        <f ca="1">AVERAGE(D$2:D265)</f>
        <v>171.98802890450364</v>
      </c>
      <c r="H266" s="5">
        <f ca="1">PERCENTILE(D$2:D265,0.025)</f>
        <v>-5.0944357001117963E-2</v>
      </c>
      <c r="I266" s="5">
        <f ca="1">PERCENTILE(D$2:D265,0.165)</f>
        <v>2.2907880038943755</v>
      </c>
      <c r="J266" s="5">
        <f ca="1">PERCENTILE(D$2:D265,0.5)</f>
        <v>31.666114840722667</v>
      </c>
      <c r="K266" s="5">
        <f ca="1">PERCENTILE(D$2:D265,0.835)</f>
        <v>230.02205745588424</v>
      </c>
      <c r="L266" s="5">
        <f ca="1">PERCENTILE(D$2:D265,0.975)</f>
        <v>1204.8948245656045</v>
      </c>
      <c r="M266" s="7">
        <f>AVERAGE(E$2:E265)</f>
        <v>1.3373015873015872</v>
      </c>
      <c r="N266" s="7">
        <f>PERCENTILE($E$2:$E265,0.025)</f>
        <v>-2</v>
      </c>
      <c r="O266" s="7">
        <f>PERCENTILE($E$2:$E265,0.165)</f>
        <v>0</v>
      </c>
      <c r="P266" s="7">
        <f>PERCENTILE($E$2:$E265,0.5)</f>
        <v>1</v>
      </c>
      <c r="Q266" s="7">
        <f>PERCENTILE($E$2:$E265,0.835)</f>
        <v>3</v>
      </c>
      <c r="R266" s="7">
        <f>PERCENTILE($E$2:$E265,0.975)</f>
        <v>6</v>
      </c>
    </row>
    <row r="267" spans="1:18" x14ac:dyDescent="0.2">
      <c r="A267" s="5">
        <f>Data!E268</f>
        <v>2006</v>
      </c>
      <c r="B267" s="5">
        <f>Data!M268</f>
        <v>6.9999999999999993E-3</v>
      </c>
      <c r="C267" s="5">
        <f>Data!N268</f>
        <v>1.25E-3</v>
      </c>
      <c r="D267" s="5">
        <f ca="1">Data!O268</f>
        <v>19.950343166237872</v>
      </c>
      <c r="E267" s="1">
        <f>Data!AQ268</f>
        <v>1</v>
      </c>
      <c r="F267" t="str">
        <f t="shared" si="4"/>
        <v/>
      </c>
      <c r="G267" s="5">
        <f ca="1">AVERAGE(D$2:D266)</f>
        <v>171.70289165821049</v>
      </c>
      <c r="H267" s="5">
        <f ca="1">PERCENTILE(D$2:D266,0.025)</f>
        <v>-4.7015201620259919E-2</v>
      </c>
      <c r="I267" s="5">
        <f ca="1">PERCENTILE(D$2:D266,0.165)</f>
        <v>2.3339431258733914</v>
      </c>
      <c r="J267" s="5">
        <f ca="1">PERCENTILE(D$2:D266,0.5)</f>
        <v>31.947414103450058</v>
      </c>
      <c r="K267" s="5">
        <f ca="1">PERCENTILE(D$2:D266,0.835)</f>
        <v>227.49191681826784</v>
      </c>
      <c r="L267" s="5">
        <f ca="1">PERCENTILE(D$2:D266,0.975)</f>
        <v>1200.2686209350757</v>
      </c>
      <c r="M267" s="7">
        <f>AVERAGE(E$2:E266)</f>
        <v>1.3320158102766799</v>
      </c>
      <c r="N267" s="7">
        <f>PERCENTILE($E$2:$E266,0.025)</f>
        <v>-2</v>
      </c>
      <c r="O267" s="7">
        <f>PERCENTILE($E$2:$E266,0.165)</f>
        <v>0</v>
      </c>
      <c r="P267" s="7">
        <f>PERCENTILE($E$2:$E266,0.5)</f>
        <v>1</v>
      </c>
      <c r="Q267" s="7">
        <f>PERCENTILE($E$2:$E266,0.835)</f>
        <v>3</v>
      </c>
      <c r="R267" s="7">
        <f>PERCENTILE($E$2:$E266,0.975)</f>
        <v>6</v>
      </c>
    </row>
    <row r="268" spans="1:18" x14ac:dyDescent="0.2">
      <c r="A268" s="5">
        <f>Data!E269</f>
        <v>2006</v>
      </c>
      <c r="B268" s="5">
        <f>Data!M269</f>
        <v>6.9999999999999993E-3</v>
      </c>
      <c r="C268" s="5">
        <f>Data!N269</f>
        <v>1.25E-3</v>
      </c>
      <c r="D268" s="5">
        <f ca="1">Data!O269</f>
        <v>-3.8238157735289251</v>
      </c>
      <c r="E268" s="1">
        <f>Data!AQ269</f>
        <v>3</v>
      </c>
      <c r="F268" t="str">
        <f t="shared" si="4"/>
        <v/>
      </c>
      <c r="G268" s="5">
        <f ca="1">AVERAGE(D$2:D267)</f>
        <v>171.13239335560908</v>
      </c>
      <c r="H268" s="5">
        <f ca="1">PERCENTILE(D$2:D267,0.025)</f>
        <v>-4.3086046239402015E-2</v>
      </c>
      <c r="I268" s="5">
        <f ca="1">PERCENTILE(D$2:D267,0.165)</f>
        <v>2.3770982478524068</v>
      </c>
      <c r="J268" s="5">
        <f ca="1">PERCENTILE(D$2:D267,0.5)</f>
        <v>31.666114840722667</v>
      </c>
      <c r="K268" s="5">
        <f ca="1">PERCENTILE(D$2:D267,0.835)</f>
        <v>224.96177618065104</v>
      </c>
      <c r="L268" s="5">
        <f ca="1">PERCENTILE(D$2:D267,0.975)</f>
        <v>1195.6424173045575</v>
      </c>
      <c r="M268" s="7">
        <f>AVERAGE(E$2:E267)</f>
        <v>1.3307086614173229</v>
      </c>
      <c r="N268" s="7">
        <f>PERCENTILE($E$2:$E267,0.025)</f>
        <v>-2</v>
      </c>
      <c r="O268" s="7">
        <f>PERCENTILE($E$2:$E267,0.165)</f>
        <v>0</v>
      </c>
      <c r="P268" s="7">
        <f>PERCENTILE($E$2:$E267,0.5)</f>
        <v>1</v>
      </c>
      <c r="Q268" s="7">
        <f>PERCENTILE($E$2:$E267,0.835)</f>
        <v>3</v>
      </c>
      <c r="R268" s="7">
        <f>PERCENTILE($E$2:$E267,0.975)</f>
        <v>6</v>
      </c>
    </row>
    <row r="269" spans="1:18" x14ac:dyDescent="0.2">
      <c r="A269" s="5">
        <f>Data!E270</f>
        <v>2006</v>
      </c>
      <c r="B269" s="5">
        <f>Data!M270</f>
        <v>6.9999999999999993E-3</v>
      </c>
      <c r="C269" s="5">
        <f>Data!N270</f>
        <v>1.25E-3</v>
      </c>
      <c r="D269" s="5">
        <f ca="1">Data!O270</f>
        <v>29.925514749356807</v>
      </c>
      <c r="E269" s="1" t="str">
        <f>Data!AQ270</f>
        <v>NA</v>
      </c>
      <c r="F269" t="str">
        <f t="shared" si="4"/>
        <v/>
      </c>
      <c r="G269" s="5">
        <f ca="1">AVERAGE(D$2:D268)</f>
        <v>170.47712665475089</v>
      </c>
      <c r="H269" s="5">
        <f ca="1">PERCENTILE(D$2:D268,0.025)</f>
        <v>-0.36176170491436238</v>
      </c>
      <c r="I269" s="5">
        <f ca="1">PERCENTILE(D$2:D268,0.165)</f>
        <v>2.1090133991948834</v>
      </c>
      <c r="J269" s="5">
        <f ca="1">PERCENTILE(D$2:D268,0.5)</f>
        <v>31.384815577995276</v>
      </c>
      <c r="K269" s="5">
        <f ca="1">PERCENTILE(D$2:D268,0.835)</f>
        <v>222.43163554303464</v>
      </c>
      <c r="L269" s="5">
        <f ca="1">PERCENTILE(D$2:D268,0.975)</f>
        <v>1191.0162136740287</v>
      </c>
      <c r="M269" s="7">
        <f>AVERAGE(E$2:E268)</f>
        <v>1.3372549019607842</v>
      </c>
      <c r="N269" s="7">
        <f>PERCENTILE($E$2:$E268,0.025)</f>
        <v>-2</v>
      </c>
      <c r="O269" s="7">
        <f>PERCENTILE($E$2:$E268,0.165)</f>
        <v>0</v>
      </c>
      <c r="P269" s="7">
        <f>PERCENTILE($E$2:$E268,0.5)</f>
        <v>1</v>
      </c>
      <c r="Q269" s="7">
        <f>PERCENTILE($E$2:$E268,0.835)</f>
        <v>3</v>
      </c>
      <c r="R269" s="7">
        <f>PERCENTILE($E$2:$E268,0.975)</f>
        <v>6</v>
      </c>
    </row>
    <row r="270" spans="1:18" x14ac:dyDescent="0.2">
      <c r="A270" s="5">
        <f>Data!E271</f>
        <v>2006</v>
      </c>
      <c r="B270" s="5">
        <f>Data!M271</f>
        <v>6.9999999999999993E-3</v>
      </c>
      <c r="C270" s="5">
        <f>Data!N271</f>
        <v>1.25E-3</v>
      </c>
      <c r="D270" s="5">
        <f ca="1">Data!O271</f>
        <v>121.36458759461372</v>
      </c>
      <c r="E270" s="1">
        <f>Data!AQ271</f>
        <v>0</v>
      </c>
      <c r="F270" t="str">
        <f t="shared" si="4"/>
        <v/>
      </c>
      <c r="G270" s="5">
        <f ca="1">AVERAGE(D$2:D269)</f>
        <v>169.95268034167108</v>
      </c>
      <c r="H270" s="5">
        <f ca="1">PERCENTILE(D$2:D269,0.025)</f>
        <v>-0.34601550676053994</v>
      </c>
      <c r="I270" s="5">
        <f ca="1">PERCENTILE(D$2:D269,0.165)</f>
        <v>2.2018622979982205</v>
      </c>
      <c r="J270" s="5">
        <f ca="1">PERCENTILE(D$2:D269,0.5)</f>
        <v>31.038548641581063</v>
      </c>
      <c r="K270" s="5">
        <f ca="1">PERCENTILE(D$2:D269,0.835)</f>
        <v>220.62631369537115</v>
      </c>
      <c r="L270" s="5">
        <f ca="1">PERCENTILE(D$2:D269,0.975)</f>
        <v>1186.3900100435103</v>
      </c>
      <c r="M270" s="7">
        <f>AVERAGE(E$2:E269)</f>
        <v>1.3372549019607842</v>
      </c>
      <c r="N270" s="7">
        <f>PERCENTILE($E$2:$E269,0.025)</f>
        <v>-2</v>
      </c>
      <c r="O270" s="7">
        <f>PERCENTILE($E$2:$E269,0.165)</f>
        <v>0</v>
      </c>
      <c r="P270" s="7">
        <f>PERCENTILE($E$2:$E269,0.5)</f>
        <v>1</v>
      </c>
      <c r="Q270" s="7">
        <f>PERCENTILE($E$2:$E269,0.835)</f>
        <v>3</v>
      </c>
      <c r="R270" s="7">
        <f>PERCENTILE($E$2:$E269,0.975)</f>
        <v>6</v>
      </c>
    </row>
    <row r="271" spans="1:18" x14ac:dyDescent="0.2">
      <c r="A271" s="5">
        <f>Data!E272</f>
        <v>2006</v>
      </c>
      <c r="B271" s="5">
        <f>Data!M272</f>
        <v>6.9999999999999993E-3</v>
      </c>
      <c r="C271" s="5">
        <f>Data!N272</f>
        <v>1.25E-3</v>
      </c>
      <c r="D271" s="5">
        <f ca="1">Data!O272</f>
        <v>26.60045755498383</v>
      </c>
      <c r="E271" s="1">
        <f>Data!AQ272</f>
        <v>1</v>
      </c>
      <c r="F271" t="str">
        <f t="shared" si="4"/>
        <v/>
      </c>
      <c r="G271" s="5">
        <f ca="1">AVERAGE(D$2:D270)</f>
        <v>169.77205546157049</v>
      </c>
      <c r="H271" s="5">
        <f ca="1">PERCENTILE(D$2:D270,0.025)</f>
        <v>-0.3302693086067181</v>
      </c>
      <c r="I271" s="5">
        <f ca="1">PERCENTILE(D$2:D270,0.165)</f>
        <v>2.2450174199772364</v>
      </c>
      <c r="J271" s="5">
        <f ca="1">PERCENTILE(D$2:D270,0.5)</f>
        <v>31.384815577995276</v>
      </c>
      <c r="K271" s="5">
        <f ca="1">PERCENTILE(D$2:D270,0.835)</f>
        <v>220.27062942761304</v>
      </c>
      <c r="L271" s="5">
        <f ca="1">PERCENTILE(D$2:D270,0.975)</f>
        <v>1181.7638064129922</v>
      </c>
      <c r="M271" s="7">
        <f>AVERAGE(E$2:E270)</f>
        <v>1.33203125</v>
      </c>
      <c r="N271" s="7">
        <f>PERCENTILE($E$2:$E270,0.025)</f>
        <v>-2</v>
      </c>
      <c r="O271" s="7">
        <f>PERCENTILE($E$2:$E270,0.165)</f>
        <v>0</v>
      </c>
      <c r="P271" s="7">
        <f>PERCENTILE($E$2:$E270,0.5)</f>
        <v>1</v>
      </c>
      <c r="Q271" s="7">
        <f>PERCENTILE($E$2:$E270,0.835)</f>
        <v>3</v>
      </c>
      <c r="R271" s="7">
        <f>PERCENTILE($E$2:$E270,0.975)</f>
        <v>6</v>
      </c>
    </row>
    <row r="272" spans="1:18" x14ac:dyDescent="0.2">
      <c r="A272" s="5">
        <f>Data!E273</f>
        <v>2006</v>
      </c>
      <c r="B272" s="5">
        <f>Data!M273</f>
        <v>6.9999999999999993E-3</v>
      </c>
      <c r="C272" s="5">
        <f>Data!N273</f>
        <v>1.25E-3</v>
      </c>
      <c r="D272" s="5">
        <f ca="1">Data!O273</f>
        <v>-2.6600457554983832</v>
      </c>
      <c r="E272" s="1">
        <f>Data!AQ273</f>
        <v>3</v>
      </c>
      <c r="F272" t="str">
        <f t="shared" si="4"/>
        <v/>
      </c>
      <c r="G272" s="5">
        <f ca="1">AVERAGE(D$2:D271)</f>
        <v>169.24179028413869</v>
      </c>
      <c r="H272" s="5">
        <f ca="1">PERCENTILE(D$2:D271,0.025)</f>
        <v>-0.31452311045289566</v>
      </c>
      <c r="I272" s="5">
        <f ca="1">PERCENTILE(D$2:D271,0.165)</f>
        <v>2.288172541956254</v>
      </c>
      <c r="J272" s="5">
        <f ca="1">PERCENTILE(D$2:D271,0.5)</f>
        <v>31.038548641581063</v>
      </c>
      <c r="K272" s="5">
        <f ca="1">PERCENTILE(D$2:D271,0.835)</f>
        <v>219.91494515985491</v>
      </c>
      <c r="L272" s="5">
        <f ca="1">PERCENTILE(D$2:D271,0.975)</f>
        <v>1177.1376027824633</v>
      </c>
      <c r="M272" s="7">
        <f>AVERAGE(E$2:E271)</f>
        <v>1.3307392996108949</v>
      </c>
      <c r="N272" s="7">
        <f>PERCENTILE($E$2:$E271,0.025)</f>
        <v>-2</v>
      </c>
      <c r="O272" s="7">
        <f>PERCENTILE($E$2:$E271,0.165)</f>
        <v>0</v>
      </c>
      <c r="P272" s="7">
        <f>PERCENTILE($E$2:$E271,0.5)</f>
        <v>1</v>
      </c>
      <c r="Q272" s="7">
        <f>PERCENTILE($E$2:$E271,0.835)</f>
        <v>3</v>
      </c>
      <c r="R272" s="7">
        <f>PERCENTILE($E$2:$E271,0.975)</f>
        <v>6</v>
      </c>
    </row>
    <row r="273" spans="1:18" x14ac:dyDescent="0.2">
      <c r="A273" s="5">
        <f>Data!E274</f>
        <v>2006</v>
      </c>
      <c r="B273" s="5">
        <f>Data!M274</f>
        <v>6.9999999999999993E-3</v>
      </c>
      <c r="C273" s="5">
        <f>Data!N274</f>
        <v>1.25E-3</v>
      </c>
      <c r="D273" s="5">
        <f ca="1">Data!O274</f>
        <v>39.900686332475743</v>
      </c>
      <c r="E273" s="1" t="str">
        <f>Data!AQ274</f>
        <v>NA</v>
      </c>
      <c r="F273" t="str">
        <f t="shared" si="4"/>
        <v/>
      </c>
      <c r="G273" s="5">
        <f ca="1">AVERAGE(D$2:D272)</f>
        <v>168.60746616591126</v>
      </c>
      <c r="H273" s="5">
        <f ca="1">PERCENTILE(D$2:D272,0.025)</f>
        <v>-1.2433835815599008</v>
      </c>
      <c r="I273" s="5">
        <f ca="1">PERCENTILE(D$2:D272,0.165)</f>
        <v>1.8664887467508298</v>
      </c>
      <c r="J273" s="5">
        <f ca="1">PERCENTILE(D$2:D272,0.5)</f>
        <v>30.692281705166849</v>
      </c>
      <c r="K273" s="5">
        <f ca="1">PERCENTILE(D$2:D272,0.835)</f>
        <v>219.5592608920968</v>
      </c>
      <c r="L273" s="5">
        <f ca="1">PERCENTILE(D$2:D272,0.975)</f>
        <v>1172.5113991519452</v>
      </c>
      <c r="M273" s="7">
        <f>AVERAGE(E$2:E272)</f>
        <v>1.3372093023255813</v>
      </c>
      <c r="N273" s="7">
        <f>PERCENTILE($E$2:$E272,0.025)</f>
        <v>-2</v>
      </c>
      <c r="O273" s="7">
        <f>PERCENTILE($E$2:$E272,0.165)</f>
        <v>0</v>
      </c>
      <c r="P273" s="7">
        <f>PERCENTILE($E$2:$E272,0.5)</f>
        <v>1</v>
      </c>
      <c r="Q273" s="7">
        <f>PERCENTILE($E$2:$E272,0.835)</f>
        <v>3</v>
      </c>
      <c r="R273" s="7">
        <f>PERCENTILE($E$2:$E272,0.975)</f>
        <v>6</v>
      </c>
    </row>
    <row r="274" spans="1:18" x14ac:dyDescent="0.2">
      <c r="A274" s="5">
        <f>Data!E275</f>
        <v>2006</v>
      </c>
      <c r="B274" s="5">
        <f>Data!M275</f>
        <v>6.9999999999999993E-3</v>
      </c>
      <c r="C274" s="5">
        <f>Data!N275</f>
        <v>1.25E-3</v>
      </c>
      <c r="D274" s="5">
        <f ca="1">Data!O275</f>
        <v>156.27768813553001</v>
      </c>
      <c r="E274" s="1">
        <f>Data!AQ275</f>
        <v>0</v>
      </c>
      <c r="F274" t="str">
        <f t="shared" si="4"/>
        <v/>
      </c>
      <c r="G274" s="5">
        <f ca="1">AVERAGE(D$2:D273)</f>
        <v>168.13427947534714</v>
      </c>
      <c r="H274" s="5">
        <f ca="1">PERCENTILE(D$2:D273,0.025)</f>
        <v>-1.1961615090952842</v>
      </c>
      <c r="I274" s="5">
        <f ca="1">PERCENTILE(D$2:D273,0.165)</f>
        <v>1.9841845339663271</v>
      </c>
      <c r="J274" s="5">
        <f ca="1">PERCENTILE(D$2:D273,0.5)</f>
        <v>31.038548641581063</v>
      </c>
      <c r="K274" s="5">
        <f ca="1">PERCENTILE(D$2:D273,0.835)</f>
        <v>219.20357662433869</v>
      </c>
      <c r="L274" s="5">
        <f ca="1">PERCENTILE(D$2:D273,0.975)</f>
        <v>1167.8851955214163</v>
      </c>
      <c r="M274" s="7">
        <f>AVERAGE(E$2:E273)</f>
        <v>1.3372093023255813</v>
      </c>
      <c r="N274" s="7">
        <f>PERCENTILE($E$2:$E273,0.025)</f>
        <v>-2</v>
      </c>
      <c r="O274" s="7">
        <f>PERCENTILE($E$2:$E273,0.165)</f>
        <v>0</v>
      </c>
      <c r="P274" s="7">
        <f>PERCENTILE($E$2:$E273,0.5)</f>
        <v>1</v>
      </c>
      <c r="Q274" s="7">
        <f>PERCENTILE($E$2:$E273,0.835)</f>
        <v>3</v>
      </c>
      <c r="R274" s="7">
        <f>PERCENTILE($E$2:$E273,0.975)</f>
        <v>6</v>
      </c>
    </row>
    <row r="275" spans="1:18" x14ac:dyDescent="0.2">
      <c r="A275" s="5">
        <f>Data!E276</f>
        <v>2006</v>
      </c>
      <c r="B275" s="5">
        <f>Data!M276</f>
        <v>6.9999999999999993E-3</v>
      </c>
      <c r="C275" s="5">
        <f>Data!N276</f>
        <v>1.25E-3</v>
      </c>
      <c r="D275" s="5">
        <f ca="1">Data!O276</f>
        <v>34.913100540916275</v>
      </c>
      <c r="E275" s="1">
        <f>Data!AQ276</f>
        <v>1</v>
      </c>
      <c r="F275" t="str">
        <f t="shared" si="4"/>
        <v/>
      </c>
      <c r="G275" s="5">
        <f ca="1">AVERAGE(D$2:D274)</f>
        <v>168.09084873783866</v>
      </c>
      <c r="H275" s="5">
        <f ca="1">PERCENTILE(D$2:D274,0.025)</f>
        <v>-1.1489394366306673</v>
      </c>
      <c r="I275" s="5">
        <f ca="1">PERCENTILE(D$2:D274,0.165)</f>
        <v>2.1018803211818247</v>
      </c>
      <c r="J275" s="5">
        <f ca="1">PERCENTILE(D$2:D274,0.5)</f>
        <v>31.384815577995276</v>
      </c>
      <c r="K275" s="5">
        <f ca="1">PERCENTILE(D$2:D274,0.835)</f>
        <v>218.84789235658062</v>
      </c>
      <c r="L275" s="5">
        <f ca="1">PERCENTILE(D$2:D274,0.975)</f>
        <v>1163.2589918908982</v>
      </c>
      <c r="M275" s="7">
        <f>AVERAGE(E$2:E274)</f>
        <v>1.332046332046332</v>
      </c>
      <c r="N275" s="7">
        <f>PERCENTILE($E$2:$E274,0.025)</f>
        <v>-2</v>
      </c>
      <c r="O275" s="7">
        <f>PERCENTILE($E$2:$E274,0.165)</f>
        <v>0</v>
      </c>
      <c r="P275" s="7">
        <f>PERCENTILE($E$2:$E274,0.5)</f>
        <v>1</v>
      </c>
      <c r="Q275" s="7">
        <f>PERCENTILE($E$2:$E274,0.835)</f>
        <v>3</v>
      </c>
      <c r="R275" s="7">
        <f>PERCENTILE($E$2:$E274,0.975)</f>
        <v>6</v>
      </c>
    </row>
    <row r="276" spans="1:18" x14ac:dyDescent="0.2">
      <c r="A276" s="5">
        <f>Data!E277</f>
        <v>2006</v>
      </c>
      <c r="B276" s="5">
        <f>Data!M277</f>
        <v>6.9999999999999993E-3</v>
      </c>
      <c r="C276" s="5">
        <f>Data!N277</f>
        <v>1.25E-3</v>
      </c>
      <c r="D276" s="5">
        <f ca="1">Data!O277</f>
        <v>-1.2302711619180022</v>
      </c>
      <c r="E276" s="1">
        <f>Data!AQ277</f>
        <v>3</v>
      </c>
      <c r="F276" t="str">
        <f t="shared" si="4"/>
        <v/>
      </c>
      <c r="G276" s="5">
        <f ca="1">AVERAGE(D$2:D275)</f>
        <v>167.60479856193749</v>
      </c>
      <c r="H276" s="5">
        <f ca="1">PERCENTILE(D$2:D275,0.025)</f>
        <v>-1.1017173641660523</v>
      </c>
      <c r="I276" s="5">
        <f ca="1">PERCENTILE(D$2:D275,0.165)</f>
        <v>2.199246836060099</v>
      </c>
      <c r="J276" s="5">
        <f ca="1">PERCENTILE(D$2:D275,0.5)</f>
        <v>31.666114840722667</v>
      </c>
      <c r="K276" s="5">
        <f ca="1">PERCENTILE(D$2:D275,0.835)</f>
        <v>218.38213036144913</v>
      </c>
      <c r="L276" s="5">
        <f ca="1">PERCENTILE(D$2:D275,0.975)</f>
        <v>1158.6327882603798</v>
      </c>
      <c r="M276" s="7">
        <f>AVERAGE(E$2:E275)</f>
        <v>1.3307692307692307</v>
      </c>
      <c r="N276" s="7">
        <f>PERCENTILE($E$2:$E275,0.025)</f>
        <v>-2</v>
      </c>
      <c r="O276" s="7">
        <f>PERCENTILE($E$2:$E275,0.165)</f>
        <v>0</v>
      </c>
      <c r="P276" s="7">
        <f>PERCENTILE($E$2:$E275,0.5)</f>
        <v>1</v>
      </c>
      <c r="Q276" s="7">
        <f>PERCENTILE($E$2:$E275,0.835)</f>
        <v>3</v>
      </c>
      <c r="R276" s="7">
        <f>PERCENTILE($E$2:$E275,0.975)</f>
        <v>6</v>
      </c>
    </row>
    <row r="277" spans="1:18" x14ac:dyDescent="0.2">
      <c r="A277" s="5">
        <f>Data!E278</f>
        <v>2006</v>
      </c>
      <c r="B277" s="5">
        <f>Data!M278</f>
        <v>6.9999999999999993E-3</v>
      </c>
      <c r="C277" s="5">
        <f>Data!N278</f>
        <v>1.25E-3</v>
      </c>
      <c r="D277" s="5">
        <f ca="1">Data!O278</f>
        <v>49.875857915594679</v>
      </c>
      <c r="E277" s="1" t="str">
        <f>Data!AQ278</f>
        <v>NA</v>
      </c>
      <c r="F277" t="str">
        <f t="shared" si="4"/>
        <v/>
      </c>
      <c r="G277" s="5">
        <f ca="1">AVERAGE(D$2:D276)</f>
        <v>166.99085285385073</v>
      </c>
      <c r="H277" s="5">
        <f ca="1">PERCENTILE(D$2:D276,0.025)</f>
        <v>-1.4447373509550585</v>
      </c>
      <c r="I277" s="5">
        <f ca="1">PERCENTILE(D$2:D276,0.165)</f>
        <v>1.6239640943067706</v>
      </c>
      <c r="J277" s="5">
        <f ca="1">PERCENTILE(D$2:D276,0.5)</f>
        <v>31.384815577995276</v>
      </c>
      <c r="K277" s="5">
        <f ca="1">PERCENTILE(D$2:D276,0.835)</f>
        <v>217.62282775998904</v>
      </c>
      <c r="L277" s="5">
        <f ca="1">PERCENTILE(D$2:D276,0.975)</f>
        <v>1154.006584629851</v>
      </c>
      <c r="M277" s="7">
        <f>AVERAGE(E$2:E276)</f>
        <v>1.3371647509578544</v>
      </c>
      <c r="N277" s="7">
        <f>PERCENTILE($E$2:$E276,0.025)</f>
        <v>-2</v>
      </c>
      <c r="O277" s="7">
        <f>PERCENTILE($E$2:$E276,0.165)</f>
        <v>0</v>
      </c>
      <c r="P277" s="7">
        <f>PERCENTILE($E$2:$E276,0.5)</f>
        <v>1</v>
      </c>
      <c r="Q277" s="7">
        <f>PERCENTILE($E$2:$E276,0.835)</f>
        <v>3</v>
      </c>
      <c r="R277" s="7">
        <f>PERCENTILE($E$2:$E276,0.975)</f>
        <v>6</v>
      </c>
    </row>
    <row r="278" spans="1:18" x14ac:dyDescent="0.2">
      <c r="A278" s="5">
        <f>Data!E279</f>
        <v>2006</v>
      </c>
      <c r="B278" s="5">
        <f>Data!M279</f>
        <v>6.9999999999999993E-3</v>
      </c>
      <c r="C278" s="5">
        <f>Data!N279</f>
        <v>1.25E-3</v>
      </c>
      <c r="D278" s="5">
        <f ca="1">Data!O279</f>
        <v>548.63443707154147</v>
      </c>
      <c r="E278" s="1">
        <f>Data!AQ279</f>
        <v>0</v>
      </c>
      <c r="F278" t="str">
        <f t="shared" si="4"/>
        <v/>
      </c>
      <c r="G278" s="5">
        <f ca="1">AVERAGE(D$2:D277)</f>
        <v>166.56652316204546</v>
      </c>
      <c r="H278" s="5">
        <f ca="1">PERCENTILE(D$2:D277,0.025)</f>
        <v>-1.4089929861155499</v>
      </c>
      <c r="I278" s="5">
        <f ca="1">PERCENTILE(D$2:D277,0.165)</f>
        <v>1.7416598815222681</v>
      </c>
      <c r="J278" s="5">
        <f ca="1">PERCENTILE(D$2:D277,0.5)</f>
        <v>31.666114840722667</v>
      </c>
      <c r="K278" s="5">
        <f ca="1">PERCENTILE(D$2:D277,0.835)</f>
        <v>216.86352515852892</v>
      </c>
      <c r="L278" s="5">
        <f ca="1">PERCENTILE(D$2:D277,0.975)</f>
        <v>1149.3803809993328</v>
      </c>
      <c r="M278" s="7">
        <f>AVERAGE(E$2:E277)</f>
        <v>1.3371647509578544</v>
      </c>
      <c r="N278" s="7">
        <f>PERCENTILE($E$2:$E277,0.025)</f>
        <v>-2</v>
      </c>
      <c r="O278" s="7">
        <f>PERCENTILE($E$2:$E277,0.165)</f>
        <v>0</v>
      </c>
      <c r="P278" s="7">
        <f>PERCENTILE($E$2:$E277,0.5)</f>
        <v>1</v>
      </c>
      <c r="Q278" s="7">
        <f>PERCENTILE($E$2:$E277,0.835)</f>
        <v>3</v>
      </c>
      <c r="R278" s="7">
        <f>PERCENTILE($E$2:$E277,0.975)</f>
        <v>6</v>
      </c>
    </row>
    <row r="279" spans="1:18" x14ac:dyDescent="0.2">
      <c r="A279" s="5">
        <f>Data!E280</f>
        <v>2006</v>
      </c>
      <c r="B279" s="5">
        <f>Data!M280</f>
        <v>6.9999999999999993E-3</v>
      </c>
      <c r="C279" s="5">
        <f>Data!N280</f>
        <v>1.25E-3</v>
      </c>
      <c r="D279" s="5">
        <f ca="1">Data!O280</f>
        <v>147.96504514959756</v>
      </c>
      <c r="E279" s="1">
        <f>Data!AQ280</f>
        <v>1</v>
      </c>
      <c r="F279" t="str">
        <f t="shared" si="4"/>
        <v/>
      </c>
      <c r="G279" s="5">
        <f ca="1">AVERAGE(D$2:D278)</f>
        <v>167.94582971045517</v>
      </c>
      <c r="H279" s="5">
        <f ca="1">PERCENTILE(D$2:D278,0.025)</f>
        <v>-1.3732486212760397</v>
      </c>
      <c r="I279" s="5">
        <f ca="1">PERCENTILE(D$2:D278,0.165)</f>
        <v>1.8593556687377655</v>
      </c>
      <c r="J279" s="5">
        <f ca="1">PERCENTILE(D$2:D278,0.5)</f>
        <v>31.947414103450058</v>
      </c>
      <c r="K279" s="5">
        <f ca="1">PERCENTILE(D$2:D278,0.835)</f>
        <v>219.58081751438516</v>
      </c>
      <c r="L279" s="5">
        <f ca="1">PERCENTILE(D$2:D278,0.975)</f>
        <v>1144.754177368804</v>
      </c>
      <c r="M279" s="7">
        <f>AVERAGE(E$2:E278)</f>
        <v>1.33206106870229</v>
      </c>
      <c r="N279" s="7">
        <f>PERCENTILE($E$2:$E278,0.025)</f>
        <v>-2</v>
      </c>
      <c r="O279" s="7">
        <f>PERCENTILE($E$2:$E278,0.165)</f>
        <v>0</v>
      </c>
      <c r="P279" s="7">
        <f>PERCENTILE($E$2:$E278,0.5)</f>
        <v>1</v>
      </c>
      <c r="Q279" s="7">
        <f>PERCENTILE($E$2:$E278,0.835)</f>
        <v>3</v>
      </c>
      <c r="R279" s="7">
        <f>PERCENTILE($E$2:$E278,0.975)</f>
        <v>6</v>
      </c>
    </row>
    <row r="280" spans="1:18" x14ac:dyDescent="0.2">
      <c r="A280" s="5">
        <f>Data!E281</f>
        <v>2006</v>
      </c>
      <c r="B280" s="5">
        <f>Data!M281</f>
        <v>6.9999999999999993E-3</v>
      </c>
      <c r="C280" s="5">
        <f>Data!N281</f>
        <v>1.25E-3</v>
      </c>
      <c r="D280" s="5">
        <f ca="1">Data!O281</f>
        <v>28.262986152170317</v>
      </c>
      <c r="E280" s="1">
        <f>Data!AQ281</f>
        <v>3</v>
      </c>
      <c r="F280" t="str">
        <f t="shared" si="4"/>
        <v/>
      </c>
      <c r="G280" s="5">
        <f ca="1">AVERAGE(D$2:D279)</f>
        <v>167.8739563846967</v>
      </c>
      <c r="H280" s="5">
        <f ca="1">PERCENTILE(D$2:D279,0.025)</f>
        <v>-1.3375042564365298</v>
      </c>
      <c r="I280" s="5">
        <f ca="1">PERCENTILE(D$2:D279,0.165)</f>
        <v>1.9770514559532679</v>
      </c>
      <c r="J280" s="5">
        <f ca="1">PERCENTILE(D$2:D279,0.5)</f>
        <v>32.079072940433136</v>
      </c>
      <c r="K280" s="5">
        <f ca="1">PERCENTILE(D$2:D279,0.835)</f>
        <v>219.22513324662705</v>
      </c>
      <c r="L280" s="5">
        <f ca="1">PERCENTILE(D$2:D279,0.975)</f>
        <v>1140.1279737382858</v>
      </c>
      <c r="M280" s="7">
        <f>AVERAGE(E$2:E279)</f>
        <v>1.3307984790874525</v>
      </c>
      <c r="N280" s="7">
        <f>PERCENTILE($E$2:$E279,0.025)</f>
        <v>-2</v>
      </c>
      <c r="O280" s="7">
        <f>PERCENTILE($E$2:$E279,0.165)</f>
        <v>0</v>
      </c>
      <c r="P280" s="7">
        <f>PERCENTILE($E$2:$E279,0.5)</f>
        <v>1</v>
      </c>
      <c r="Q280" s="7">
        <f>PERCENTILE($E$2:$E279,0.835)</f>
        <v>3</v>
      </c>
      <c r="R280" s="7">
        <f>PERCENTILE($E$2:$E279,0.975)</f>
        <v>6</v>
      </c>
    </row>
    <row r="281" spans="1:18" x14ac:dyDescent="0.2">
      <c r="A281" s="5">
        <f>Data!E282</f>
        <v>2006</v>
      </c>
      <c r="B281" s="5">
        <f>Data!M282</f>
        <v>6.9999999999999993E-3</v>
      </c>
      <c r="C281" s="5">
        <f>Data!N282</f>
        <v>1.25E-3</v>
      </c>
      <c r="D281" s="5">
        <f ca="1">Data!O282</f>
        <v>166.25285971864895</v>
      </c>
      <c r="E281" s="1" t="str">
        <f>Data!AQ282</f>
        <v>NA</v>
      </c>
      <c r="F281" t="str">
        <f t="shared" si="4"/>
        <v/>
      </c>
      <c r="G281" s="5">
        <f ca="1">AVERAGE(D$2:D280)</f>
        <v>167.37355864192779</v>
      </c>
      <c r="H281" s="5">
        <f ca="1">PERCENTILE(D$2:D280,0.025)</f>
        <v>-1.301759891597021</v>
      </c>
      <c r="I281" s="5">
        <f ca="1">PERCENTILE(D$2:D280,0.165)</f>
        <v>2.0947472431687655</v>
      </c>
      <c r="J281" s="5">
        <f ca="1">PERCENTILE(D$2:D280,0.5)</f>
        <v>31.947414103450058</v>
      </c>
      <c r="K281" s="5">
        <f ca="1">PERCENTILE(D$2:D280,0.835)</f>
        <v>218.86944897886895</v>
      </c>
      <c r="L281" s="5">
        <f ca="1">PERCENTILE(D$2:D280,0.975)</f>
        <v>1135.5017701077675</v>
      </c>
      <c r="M281" s="7">
        <f>AVERAGE(E$2:E280)</f>
        <v>1.3371212121212122</v>
      </c>
      <c r="N281" s="7">
        <f>PERCENTILE($E$2:$E280,0.025)</f>
        <v>-2</v>
      </c>
      <c r="O281" s="7">
        <f>PERCENTILE($E$2:$E280,0.165)</f>
        <v>0</v>
      </c>
      <c r="P281" s="7">
        <f>PERCENTILE($E$2:$E280,0.5)</f>
        <v>1</v>
      </c>
      <c r="Q281" s="7">
        <f>PERCENTILE($E$2:$E280,0.835)</f>
        <v>3</v>
      </c>
      <c r="R281" s="7">
        <f>PERCENTILE($E$2:$E280,0.975)</f>
        <v>6</v>
      </c>
    </row>
    <row r="282" spans="1:18" x14ac:dyDescent="0.2">
      <c r="A282" s="5">
        <f>Data!E283</f>
        <v>2006</v>
      </c>
      <c r="B282" s="5">
        <f>Data!M283</f>
        <v>6.9999999999999993E-3</v>
      </c>
      <c r="C282" s="5">
        <f>Data!N283</f>
        <v>1.25E-3</v>
      </c>
      <c r="D282" s="5">
        <f ca="1">Data!O283</f>
        <v>2493.792895779734</v>
      </c>
      <c r="E282" s="1">
        <f>Data!AQ283</f>
        <v>0</v>
      </c>
      <c r="F282" t="str">
        <f t="shared" si="4"/>
        <v/>
      </c>
      <c r="G282" s="5">
        <f ca="1">AVERAGE(D$2:D281)</f>
        <v>167.3695561457732</v>
      </c>
      <c r="H282" s="5">
        <f ca="1">PERCENTILE(D$2:D281,0.025)</f>
        <v>-1.2660155267575111</v>
      </c>
      <c r="I282" s="5">
        <f ca="1">PERCENTILE(D$2:D281,0.165)</f>
        <v>2.1966313741219774</v>
      </c>
      <c r="J282" s="5">
        <f ca="1">PERCENTILE(D$2:D281,0.5)</f>
        <v>32.079072940433136</v>
      </c>
      <c r="K282" s="5">
        <f ca="1">PERCENTILE(D$2:D281,0.835)</f>
        <v>218.42814870093164</v>
      </c>
      <c r="L282" s="5">
        <f ca="1">PERCENTILE(D$2:D281,0.975)</f>
        <v>1130.8755664772386</v>
      </c>
      <c r="M282" s="7">
        <f>AVERAGE(E$2:E281)</f>
        <v>1.3371212121212122</v>
      </c>
      <c r="N282" s="7">
        <f>PERCENTILE($E$2:$E281,0.025)</f>
        <v>-2</v>
      </c>
      <c r="O282" s="7">
        <f>PERCENTILE($E$2:$E281,0.165)</f>
        <v>0</v>
      </c>
      <c r="P282" s="7">
        <f>PERCENTILE($E$2:$E281,0.5)</f>
        <v>1</v>
      </c>
      <c r="Q282" s="7">
        <f>PERCENTILE($E$2:$E281,0.835)</f>
        <v>3</v>
      </c>
      <c r="R282" s="7">
        <f>PERCENTILE($E$2:$E281,0.975)</f>
        <v>6</v>
      </c>
    </row>
    <row r="283" spans="1:18" x14ac:dyDescent="0.2">
      <c r="A283" s="5">
        <f>Data!E284</f>
        <v>2006</v>
      </c>
      <c r="B283" s="5">
        <f>Data!M284</f>
        <v>6.9999999999999993E-3</v>
      </c>
      <c r="C283" s="5">
        <f>Data!N284</f>
        <v>1.25E-3</v>
      </c>
      <c r="D283" s="5">
        <f ca="1">Data!O284</f>
        <v>598.51029498713615</v>
      </c>
      <c r="E283" s="1">
        <f>Data!AQ284</f>
        <v>1</v>
      </c>
      <c r="F283" t="str">
        <f t="shared" si="4"/>
        <v/>
      </c>
      <c r="G283" s="5">
        <f ca="1">AVERAGE(D$2:D282)</f>
        <v>175.64864276368766</v>
      </c>
      <c r="H283" s="5">
        <f ca="1">PERCENTILE(D$2:D282,0.025)</f>
        <v>-1.2302711619180022</v>
      </c>
      <c r="I283" s="5">
        <f ca="1">PERCENTILE(D$2:D282,0.165)</f>
        <v>2.2397864961009928</v>
      </c>
      <c r="J283" s="5">
        <f ca="1">PERCENTILE(D$2:D282,0.5)</f>
        <v>32.210731777416207</v>
      </c>
      <c r="K283" s="5">
        <f ca="1">PERCENTILE(D$2:D282,0.835)</f>
        <v>220.31374267218976</v>
      </c>
      <c r="L283" s="5">
        <f ca="1">PERCENTILE(D$2:D282,0.975)</f>
        <v>1311.297508067619</v>
      </c>
      <c r="M283" s="7">
        <f>AVERAGE(E$2:E282)</f>
        <v>1.3320754716981131</v>
      </c>
      <c r="N283" s="7">
        <f>PERCENTILE($E$2:$E282,0.025)</f>
        <v>-2</v>
      </c>
      <c r="O283" s="7">
        <f>PERCENTILE($E$2:$E282,0.165)</f>
        <v>0</v>
      </c>
      <c r="P283" s="7">
        <f>PERCENTILE($E$2:$E282,0.5)</f>
        <v>1</v>
      </c>
      <c r="Q283" s="7">
        <f>PERCENTILE($E$2:$E282,0.835)</f>
        <v>3</v>
      </c>
      <c r="R283" s="7">
        <f>PERCENTILE($E$2:$E282,0.975)</f>
        <v>6</v>
      </c>
    </row>
    <row r="284" spans="1:18" x14ac:dyDescent="0.2">
      <c r="A284" s="5">
        <f>Data!E285</f>
        <v>2006</v>
      </c>
      <c r="B284" s="5">
        <f>Data!M285</f>
        <v>6.9999999999999993E-3</v>
      </c>
      <c r="C284" s="5">
        <f>Data!N285</f>
        <v>1.25E-3</v>
      </c>
      <c r="D284" s="5">
        <f ca="1">Data!O285</f>
        <v>124.6896447889867</v>
      </c>
      <c r="E284" s="1">
        <f>Data!AQ285</f>
        <v>3</v>
      </c>
      <c r="F284" t="str">
        <f t="shared" si="4"/>
        <v/>
      </c>
      <c r="G284" s="5">
        <f ca="1">AVERAGE(D$2:D283)</f>
        <v>177.14815216873535</v>
      </c>
      <c r="H284" s="5">
        <f ca="1">PERCENTILE(D$2:D283,0.025)</f>
        <v>-1.2187934542928955</v>
      </c>
      <c r="I284" s="5">
        <f ca="1">PERCENTILE(D$2:D283,0.165)</f>
        <v>2.2829416180800086</v>
      </c>
      <c r="J284" s="5">
        <f ca="1">PERCENTILE(D$2:D283,0.5)</f>
        <v>32.256236607233646</v>
      </c>
      <c r="K284" s="5">
        <f ca="1">PERCENTILE(D$2:D283,0.835)</f>
        <v>230.48208302635999</v>
      </c>
      <c r="L284" s="5">
        <f ca="1">PERCENTILE(D$2:D283,0.975)</f>
        <v>1306.6713044370902</v>
      </c>
      <c r="M284" s="7">
        <f>AVERAGE(E$2:E283)</f>
        <v>1.3308270676691729</v>
      </c>
      <c r="N284" s="7">
        <f>PERCENTILE($E$2:$E283,0.025)</f>
        <v>-2</v>
      </c>
      <c r="O284" s="7">
        <f>PERCENTILE($E$2:$E283,0.165)</f>
        <v>0</v>
      </c>
      <c r="P284" s="7">
        <f>PERCENTILE($E$2:$E283,0.5)</f>
        <v>1</v>
      </c>
      <c r="Q284" s="7">
        <f>PERCENTILE($E$2:$E283,0.835)</f>
        <v>3</v>
      </c>
      <c r="R284" s="7">
        <f>PERCENTILE($E$2:$E283,0.975)</f>
        <v>6</v>
      </c>
    </row>
    <row r="285" spans="1:18" x14ac:dyDescent="0.2">
      <c r="A285" s="5">
        <f>Data!E286</f>
        <v>2006</v>
      </c>
      <c r="B285" s="5">
        <f>Data!M286</f>
        <v>6.9999999999999993E-3</v>
      </c>
      <c r="C285" s="5">
        <f>Data!N286</f>
        <v>1.25E-3</v>
      </c>
      <c r="D285" s="5">
        <f ca="1">Data!O286</f>
        <v>448.88272124035211</v>
      </c>
      <c r="E285" s="1" t="str">
        <f>Data!AQ286</f>
        <v>NA</v>
      </c>
      <c r="F285" t="str">
        <f t="shared" si="4"/>
        <v/>
      </c>
      <c r="G285" s="5">
        <f ca="1">AVERAGE(D$2:D284)</f>
        <v>176.96278641827686</v>
      </c>
      <c r="H285" s="5">
        <f ca="1">PERCENTILE(D$2:D284,0.025)</f>
        <v>-1.2073157466677888</v>
      </c>
      <c r="I285" s="5">
        <f ca="1">PERCENTILE(D$2:D284,0.165)</f>
        <v>2.3260967400590244</v>
      </c>
      <c r="J285" s="5">
        <f ca="1">PERCENTILE(D$2:D284,0.5)</f>
        <v>32.301741437051085</v>
      </c>
      <c r="K285" s="5">
        <f ca="1">PERCENTILE(D$2:D284,0.835)</f>
        <v>227.95194238874359</v>
      </c>
      <c r="L285" s="5">
        <f ca="1">PERCENTILE(D$2:D284,0.975)</f>
        <v>1302.045100806572</v>
      </c>
      <c r="M285" s="7">
        <f>AVERAGE(E$2:E284)</f>
        <v>1.3370786516853932</v>
      </c>
      <c r="N285" s="7">
        <f>PERCENTILE($E$2:$E284,0.025)</f>
        <v>-2</v>
      </c>
      <c r="O285" s="7">
        <f>PERCENTILE($E$2:$E284,0.165)</f>
        <v>0</v>
      </c>
      <c r="P285" s="7">
        <f>PERCENTILE($E$2:$E284,0.5)</f>
        <v>1</v>
      </c>
      <c r="Q285" s="7">
        <f>PERCENTILE($E$2:$E284,0.835)</f>
        <v>3</v>
      </c>
      <c r="R285" s="7">
        <f>PERCENTILE($E$2:$E284,0.975)</f>
        <v>6</v>
      </c>
    </row>
    <row r="286" spans="1:18" x14ac:dyDescent="0.2">
      <c r="A286" s="5">
        <f>Data!E287</f>
        <v>2006</v>
      </c>
      <c r="B286" s="5">
        <f>Data!M287</f>
        <v>6.9999999999999993E-3</v>
      </c>
      <c r="C286" s="5">
        <f>Data!N287</f>
        <v>1.25E-3</v>
      </c>
      <c r="D286" s="5">
        <f ca="1">Data!O287</f>
        <v>3990.0686332475743</v>
      </c>
      <c r="E286" s="1">
        <f>Data!AQ287</f>
        <v>0</v>
      </c>
      <c r="F286" t="str">
        <f t="shared" si="4"/>
        <v/>
      </c>
      <c r="G286" s="5">
        <f ca="1">AVERAGE(D$2:D285)</f>
        <v>177.92025097750951</v>
      </c>
      <c r="H286" s="5">
        <f ca="1">PERCENTILE(D$2:D285,0.025)</f>
        <v>-1.1958380390426828</v>
      </c>
      <c r="I286" s="5">
        <f ca="1">PERCENTILE(D$2:D285,0.165)</f>
        <v>2.3692518620380403</v>
      </c>
      <c r="J286" s="5">
        <f ca="1">PERCENTILE(D$2:D285,0.5)</f>
        <v>32.497114873162282</v>
      </c>
      <c r="K286" s="5">
        <f ca="1">PERCENTILE(D$2:D285,0.835)</f>
        <v>236.19178255648373</v>
      </c>
      <c r="L286" s="5">
        <f ca="1">PERCENTILE(D$2:D285,0.975)</f>
        <v>1297.4188971760536</v>
      </c>
      <c r="M286" s="7">
        <f>AVERAGE(E$2:E285)</f>
        <v>1.3370786516853932</v>
      </c>
      <c r="N286" s="7">
        <f>PERCENTILE($E$2:$E285,0.025)</f>
        <v>-2</v>
      </c>
      <c r="O286" s="7">
        <f>PERCENTILE($E$2:$E285,0.165)</f>
        <v>0</v>
      </c>
      <c r="P286" s="7">
        <f>PERCENTILE($E$2:$E285,0.5)</f>
        <v>1</v>
      </c>
      <c r="Q286" s="7">
        <f>PERCENTILE($E$2:$E285,0.835)</f>
        <v>3</v>
      </c>
      <c r="R286" s="7">
        <f>PERCENTILE($E$2:$E285,0.975)</f>
        <v>6</v>
      </c>
    </row>
    <row r="287" spans="1:18" x14ac:dyDescent="0.2">
      <c r="A287" s="5">
        <f>Data!E288</f>
        <v>2006</v>
      </c>
      <c r="B287" s="5">
        <f>Data!M288</f>
        <v>6.9999999999999993E-3</v>
      </c>
      <c r="C287" s="5">
        <f>Data!N288</f>
        <v>1.25E-3</v>
      </c>
      <c r="D287" s="5">
        <f ca="1">Data!O288</f>
        <v>964.26658636816376</v>
      </c>
      <c r="E287" s="1">
        <f>Data!AQ288</f>
        <v>1</v>
      </c>
      <c r="F287" t="str">
        <f t="shared" si="4"/>
        <v/>
      </c>
      <c r="G287" s="5">
        <f ca="1">AVERAGE(D$2:D286)</f>
        <v>191.29621021354484</v>
      </c>
      <c r="H287" s="5">
        <f ca="1">PERCENTILE(D$2:D286,0.025)</f>
        <v>-1.1843603314175755</v>
      </c>
      <c r="I287" s="5">
        <f ca="1">PERCENTILE(D$2:D286,0.165)</f>
        <v>2.4124069840170557</v>
      </c>
      <c r="J287" s="5">
        <f ca="1">PERCENTILE(D$2:D286,0.5)</f>
        <v>32.692488309273479</v>
      </c>
      <c r="K287" s="5">
        <f ca="1">PERCENTILE(D$2:D286,0.835)</f>
        <v>238.82268561205916</v>
      </c>
      <c r="L287" s="5">
        <f ca="1">PERCENTILE(D$2:D286,0.975)</f>
        <v>1327.2065741499787</v>
      </c>
      <c r="M287" s="7">
        <f>AVERAGE(E$2:E286)</f>
        <v>1.3320895522388059</v>
      </c>
      <c r="N287" s="7">
        <f>PERCENTILE($E$2:$E286,0.025)</f>
        <v>-2</v>
      </c>
      <c r="O287" s="7">
        <f>PERCENTILE($E$2:$E286,0.165)</f>
        <v>0</v>
      </c>
      <c r="P287" s="7">
        <f>PERCENTILE($E$2:$E286,0.5)</f>
        <v>1</v>
      </c>
      <c r="Q287" s="7">
        <f>PERCENTILE($E$2:$E286,0.835)</f>
        <v>3</v>
      </c>
      <c r="R287" s="7">
        <f>PERCENTILE($E$2:$E286,0.975)</f>
        <v>6</v>
      </c>
    </row>
    <row r="288" spans="1:18" x14ac:dyDescent="0.2">
      <c r="A288" s="5">
        <f>Data!E289</f>
        <v>2006</v>
      </c>
      <c r="B288" s="5">
        <f>Data!M289</f>
        <v>6.9999999999999993E-3</v>
      </c>
      <c r="C288" s="5">
        <f>Data!N289</f>
        <v>1.25E-3</v>
      </c>
      <c r="D288" s="5">
        <f ca="1">Data!O289</f>
        <v>199.50343166237872</v>
      </c>
      <c r="E288" s="1">
        <f>Data!AQ289</f>
        <v>3</v>
      </c>
      <c r="F288" t="str">
        <f t="shared" si="4"/>
        <v/>
      </c>
      <c r="G288" s="5">
        <f ca="1">AVERAGE(D$2:D287)</f>
        <v>193.99890383646306</v>
      </c>
      <c r="H288" s="5">
        <f ca="1">PERCENTILE(D$2:D287,0.025)</f>
        <v>-1.1728826237924694</v>
      </c>
      <c r="I288" s="5">
        <f ca="1">PERCENTILE(D$2:D287,0.165)</f>
        <v>2.4531844133250527</v>
      </c>
      <c r="J288" s="5">
        <f ca="1">PERCENTILE(D$2:D287,0.5)</f>
        <v>32.971530126501634</v>
      </c>
      <c r="K288" s="5">
        <f ca="1">PERCENTILE(D$2:D287,0.835)</f>
        <v>252.98216998270817</v>
      </c>
      <c r="L288" s="5">
        <f ca="1">PERCENTILE(D$2:D287,0.975)</f>
        <v>1326.7646556476914</v>
      </c>
      <c r="M288" s="7">
        <f>AVERAGE(E$2:E287)</f>
        <v>1.3308550185873607</v>
      </c>
      <c r="N288" s="7">
        <f>PERCENTILE($E$2:$E287,0.025)</f>
        <v>-2</v>
      </c>
      <c r="O288" s="7">
        <f>PERCENTILE($E$2:$E287,0.165)</f>
        <v>0</v>
      </c>
      <c r="P288" s="7">
        <f>PERCENTILE($E$2:$E287,0.5)</f>
        <v>1</v>
      </c>
      <c r="Q288" s="7">
        <f>PERCENTILE($E$2:$E287,0.835)</f>
        <v>3</v>
      </c>
      <c r="R288" s="7">
        <f>PERCENTILE($E$2:$E287,0.975)</f>
        <v>6</v>
      </c>
    </row>
    <row r="289" spans="1:18" x14ac:dyDescent="0.2">
      <c r="A289" s="5">
        <f>Data!E290</f>
        <v>2006</v>
      </c>
      <c r="B289" s="5">
        <f>Data!M290</f>
        <v>6.9999999999999993E-3</v>
      </c>
      <c r="C289" s="5">
        <f>Data!N290</f>
        <v>1.25E-3</v>
      </c>
      <c r="D289" s="5">
        <f ca="1">Data!O290</f>
        <v>598.51029498713615</v>
      </c>
      <c r="E289" s="1" t="str">
        <f>Data!AQ290</f>
        <v>NA</v>
      </c>
      <c r="F289" t="str">
        <f t="shared" si="4"/>
        <v/>
      </c>
      <c r="G289" s="5">
        <f ca="1">AVERAGE(D$2:D288)</f>
        <v>194.01808337592618</v>
      </c>
      <c r="H289" s="5">
        <f ca="1">PERCENTILE(D$2:D288,0.025)</f>
        <v>-1.1614049161673627</v>
      </c>
      <c r="I289" s="5">
        <f ca="1">PERCENTILE(D$2:D288,0.165)</f>
        <v>2.4806467636753355</v>
      </c>
      <c r="J289" s="5">
        <f ca="1">PERCENTILE(D$2:D288,0.5)</f>
        <v>33.250571943729788</v>
      </c>
      <c r="K289" s="5">
        <f ca="1">PERCENTILE(D$2:D288,0.835)</f>
        <v>250.18418804120284</v>
      </c>
      <c r="L289" s="5">
        <f ca="1">PERCENTILE(D$2:D288,0.975)</f>
        <v>1326.3227371454029</v>
      </c>
      <c r="M289" s="7">
        <f>AVERAGE(E$2:E288)</f>
        <v>1.337037037037037</v>
      </c>
      <c r="N289" s="7">
        <f>PERCENTILE($E$2:$E288,0.025)</f>
        <v>-2</v>
      </c>
      <c r="O289" s="7">
        <f>PERCENTILE($E$2:$E288,0.165)</f>
        <v>0</v>
      </c>
      <c r="P289" s="7">
        <f>PERCENTILE($E$2:$E288,0.5)</f>
        <v>1</v>
      </c>
      <c r="Q289" s="7">
        <f>PERCENTILE($E$2:$E288,0.835)</f>
        <v>3</v>
      </c>
      <c r="R289" s="7">
        <f>PERCENTILE($E$2:$E288,0.975)</f>
        <v>6</v>
      </c>
    </row>
    <row r="290" spans="1:18" x14ac:dyDescent="0.2">
      <c r="A290" s="5">
        <f>Data!E364</f>
        <v>2005</v>
      </c>
      <c r="B290" s="5">
        <f>Data!M364</f>
        <v>0.75</v>
      </c>
      <c r="C290" s="5">
        <f>Data!N364</f>
        <v>0.16666666666666666</v>
      </c>
      <c r="D290" s="5">
        <f ca="1">Data!O364</f>
        <v>63.268771214184113</v>
      </c>
      <c r="E290" s="1">
        <f>Data!AQ364</f>
        <v>3</v>
      </c>
      <c r="F290">
        <f t="shared" si="4"/>
        <v>2005</v>
      </c>
      <c r="G290" s="5">
        <f ca="1">AVERAGE(D$2:D289)</f>
        <v>195.42257022179845</v>
      </c>
      <c r="H290" s="5">
        <f ca="1">PERCENTILE(D$2:D289,0.025)</f>
        <v>-1.1499272085422561</v>
      </c>
      <c r="I290" s="5">
        <f ca="1">PERCENTILE(D$2:D289,0.165)</f>
        <v>2.508109114025618</v>
      </c>
      <c r="J290" s="5">
        <f ca="1">PERCENTILE(D$2:D289,0.5)</f>
        <v>33.941650938760901</v>
      </c>
      <c r="K290" s="5">
        <f ca="1">PERCENTILE(D$2:D289,0.835)</f>
        <v>257.24279530628627</v>
      </c>
      <c r="L290" s="5">
        <f ca="1">PERCENTILE(D$2:D289,0.975)</f>
        <v>1325.8808186431156</v>
      </c>
      <c r="M290" s="7">
        <f>AVERAGE(E$2:E289)</f>
        <v>1.337037037037037</v>
      </c>
      <c r="N290" s="7">
        <f>PERCENTILE($E$2:$E289,0.025)</f>
        <v>-2</v>
      </c>
      <c r="O290" s="7">
        <f>PERCENTILE($E$2:$E289,0.165)</f>
        <v>0</v>
      </c>
      <c r="P290" s="7">
        <f>PERCENTILE($E$2:$E289,0.5)</f>
        <v>1</v>
      </c>
      <c r="Q290" s="7">
        <f>PERCENTILE($E$2:$E289,0.835)</f>
        <v>3</v>
      </c>
      <c r="R290" s="7">
        <f>PERCENTILE($E$2:$E289,0.975)</f>
        <v>6</v>
      </c>
    </row>
    <row r="291" spans="1:18" x14ac:dyDescent="0.2">
      <c r="A291" s="5">
        <f>Data!E365</f>
        <v>2005</v>
      </c>
      <c r="B291" s="5">
        <f>Data!M365</f>
        <v>0.75</v>
      </c>
      <c r="C291" s="5">
        <f>Data!N365</f>
        <v>0.16666666666666666</v>
      </c>
      <c r="D291" s="5">
        <f ca="1">Data!O365</f>
        <v>51.497837034801016</v>
      </c>
      <c r="E291" s="1">
        <f>Data!AQ365</f>
        <v>3</v>
      </c>
      <c r="F291" t="str">
        <f t="shared" si="4"/>
        <v/>
      </c>
      <c r="G291" s="5">
        <f ca="1">AVERAGE(D$2:D290)</f>
        <v>194.96529064045723</v>
      </c>
      <c r="H291" s="5">
        <f ca="1">PERCENTILE(D$2:D290,0.025)</f>
        <v>-1.13844950091715</v>
      </c>
      <c r="I291" s="5">
        <f ca="1">PERCENTILE(D$2:D290,0.165)</f>
        <v>2.5355714643759009</v>
      </c>
      <c r="J291" s="5">
        <f ca="1">PERCENTILE(D$2:D290,0.5)</f>
        <v>34.632729933792007</v>
      </c>
      <c r="K291" s="5">
        <f ca="1">PERCENTILE(D$2:D290,0.835)</f>
        <v>256.26131681039055</v>
      </c>
      <c r="L291" s="5">
        <f ca="1">PERCENTILE(D$2:D290,0.975)</f>
        <v>1325.4389001408281</v>
      </c>
      <c r="M291" s="7">
        <f>AVERAGE(E$2:E290)</f>
        <v>1.3431734317343174</v>
      </c>
      <c r="N291" s="7">
        <f>PERCENTILE($E$2:$E290,0.025)</f>
        <v>-2</v>
      </c>
      <c r="O291" s="7">
        <f>PERCENTILE($E$2:$E290,0.165)</f>
        <v>0</v>
      </c>
      <c r="P291" s="7">
        <f>PERCENTILE($E$2:$E290,0.5)</f>
        <v>1</v>
      </c>
      <c r="Q291" s="7">
        <f>PERCENTILE($E$2:$E290,0.835)</f>
        <v>3</v>
      </c>
      <c r="R291" s="7">
        <f>PERCENTILE($E$2:$E290,0.975)</f>
        <v>6</v>
      </c>
    </row>
    <row r="292" spans="1:18" x14ac:dyDescent="0.2">
      <c r="A292" s="5">
        <f>Data!E366</f>
        <v>2005</v>
      </c>
      <c r="B292" s="5">
        <f>Data!M366</f>
        <v>0.75</v>
      </c>
      <c r="C292" s="5">
        <f>Data!N366</f>
        <v>0.16666666666666666</v>
      </c>
      <c r="D292" s="5">
        <f ca="1">Data!O366</f>
        <v>45.612369945109471</v>
      </c>
      <c r="E292" s="1">
        <f>Data!AQ366</f>
        <v>3</v>
      </c>
      <c r="F292" t="str">
        <f t="shared" si="4"/>
        <v/>
      </c>
      <c r="G292" s="5">
        <f ca="1">AVERAGE(D$2:D291)</f>
        <v>194.47057528319635</v>
      </c>
      <c r="H292" s="5">
        <f ca="1">PERCENTILE(D$2:D291,0.025)</f>
        <v>-1.1269717932920427</v>
      </c>
      <c r="I292" s="5">
        <f ca="1">PERCENTILE(D$2:D291,0.165)</f>
        <v>2.5630338147261833</v>
      </c>
      <c r="J292" s="5">
        <f ca="1">PERCENTILE(D$2:D291,0.5)</f>
        <v>34.772915237354141</v>
      </c>
      <c r="K292" s="5">
        <f ca="1">PERCENTILE(D$2:D291,0.835)</f>
        <v>255.27983831449487</v>
      </c>
      <c r="L292" s="5">
        <f ca="1">PERCENTILE(D$2:D291,0.975)</f>
        <v>1324.9969816385399</v>
      </c>
      <c r="M292" s="7">
        <f>AVERAGE(E$2:E291)</f>
        <v>1.349264705882353</v>
      </c>
      <c r="N292" s="7">
        <f>PERCENTILE($E$2:$E291,0.025)</f>
        <v>-2</v>
      </c>
      <c r="O292" s="7">
        <f>PERCENTILE($E$2:$E291,0.165)</f>
        <v>0</v>
      </c>
      <c r="P292" s="7">
        <f>PERCENTILE($E$2:$E291,0.5)</f>
        <v>1</v>
      </c>
      <c r="Q292" s="7">
        <f>PERCENTILE($E$2:$E291,0.835)</f>
        <v>3</v>
      </c>
      <c r="R292" s="7">
        <f>PERCENTILE($E$2:$E291,0.975)</f>
        <v>6</v>
      </c>
    </row>
    <row r="293" spans="1:18" x14ac:dyDescent="0.2">
      <c r="A293" s="5">
        <f>Data!E367</f>
        <v>2005</v>
      </c>
      <c r="B293" s="5">
        <f>Data!M367</f>
        <v>0.75</v>
      </c>
      <c r="C293" s="5">
        <f>Data!N367</f>
        <v>0.16666666666666666</v>
      </c>
      <c r="D293" s="5">
        <f ca="1">Data!O367</f>
        <v>67.682871531452776</v>
      </c>
      <c r="E293" s="1">
        <f>Data!AQ367</f>
        <v>3</v>
      </c>
      <c r="F293" t="str">
        <f t="shared" si="4"/>
        <v/>
      </c>
      <c r="G293" s="5">
        <f ca="1">AVERAGE(D$2:D292)</f>
        <v>193.95903505866684</v>
      </c>
      <c r="H293" s="5">
        <f ca="1">PERCENTILE(D$2:D292,0.025)</f>
        <v>-1.1154940856669366</v>
      </c>
      <c r="I293" s="5">
        <f ca="1">PERCENTILE(D$2:D292,0.165)</f>
        <v>2.5904961650764662</v>
      </c>
      <c r="J293" s="5">
        <f ca="1">PERCENTILE(D$2:D292,0.5)</f>
        <v>34.913100540916275</v>
      </c>
      <c r="K293" s="5">
        <f ca="1">PERCENTILE(D$2:D292,0.835)</f>
        <v>254.29835981859901</v>
      </c>
      <c r="L293" s="5">
        <f ca="1">PERCENTILE(D$2:D292,0.975)</f>
        <v>1324.5550631362523</v>
      </c>
      <c r="M293" s="7">
        <f>AVERAGE(E$2:E292)</f>
        <v>1.3553113553113554</v>
      </c>
      <c r="N293" s="7">
        <f>PERCENTILE($E$2:$E292,0.025)</f>
        <v>-2</v>
      </c>
      <c r="O293" s="7">
        <f>PERCENTILE($E$2:$E292,0.165)</f>
        <v>0</v>
      </c>
      <c r="P293" s="7">
        <f>PERCENTILE($E$2:$E292,0.5)</f>
        <v>1</v>
      </c>
      <c r="Q293" s="7">
        <f>PERCENTILE($E$2:$E292,0.835)</f>
        <v>3</v>
      </c>
      <c r="R293" s="7">
        <f>PERCENTILE($E$2:$E292,0.975)</f>
        <v>6</v>
      </c>
    </row>
    <row r="294" spans="1:18" x14ac:dyDescent="0.2">
      <c r="A294" s="5">
        <f>Data!E368</f>
        <v>2005</v>
      </c>
      <c r="B294" s="5">
        <f>Data!M368</f>
        <v>0.75</v>
      </c>
      <c r="C294" s="5">
        <f>Data!N368</f>
        <v>0.16666666666666666</v>
      </c>
      <c r="D294" s="5">
        <f ca="1">Data!O368</f>
        <v>54.440570579646788</v>
      </c>
      <c r="E294" s="1">
        <f>Data!AQ368</f>
        <v>3</v>
      </c>
      <c r="F294" t="str">
        <f t="shared" si="4"/>
        <v/>
      </c>
      <c r="G294" s="5">
        <f ca="1">AVERAGE(D$2:D293)</f>
        <v>193.52658244384764</v>
      </c>
      <c r="H294" s="5">
        <f ca="1">PERCENTILE(D$2:D293,0.025)</f>
        <v>-1.1040163780418299</v>
      </c>
      <c r="I294" s="5">
        <f ca="1">PERCENTILE(D$2:D293,0.165)</f>
        <v>2.6167102267744631</v>
      </c>
      <c r="J294" s="5">
        <f ca="1">PERCENTILE(D$2:D293,0.5)</f>
        <v>35.886777743614303</v>
      </c>
      <c r="K294" s="5">
        <f ca="1">PERCENTILE(D$2:D293,0.835)</f>
        <v>253.15174464582955</v>
      </c>
      <c r="L294" s="5">
        <f ca="1">PERCENTILE(D$2:D293,0.975)</f>
        <v>1324.1131446339641</v>
      </c>
      <c r="M294" s="7">
        <f>AVERAGE(E$2:E293)</f>
        <v>1.3613138686131387</v>
      </c>
      <c r="N294" s="7">
        <f>PERCENTILE($E$2:$E293,0.025)</f>
        <v>-2</v>
      </c>
      <c r="O294" s="7">
        <f>PERCENTILE($E$2:$E293,0.165)</f>
        <v>0</v>
      </c>
      <c r="P294" s="7">
        <f>PERCENTILE($E$2:$E293,0.5)</f>
        <v>1</v>
      </c>
      <c r="Q294" s="7">
        <f>PERCENTILE($E$2:$E293,0.835)</f>
        <v>3</v>
      </c>
      <c r="R294" s="7">
        <f>PERCENTILE($E$2:$E293,0.975)</f>
        <v>6</v>
      </c>
    </row>
    <row r="295" spans="1:18" x14ac:dyDescent="0.2">
      <c r="A295" s="5">
        <f>Data!E369</f>
        <v>2005</v>
      </c>
      <c r="B295" s="5">
        <f>Data!M369</f>
        <v>0.75</v>
      </c>
      <c r="C295" s="5">
        <f>Data!N369</f>
        <v>0.16666666666666666</v>
      </c>
      <c r="D295" s="5">
        <f ca="1">Data!O369</f>
        <v>47.083736717532361</v>
      </c>
      <c r="E295" s="1">
        <f>Data!AQ369</f>
        <v>3</v>
      </c>
      <c r="F295" t="str">
        <f t="shared" si="4"/>
        <v/>
      </c>
      <c r="G295" s="5">
        <f ca="1">AVERAGE(D$2:D294)</f>
        <v>193.05188615762168</v>
      </c>
      <c r="H295" s="5">
        <f ca="1">PERCENTILE(D$2:D294,0.025)</f>
        <v>-1.0925386704167233</v>
      </c>
      <c r="I295" s="5">
        <f ca="1">PERCENTILE(D$2:D294,0.165)</f>
        <v>2.6304414019496045</v>
      </c>
      <c r="J295" s="5">
        <f ca="1">PERCENTILE(D$2:D294,0.5)</f>
        <v>36.860454946312331</v>
      </c>
      <c r="K295" s="5">
        <f ca="1">PERCENTILE(D$2:D294,0.835)</f>
        <v>250.35376270432423</v>
      </c>
      <c r="L295" s="5">
        <f ca="1">PERCENTILE(D$2:D294,0.975)</f>
        <v>1323.6712261316766</v>
      </c>
      <c r="M295" s="7">
        <f>AVERAGE(E$2:E294)</f>
        <v>1.3672727272727272</v>
      </c>
      <c r="N295" s="7">
        <f>PERCENTILE($E$2:$E294,0.025)</f>
        <v>-2</v>
      </c>
      <c r="O295" s="7">
        <f>PERCENTILE($E$2:$E294,0.165)</f>
        <v>0</v>
      </c>
      <c r="P295" s="7">
        <f>PERCENTILE($E$2:$E294,0.5)</f>
        <v>1</v>
      </c>
      <c r="Q295" s="7">
        <f>PERCENTILE($E$2:$E294,0.835)</f>
        <v>3</v>
      </c>
      <c r="R295" s="7">
        <f>PERCENTILE($E$2:$E294,0.975)</f>
        <v>6</v>
      </c>
    </row>
    <row r="296" spans="1:18" x14ac:dyDescent="0.2">
      <c r="A296" s="5">
        <f>Data!E371</f>
        <v>2005</v>
      </c>
      <c r="B296" s="5">
        <f>Data!M371</f>
        <v>5.5</v>
      </c>
      <c r="C296" s="5">
        <f>Data!N371</f>
        <v>1</v>
      </c>
      <c r="D296" s="5">
        <f ca="1">Data!O371</f>
        <v>30.898702220880612</v>
      </c>
      <c r="E296" s="1">
        <f>Data!AQ371</f>
        <v>3</v>
      </c>
      <c r="F296" t="str">
        <f t="shared" si="4"/>
        <v/>
      </c>
      <c r="G296" s="5">
        <f ca="1">AVERAGE(D$2:D295)</f>
        <v>192.5553958534037</v>
      </c>
      <c r="H296" s="5">
        <f ca="1">PERCENTILE(D$2:D295,0.025)</f>
        <v>-1.0810609627916175</v>
      </c>
      <c r="I296" s="5">
        <f ca="1">PERCENTILE(D$2:D295,0.165)</f>
        <v>2.644172577124746</v>
      </c>
      <c r="J296" s="5">
        <f ca="1">PERCENTILE(D$2:D295,0.5)</f>
        <v>37.435381616951773</v>
      </c>
      <c r="K296" s="5">
        <f ca="1">PERCENTILE(D$2:D295,0.835)</f>
        <v>247.5557807628189</v>
      </c>
      <c r="L296" s="5">
        <f ca="1">PERCENTILE(D$2:D295,0.975)</f>
        <v>1323.2293076293893</v>
      </c>
      <c r="M296" s="7">
        <f>AVERAGE(E$2:E295)</f>
        <v>1.3731884057971016</v>
      </c>
      <c r="N296" s="7">
        <f>PERCENTILE($E$2:$E295,0.025)</f>
        <v>-2</v>
      </c>
      <c r="O296" s="7">
        <f>PERCENTILE($E$2:$E295,0.165)</f>
        <v>0</v>
      </c>
      <c r="P296" s="7">
        <f>PERCENTILE($E$2:$E295,0.5)</f>
        <v>1</v>
      </c>
      <c r="Q296" s="7">
        <f>PERCENTILE($E$2:$E295,0.835)</f>
        <v>3</v>
      </c>
      <c r="R296" s="7">
        <f>PERCENTILE($E$2:$E295,0.975)</f>
        <v>6</v>
      </c>
    </row>
    <row r="297" spans="1:18" x14ac:dyDescent="0.2">
      <c r="A297" s="5">
        <f>Data!E372</f>
        <v>2005</v>
      </c>
      <c r="B297" s="5">
        <f>Data!M372</f>
        <v>2.5</v>
      </c>
      <c r="C297" s="5">
        <f>Data!N372</f>
        <v>1</v>
      </c>
      <c r="D297" s="5">
        <f ca="1">Data!O372</f>
        <v>74.671863700461486</v>
      </c>
      <c r="E297" s="1" t="str">
        <f>Data!AQ372</f>
        <v>NA</v>
      </c>
      <c r="F297" t="str">
        <f t="shared" si="4"/>
        <v/>
      </c>
      <c r="G297" s="5">
        <f ca="1">AVERAGE(D$2:D296)</f>
        <v>192.00740706142906</v>
      </c>
      <c r="H297" s="5">
        <f ca="1">PERCENTILE(D$2:D296,0.025)</f>
        <v>-1.0695832551665099</v>
      </c>
      <c r="I297" s="5">
        <f ca="1">PERCENTILE(D$2:D296,0.165)</f>
        <v>2.6579037522998878</v>
      </c>
      <c r="J297" s="5">
        <f ca="1">PERCENTILE(D$2:D296,0.5)</f>
        <v>36.860454946312331</v>
      </c>
      <c r="K297" s="5">
        <f ca="1">PERCENTILE(D$2:D296,0.835)</f>
        <v>244.75779882131309</v>
      </c>
      <c r="L297" s="5">
        <f ca="1">PERCENTILE(D$2:D296,0.975)</f>
        <v>1322.7873891271008</v>
      </c>
      <c r="M297" s="7">
        <f>AVERAGE(E$2:E296)</f>
        <v>1.3790613718411553</v>
      </c>
      <c r="N297" s="7">
        <f>PERCENTILE($E$2:$E296,0.025)</f>
        <v>-2</v>
      </c>
      <c r="O297" s="7">
        <f>PERCENTILE($E$2:$E296,0.165)</f>
        <v>0</v>
      </c>
      <c r="P297" s="7">
        <f>PERCENTILE($E$2:$E296,0.5)</f>
        <v>1</v>
      </c>
      <c r="Q297" s="7">
        <f>PERCENTILE($E$2:$E296,0.835)</f>
        <v>3</v>
      </c>
      <c r="R297" s="7">
        <f>PERCENTILE($E$2:$E296,0.975)</f>
        <v>6</v>
      </c>
    </row>
    <row r="298" spans="1:18" x14ac:dyDescent="0.2">
      <c r="A298" s="5">
        <f>Data!E339</f>
        <v>2006</v>
      </c>
      <c r="B298" s="5">
        <f>Data!M339</f>
        <v>0.10476190476190475</v>
      </c>
      <c r="C298" s="5">
        <f>Data!N339</f>
        <v>1.5873015873015872E-2</v>
      </c>
      <c r="D298" s="5">
        <f ca="1">Data!O339</f>
        <v>96.426658636816384</v>
      </c>
      <c r="E298" s="1">
        <f>Data!AQ339</f>
        <v>0</v>
      </c>
      <c r="F298">
        <f t="shared" si="4"/>
        <v>2006</v>
      </c>
      <c r="G298" s="5">
        <f ca="1">AVERAGE(D$2:D297)</f>
        <v>191.61100319872307</v>
      </c>
      <c r="H298" s="5">
        <f ca="1">PERCENTILE(D$2:D297,0.025)</f>
        <v>-1.0581055475414038</v>
      </c>
      <c r="I298" s="5">
        <f ca="1">PERCENTILE(D$2:D297,0.165)</f>
        <v>2.6716349274750293</v>
      </c>
      <c r="J298" s="5">
        <f ca="1">PERCENTILE(D$2:D297,0.5)</f>
        <v>37.435381616951773</v>
      </c>
      <c r="K298" s="5">
        <f ca="1">PERCENTILE(D$2:D297,0.835)</f>
        <v>241.95981687980776</v>
      </c>
      <c r="L298" s="5">
        <f ca="1">PERCENTILE(D$2:D297,0.975)</f>
        <v>1322.3454706248135</v>
      </c>
      <c r="M298" s="7">
        <f>AVERAGE(E$2:E297)</f>
        <v>1.3790613718411553</v>
      </c>
      <c r="N298" s="7">
        <f>PERCENTILE($E$2:$E297,0.025)</f>
        <v>-2</v>
      </c>
      <c r="O298" s="7">
        <f>PERCENTILE($E$2:$E297,0.165)</f>
        <v>0</v>
      </c>
      <c r="P298" s="7">
        <f>PERCENTILE($E$2:$E297,0.5)</f>
        <v>1</v>
      </c>
      <c r="Q298" s="7">
        <f>PERCENTILE($E$2:$E297,0.835)</f>
        <v>3</v>
      </c>
      <c r="R298" s="7">
        <f>PERCENTILE($E$2:$E297,0.975)</f>
        <v>6</v>
      </c>
    </row>
    <row r="299" spans="1:18" x14ac:dyDescent="0.2">
      <c r="A299" s="5">
        <f>Data!E340</f>
        <v>2006</v>
      </c>
      <c r="B299" s="5">
        <f>Data!M340</f>
        <v>0.10476190476190475</v>
      </c>
      <c r="C299" s="5">
        <f>Data!N340</f>
        <v>1.5873015873015872E-2</v>
      </c>
      <c r="D299" s="5">
        <f ca="1">Data!O340</f>
        <v>18.287814569051381</v>
      </c>
      <c r="E299" s="1">
        <f>Data!AQ340</f>
        <v>1</v>
      </c>
      <c r="F299" t="str">
        <f t="shared" si="4"/>
        <v/>
      </c>
      <c r="G299" s="5">
        <f ca="1">AVERAGE(D$2:D298)</f>
        <v>191.29051719009712</v>
      </c>
      <c r="H299" s="5">
        <f ca="1">PERCENTILE(D$2:D298,0.025)</f>
        <v>-1.0466278399162972</v>
      </c>
      <c r="I299" s="5">
        <f ca="1">PERCENTILE(D$2:D298,0.165)</f>
        <v>2.6853661026501707</v>
      </c>
      <c r="J299" s="5">
        <f ca="1">PERCENTILE(D$2:D298,0.5)</f>
        <v>38.010308287591222</v>
      </c>
      <c r="K299" s="5">
        <f ca="1">PERCENTILE(D$2:D298,0.835)</f>
        <v>239.16183493830241</v>
      </c>
      <c r="L299" s="5">
        <f ca="1">PERCENTILE(D$2:D298,0.975)</f>
        <v>1321.9035521225251</v>
      </c>
      <c r="M299" s="7">
        <f>AVERAGE(E$2:E298)</f>
        <v>1.3741007194244603</v>
      </c>
      <c r="N299" s="7">
        <f>PERCENTILE($E$2:$E298,0.025)</f>
        <v>-2</v>
      </c>
      <c r="O299" s="7">
        <f>PERCENTILE($E$2:$E298,0.165)</f>
        <v>0</v>
      </c>
      <c r="P299" s="7">
        <f>PERCENTILE($E$2:$E298,0.5)</f>
        <v>1</v>
      </c>
      <c r="Q299" s="7">
        <f>PERCENTILE($E$2:$E298,0.835)</f>
        <v>3</v>
      </c>
      <c r="R299" s="7">
        <f>PERCENTILE($E$2:$E298,0.975)</f>
        <v>6</v>
      </c>
    </row>
    <row r="300" spans="1:18" x14ac:dyDescent="0.2">
      <c r="A300" s="5">
        <f>Data!E341</f>
        <v>2006</v>
      </c>
      <c r="B300" s="5">
        <f>Data!M341</f>
        <v>0.10476190476190475</v>
      </c>
      <c r="C300" s="5">
        <f>Data!N341</f>
        <v>1.5873015873015872E-2</v>
      </c>
      <c r="D300" s="5">
        <f ca="1">Data!O341</f>
        <v>-3.8238157735289251</v>
      </c>
      <c r="E300" s="1">
        <f>Data!AQ341</f>
        <v>3</v>
      </c>
      <c r="F300" t="str">
        <f t="shared" si="4"/>
        <v/>
      </c>
      <c r="G300" s="5">
        <f ca="1">AVERAGE(D$2:D299)</f>
        <v>190.70997120814729</v>
      </c>
      <c r="H300" s="5">
        <f ca="1">PERCENTILE(D$2:D299,0.025)</f>
        <v>-1.0351501322911905</v>
      </c>
      <c r="I300" s="5">
        <f ca="1">PERCENTILE(D$2:D299,0.165)</f>
        <v>2.6999294702601699</v>
      </c>
      <c r="J300" s="5">
        <f ca="1">PERCENTILE(D$2:D299,0.5)</f>
        <v>37.435381616951773</v>
      </c>
      <c r="K300" s="5">
        <f ca="1">PERCENTILE(D$2:D299,0.835)</f>
        <v>236.4467924307184</v>
      </c>
      <c r="L300" s="5">
        <f ca="1">PERCENTILE(D$2:D299,0.975)</f>
        <v>1321.4616336202378</v>
      </c>
      <c r="M300" s="7">
        <f>AVERAGE(E$2:E299)</f>
        <v>1.3727598566308243</v>
      </c>
      <c r="N300" s="7">
        <f>PERCENTILE($E$2:$E299,0.025)</f>
        <v>-2</v>
      </c>
      <c r="O300" s="7">
        <f>PERCENTILE($E$2:$E299,0.165)</f>
        <v>0</v>
      </c>
      <c r="P300" s="7">
        <f>PERCENTILE($E$2:$E299,0.5)</f>
        <v>1</v>
      </c>
      <c r="Q300" s="7">
        <f>PERCENTILE($E$2:$E299,0.835)</f>
        <v>3</v>
      </c>
      <c r="R300" s="7">
        <f>PERCENTILE($E$2:$E299,0.975)</f>
        <v>6</v>
      </c>
    </row>
    <row r="301" spans="1:18" x14ac:dyDescent="0.2">
      <c r="A301" s="5">
        <f>Data!E342</f>
        <v>2006</v>
      </c>
      <c r="B301" s="5">
        <f>Data!M342</f>
        <v>0.94285714285714273</v>
      </c>
      <c r="C301" s="5">
        <f>Data!N342</f>
        <v>0.14285714285714285</v>
      </c>
      <c r="D301" s="5">
        <f ca="1">Data!O342</f>
        <v>29.925514749356807</v>
      </c>
      <c r="E301" s="1" t="str">
        <f>Data!AQ342</f>
        <v>NA</v>
      </c>
      <c r="F301" t="str">
        <f t="shared" si="4"/>
        <v/>
      </c>
      <c r="G301" s="5">
        <f ca="1">AVERAGE(D$2:D300)</f>
        <v>190.05935653596777</v>
      </c>
      <c r="H301" s="5">
        <f ca="1">PERCENTILE(D$2:D300,0.025)</f>
        <v>-2.0166471883872128</v>
      </c>
      <c r="I301" s="5">
        <f ca="1">PERCENTILE(D$2:D300,0.165)</f>
        <v>2.6296092095147476</v>
      </c>
      <c r="J301" s="5">
        <f ca="1">PERCENTILE(D$2:D300,0.5)</f>
        <v>36.860454946312331</v>
      </c>
      <c r="K301" s="5">
        <f ca="1">PERCENTILE(D$2:D300,0.835)</f>
        <v>236.3858118086188</v>
      </c>
      <c r="L301" s="5">
        <f ca="1">PERCENTILE(D$2:D300,0.975)</f>
        <v>1321.0197151179505</v>
      </c>
      <c r="M301" s="7">
        <f>AVERAGE(E$2:E300)</f>
        <v>1.3785714285714286</v>
      </c>
      <c r="N301" s="7">
        <f>PERCENTILE($E$2:$E300,0.025)</f>
        <v>-2</v>
      </c>
      <c r="O301" s="7">
        <f>PERCENTILE($E$2:$E300,0.165)</f>
        <v>0</v>
      </c>
      <c r="P301" s="7">
        <f>PERCENTILE($E$2:$E300,0.5)</f>
        <v>1</v>
      </c>
      <c r="Q301" s="7">
        <f>PERCENTILE($E$2:$E300,0.835)</f>
        <v>3</v>
      </c>
      <c r="R301" s="7">
        <f>PERCENTILE($E$2:$E300,0.975)</f>
        <v>6</v>
      </c>
    </row>
    <row r="302" spans="1:18" x14ac:dyDescent="0.2">
      <c r="A302" s="5">
        <f>Data!E343</f>
        <v>2006</v>
      </c>
      <c r="B302" s="5">
        <f>Data!M343</f>
        <v>5.2380952380952375E-2</v>
      </c>
      <c r="C302" s="5">
        <f>Data!N343</f>
        <v>7.9365079365079361E-3</v>
      </c>
      <c r="D302" s="5">
        <f ca="1">Data!O343</f>
        <v>10.972688741430829</v>
      </c>
      <c r="E302" s="1" t="str">
        <f>Data!AQ343</f>
        <v>NA</v>
      </c>
      <c r="F302" t="str">
        <f t="shared" si="4"/>
        <v/>
      </c>
      <c r="G302" s="5">
        <f ca="1">AVERAGE(D$2:D301)</f>
        <v>189.52557706334574</v>
      </c>
      <c r="H302" s="5">
        <f ca="1">PERCENTILE(D$2:D301,0.025)</f>
        <v>-1.9809028235477002</v>
      </c>
      <c r="I302" s="5">
        <f ca="1">PERCENTILE(D$2:D301,0.165)</f>
        <v>2.6433403846898891</v>
      </c>
      <c r="J302" s="5">
        <f ca="1">PERCENTILE(D$2:D301,0.5)</f>
        <v>35.886777743614303</v>
      </c>
      <c r="K302" s="5">
        <f ca="1">PERCENTILE(D$2:D301,0.835)</f>
        <v>236.32483118651922</v>
      </c>
      <c r="L302" s="5">
        <f ca="1">PERCENTILE(D$2:D301,0.975)</f>
        <v>1320.577796615662</v>
      </c>
      <c r="M302" s="7">
        <f>AVERAGE(E$2:E301)</f>
        <v>1.3785714285714286</v>
      </c>
      <c r="N302" s="7">
        <f>PERCENTILE($E$2:$E301,0.025)</f>
        <v>-2</v>
      </c>
      <c r="O302" s="7">
        <f>PERCENTILE($E$2:$E301,0.165)</f>
        <v>0</v>
      </c>
      <c r="P302" s="7">
        <f>PERCENTILE($E$2:$E301,0.5)</f>
        <v>1</v>
      </c>
      <c r="Q302" s="7">
        <f>PERCENTILE($E$2:$E301,0.835)</f>
        <v>3</v>
      </c>
      <c r="R302" s="7">
        <f>PERCENTILE($E$2:$E301,0.975)</f>
        <v>6</v>
      </c>
    </row>
    <row r="303" spans="1:18" x14ac:dyDescent="0.2">
      <c r="A303" s="5">
        <f>Data!E344</f>
        <v>2006</v>
      </c>
      <c r="B303" s="5">
        <f>Data!M344</f>
        <v>0.94285714285714273</v>
      </c>
      <c r="C303" s="5">
        <f>Data!N344</f>
        <v>0.14285714285714285</v>
      </c>
      <c r="D303" s="5">
        <f ca="1">Data!O344</f>
        <v>146.30251655241105</v>
      </c>
      <c r="E303" s="1" t="str">
        <f>Data!AQ344</f>
        <v>NA</v>
      </c>
      <c r="F303" t="str">
        <f t="shared" si="4"/>
        <v/>
      </c>
      <c r="G303" s="5">
        <f ca="1">AVERAGE(D$2:D302)</f>
        <v>188.93237809882112</v>
      </c>
      <c r="H303" s="5">
        <f ca="1">PERCENTILE(D$2:D302,0.025)</f>
        <v>-1.9451584587081927</v>
      </c>
      <c r="I303" s="5">
        <f ca="1">PERCENTILE(D$2:D302,0.165)</f>
        <v>2.6570715598650305</v>
      </c>
      <c r="J303" s="5">
        <f ca="1">PERCENTILE(D$2:D302,0.5)</f>
        <v>34.913100540916275</v>
      </c>
      <c r="K303" s="5">
        <f ca="1">PERCENTILE(D$2:D302,0.835)</f>
        <v>236.26385056441961</v>
      </c>
      <c r="L303" s="5">
        <f ca="1">PERCENTILE(D$2:D302,0.975)</f>
        <v>1320.1358781133745</v>
      </c>
      <c r="M303" s="7">
        <f>AVERAGE(E$2:E302)</f>
        <v>1.3785714285714286</v>
      </c>
      <c r="N303" s="7">
        <f>PERCENTILE($E$2:$E302,0.025)</f>
        <v>-2</v>
      </c>
      <c r="O303" s="7">
        <f>PERCENTILE($E$2:$E302,0.165)</f>
        <v>0</v>
      </c>
      <c r="P303" s="7">
        <f>PERCENTILE($E$2:$E302,0.5)</f>
        <v>1</v>
      </c>
      <c r="Q303" s="7">
        <f>PERCENTILE($E$2:$E302,0.835)</f>
        <v>3</v>
      </c>
      <c r="R303" s="7">
        <f>PERCENTILE($E$2:$E302,0.975)</f>
        <v>6</v>
      </c>
    </row>
    <row r="304" spans="1:18" x14ac:dyDescent="0.2">
      <c r="A304" s="5">
        <f>Data!E345</f>
        <v>2006</v>
      </c>
      <c r="B304" s="5">
        <f>Data!M345</f>
        <v>5.2380952380952375E-2</v>
      </c>
      <c r="C304" s="5">
        <f>Data!N345</f>
        <v>7.9365079365079361E-3</v>
      </c>
      <c r="D304" s="5">
        <f ca="1">Data!O345</f>
        <v>3.491310054091628</v>
      </c>
      <c r="E304" s="1" t="str">
        <f>Data!AQ345</f>
        <v>NA</v>
      </c>
      <c r="F304" t="str">
        <f t="shared" si="4"/>
        <v/>
      </c>
      <c r="G304" s="5">
        <f ca="1">AVERAGE(D$2:D303)</f>
        <v>188.79121961687935</v>
      </c>
      <c r="H304" s="5">
        <f ca="1">PERCENTILE(D$2:D303,0.025)</f>
        <v>-1.9094140938686825</v>
      </c>
      <c r="I304" s="5">
        <f ca="1">PERCENTILE(D$2:D303,0.165)</f>
        <v>2.670802735040172</v>
      </c>
      <c r="J304" s="5">
        <f ca="1">PERCENTILE(D$2:D303,0.5)</f>
        <v>35.886777743614303</v>
      </c>
      <c r="K304" s="5">
        <f ca="1">PERCENTILE(D$2:D303,0.835)</f>
        <v>236.20286994232004</v>
      </c>
      <c r="L304" s="5">
        <f ca="1">PERCENTILE(D$2:D303,0.975)</f>
        <v>1319.6939596110863</v>
      </c>
      <c r="M304" s="7">
        <f>AVERAGE(E$2:E303)</f>
        <v>1.3785714285714286</v>
      </c>
      <c r="N304" s="7">
        <f>PERCENTILE($E$2:$E303,0.025)</f>
        <v>-2</v>
      </c>
      <c r="O304" s="7">
        <f>PERCENTILE($E$2:$E303,0.165)</f>
        <v>0</v>
      </c>
      <c r="P304" s="7">
        <f>PERCENTILE($E$2:$E303,0.5)</f>
        <v>1</v>
      </c>
      <c r="Q304" s="7">
        <f>PERCENTILE($E$2:$E303,0.835)</f>
        <v>3</v>
      </c>
      <c r="R304" s="7">
        <f>PERCENTILE($E$2:$E303,0.975)</f>
        <v>6</v>
      </c>
    </row>
    <row r="305" spans="1:18" x14ac:dyDescent="0.2">
      <c r="A305" s="5">
        <f>Data!E346</f>
        <v>2006</v>
      </c>
      <c r="B305" s="5">
        <f>Data!M346</f>
        <v>1.4142857142857141</v>
      </c>
      <c r="C305" s="5">
        <f>Data!N346</f>
        <v>0.21428571428571427</v>
      </c>
      <c r="D305" s="5">
        <f ca="1">Data!O346</f>
        <v>146.30251655241105</v>
      </c>
      <c r="E305" s="1" t="str">
        <f>Data!AQ346</f>
        <v>NA</v>
      </c>
      <c r="F305" t="str">
        <f t="shared" si="4"/>
        <v/>
      </c>
      <c r="G305" s="5">
        <f ca="1">AVERAGE(D$2:D304)</f>
        <v>188.1796687602365</v>
      </c>
      <c r="H305" s="5">
        <f ca="1">PERCENTILE(D$2:D304,0.025)</f>
        <v>-1.8736697290291726</v>
      </c>
      <c r="I305" s="5">
        <f ca="1">PERCENTILE(D$2:D304,0.165)</f>
        <v>2.6845339102153138</v>
      </c>
      <c r="J305" s="5">
        <f ca="1">PERCENTILE(D$2:D304,0.5)</f>
        <v>34.913100540916275</v>
      </c>
      <c r="K305" s="5">
        <f ca="1">PERCENTILE(D$2:D304,0.835)</f>
        <v>236.14188932022043</v>
      </c>
      <c r="L305" s="5">
        <f ca="1">PERCENTILE(D$2:D304,0.975)</f>
        <v>1319.2520411087987</v>
      </c>
      <c r="M305" s="7">
        <f>AVERAGE(E$2:E304)</f>
        <v>1.3785714285714286</v>
      </c>
      <c r="N305" s="7">
        <f>PERCENTILE($E$2:$E304,0.025)</f>
        <v>-2</v>
      </c>
      <c r="O305" s="7">
        <f>PERCENTILE($E$2:$E304,0.165)</f>
        <v>0</v>
      </c>
      <c r="P305" s="7">
        <f>PERCENTILE($E$2:$E304,0.5)</f>
        <v>1</v>
      </c>
      <c r="Q305" s="7">
        <f>PERCENTILE($E$2:$E304,0.835)</f>
        <v>3</v>
      </c>
      <c r="R305" s="7">
        <f>PERCENTILE($E$2:$E304,0.975)</f>
        <v>6</v>
      </c>
    </row>
    <row r="306" spans="1:18" x14ac:dyDescent="0.2">
      <c r="A306" s="5">
        <f>Data!E347</f>
        <v>2006</v>
      </c>
      <c r="B306" s="5">
        <f>Data!M347</f>
        <v>5.2380952380952375E-2</v>
      </c>
      <c r="C306" s="5">
        <f>Data!N347</f>
        <v>7.9365079365079361E-3</v>
      </c>
      <c r="D306" s="5">
        <f ca="1">Data!O347</f>
        <v>3.491310054091628</v>
      </c>
      <c r="E306" s="1" t="str">
        <f>Data!AQ347</f>
        <v>NA</v>
      </c>
      <c r="F306" t="str">
        <f t="shared" si="4"/>
        <v/>
      </c>
      <c r="G306" s="5">
        <f ca="1">AVERAGE(D$2:D305)</f>
        <v>188.04191497007915</v>
      </c>
      <c r="H306" s="5">
        <f ca="1">PERCENTILE(D$2:D305,0.025)</f>
        <v>-1.8379253641896651</v>
      </c>
      <c r="I306" s="5">
        <f ca="1">PERCENTILE(D$2:D305,0.165)</f>
        <v>2.6982650853904553</v>
      </c>
      <c r="J306" s="5">
        <f ca="1">PERCENTILE(D$2:D305,0.5)</f>
        <v>35.886777743614303</v>
      </c>
      <c r="K306" s="5">
        <f ca="1">PERCENTILE(D$2:D305,0.835)</f>
        <v>236.08090869812085</v>
      </c>
      <c r="L306" s="5">
        <f ca="1">PERCENTILE(D$2:D305,0.975)</f>
        <v>1318.8101226065114</v>
      </c>
      <c r="M306" s="7">
        <f>AVERAGE(E$2:E305)</f>
        <v>1.3785714285714286</v>
      </c>
      <c r="N306" s="7">
        <f>PERCENTILE($E$2:$E305,0.025)</f>
        <v>-2</v>
      </c>
      <c r="O306" s="7">
        <f>PERCENTILE($E$2:$E305,0.165)</f>
        <v>0</v>
      </c>
      <c r="P306" s="7">
        <f>PERCENTILE($E$2:$E305,0.5)</f>
        <v>1</v>
      </c>
      <c r="Q306" s="7">
        <f>PERCENTILE($E$2:$E305,0.835)</f>
        <v>3</v>
      </c>
      <c r="R306" s="7">
        <f>PERCENTILE($E$2:$E305,0.975)</f>
        <v>6</v>
      </c>
    </row>
    <row r="307" spans="1:18" x14ac:dyDescent="0.2">
      <c r="A307" s="5">
        <f>Data!E348</f>
        <v>2006</v>
      </c>
      <c r="B307" s="5">
        <f>Data!M348</f>
        <v>0.23571428571428568</v>
      </c>
      <c r="C307" s="5">
        <f>Data!N348</f>
        <v>3.5714285714285712E-2</v>
      </c>
      <c r="D307" s="5">
        <f ca="1">Data!O348</f>
        <v>307.56779047950056</v>
      </c>
      <c r="E307" s="1">
        <f>Data!AQ348</f>
        <v>0</v>
      </c>
      <c r="F307" t="str">
        <f t="shared" si="4"/>
        <v/>
      </c>
      <c r="G307" s="5">
        <f ca="1">AVERAGE(D$2:D306)</f>
        <v>187.43683101953494</v>
      </c>
      <c r="H307" s="5">
        <f ca="1">PERCENTILE(D$2:D306,0.025)</f>
        <v>-1.8021809993501525</v>
      </c>
      <c r="I307" s="5">
        <f ca="1">PERCENTILE(D$2:D306,0.165)</f>
        <v>2.7386264184810232</v>
      </c>
      <c r="J307" s="5">
        <f ca="1">PERCENTILE(D$2:D306,0.5)</f>
        <v>34.913100540916275</v>
      </c>
      <c r="K307" s="5">
        <f ca="1">PERCENTILE(D$2:D306,0.835)</f>
        <v>233.62559109127722</v>
      </c>
      <c r="L307" s="5">
        <f ca="1">PERCENTILE(D$2:D306,0.975)</f>
        <v>1318.368204104223</v>
      </c>
      <c r="M307" s="7">
        <f>AVERAGE(E$2:E306)</f>
        <v>1.3785714285714286</v>
      </c>
      <c r="N307" s="7">
        <f>PERCENTILE($E$2:$E306,0.025)</f>
        <v>-2</v>
      </c>
      <c r="O307" s="7">
        <f>PERCENTILE($E$2:$E306,0.165)</f>
        <v>0</v>
      </c>
      <c r="P307" s="7">
        <f>PERCENTILE($E$2:$E306,0.5)</f>
        <v>1</v>
      </c>
      <c r="Q307" s="7">
        <f>PERCENTILE($E$2:$E306,0.835)</f>
        <v>3</v>
      </c>
      <c r="R307" s="7">
        <f>PERCENTILE($E$2:$E306,0.975)</f>
        <v>6</v>
      </c>
    </row>
    <row r="308" spans="1:18" x14ac:dyDescent="0.2">
      <c r="A308" s="5">
        <f>Data!E349</f>
        <v>2006</v>
      </c>
      <c r="B308" s="5">
        <f>Data!M349</f>
        <v>0.23571428571428568</v>
      </c>
      <c r="C308" s="5">
        <f>Data!N349</f>
        <v>3.5714285714285712E-2</v>
      </c>
      <c r="D308" s="5">
        <f ca="1">Data!O349</f>
        <v>48.213329318408192</v>
      </c>
      <c r="E308" s="1">
        <f>Data!AQ349</f>
        <v>1</v>
      </c>
      <c r="F308" t="str">
        <f t="shared" si="4"/>
        <v/>
      </c>
      <c r="G308" s="5">
        <f ca="1">AVERAGE(D$2:D307)</f>
        <v>187.82941585437143</v>
      </c>
      <c r="H308" s="5">
        <f ca="1">PERCENTILE(D$2:D307,0.025)</f>
        <v>-1.766436634510645</v>
      </c>
      <c r="I308" s="5">
        <f ca="1">PERCENTILE(D$2:D307,0.165)</f>
        <v>2.7798199440064471</v>
      </c>
      <c r="J308" s="5">
        <f ca="1">PERCENTILE(D$2:D307,0.5)</f>
        <v>35.886777743614303</v>
      </c>
      <c r="K308" s="5">
        <f ca="1">PERCENTILE(D$2:D307,0.835)</f>
        <v>236.32852698179798</v>
      </c>
      <c r="L308" s="5">
        <f ca="1">PERCENTILE(D$2:D307,0.975)</f>
        <v>1317.9262856019357</v>
      </c>
      <c r="M308" s="7">
        <f>AVERAGE(E$2:E307)</f>
        <v>1.3736654804270463</v>
      </c>
      <c r="N308" s="7">
        <f>PERCENTILE($E$2:$E307,0.025)</f>
        <v>-2</v>
      </c>
      <c r="O308" s="7">
        <f>PERCENTILE($E$2:$E307,0.165)</f>
        <v>0</v>
      </c>
      <c r="P308" s="7">
        <f>PERCENTILE($E$2:$E307,0.5)</f>
        <v>1</v>
      </c>
      <c r="Q308" s="7">
        <f>PERCENTILE($E$2:$E307,0.835)</f>
        <v>3</v>
      </c>
      <c r="R308" s="7">
        <f>PERCENTILE($E$2:$E307,0.975)</f>
        <v>6</v>
      </c>
    </row>
    <row r="309" spans="1:18" x14ac:dyDescent="0.2">
      <c r="A309" s="5">
        <f>Data!E350</f>
        <v>2006</v>
      </c>
      <c r="B309" s="5">
        <f>Data!M350</f>
        <v>0.23571428571428568</v>
      </c>
      <c r="C309" s="5">
        <f>Data!N350</f>
        <v>3.5714285714285712E-2</v>
      </c>
      <c r="D309" s="5">
        <f ca="1">Data!O350</f>
        <v>-2.1612871763424364</v>
      </c>
      <c r="E309" s="1">
        <f>Data!AQ350</f>
        <v>3</v>
      </c>
      <c r="F309" t="str">
        <f t="shared" si="4"/>
        <v/>
      </c>
      <c r="G309" s="5">
        <f ca="1">AVERAGE(D$2:D308)</f>
        <v>187.37464032819565</v>
      </c>
      <c r="H309" s="5">
        <f ca="1">PERCENTILE(D$2:D308,0.025)</f>
        <v>-1.7306922696711351</v>
      </c>
      <c r="I309" s="5">
        <f ca="1">PERCENTILE(D$2:D308,0.165)</f>
        <v>2.8210134695318709</v>
      </c>
      <c r="J309" s="5">
        <f ca="1">PERCENTILE(D$2:D308,0.5)</f>
        <v>36.860454946312331</v>
      </c>
      <c r="K309" s="5">
        <f ca="1">PERCENTILE(D$2:D308,0.835)</f>
        <v>236.2675463596984</v>
      </c>
      <c r="L309" s="5">
        <f ca="1">PERCENTILE(D$2:D308,0.975)</f>
        <v>1317.4843670996472</v>
      </c>
      <c r="M309" s="7">
        <f>AVERAGE(E$2:E308)</f>
        <v>1.3723404255319149</v>
      </c>
      <c r="N309" s="7">
        <f>PERCENTILE($E$2:$E308,0.025)</f>
        <v>-2</v>
      </c>
      <c r="O309" s="7">
        <f>PERCENTILE($E$2:$E308,0.165)</f>
        <v>0</v>
      </c>
      <c r="P309" s="7">
        <f>PERCENTILE($E$2:$E308,0.5)</f>
        <v>1</v>
      </c>
      <c r="Q309" s="7">
        <f>PERCENTILE($E$2:$E308,0.835)</f>
        <v>3</v>
      </c>
      <c r="R309" s="7">
        <f>PERCENTILE($E$2:$E308,0.975)</f>
        <v>5.9749999999999659</v>
      </c>
    </row>
    <row r="310" spans="1:18" x14ac:dyDescent="0.2">
      <c r="A310" s="5">
        <f>Data!E351</f>
        <v>2006</v>
      </c>
      <c r="B310" s="5">
        <f>Data!M351</f>
        <v>0.23571428571428568</v>
      </c>
      <c r="C310" s="5">
        <f>Data!N351</f>
        <v>3.5714285714285712E-2</v>
      </c>
      <c r="D310" s="5">
        <f ca="1">Data!O351</f>
        <v>141.31493076085158</v>
      </c>
      <c r="E310" s="1">
        <f>Data!AQ351</f>
        <v>0</v>
      </c>
      <c r="F310" t="str">
        <f t="shared" si="4"/>
        <v/>
      </c>
      <c r="G310" s="5">
        <f ca="1">AVERAGE(D$2:D309)</f>
        <v>186.7592639401939</v>
      </c>
      <c r="H310" s="5">
        <f ca="1">PERCENTILE(D$2:D309,0.025)</f>
        <v>-2.3233837145681187</v>
      </c>
      <c r="I310" s="5">
        <f ca="1">PERCENTILE(D$2:D309,0.165)</f>
        <v>2.6699705426053151</v>
      </c>
      <c r="J310" s="5">
        <f ca="1">PERCENTILE(D$2:D309,0.5)</f>
        <v>35.886777743614303</v>
      </c>
      <c r="K310" s="5">
        <f ca="1">PERCENTILE(D$2:D309,0.835)</f>
        <v>236.20656573759879</v>
      </c>
      <c r="L310" s="5">
        <f ca="1">PERCENTILE(D$2:D309,0.975)</f>
        <v>1317.0424485973599</v>
      </c>
      <c r="M310" s="7">
        <f>AVERAGE(E$2:E309)</f>
        <v>1.3780918727915195</v>
      </c>
      <c r="N310" s="7">
        <f>PERCENTILE($E$2:$E309,0.025)</f>
        <v>-2</v>
      </c>
      <c r="O310" s="7">
        <f>PERCENTILE($E$2:$E309,0.165)</f>
        <v>0</v>
      </c>
      <c r="P310" s="7">
        <f>PERCENTILE($E$2:$E309,0.5)</f>
        <v>1</v>
      </c>
      <c r="Q310" s="7">
        <f>PERCENTILE($E$2:$E309,0.835)</f>
        <v>3</v>
      </c>
      <c r="R310" s="7">
        <f>PERCENTILE($E$2:$E309,0.975)</f>
        <v>5.9499999999999886</v>
      </c>
    </row>
    <row r="311" spans="1:18" x14ac:dyDescent="0.2">
      <c r="A311" s="5">
        <f>Data!E352</f>
        <v>2006</v>
      </c>
      <c r="B311" s="5">
        <f>Data!M352</f>
        <v>0.23571428571428568</v>
      </c>
      <c r="C311" s="5">
        <f>Data!N352</f>
        <v>3.5714285714285712E-2</v>
      </c>
      <c r="D311" s="5">
        <f ca="1">Data!O352</f>
        <v>24.93792895779734</v>
      </c>
      <c r="E311" s="1">
        <f>Data!AQ352</f>
        <v>1</v>
      </c>
      <c r="F311" t="str">
        <f t="shared" si="4"/>
        <v/>
      </c>
      <c r="G311" s="5">
        <f ca="1">AVERAGE(D$2:D310)</f>
        <v>186.61219490077858</v>
      </c>
      <c r="H311" s="5">
        <f ca="1">PERCENTILE(D$2:D310,0.025)</f>
        <v>-2.3109147500892209</v>
      </c>
      <c r="I311" s="5">
        <f ca="1">PERCENTILE(D$2:D310,0.165)</f>
        <v>2.6837017177804565</v>
      </c>
      <c r="J311" s="5">
        <f ca="1">PERCENTILE(D$2:D310,0.5)</f>
        <v>36.860454946312331</v>
      </c>
      <c r="K311" s="5">
        <f ca="1">PERCENTILE(D$2:D310,0.835)</f>
        <v>236.14558511549922</v>
      </c>
      <c r="L311" s="5">
        <f ca="1">PERCENTILE(D$2:D310,0.975)</f>
        <v>1316.6005300950726</v>
      </c>
      <c r="M311" s="7">
        <f>AVERAGE(E$2:E310)</f>
        <v>1.3732394366197183</v>
      </c>
      <c r="N311" s="7">
        <f>PERCENTILE($E$2:$E310,0.025)</f>
        <v>-2</v>
      </c>
      <c r="O311" s="7">
        <f>PERCENTILE($E$2:$E310,0.165)</f>
        <v>0</v>
      </c>
      <c r="P311" s="7">
        <f>PERCENTILE($E$2:$E310,0.5)</f>
        <v>1</v>
      </c>
      <c r="Q311" s="7">
        <f>PERCENTILE($E$2:$E310,0.835)</f>
        <v>3</v>
      </c>
      <c r="R311" s="7">
        <f>PERCENTILE($E$2:$E310,0.975)</f>
        <v>5.9250000000000114</v>
      </c>
    </row>
    <row r="312" spans="1:18" x14ac:dyDescent="0.2">
      <c r="A312" s="5">
        <f>Data!E353</f>
        <v>2006</v>
      </c>
      <c r="B312" s="5">
        <f>Data!M353</f>
        <v>0.23571428571428568</v>
      </c>
      <c r="C312" s="5">
        <f>Data!N353</f>
        <v>3.5714285714285712E-2</v>
      </c>
      <c r="D312" s="5">
        <f ca="1">Data!O353</f>
        <v>-3.491310054091628</v>
      </c>
      <c r="E312" s="1">
        <f>Data!AQ353</f>
        <v>3</v>
      </c>
      <c r="F312" t="str">
        <f t="shared" si="4"/>
        <v/>
      </c>
      <c r="G312" s="5">
        <f ca="1">AVERAGE(D$2:D311)</f>
        <v>186.09066501063992</v>
      </c>
      <c r="H312" s="5">
        <f ca="1">PERCENTILE(D$2:D311,0.025)</f>
        <v>-2.2984457856103209</v>
      </c>
      <c r="I312" s="5">
        <f ca="1">PERCENTILE(D$2:D311,0.165)</f>
        <v>2.697432892955598</v>
      </c>
      <c r="J312" s="5">
        <f ca="1">PERCENTILE(D$2:D311,0.5)</f>
        <v>35.886777743614303</v>
      </c>
      <c r="K312" s="5">
        <f ca="1">PERCENTILE(D$2:D311,0.835)</f>
        <v>236.08460449339961</v>
      </c>
      <c r="L312" s="5">
        <f ca="1">PERCENTILE(D$2:D311,0.975)</f>
        <v>1316.1586115927842</v>
      </c>
      <c r="M312" s="7">
        <f>AVERAGE(E$2:E311)</f>
        <v>1.3719298245614036</v>
      </c>
      <c r="N312" s="7">
        <f>PERCENTILE($E$2:$E311,0.025)</f>
        <v>-2</v>
      </c>
      <c r="O312" s="7">
        <f>PERCENTILE($E$2:$E311,0.165)</f>
        <v>0</v>
      </c>
      <c r="P312" s="7">
        <f>PERCENTILE($E$2:$E311,0.5)</f>
        <v>1</v>
      </c>
      <c r="Q312" s="7">
        <f>PERCENTILE($E$2:$E311,0.835)</f>
        <v>3</v>
      </c>
      <c r="R312" s="7">
        <f>PERCENTILE($E$2:$E311,0.975)</f>
        <v>5.8999999999999773</v>
      </c>
    </row>
    <row r="313" spans="1:18" x14ac:dyDescent="0.2">
      <c r="A313" s="5">
        <f>Data!E354</f>
        <v>2006</v>
      </c>
      <c r="B313" s="5">
        <f>Data!M354</f>
        <v>1.4142857142857141</v>
      </c>
      <c r="C313" s="5">
        <f>Data!N354</f>
        <v>0.21428571428571427</v>
      </c>
      <c r="D313" s="5">
        <f ca="1">Data!O354</f>
        <v>58.188500901527128</v>
      </c>
      <c r="E313" s="1" t="str">
        <f>Data!AQ354</f>
        <v>NA</v>
      </c>
      <c r="F313" t="str">
        <f t="shared" si="4"/>
        <v/>
      </c>
      <c r="G313" s="5">
        <f ca="1">AVERAGE(D$2:D312)</f>
        <v>185.48107666638035</v>
      </c>
      <c r="H313" s="5">
        <f ca="1">PERCENTILE(D$2:D312,0.025)</f>
        <v>-2.8678618301466945</v>
      </c>
      <c r="I313" s="5">
        <f ca="1">PERCENTILE(D$2:D312,0.165)</f>
        <v>2.6279448246450339</v>
      </c>
      <c r="J313" s="5">
        <f ca="1">PERCENTILE(D$2:D312,0.5)</f>
        <v>34.913100540916275</v>
      </c>
      <c r="K313" s="5">
        <f ca="1">PERCENTILE(D$2:D312,0.835)</f>
        <v>233.77893294810229</v>
      </c>
      <c r="L313" s="5">
        <f ca="1">PERCENTILE(D$2:D312,0.975)</f>
        <v>1315.7166930904968</v>
      </c>
      <c r="M313" s="7">
        <f>AVERAGE(E$2:E312)</f>
        <v>1.3776223776223777</v>
      </c>
      <c r="N313" s="7">
        <f>PERCENTILE($E$2:$E312,0.025)</f>
        <v>-2</v>
      </c>
      <c r="O313" s="7">
        <f>PERCENTILE($E$2:$E312,0.165)</f>
        <v>0</v>
      </c>
      <c r="P313" s="7">
        <f>PERCENTILE($E$2:$E312,0.5)</f>
        <v>1</v>
      </c>
      <c r="Q313" s="7">
        <f>PERCENTILE($E$2:$E312,0.835)</f>
        <v>3</v>
      </c>
      <c r="R313" s="7">
        <f>PERCENTILE($E$2:$E312,0.975)</f>
        <v>5.875</v>
      </c>
    </row>
    <row r="314" spans="1:18" x14ac:dyDescent="0.2">
      <c r="A314" s="5">
        <f>Data!E355</f>
        <v>2006</v>
      </c>
      <c r="B314" s="5">
        <f>Data!M355</f>
        <v>1.1199999999999999</v>
      </c>
      <c r="C314" s="5">
        <f>Data!N355</f>
        <v>0.2</v>
      </c>
      <c r="D314" s="5">
        <f ca="1">Data!O355</f>
        <v>27.955968676034839</v>
      </c>
      <c r="E314" s="1">
        <f>Data!AQ355</f>
        <v>3</v>
      </c>
      <c r="F314" t="str">
        <f t="shared" si="4"/>
        <v/>
      </c>
      <c r="G314" s="5">
        <f ca="1">AVERAGE(D$2:D313)</f>
        <v>185.07308764149298</v>
      </c>
      <c r="H314" s="5">
        <f ca="1">PERCENTILE(D$2:D313,0.025)</f>
        <v>-2.8470802226818632</v>
      </c>
      <c r="I314" s="5">
        <f ca="1">PERCENTILE(D$2:D313,0.165)</f>
        <v>2.6416759998201753</v>
      </c>
      <c r="J314" s="5">
        <f ca="1">PERCENTILE(D$2:D313,0.5)</f>
        <v>35.886777743614303</v>
      </c>
      <c r="K314" s="5">
        <f ca="1">PERCENTILE(D$2:D313,0.835)</f>
        <v>231.24879231048635</v>
      </c>
      <c r="L314" s="5">
        <f ca="1">PERCENTILE(D$2:D313,0.975)</f>
        <v>1315.2747745882084</v>
      </c>
      <c r="M314" s="7">
        <f>AVERAGE(E$2:E313)</f>
        <v>1.3776223776223777</v>
      </c>
      <c r="N314" s="7">
        <f>PERCENTILE($E$2:$E313,0.025)</f>
        <v>-2</v>
      </c>
      <c r="O314" s="7">
        <f>PERCENTILE($E$2:$E313,0.165)</f>
        <v>0</v>
      </c>
      <c r="P314" s="7">
        <f>PERCENTILE($E$2:$E313,0.5)</f>
        <v>1</v>
      </c>
      <c r="Q314" s="7">
        <f>PERCENTILE($E$2:$E313,0.835)</f>
        <v>3</v>
      </c>
      <c r="R314" s="7">
        <f>PERCENTILE($E$2:$E313,0.975)</f>
        <v>5.875</v>
      </c>
    </row>
    <row r="315" spans="1:18" x14ac:dyDescent="0.2">
      <c r="A315" s="5">
        <f>Data!E356</f>
        <v>2006</v>
      </c>
      <c r="B315" s="5">
        <f>Data!M356</f>
        <v>1.1199999999999999</v>
      </c>
      <c r="C315" s="5">
        <f>Data!N356</f>
        <v>0.2</v>
      </c>
      <c r="D315" s="5">
        <f ca="1">Data!O356</f>
        <v>20.599134813920408</v>
      </c>
      <c r="E315" s="1">
        <f>Data!AQ356</f>
        <v>3</v>
      </c>
      <c r="F315" t="str">
        <f t="shared" si="4"/>
        <v/>
      </c>
      <c r="G315" s="5">
        <f ca="1">AVERAGE(D$2:D314)</f>
        <v>184.57111601540524</v>
      </c>
      <c r="H315" s="5">
        <f ca="1">PERCENTILE(D$2:D314,0.025)</f>
        <v>-2.8262986152170315</v>
      </c>
      <c r="I315" s="5">
        <f ca="1">PERCENTILE(D$2:D314,0.165)</f>
        <v>2.6554071749953168</v>
      </c>
      <c r="J315" s="5">
        <f ca="1">PERCENTILE(D$2:D314,0.5)</f>
        <v>34.913100540916275</v>
      </c>
      <c r="K315" s="5">
        <f ca="1">PERCENTILE(D$2:D314,0.835)</f>
        <v>228.71865167286956</v>
      </c>
      <c r="L315" s="5">
        <f ca="1">PERCENTILE(D$2:D314,0.975)</f>
        <v>1314.8328560859211</v>
      </c>
      <c r="M315" s="7">
        <f>AVERAGE(E$2:E314)</f>
        <v>1.3832752613240418</v>
      </c>
      <c r="N315" s="7">
        <f>PERCENTILE($E$2:$E314,0.025)</f>
        <v>-2</v>
      </c>
      <c r="O315" s="7">
        <f>PERCENTILE($E$2:$E314,0.165)</f>
        <v>0</v>
      </c>
      <c r="P315" s="7">
        <f>PERCENTILE($E$2:$E314,0.5)</f>
        <v>1</v>
      </c>
      <c r="Q315" s="7">
        <f>PERCENTILE($E$2:$E314,0.835)</f>
        <v>3</v>
      </c>
      <c r="R315" s="7">
        <f>PERCENTILE($E$2:$E314,0.975)</f>
        <v>5.8499999999999659</v>
      </c>
    </row>
    <row r="316" spans="1:18" x14ac:dyDescent="0.2">
      <c r="A316" s="5">
        <f>Data!E357</f>
        <v>2006</v>
      </c>
      <c r="B316" s="5">
        <f>Data!M357</f>
        <v>0.55999999999999994</v>
      </c>
      <c r="C316" s="5">
        <f>Data!N357</f>
        <v>0.1</v>
      </c>
      <c r="D316" s="5">
        <f ca="1">Data!O357</f>
        <v>69.154238303875658</v>
      </c>
      <c r="E316" s="1">
        <f>Data!AQ357</f>
        <v>2</v>
      </c>
      <c r="F316" t="str">
        <f t="shared" si="4"/>
        <v/>
      </c>
      <c r="G316" s="5">
        <f ca="1">AVERAGE(D$2:D315)</f>
        <v>184.04891225361709</v>
      </c>
      <c r="H316" s="5">
        <f ca="1">PERCENTILE(D$2:D315,0.025)</f>
        <v>-2.8055170077522016</v>
      </c>
      <c r="I316" s="5">
        <f ca="1">PERCENTILE(D$2:D315,0.165)</f>
        <v>2.6691383501704582</v>
      </c>
      <c r="J316" s="5">
        <f ca="1">PERCENTILE(D$2:D315,0.5)</f>
        <v>34.772915237354141</v>
      </c>
      <c r="K316" s="5">
        <f ca="1">PERCENTILE(D$2:D315,0.835)</f>
        <v>226.18851103525273</v>
      </c>
      <c r="L316" s="5">
        <f ca="1">PERCENTILE(D$2:D315,0.975)</f>
        <v>1314.3909375836336</v>
      </c>
      <c r="M316" s="7">
        <f>AVERAGE(E$2:E315)</f>
        <v>1.3888888888888888</v>
      </c>
      <c r="N316" s="7">
        <f>PERCENTILE($E$2:$E315,0.025)</f>
        <v>-2</v>
      </c>
      <c r="O316" s="7">
        <f>PERCENTILE($E$2:$E315,0.165)</f>
        <v>0</v>
      </c>
      <c r="P316" s="7">
        <f>PERCENTILE($E$2:$E315,0.5)</f>
        <v>1</v>
      </c>
      <c r="Q316" s="7">
        <f>PERCENTILE($E$2:$E315,0.835)</f>
        <v>3</v>
      </c>
      <c r="R316" s="7">
        <f>PERCENTILE($E$2:$E315,0.975)</f>
        <v>5.8249999999999886</v>
      </c>
    </row>
    <row r="317" spans="1:18" x14ac:dyDescent="0.2">
      <c r="A317" s="5">
        <f>Data!E358</f>
        <v>2006</v>
      </c>
      <c r="B317" s="5">
        <f>Data!M358</f>
        <v>0.55999999999999994</v>
      </c>
      <c r="C317" s="5">
        <f>Data!N358</f>
        <v>0.1</v>
      </c>
      <c r="D317" s="5">
        <f ca="1">Data!O358</f>
        <v>213.34818200131849</v>
      </c>
      <c r="E317" s="1">
        <f>Data!AQ358</f>
        <v>1</v>
      </c>
      <c r="F317" t="str">
        <f t="shared" si="4"/>
        <v/>
      </c>
      <c r="G317" s="5">
        <f ca="1">AVERAGE(D$2:D316)</f>
        <v>183.68416725695124</v>
      </c>
      <c r="H317" s="5">
        <f ca="1">PERCENTILE(D$2:D316,0.025)</f>
        <v>-2.784735400287369</v>
      </c>
      <c r="I317" s="5">
        <f ca="1">PERCENTILE(D$2:D316,0.165)</f>
        <v>2.6828695253455996</v>
      </c>
      <c r="J317" s="5">
        <f ca="1">PERCENTILE(D$2:D316,0.5)</f>
        <v>34.913100540916275</v>
      </c>
      <c r="K317" s="5">
        <f ca="1">PERCENTILE(D$2:D316,0.835)</f>
        <v>223.65837039763679</v>
      </c>
      <c r="L317" s="5">
        <f ca="1">PERCENTILE(D$2:D316,0.975)</f>
        <v>1313.9490190813453</v>
      </c>
      <c r="M317" s="7">
        <f>AVERAGE(E$2:E316)</f>
        <v>1.3910034602076125</v>
      </c>
      <c r="N317" s="7">
        <f>PERCENTILE($E$2:$E316,0.025)</f>
        <v>-2</v>
      </c>
      <c r="O317" s="7">
        <f>PERCENTILE($E$2:$E316,0.165)</f>
        <v>0</v>
      </c>
      <c r="P317" s="7">
        <f>PERCENTILE($E$2:$E316,0.5)</f>
        <v>1</v>
      </c>
      <c r="Q317" s="7">
        <f>PERCENTILE($E$2:$E316,0.835)</f>
        <v>3</v>
      </c>
      <c r="R317" s="7">
        <f>PERCENTILE($E$2:$E316,0.975)</f>
        <v>5.8000000000000114</v>
      </c>
    </row>
    <row r="318" spans="1:18" x14ac:dyDescent="0.2">
      <c r="A318" s="5">
        <f>Data!E359</f>
        <v>2006</v>
      </c>
      <c r="B318" s="5">
        <f>Data!M359</f>
        <v>0.55999999999999994</v>
      </c>
      <c r="C318" s="5">
        <f>Data!N359</f>
        <v>0.1</v>
      </c>
      <c r="D318" s="5">
        <f ca="1">Data!O359</f>
        <v>44.141003172686588</v>
      </c>
      <c r="E318" s="1">
        <f>Data!AQ359</f>
        <v>2</v>
      </c>
      <c r="F318" t="str">
        <f t="shared" si="4"/>
        <v/>
      </c>
      <c r="G318" s="5">
        <f ca="1">AVERAGE(D$2:D317)</f>
        <v>183.77804072133216</v>
      </c>
      <c r="H318" s="5">
        <f ca="1">PERCENTILE(D$2:D317,0.025)</f>
        <v>-2.7639537928225391</v>
      </c>
      <c r="I318" s="5">
        <f ca="1">PERCENTILE(D$2:D317,0.165)</f>
        <v>2.6966007005207411</v>
      </c>
      <c r="J318" s="5">
        <f ca="1">PERCENTILE(D$2:D317,0.5)</f>
        <v>35.886777743614303</v>
      </c>
      <c r="K318" s="5">
        <f ca="1">PERCENTILE(D$2:D317,0.835)</f>
        <v>221.12822976001996</v>
      </c>
      <c r="L318" s="5">
        <f ca="1">PERCENTILE(D$2:D317,0.975)</f>
        <v>1313.5071005790578</v>
      </c>
      <c r="M318" s="7">
        <f>AVERAGE(E$2:E317)</f>
        <v>1.3896551724137931</v>
      </c>
      <c r="N318" s="7">
        <f>PERCENTILE($E$2:$E317,0.025)</f>
        <v>-2</v>
      </c>
      <c r="O318" s="7">
        <f>PERCENTILE($E$2:$E317,0.165)</f>
        <v>0</v>
      </c>
      <c r="P318" s="7">
        <f>PERCENTILE($E$2:$E317,0.5)</f>
        <v>1</v>
      </c>
      <c r="Q318" s="7">
        <f>PERCENTILE($E$2:$E317,0.835)</f>
        <v>3</v>
      </c>
      <c r="R318" s="7">
        <f>PERCENTILE($E$2:$E317,0.975)</f>
        <v>5.7749999999999773</v>
      </c>
    </row>
    <row r="319" spans="1:18" x14ac:dyDescent="0.2">
      <c r="A319" s="5">
        <f>Data!E360</f>
        <v>2006</v>
      </c>
      <c r="B319" s="5">
        <f>Data!M360</f>
        <v>0.55999999999999994</v>
      </c>
      <c r="C319" s="5">
        <f>Data!N360</f>
        <v>0.1</v>
      </c>
      <c r="D319" s="5">
        <f ca="1">Data!O360</f>
        <v>133.89437629048265</v>
      </c>
      <c r="E319" s="1">
        <f>Data!AQ360</f>
        <v>1</v>
      </c>
      <c r="F319" t="str">
        <f t="shared" si="4"/>
        <v/>
      </c>
      <c r="G319" s="5">
        <f ca="1">AVERAGE(D$2:D318)</f>
        <v>183.33754533474337</v>
      </c>
      <c r="H319" s="5">
        <f ca="1">PERCENTILE(D$2:D318,0.025)</f>
        <v>-2.7431721853577073</v>
      </c>
      <c r="I319" s="5">
        <f ca="1">PERCENTILE(D$2:D318,0.165)</f>
        <v>2.7336332638718801</v>
      </c>
      <c r="J319" s="5">
        <f ca="1">PERCENTILE(D$2:D318,0.5)</f>
        <v>36.860454946312331</v>
      </c>
      <c r="K319" s="5">
        <f ca="1">PERCENTILE(D$2:D318,0.835)</f>
        <v>220.44308240592005</v>
      </c>
      <c r="L319" s="5">
        <f ca="1">PERCENTILE(D$2:D318,0.975)</f>
        <v>1313.0651820767696</v>
      </c>
      <c r="M319" s="7">
        <f>AVERAGE(E$2:E318)</f>
        <v>1.3917525773195876</v>
      </c>
      <c r="N319" s="7">
        <f>PERCENTILE($E$2:$E318,0.025)</f>
        <v>-2</v>
      </c>
      <c r="O319" s="7">
        <f>PERCENTILE($E$2:$E318,0.165)</f>
        <v>0</v>
      </c>
      <c r="P319" s="7">
        <f>PERCENTILE($E$2:$E318,0.5)</f>
        <v>1</v>
      </c>
      <c r="Q319" s="7">
        <f>PERCENTILE($E$2:$E318,0.835)</f>
        <v>3</v>
      </c>
      <c r="R319" s="7">
        <f>PERCENTILE($E$2:$E318,0.975)</f>
        <v>5.75</v>
      </c>
    </row>
    <row r="320" spans="1:18" x14ac:dyDescent="0.2">
      <c r="A320" s="5">
        <f>Data!E361</f>
        <v>2006</v>
      </c>
      <c r="B320" s="5">
        <f>Data!M361</f>
        <v>0.55999999999999994</v>
      </c>
      <c r="C320" s="5">
        <f>Data!N361</f>
        <v>0.1</v>
      </c>
      <c r="D320" s="5">
        <f ca="1">Data!O361</f>
        <v>42.669636400263698</v>
      </c>
      <c r="E320" s="1">
        <f>Data!AQ361</f>
        <v>3</v>
      </c>
      <c r="F320" t="str">
        <f t="shared" si="4"/>
        <v/>
      </c>
      <c r="G320" s="5">
        <f ca="1">AVERAGE(D$2:D319)</f>
        <v>183.18206367108215</v>
      </c>
      <c r="H320" s="5">
        <f ca="1">PERCENTILE(D$2:D319,0.025)</f>
        <v>-2.7223905778928761</v>
      </c>
      <c r="I320" s="5">
        <f ca="1">PERCENTILE(D$2:D319,0.165)</f>
        <v>2.774826789397304</v>
      </c>
      <c r="J320" s="5">
        <f ca="1">PERCENTILE(D$2:D319,0.5)</f>
        <v>37.435381616951773</v>
      </c>
      <c r="K320" s="5">
        <f ca="1">PERCENTILE(D$2:D319,0.835)</f>
        <v>220.08739813816189</v>
      </c>
      <c r="L320" s="5">
        <f ca="1">PERCENTILE(D$2:D319,0.975)</f>
        <v>1312.6232635744821</v>
      </c>
      <c r="M320" s="7">
        <f>AVERAGE(E$2:E319)</f>
        <v>1.3904109589041096</v>
      </c>
      <c r="N320" s="7">
        <f>PERCENTILE($E$2:$E319,0.025)</f>
        <v>-2</v>
      </c>
      <c r="O320" s="7">
        <f>PERCENTILE($E$2:$E319,0.165)</f>
        <v>0</v>
      </c>
      <c r="P320" s="7">
        <f>PERCENTILE($E$2:$E319,0.5)</f>
        <v>1</v>
      </c>
      <c r="Q320" s="7">
        <f>PERCENTILE($E$2:$E319,0.835)</f>
        <v>3</v>
      </c>
      <c r="R320" s="7">
        <f>PERCENTILE($E$2:$E319,0.975)</f>
        <v>5.7249999999999659</v>
      </c>
    </row>
    <row r="321" spans="1:18" x14ac:dyDescent="0.2">
      <c r="A321" s="5">
        <f>Data!E362</f>
        <v>2006</v>
      </c>
      <c r="B321" s="5">
        <f>Data!M362</f>
        <v>0.55999999999999994</v>
      </c>
      <c r="C321" s="5">
        <f>Data!N362</f>
        <v>0.1</v>
      </c>
      <c r="D321" s="5">
        <f ca="1">Data!O362</f>
        <v>30.898702220880612</v>
      </c>
      <c r="E321" s="1">
        <f>Data!AQ362</f>
        <v>3</v>
      </c>
      <c r="F321" t="str">
        <f t="shared" si="4"/>
        <v/>
      </c>
      <c r="G321" s="5">
        <f ca="1">AVERAGE(D$2:D320)</f>
        <v>182.741585842647</v>
      </c>
      <c r="H321" s="5">
        <f ca="1">PERCENTILE(D$2:D320,0.025)</f>
        <v>-2.7016089704280462</v>
      </c>
      <c r="I321" s="5">
        <f ca="1">PERCENTILE(D$2:D320,0.165)</f>
        <v>2.8160203149227296</v>
      </c>
      <c r="J321" s="5">
        <f ca="1">PERCENTILE(D$2:D320,0.5)</f>
        <v>38.010308287591222</v>
      </c>
      <c r="K321" s="5">
        <f ca="1">PERCENTILE(D$2:D320,0.835)</f>
        <v>219.73171387040372</v>
      </c>
      <c r="L321" s="5">
        <f ca="1">PERCENTILE(D$2:D320,0.975)</f>
        <v>1312.1813450721947</v>
      </c>
      <c r="M321" s="7">
        <f>AVERAGE(E$2:E320)</f>
        <v>1.3959044368600682</v>
      </c>
      <c r="N321" s="7">
        <f>PERCENTILE($E$2:$E320,0.025)</f>
        <v>-2</v>
      </c>
      <c r="O321" s="7">
        <f>PERCENTILE($E$2:$E320,0.165)</f>
        <v>0</v>
      </c>
      <c r="P321" s="7">
        <f>PERCENTILE($E$2:$E320,0.5)</f>
        <v>1</v>
      </c>
      <c r="Q321" s="7">
        <f>PERCENTILE($E$2:$E320,0.835)</f>
        <v>3</v>
      </c>
      <c r="R321" s="7">
        <f>PERCENTILE($E$2:$E320,0.975)</f>
        <v>5.6999999999999886</v>
      </c>
    </row>
    <row r="322" spans="1:18" x14ac:dyDescent="0.2">
      <c r="A322" s="5">
        <f>Data!E363</f>
        <v>2006</v>
      </c>
      <c r="B322" s="5">
        <f>Data!M363</f>
        <v>5.6</v>
      </c>
      <c r="C322" s="5">
        <f>Data!N363</f>
        <v>1</v>
      </c>
      <c r="D322" s="5">
        <f ca="1">Data!O363</f>
        <v>27.955968676034839</v>
      </c>
      <c r="E322" s="1">
        <f>Data!AQ363</f>
        <v>3</v>
      </c>
      <c r="F322" t="str">
        <f t="shared" si="4"/>
        <v/>
      </c>
      <c r="G322" s="5">
        <f ca="1">AVERAGE(D$2:D321)</f>
        <v>182.26707683132898</v>
      </c>
      <c r="H322" s="5">
        <f ca="1">PERCENTILE(D$2:D321,0.025)</f>
        <v>-2.6808273629632131</v>
      </c>
      <c r="I322" s="5">
        <f ca="1">PERCENTILE(D$2:D321,0.165)</f>
        <v>2.8572138404481535</v>
      </c>
      <c r="J322" s="5">
        <f ca="1">PERCENTILE(D$2:D321,0.5)</f>
        <v>37.435381616951773</v>
      </c>
      <c r="K322" s="5">
        <f ca="1">PERCENTILE(D$2:D321,0.835)</f>
        <v>219.3760296026457</v>
      </c>
      <c r="L322" s="5">
        <f ca="1">PERCENTILE(D$2:D321,0.975)</f>
        <v>1311.7394265699063</v>
      </c>
      <c r="M322" s="7">
        <f>AVERAGE(E$2:E321)</f>
        <v>1.4013605442176871</v>
      </c>
      <c r="N322" s="7">
        <f>PERCENTILE($E$2:$E321,0.025)</f>
        <v>-2</v>
      </c>
      <c r="O322" s="7">
        <f>PERCENTILE($E$2:$E321,0.165)</f>
        <v>0</v>
      </c>
      <c r="P322" s="7">
        <f>PERCENTILE($E$2:$E321,0.5)</f>
        <v>1</v>
      </c>
      <c r="Q322" s="7">
        <f>PERCENTILE($E$2:$E321,0.835)</f>
        <v>3</v>
      </c>
      <c r="R322" s="7">
        <f>PERCENTILE($E$2:$E321,0.975)</f>
        <v>5.6750000000000114</v>
      </c>
    </row>
    <row r="323" spans="1:18" x14ac:dyDescent="0.2">
      <c r="A323" s="5">
        <f>Data!E370</f>
        <v>2006</v>
      </c>
      <c r="B323" s="5">
        <f>Data!M370</f>
        <v>5.6</v>
      </c>
      <c r="C323" s="5">
        <f>Data!N370</f>
        <v>1</v>
      </c>
      <c r="D323" s="5">
        <f ca="1">Data!O370</f>
        <v>27.955968676034839</v>
      </c>
      <c r="E323" s="1">
        <f>Data!AQ370</f>
        <v>3</v>
      </c>
      <c r="F323" t="str">
        <f t="shared" si="4"/>
        <v/>
      </c>
      <c r="G323" s="5">
        <f ca="1">AVERAGE(D$2:D322)</f>
        <v>181.78635686822835</v>
      </c>
      <c r="H323" s="5">
        <f ca="1">PERCENTILE(D$2:D322,0.025)</f>
        <v>-2.6600457554983832</v>
      </c>
      <c r="I323" s="5">
        <f ca="1">PERCENTILE(D$2:D322,0.165)</f>
        <v>2.8984073659735774</v>
      </c>
      <c r="J323" s="5">
        <f ca="1">PERCENTILE(D$2:D322,0.5)</f>
        <v>36.860454946312331</v>
      </c>
      <c r="K323" s="5">
        <f ca="1">PERCENTILE(D$2:D322,0.835)</f>
        <v>219.02034533488754</v>
      </c>
      <c r="L323" s="5">
        <f ca="1">PERCENTILE(D$2:D322,0.975)</f>
        <v>1311.297508067619</v>
      </c>
      <c r="M323" s="7">
        <f>AVERAGE(E$2:E322)</f>
        <v>1.4067796610169492</v>
      </c>
      <c r="N323" s="7">
        <f>PERCENTILE($E$2:$E322,0.025)</f>
        <v>-2</v>
      </c>
      <c r="O323" s="7">
        <f>PERCENTILE($E$2:$E322,0.165)</f>
        <v>0</v>
      </c>
      <c r="P323" s="7">
        <f>PERCENTILE($E$2:$E322,0.5)</f>
        <v>1</v>
      </c>
      <c r="Q323" s="7">
        <f>PERCENTILE($E$2:$E322,0.835)</f>
        <v>3</v>
      </c>
      <c r="R323" s="7">
        <f>PERCENTILE($E$2:$E322,0.975)</f>
        <v>5.6499999999999773</v>
      </c>
    </row>
    <row r="324" spans="1:18" x14ac:dyDescent="0.2">
      <c r="A324" s="5">
        <f>Data!E373</f>
        <v>2006</v>
      </c>
      <c r="B324" s="5">
        <f>Data!M373</f>
        <v>4.5999999999999996</v>
      </c>
      <c r="C324" s="5">
        <f>Data!N373</f>
        <v>1</v>
      </c>
      <c r="D324" s="5">
        <f ca="1">Data!O373</f>
        <v>462.00916654078628</v>
      </c>
      <c r="E324" s="1">
        <f>Data!AQ373</f>
        <v>0</v>
      </c>
      <c r="F324" t="str">
        <f t="shared" si="4"/>
        <v/>
      </c>
      <c r="G324" s="5">
        <f ca="1">AVERAGE(D$2:D323)</f>
        <v>181.30862274340788</v>
      </c>
      <c r="H324" s="5">
        <f ca="1">PERCENTILE(D$2:D323,0.025)</f>
        <v>-2.6475767910194845</v>
      </c>
      <c r="I324" s="5">
        <f ca="1">PERCENTILE(D$2:D323,0.165)</f>
        <v>2.9396008914990013</v>
      </c>
      <c r="J324" s="5">
        <f ca="1">PERCENTILE(D$2:D323,0.5)</f>
        <v>35.886777743614303</v>
      </c>
      <c r="K324" s="5">
        <f ca="1">PERCENTILE(D$2:D323,0.835)</f>
        <v>218.66466106712937</v>
      </c>
      <c r="L324" s="5">
        <f ca="1">PERCENTILE(D$2:D323,0.975)</f>
        <v>1306.6713044370902</v>
      </c>
      <c r="M324" s="7">
        <f>AVERAGE(E$2:E323)</f>
        <v>1.4121621621621621</v>
      </c>
      <c r="N324" s="7">
        <f>PERCENTILE($E$2:$E323,0.025)</f>
        <v>-2</v>
      </c>
      <c r="O324" s="7">
        <f>PERCENTILE($E$2:$E323,0.165)</f>
        <v>0</v>
      </c>
      <c r="P324" s="7">
        <f>PERCENTILE($E$2:$E323,0.5)</f>
        <v>1</v>
      </c>
      <c r="Q324" s="7">
        <f>PERCENTILE($E$2:$E323,0.835)</f>
        <v>3</v>
      </c>
      <c r="R324" s="7">
        <f>PERCENTILE($E$2:$E323,0.975)</f>
        <v>5.625</v>
      </c>
    </row>
    <row r="325" spans="1:18" x14ac:dyDescent="0.2">
      <c r="A325" s="5">
        <f>Data!E374</f>
        <v>2007</v>
      </c>
      <c r="B325" s="5">
        <f>Data!M374</f>
        <v>2.85</v>
      </c>
      <c r="C325" s="5">
        <f>Data!N374</f>
        <v>0.5</v>
      </c>
      <c r="D325" s="5">
        <f ca="1">Data!O374</f>
        <v>134.87528747209791</v>
      </c>
      <c r="E325" s="1">
        <f>Data!AQ374</f>
        <v>0</v>
      </c>
      <c r="F325">
        <f t="shared" ref="F325:F388" si="5">IF(A325&lt;&gt;A324,A325,"")</f>
        <v>2007</v>
      </c>
      <c r="G325" s="5">
        <f ca="1">AVERAGE(D$2:D324)</f>
        <v>182.17766467466913</v>
      </c>
      <c r="H325" s="5">
        <f ca="1">PERCENTILE(D$2:D324,0.025)</f>
        <v>-2.6351078265405854</v>
      </c>
      <c r="I325" s="5">
        <f ca="1">PERCENTILE(D$2:D324,0.165)</f>
        <v>2.9581860189791218</v>
      </c>
      <c r="J325" s="5">
        <f ca="1">PERCENTILE(D$2:D324,0.5)</f>
        <v>36.860454946312331</v>
      </c>
      <c r="K325" s="5">
        <f ca="1">PERCENTILE(D$2:D324,0.835)</f>
        <v>220.46463902820841</v>
      </c>
      <c r="L325" s="5">
        <f ca="1">PERCENTILE(D$2:D324,0.975)</f>
        <v>1302.045100806572</v>
      </c>
      <c r="M325" s="7">
        <f>AVERAGE(E$2:E324)</f>
        <v>1.4074074074074074</v>
      </c>
      <c r="N325" s="7">
        <f>PERCENTILE($E$2:$E324,0.025)</f>
        <v>-2</v>
      </c>
      <c r="O325" s="7">
        <f>PERCENTILE($E$2:$E324,0.165)</f>
        <v>0</v>
      </c>
      <c r="P325" s="7">
        <f>PERCENTILE($E$2:$E324,0.5)</f>
        <v>1</v>
      </c>
      <c r="Q325" s="7">
        <f>PERCENTILE($E$2:$E324,0.835)</f>
        <v>3</v>
      </c>
      <c r="R325" s="7">
        <f>PERCENTILE($E$2:$E324,0.975)</f>
        <v>5.5999999999999659</v>
      </c>
    </row>
    <row r="326" spans="1:18" x14ac:dyDescent="0.2">
      <c r="A326" s="5">
        <f>Data!E375</f>
        <v>2007</v>
      </c>
      <c r="B326" s="5">
        <f>Data!M375</f>
        <v>2.85</v>
      </c>
      <c r="C326" s="5">
        <f>Data!N375</f>
        <v>0.5</v>
      </c>
      <c r="D326" s="5">
        <f ca="1">Data!O375</f>
        <v>161.8503449665175</v>
      </c>
      <c r="E326" s="1">
        <f>Data!AQ375</f>
        <v>0</v>
      </c>
      <c r="F326" t="str">
        <f t="shared" si="5"/>
        <v/>
      </c>
      <c r="G326" s="5">
        <f ca="1">AVERAGE(D$2:D325)</f>
        <v>182.03166968330316</v>
      </c>
      <c r="H326" s="5">
        <f ca="1">PERCENTILE(D$2:D325,0.025)</f>
        <v>-2.6226388620616867</v>
      </c>
      <c r="I326" s="5">
        <f ca="1">PERCENTILE(D$2:D325,0.165)</f>
        <v>2.9706842700624305</v>
      </c>
      <c r="J326" s="5">
        <f ca="1">PERCENTILE(D$2:D325,0.5)</f>
        <v>37.435381616951773</v>
      </c>
      <c r="K326" s="5">
        <f ca="1">PERCENTILE(D$2:D325,0.835)</f>
        <v>220.10895476045025</v>
      </c>
      <c r="L326" s="5">
        <f ca="1">PERCENTILE(D$2:D325,0.975)</f>
        <v>1297.4188971760536</v>
      </c>
      <c r="M326" s="7">
        <f>AVERAGE(E$2:E325)</f>
        <v>1.4026845637583893</v>
      </c>
      <c r="N326" s="7">
        <f>PERCENTILE($E$2:$E325,0.025)</f>
        <v>-2</v>
      </c>
      <c r="O326" s="7">
        <f>PERCENTILE($E$2:$E325,0.165)</f>
        <v>0</v>
      </c>
      <c r="P326" s="7">
        <f>PERCENTILE($E$2:$E325,0.5)</f>
        <v>1</v>
      </c>
      <c r="Q326" s="7">
        <f>PERCENTILE($E$2:$E325,0.835)</f>
        <v>3</v>
      </c>
      <c r="R326" s="7">
        <f>PERCENTILE($E$2:$E325,0.975)</f>
        <v>5.5749999999999886</v>
      </c>
    </row>
    <row r="327" spans="1:18" x14ac:dyDescent="0.2">
      <c r="A327" s="5">
        <f>Data!E376</f>
        <v>2008</v>
      </c>
      <c r="B327" s="5">
        <f>Data!M376</f>
        <v>1.1599999999999999</v>
      </c>
      <c r="C327" s="5">
        <f>Data!N376</f>
        <v>0.2</v>
      </c>
      <c r="D327" s="5">
        <f ca="1">Data!O376</f>
        <v>33.819341167042261</v>
      </c>
      <c r="E327" s="1">
        <f>Data!AQ376</f>
        <v>3</v>
      </c>
      <c r="F327">
        <f t="shared" si="5"/>
        <v>2008</v>
      </c>
      <c r="G327" s="5">
        <f ca="1">AVERAGE(D$2:D326)</f>
        <v>181.96957329955919</v>
      </c>
      <c r="H327" s="5">
        <f ca="1">PERCENTILE(D$2:D326,0.025)</f>
        <v>-2.6101698975827885</v>
      </c>
      <c r="I327" s="5">
        <f ca="1">PERCENTILE(D$2:D326,0.165)</f>
        <v>2.9831825211457392</v>
      </c>
      <c r="J327" s="5">
        <f ca="1">PERCENTILE(D$2:D326,0.5)</f>
        <v>38.010308287591222</v>
      </c>
      <c r="K327" s="5">
        <f ca="1">PERCENTILE(D$2:D326,0.835)</f>
        <v>219.75327049269208</v>
      </c>
      <c r="L327" s="5">
        <f ca="1">PERCENTILE(D$2:D326,0.975)</f>
        <v>1292.792693545525</v>
      </c>
      <c r="M327" s="7">
        <f>AVERAGE(E$2:E326)</f>
        <v>1.3979933110367893</v>
      </c>
      <c r="N327" s="7">
        <f>PERCENTILE($E$2:$E326,0.025)</f>
        <v>-2</v>
      </c>
      <c r="O327" s="7">
        <f>PERCENTILE($E$2:$E326,0.165)</f>
        <v>0</v>
      </c>
      <c r="P327" s="7">
        <f>PERCENTILE($E$2:$E326,0.5)</f>
        <v>1</v>
      </c>
      <c r="Q327" s="7">
        <f>PERCENTILE($E$2:$E326,0.835)</f>
        <v>3</v>
      </c>
      <c r="R327" s="7">
        <f>PERCENTILE($E$2:$E326,0.975)</f>
        <v>5.5500000000000114</v>
      </c>
    </row>
    <row r="328" spans="1:18" x14ac:dyDescent="0.2">
      <c r="A328" s="5">
        <f>Data!E377</f>
        <v>2008</v>
      </c>
      <c r="B328" s="5">
        <f>Data!M377</f>
        <v>4.0599999999999996</v>
      </c>
      <c r="C328" s="5">
        <f>Data!N377</f>
        <v>0.7</v>
      </c>
      <c r="D328" s="5">
        <f ca="1">Data!O377</f>
        <v>32.856512948763474</v>
      </c>
      <c r="E328" s="1">
        <f>Data!AQ377</f>
        <v>3</v>
      </c>
      <c r="F328" t="str">
        <f t="shared" si="5"/>
        <v/>
      </c>
      <c r="G328" s="5">
        <f ca="1">AVERAGE(D$2:D327)</f>
        <v>181.51512473473554</v>
      </c>
      <c r="H328" s="5">
        <f ca="1">PERCENTILE(D$2:D327,0.025)</f>
        <v>-2.5977009331038898</v>
      </c>
      <c r="I328" s="5">
        <f ca="1">PERCENTILE(D$2:D327,0.165)</f>
        <v>2.9956807722290475</v>
      </c>
      <c r="J328" s="5">
        <f ca="1">PERCENTILE(D$2:D327,0.5)</f>
        <v>37.435381616951773</v>
      </c>
      <c r="K328" s="5">
        <f ca="1">PERCENTILE(D$2:D327,0.835)</f>
        <v>219.39758622493406</v>
      </c>
      <c r="L328" s="5">
        <f ca="1">PERCENTILE(D$2:D327,0.975)</f>
        <v>1288.1664899150067</v>
      </c>
      <c r="M328" s="7">
        <f>AVERAGE(E$2:E327)</f>
        <v>1.4033333333333333</v>
      </c>
      <c r="N328" s="7">
        <f>PERCENTILE($E$2:$E327,0.025)</f>
        <v>-2</v>
      </c>
      <c r="O328" s="7">
        <f>PERCENTILE($E$2:$E327,0.165)</f>
        <v>0</v>
      </c>
      <c r="P328" s="7">
        <f>PERCENTILE($E$2:$E327,0.5)</f>
        <v>1</v>
      </c>
      <c r="Q328" s="7">
        <f>PERCENTILE($E$2:$E327,0.835)</f>
        <v>3</v>
      </c>
      <c r="R328" s="7">
        <f>PERCENTILE($E$2:$E327,0.975)</f>
        <v>5.5249999999999773</v>
      </c>
    </row>
    <row r="329" spans="1:18" x14ac:dyDescent="0.2">
      <c r="A329" s="5">
        <f>Data!E378</f>
        <v>2008</v>
      </c>
      <c r="B329" s="5">
        <f>Data!M378</f>
        <v>5.7999999999999996E-2</v>
      </c>
      <c r="C329" s="5">
        <f>Data!N378</f>
        <v>0.01</v>
      </c>
      <c r="D329" s="5">
        <f ca="1">Data!O378</f>
        <v>272.23967871832593</v>
      </c>
      <c r="E329" s="1">
        <f>Data!AQ378</f>
        <v>0</v>
      </c>
      <c r="F329" t="str">
        <f t="shared" si="5"/>
        <v/>
      </c>
      <c r="G329" s="5">
        <f ca="1">AVERAGE(D$2:D328)</f>
        <v>181.06051124303531</v>
      </c>
      <c r="H329" s="5">
        <f ca="1">PERCENTILE(D$2:D328,0.025)</f>
        <v>-2.5852319686249912</v>
      </c>
      <c r="I329" s="5">
        <f ca="1">PERCENTILE(D$2:D328,0.165)</f>
        <v>3.0081790233123562</v>
      </c>
      <c r="J329" s="5">
        <f ca="1">PERCENTILE(D$2:D328,0.5)</f>
        <v>36.860454946312331</v>
      </c>
      <c r="K329" s="5">
        <f ca="1">PERCENTILE(D$2:D328,0.835)</f>
        <v>219.0419019571759</v>
      </c>
      <c r="L329" s="5">
        <f ca="1">PERCENTILE(D$2:D328,0.975)</f>
        <v>1283.5402862844778</v>
      </c>
      <c r="M329" s="7">
        <f>AVERAGE(E$2:E328)</f>
        <v>1.4086378737541527</v>
      </c>
      <c r="N329" s="7">
        <f>PERCENTILE($E$2:$E328,0.025)</f>
        <v>-2</v>
      </c>
      <c r="O329" s="7">
        <f>PERCENTILE($E$2:$E328,0.165)</f>
        <v>0</v>
      </c>
      <c r="P329" s="7">
        <f>PERCENTILE($E$2:$E328,0.5)</f>
        <v>1</v>
      </c>
      <c r="Q329" s="7">
        <f>PERCENTILE($E$2:$E328,0.835)</f>
        <v>3</v>
      </c>
      <c r="R329" s="7">
        <f>PERCENTILE($E$2:$E328,0.975)</f>
        <v>5.5</v>
      </c>
    </row>
    <row r="330" spans="1:18" x14ac:dyDescent="0.2">
      <c r="A330" s="5">
        <f>Data!E379</f>
        <v>2008</v>
      </c>
      <c r="B330" s="5">
        <f>Data!M379</f>
        <v>0.52200000000000002</v>
      </c>
      <c r="C330" s="5">
        <f>Data!N379</f>
        <v>0.09</v>
      </c>
      <c r="D330" s="5">
        <f ca="1">Data!O379</f>
        <v>33.638810876114988</v>
      </c>
      <c r="E330" s="1">
        <f>Data!AQ379</f>
        <v>0</v>
      </c>
      <c r="F330" t="str">
        <f t="shared" si="5"/>
        <v/>
      </c>
      <c r="G330" s="5">
        <f ca="1">AVERAGE(D$2:D329)</f>
        <v>181.33849650972826</v>
      </c>
      <c r="H330" s="5">
        <f ca="1">PERCENTILE(D$2:D329,0.025)</f>
        <v>-2.572763004146092</v>
      </c>
      <c r="I330" s="5">
        <f ca="1">PERCENTILE(D$2:D329,0.165)</f>
        <v>3.0206772743956654</v>
      </c>
      <c r="J330" s="5">
        <f ca="1">PERCENTILE(D$2:D329,0.5)</f>
        <v>37.435381616951773</v>
      </c>
      <c r="K330" s="5">
        <f ca="1">PERCENTILE(D$2:D329,0.835)</f>
        <v>221.43491347367103</v>
      </c>
      <c r="L330" s="5">
        <f ca="1">PERCENTILE(D$2:D329,0.975)</f>
        <v>1278.9140826539597</v>
      </c>
      <c r="M330" s="7">
        <f>AVERAGE(E$2:E329)</f>
        <v>1.4039735099337749</v>
      </c>
      <c r="N330" s="7">
        <f>PERCENTILE($E$2:$E329,0.025)</f>
        <v>-2</v>
      </c>
      <c r="O330" s="7">
        <f>PERCENTILE($E$2:$E329,0.165)</f>
        <v>0</v>
      </c>
      <c r="P330" s="7">
        <f>PERCENTILE($E$2:$E329,0.5)</f>
        <v>1</v>
      </c>
      <c r="Q330" s="7">
        <f>PERCENTILE($E$2:$E329,0.835)</f>
        <v>3</v>
      </c>
      <c r="R330" s="7">
        <f>PERCENTILE($E$2:$E329,0.975)</f>
        <v>5.4749999999999659</v>
      </c>
    </row>
    <row r="331" spans="1:18" x14ac:dyDescent="0.2">
      <c r="A331" s="5">
        <f>Data!E380</f>
        <v>2008</v>
      </c>
      <c r="B331" s="5">
        <f>Data!M380</f>
        <v>1.1599999999999999</v>
      </c>
      <c r="C331" s="5">
        <f>Data!N380</f>
        <v>0.2</v>
      </c>
      <c r="D331" s="5">
        <f ca="1">Data!O380</f>
        <v>20.599134813920408</v>
      </c>
      <c r="E331" s="1">
        <f>Data!AQ380</f>
        <v>3</v>
      </c>
      <c r="F331" t="str">
        <f t="shared" si="5"/>
        <v/>
      </c>
      <c r="G331" s="5">
        <f ca="1">AVERAGE(D$2:D330)</f>
        <v>180.88956129503643</v>
      </c>
      <c r="H331" s="5">
        <f ca="1">PERCENTILE(D$2:D330,0.025)</f>
        <v>-2.5602940396671934</v>
      </c>
      <c r="I331" s="5">
        <f ca="1">PERCENTILE(D$2:D330,0.165)</f>
        <v>3.0373308301433788</v>
      </c>
      <c r="J331" s="5">
        <f ca="1">PERCENTILE(D$2:D330,0.5)</f>
        <v>36.860454946312331</v>
      </c>
      <c r="K331" s="5">
        <f ca="1">PERCENTILE(D$2:D330,0.835)</f>
        <v>220.48619565049674</v>
      </c>
      <c r="L331" s="5">
        <f ca="1">PERCENTILE(D$2:D330,0.975)</f>
        <v>1274.2878790234413</v>
      </c>
      <c r="M331" s="7">
        <f>AVERAGE(E$2:E330)</f>
        <v>1.3993399339933994</v>
      </c>
      <c r="N331" s="7">
        <f>PERCENTILE($E$2:$E330,0.025)</f>
        <v>-2</v>
      </c>
      <c r="O331" s="7">
        <f>PERCENTILE($E$2:$E330,0.165)</f>
        <v>0</v>
      </c>
      <c r="P331" s="7">
        <f>PERCENTILE($E$2:$E330,0.5)</f>
        <v>1</v>
      </c>
      <c r="Q331" s="7">
        <f>PERCENTILE($E$2:$E330,0.835)</f>
        <v>3</v>
      </c>
      <c r="R331" s="7">
        <f>PERCENTILE($E$2:$E330,0.975)</f>
        <v>5.4499999999999886</v>
      </c>
    </row>
    <row r="332" spans="1:18" x14ac:dyDescent="0.2">
      <c r="A332" s="5">
        <f>Data!E381</f>
        <v>2008</v>
      </c>
      <c r="B332" s="5">
        <f>Data!M381</f>
        <v>1.1599999999999999</v>
      </c>
      <c r="C332" s="5">
        <f>Data!N381</f>
        <v>0.2</v>
      </c>
      <c r="D332" s="5">
        <f ca="1">Data!O381</f>
        <v>19.127768041497522</v>
      </c>
      <c r="E332" s="1">
        <f>Data!AQ381</f>
        <v>3</v>
      </c>
      <c r="F332" t="str">
        <f t="shared" si="5"/>
        <v/>
      </c>
      <c r="G332" s="5">
        <f ca="1">AVERAGE(D$2:D331)</f>
        <v>180.40383272994214</v>
      </c>
      <c r="H332" s="5">
        <f ca="1">PERCENTILE(D$2:D331,0.025)</f>
        <v>-2.5478250751882952</v>
      </c>
      <c r="I332" s="5">
        <f ca="1">PERCENTILE(D$2:D331,0.165)</f>
        <v>3.055542625140244</v>
      </c>
      <c r="J332" s="5">
        <f ca="1">PERCENTILE(D$2:D331,0.5)</f>
        <v>35.886777743614303</v>
      </c>
      <c r="K332" s="5">
        <f ca="1">PERCENTILE(D$2:D331,0.835)</f>
        <v>220.1305113827386</v>
      </c>
      <c r="L332" s="5">
        <f ca="1">PERCENTILE(D$2:D331,0.975)</f>
        <v>1269.6616753929127</v>
      </c>
      <c r="M332" s="7">
        <f>AVERAGE(E$2:E331)</f>
        <v>1.4046052631578947</v>
      </c>
      <c r="N332" s="7">
        <f>PERCENTILE($E$2:$E331,0.025)</f>
        <v>-2</v>
      </c>
      <c r="O332" s="7">
        <f>PERCENTILE($E$2:$E331,0.165)</f>
        <v>0</v>
      </c>
      <c r="P332" s="7">
        <f>PERCENTILE($E$2:$E331,0.5)</f>
        <v>1</v>
      </c>
      <c r="Q332" s="7">
        <f>PERCENTILE($E$2:$E331,0.835)</f>
        <v>3</v>
      </c>
      <c r="R332" s="7">
        <f>PERCENTILE($E$2:$E331,0.975)</f>
        <v>5.4250000000000114</v>
      </c>
    </row>
    <row r="333" spans="1:18" x14ac:dyDescent="0.2">
      <c r="A333" s="5">
        <f>Data!E382</f>
        <v>2008</v>
      </c>
      <c r="B333" s="5">
        <f>Data!M382</f>
        <v>1.1599999999999999</v>
      </c>
      <c r="C333" s="5">
        <f>Data!N382</f>
        <v>0.2</v>
      </c>
      <c r="D333" s="5">
        <f ca="1">Data!O382</f>
        <v>19.127768041497522</v>
      </c>
      <c r="E333" s="1">
        <f>Data!AQ382</f>
        <v>3</v>
      </c>
      <c r="F333" t="str">
        <f t="shared" si="5"/>
        <v/>
      </c>
      <c r="G333" s="5">
        <f ca="1">AVERAGE(D$2:D332)</f>
        <v>179.91659386381392</v>
      </c>
      <c r="H333" s="5">
        <f ca="1">PERCENTILE(D$2:D332,0.025)</f>
        <v>-2.5353561107093965</v>
      </c>
      <c r="I333" s="5">
        <f ca="1">PERCENTILE(D$2:D332,0.165)</f>
        <v>3.0737544201371088</v>
      </c>
      <c r="J333" s="5">
        <f ca="1">PERCENTILE(D$2:D332,0.5)</f>
        <v>34.913100540916275</v>
      </c>
      <c r="K333" s="5">
        <f ca="1">PERCENTILE(D$2:D332,0.835)</f>
        <v>219.77482711498055</v>
      </c>
      <c r="L333" s="5">
        <f ca="1">PERCENTILE(D$2:D332,0.975)</f>
        <v>1265.0354717623943</v>
      </c>
      <c r="M333" s="7">
        <f>AVERAGE(E$2:E332)</f>
        <v>1.4098360655737705</v>
      </c>
      <c r="N333" s="7">
        <f>PERCENTILE($E$2:$E332,0.025)</f>
        <v>-2</v>
      </c>
      <c r="O333" s="7">
        <f>PERCENTILE($E$2:$E332,0.165)</f>
        <v>0</v>
      </c>
      <c r="P333" s="7">
        <f>PERCENTILE($E$2:$E332,0.5)</f>
        <v>1</v>
      </c>
      <c r="Q333" s="7">
        <f>PERCENTILE($E$2:$E332,0.835)</f>
        <v>3</v>
      </c>
      <c r="R333" s="7">
        <f>PERCENTILE($E$2:$E332,0.975)</f>
        <v>5.3999999999999773</v>
      </c>
    </row>
    <row r="334" spans="1:18" x14ac:dyDescent="0.2">
      <c r="A334" s="5">
        <f>Data!E383</f>
        <v>2008</v>
      </c>
      <c r="B334" s="5">
        <f>Data!M383</f>
        <v>1.1599999999999999</v>
      </c>
      <c r="C334" s="5">
        <f>Data!N383</f>
        <v>0.2</v>
      </c>
      <c r="D334" s="5">
        <f ca="1">Data!O383</f>
        <v>19.127768041497522</v>
      </c>
      <c r="E334" s="1">
        <f>Data!AQ383</f>
        <v>3</v>
      </c>
      <c r="F334" t="str">
        <f t="shared" si="5"/>
        <v/>
      </c>
      <c r="G334" s="5">
        <f ca="1">AVERAGE(D$2:D333)</f>
        <v>179.43229017157802</v>
      </c>
      <c r="H334" s="5">
        <f ca="1">PERCENTILE(D$2:D333,0.025)</f>
        <v>-2.5228871462304978</v>
      </c>
      <c r="I334" s="5">
        <f ca="1">PERCENTILE(D$2:D333,0.165)</f>
        <v>3.091966215133974</v>
      </c>
      <c r="J334" s="5">
        <f ca="1">PERCENTILE(D$2:D333,0.5)</f>
        <v>34.772915237354141</v>
      </c>
      <c r="K334" s="5">
        <f ca="1">PERCENTILE(D$2:D333,0.835)</f>
        <v>219.41914284722239</v>
      </c>
      <c r="L334" s="5">
        <f ca="1">PERCENTILE(D$2:D333,0.975)</f>
        <v>1260.4092681318657</v>
      </c>
      <c r="M334" s="7">
        <f>AVERAGE(E$2:E333)</f>
        <v>1.4150326797385622</v>
      </c>
      <c r="N334" s="7">
        <f>PERCENTILE($E$2:$E333,0.025)</f>
        <v>-2</v>
      </c>
      <c r="O334" s="7">
        <f>PERCENTILE($E$2:$E333,0.165)</f>
        <v>0</v>
      </c>
      <c r="P334" s="7">
        <f>PERCENTILE($E$2:$E333,0.5)</f>
        <v>1</v>
      </c>
      <c r="Q334" s="7">
        <f>PERCENTILE($E$2:$E333,0.835)</f>
        <v>3</v>
      </c>
      <c r="R334" s="7">
        <f>PERCENTILE($E$2:$E333,0.975)</f>
        <v>5.375</v>
      </c>
    </row>
    <row r="335" spans="1:18" x14ac:dyDescent="0.2">
      <c r="A335" s="5">
        <f>Data!E384</f>
        <v>2008</v>
      </c>
      <c r="B335" s="5">
        <f>Data!M384</f>
        <v>1.1599999999999999</v>
      </c>
      <c r="C335" s="5">
        <f>Data!N384</f>
        <v>0.2</v>
      </c>
      <c r="D335" s="5">
        <f ca="1">Data!O384</f>
        <v>17.656401269074635</v>
      </c>
      <c r="E335" s="1">
        <f>Data!AQ384</f>
        <v>3</v>
      </c>
      <c r="F335" t="str">
        <f t="shared" si="5"/>
        <v/>
      </c>
      <c r="G335" s="5">
        <f ca="1">AVERAGE(D$2:D334)</f>
        <v>178.95089521022643</v>
      </c>
      <c r="H335" s="5">
        <f ca="1">PERCENTILE(D$2:D334,0.025)</f>
        <v>-2.5104181817515987</v>
      </c>
      <c r="I335" s="5">
        <f ca="1">PERCENTILE(D$2:D334,0.165)</f>
        <v>3.1101780101308387</v>
      </c>
      <c r="J335" s="5">
        <f ca="1">PERCENTILE(D$2:D334,0.5)</f>
        <v>34.632729933792007</v>
      </c>
      <c r="K335" s="5">
        <f ca="1">PERCENTILE(D$2:D334,0.835)</f>
        <v>219.06345857946422</v>
      </c>
      <c r="L335" s="5">
        <f ca="1">PERCENTILE(D$2:D334,0.975)</f>
        <v>1255.7830645013473</v>
      </c>
      <c r="M335" s="7">
        <f>AVERAGE(E$2:E334)</f>
        <v>1.4201954397394136</v>
      </c>
      <c r="N335" s="7">
        <f>PERCENTILE($E$2:$E334,0.025)</f>
        <v>-2</v>
      </c>
      <c r="O335" s="7">
        <f>PERCENTILE($E$2:$E334,0.165)</f>
        <v>0</v>
      </c>
      <c r="P335" s="7">
        <f>PERCENTILE($E$2:$E334,0.5)</f>
        <v>1</v>
      </c>
      <c r="Q335" s="7">
        <f>PERCENTILE($E$2:$E334,0.835)</f>
        <v>3</v>
      </c>
      <c r="R335" s="7">
        <f>PERCENTILE($E$2:$E334,0.975)</f>
        <v>5.3499999999999659</v>
      </c>
    </row>
    <row r="336" spans="1:18" x14ac:dyDescent="0.2">
      <c r="A336" s="5">
        <f>Data!E385</f>
        <v>2008</v>
      </c>
      <c r="B336" s="5">
        <f>Data!M385</f>
        <v>0.57999999999999996</v>
      </c>
      <c r="C336" s="5">
        <f>Data!N385</f>
        <v>0.1</v>
      </c>
      <c r="D336" s="5">
        <f ca="1">Data!O385</f>
        <v>23.54186835876618</v>
      </c>
      <c r="E336" s="1">
        <f>Data!AQ385</f>
        <v>3</v>
      </c>
      <c r="F336" t="str">
        <f t="shared" si="5"/>
        <v/>
      </c>
      <c r="G336" s="5">
        <f ca="1">AVERAGE(D$2:D335)</f>
        <v>178.46797756369605</v>
      </c>
      <c r="H336" s="5">
        <f ca="1">PERCENTILE(D$2:D335,0.025)</f>
        <v>-2.4979492172727</v>
      </c>
      <c r="I336" s="5">
        <f ca="1">PERCENTILE(D$2:D335,0.165)</f>
        <v>3.1283898051277039</v>
      </c>
      <c r="J336" s="5">
        <f ca="1">PERCENTILE(D$2:D335,0.5)</f>
        <v>34.226035550417137</v>
      </c>
      <c r="K336" s="5">
        <f ca="1">PERCENTILE(D$2:D335,0.835)</f>
        <v>218.7077743117062</v>
      </c>
      <c r="L336" s="5">
        <f ca="1">PERCENTILE(D$2:D335,0.975)</f>
        <v>1251.1568608708292</v>
      </c>
      <c r="M336" s="7">
        <f>AVERAGE(E$2:E335)</f>
        <v>1.4253246753246753</v>
      </c>
      <c r="N336" s="7">
        <f>PERCENTILE($E$2:$E335,0.025)</f>
        <v>-2</v>
      </c>
      <c r="O336" s="7">
        <f>PERCENTILE($E$2:$E335,0.165)</f>
        <v>0</v>
      </c>
      <c r="P336" s="7">
        <f>PERCENTILE($E$2:$E335,0.5)</f>
        <v>1</v>
      </c>
      <c r="Q336" s="7">
        <f>PERCENTILE($E$2:$E335,0.835)</f>
        <v>3</v>
      </c>
      <c r="R336" s="7">
        <f>PERCENTILE($E$2:$E335,0.975)</f>
        <v>5.3249999999999886</v>
      </c>
    </row>
    <row r="337" spans="1:18" x14ac:dyDescent="0.2">
      <c r="A337" s="5">
        <f>Data!E386</f>
        <v>2008</v>
      </c>
      <c r="B337" s="5">
        <f>Data!M386</f>
        <v>0.57999999999999996</v>
      </c>
      <c r="C337" s="5">
        <f>Data!N386</f>
        <v>0.1</v>
      </c>
      <c r="D337" s="5">
        <f ca="1">Data!O386</f>
        <v>85.339272800527397</v>
      </c>
      <c r="E337" s="1">
        <f>Data!AQ386</f>
        <v>1</v>
      </c>
      <c r="F337" t="str">
        <f t="shared" si="5"/>
        <v/>
      </c>
      <c r="G337" s="5">
        <f ca="1">AVERAGE(D$2:D336)</f>
        <v>178.00551156606937</v>
      </c>
      <c r="H337" s="5">
        <f ca="1">PERCENTILE(D$2:D336,0.025)</f>
        <v>-2.4854802527938018</v>
      </c>
      <c r="I337" s="5">
        <f ca="1">PERCENTILE(D$2:D336,0.165)</f>
        <v>3.1506035065402536</v>
      </c>
      <c r="J337" s="5">
        <f ca="1">PERCENTILE(D$2:D336,0.5)</f>
        <v>33.819341167042261</v>
      </c>
      <c r="K337" s="5">
        <f ca="1">PERCENTILE(D$2:D336,0.835)</f>
        <v>218.08301115481333</v>
      </c>
      <c r="L337" s="5">
        <f ca="1">PERCENTILE(D$2:D336,0.975)</f>
        <v>1246.5306572403003</v>
      </c>
      <c r="M337" s="7">
        <f>AVERAGE(E$2:E336)</f>
        <v>1.4304207119741101</v>
      </c>
      <c r="N337" s="7">
        <f>PERCENTILE($E$2:$E336,0.025)</f>
        <v>-2</v>
      </c>
      <c r="O337" s="7">
        <f>PERCENTILE($E$2:$E336,0.165)</f>
        <v>0</v>
      </c>
      <c r="P337" s="7">
        <f>PERCENTILE($E$2:$E336,0.5)</f>
        <v>1</v>
      </c>
      <c r="Q337" s="7">
        <f>PERCENTILE($E$2:$E336,0.835)</f>
        <v>3</v>
      </c>
      <c r="R337" s="7">
        <f>PERCENTILE($E$2:$E336,0.975)</f>
        <v>5.3000000000000114</v>
      </c>
    </row>
    <row r="338" spans="1:18" x14ac:dyDescent="0.2">
      <c r="A338" s="5">
        <f>Data!E387</f>
        <v>2008</v>
      </c>
      <c r="B338" s="5">
        <f>Data!M387</f>
        <v>0.57999999999999996</v>
      </c>
      <c r="C338" s="5">
        <f>Data!N387</f>
        <v>0.1</v>
      </c>
      <c r="D338" s="5">
        <f ca="1">Data!O387</f>
        <v>114.76660824898512</v>
      </c>
      <c r="E338" s="1">
        <f>Data!AQ387</f>
        <v>1</v>
      </c>
      <c r="F338" t="str">
        <f t="shared" si="5"/>
        <v/>
      </c>
      <c r="G338" s="5">
        <f ca="1">AVERAGE(D$2:D337)</f>
        <v>177.72971918879097</v>
      </c>
      <c r="H338" s="5">
        <f ca="1">PERCENTILE(D$2:D337,0.025)</f>
        <v>-2.4730112883149031</v>
      </c>
      <c r="I338" s="5">
        <f ca="1">PERCENTILE(D$2:D337,0.165)</f>
        <v>3.1748181611606463</v>
      </c>
      <c r="J338" s="5">
        <f ca="1">PERCENTILE(D$2:D337,0.5)</f>
        <v>34.226035550417137</v>
      </c>
      <c r="K338" s="5">
        <f ca="1">PERCENTILE(D$2:D337,0.835)</f>
        <v>217.3237085533531</v>
      </c>
      <c r="L338" s="5">
        <f ca="1">PERCENTILE(D$2:D337,0.975)</f>
        <v>1241.904453609782</v>
      </c>
      <c r="M338" s="7">
        <f>AVERAGE(E$2:E337)</f>
        <v>1.4290322580645161</v>
      </c>
      <c r="N338" s="7">
        <f>PERCENTILE($E$2:$E337,0.025)</f>
        <v>-2</v>
      </c>
      <c r="O338" s="7">
        <f>PERCENTILE($E$2:$E337,0.165)</f>
        <v>0</v>
      </c>
      <c r="P338" s="7">
        <f>PERCENTILE($E$2:$E337,0.5)</f>
        <v>1</v>
      </c>
      <c r="Q338" s="7">
        <f>PERCENTILE($E$2:$E337,0.835)</f>
        <v>3</v>
      </c>
      <c r="R338" s="7">
        <f>PERCENTILE($E$2:$E337,0.975)</f>
        <v>5.2749999999999773</v>
      </c>
    </row>
    <row r="339" spans="1:18" x14ac:dyDescent="0.2">
      <c r="A339" s="5">
        <f>Data!E388</f>
        <v>2008</v>
      </c>
      <c r="B339" s="5">
        <f>Data!M388</f>
        <v>0.57999999999999996</v>
      </c>
      <c r="C339" s="5">
        <f>Data!N388</f>
        <v>0.1</v>
      </c>
      <c r="D339" s="5">
        <f ca="1">Data!O388</f>
        <v>95.63884020748759</v>
      </c>
      <c r="E339" s="1">
        <f>Data!AQ388</f>
        <v>1</v>
      </c>
      <c r="F339" t="str">
        <f t="shared" si="5"/>
        <v/>
      </c>
      <c r="G339" s="5">
        <f ca="1">AVERAGE(D$2:D338)</f>
        <v>177.54288503169957</v>
      </c>
      <c r="H339" s="5">
        <f ca="1">PERCENTILE(D$2:D338,0.025)</f>
        <v>-2.4605423238360045</v>
      </c>
      <c r="I339" s="5">
        <f ca="1">PERCENTILE(D$2:D338,0.165)</f>
        <v>3.1990328157810386</v>
      </c>
      <c r="J339" s="5">
        <f ca="1">PERCENTILE(D$2:D338,0.5)</f>
        <v>34.632729933792007</v>
      </c>
      <c r="K339" s="5">
        <f ca="1">PERCENTILE(D$2:D338,0.835)</f>
        <v>216.56440595189312</v>
      </c>
      <c r="L339" s="5">
        <f ca="1">PERCENTILE(D$2:D338,0.975)</f>
        <v>1237.2782499792534</v>
      </c>
      <c r="M339" s="7">
        <f>AVERAGE(E$2:E338)</f>
        <v>1.427652733118971</v>
      </c>
      <c r="N339" s="7">
        <f>PERCENTILE($E$2:$E338,0.025)</f>
        <v>-2</v>
      </c>
      <c r="O339" s="7">
        <f>PERCENTILE($E$2:$E338,0.165)</f>
        <v>0</v>
      </c>
      <c r="P339" s="7">
        <f>PERCENTILE($E$2:$E338,0.5)</f>
        <v>1</v>
      </c>
      <c r="Q339" s="7">
        <f>PERCENTILE($E$2:$E338,0.835)</f>
        <v>3</v>
      </c>
      <c r="R339" s="7">
        <f>PERCENTILE($E$2:$E338,0.975)</f>
        <v>5.25</v>
      </c>
    </row>
    <row r="340" spans="1:18" x14ac:dyDescent="0.2">
      <c r="A340" s="5">
        <f>Data!E389</f>
        <v>2008</v>
      </c>
      <c r="B340" s="5">
        <f>Data!M389</f>
        <v>0.57999999999999996</v>
      </c>
      <c r="C340" s="5">
        <f>Data!N389</f>
        <v>0.1</v>
      </c>
      <c r="D340" s="5">
        <f ca="1">Data!O389</f>
        <v>36.784169310572153</v>
      </c>
      <c r="E340" s="1">
        <f>Data!AQ389</f>
        <v>2</v>
      </c>
      <c r="F340" t="str">
        <f t="shared" si="5"/>
        <v/>
      </c>
      <c r="G340" s="5">
        <f ca="1">AVERAGE(D$2:D339)</f>
        <v>177.30056537245636</v>
      </c>
      <c r="H340" s="5">
        <f ca="1">PERCENTILE(D$2:D339,0.025)</f>
        <v>-2.4480733593571053</v>
      </c>
      <c r="I340" s="5">
        <f ca="1">PERCENTILE(D$2:D339,0.165)</f>
        <v>3.2232474704014304</v>
      </c>
      <c r="J340" s="5">
        <f ca="1">PERCENTILE(D$2:D339,0.5)</f>
        <v>34.772915237354141</v>
      </c>
      <c r="K340" s="5">
        <f ca="1">PERCENTILE(D$2:D339,0.835)</f>
        <v>215.80510335043289</v>
      </c>
      <c r="L340" s="5">
        <f ca="1">PERCENTILE(D$2:D339,0.975)</f>
        <v>1232.652046348735</v>
      </c>
      <c r="M340" s="7">
        <f>AVERAGE(E$2:E339)</f>
        <v>1.4262820512820513</v>
      </c>
      <c r="N340" s="7">
        <f>PERCENTILE($E$2:$E339,0.025)</f>
        <v>-2</v>
      </c>
      <c r="O340" s="7">
        <f>PERCENTILE($E$2:$E339,0.165)</f>
        <v>0</v>
      </c>
      <c r="P340" s="7">
        <f>PERCENTILE($E$2:$E339,0.5)</f>
        <v>1</v>
      </c>
      <c r="Q340" s="7">
        <f>PERCENTILE($E$2:$E339,0.835)</f>
        <v>3</v>
      </c>
      <c r="R340" s="7">
        <f>PERCENTILE($E$2:$E339,0.975)</f>
        <v>5.2249999999999659</v>
      </c>
    </row>
    <row r="341" spans="1:18" x14ac:dyDescent="0.2">
      <c r="A341" s="5">
        <f>Data!E390</f>
        <v>2008</v>
      </c>
      <c r="B341" s="5">
        <f>Data!M390</f>
        <v>0.57999999999999996</v>
      </c>
      <c r="C341" s="5">
        <f>Data!N390</f>
        <v>0.1</v>
      </c>
      <c r="D341" s="5">
        <f ca="1">Data!O390</f>
        <v>101.52430729717915</v>
      </c>
      <c r="E341" s="1">
        <f>Data!AQ390</f>
        <v>1</v>
      </c>
      <c r="F341" t="str">
        <f t="shared" si="5"/>
        <v/>
      </c>
      <c r="G341" s="5">
        <f ca="1">AVERAGE(D$2:D340)</f>
        <v>176.88606272920595</v>
      </c>
      <c r="H341" s="5">
        <f ca="1">PERCENTILE(D$2:D340,0.025)</f>
        <v>-2.4356043948782067</v>
      </c>
      <c r="I341" s="5">
        <f ca="1">PERCENTILE(D$2:D340,0.165)</f>
        <v>3.2474621250218223</v>
      </c>
      <c r="J341" s="5">
        <f ca="1">PERCENTILE(D$2:D340,0.5)</f>
        <v>34.913100540916275</v>
      </c>
      <c r="K341" s="5">
        <f ca="1">PERCENTILE(D$2:D340,0.835)</f>
        <v>215.04580074897265</v>
      </c>
      <c r="L341" s="5">
        <f ca="1">PERCENTILE(D$2:D340,0.975)</f>
        <v>1228.0258427182168</v>
      </c>
      <c r="M341" s="7">
        <f>AVERAGE(E$2:E340)</f>
        <v>1.4281150159744409</v>
      </c>
      <c r="N341" s="7">
        <f>PERCENTILE($E$2:$E340,0.025)</f>
        <v>-2</v>
      </c>
      <c r="O341" s="7">
        <f>PERCENTILE($E$2:$E340,0.165)</f>
        <v>0</v>
      </c>
      <c r="P341" s="7">
        <f>PERCENTILE($E$2:$E340,0.5)</f>
        <v>1</v>
      </c>
      <c r="Q341" s="7">
        <f>PERCENTILE($E$2:$E340,0.835)</f>
        <v>3</v>
      </c>
      <c r="R341" s="7">
        <f>PERCENTILE($E$2:$E340,0.975)</f>
        <v>5.1999999999999886</v>
      </c>
    </row>
    <row r="342" spans="1:18" x14ac:dyDescent="0.2">
      <c r="A342" s="5">
        <f>Data!E391</f>
        <v>2008</v>
      </c>
      <c r="B342" s="5">
        <f>Data!M391</f>
        <v>0.57999999999999996</v>
      </c>
      <c r="C342" s="5">
        <f>Data!N391</f>
        <v>0.1</v>
      </c>
      <c r="D342" s="5">
        <f ca="1">Data!O391</f>
        <v>91.224739890218942</v>
      </c>
      <c r="E342" s="1">
        <f>Data!AQ391</f>
        <v>2</v>
      </c>
      <c r="F342" t="str">
        <f t="shared" si="5"/>
        <v/>
      </c>
      <c r="G342" s="5">
        <f ca="1">AVERAGE(D$2:D341)</f>
        <v>176.66441050734704</v>
      </c>
      <c r="H342" s="5">
        <f ca="1">PERCENTILE(D$2:D341,0.025)</f>
        <v>-2.4231354303993085</v>
      </c>
      <c r="I342" s="5">
        <f ca="1">PERCENTILE(D$2:D341,0.165)</f>
        <v>3.2716767796422142</v>
      </c>
      <c r="J342" s="5">
        <f ca="1">PERCENTILE(D$2:D341,0.5)</f>
        <v>35.848634925744214</v>
      </c>
      <c r="K342" s="5">
        <f ca="1">PERCENTILE(D$2:D341,0.835)</f>
        <v>214.28649814751267</v>
      </c>
      <c r="L342" s="5">
        <f ca="1">PERCENTILE(D$2:D341,0.975)</f>
        <v>1223.399639087688</v>
      </c>
      <c r="M342" s="7">
        <f>AVERAGE(E$2:E341)</f>
        <v>1.4267515923566878</v>
      </c>
      <c r="N342" s="7">
        <f>PERCENTILE($E$2:$E341,0.025)</f>
        <v>-2</v>
      </c>
      <c r="O342" s="7">
        <f>PERCENTILE($E$2:$E341,0.165)</f>
        <v>0</v>
      </c>
      <c r="P342" s="7">
        <f>PERCENTILE($E$2:$E341,0.5)</f>
        <v>1</v>
      </c>
      <c r="Q342" s="7">
        <f>PERCENTILE($E$2:$E341,0.835)</f>
        <v>3</v>
      </c>
      <c r="R342" s="7">
        <f>PERCENTILE($E$2:$E341,0.975)</f>
        <v>5.1750000000000114</v>
      </c>
    </row>
    <row r="343" spans="1:18" x14ac:dyDescent="0.2">
      <c r="A343" s="5">
        <f>Data!E392</f>
        <v>2008</v>
      </c>
      <c r="B343" s="5">
        <f>Data!M392</f>
        <v>0.57999999999999996</v>
      </c>
      <c r="C343" s="5">
        <f>Data!N392</f>
        <v>0.1</v>
      </c>
      <c r="D343" s="5">
        <f ca="1">Data!O392</f>
        <v>301.63018834669168</v>
      </c>
      <c r="E343" s="1">
        <f>Data!AQ392</f>
        <v>1</v>
      </c>
      <c r="F343" t="str">
        <f t="shared" si="5"/>
        <v/>
      </c>
      <c r="G343" s="5">
        <f ca="1">AVERAGE(D$2:D342)</f>
        <v>176.41385428852848</v>
      </c>
      <c r="H343" s="5">
        <f ca="1">PERCENTILE(D$2:D342,0.025)</f>
        <v>-2.4106664659204098</v>
      </c>
      <c r="I343" s="5">
        <f ca="1">PERCENTILE(D$2:D342,0.165)</f>
        <v>3.2856000168443384</v>
      </c>
      <c r="J343" s="5">
        <f ca="1">PERCENTILE(D$2:D342,0.5)</f>
        <v>36.784169310572153</v>
      </c>
      <c r="K343" s="5">
        <f ca="1">PERCENTILE(D$2:D342,0.835)</f>
        <v>213.92345924692103</v>
      </c>
      <c r="L343" s="5">
        <f ca="1">PERCENTILE(D$2:D342,0.975)</f>
        <v>1218.7734354571699</v>
      </c>
      <c r="M343" s="7">
        <f>AVERAGE(E$2:E342)</f>
        <v>1.4285714285714286</v>
      </c>
      <c r="N343" s="7">
        <f>PERCENTILE($E$2:$E342,0.025)</f>
        <v>-2</v>
      </c>
      <c r="O343" s="7">
        <f>PERCENTILE($E$2:$E342,0.165)</f>
        <v>0</v>
      </c>
      <c r="P343" s="7">
        <f>PERCENTILE($E$2:$E342,0.5)</f>
        <v>1</v>
      </c>
      <c r="Q343" s="7">
        <f>PERCENTILE($E$2:$E342,0.835)</f>
        <v>3</v>
      </c>
      <c r="R343" s="7">
        <f>PERCENTILE($E$2:$E342,0.975)</f>
        <v>5.1499999999999773</v>
      </c>
    </row>
    <row r="344" spans="1:18" x14ac:dyDescent="0.2">
      <c r="A344" s="5">
        <f>Data!E393</f>
        <v>2008</v>
      </c>
      <c r="B344" s="5">
        <f>Data!M393</f>
        <v>0.57999999999999996</v>
      </c>
      <c r="C344" s="5">
        <f>Data!N393</f>
        <v>0.1</v>
      </c>
      <c r="D344" s="5">
        <f ca="1">Data!O393</f>
        <v>297.21608802942302</v>
      </c>
      <c r="E344" s="1">
        <f>Data!AQ393</f>
        <v>2</v>
      </c>
      <c r="F344" t="str">
        <f t="shared" si="5"/>
        <v/>
      </c>
      <c r="G344" s="5">
        <f ca="1">AVERAGE(D$2:D343)</f>
        <v>176.77998392027752</v>
      </c>
      <c r="H344" s="5">
        <f ca="1">PERCENTILE(D$2:D343,0.025)</f>
        <v>-2.3981975014415111</v>
      </c>
      <c r="I344" s="5">
        <f ca="1">PERCENTILE(D$2:D343,0.165)</f>
        <v>3.2928338327245892</v>
      </c>
      <c r="J344" s="5">
        <f ca="1">PERCENTILE(D$2:D343,0.5)</f>
        <v>36.822312128442242</v>
      </c>
      <c r="K344" s="5">
        <f ca="1">PERCENTILE(D$2:D343,0.835)</f>
        <v>217.36972689283576</v>
      </c>
      <c r="L344" s="5">
        <f ca="1">PERCENTILE(D$2:D343,0.975)</f>
        <v>1214.147231826641</v>
      </c>
      <c r="M344" s="7">
        <f>AVERAGE(E$2:E343)</f>
        <v>1.4272151898734178</v>
      </c>
      <c r="N344" s="7">
        <f>PERCENTILE($E$2:$E343,0.025)</f>
        <v>-2</v>
      </c>
      <c r="O344" s="7">
        <f>PERCENTILE($E$2:$E343,0.165)</f>
        <v>0</v>
      </c>
      <c r="P344" s="7">
        <f>PERCENTILE($E$2:$E343,0.5)</f>
        <v>1</v>
      </c>
      <c r="Q344" s="7">
        <f>PERCENTILE($E$2:$E343,0.835)</f>
        <v>3</v>
      </c>
      <c r="R344" s="7">
        <f>PERCENTILE($E$2:$E343,0.975)</f>
        <v>5.125</v>
      </c>
    </row>
    <row r="345" spans="1:18" x14ac:dyDescent="0.2">
      <c r="A345" s="5">
        <f>Data!E394</f>
        <v>2008</v>
      </c>
      <c r="B345" s="5">
        <f>Data!M394</f>
        <v>0.57999999999999996</v>
      </c>
      <c r="C345" s="5">
        <f>Data!N394</f>
        <v>0.1</v>
      </c>
      <c r="D345" s="5">
        <f ca="1">Data!O394</f>
        <v>1199.1639195246523</v>
      </c>
      <c r="E345" s="1">
        <f>Data!AQ394</f>
        <v>1</v>
      </c>
      <c r="F345" t="str">
        <f t="shared" si="5"/>
        <v/>
      </c>
      <c r="G345" s="5">
        <f ca="1">AVERAGE(D$2:D344)</f>
        <v>177.13110958823421</v>
      </c>
      <c r="H345" s="5">
        <f ca="1">PERCENTILE(D$2:D344,0.025)</f>
        <v>-2.385728536962612</v>
      </c>
      <c r="I345" s="5">
        <f ca="1">PERCENTILE(D$2:D344,0.165)</f>
        <v>3.3000676486048399</v>
      </c>
      <c r="J345" s="5">
        <f ca="1">PERCENTILE(D$2:D344,0.5)</f>
        <v>36.860454946312331</v>
      </c>
      <c r="K345" s="5">
        <f ca="1">PERCENTILE(D$2:D344,0.835)</f>
        <v>219.81794035955727</v>
      </c>
      <c r="L345" s="5">
        <f ca="1">PERCENTILE(D$2:D344,0.975)</f>
        <v>1209.5210281961226</v>
      </c>
      <c r="M345" s="7">
        <f>AVERAGE(E$2:E344)</f>
        <v>1.4290220820189274</v>
      </c>
      <c r="N345" s="7">
        <f>PERCENTILE($E$2:$E344,0.025)</f>
        <v>-2</v>
      </c>
      <c r="O345" s="7">
        <f>PERCENTILE($E$2:$E344,0.165)</f>
        <v>0</v>
      </c>
      <c r="P345" s="7">
        <f>PERCENTILE($E$2:$E344,0.5)</f>
        <v>1</v>
      </c>
      <c r="Q345" s="7">
        <f>PERCENTILE($E$2:$E344,0.835)</f>
        <v>3</v>
      </c>
      <c r="R345" s="7">
        <f>PERCENTILE($E$2:$E344,0.975)</f>
        <v>5.0999999999999659</v>
      </c>
    </row>
    <row r="346" spans="1:18" x14ac:dyDescent="0.2">
      <c r="A346" s="5">
        <f>Data!E400</f>
        <v>2009</v>
      </c>
      <c r="B346" s="5">
        <f>Data!M400</f>
        <v>0.20909090909090911</v>
      </c>
      <c r="C346" s="5">
        <f>Data!N400</f>
        <v>3.0303030303030304E-2</v>
      </c>
      <c r="D346" s="5">
        <f ca="1">Data!O400</f>
        <v>71.969926509186351</v>
      </c>
      <c r="E346" s="1">
        <f>Data!AQ400</f>
        <v>0</v>
      </c>
      <c r="F346">
        <f t="shared" si="5"/>
        <v>2009</v>
      </c>
      <c r="G346" s="5">
        <f ca="1">AVERAGE(D$2:D345)</f>
        <v>180.1021351985145</v>
      </c>
      <c r="H346" s="5">
        <f ca="1">PERCENTILE(D$2:D345,0.025)</f>
        <v>-2.3732595724837133</v>
      </c>
      <c r="I346" s="5">
        <f ca="1">PERCENTILE(D$2:D345,0.165)</f>
        <v>3.3073014644850907</v>
      </c>
      <c r="J346" s="5">
        <f ca="1">PERCENTILE(D$2:D345,0.5)</f>
        <v>37.435381616951773</v>
      </c>
      <c r="K346" s="5">
        <f ca="1">PERCENTILE(D$2:D345,0.835)</f>
        <v>226.95522031937912</v>
      </c>
      <c r="L346" s="5">
        <f ca="1">PERCENTILE(D$2:D345,0.975)</f>
        <v>1246.8206946554144</v>
      </c>
      <c r="M346" s="7">
        <f>AVERAGE(E$2:E345)</f>
        <v>1.4276729559748427</v>
      </c>
      <c r="N346" s="7">
        <f>PERCENTILE($E$2:$E345,0.025)</f>
        <v>-2</v>
      </c>
      <c r="O346" s="7">
        <f>PERCENTILE($E$2:$E345,0.165)</f>
        <v>0</v>
      </c>
      <c r="P346" s="7">
        <f>PERCENTILE($E$2:$E345,0.5)</f>
        <v>1</v>
      </c>
      <c r="Q346" s="7">
        <f>PERCENTILE($E$2:$E345,0.835)</f>
        <v>3</v>
      </c>
      <c r="R346" s="7">
        <f>PERCENTILE($E$2:$E345,0.975)</f>
        <v>5.0749999999999886</v>
      </c>
    </row>
    <row r="347" spans="1:18" x14ac:dyDescent="0.2">
      <c r="A347" s="5">
        <f>Data!E401</f>
        <v>2009</v>
      </c>
      <c r="B347" s="5">
        <f>Data!M401</f>
        <v>0.20909090909090911</v>
      </c>
      <c r="C347" s="5">
        <f>Data!N401</f>
        <v>3.0303030303030304E-2</v>
      </c>
      <c r="D347" s="5">
        <f ca="1">Data!O401</f>
        <v>12.591160104986878</v>
      </c>
      <c r="E347" s="1">
        <f>Data!AQ401</f>
        <v>1</v>
      </c>
      <c r="F347" t="str">
        <f t="shared" si="5"/>
        <v/>
      </c>
      <c r="G347" s="5">
        <f ca="1">AVERAGE(D$2:D346)</f>
        <v>179.78870850666138</v>
      </c>
      <c r="H347" s="5">
        <f ca="1">PERCENTILE(D$2:D346,0.025)</f>
        <v>-2.3607906080048151</v>
      </c>
      <c r="I347" s="5">
        <f ca="1">PERCENTILE(D$2:D346,0.165)</f>
        <v>3.3145352803653414</v>
      </c>
      <c r="J347" s="5">
        <f ca="1">PERCENTILE(D$2:D346,0.5)</f>
        <v>38.010308287591222</v>
      </c>
      <c r="K347" s="5">
        <f ca="1">PERCENTILE(D$2:D346,0.835)</f>
        <v>224.42507968176318</v>
      </c>
      <c r="L347" s="5">
        <f ca="1">PERCENTILE(D$2:D346,0.975)</f>
        <v>1244.0173549418364</v>
      </c>
      <c r="M347" s="7">
        <f>AVERAGE(E$2:E346)</f>
        <v>1.4231974921630095</v>
      </c>
      <c r="N347" s="7">
        <f>PERCENTILE($E$2:$E346,0.025)</f>
        <v>-2</v>
      </c>
      <c r="O347" s="7">
        <f>PERCENTILE($E$2:$E346,0.165)</f>
        <v>0</v>
      </c>
      <c r="P347" s="7">
        <f>PERCENTILE($E$2:$E346,0.5)</f>
        <v>1</v>
      </c>
      <c r="Q347" s="7">
        <f>PERCENTILE($E$2:$E346,0.835)</f>
        <v>3</v>
      </c>
      <c r="R347" s="7">
        <f>PERCENTILE($E$2:$E346,0.975)</f>
        <v>5.0500000000000114</v>
      </c>
    </row>
    <row r="348" spans="1:18" x14ac:dyDescent="0.2">
      <c r="A348" s="5">
        <f>Data!E402</f>
        <v>2009</v>
      </c>
      <c r="B348" s="5">
        <f>Data!M402</f>
        <v>0.20909090909090911</v>
      </c>
      <c r="C348" s="5">
        <f>Data!N402</f>
        <v>3.0303030303030304E-2</v>
      </c>
      <c r="D348" s="5">
        <f ca="1">Data!O402</f>
        <v>-8.4418005249343846</v>
      </c>
      <c r="E348" s="1">
        <f>Data!AQ402</f>
        <v>3</v>
      </c>
      <c r="F348" t="str">
        <f t="shared" si="5"/>
        <v/>
      </c>
      <c r="G348" s="5">
        <f ca="1">AVERAGE(D$2:D347)</f>
        <v>179.30547859798602</v>
      </c>
      <c r="H348" s="5">
        <f ca="1">PERCENTILE(D$2:D347,0.025)</f>
        <v>-2.3483216435259164</v>
      </c>
      <c r="I348" s="5">
        <f ca="1">PERCENTILE(D$2:D347,0.165)</f>
        <v>3.3217690962455921</v>
      </c>
      <c r="J348" s="5">
        <f ca="1">PERCENTILE(D$2:D347,0.5)</f>
        <v>37.435381616951773</v>
      </c>
      <c r="K348" s="5">
        <f ca="1">PERCENTILE(D$2:D347,0.835)</f>
        <v>221.89493904414635</v>
      </c>
      <c r="L348" s="5">
        <f ca="1">PERCENTILE(D$2:D347,0.975)</f>
        <v>1241.2140152282648</v>
      </c>
      <c r="M348" s="7">
        <f>AVERAGE(E$2:E347)</f>
        <v>1.421875</v>
      </c>
      <c r="N348" s="7">
        <f>PERCENTILE($E$2:$E347,0.025)</f>
        <v>-2</v>
      </c>
      <c r="O348" s="7">
        <f>PERCENTILE($E$2:$E347,0.165)</f>
        <v>0</v>
      </c>
      <c r="P348" s="7">
        <f>PERCENTILE($E$2:$E347,0.5)</f>
        <v>1</v>
      </c>
      <c r="Q348" s="7">
        <f>PERCENTILE($E$2:$E347,0.835)</f>
        <v>3</v>
      </c>
      <c r="R348" s="7">
        <f>PERCENTILE($E$2:$E347,0.975)</f>
        <v>5.0249999999999773</v>
      </c>
    </row>
    <row r="349" spans="1:18" x14ac:dyDescent="0.2">
      <c r="A349" s="5">
        <f>Data!E403</f>
        <v>2009</v>
      </c>
      <c r="B349" s="5">
        <f>Data!M403</f>
        <v>0.20909090909090911</v>
      </c>
      <c r="C349" s="5">
        <f>Data!N403</f>
        <v>3.0303030303030304E-2</v>
      </c>
      <c r="D349" s="5">
        <f ca="1">Data!O403</f>
        <v>105.7371286089239</v>
      </c>
      <c r="E349" s="1">
        <f>Data!AQ403</f>
        <v>0</v>
      </c>
      <c r="F349" t="str">
        <f t="shared" si="5"/>
        <v/>
      </c>
      <c r="G349" s="5">
        <f ca="1">AVERAGE(D$2:D348)</f>
        <v>178.7644201567096</v>
      </c>
      <c r="H349" s="5">
        <f ca="1">PERCENTILE(D$2:D348,0.025)</f>
        <v>-2.9509882600060187</v>
      </c>
      <c r="I349" s="5">
        <f ca="1">PERCENTILE(D$2:D348,0.165)</f>
        <v>3.2851616037606868</v>
      </c>
      <c r="J349" s="5">
        <f ca="1">PERCENTILE(D$2:D348,0.5)</f>
        <v>36.860454946312331</v>
      </c>
      <c r="K349" s="5">
        <f ca="1">PERCENTILE(D$2:D348,0.835)</f>
        <v>220.55086551736181</v>
      </c>
      <c r="L349" s="5">
        <f ca="1">PERCENTILE(D$2:D348,0.975)</f>
        <v>1238.4106755146868</v>
      </c>
      <c r="M349" s="7">
        <f>AVERAGE(E$2:E348)</f>
        <v>1.4267912772585669</v>
      </c>
      <c r="N349" s="7">
        <f>PERCENTILE($E$2:$E348,0.025)</f>
        <v>-2</v>
      </c>
      <c r="O349" s="7">
        <f>PERCENTILE($E$2:$E348,0.165)</f>
        <v>0</v>
      </c>
      <c r="P349" s="7">
        <f>PERCENTILE($E$2:$E348,0.5)</f>
        <v>1</v>
      </c>
      <c r="Q349" s="7">
        <f>PERCENTILE($E$2:$E348,0.835)</f>
        <v>3</v>
      </c>
      <c r="R349" s="7">
        <f>PERCENTILE($E$2:$E348,0.975)</f>
        <v>5</v>
      </c>
    </row>
    <row r="350" spans="1:18" x14ac:dyDescent="0.2">
      <c r="A350" s="5">
        <f>Data!E404</f>
        <v>2009</v>
      </c>
      <c r="B350" s="5">
        <f>Data!M404</f>
        <v>0.20909090909090911</v>
      </c>
      <c r="C350" s="5">
        <f>Data!N404</f>
        <v>3.0303030303030304E-2</v>
      </c>
      <c r="D350" s="5">
        <f ca="1">Data!O404</f>
        <v>37.630398950131237</v>
      </c>
      <c r="E350" s="1">
        <f>Data!AQ404</f>
        <v>0</v>
      </c>
      <c r="F350" t="str">
        <f t="shared" si="5"/>
        <v/>
      </c>
      <c r="G350" s="5">
        <f ca="1">AVERAGE(D$2:D349)</f>
        <v>178.55457161777917</v>
      </c>
      <c r="H350" s="5">
        <f ca="1">PERCENTILE(D$2:D349,0.025)</f>
        <v>-2.9302066525411874</v>
      </c>
      <c r="I350" s="5">
        <f ca="1">PERCENTILE(D$2:D349,0.165)</f>
        <v>3.2923954196409375</v>
      </c>
      <c r="J350" s="5">
        <f ca="1">PERCENTILE(D$2:D349,0.5)</f>
        <v>37.435381616951773</v>
      </c>
      <c r="K350" s="5">
        <f ca="1">PERCENTILE(D$2:D349,0.835)</f>
        <v>220.19518124960376</v>
      </c>
      <c r="L350" s="5">
        <f ca="1">PERCENTILE(D$2:D349,0.975)</f>
        <v>1235.6073358011151</v>
      </c>
      <c r="M350" s="7">
        <f>AVERAGE(E$2:E349)</f>
        <v>1.4223602484472049</v>
      </c>
      <c r="N350" s="7">
        <f>PERCENTILE($E$2:$E349,0.025)</f>
        <v>-2</v>
      </c>
      <c r="O350" s="7">
        <f>PERCENTILE($E$2:$E349,0.165)</f>
        <v>0</v>
      </c>
      <c r="P350" s="7">
        <f>PERCENTILE($E$2:$E349,0.5)</f>
        <v>1</v>
      </c>
      <c r="Q350" s="7">
        <f>PERCENTILE($E$2:$E349,0.835)</f>
        <v>3</v>
      </c>
      <c r="R350" s="7">
        <f>PERCENTILE($E$2:$E349,0.975)</f>
        <v>5</v>
      </c>
    </row>
    <row r="351" spans="1:18" x14ac:dyDescent="0.2">
      <c r="A351" s="5">
        <f>Data!E405</f>
        <v>2009</v>
      </c>
      <c r="B351" s="5">
        <f>Data!M405</f>
        <v>0.20909090909090911</v>
      </c>
      <c r="C351" s="5">
        <f>Data!N405</f>
        <v>3.0303030303030304E-2</v>
      </c>
      <c r="D351" s="5">
        <f ca="1">Data!O405</f>
        <v>159.53572178477691</v>
      </c>
      <c r="E351" s="1">
        <f>Data!AQ405</f>
        <v>0</v>
      </c>
      <c r="F351" t="str">
        <f t="shared" si="5"/>
        <v/>
      </c>
      <c r="G351" s="5">
        <f ca="1">AVERAGE(D$2:D350)</f>
        <v>178.15077742675442</v>
      </c>
      <c r="H351" s="5">
        <f ca="1">PERCENTILE(D$2:D350,0.025)</f>
        <v>-2.9094250450763557</v>
      </c>
      <c r="I351" s="5">
        <f ca="1">PERCENTILE(D$2:D350,0.165)</f>
        <v>3.2996292355211883</v>
      </c>
      <c r="J351" s="5">
        <f ca="1">PERCENTILE(D$2:D350,0.5)</f>
        <v>37.630398950131237</v>
      </c>
      <c r="K351" s="5">
        <f ca="1">PERCENTILE(D$2:D350,0.835)</f>
        <v>219.8394969818456</v>
      </c>
      <c r="L351" s="5">
        <f ca="1">PERCENTILE(D$2:D350,0.975)</f>
        <v>1232.8039960875435</v>
      </c>
      <c r="M351" s="7">
        <f>AVERAGE(E$2:E350)</f>
        <v>1.4179566563467492</v>
      </c>
      <c r="N351" s="7">
        <f>PERCENTILE($E$2:$E350,0.025)</f>
        <v>-2</v>
      </c>
      <c r="O351" s="7">
        <f>PERCENTILE($E$2:$E350,0.165)</f>
        <v>0</v>
      </c>
      <c r="P351" s="7">
        <f>PERCENTILE($E$2:$E350,0.5)</f>
        <v>1</v>
      </c>
      <c r="Q351" s="7">
        <f>PERCENTILE($E$2:$E350,0.835)</f>
        <v>3</v>
      </c>
      <c r="R351" s="7">
        <f>PERCENTILE($E$2:$E350,0.975)</f>
        <v>5</v>
      </c>
    </row>
    <row r="352" spans="1:18" x14ac:dyDescent="0.2">
      <c r="A352" s="5">
        <f>Data!E406</f>
        <v>2009</v>
      </c>
      <c r="B352" s="5">
        <f>Data!M406</f>
        <v>0.20909090909090911</v>
      </c>
      <c r="C352" s="5">
        <f>Data!N406</f>
        <v>3.0303030303030304E-2</v>
      </c>
      <c r="D352" s="5">
        <f ca="1">Data!O406</f>
        <v>18.743658792650919</v>
      </c>
      <c r="E352" s="1">
        <f>Data!AQ406</f>
        <v>0</v>
      </c>
      <c r="F352" t="str">
        <f t="shared" si="5"/>
        <v/>
      </c>
      <c r="G352" s="5">
        <f ca="1">AVERAGE(D$2:D351)</f>
        <v>178.09759155349161</v>
      </c>
      <c r="H352" s="5">
        <f ca="1">PERCENTILE(D$2:D351,0.025)</f>
        <v>-2.8886434376115258</v>
      </c>
      <c r="I352" s="5">
        <f ca="1">PERCENTILE(D$2:D351,0.165)</f>
        <v>3.306863051401439</v>
      </c>
      <c r="J352" s="5">
        <f ca="1">PERCENTILE(D$2:D351,0.5)</f>
        <v>37.820353618861233</v>
      </c>
      <c r="K352" s="5">
        <f ca="1">PERCENTILE(D$2:D351,0.835)</f>
        <v>219.48381271408743</v>
      </c>
      <c r="L352" s="5">
        <f ca="1">PERCENTILE(D$2:D351,0.975)</f>
        <v>1230.0006563739655</v>
      </c>
      <c r="M352" s="7">
        <f>AVERAGE(E$2:E351)</f>
        <v>1.4135802469135803</v>
      </c>
      <c r="N352" s="7">
        <f>PERCENTILE($E$2:$E351,0.025)</f>
        <v>-2</v>
      </c>
      <c r="O352" s="7">
        <f>PERCENTILE($E$2:$E351,0.165)</f>
        <v>0</v>
      </c>
      <c r="P352" s="7">
        <f>PERCENTILE($E$2:$E351,0.5)</f>
        <v>1</v>
      </c>
      <c r="Q352" s="7">
        <f>PERCENTILE($E$2:$E351,0.835)</f>
        <v>3</v>
      </c>
      <c r="R352" s="7">
        <f>PERCENTILE($E$2:$E351,0.975)</f>
        <v>5</v>
      </c>
    </row>
    <row r="353" spans="1:18" x14ac:dyDescent="0.2">
      <c r="A353" s="5">
        <f>Data!E407</f>
        <v>2009</v>
      </c>
      <c r="B353" s="5">
        <f>Data!M407</f>
        <v>0.20909090909090911</v>
      </c>
      <c r="C353" s="5">
        <f>Data!N407</f>
        <v>3.0303030303030304E-2</v>
      </c>
      <c r="D353" s="5">
        <f ca="1">Data!O407</f>
        <v>99.870792650918631</v>
      </c>
      <c r="E353" s="1">
        <f>Data!AQ407</f>
        <v>0</v>
      </c>
      <c r="F353" t="str">
        <f t="shared" si="5"/>
        <v/>
      </c>
      <c r="G353" s="5">
        <f ca="1">AVERAGE(D$2:D352)</f>
        <v>177.64359174505617</v>
      </c>
      <c r="H353" s="5">
        <f ca="1">PERCENTILE(D$2:D352,0.025)</f>
        <v>-2.8678618301466945</v>
      </c>
      <c r="I353" s="5">
        <f ca="1">PERCENTILE(D$2:D352,0.165)</f>
        <v>3.3140968672816897</v>
      </c>
      <c r="J353" s="5">
        <f ca="1">PERCENTILE(D$2:D352,0.5)</f>
        <v>37.630398950131237</v>
      </c>
      <c r="K353" s="5">
        <f ca="1">PERCENTILE(D$2:D352,0.835)</f>
        <v>219.12812844632941</v>
      </c>
      <c r="L353" s="5">
        <f ca="1">PERCENTILE(D$2:D352,0.975)</f>
        <v>1227.1973166603939</v>
      </c>
      <c r="M353" s="7">
        <f>AVERAGE(E$2:E352)</f>
        <v>1.4092307692307693</v>
      </c>
      <c r="N353" s="7">
        <f>PERCENTILE($E$2:$E352,0.025)</f>
        <v>-2</v>
      </c>
      <c r="O353" s="7">
        <f>PERCENTILE($E$2:$E352,0.165)</f>
        <v>0</v>
      </c>
      <c r="P353" s="7">
        <f>PERCENTILE($E$2:$E352,0.5)</f>
        <v>1</v>
      </c>
      <c r="Q353" s="7">
        <f>PERCENTILE($E$2:$E352,0.835)</f>
        <v>3</v>
      </c>
      <c r="R353" s="7">
        <f>PERCENTILE($E$2:$E352,0.975)</f>
        <v>5</v>
      </c>
    </row>
    <row r="354" spans="1:18" x14ac:dyDescent="0.2">
      <c r="A354" s="5">
        <f>Data!E408</f>
        <v>2009</v>
      </c>
      <c r="B354" s="5">
        <f>Data!M408</f>
        <v>0.20909090909090911</v>
      </c>
      <c r="C354" s="5">
        <f>Data!N408</f>
        <v>3.0303030303030304E-2</v>
      </c>
      <c r="D354" s="5">
        <f ca="1">Data!O408</f>
        <v>21.46220472440945</v>
      </c>
      <c r="E354" s="1">
        <f>Data!AQ408</f>
        <v>1</v>
      </c>
      <c r="F354" t="str">
        <f t="shared" si="5"/>
        <v/>
      </c>
      <c r="G354" s="5">
        <f ca="1">AVERAGE(D$2:D353)</f>
        <v>177.42264629308417</v>
      </c>
      <c r="H354" s="5">
        <f ca="1">PERCENTILE(D$2:D353,0.025)</f>
        <v>-2.8470802226818632</v>
      </c>
      <c r="I354" s="5">
        <f ca="1">PERCENTILE(D$2:D353,0.165)</f>
        <v>3.3213306831619409</v>
      </c>
      <c r="J354" s="5">
        <f ca="1">PERCENTILE(D$2:D353,0.5)</f>
        <v>37.820353618861233</v>
      </c>
      <c r="K354" s="5">
        <f ca="1">PERCENTILE(D$2:D353,0.835)</f>
        <v>218.77244417857125</v>
      </c>
      <c r="L354" s="5">
        <f ca="1">PERCENTILE(D$2:D353,0.975)</f>
        <v>1224.3939769468161</v>
      </c>
      <c r="M354" s="7">
        <f>AVERAGE(E$2:E353)</f>
        <v>1.4049079754601228</v>
      </c>
      <c r="N354" s="7">
        <f>PERCENTILE($E$2:$E353,0.025)</f>
        <v>-2</v>
      </c>
      <c r="O354" s="7">
        <f>PERCENTILE($E$2:$E353,0.165)</f>
        <v>0</v>
      </c>
      <c r="P354" s="7">
        <f>PERCENTILE($E$2:$E353,0.5)</f>
        <v>1</v>
      </c>
      <c r="Q354" s="7">
        <f>PERCENTILE($E$2:$E353,0.835)</f>
        <v>3</v>
      </c>
      <c r="R354" s="7">
        <f>PERCENTILE($E$2:$E353,0.975)</f>
        <v>5</v>
      </c>
    </row>
    <row r="355" spans="1:18" x14ac:dyDescent="0.2">
      <c r="A355" s="5">
        <f>Data!E409</f>
        <v>2009</v>
      </c>
      <c r="B355" s="5">
        <f>Data!M409</f>
        <v>0.20909090909090911</v>
      </c>
      <c r="C355" s="5">
        <f>Data!N409</f>
        <v>3.0303030303030304E-2</v>
      </c>
      <c r="D355" s="5">
        <f ca="1">Data!O409</f>
        <v>5.0078477690288716</v>
      </c>
      <c r="E355" s="1">
        <f>Data!AQ409</f>
        <v>1</v>
      </c>
      <c r="F355" t="str">
        <f t="shared" si="5"/>
        <v/>
      </c>
      <c r="G355" s="5">
        <f ca="1">AVERAGE(D$2:D354)</f>
        <v>176.98083201101994</v>
      </c>
      <c r="H355" s="5">
        <f ca="1">PERCENTILE(D$2:D354,0.025)</f>
        <v>-2.8262986152170315</v>
      </c>
      <c r="I355" s="5">
        <f ca="1">PERCENTILE(D$2:D354,0.165)</f>
        <v>3.3383574231504718</v>
      </c>
      <c r="J355" s="5">
        <f ca="1">PERCENTILE(D$2:D354,0.5)</f>
        <v>37.630398950131237</v>
      </c>
      <c r="K355" s="5">
        <f ca="1">PERCENTILE(D$2:D354,0.835)</f>
        <v>218.22106617326051</v>
      </c>
      <c r="L355" s="5">
        <f ca="1">PERCENTILE(D$2:D354,0.975)</f>
        <v>1221.5906372332445</v>
      </c>
      <c r="M355" s="7">
        <f>AVERAGE(E$2:E354)</f>
        <v>1.4036697247706422</v>
      </c>
      <c r="N355" s="7">
        <f>PERCENTILE($E$2:$E354,0.025)</f>
        <v>-2</v>
      </c>
      <c r="O355" s="7">
        <f>PERCENTILE($E$2:$E354,0.165)</f>
        <v>0</v>
      </c>
      <c r="P355" s="7">
        <f>PERCENTILE($E$2:$E354,0.5)</f>
        <v>1</v>
      </c>
      <c r="Q355" s="7">
        <f>PERCENTILE($E$2:$E354,0.835)</f>
        <v>3</v>
      </c>
      <c r="R355" s="7">
        <f>PERCENTILE($E$2:$E354,0.975)</f>
        <v>5</v>
      </c>
    </row>
    <row r="356" spans="1:18" x14ac:dyDescent="0.2">
      <c r="A356" s="5">
        <f>Data!E410</f>
        <v>2009</v>
      </c>
      <c r="B356" s="5">
        <f>Data!M410</f>
        <v>0.20909090909090911</v>
      </c>
      <c r="C356" s="5">
        <f>Data!N410</f>
        <v>3.0303030303030304E-2</v>
      </c>
      <c r="D356" s="5">
        <f ca="1">Data!O410</f>
        <v>31.1917375328084</v>
      </c>
      <c r="E356" s="1">
        <f>Data!AQ410</f>
        <v>1</v>
      </c>
      <c r="F356" t="str">
        <f t="shared" si="5"/>
        <v/>
      </c>
      <c r="G356" s="5">
        <f ca="1">AVERAGE(D$2:D355)</f>
        <v>176.49503262050584</v>
      </c>
      <c r="H356" s="5">
        <f ca="1">PERCENTILE(D$2:D355,0.025)</f>
        <v>-2.8055170077522003</v>
      </c>
      <c r="I356" s="5">
        <f ca="1">PERCENTILE(D$2:D355,0.165)</f>
        <v>3.3657891450040487</v>
      </c>
      <c r="J356" s="5">
        <f ca="1">PERCENTILE(D$2:D355,0.5)</f>
        <v>37.245426948221784</v>
      </c>
      <c r="K356" s="5">
        <f ca="1">PERCENTILE(D$2:D355,0.835)</f>
        <v>217.46176357180053</v>
      </c>
      <c r="L356" s="5">
        <f ca="1">PERCENTILE(D$2:D355,0.975)</f>
        <v>1218.7872975196728</v>
      </c>
      <c r="M356" s="7">
        <f>AVERAGE(E$2:E355)</f>
        <v>1.4024390243902438</v>
      </c>
      <c r="N356" s="7">
        <f>PERCENTILE($E$2:$E355,0.025)</f>
        <v>-2</v>
      </c>
      <c r="O356" s="7">
        <f>PERCENTILE($E$2:$E355,0.165)</f>
        <v>0</v>
      </c>
      <c r="P356" s="7">
        <f>PERCENTILE($E$2:$E355,0.5)</f>
        <v>1</v>
      </c>
      <c r="Q356" s="7">
        <f>PERCENTILE($E$2:$E355,0.835)</f>
        <v>3</v>
      </c>
      <c r="R356" s="7">
        <f>PERCENTILE($E$2:$E355,0.975)</f>
        <v>5</v>
      </c>
    </row>
    <row r="357" spans="1:18" x14ac:dyDescent="0.2">
      <c r="A357" s="5">
        <f>Data!E411</f>
        <v>2009</v>
      </c>
      <c r="B357" s="5">
        <f>Data!M411</f>
        <v>0.20909090909090911</v>
      </c>
      <c r="C357" s="5">
        <f>Data!N411</f>
        <v>3.0303030303030304E-2</v>
      </c>
      <c r="D357" s="5">
        <f ca="1">Data!O411</f>
        <v>-2.2893018372703415</v>
      </c>
      <c r="E357" s="1">
        <f>Data!AQ411</f>
        <v>1</v>
      </c>
      <c r="F357" t="str">
        <f t="shared" si="5"/>
        <v/>
      </c>
      <c r="G357" s="5">
        <f ca="1">AVERAGE(D$2:D356)</f>
        <v>176.08572756392078</v>
      </c>
      <c r="H357" s="5">
        <f ca="1">PERCENTILE(D$2:D356,0.025)</f>
        <v>-2.7847354002873703</v>
      </c>
      <c r="I357" s="5">
        <f ca="1">PERCENTILE(D$2:D356,0.165)</f>
        <v>3.3932208668576256</v>
      </c>
      <c r="J357" s="5">
        <f ca="1">PERCENTILE(D$2:D356,0.5)</f>
        <v>36.860454946312331</v>
      </c>
      <c r="K357" s="5">
        <f ca="1">PERCENTILE(D$2:D356,0.835)</f>
        <v>216.7024609703403</v>
      </c>
      <c r="L357" s="5">
        <f ca="1">PERCENTILE(D$2:D356,0.975)</f>
        <v>1215.9839578060948</v>
      </c>
      <c r="M357" s="7">
        <f>AVERAGE(E$2:E356)</f>
        <v>1.4012158054711246</v>
      </c>
      <c r="N357" s="7">
        <f>PERCENTILE($E$2:$E356,0.025)</f>
        <v>-2</v>
      </c>
      <c r="O357" s="7">
        <f>PERCENTILE($E$2:$E356,0.165)</f>
        <v>0</v>
      </c>
      <c r="P357" s="7">
        <f>PERCENTILE($E$2:$E356,0.5)</f>
        <v>1</v>
      </c>
      <c r="Q357" s="7">
        <f>PERCENTILE($E$2:$E356,0.835)</f>
        <v>3</v>
      </c>
      <c r="R357" s="7">
        <f>PERCENTILE($E$2:$E356,0.975)</f>
        <v>5</v>
      </c>
    </row>
    <row r="358" spans="1:18" x14ac:dyDescent="0.2">
      <c r="A358" s="5">
        <f>Data!E412</f>
        <v>2009</v>
      </c>
      <c r="B358" s="5">
        <f>Data!M412</f>
        <v>0.20909090909090911</v>
      </c>
      <c r="C358" s="5">
        <f>Data!N412</f>
        <v>3.0303030303030304E-2</v>
      </c>
      <c r="D358" s="5">
        <f ca="1">Data!O412</f>
        <v>18.171333333333333</v>
      </c>
      <c r="E358" s="1">
        <f>Data!AQ412</f>
        <v>1</v>
      </c>
      <c r="F358" t="str">
        <f t="shared" si="5"/>
        <v/>
      </c>
      <c r="G358" s="5">
        <f ca="1">AVERAGE(D$2:D357)</f>
        <v>175.58467411054664</v>
      </c>
      <c r="H358" s="5">
        <f ca="1">PERCENTILE(D$2:D357,0.025)</f>
        <v>-2.7639537928225391</v>
      </c>
      <c r="I358" s="5">
        <f ca="1">PERCENTILE(D$2:D357,0.165)</f>
        <v>3.3064246383177873</v>
      </c>
      <c r="J358" s="5">
        <f ca="1">PERCENTILE(D$2:D357,0.5)</f>
        <v>36.822312128442242</v>
      </c>
      <c r="K358" s="5">
        <f ca="1">PERCENTILE(D$2:D357,0.835)</f>
        <v>215.94315836888032</v>
      </c>
      <c r="L358" s="5">
        <f ca="1">PERCENTILE(D$2:D357,0.975)</f>
        <v>1213.1806180925232</v>
      </c>
      <c r="M358" s="7">
        <f>AVERAGE(E$2:E357)</f>
        <v>1.4</v>
      </c>
      <c r="N358" s="7">
        <f>PERCENTILE($E$2:$E357,0.025)</f>
        <v>-2</v>
      </c>
      <c r="O358" s="7">
        <f>PERCENTILE($E$2:$E357,0.165)</f>
        <v>0</v>
      </c>
      <c r="P358" s="7">
        <f>PERCENTILE($E$2:$E357,0.5)</f>
        <v>1</v>
      </c>
      <c r="Q358" s="7">
        <f>PERCENTILE($E$2:$E357,0.835)</f>
        <v>3</v>
      </c>
      <c r="R358" s="7">
        <f>PERCENTILE($E$2:$E357,0.975)</f>
        <v>5</v>
      </c>
    </row>
    <row r="359" spans="1:18" x14ac:dyDescent="0.2">
      <c r="A359" s="5">
        <f>Data!E413</f>
        <v>2009</v>
      </c>
      <c r="B359" s="5">
        <f>Data!M413</f>
        <v>0.20909090909090911</v>
      </c>
      <c r="C359" s="5">
        <f>Data!N413</f>
        <v>3.0303030303030304E-2</v>
      </c>
      <c r="D359" s="5">
        <f ca="1">Data!O413</f>
        <v>-3.7201154855643046</v>
      </c>
      <c r="E359" s="1">
        <f>Data!AQ413</f>
        <v>3</v>
      </c>
      <c r="F359" t="str">
        <f t="shared" si="5"/>
        <v/>
      </c>
      <c r="G359" s="5">
        <f ca="1">AVERAGE(D$2:D358)</f>
        <v>175.14374038287937</v>
      </c>
      <c r="H359" s="5">
        <f ca="1">PERCENTILE(D$2:D358,0.025)</f>
        <v>-2.7431721853577073</v>
      </c>
      <c r="I359" s="5">
        <f ca="1">PERCENTILE(D$2:D358,0.165)</f>
        <v>3.3136584541980381</v>
      </c>
      <c r="J359" s="5">
        <f ca="1">PERCENTILE(D$2:D358,0.5)</f>
        <v>36.784169310572153</v>
      </c>
      <c r="K359" s="5">
        <f ca="1">PERCENTILE(D$2:D358,0.835)</f>
        <v>215.18385576742008</v>
      </c>
      <c r="L359" s="5">
        <f ca="1">PERCENTILE(D$2:D358,0.975)</f>
        <v>1210.3772783789452</v>
      </c>
      <c r="M359" s="7">
        <f>AVERAGE(E$2:E358)</f>
        <v>1.3987915407854985</v>
      </c>
      <c r="N359" s="7">
        <f>PERCENTILE($E$2:$E358,0.025)</f>
        <v>-2</v>
      </c>
      <c r="O359" s="7">
        <f>PERCENTILE($E$2:$E358,0.165)</f>
        <v>0</v>
      </c>
      <c r="P359" s="7">
        <f>PERCENTILE($E$2:$E358,0.5)</f>
        <v>1</v>
      </c>
      <c r="Q359" s="7">
        <f>PERCENTILE($E$2:$E358,0.835)</f>
        <v>3</v>
      </c>
      <c r="R359" s="7">
        <f>PERCENTILE($E$2:$E358,0.975)</f>
        <v>5</v>
      </c>
    </row>
    <row r="360" spans="1:18" x14ac:dyDescent="0.2">
      <c r="A360" s="5">
        <f>Data!E414</f>
        <v>2009</v>
      </c>
      <c r="B360" s="5">
        <f>Data!M414</f>
        <v>0.20909090909090911</v>
      </c>
      <c r="C360" s="5">
        <f>Data!N414</f>
        <v>3.0303030303030304E-2</v>
      </c>
      <c r="D360" s="5">
        <f ca="1">Data!O414</f>
        <v>-5.4370918635170602</v>
      </c>
      <c r="E360" s="1">
        <f>Data!AQ414</f>
        <v>3</v>
      </c>
      <c r="F360" t="str">
        <f t="shared" si="5"/>
        <v/>
      </c>
      <c r="G360" s="5">
        <f ca="1">AVERAGE(D$2:D359)</f>
        <v>174.64412067374963</v>
      </c>
      <c r="H360" s="5">
        <f ca="1">PERCENTILE(D$2:D359,0.025)</f>
        <v>-3.5084704614520787</v>
      </c>
      <c r="I360" s="5">
        <f ca="1">PERCENTILE(D$2:D359,0.165)</f>
        <v>3.2672741151657791</v>
      </c>
      <c r="J360" s="5">
        <f ca="1">PERCENTILE(D$2:D359,0.5)</f>
        <v>35.848634925744214</v>
      </c>
      <c r="K360" s="5">
        <f ca="1">PERCENTILE(D$2:D359,0.835)</f>
        <v>214.42455316595985</v>
      </c>
      <c r="L360" s="5">
        <f ca="1">PERCENTILE(D$2:D359,0.975)</f>
        <v>1207.5739386653736</v>
      </c>
      <c r="M360" s="7">
        <f>AVERAGE(E$2:E359)</f>
        <v>1.4036144578313252</v>
      </c>
      <c r="N360" s="7">
        <f>PERCENTILE($E$2:$E359,0.025)</f>
        <v>-2</v>
      </c>
      <c r="O360" s="7">
        <f>PERCENTILE($E$2:$E359,0.165)</f>
        <v>0</v>
      </c>
      <c r="P360" s="7">
        <f>PERCENTILE($E$2:$E359,0.5)</f>
        <v>1</v>
      </c>
      <c r="Q360" s="7">
        <f>PERCENTILE($E$2:$E359,0.835)</f>
        <v>3</v>
      </c>
      <c r="R360" s="7">
        <f>PERCENTILE($E$2:$E359,0.975)</f>
        <v>5</v>
      </c>
    </row>
    <row r="361" spans="1:18" x14ac:dyDescent="0.2">
      <c r="A361" s="5">
        <f>Data!E415</f>
        <v>2009</v>
      </c>
      <c r="B361" s="5">
        <f>Data!M415</f>
        <v>0.20909090909090911</v>
      </c>
      <c r="C361" s="5">
        <f>Data!N415</f>
        <v>3.0303030303030304E-2</v>
      </c>
      <c r="D361" s="5">
        <f ca="1">Data!O415</f>
        <v>-3.4339527559055116</v>
      </c>
      <c r="E361" s="1">
        <f>Data!AQ415</f>
        <v>3</v>
      </c>
      <c r="F361" t="str">
        <f t="shared" si="5"/>
        <v/>
      </c>
      <c r="G361" s="5">
        <f ca="1">AVERAGE(D$2:D360)</f>
        <v>174.1425016973227</v>
      </c>
      <c r="H361" s="5">
        <f ca="1">PERCENTILE(D$2:D360,0.025)</f>
        <v>-3.7253004999625356</v>
      </c>
      <c r="I361" s="5">
        <f ca="1">PERCENTILE(D$2:D360,0.165)</f>
        <v>3.1447332872383407</v>
      </c>
      <c r="J361" s="5">
        <f ca="1">PERCENTILE(D$2:D360,0.5)</f>
        <v>34.913100540916275</v>
      </c>
      <c r="K361" s="5">
        <f ca="1">PERCENTILE(D$2:D360,0.835)</f>
        <v>213.94263515510781</v>
      </c>
      <c r="L361" s="5">
        <f ca="1">PERCENTILE(D$2:D360,0.975)</f>
        <v>1204.770598951802</v>
      </c>
      <c r="M361" s="7">
        <f>AVERAGE(E$2:E360)</f>
        <v>1.4084084084084083</v>
      </c>
      <c r="N361" s="7">
        <f>PERCENTILE($E$2:$E360,0.025)</f>
        <v>-2</v>
      </c>
      <c r="O361" s="7">
        <f>PERCENTILE($E$2:$E360,0.165)</f>
        <v>0</v>
      </c>
      <c r="P361" s="7">
        <f>PERCENTILE($E$2:$E360,0.5)</f>
        <v>1</v>
      </c>
      <c r="Q361" s="7">
        <f>PERCENTILE($E$2:$E360,0.835)</f>
        <v>3</v>
      </c>
      <c r="R361" s="7">
        <f>PERCENTILE($E$2:$E360,0.975)</f>
        <v>5</v>
      </c>
    </row>
    <row r="362" spans="1:18" x14ac:dyDescent="0.2">
      <c r="A362" s="5">
        <f>Data!E416</f>
        <v>2009</v>
      </c>
      <c r="B362" s="5">
        <f>Data!M416</f>
        <v>0.20909090909090911</v>
      </c>
      <c r="C362" s="5">
        <f>Data!N416</f>
        <v>3.0303030303030304E-2</v>
      </c>
      <c r="D362" s="5">
        <f ca="1">Data!O416</f>
        <v>-7.5833123359580048</v>
      </c>
      <c r="E362" s="1">
        <f>Data!AQ416</f>
        <v>3</v>
      </c>
      <c r="F362" t="str">
        <f t="shared" si="5"/>
        <v/>
      </c>
      <c r="G362" s="5">
        <f ca="1">AVERAGE(D$2:D361)</f>
        <v>173.64923376828597</v>
      </c>
      <c r="H362" s="5">
        <f ca="1">PERCENTILE(D$2:D361,0.025)</f>
        <v>-3.7227079927634201</v>
      </c>
      <c r="I362" s="5">
        <f ca="1">PERCENTILE(D$2:D361,0.165)</f>
        <v>3.0500238993836177</v>
      </c>
      <c r="J362" s="5">
        <f ca="1">PERCENTILE(D$2:D361,0.5)</f>
        <v>34.772915237354141</v>
      </c>
      <c r="K362" s="5">
        <f ca="1">PERCENTILE(D$2:D361,0.835)</f>
        <v>213.83716766008064</v>
      </c>
      <c r="L362" s="5">
        <f ca="1">PERCENTILE(D$2:D361,0.975)</f>
        <v>1201.967259238224</v>
      </c>
      <c r="M362" s="7">
        <f>AVERAGE(E$2:E361)</f>
        <v>1.4131736526946108</v>
      </c>
      <c r="N362" s="7">
        <f>PERCENTILE($E$2:$E361,0.025)</f>
        <v>-2</v>
      </c>
      <c r="O362" s="7">
        <f>PERCENTILE($E$2:$E361,0.165)</f>
        <v>0</v>
      </c>
      <c r="P362" s="7">
        <f>PERCENTILE($E$2:$E361,0.5)</f>
        <v>1</v>
      </c>
      <c r="Q362" s="7">
        <f>PERCENTILE($E$2:$E361,0.835)</f>
        <v>3</v>
      </c>
      <c r="R362" s="7">
        <f>PERCENTILE($E$2:$E361,0.975)</f>
        <v>5</v>
      </c>
    </row>
    <row r="363" spans="1:18" x14ac:dyDescent="0.2">
      <c r="A363" s="5">
        <f>Data!E417</f>
        <v>2009</v>
      </c>
      <c r="B363" s="5">
        <f>Data!M417</f>
        <v>0.20909090909090911</v>
      </c>
      <c r="C363" s="5">
        <f>Data!N417</f>
        <v>3.0303030303030304E-2</v>
      </c>
      <c r="D363" s="5">
        <f ca="1">Data!O417</f>
        <v>-4.4355223097112866</v>
      </c>
      <c r="E363" s="1">
        <f>Data!AQ417</f>
        <v>3</v>
      </c>
      <c r="F363" t="str">
        <f t="shared" si="5"/>
        <v/>
      </c>
      <c r="G363" s="5">
        <f ca="1">AVERAGE(D$2:D362)</f>
        <v>173.14720455470081</v>
      </c>
      <c r="H363" s="5">
        <f ca="1">PERCENTILE(D$2:D362,0.025)</f>
        <v>-3.8238157735289251</v>
      </c>
      <c r="I363" s="5">
        <f ca="1">PERCENTILE(D$2:D362,0.165)</f>
        <v>2.9786377025699906</v>
      </c>
      <c r="J363" s="5">
        <f ca="1">PERCENTILE(D$2:D362,0.5)</f>
        <v>34.632729933792007</v>
      </c>
      <c r="K363" s="5">
        <f ca="1">PERCENTILE(D$2:D362,0.835)</f>
        <v>213.7317001650535</v>
      </c>
      <c r="L363" s="5">
        <f ca="1">PERCENTILE(D$2:D362,0.975)</f>
        <v>1199.1639195246523</v>
      </c>
      <c r="M363" s="7">
        <f>AVERAGE(E$2:E362)</f>
        <v>1.4179104477611941</v>
      </c>
      <c r="N363" s="7">
        <f>PERCENTILE($E$2:$E362,0.025)</f>
        <v>-2</v>
      </c>
      <c r="O363" s="7">
        <f>PERCENTILE($E$2:$E362,0.165)</f>
        <v>0</v>
      </c>
      <c r="P363" s="7">
        <f>PERCENTILE($E$2:$E362,0.5)</f>
        <v>1</v>
      </c>
      <c r="Q363" s="7">
        <f>PERCENTILE($E$2:$E362,0.835)</f>
        <v>3</v>
      </c>
      <c r="R363" s="7">
        <f>PERCENTILE($E$2:$E362,0.975)</f>
        <v>5</v>
      </c>
    </row>
    <row r="364" spans="1:18" x14ac:dyDescent="0.2">
      <c r="A364" s="5">
        <f>Data!E418</f>
        <v>2009</v>
      </c>
      <c r="B364" s="5">
        <f>Data!M418</f>
        <v>0.20909090909090911</v>
      </c>
      <c r="C364" s="5">
        <f>Data!N418</f>
        <v>3.0303030303030304E-2</v>
      </c>
      <c r="D364" s="5">
        <f ca="1">Data!O418</f>
        <v>105.1648031496063</v>
      </c>
      <c r="E364" s="1">
        <f>Data!AQ418</f>
        <v>0</v>
      </c>
      <c r="F364" t="str">
        <f t="shared" si="5"/>
        <v/>
      </c>
      <c r="G364" s="5">
        <f ca="1">AVERAGE(D$2:D363)</f>
        <v>172.65664453573834</v>
      </c>
      <c r="H364" s="5">
        <f ca="1">PERCENTILE(D$2:D363,0.025)</f>
        <v>-3.8238157735289251</v>
      </c>
      <c r="I364" s="5">
        <f ca="1">PERCENTILE(D$2:D363,0.165)</f>
        <v>2.8397377993161554</v>
      </c>
      <c r="J364" s="5">
        <f ca="1">PERCENTILE(D$2:D363,0.5)</f>
        <v>34.226035550417137</v>
      </c>
      <c r="K364" s="5">
        <f ca="1">PERCENTILE(D$2:D363,0.835)</f>
        <v>213.62623267002638</v>
      </c>
      <c r="L364" s="5">
        <f ca="1">PERCENTILE(D$2:D363,0.975)</f>
        <v>1197.3410556077015</v>
      </c>
      <c r="M364" s="7">
        <f>AVERAGE(E$2:E363)</f>
        <v>1.4226190476190477</v>
      </c>
      <c r="N364" s="7">
        <f>PERCENTILE($E$2:$E363,0.025)</f>
        <v>-2</v>
      </c>
      <c r="O364" s="7">
        <f>PERCENTILE($E$2:$E363,0.165)</f>
        <v>0</v>
      </c>
      <c r="P364" s="7">
        <f>PERCENTILE($E$2:$E363,0.5)</f>
        <v>1</v>
      </c>
      <c r="Q364" s="7">
        <f>PERCENTILE($E$2:$E363,0.835)</f>
        <v>3</v>
      </c>
      <c r="R364" s="7">
        <f>PERCENTILE($E$2:$E363,0.975)</f>
        <v>5</v>
      </c>
    </row>
    <row r="365" spans="1:18" x14ac:dyDescent="0.2">
      <c r="A365" s="5">
        <f>Data!E419</f>
        <v>2009</v>
      </c>
      <c r="B365" s="5">
        <f>Data!M419</f>
        <v>0.20909090909090911</v>
      </c>
      <c r="C365" s="5">
        <f>Data!N419</f>
        <v>3.0303030303030304E-2</v>
      </c>
      <c r="D365" s="5">
        <f ca="1">Data!O419</f>
        <v>37.487317585301838</v>
      </c>
      <c r="E365" s="1">
        <f>Data!AQ419</f>
        <v>0</v>
      </c>
      <c r="F365" t="str">
        <f t="shared" si="5"/>
        <v/>
      </c>
      <c r="G365" s="5">
        <f ca="1">AVERAGE(D$2:D364)</f>
        <v>172.47071659803552</v>
      </c>
      <c r="H365" s="5">
        <f ca="1">PERCENTILE(D$2:D364,0.025)</f>
        <v>-3.8238157735289251</v>
      </c>
      <c r="I365" s="5">
        <f ca="1">PERCENTILE(D$2:D364,0.165)</f>
        <v>2.8809313248415793</v>
      </c>
      <c r="J365" s="5">
        <f ca="1">PERCENTILE(D$2:D364,0.5)</f>
        <v>34.632729933792007</v>
      </c>
      <c r="K365" s="5">
        <f ca="1">PERCENTILE(D$2:D364,0.835)</f>
        <v>213.52076517499924</v>
      </c>
      <c r="L365" s="5">
        <f ca="1">PERCENTILE(D$2:D364,0.975)</f>
        <v>1195.518191690755</v>
      </c>
      <c r="M365" s="7">
        <f>AVERAGE(E$2:E364)</f>
        <v>1.4183976261127595</v>
      </c>
      <c r="N365" s="7">
        <f>PERCENTILE($E$2:$E364,0.025)</f>
        <v>-2</v>
      </c>
      <c r="O365" s="7">
        <f>PERCENTILE($E$2:$E364,0.165)</f>
        <v>0</v>
      </c>
      <c r="P365" s="7">
        <f>PERCENTILE($E$2:$E364,0.5)</f>
        <v>1</v>
      </c>
      <c r="Q365" s="7">
        <f>PERCENTILE($E$2:$E364,0.835)</f>
        <v>3</v>
      </c>
      <c r="R365" s="7">
        <f>PERCENTILE($E$2:$E364,0.975)</f>
        <v>5</v>
      </c>
    </row>
    <row r="366" spans="1:18" x14ac:dyDescent="0.2">
      <c r="A366" s="5">
        <f>Data!E420</f>
        <v>2009</v>
      </c>
      <c r="B366" s="5">
        <f>Data!M420</f>
        <v>0.20909090909090911</v>
      </c>
      <c r="C366" s="5">
        <f>Data!N420</f>
        <v>3.0303030303030304E-2</v>
      </c>
      <c r="D366" s="5">
        <f ca="1">Data!O420</f>
        <v>184.00263517060367</v>
      </c>
      <c r="E366" s="1">
        <f>Data!AQ420</f>
        <v>0</v>
      </c>
      <c r="F366" t="str">
        <f t="shared" si="5"/>
        <v/>
      </c>
      <c r="G366" s="5">
        <f ca="1">AVERAGE(D$2:D365)</f>
        <v>172.09988308426426</v>
      </c>
      <c r="H366" s="5">
        <f ca="1">PERCENTILE(D$2:D365,0.025)</f>
        <v>-3.8238157735289251</v>
      </c>
      <c r="I366" s="5">
        <f ca="1">PERCENTILE(D$2:D365,0.165)</f>
        <v>2.9221248503670032</v>
      </c>
      <c r="J366" s="5">
        <f ca="1">PERCENTILE(D$2:D365,0.5)</f>
        <v>34.772915237354141</v>
      </c>
      <c r="K366" s="5">
        <f ca="1">PERCENTILE(D$2:D365,0.835)</f>
        <v>213.4152976799721</v>
      </c>
      <c r="L366" s="5">
        <f ca="1">PERCENTILE(D$2:D365,0.975)</f>
        <v>1193.6953277738082</v>
      </c>
      <c r="M366" s="7">
        <f>AVERAGE(E$2:E365)</f>
        <v>1.4142011834319526</v>
      </c>
      <c r="N366" s="7">
        <f>PERCENTILE($E$2:$E365,0.025)</f>
        <v>-2</v>
      </c>
      <c r="O366" s="7">
        <f>PERCENTILE($E$2:$E365,0.165)</f>
        <v>0</v>
      </c>
      <c r="P366" s="7">
        <f>PERCENTILE($E$2:$E365,0.5)</f>
        <v>1</v>
      </c>
      <c r="Q366" s="7">
        <f>PERCENTILE($E$2:$E365,0.835)</f>
        <v>3</v>
      </c>
      <c r="R366" s="7">
        <f>PERCENTILE($E$2:$E365,0.975)</f>
        <v>5</v>
      </c>
    </row>
    <row r="367" spans="1:18" x14ac:dyDescent="0.2">
      <c r="A367" s="5">
        <f>Data!E421</f>
        <v>2009</v>
      </c>
      <c r="B367" s="5">
        <f>Data!M421</f>
        <v>0.20909090909090911</v>
      </c>
      <c r="C367" s="5">
        <f>Data!N421</f>
        <v>3.0303030303030304E-2</v>
      </c>
      <c r="D367" s="5">
        <f ca="1">Data!O421</f>
        <v>17.455926509186352</v>
      </c>
      <c r="E367" s="1">
        <f>Data!AQ421</f>
        <v>0</v>
      </c>
      <c r="F367" t="str">
        <f t="shared" si="5"/>
        <v/>
      </c>
      <c r="G367" s="5">
        <f ca="1">AVERAGE(D$2:D366)</f>
        <v>172.13249336395285</v>
      </c>
      <c r="H367" s="5">
        <f ca="1">PERCENTILE(D$2:D366,0.025)</f>
        <v>-3.8238157735289251</v>
      </c>
      <c r="I367" s="5">
        <f ca="1">PERCENTILE(D$2:D366,0.165)</f>
        <v>2.9528837306407483</v>
      </c>
      <c r="J367" s="5">
        <f ca="1">PERCENTILE(D$2:D366,0.5)</f>
        <v>34.913100540916275</v>
      </c>
      <c r="K367" s="5">
        <f ca="1">PERCENTILE(D$2:D366,0.835)</f>
        <v>212.51749698098206</v>
      </c>
      <c r="L367" s="5">
        <f ca="1">PERCENTILE(D$2:D366,0.975)</f>
        <v>1191.8724638568574</v>
      </c>
      <c r="M367" s="7">
        <f>AVERAGE(E$2:E366)</f>
        <v>1.4100294985250736</v>
      </c>
      <c r="N367" s="7">
        <f>PERCENTILE($E$2:$E366,0.025)</f>
        <v>-2</v>
      </c>
      <c r="O367" s="7">
        <f>PERCENTILE($E$2:$E366,0.165)</f>
        <v>0</v>
      </c>
      <c r="P367" s="7">
        <f>PERCENTILE($E$2:$E366,0.5)</f>
        <v>1</v>
      </c>
      <c r="Q367" s="7">
        <f>PERCENTILE($E$2:$E366,0.835)</f>
        <v>3</v>
      </c>
      <c r="R367" s="7">
        <f>PERCENTILE($E$2:$E366,0.975)</f>
        <v>5</v>
      </c>
    </row>
    <row r="368" spans="1:18" x14ac:dyDescent="0.2">
      <c r="A368" s="5">
        <f>Data!E422</f>
        <v>2009</v>
      </c>
      <c r="B368" s="5">
        <f>Data!M422</f>
        <v>0.20909090909090911</v>
      </c>
      <c r="C368" s="5">
        <f>Data!N422</f>
        <v>3.0303030303030304E-2</v>
      </c>
      <c r="D368" s="5">
        <f ca="1">Data!O422</f>
        <v>92.859805774278229</v>
      </c>
      <c r="E368" s="1">
        <f>Data!AQ422</f>
        <v>0</v>
      </c>
      <c r="F368" t="str">
        <f t="shared" si="5"/>
        <v/>
      </c>
      <c r="G368" s="5">
        <f ca="1">AVERAGE(D$2:D367)</f>
        <v>171.70987979331142</v>
      </c>
      <c r="H368" s="5">
        <f ca="1">PERCENTILE(D$2:D367,0.025)</f>
        <v>-3.8238157735289251</v>
      </c>
      <c r="I368" s="5">
        <f ca="1">PERCENTILE(D$2:D367,0.165)</f>
        <v>2.965381981724057</v>
      </c>
      <c r="J368" s="5">
        <f ca="1">PERCENTILE(D$2:D367,0.5)</f>
        <v>34.772915237354141</v>
      </c>
      <c r="K368" s="5">
        <f ca="1">PERCENTILE(D$2:D367,0.835)</f>
        <v>210.23311317505673</v>
      </c>
      <c r="L368" s="5">
        <f ca="1">PERCENTILE(D$2:D367,0.975)</f>
        <v>1190.0495999399109</v>
      </c>
      <c r="M368" s="7">
        <f>AVERAGE(E$2:E367)</f>
        <v>1.4058823529411764</v>
      </c>
      <c r="N368" s="7">
        <f>PERCENTILE($E$2:$E367,0.025)</f>
        <v>-2</v>
      </c>
      <c r="O368" s="7">
        <f>PERCENTILE($E$2:$E367,0.165)</f>
        <v>0</v>
      </c>
      <c r="P368" s="7">
        <f>PERCENTILE($E$2:$E367,0.5)</f>
        <v>1</v>
      </c>
      <c r="Q368" s="7">
        <f>PERCENTILE($E$2:$E367,0.835)</f>
        <v>3</v>
      </c>
      <c r="R368" s="7">
        <f>PERCENTILE($E$2:$E367,0.975)</f>
        <v>5</v>
      </c>
    </row>
    <row r="369" spans="1:18" x14ac:dyDescent="0.2">
      <c r="A369" s="5">
        <f>Data!E423</f>
        <v>2009</v>
      </c>
      <c r="B369" s="5">
        <f>Data!M423</f>
        <v>0.20909090909090911</v>
      </c>
      <c r="C369" s="5">
        <f>Data!N423</f>
        <v>3.0303030303030304E-2</v>
      </c>
      <c r="D369" s="5">
        <f ca="1">Data!O423</f>
        <v>24.466913385826775</v>
      </c>
      <c r="E369" s="1">
        <f>Data!AQ423</f>
        <v>1</v>
      </c>
      <c r="F369" t="str">
        <f t="shared" si="5"/>
        <v/>
      </c>
      <c r="G369" s="5">
        <f ca="1">AVERAGE(D$2:D368)</f>
        <v>171.49502945538489</v>
      </c>
      <c r="H369" s="5">
        <f ca="1">PERCENTILE(D$2:D368,0.025)</f>
        <v>-3.8238157735289251</v>
      </c>
      <c r="I369" s="5">
        <f ca="1">PERCENTILE(D$2:D368,0.165)</f>
        <v>2.9778802328073657</v>
      </c>
      <c r="J369" s="5">
        <f ca="1">PERCENTILE(D$2:D368,0.5)</f>
        <v>34.913100540916275</v>
      </c>
      <c r="K369" s="5">
        <f ca="1">PERCENTILE(D$2:D368,0.835)</f>
        <v>207.94872936913217</v>
      </c>
      <c r="L369" s="5">
        <f ca="1">PERCENTILE(D$2:D368,0.975)</f>
        <v>1188.22673602296</v>
      </c>
      <c r="M369" s="7">
        <f>AVERAGE(E$2:E368)</f>
        <v>1.4017595307917889</v>
      </c>
      <c r="N369" s="7">
        <f>PERCENTILE($E$2:$E368,0.025)</f>
        <v>-2</v>
      </c>
      <c r="O369" s="7">
        <f>PERCENTILE($E$2:$E368,0.165)</f>
        <v>0</v>
      </c>
      <c r="P369" s="7">
        <f>PERCENTILE($E$2:$E368,0.5)</f>
        <v>1</v>
      </c>
      <c r="Q369" s="7">
        <f>PERCENTILE($E$2:$E368,0.835)</f>
        <v>3</v>
      </c>
      <c r="R369" s="7">
        <f>PERCENTILE($E$2:$E368,0.975)</f>
        <v>5</v>
      </c>
    </row>
    <row r="370" spans="1:18" x14ac:dyDescent="0.2">
      <c r="A370" s="5">
        <f>Data!E424</f>
        <v>2009</v>
      </c>
      <c r="B370" s="5">
        <f>Data!M424</f>
        <v>0.20909090909090911</v>
      </c>
      <c r="C370" s="5">
        <f>Data!N424</f>
        <v>3.0303030303030304E-2</v>
      </c>
      <c r="D370" s="5">
        <f ca="1">Data!O424</f>
        <v>4.8647664041994751</v>
      </c>
      <c r="E370" s="1">
        <f>Data!AQ424</f>
        <v>1</v>
      </c>
      <c r="F370" t="str">
        <f t="shared" si="5"/>
        <v/>
      </c>
      <c r="G370" s="5">
        <f ca="1">AVERAGE(D$2:D369)</f>
        <v>171.09549653128283</v>
      </c>
      <c r="H370" s="5">
        <f ca="1">PERCENTILE(D$2:D369,0.025)</f>
        <v>-3.8238157735289251</v>
      </c>
      <c r="I370" s="5">
        <f ca="1">PERCENTILE(D$2:D369,0.165)</f>
        <v>2.9903784838906744</v>
      </c>
      <c r="J370" s="5">
        <f ca="1">PERCENTILE(D$2:D369,0.5)</f>
        <v>34.772915237354141</v>
      </c>
      <c r="K370" s="5">
        <f ca="1">PERCENTILE(D$2:D369,0.835)</f>
        <v>205.66434556320681</v>
      </c>
      <c r="L370" s="5">
        <f ca="1">PERCENTILE(D$2:D369,0.975)</f>
        <v>1186.4038721060135</v>
      </c>
      <c r="M370" s="7">
        <f>AVERAGE(E$2:E369)</f>
        <v>1.4005847953216375</v>
      </c>
      <c r="N370" s="7">
        <f>PERCENTILE($E$2:$E369,0.025)</f>
        <v>-2</v>
      </c>
      <c r="O370" s="7">
        <f>PERCENTILE($E$2:$E369,0.165)</f>
        <v>0</v>
      </c>
      <c r="P370" s="7">
        <f>PERCENTILE($E$2:$E369,0.5)</f>
        <v>1</v>
      </c>
      <c r="Q370" s="7">
        <f>PERCENTILE($E$2:$E369,0.835)</f>
        <v>3</v>
      </c>
      <c r="R370" s="7">
        <f>PERCENTILE($E$2:$E369,0.975)</f>
        <v>5</v>
      </c>
    </row>
    <row r="371" spans="1:18" x14ac:dyDescent="0.2">
      <c r="A371" s="5">
        <f>Data!E425</f>
        <v>2009</v>
      </c>
      <c r="B371" s="5">
        <f>Data!M425</f>
        <v>0.20909090909090911</v>
      </c>
      <c r="C371" s="5">
        <f>Data!N425</f>
        <v>3.0303030303030304E-2</v>
      </c>
      <c r="D371" s="5">
        <f ca="1">Data!O425</f>
        <v>39.490456692913391</v>
      </c>
      <c r="E371" s="1">
        <f>Data!AQ425</f>
        <v>1</v>
      </c>
      <c r="F371" t="str">
        <f t="shared" si="5"/>
        <v/>
      </c>
      <c r="G371" s="5">
        <f ca="1">AVERAGE(D$2:D370)</f>
        <v>170.64500674774061</v>
      </c>
      <c r="H371" s="5">
        <f ca="1">PERCENTILE(D$2:D370,0.025)</f>
        <v>-3.8238157735289251</v>
      </c>
      <c r="I371" s="5">
        <f ca="1">PERCENTILE(D$2:D370,0.165)</f>
        <v>3.0028767349739836</v>
      </c>
      <c r="J371" s="5">
        <f ca="1">PERCENTILE(D$2:D370,0.5)</f>
        <v>34.632729933792007</v>
      </c>
      <c r="K371" s="5">
        <f ca="1">PERCENTILE(D$2:D370,0.835)</f>
        <v>203.37996175728148</v>
      </c>
      <c r="L371" s="5">
        <f ca="1">PERCENTILE(D$2:D370,0.975)</f>
        <v>1184.5810081890668</v>
      </c>
      <c r="M371" s="7">
        <f>AVERAGE(E$2:E370)</f>
        <v>1.3994169096209912</v>
      </c>
      <c r="N371" s="7">
        <f>PERCENTILE($E$2:$E370,0.025)</f>
        <v>-2</v>
      </c>
      <c r="O371" s="7">
        <f>PERCENTILE($E$2:$E370,0.165)</f>
        <v>0</v>
      </c>
      <c r="P371" s="7">
        <f>PERCENTILE($E$2:$E370,0.5)</f>
        <v>1</v>
      </c>
      <c r="Q371" s="7">
        <f>PERCENTILE($E$2:$E370,0.835)</f>
        <v>3</v>
      </c>
      <c r="R371" s="7">
        <f>PERCENTILE($E$2:$E370,0.975)</f>
        <v>5</v>
      </c>
    </row>
    <row r="372" spans="1:18" x14ac:dyDescent="0.2">
      <c r="A372" s="5">
        <f>Data!E426</f>
        <v>2009</v>
      </c>
      <c r="B372" s="5">
        <f>Data!M426</f>
        <v>0.20909090909090911</v>
      </c>
      <c r="C372" s="5">
        <f>Data!N426</f>
        <v>3.0303030303030304E-2</v>
      </c>
      <c r="D372" s="5">
        <f ca="1">Data!O426</f>
        <v>-3.2908713910761151</v>
      </c>
      <c r="E372" s="1">
        <f>Data!AQ426</f>
        <v>1</v>
      </c>
      <c r="F372" t="str">
        <f t="shared" si="5"/>
        <v/>
      </c>
      <c r="G372" s="5">
        <f ca="1">AVERAGE(D$2:D371)</f>
        <v>170.29053499083568</v>
      </c>
      <c r="H372" s="5">
        <f ca="1">PERCENTILE(D$2:D371,0.025)</f>
        <v>-3.8238157735289251</v>
      </c>
      <c r="I372" s="5">
        <f ca="1">PERCENTILE(D$2:D371,0.165)</f>
        <v>3.0153749860572918</v>
      </c>
      <c r="J372" s="5">
        <f ca="1">PERCENTILE(D$2:D371,0.5)</f>
        <v>34.772915237354141</v>
      </c>
      <c r="K372" s="5">
        <f ca="1">PERCENTILE(D$2:D371,0.835)</f>
        <v>201.09557795135692</v>
      </c>
      <c r="L372" s="5">
        <f ca="1">PERCENTILE(D$2:D371,0.975)</f>
        <v>1182.7581442721159</v>
      </c>
      <c r="M372" s="7">
        <f>AVERAGE(E$2:E371)</f>
        <v>1.3982558139534884</v>
      </c>
      <c r="N372" s="7">
        <f>PERCENTILE($E$2:$E371,0.025)</f>
        <v>-2</v>
      </c>
      <c r="O372" s="7">
        <f>PERCENTILE($E$2:$E371,0.165)</f>
        <v>0</v>
      </c>
      <c r="P372" s="7">
        <f>PERCENTILE($E$2:$E371,0.5)</f>
        <v>1</v>
      </c>
      <c r="Q372" s="7">
        <f>PERCENTILE($E$2:$E371,0.835)</f>
        <v>3</v>
      </c>
      <c r="R372" s="7">
        <f>PERCENTILE($E$2:$E371,0.975)</f>
        <v>5</v>
      </c>
    </row>
    <row r="373" spans="1:18" x14ac:dyDescent="0.2">
      <c r="A373" s="5">
        <f>Data!E427</f>
        <v>2009</v>
      </c>
      <c r="B373" s="5">
        <f>Data!M427</f>
        <v>0.20909090909090911</v>
      </c>
      <c r="C373" s="5">
        <f>Data!N427</f>
        <v>3.0303030303030304E-2</v>
      </c>
      <c r="D373" s="5">
        <f ca="1">Data!O427</f>
        <v>18.171333333333333</v>
      </c>
      <c r="E373" s="1">
        <f>Data!AQ427</f>
        <v>1</v>
      </c>
      <c r="F373" t="str">
        <f t="shared" si="5"/>
        <v/>
      </c>
      <c r="G373" s="5">
        <f ca="1">AVERAGE(D$2:D372)</f>
        <v>169.82266058010276</v>
      </c>
      <c r="H373" s="5">
        <f ca="1">PERCENTILE(D$2:D372,0.025)</f>
        <v>-3.8238157735289251</v>
      </c>
      <c r="I373" s="5">
        <f ca="1">PERCENTILE(D$2:D372,0.165)</f>
        <v>2.9521262608781238</v>
      </c>
      <c r="J373" s="5">
        <f ca="1">PERCENTILE(D$2:D372,0.5)</f>
        <v>34.632729933792007</v>
      </c>
      <c r="K373" s="5">
        <f ca="1">PERCENTILE(D$2:D372,0.835)</f>
        <v>199.10137966345681</v>
      </c>
      <c r="L373" s="5">
        <f ca="1">PERCENTILE(D$2:D372,0.975)</f>
        <v>1180.9352803551694</v>
      </c>
      <c r="M373" s="7">
        <f>AVERAGE(E$2:E372)</f>
        <v>1.3971014492753624</v>
      </c>
      <c r="N373" s="7">
        <f>PERCENTILE($E$2:$E372,0.025)</f>
        <v>-2</v>
      </c>
      <c r="O373" s="7">
        <f>PERCENTILE($E$2:$E372,0.165)</f>
        <v>0</v>
      </c>
      <c r="P373" s="7">
        <f>PERCENTILE($E$2:$E372,0.5)</f>
        <v>1</v>
      </c>
      <c r="Q373" s="7">
        <f>PERCENTILE($E$2:$E372,0.835)</f>
        <v>3</v>
      </c>
      <c r="R373" s="7">
        <f>PERCENTILE($E$2:$E372,0.975)</f>
        <v>5</v>
      </c>
    </row>
    <row r="374" spans="1:18" x14ac:dyDescent="0.2">
      <c r="A374" s="5">
        <f>Data!E428</f>
        <v>2009</v>
      </c>
      <c r="B374" s="5">
        <f>Data!M428</f>
        <v>0.20909090909090911</v>
      </c>
      <c r="C374" s="5">
        <f>Data!N428</f>
        <v>3.0303030303030304E-2</v>
      </c>
      <c r="D374" s="5">
        <f ca="1">Data!O428</f>
        <v>-4.1493595800524936</v>
      </c>
      <c r="E374" s="1">
        <f>Data!AQ428</f>
        <v>3</v>
      </c>
      <c r="F374" t="str">
        <f t="shared" si="5"/>
        <v/>
      </c>
      <c r="G374" s="5">
        <f ca="1">AVERAGE(D$2:D373)</f>
        <v>169.4149957219125</v>
      </c>
      <c r="H374" s="5">
        <f ca="1">PERCENTILE(D$2:D373,0.025)</f>
        <v>-3.8238157735289251</v>
      </c>
      <c r="I374" s="5">
        <f ca="1">PERCENTILE(D$2:D373,0.165)</f>
        <v>2.9646245119614325</v>
      </c>
      <c r="J374" s="5">
        <f ca="1">PERCENTILE(D$2:D373,0.5)</f>
        <v>34.226035550417137</v>
      </c>
      <c r="K374" s="5">
        <f ca="1">PERCENTILE(D$2:D373,0.835)</f>
        <v>197.77460806701467</v>
      </c>
      <c r="L374" s="5">
        <f ca="1">PERCENTILE(D$2:D373,0.975)</f>
        <v>1179.1124164382186</v>
      </c>
      <c r="M374" s="7">
        <f>AVERAGE(E$2:E373)</f>
        <v>1.3959537572254335</v>
      </c>
      <c r="N374" s="7">
        <f>PERCENTILE($E$2:$E373,0.025)</f>
        <v>-2</v>
      </c>
      <c r="O374" s="7">
        <f>PERCENTILE($E$2:$E373,0.165)</f>
        <v>0</v>
      </c>
      <c r="P374" s="7">
        <f>PERCENTILE($E$2:$E373,0.5)</f>
        <v>1</v>
      </c>
      <c r="Q374" s="7">
        <f>PERCENTILE($E$2:$E373,0.835)</f>
        <v>3</v>
      </c>
      <c r="R374" s="7">
        <f>PERCENTILE($E$2:$E373,0.975)</f>
        <v>5</v>
      </c>
    </row>
    <row r="375" spans="1:18" x14ac:dyDescent="0.2">
      <c r="A375" s="5">
        <f>Data!E429</f>
        <v>2009</v>
      </c>
      <c r="B375" s="5">
        <f>Data!M429</f>
        <v>0.20909090909090911</v>
      </c>
      <c r="C375" s="5">
        <f>Data!N429</f>
        <v>3.0303030303030304E-2</v>
      </c>
      <c r="D375" s="5">
        <f ca="1">Data!O429</f>
        <v>-6.4386614173228347</v>
      </c>
      <c r="E375" s="1">
        <f>Data!AQ429</f>
        <v>3</v>
      </c>
      <c r="F375" t="str">
        <f t="shared" si="5"/>
        <v/>
      </c>
      <c r="G375" s="5">
        <f ca="1">AVERAGE(D$2:D374)</f>
        <v>168.94967573450779</v>
      </c>
      <c r="H375" s="5">
        <f ca="1">PERCENTILE(D$2:D374,0.025)</f>
        <v>-3.8238157735289251</v>
      </c>
      <c r="I375" s="5">
        <f ca="1">PERCENTILE(D$2:D374,0.165)</f>
        <v>2.7935511191815885</v>
      </c>
      <c r="J375" s="5">
        <f ca="1">PERCENTILE(D$2:D374,0.5)</f>
        <v>33.819341167042261</v>
      </c>
      <c r="K375" s="5">
        <f ca="1">PERCENTILE(D$2:D374,0.835)</f>
        <v>196.44783647057301</v>
      </c>
      <c r="L375" s="5">
        <f ca="1">PERCENTILE(D$2:D374,0.975)</f>
        <v>1177.2895525212718</v>
      </c>
      <c r="M375" s="7">
        <f>AVERAGE(E$2:E374)</f>
        <v>1.4005763688760806</v>
      </c>
      <c r="N375" s="7">
        <f>PERCENTILE($E$2:$E374,0.025)</f>
        <v>-2</v>
      </c>
      <c r="O375" s="7">
        <f>PERCENTILE($E$2:$E374,0.165)</f>
        <v>0</v>
      </c>
      <c r="P375" s="7">
        <f>PERCENTILE($E$2:$E374,0.5)</f>
        <v>1</v>
      </c>
      <c r="Q375" s="7">
        <f>PERCENTILE($E$2:$E374,0.835)</f>
        <v>3</v>
      </c>
      <c r="R375" s="7">
        <f>PERCENTILE($E$2:$E374,0.975)</f>
        <v>5</v>
      </c>
    </row>
    <row r="376" spans="1:18" x14ac:dyDescent="0.2">
      <c r="A376" s="5">
        <f>Data!E430</f>
        <v>2009</v>
      </c>
      <c r="B376" s="5">
        <f>Data!M430</f>
        <v>0.20909090909090911</v>
      </c>
      <c r="C376" s="5">
        <f>Data!N430</f>
        <v>3.0303030303030304E-2</v>
      </c>
      <c r="D376" s="5">
        <f ca="1">Data!O430</f>
        <v>-2.7185459317585301</v>
      </c>
      <c r="E376" s="1">
        <f>Data!AQ430</f>
        <v>3</v>
      </c>
      <c r="F376" t="str">
        <f t="shared" si="5"/>
        <v/>
      </c>
      <c r="G376" s="5">
        <f ca="1">AVERAGE(D$2:D375)</f>
        <v>168.48072296137457</v>
      </c>
      <c r="H376" s="5">
        <f ca="1">PERCENTILE(D$2:D375,0.025)</f>
        <v>-4.0435578429323336</v>
      </c>
      <c r="I376" s="5">
        <f ca="1">PERCENTILE(D$2:D375,0.165)</f>
        <v>2.6608164258218876</v>
      </c>
      <c r="J376" s="5">
        <f ca="1">PERCENTILE(D$2:D375,0.5)</f>
        <v>33.729076021578621</v>
      </c>
      <c r="K376" s="5">
        <f ca="1">PERCENTILE(D$2:D375,0.835)</f>
        <v>195.12106487413087</v>
      </c>
      <c r="L376" s="5">
        <f ca="1">PERCENTILE(D$2:D375,0.975)</f>
        <v>1175.4666886043253</v>
      </c>
      <c r="M376" s="7">
        <f>AVERAGE(E$2:E375)</f>
        <v>1.4051724137931034</v>
      </c>
      <c r="N376" s="7">
        <f>PERCENTILE($E$2:$E375,0.025)</f>
        <v>-2</v>
      </c>
      <c r="O376" s="7">
        <f>PERCENTILE($E$2:$E375,0.165)</f>
        <v>0</v>
      </c>
      <c r="P376" s="7">
        <f>PERCENTILE($E$2:$E375,0.5)</f>
        <v>1</v>
      </c>
      <c r="Q376" s="7">
        <f>PERCENTILE($E$2:$E375,0.835)</f>
        <v>3</v>
      </c>
      <c r="R376" s="7">
        <f>PERCENTILE($E$2:$E375,0.975)</f>
        <v>5</v>
      </c>
    </row>
    <row r="377" spans="1:18" x14ac:dyDescent="0.2">
      <c r="A377" s="5">
        <f>Data!E431</f>
        <v>2009</v>
      </c>
      <c r="B377" s="5">
        <f>Data!M431</f>
        <v>0.20909090909090911</v>
      </c>
      <c r="C377" s="5">
        <f>Data!N431</f>
        <v>3.0303030303030304E-2</v>
      </c>
      <c r="D377" s="5">
        <f ca="1">Data!O431</f>
        <v>-9.4433700787401573</v>
      </c>
      <c r="E377" s="1">
        <f>Data!AQ431</f>
        <v>3</v>
      </c>
      <c r="F377" t="str">
        <f t="shared" si="5"/>
        <v/>
      </c>
      <c r="G377" s="5">
        <f ca="1">AVERAGE(D$2:D376)</f>
        <v>168.02419157765956</v>
      </c>
      <c r="H377" s="5">
        <f ca="1">PERCENTILE(D$2:D376,0.025)</f>
        <v>-4.0354192477692443</v>
      </c>
      <c r="I377" s="5">
        <f ca="1">PERCENTILE(D$2:D376,0.165)</f>
        <v>2.5671947769004686</v>
      </c>
      <c r="J377" s="5">
        <f ca="1">PERCENTILE(D$2:D376,0.5)</f>
        <v>33.638810876114988</v>
      </c>
      <c r="K377" s="5">
        <f ca="1">PERCENTILE(D$2:D376,0.835)</f>
        <v>193.79429327768872</v>
      </c>
      <c r="L377" s="5">
        <f ca="1">PERCENTILE(D$2:D376,0.975)</f>
        <v>1173.6438246873745</v>
      </c>
      <c r="M377" s="7">
        <f>AVERAGE(E$2:E376)</f>
        <v>1.4097421203438396</v>
      </c>
      <c r="N377" s="7">
        <f>PERCENTILE($E$2:$E376,0.025)</f>
        <v>-2</v>
      </c>
      <c r="O377" s="7">
        <f>PERCENTILE($E$2:$E376,0.165)</f>
        <v>0</v>
      </c>
      <c r="P377" s="7">
        <f>PERCENTILE($E$2:$E376,0.5)</f>
        <v>1</v>
      </c>
      <c r="Q377" s="7">
        <f>PERCENTILE($E$2:$E376,0.835)</f>
        <v>3</v>
      </c>
      <c r="R377" s="7">
        <f>PERCENTILE($E$2:$E376,0.975)</f>
        <v>5</v>
      </c>
    </row>
    <row r="378" spans="1:18" x14ac:dyDescent="0.2">
      <c r="A378" s="5">
        <f>Data!E432</f>
        <v>2009</v>
      </c>
      <c r="B378" s="5">
        <f>Data!M432</f>
        <v>0.20909090909090911</v>
      </c>
      <c r="C378" s="5">
        <f>Data!N432</f>
        <v>3.0303030303030304E-2</v>
      </c>
      <c r="D378" s="5">
        <f ca="1">Data!O432</f>
        <v>-4.1493595800524936</v>
      </c>
      <c r="E378" s="1">
        <f>Data!AQ432</f>
        <v>3</v>
      </c>
      <c r="F378" t="str">
        <f t="shared" si="5"/>
        <v/>
      </c>
      <c r="G378" s="5">
        <f ca="1">AVERAGE(D$2:D377)</f>
        <v>167.55220338176485</v>
      </c>
      <c r="H378" s="5">
        <f ca="1">PERCENTILE(D$2:D377,0.025)</f>
        <v>-4.1537107756235745</v>
      </c>
      <c r="I378" s="5">
        <f ca="1">PERCENTILE(D$2:D377,0.165)</f>
        <v>2.4163301769242391</v>
      </c>
      <c r="J378" s="5">
        <f ca="1">PERCENTILE(D$2:D377,0.5)</f>
        <v>33.444691409922385</v>
      </c>
      <c r="K378" s="5">
        <f ca="1">PERCENTILE(D$2:D377,0.835)</f>
        <v>192.46752168124704</v>
      </c>
      <c r="L378" s="5">
        <f ca="1">PERCENTILE(D$2:D377,0.975)</f>
        <v>1171.820960770428</v>
      </c>
      <c r="M378" s="7">
        <f>AVERAGE(E$2:E377)</f>
        <v>1.4142857142857144</v>
      </c>
      <c r="N378" s="7">
        <f>PERCENTILE($E$2:$E377,0.025)</f>
        <v>-2</v>
      </c>
      <c r="O378" s="7">
        <f>PERCENTILE($E$2:$E377,0.165)</f>
        <v>0</v>
      </c>
      <c r="P378" s="7">
        <f>PERCENTILE($E$2:$E377,0.5)</f>
        <v>1</v>
      </c>
      <c r="Q378" s="7">
        <f>PERCENTILE($E$2:$E377,0.835)</f>
        <v>3</v>
      </c>
      <c r="R378" s="7">
        <f>PERCENTILE($E$2:$E377,0.975)</f>
        <v>5</v>
      </c>
    </row>
    <row r="379" spans="1:18" x14ac:dyDescent="0.2">
      <c r="A379" s="5">
        <f>Data!E433</f>
        <v>2009</v>
      </c>
      <c r="B379" s="5">
        <f>Data!M433</f>
        <v>1.7250000000000001</v>
      </c>
      <c r="C379" s="5">
        <f>Data!N433</f>
        <v>0.25</v>
      </c>
      <c r="D379" s="5">
        <f ca="1">Data!O433</f>
        <v>-2.6899296587926509</v>
      </c>
      <c r="E379" s="1" t="str">
        <f>Data!AQ433</f>
        <v>NA</v>
      </c>
      <c r="F379" t="str">
        <f t="shared" si="5"/>
        <v/>
      </c>
      <c r="G379" s="5">
        <f ca="1">AVERAGE(D$2:D378)</f>
        <v>167.09676157019507</v>
      </c>
      <c r="H379" s="5">
        <f ca="1">PERCENTILE(D$2:D378,0.025)</f>
        <v>-4.1535367278007316</v>
      </c>
      <c r="I379" s="5">
        <f ca="1">PERCENTILE(D$2:D378,0.165)</f>
        <v>2.1979391050910388</v>
      </c>
      <c r="J379" s="5">
        <f ca="1">PERCENTILE(D$2:D378,0.5)</f>
        <v>33.250571943729788</v>
      </c>
      <c r="K379" s="5">
        <f ca="1">PERCENTILE(D$2:D378,0.835)</f>
        <v>191.20997211011866</v>
      </c>
      <c r="L379" s="5">
        <f ca="1">PERCENTILE(D$2:D378,0.975)</f>
        <v>1169.9980968534771</v>
      </c>
      <c r="M379" s="7">
        <f>AVERAGE(E$2:E378)</f>
        <v>1.4188034188034189</v>
      </c>
      <c r="N379" s="7">
        <f>PERCENTILE($E$2:$E378,0.025)</f>
        <v>-2</v>
      </c>
      <c r="O379" s="7">
        <f>PERCENTILE($E$2:$E378,0.165)</f>
        <v>0</v>
      </c>
      <c r="P379" s="7">
        <f>PERCENTILE($E$2:$E378,0.5)</f>
        <v>1</v>
      </c>
      <c r="Q379" s="7">
        <f>PERCENTILE($E$2:$E378,0.835)</f>
        <v>3</v>
      </c>
      <c r="R379" s="7">
        <f>PERCENTILE($E$2:$E378,0.975)</f>
        <v>5</v>
      </c>
    </row>
    <row r="380" spans="1:18" x14ac:dyDescent="0.2">
      <c r="A380" s="5">
        <f>Data!E434</f>
        <v>2009</v>
      </c>
      <c r="B380" s="5">
        <f>Data!M434</f>
        <v>1.7250000000000001</v>
      </c>
      <c r="C380" s="5">
        <f>Data!N434</f>
        <v>0.25</v>
      </c>
      <c r="D380" s="5">
        <f ca="1">Data!O434</f>
        <v>-0.50078477690288714</v>
      </c>
      <c r="E380" s="1" t="str">
        <f>Data!AQ434</f>
        <v>NA</v>
      </c>
      <c r="F380" t="str">
        <f t="shared" si="5"/>
        <v/>
      </c>
      <c r="G380" s="5">
        <f ca="1">AVERAGE(D$2:D379)</f>
        <v>166.64759042937763</v>
      </c>
      <c r="H380" s="5">
        <f ca="1">PERCENTILE(D$2:D379,0.025)</f>
        <v>-4.1533626799778887</v>
      </c>
      <c r="I380" s="5">
        <f ca="1">PERCENTILE(D$2:D379,0.165)</f>
        <v>1.6203975553002437</v>
      </c>
      <c r="J380" s="5">
        <f ca="1">PERCENTILE(D$2:D379,0.5)</f>
        <v>33.053542446246631</v>
      </c>
      <c r="K380" s="5">
        <f ca="1">PERCENTILE(D$2:D379,0.835)</f>
        <v>190.16874136809571</v>
      </c>
      <c r="L380" s="5">
        <f ca="1">PERCENTILE(D$2:D379,0.975)</f>
        <v>1168.1752329365304</v>
      </c>
      <c r="M380" s="7">
        <f>AVERAGE(E$2:E379)</f>
        <v>1.4188034188034189</v>
      </c>
      <c r="N380" s="7">
        <f>PERCENTILE($E$2:$E379,0.025)</f>
        <v>-2</v>
      </c>
      <c r="O380" s="7">
        <f>PERCENTILE($E$2:$E379,0.165)</f>
        <v>0</v>
      </c>
      <c r="P380" s="7">
        <f>PERCENTILE($E$2:$E379,0.5)</f>
        <v>1</v>
      </c>
      <c r="Q380" s="7">
        <f>PERCENTILE($E$2:$E379,0.835)</f>
        <v>3</v>
      </c>
      <c r="R380" s="7">
        <f>PERCENTILE($E$2:$E379,0.975)</f>
        <v>5</v>
      </c>
    </row>
    <row r="381" spans="1:18" x14ac:dyDescent="0.2">
      <c r="A381" s="5">
        <f>Data!E435</f>
        <v>2009</v>
      </c>
      <c r="B381" s="5">
        <f>Data!M435</f>
        <v>1.7250000000000001</v>
      </c>
      <c r="C381" s="5">
        <f>Data!N435</f>
        <v>0.25</v>
      </c>
      <c r="D381" s="5">
        <f ca="1">Data!O435</f>
        <v>12.820090288713912</v>
      </c>
      <c r="E381" s="1" t="str">
        <f>Data!AQ435</f>
        <v>NA</v>
      </c>
      <c r="F381" t="str">
        <f t="shared" si="5"/>
        <v/>
      </c>
      <c r="G381" s="5">
        <f ca="1">AVERAGE(D$2:D380)</f>
        <v>166.20656569268561</v>
      </c>
      <c r="H381" s="5">
        <f ca="1">PERCENTILE(D$2:D380,0.025)</f>
        <v>-4.1531886321550449</v>
      </c>
      <c r="I381" s="5">
        <f ca="1">PERCENTILE(D$2:D380,0.165)</f>
        <v>1.3543337454130848</v>
      </c>
      <c r="J381" s="5">
        <f ca="1">PERCENTILE(D$2:D380,0.5)</f>
        <v>32.856512948763474</v>
      </c>
      <c r="K381" s="5">
        <f ca="1">PERCENTILE(D$2:D380,0.835)</f>
        <v>189.1275106260731</v>
      </c>
      <c r="L381" s="5">
        <f ca="1">PERCENTILE(D$2:D380,0.975)</f>
        <v>1166.3523690195839</v>
      </c>
      <c r="M381" s="7">
        <f>AVERAGE(E$2:E380)</f>
        <v>1.4188034188034189</v>
      </c>
      <c r="N381" s="7">
        <f>PERCENTILE($E$2:$E380,0.025)</f>
        <v>-2</v>
      </c>
      <c r="O381" s="7">
        <f>PERCENTILE($E$2:$E380,0.165)</f>
        <v>0</v>
      </c>
      <c r="P381" s="7">
        <f>PERCENTILE($E$2:$E380,0.5)</f>
        <v>1</v>
      </c>
      <c r="Q381" s="7">
        <f>PERCENTILE($E$2:$E380,0.835)</f>
        <v>3</v>
      </c>
      <c r="R381" s="7">
        <f>PERCENTILE($E$2:$E380,0.975)</f>
        <v>5</v>
      </c>
    </row>
    <row r="382" spans="1:18" x14ac:dyDescent="0.2">
      <c r="A382" s="5">
        <f>Data!E436</f>
        <v>2009</v>
      </c>
      <c r="B382" s="5">
        <f>Data!M436</f>
        <v>1.7250000000000001</v>
      </c>
      <c r="C382" s="5">
        <f>Data!N436</f>
        <v>0.25</v>
      </c>
      <c r="D382" s="5">
        <f ca="1">Data!O436</f>
        <v>63.456585301837272</v>
      </c>
      <c r="E382" s="1" t="str">
        <f>Data!AQ436</f>
        <v>NA</v>
      </c>
      <c r="F382" t="str">
        <f t="shared" si="5"/>
        <v/>
      </c>
      <c r="G382" s="5">
        <f ca="1">AVERAGE(D$2:D381)</f>
        <v>165.80291707320146</v>
      </c>
      <c r="H382" s="5">
        <f ca="1">PERCENTILE(D$2:D381,0.025)</f>
        <v>-4.1530145843322019</v>
      </c>
      <c r="I382" s="5">
        <f ca="1">PERCENTILE(D$2:D381,0.165)</f>
        <v>1.3857192886705507</v>
      </c>
      <c r="J382" s="5">
        <f ca="1">PERCENTILE(D$2:D381,0.5)</f>
        <v>32.774500629018476</v>
      </c>
      <c r="K382" s="5">
        <f ca="1">PERCENTILE(D$2:D381,0.835)</f>
        <v>188.08627988405013</v>
      </c>
      <c r="L382" s="5">
        <f ca="1">PERCENTILE(D$2:D381,0.975)</f>
        <v>1164.529505102633</v>
      </c>
      <c r="M382" s="7">
        <f>AVERAGE(E$2:E381)</f>
        <v>1.4188034188034189</v>
      </c>
      <c r="N382" s="7">
        <f>PERCENTILE($E$2:$E381,0.025)</f>
        <v>-2</v>
      </c>
      <c r="O382" s="7">
        <f>PERCENTILE($E$2:$E381,0.165)</f>
        <v>0</v>
      </c>
      <c r="P382" s="7">
        <f>PERCENTILE($E$2:$E381,0.5)</f>
        <v>1</v>
      </c>
      <c r="Q382" s="7">
        <f>PERCENTILE($E$2:$E381,0.835)</f>
        <v>3</v>
      </c>
      <c r="R382" s="7">
        <f>PERCENTILE($E$2:$E381,0.975)</f>
        <v>5</v>
      </c>
    </row>
    <row r="383" spans="1:18" x14ac:dyDescent="0.2">
      <c r="A383" s="5">
        <f>Data!E437</f>
        <v>2009</v>
      </c>
      <c r="B383" s="5">
        <f>Data!M437</f>
        <v>0.17250000000000001</v>
      </c>
      <c r="C383" s="5">
        <f>Data!N437</f>
        <v>2.5000000000000001E-2</v>
      </c>
      <c r="D383" s="5">
        <f ca="1">Data!O437</f>
        <v>-1.0015695538057743</v>
      </c>
      <c r="E383" s="1" t="str">
        <f>Data!AQ437</f>
        <v>NA</v>
      </c>
      <c r="F383" t="str">
        <f t="shared" si="5"/>
        <v/>
      </c>
      <c r="G383" s="5">
        <f ca="1">AVERAGE(D$2:D382)</f>
        <v>165.53429153049447</v>
      </c>
      <c r="H383" s="5">
        <f ca="1">PERCENTILE(D$2:D382,0.025)</f>
        <v>-4.152840536509359</v>
      </c>
      <c r="I383" s="5">
        <f ca="1">PERCENTILE(D$2:D382,0.165)</f>
        <v>1.4171048319280166</v>
      </c>
      <c r="J383" s="5">
        <f ca="1">PERCENTILE(D$2:D382,0.5)</f>
        <v>32.856512948763474</v>
      </c>
      <c r="K383" s="5">
        <f ca="1">PERCENTILE(D$2:D382,0.835)</f>
        <v>187.04504914202752</v>
      </c>
      <c r="L383" s="5">
        <f ca="1">PERCENTILE(D$2:D382,0.975)</f>
        <v>1162.7066411856863</v>
      </c>
      <c r="M383" s="7">
        <f>AVERAGE(E$2:E382)</f>
        <v>1.4188034188034189</v>
      </c>
      <c r="N383" s="7">
        <f>PERCENTILE($E$2:$E382,0.025)</f>
        <v>-2</v>
      </c>
      <c r="O383" s="7">
        <f>PERCENTILE($E$2:$E382,0.165)</f>
        <v>0</v>
      </c>
      <c r="P383" s="7">
        <f>PERCENTILE($E$2:$E382,0.5)</f>
        <v>1</v>
      </c>
      <c r="Q383" s="7">
        <f>PERCENTILE($E$2:$E382,0.835)</f>
        <v>3</v>
      </c>
      <c r="R383" s="7">
        <f>PERCENTILE($E$2:$E382,0.975)</f>
        <v>5</v>
      </c>
    </row>
    <row r="384" spans="1:18" x14ac:dyDescent="0.2">
      <c r="A384" s="5">
        <f>Data!E438</f>
        <v>2009</v>
      </c>
      <c r="B384" s="5">
        <f>Data!M438</f>
        <v>0.17250000000000001</v>
      </c>
      <c r="C384" s="5">
        <f>Data!N438</f>
        <v>2.5000000000000001E-2</v>
      </c>
      <c r="D384" s="5">
        <f ca="1">Data!O438</f>
        <v>18.028251968503938</v>
      </c>
      <c r="E384" s="1" t="str">
        <f>Data!AQ438</f>
        <v>NA</v>
      </c>
      <c r="F384" t="str">
        <f t="shared" si="5"/>
        <v/>
      </c>
      <c r="G384" s="5">
        <f ca="1">AVERAGE(D$2:D383)</f>
        <v>165.0983337789649</v>
      </c>
      <c r="H384" s="5">
        <f ca="1">PERCENTILE(D$2:D383,0.025)</f>
        <v>-4.1526664886865152</v>
      </c>
      <c r="I384" s="5">
        <f ca="1">PERCENTILE(D$2:D383,0.165)</f>
        <v>1.277534272139133</v>
      </c>
      <c r="J384" s="5">
        <f ca="1">PERCENTILE(D$2:D383,0.5)</f>
        <v>32.774500629018476</v>
      </c>
      <c r="K384" s="5">
        <f ca="1">PERCENTILE(D$2:D383,0.835)</f>
        <v>186.00381840000455</v>
      </c>
      <c r="L384" s="5">
        <f ca="1">PERCENTILE(D$2:D383,0.975)</f>
        <v>1160.8837772687357</v>
      </c>
      <c r="M384" s="7">
        <f>AVERAGE(E$2:E383)</f>
        <v>1.4188034188034189</v>
      </c>
      <c r="N384" s="7">
        <f>PERCENTILE($E$2:$E383,0.025)</f>
        <v>-2</v>
      </c>
      <c r="O384" s="7">
        <f>PERCENTILE($E$2:$E383,0.165)</f>
        <v>0</v>
      </c>
      <c r="P384" s="7">
        <f>PERCENTILE($E$2:$E383,0.5)</f>
        <v>1</v>
      </c>
      <c r="Q384" s="7">
        <f>PERCENTILE($E$2:$E383,0.835)</f>
        <v>3</v>
      </c>
      <c r="R384" s="7">
        <f>PERCENTILE($E$2:$E383,0.975)</f>
        <v>5</v>
      </c>
    </row>
    <row r="385" spans="1:18" x14ac:dyDescent="0.2">
      <c r="A385" s="5">
        <f>Data!E439</f>
        <v>2009</v>
      </c>
      <c r="B385" s="5">
        <f>Data!M439</f>
        <v>0.17250000000000001</v>
      </c>
      <c r="C385" s="5">
        <f>Data!N439</f>
        <v>2.5000000000000001E-2</v>
      </c>
      <c r="D385" s="5">
        <f ca="1">Data!O439</f>
        <v>300.61394750656166</v>
      </c>
      <c r="E385" s="1" t="str">
        <f>Data!AQ439</f>
        <v>NA</v>
      </c>
      <c r="F385" t="str">
        <f t="shared" si="5"/>
        <v/>
      </c>
      <c r="G385" s="5">
        <f ca="1">AVERAGE(D$2:D384)</f>
        <v>164.71433878729269</v>
      </c>
      <c r="H385" s="5">
        <f ca="1">PERCENTILE(D$2:D384,0.025)</f>
        <v>-4.1524924408636723</v>
      </c>
      <c r="I385" s="5">
        <f ca="1">PERCENTILE(D$2:D384,0.165)</f>
        <v>1.2896605047613359</v>
      </c>
      <c r="J385" s="5">
        <f ca="1">PERCENTILE(D$2:D384,0.5)</f>
        <v>32.692488309273479</v>
      </c>
      <c r="K385" s="5">
        <f ca="1">PERCENTILE(D$2:D384,0.835)</f>
        <v>185.11742432331715</v>
      </c>
      <c r="L385" s="5">
        <f ca="1">PERCENTILE(D$2:D384,0.975)</f>
        <v>1159.0609133517889</v>
      </c>
      <c r="M385" s="7">
        <f>AVERAGE(E$2:E384)</f>
        <v>1.4188034188034189</v>
      </c>
      <c r="N385" s="7">
        <f>PERCENTILE($E$2:$E384,0.025)</f>
        <v>-2</v>
      </c>
      <c r="O385" s="7">
        <f>PERCENTILE($E$2:$E384,0.165)</f>
        <v>0</v>
      </c>
      <c r="P385" s="7">
        <f>PERCENTILE($E$2:$E384,0.5)</f>
        <v>1</v>
      </c>
      <c r="Q385" s="7">
        <f>PERCENTILE($E$2:$E384,0.835)</f>
        <v>3</v>
      </c>
      <c r="R385" s="7">
        <f>PERCENTILE($E$2:$E384,0.975)</f>
        <v>5</v>
      </c>
    </row>
    <row r="386" spans="1:18" x14ac:dyDescent="0.2">
      <c r="A386" s="5">
        <f>Data!E440</f>
        <v>2009</v>
      </c>
      <c r="B386" s="5">
        <f>Data!M440</f>
        <v>0.17250000000000001</v>
      </c>
      <c r="C386" s="5">
        <f>Data!N440</f>
        <v>2.5000000000000001E-2</v>
      </c>
      <c r="D386" s="5">
        <f ca="1">Data!O440</f>
        <v>88.138120734908142</v>
      </c>
      <c r="E386" s="1" t="str">
        <f>Data!AQ440</f>
        <v>NA</v>
      </c>
      <c r="F386" t="str">
        <f t="shared" si="5"/>
        <v/>
      </c>
      <c r="G386" s="5">
        <f ca="1">AVERAGE(D$2:D385)</f>
        <v>165.06824401833245</v>
      </c>
      <c r="H386" s="5">
        <f ca="1">PERCENTILE(D$2:D385,0.025)</f>
        <v>-4.1523183930408285</v>
      </c>
      <c r="I386" s="5">
        <f ca="1">PERCENTILE(D$2:D385,0.165)</f>
        <v>1.3210460480188004</v>
      </c>
      <c r="J386" s="5">
        <f ca="1">PERCENTILE(D$2:D385,0.5)</f>
        <v>32.774500629018476</v>
      </c>
      <c r="K386" s="5">
        <f ca="1">PERCENTILE(D$2:D385,0.835)</f>
        <v>190.23184626155194</v>
      </c>
      <c r="L386" s="5">
        <f ca="1">PERCENTILE(D$2:D385,0.975)</f>
        <v>1157.2380494348424</v>
      </c>
      <c r="M386" s="7">
        <f>AVERAGE(E$2:E385)</f>
        <v>1.4188034188034189</v>
      </c>
      <c r="N386" s="7">
        <f>PERCENTILE($E$2:$E385,0.025)</f>
        <v>-2</v>
      </c>
      <c r="O386" s="7">
        <f>PERCENTILE($E$2:$E385,0.165)</f>
        <v>0</v>
      </c>
      <c r="P386" s="7">
        <f>PERCENTILE($E$2:$E385,0.5)</f>
        <v>1</v>
      </c>
      <c r="Q386" s="7">
        <f>PERCENTILE($E$2:$E385,0.835)</f>
        <v>3</v>
      </c>
      <c r="R386" s="7">
        <f>PERCENTILE($E$2:$E385,0.975)</f>
        <v>5</v>
      </c>
    </row>
    <row r="387" spans="1:18" x14ac:dyDescent="0.2">
      <c r="A387" s="5">
        <f>Data!E441</f>
        <v>2009</v>
      </c>
      <c r="B387" s="5">
        <f>Data!M441</f>
        <v>0.17250000000000001</v>
      </c>
      <c r="C387" s="5">
        <f>Data!N441</f>
        <v>2.5000000000000001E-2</v>
      </c>
      <c r="D387" s="5">
        <f ca="1">Data!O441</f>
        <v>58.23411548556431</v>
      </c>
      <c r="E387" s="1" t="str">
        <f>Data!AQ441</f>
        <v>NA</v>
      </c>
      <c r="F387" t="str">
        <f t="shared" si="5"/>
        <v/>
      </c>
      <c r="G387" s="5">
        <f ca="1">AVERAGE(D$2:D386)</f>
        <v>164.86842551629758</v>
      </c>
      <c r="H387" s="5">
        <f ca="1">PERCENTILE(D$2:D386,0.025)</f>
        <v>-4.1521443452179856</v>
      </c>
      <c r="I387" s="5">
        <f ca="1">PERCENTILE(D$2:D386,0.165)</f>
        <v>1.3524315912762677</v>
      </c>
      <c r="J387" s="5">
        <f ca="1">PERCENTILE(D$2:D386,0.5)</f>
        <v>32.856512948763474</v>
      </c>
      <c r="K387" s="5">
        <f ca="1">PERCENTILE(D$2:D386,0.835)</f>
        <v>189.19061551952896</v>
      </c>
      <c r="L387" s="5">
        <f ca="1">PERCENTILE(D$2:D386,0.975)</f>
        <v>1155.4151855178916</v>
      </c>
      <c r="M387" s="7">
        <f>AVERAGE(E$2:E386)</f>
        <v>1.4188034188034189</v>
      </c>
      <c r="N387" s="7">
        <f>PERCENTILE($E$2:$E386,0.025)</f>
        <v>-2</v>
      </c>
      <c r="O387" s="7">
        <f>PERCENTILE($E$2:$E386,0.165)</f>
        <v>0</v>
      </c>
      <c r="P387" s="7">
        <f>PERCENTILE($E$2:$E386,0.5)</f>
        <v>1</v>
      </c>
      <c r="Q387" s="7">
        <f>PERCENTILE($E$2:$E386,0.835)</f>
        <v>3</v>
      </c>
      <c r="R387" s="7">
        <f>PERCENTILE($E$2:$E386,0.975)</f>
        <v>5</v>
      </c>
    </row>
    <row r="388" spans="1:18" x14ac:dyDescent="0.2">
      <c r="A388" s="5">
        <f>Data!E442</f>
        <v>2009</v>
      </c>
      <c r="B388" s="5">
        <f>Data!M442</f>
        <v>0.17250000000000001</v>
      </c>
      <c r="C388" s="5">
        <f>Data!N442</f>
        <v>2.5000000000000001E-2</v>
      </c>
      <c r="D388" s="5">
        <f ca="1">Data!O442</f>
        <v>83.988761154855652</v>
      </c>
      <c r="E388" s="1" t="str">
        <f>Data!AQ442</f>
        <v>NA</v>
      </c>
      <c r="F388" t="str">
        <f t="shared" si="5"/>
        <v/>
      </c>
      <c r="G388" s="5">
        <f ca="1">AVERAGE(D$2:D387)</f>
        <v>164.59217082709881</v>
      </c>
      <c r="H388" s="5">
        <f ca="1">PERCENTILE(D$2:D387,0.025)</f>
        <v>-4.1519702973951427</v>
      </c>
      <c r="I388" s="5">
        <f ca="1">PERCENTILE(D$2:D387,0.165)</f>
        <v>1.3838171345337349</v>
      </c>
      <c r="J388" s="5">
        <f ca="1">PERCENTILE(D$2:D387,0.5)</f>
        <v>33.053542446246631</v>
      </c>
      <c r="K388" s="5">
        <f ca="1">PERCENTILE(D$2:D387,0.835)</f>
        <v>188.14938477750601</v>
      </c>
      <c r="L388" s="5">
        <f ca="1">PERCENTILE(D$2:D387,0.975)</f>
        <v>1153.5923216009448</v>
      </c>
      <c r="M388" s="7">
        <f>AVERAGE(E$2:E387)</f>
        <v>1.4188034188034189</v>
      </c>
      <c r="N388" s="7">
        <f>PERCENTILE($E$2:$E387,0.025)</f>
        <v>-2</v>
      </c>
      <c r="O388" s="7">
        <f>PERCENTILE($E$2:$E387,0.165)</f>
        <v>0</v>
      </c>
      <c r="P388" s="7">
        <f>PERCENTILE($E$2:$E387,0.5)</f>
        <v>1</v>
      </c>
      <c r="Q388" s="7">
        <f>PERCENTILE($E$2:$E387,0.835)</f>
        <v>3</v>
      </c>
      <c r="R388" s="7">
        <f>PERCENTILE($E$2:$E387,0.975)</f>
        <v>5</v>
      </c>
    </row>
    <row r="389" spans="1:18" x14ac:dyDescent="0.2">
      <c r="A389" s="5">
        <f>Data!E443</f>
        <v>2009</v>
      </c>
      <c r="B389" s="5">
        <f>Data!M443</f>
        <v>0.17250000000000001</v>
      </c>
      <c r="C389" s="5">
        <f>Data!N443</f>
        <v>2.5000000000000001E-2</v>
      </c>
      <c r="D389" s="5">
        <f ca="1">Data!O443</f>
        <v>325.93934908136487</v>
      </c>
      <c r="E389" s="1" t="str">
        <f>Data!AQ443</f>
        <v>NA</v>
      </c>
      <c r="F389" t="str">
        <f t="shared" ref="F389:F452" si="6">IF(A389&lt;&gt;A388,A389,"")</f>
        <v/>
      </c>
      <c r="G389" s="5">
        <f ca="1">AVERAGE(D$2:D388)</f>
        <v>164.38389328272609</v>
      </c>
      <c r="H389" s="5">
        <f ca="1">PERCENTILE(D$2:D388,0.025)</f>
        <v>-4.1517962495722989</v>
      </c>
      <c r="I389" s="5">
        <f ca="1">PERCENTILE(D$2:D388,0.165)</f>
        <v>1.4152026777911995</v>
      </c>
      <c r="J389" s="5">
        <f ca="1">PERCENTILE(D$2:D388,0.5)</f>
        <v>33.250571943729788</v>
      </c>
      <c r="K389" s="5">
        <f ca="1">PERCENTILE(D$2:D388,0.835)</f>
        <v>187.10815403548341</v>
      </c>
      <c r="L389" s="5">
        <f ca="1">PERCENTILE(D$2:D388,0.975)</f>
        <v>1151.7694576839942</v>
      </c>
      <c r="M389" s="7">
        <f>AVERAGE(E$2:E388)</f>
        <v>1.4188034188034189</v>
      </c>
      <c r="N389" s="7">
        <f>PERCENTILE($E$2:$E388,0.025)</f>
        <v>-2</v>
      </c>
      <c r="O389" s="7">
        <f>PERCENTILE($E$2:$E388,0.165)</f>
        <v>0</v>
      </c>
      <c r="P389" s="7">
        <f>PERCENTILE($E$2:$E388,0.5)</f>
        <v>1</v>
      </c>
      <c r="Q389" s="7">
        <f>PERCENTILE($E$2:$E388,0.835)</f>
        <v>3</v>
      </c>
      <c r="R389" s="7">
        <f>PERCENTILE($E$2:$E388,0.975)</f>
        <v>5</v>
      </c>
    </row>
    <row r="390" spans="1:18" x14ac:dyDescent="0.2">
      <c r="A390" s="5">
        <f>Data!E444</f>
        <v>2009</v>
      </c>
      <c r="B390" s="5">
        <f>Data!M444</f>
        <v>0.17250000000000001</v>
      </c>
      <c r="C390" s="5">
        <f>Data!N444</f>
        <v>2.5000000000000001E-2</v>
      </c>
      <c r="D390" s="5">
        <f ca="1">Data!O444</f>
        <v>167.9775223097113</v>
      </c>
      <c r="E390" s="1" t="str">
        <f>Data!AQ444</f>
        <v>NA</v>
      </c>
      <c r="F390" t="str">
        <f t="shared" si="6"/>
        <v/>
      </c>
      <c r="G390" s="5">
        <f ca="1">AVERAGE(D$2:D389)</f>
        <v>164.80027332344423</v>
      </c>
      <c r="H390" s="5">
        <f ca="1">PERCENTILE(D$2:D389,0.025)</f>
        <v>-4.151622201749456</v>
      </c>
      <c r="I390" s="5">
        <f ca="1">PERCENTILE(D$2:D389,0.165)</f>
        <v>1.4465882210486667</v>
      </c>
      <c r="J390" s="5">
        <f ca="1">PERCENTILE(D$2:D389,0.5)</f>
        <v>33.444691409922385</v>
      </c>
      <c r="K390" s="5">
        <f ca="1">PERCENTILE(D$2:D389,0.835)</f>
        <v>192.6283424808156</v>
      </c>
      <c r="L390" s="5">
        <f ca="1">PERCENTILE(D$2:D389,0.975)</f>
        <v>1149.9465937670475</v>
      </c>
      <c r="M390" s="7">
        <f>AVERAGE(E$2:E389)</f>
        <v>1.4188034188034189</v>
      </c>
      <c r="N390" s="7">
        <f>PERCENTILE($E$2:$E389,0.025)</f>
        <v>-2</v>
      </c>
      <c r="O390" s="7">
        <f>PERCENTILE($E$2:$E389,0.165)</f>
        <v>0</v>
      </c>
      <c r="P390" s="7">
        <f>PERCENTILE($E$2:$E389,0.5)</f>
        <v>1</v>
      </c>
      <c r="Q390" s="7">
        <f>PERCENTILE($E$2:$E389,0.835)</f>
        <v>3</v>
      </c>
      <c r="R390" s="7">
        <f>PERCENTILE($E$2:$E389,0.975)</f>
        <v>5</v>
      </c>
    </row>
    <row r="391" spans="1:18" x14ac:dyDescent="0.2">
      <c r="A391" s="5">
        <f>Data!E445</f>
        <v>2009</v>
      </c>
      <c r="B391" s="5">
        <f>Data!M445</f>
        <v>1.3800000000000001</v>
      </c>
      <c r="C391" s="5">
        <f>Data!N445</f>
        <v>0.2</v>
      </c>
      <c r="D391" s="5">
        <f ca="1">Data!O445</f>
        <v>-0.57232545931758538</v>
      </c>
      <c r="E391" s="1" t="str">
        <f>Data!AQ445</f>
        <v>NA</v>
      </c>
      <c r="F391" t="str">
        <f t="shared" si="6"/>
        <v/>
      </c>
      <c r="G391" s="5">
        <f ca="1">AVERAGE(D$2:D390)</f>
        <v>164.80844105862744</v>
      </c>
      <c r="H391" s="5">
        <f ca="1">PERCENTILE(D$2:D390,0.025)</f>
        <v>-4.1514481539266122</v>
      </c>
      <c r="I391" s="5">
        <f ca="1">PERCENTILE(D$2:D390,0.165)</f>
        <v>1.488435612058618</v>
      </c>
      <c r="J391" s="5">
        <f ca="1">PERCENTILE(D$2:D390,0.5)</f>
        <v>33.638810876114988</v>
      </c>
      <c r="K391" s="5">
        <f ca="1">PERCENTILE(D$2:D390,0.835)</f>
        <v>191.3361818970304</v>
      </c>
      <c r="L391" s="5">
        <f ca="1">PERCENTILE(D$2:D390,0.975)</f>
        <v>1148.123729850101</v>
      </c>
      <c r="M391" s="7">
        <f>AVERAGE(E$2:E390)</f>
        <v>1.4188034188034189</v>
      </c>
      <c r="N391" s="7">
        <f>PERCENTILE($E$2:$E390,0.025)</f>
        <v>-2</v>
      </c>
      <c r="O391" s="7">
        <f>PERCENTILE($E$2:$E390,0.165)</f>
        <v>0</v>
      </c>
      <c r="P391" s="7">
        <f>PERCENTILE($E$2:$E390,0.5)</f>
        <v>1</v>
      </c>
      <c r="Q391" s="7">
        <f>PERCENTILE($E$2:$E390,0.835)</f>
        <v>3</v>
      </c>
      <c r="R391" s="7">
        <f>PERCENTILE($E$2:$E390,0.975)</f>
        <v>5</v>
      </c>
    </row>
    <row r="392" spans="1:18" x14ac:dyDescent="0.2">
      <c r="A392" s="5">
        <f>Data!E446</f>
        <v>2009</v>
      </c>
      <c r="B392" s="5">
        <f>Data!M446</f>
        <v>1.3800000000000001</v>
      </c>
      <c r="C392" s="5">
        <f>Data!N446</f>
        <v>0.2</v>
      </c>
      <c r="D392" s="5">
        <f ca="1">Data!O446</f>
        <v>18.886740157480315</v>
      </c>
      <c r="E392" s="1" t="str">
        <f>Data!AQ446</f>
        <v>NA</v>
      </c>
      <c r="F392" t="str">
        <f t="shared" si="6"/>
        <v/>
      </c>
      <c r="G392" s="5">
        <f ca="1">AVERAGE(D$2:D391)</f>
        <v>164.38438781114553</v>
      </c>
      <c r="H392" s="5">
        <f ca="1">PERCENTILE(D$2:D391,0.025)</f>
        <v>-4.1512741061037692</v>
      </c>
      <c r="I392" s="5">
        <f ca="1">PERCENTILE(D$2:D391,0.165)</f>
        <v>1.3191438938819859</v>
      </c>
      <c r="J392" s="5">
        <f ca="1">PERCENTILE(D$2:D391,0.5)</f>
        <v>33.444691409922385</v>
      </c>
      <c r="K392" s="5">
        <f ca="1">PERCENTILE(D$2:D391,0.835)</f>
        <v>190.29495115500779</v>
      </c>
      <c r="L392" s="5">
        <f ca="1">PERCENTILE(D$2:D391,0.975)</f>
        <v>1146.3008659331501</v>
      </c>
      <c r="M392" s="7">
        <f>AVERAGE(E$2:E391)</f>
        <v>1.4188034188034189</v>
      </c>
      <c r="N392" s="7">
        <f>PERCENTILE($E$2:$E391,0.025)</f>
        <v>-2</v>
      </c>
      <c r="O392" s="7">
        <f>PERCENTILE($E$2:$E391,0.165)</f>
        <v>0</v>
      </c>
      <c r="P392" s="7">
        <f>PERCENTILE($E$2:$E391,0.5)</f>
        <v>1</v>
      </c>
      <c r="Q392" s="7">
        <f>PERCENTILE($E$2:$E391,0.835)</f>
        <v>3</v>
      </c>
      <c r="R392" s="7">
        <f>PERCENTILE($E$2:$E391,0.975)</f>
        <v>5</v>
      </c>
    </row>
    <row r="393" spans="1:18" x14ac:dyDescent="0.2">
      <c r="A393" s="5">
        <f>Data!E447</f>
        <v>2009</v>
      </c>
      <c r="B393" s="5">
        <f>Data!M447</f>
        <v>1.3800000000000001</v>
      </c>
      <c r="C393" s="5">
        <f>Data!N447</f>
        <v>0.2</v>
      </c>
      <c r="D393" s="5">
        <f ca="1">Data!O447</f>
        <v>294.03220472440944</v>
      </c>
      <c r="E393" s="1" t="str">
        <f>Data!AQ447</f>
        <v>NA</v>
      </c>
      <c r="F393" t="str">
        <f t="shared" si="6"/>
        <v/>
      </c>
      <c r="G393" s="5">
        <f ca="1">AVERAGE(D$2:D392)</f>
        <v>164.01227106522822</v>
      </c>
      <c r="H393" s="5">
        <f ca="1">PERCENTILE(D$2:D392,0.025)</f>
        <v>-4.1511000582809263</v>
      </c>
      <c r="I393" s="5">
        <f ca="1">PERCENTILE(D$2:D392,0.165)</f>
        <v>1.3505294371394534</v>
      </c>
      <c r="J393" s="5">
        <f ca="1">PERCENTILE(D$2:D392,0.5)</f>
        <v>33.250571943729788</v>
      </c>
      <c r="K393" s="5">
        <f ca="1">PERCENTILE(D$2:D392,0.835)</f>
        <v>189.25372041298485</v>
      </c>
      <c r="L393" s="5">
        <f ca="1">PERCENTILE(D$2:D392,0.975)</f>
        <v>1144.4780020162034</v>
      </c>
      <c r="M393" s="7">
        <f>AVERAGE(E$2:E392)</f>
        <v>1.4188034188034189</v>
      </c>
      <c r="N393" s="7">
        <f>PERCENTILE($E$2:$E392,0.025)</f>
        <v>-2</v>
      </c>
      <c r="O393" s="7">
        <f>PERCENTILE($E$2:$E392,0.165)</f>
        <v>0</v>
      </c>
      <c r="P393" s="7">
        <f>PERCENTILE($E$2:$E392,0.5)</f>
        <v>1</v>
      </c>
      <c r="Q393" s="7">
        <f>PERCENTILE($E$2:$E392,0.835)</f>
        <v>3</v>
      </c>
      <c r="R393" s="7">
        <f>PERCENTILE($E$2:$E392,0.975)</f>
        <v>5</v>
      </c>
    </row>
    <row r="394" spans="1:18" x14ac:dyDescent="0.2">
      <c r="A394" s="5">
        <f>Data!E448</f>
        <v>2009</v>
      </c>
      <c r="B394" s="5">
        <f>Data!M448</f>
        <v>1.3800000000000001</v>
      </c>
      <c r="C394" s="5">
        <f>Data!N448</f>
        <v>0.2</v>
      </c>
      <c r="D394" s="5">
        <f ca="1">Data!O448</f>
        <v>86.850388451443578</v>
      </c>
      <c r="E394" s="1" t="str">
        <f>Data!AQ448</f>
        <v>NA</v>
      </c>
      <c r="F394" t="str">
        <f t="shared" si="6"/>
        <v/>
      </c>
      <c r="G394" s="5">
        <f ca="1">AVERAGE(D$2:D393)</f>
        <v>164.34395456946083</v>
      </c>
      <c r="H394" s="5">
        <f ca="1">PERCENTILE(D$2:D393,0.025)</f>
        <v>-4.1509260104580825</v>
      </c>
      <c r="I394" s="5">
        <f ca="1">PERCENTILE(D$2:D393,0.165)</f>
        <v>1.381914980396918</v>
      </c>
      <c r="J394" s="5">
        <f ca="1">PERCENTILE(D$2:D393,0.5)</f>
        <v>33.444691409922385</v>
      </c>
      <c r="K394" s="5">
        <f ca="1">PERCENTILE(D$2:D393,0.835)</f>
        <v>195.36229607348417</v>
      </c>
      <c r="L394" s="5">
        <f ca="1">PERCENTILE(D$2:D393,0.975)</f>
        <v>1142.6551380992526</v>
      </c>
      <c r="M394" s="7">
        <f>AVERAGE(E$2:E393)</f>
        <v>1.4188034188034189</v>
      </c>
      <c r="N394" s="7">
        <f>PERCENTILE($E$2:$E393,0.025)</f>
        <v>-2</v>
      </c>
      <c r="O394" s="7">
        <f>PERCENTILE($E$2:$E393,0.165)</f>
        <v>0</v>
      </c>
      <c r="P394" s="7">
        <f>PERCENTILE($E$2:$E393,0.5)</f>
        <v>1</v>
      </c>
      <c r="Q394" s="7">
        <f>PERCENTILE($E$2:$E393,0.835)</f>
        <v>3</v>
      </c>
      <c r="R394" s="7">
        <f>PERCENTILE($E$2:$E393,0.975)</f>
        <v>5</v>
      </c>
    </row>
    <row r="395" spans="1:18" x14ac:dyDescent="0.2">
      <c r="A395" s="5">
        <f>Data!E449</f>
        <v>2009</v>
      </c>
      <c r="B395" s="5">
        <f>Data!M449</f>
        <v>2.2999999999999998</v>
      </c>
      <c r="C395" s="5">
        <f>Data!N449</f>
        <v>0.33333333333333331</v>
      </c>
      <c r="D395" s="5">
        <f ca="1">Data!O449</f>
        <v>122.08009749103942</v>
      </c>
      <c r="E395" s="1">
        <f>Data!AQ449</f>
        <v>0</v>
      </c>
      <c r="F395" t="str">
        <f t="shared" si="6"/>
        <v/>
      </c>
      <c r="G395" s="5">
        <f ca="1">AVERAGE(D$2:D394)</f>
        <v>164.1467699228501</v>
      </c>
      <c r="H395" s="5">
        <f ca="1">PERCENTILE(D$2:D394,0.025)</f>
        <v>-4.1507519626352396</v>
      </c>
      <c r="I395" s="5">
        <f ca="1">PERCENTILE(D$2:D394,0.165)</f>
        <v>1.4133005236543852</v>
      </c>
      <c r="J395" s="5">
        <f ca="1">PERCENTILE(D$2:D394,0.5)</f>
        <v>33.638810876114988</v>
      </c>
      <c r="K395" s="5">
        <f ca="1">PERCENTILE(D$2:D394,0.835)</f>
        <v>194.03552447704203</v>
      </c>
      <c r="L395" s="5">
        <f ca="1">PERCENTILE(D$2:D394,0.975)</f>
        <v>1140.832274182306</v>
      </c>
      <c r="M395" s="7">
        <f>AVERAGE(E$2:E394)</f>
        <v>1.4188034188034189</v>
      </c>
      <c r="N395" s="7">
        <f>PERCENTILE($E$2:$E394,0.025)</f>
        <v>-2</v>
      </c>
      <c r="O395" s="7">
        <f>PERCENTILE($E$2:$E394,0.165)</f>
        <v>0</v>
      </c>
      <c r="P395" s="7">
        <f>PERCENTILE($E$2:$E394,0.5)</f>
        <v>1</v>
      </c>
      <c r="Q395" s="7">
        <f>PERCENTILE($E$2:$E394,0.835)</f>
        <v>3</v>
      </c>
      <c r="R395" s="7">
        <f>PERCENTILE($E$2:$E394,0.975)</f>
        <v>5</v>
      </c>
    </row>
    <row r="396" spans="1:18" x14ac:dyDescent="0.2">
      <c r="A396" s="5">
        <f>Data!E450</f>
        <v>2009</v>
      </c>
      <c r="B396" s="5">
        <f>Data!M450</f>
        <v>2.2999999999999998</v>
      </c>
      <c r="C396" s="5">
        <f>Data!N450</f>
        <v>0.33333333333333331</v>
      </c>
      <c r="D396" s="5">
        <f ca="1">Data!O450</f>
        <v>10.149150230414746</v>
      </c>
      <c r="E396" s="1">
        <f>Data!AQ450</f>
        <v>1</v>
      </c>
      <c r="F396" t="str">
        <f t="shared" si="6"/>
        <v/>
      </c>
      <c r="G396" s="5">
        <f ca="1">AVERAGE(D$2:D395)</f>
        <v>164.04000171870845</v>
      </c>
      <c r="H396" s="5">
        <f ca="1">PERCENTILE(D$2:D395,0.025)</f>
        <v>-4.1505779148123967</v>
      </c>
      <c r="I396" s="5">
        <f ca="1">PERCENTILE(D$2:D395,0.165)</f>
        <v>1.4446860669118498</v>
      </c>
      <c r="J396" s="5">
        <f ca="1">PERCENTILE(D$2:D395,0.5)</f>
        <v>33.729076021578621</v>
      </c>
      <c r="K396" s="5">
        <f ca="1">PERCENTILE(D$2:D395,0.835)</f>
        <v>192.70875288059992</v>
      </c>
      <c r="L396" s="5">
        <f ca="1">PERCENTILE(D$2:D395,0.975)</f>
        <v>1139.0094102653593</v>
      </c>
      <c r="M396" s="7">
        <f>AVERAGE(E$2:E395)</f>
        <v>1.4147727272727273</v>
      </c>
      <c r="N396" s="7">
        <f>PERCENTILE($E$2:$E395,0.025)</f>
        <v>-2</v>
      </c>
      <c r="O396" s="7">
        <f>PERCENTILE($E$2:$E395,0.165)</f>
        <v>0</v>
      </c>
      <c r="P396" s="7">
        <f>PERCENTILE($E$2:$E395,0.5)</f>
        <v>1</v>
      </c>
      <c r="Q396" s="7">
        <f>PERCENTILE($E$2:$E395,0.835)</f>
        <v>3</v>
      </c>
      <c r="R396" s="7">
        <f>PERCENTILE($E$2:$E395,0.975)</f>
        <v>5</v>
      </c>
    </row>
    <row r="397" spans="1:18" x14ac:dyDescent="0.2">
      <c r="A397" s="5">
        <f>Data!E451</f>
        <v>2009</v>
      </c>
      <c r="B397" s="5">
        <f>Data!M451</f>
        <v>2.2999999999999998</v>
      </c>
      <c r="C397" s="5">
        <f>Data!N451</f>
        <v>0.33333333333333331</v>
      </c>
      <c r="D397" s="5">
        <f ca="1">Data!O451</f>
        <v>-3.3160589861751153</v>
      </c>
      <c r="E397" s="1">
        <f>Data!AQ451</f>
        <v>3</v>
      </c>
      <c r="F397" t="str">
        <f t="shared" si="6"/>
        <v/>
      </c>
      <c r="G397" s="5">
        <f ca="1">AVERAGE(D$2:D396)</f>
        <v>163.65040462633303</v>
      </c>
      <c r="H397" s="5">
        <f ca="1">PERCENTILE(D$2:D396,0.025)</f>
        <v>-4.1504038669895529</v>
      </c>
      <c r="I397" s="5">
        <f ca="1">PERCENTILE(D$2:D396,0.165)</f>
        <v>1.4813025340455639</v>
      </c>
      <c r="J397" s="5">
        <f ca="1">PERCENTILE(D$2:D396,0.5)</f>
        <v>33.638810876114988</v>
      </c>
      <c r="K397" s="5">
        <f ca="1">PERCENTILE(D$2:D396,0.835)</f>
        <v>191.39928679048666</v>
      </c>
      <c r="L397" s="5">
        <f ca="1">PERCENTILE(D$2:D396,0.975)</f>
        <v>1137.1865463484087</v>
      </c>
      <c r="M397" s="7">
        <f>AVERAGE(E$2:E396)</f>
        <v>1.4135977337110481</v>
      </c>
      <c r="N397" s="7">
        <f>PERCENTILE($E$2:$E396,0.025)</f>
        <v>-2</v>
      </c>
      <c r="O397" s="7">
        <f>PERCENTILE($E$2:$E396,0.165)</f>
        <v>0</v>
      </c>
      <c r="P397" s="7">
        <f>PERCENTILE($E$2:$E396,0.5)</f>
        <v>1</v>
      </c>
      <c r="Q397" s="7">
        <f>PERCENTILE($E$2:$E396,0.835)</f>
        <v>3</v>
      </c>
      <c r="R397" s="7">
        <f>PERCENTILE($E$2:$E396,0.975)</f>
        <v>5</v>
      </c>
    </row>
    <row r="398" spans="1:18" x14ac:dyDescent="0.2">
      <c r="A398" s="5">
        <f>Data!E455</f>
        <v>2009</v>
      </c>
      <c r="B398" s="5">
        <f>Data!M455</f>
        <v>0.32222222222222219</v>
      </c>
      <c r="C398" s="5">
        <f>Data!N455</f>
        <v>0.1111111111111111</v>
      </c>
      <c r="D398" s="5">
        <f ca="1">Data!O455</f>
        <v>20.168704714558849</v>
      </c>
      <c r="E398" s="1" t="str">
        <f>Data!AQ455</f>
        <v>NA</v>
      </c>
      <c r="F398" t="str">
        <f t="shared" si="6"/>
        <v/>
      </c>
      <c r="G398" s="5">
        <f ca="1">AVERAGE(D$2:D397)</f>
        <v>163.22877214246304</v>
      </c>
      <c r="H398" s="5">
        <f ca="1">PERCENTILE(D$2:D397,0.025)</f>
        <v>-4.15022981916671</v>
      </c>
      <c r="I398" s="5">
        <f ca="1">PERCENTILE(D$2:D397,0.165)</f>
        <v>1.317241739745169</v>
      </c>
      <c r="J398" s="5">
        <f ca="1">PERCENTILE(D$2:D397,0.5)</f>
        <v>33.444691409922385</v>
      </c>
      <c r="K398" s="5">
        <f ca="1">PERCENTILE(D$2:D397,0.835)</f>
        <v>190.35805604846368</v>
      </c>
      <c r="L398" s="5">
        <f ca="1">PERCENTILE(D$2:D397,0.975)</f>
        <v>1135.3636824314619</v>
      </c>
      <c r="M398" s="7">
        <f>AVERAGE(E$2:E397)</f>
        <v>1.4180790960451977</v>
      </c>
      <c r="N398" s="7">
        <f>PERCENTILE($E$2:$E397,0.025)</f>
        <v>-2</v>
      </c>
      <c r="O398" s="7">
        <f>PERCENTILE($E$2:$E397,0.165)</f>
        <v>0</v>
      </c>
      <c r="P398" s="7">
        <f>PERCENTILE($E$2:$E397,0.5)</f>
        <v>1</v>
      </c>
      <c r="Q398" s="7">
        <f>PERCENTILE($E$2:$E397,0.835)</f>
        <v>3</v>
      </c>
      <c r="R398" s="7">
        <f>PERCENTILE($E$2:$E397,0.975)</f>
        <v>5</v>
      </c>
    </row>
    <row r="399" spans="1:18" x14ac:dyDescent="0.2">
      <c r="A399" s="5">
        <f>Data!E456</f>
        <v>2009</v>
      </c>
      <c r="B399" s="5">
        <f>Data!M456</f>
        <v>0.64444444444444438</v>
      </c>
      <c r="C399" s="5">
        <f>Data!N456</f>
        <v>0.22222222222222221</v>
      </c>
      <c r="D399" s="5">
        <f ca="1">Data!O456</f>
        <v>40.337409429117699</v>
      </c>
      <c r="E399" s="1" t="str">
        <f>Data!AQ456</f>
        <v>NA</v>
      </c>
      <c r="F399" t="str">
        <f t="shared" si="6"/>
        <v/>
      </c>
      <c r="G399" s="5">
        <f ca="1">AVERAGE(D$2:D398)</f>
        <v>162.86841932778319</v>
      </c>
      <c r="H399" s="5">
        <f ca="1">PERCENTILE(D$2:D398,0.025)</f>
        <v>-4.1500557713438662</v>
      </c>
      <c r="I399" s="5">
        <f ca="1">PERCENTILE(D$2:D398,0.165)</f>
        <v>1.3486272830026362</v>
      </c>
      <c r="J399" s="5">
        <f ca="1">PERCENTILE(D$2:D398,0.5)</f>
        <v>33.250571943729788</v>
      </c>
      <c r="K399" s="5">
        <f ca="1">PERCENTILE(D$2:D398,0.835)</f>
        <v>189.31682530644071</v>
      </c>
      <c r="L399" s="5">
        <f ca="1">PERCENTILE(D$2:D398,0.975)</f>
        <v>1133.5408185145111</v>
      </c>
      <c r="M399" s="7">
        <f>AVERAGE(E$2:E398)</f>
        <v>1.4180790960451977</v>
      </c>
      <c r="N399" s="7">
        <f>PERCENTILE($E$2:$E398,0.025)</f>
        <v>-2</v>
      </c>
      <c r="O399" s="7">
        <f>PERCENTILE($E$2:$E398,0.165)</f>
        <v>0</v>
      </c>
      <c r="P399" s="7">
        <f>PERCENTILE($E$2:$E398,0.5)</f>
        <v>1</v>
      </c>
      <c r="Q399" s="7">
        <f>PERCENTILE($E$2:$E398,0.835)</f>
        <v>3</v>
      </c>
      <c r="R399" s="7">
        <f>PERCENTILE($E$2:$E398,0.975)</f>
        <v>5</v>
      </c>
    </row>
    <row r="400" spans="1:18" x14ac:dyDescent="0.2">
      <c r="A400" s="5">
        <f>Data!E457</f>
        <v>2009</v>
      </c>
      <c r="B400" s="5">
        <f>Data!M457</f>
        <v>0.96666666666666656</v>
      </c>
      <c r="C400" s="5">
        <f>Data!N457</f>
        <v>0.33333333333333331</v>
      </c>
      <c r="D400" s="5">
        <f ca="1">Data!O457</f>
        <v>80.674818858235398</v>
      </c>
      <c r="E400" s="1" t="str">
        <f>Data!AQ457</f>
        <v>NA</v>
      </c>
      <c r="F400" t="str">
        <f t="shared" si="6"/>
        <v/>
      </c>
      <c r="G400" s="5">
        <f ca="1">AVERAGE(D$2:D399)</f>
        <v>162.56055246874132</v>
      </c>
      <c r="H400" s="5">
        <f ca="1">PERCENTILE(D$2:D399,0.025)</f>
        <v>-4.1498817235210232</v>
      </c>
      <c r="I400" s="5">
        <f ca="1">PERCENTILE(D$2:D399,0.165)</f>
        <v>1.3800128262601035</v>
      </c>
      <c r="J400" s="5">
        <f ca="1">PERCENTILE(D$2:D399,0.5)</f>
        <v>33.444691409922385</v>
      </c>
      <c r="K400" s="5">
        <f ca="1">PERCENTILE(D$2:D399,0.835)</f>
        <v>188.2755945644181</v>
      </c>
      <c r="L400" s="5">
        <f ca="1">PERCENTILE(D$2:D399,0.975)</f>
        <v>1131.7179545975646</v>
      </c>
      <c r="M400" s="7">
        <f>AVERAGE(E$2:E399)</f>
        <v>1.4180790960451977</v>
      </c>
      <c r="N400" s="7">
        <f>PERCENTILE($E$2:$E399,0.025)</f>
        <v>-2</v>
      </c>
      <c r="O400" s="7">
        <f>PERCENTILE($E$2:$E399,0.165)</f>
        <v>0</v>
      </c>
      <c r="P400" s="7">
        <f>PERCENTILE($E$2:$E399,0.5)</f>
        <v>1</v>
      </c>
      <c r="Q400" s="7">
        <f>PERCENTILE($E$2:$E399,0.835)</f>
        <v>3</v>
      </c>
      <c r="R400" s="7">
        <f>PERCENTILE($E$2:$E399,0.975)</f>
        <v>5</v>
      </c>
    </row>
    <row r="401" spans="1:18" x14ac:dyDescent="0.2">
      <c r="A401" s="5">
        <f>Data!E458</f>
        <v>2009</v>
      </c>
      <c r="B401" s="5">
        <f>Data!M458</f>
        <v>0.64444444444444438</v>
      </c>
      <c r="C401" s="5">
        <f>Data!N458</f>
        <v>0.22222222222222221</v>
      </c>
      <c r="D401" s="5">
        <f ca="1">Data!O458</f>
        <v>137.14719205900019</v>
      </c>
      <c r="E401" s="1" t="str">
        <f>Data!AQ458</f>
        <v>NA</v>
      </c>
      <c r="F401" t="str">
        <f t="shared" si="6"/>
        <v/>
      </c>
      <c r="G401" s="5">
        <f ca="1">AVERAGE(D$2:D400)</f>
        <v>162.35532506620874</v>
      </c>
      <c r="H401" s="5">
        <f ca="1">PERCENTILE(D$2:D400,0.025)</f>
        <v>-4.1497076756981803</v>
      </c>
      <c r="I401" s="5">
        <f ca="1">PERCENTILE(D$2:D400,0.165)</f>
        <v>1.411398369517568</v>
      </c>
      <c r="J401" s="5">
        <f ca="1">PERCENTILE(D$2:D400,0.5)</f>
        <v>33.638810876114988</v>
      </c>
      <c r="K401" s="5">
        <f ca="1">PERCENTILE(D$2:D400,0.835)</f>
        <v>187.23436382239515</v>
      </c>
      <c r="L401" s="5">
        <f ca="1">PERCENTILE(D$2:D400,0.975)</f>
        <v>1129.8950906806178</v>
      </c>
      <c r="M401" s="7">
        <f>AVERAGE(E$2:E400)</f>
        <v>1.4180790960451977</v>
      </c>
      <c r="N401" s="7">
        <f>PERCENTILE($E$2:$E400,0.025)</f>
        <v>-2</v>
      </c>
      <c r="O401" s="7">
        <f>PERCENTILE($E$2:$E400,0.165)</f>
        <v>0</v>
      </c>
      <c r="P401" s="7">
        <f>PERCENTILE($E$2:$E400,0.5)</f>
        <v>1</v>
      </c>
      <c r="Q401" s="7">
        <f>PERCENTILE($E$2:$E400,0.835)</f>
        <v>3</v>
      </c>
      <c r="R401" s="7">
        <f>PERCENTILE($E$2:$E400,0.975)</f>
        <v>5</v>
      </c>
    </row>
    <row r="402" spans="1:18" x14ac:dyDescent="0.2">
      <c r="A402" s="5">
        <f>Data!E459</f>
        <v>2009</v>
      </c>
      <c r="B402" s="5">
        <f>Data!M459</f>
        <v>0.32222222222222219</v>
      </c>
      <c r="C402" s="5">
        <f>Data!N459</f>
        <v>0.1111111111111111</v>
      </c>
      <c r="D402" s="5">
        <f ca="1">Data!O459</f>
        <v>225.88949280305911</v>
      </c>
      <c r="E402" s="1" t="str">
        <f>Data!AQ459</f>
        <v>NA</v>
      </c>
      <c r="F402" t="str">
        <f t="shared" si="6"/>
        <v/>
      </c>
      <c r="G402" s="5">
        <f ca="1">AVERAGE(D$2:D401)</f>
        <v>162.29230473369071</v>
      </c>
      <c r="H402" s="5">
        <f ca="1">PERCENTILE(D$2:D401,0.025)</f>
        <v>-4.1495336278753365</v>
      </c>
      <c r="I402" s="5">
        <f ca="1">PERCENTILE(D$2:D401,0.165)</f>
        <v>1.4427839127750353</v>
      </c>
      <c r="J402" s="5">
        <f ca="1">PERCENTILE(D$2:D401,0.5)</f>
        <v>33.729076021578621</v>
      </c>
      <c r="K402" s="5">
        <f ca="1">PERCENTILE(D$2:D401,0.835)</f>
        <v>186.19313308037218</v>
      </c>
      <c r="L402" s="5">
        <f ca="1">PERCENTILE(D$2:D401,0.975)</f>
        <v>1128.0722267636672</v>
      </c>
      <c r="M402" s="7">
        <f>AVERAGE(E$2:E401)</f>
        <v>1.4180790960451977</v>
      </c>
      <c r="N402" s="7">
        <f>PERCENTILE($E$2:$E401,0.025)</f>
        <v>-2</v>
      </c>
      <c r="O402" s="7">
        <f>PERCENTILE($E$2:$E401,0.165)</f>
        <v>0</v>
      </c>
      <c r="P402" s="7">
        <f>PERCENTILE($E$2:$E401,0.5)</f>
        <v>1</v>
      </c>
      <c r="Q402" s="7">
        <f>PERCENTILE($E$2:$E401,0.835)</f>
        <v>3</v>
      </c>
      <c r="R402" s="7">
        <f>PERCENTILE($E$2:$E401,0.975)</f>
        <v>5</v>
      </c>
    </row>
    <row r="403" spans="1:18" x14ac:dyDescent="0.2">
      <c r="A403" s="5">
        <f>Data!E395</f>
        <v>2010</v>
      </c>
      <c r="B403" s="5">
        <f>Data!M395</f>
        <v>0.5</v>
      </c>
      <c r="C403" s="5">
        <f>Data!N395</f>
        <v>0.1</v>
      </c>
      <c r="D403" s="5">
        <f ca="1">Data!O395</f>
        <v>60.36006194347658</v>
      </c>
      <c r="E403" s="1" t="str">
        <f>Data!AQ395</f>
        <v>NA</v>
      </c>
      <c r="F403">
        <f t="shared" si="6"/>
        <v>2010</v>
      </c>
      <c r="G403" s="5">
        <f ca="1">AVERAGE(D$2:D402)</f>
        <v>162.45090121266668</v>
      </c>
      <c r="H403" s="5">
        <f ca="1">PERCENTILE(D$2:D402,0.025)</f>
        <v>-4.1493595800524936</v>
      </c>
      <c r="I403" s="5">
        <f ca="1">PERCENTILE(D$2:D402,0.165)</f>
        <v>1.4741694560324998</v>
      </c>
      <c r="J403" s="5">
        <f ca="1">PERCENTILE(D$2:D402,0.5)</f>
        <v>33.819341167042261</v>
      </c>
      <c r="K403" s="5">
        <f ca="1">PERCENTILE(D$2:D402,0.835)</f>
        <v>191.46239168394251</v>
      </c>
      <c r="L403" s="5">
        <f ca="1">PERCENTILE(D$2:D402,0.975)</f>
        <v>1126.2493628467205</v>
      </c>
      <c r="M403" s="7">
        <f>AVERAGE(E$2:E402)</f>
        <v>1.4180790960451977</v>
      </c>
      <c r="N403" s="7">
        <f>PERCENTILE($E$2:$E402,0.025)</f>
        <v>-2</v>
      </c>
      <c r="O403" s="7">
        <f>PERCENTILE($E$2:$E402,0.165)</f>
        <v>0</v>
      </c>
      <c r="P403" s="7">
        <f>PERCENTILE($E$2:$E402,0.5)</f>
        <v>1</v>
      </c>
      <c r="Q403" s="7">
        <f>PERCENTILE($E$2:$E402,0.835)</f>
        <v>3</v>
      </c>
      <c r="R403" s="7">
        <f>PERCENTILE($E$2:$E402,0.975)</f>
        <v>5</v>
      </c>
    </row>
    <row r="404" spans="1:18" x14ac:dyDescent="0.2">
      <c r="A404" s="5">
        <f>Data!E396</f>
        <v>2010</v>
      </c>
      <c r="B404" s="5">
        <f>Data!M396</f>
        <v>4</v>
      </c>
      <c r="C404" s="5">
        <f>Data!N396</f>
        <v>0.8</v>
      </c>
      <c r="D404" s="5">
        <f ca="1">Data!O396</f>
        <v>88.218552071235024</v>
      </c>
      <c r="E404" s="1" t="str">
        <f>Data!AQ396</f>
        <v>NA</v>
      </c>
      <c r="F404" t="str">
        <f t="shared" si="6"/>
        <v/>
      </c>
      <c r="G404" s="5">
        <f ca="1">AVERAGE(D$2:D403)</f>
        <v>162.19694390105178</v>
      </c>
      <c r="H404" s="5">
        <f ca="1">PERCENTILE(D$2:D403,0.025)</f>
        <v>-4.1493595800524936</v>
      </c>
      <c r="I404" s="5">
        <f ca="1">PERCENTILE(D$2:D403,0.165)</f>
        <v>1.5918652432480023</v>
      </c>
      <c r="J404" s="5">
        <f ca="1">PERCENTILE(D$2:D403,0.5)</f>
        <v>34.226035550417137</v>
      </c>
      <c r="K404" s="5">
        <f ca="1">PERCENTILE(D$2:D403,0.835)</f>
        <v>190.42116094191954</v>
      </c>
      <c r="L404" s="5">
        <f ca="1">PERCENTILE(D$2:D403,0.975)</f>
        <v>1125.2820444686668</v>
      </c>
      <c r="M404" s="7">
        <f>AVERAGE(E$2:E403)</f>
        <v>1.4180790960451977</v>
      </c>
      <c r="N404" s="7">
        <f>PERCENTILE($E$2:$E403,0.025)</f>
        <v>-2</v>
      </c>
      <c r="O404" s="7">
        <f>PERCENTILE($E$2:$E403,0.165)</f>
        <v>0</v>
      </c>
      <c r="P404" s="7">
        <f>PERCENTILE($E$2:$E403,0.5)</f>
        <v>1</v>
      </c>
      <c r="Q404" s="7">
        <f>PERCENTILE($E$2:$E403,0.835)</f>
        <v>3</v>
      </c>
      <c r="R404" s="7">
        <f>PERCENTILE($E$2:$E403,0.975)</f>
        <v>5</v>
      </c>
    </row>
    <row r="405" spans="1:18" x14ac:dyDescent="0.2">
      <c r="A405" s="5">
        <f>Data!E397</f>
        <v>2010</v>
      </c>
      <c r="B405" s="5">
        <f>Data!M397</f>
        <v>0.5</v>
      </c>
      <c r="C405" s="5">
        <f>Data!N397</f>
        <v>0.1</v>
      </c>
      <c r="D405" s="5">
        <f ca="1">Data!O397</f>
        <v>213.58175764614791</v>
      </c>
      <c r="E405" s="1" t="str">
        <f>Data!AQ397</f>
        <v>NA</v>
      </c>
      <c r="F405" t="str">
        <f t="shared" si="6"/>
        <v/>
      </c>
      <c r="G405" s="5">
        <f ca="1">AVERAGE(D$2:D404)</f>
        <v>162.01337469055596</v>
      </c>
      <c r="H405" s="5">
        <f ca="1">PERCENTILE(D$2:D404,0.025)</f>
        <v>-4.1493595800524936</v>
      </c>
      <c r="I405" s="5">
        <f ca="1">PERCENTILE(D$2:D404,0.165)</f>
        <v>1.7095610304634947</v>
      </c>
      <c r="J405" s="5">
        <f ca="1">PERCENTILE(D$2:D404,0.5)</f>
        <v>34.632729933792007</v>
      </c>
      <c r="K405" s="5">
        <f ca="1">PERCENTILE(D$2:D404,0.835)</f>
        <v>189.37993019989659</v>
      </c>
      <c r="L405" s="5">
        <f ca="1">PERCENTILE(D$2:D404,0.975)</f>
        <v>1124.3147260906151</v>
      </c>
      <c r="M405" s="7">
        <f>AVERAGE(E$2:E404)</f>
        <v>1.4180790960451977</v>
      </c>
      <c r="N405" s="7">
        <f>PERCENTILE($E$2:$E404,0.025)</f>
        <v>-2</v>
      </c>
      <c r="O405" s="7">
        <f>PERCENTILE($E$2:$E404,0.165)</f>
        <v>0</v>
      </c>
      <c r="P405" s="7">
        <f>PERCENTILE($E$2:$E404,0.5)</f>
        <v>1</v>
      </c>
      <c r="Q405" s="7">
        <f>PERCENTILE($E$2:$E404,0.835)</f>
        <v>3</v>
      </c>
      <c r="R405" s="7">
        <f>PERCENTILE($E$2:$E404,0.975)</f>
        <v>5</v>
      </c>
    </row>
    <row r="406" spans="1:18" x14ac:dyDescent="0.2">
      <c r="A406" s="5">
        <f>Data!E398</f>
        <v>2010</v>
      </c>
      <c r="B406" s="5">
        <f>Data!M398</f>
        <v>5</v>
      </c>
      <c r="C406" s="5">
        <f>Data!N398</f>
        <v>1</v>
      </c>
      <c r="D406" s="5">
        <f ca="1">Data!O398</f>
        <v>29.598896876600101</v>
      </c>
      <c r="E406" s="1">
        <f>Data!AQ398</f>
        <v>3</v>
      </c>
      <c r="F406" t="str">
        <f t="shared" si="6"/>
        <v/>
      </c>
      <c r="G406" s="5">
        <f ca="1">AVERAGE(D$2:D405)</f>
        <v>162.14101920282229</v>
      </c>
      <c r="H406" s="5">
        <f ca="1">PERCENTILE(D$2:D405,0.025)</f>
        <v>-4.1493595800524936</v>
      </c>
      <c r="I406" s="5">
        <f ca="1">PERCENTILE(D$2:D405,0.165)</f>
        <v>1.8272568176789972</v>
      </c>
      <c r="J406" s="5">
        <f ca="1">PERCENTILE(D$2:D405,0.5)</f>
        <v>34.772915237354141</v>
      </c>
      <c r="K406" s="5">
        <f ca="1">PERCENTILE(D$2:D405,0.835)</f>
        <v>195.52311687305277</v>
      </c>
      <c r="L406" s="5">
        <f ca="1">PERCENTILE(D$2:D405,0.975)</f>
        <v>1123.3474077125636</v>
      </c>
      <c r="M406" s="7">
        <f>AVERAGE(E$2:E405)</f>
        <v>1.4180790960451977</v>
      </c>
      <c r="N406" s="7">
        <f>PERCENTILE($E$2:$E405,0.025)</f>
        <v>-2</v>
      </c>
      <c r="O406" s="7">
        <f>PERCENTILE($E$2:$E405,0.165)</f>
        <v>0</v>
      </c>
      <c r="P406" s="7">
        <f>PERCENTILE($E$2:$E405,0.5)</f>
        <v>1</v>
      </c>
      <c r="Q406" s="7">
        <f>PERCENTILE($E$2:$E405,0.835)</f>
        <v>3</v>
      </c>
      <c r="R406" s="7">
        <f>PERCENTILE($E$2:$E405,0.975)</f>
        <v>5</v>
      </c>
    </row>
    <row r="407" spans="1:18" x14ac:dyDescent="0.2">
      <c r="A407" s="5">
        <f>Data!E399</f>
        <v>2010</v>
      </c>
      <c r="B407" s="5">
        <f>Data!M399</f>
        <v>6</v>
      </c>
      <c r="C407" s="5">
        <f>Data!N399</f>
        <v>1</v>
      </c>
      <c r="D407" s="5">
        <f ca="1">Data!O399</f>
        <v>2.8616272965879266</v>
      </c>
      <c r="E407" s="1">
        <f>Data!AQ399</f>
        <v>3</v>
      </c>
      <c r="F407" t="str">
        <f t="shared" si="6"/>
        <v/>
      </c>
      <c r="G407" s="5">
        <f ca="1">AVERAGE(D$2:D406)</f>
        <v>161.81375470325139</v>
      </c>
      <c r="H407" s="5">
        <f ca="1">PERCENTILE(D$2:D406,0.025)</f>
        <v>-4.1493595800524936</v>
      </c>
      <c r="I407" s="5">
        <f ca="1">PERCENTILE(D$2:D406,0.165)</f>
        <v>1.9449526048944896</v>
      </c>
      <c r="J407" s="5">
        <f ca="1">PERCENTILE(D$2:D406,0.5)</f>
        <v>34.632729933792007</v>
      </c>
      <c r="K407" s="5">
        <f ca="1">PERCENTILE(D$2:D406,0.835)</f>
        <v>194.19634527661063</v>
      </c>
      <c r="L407" s="5">
        <f ca="1">PERCENTILE(D$2:D406,0.975)</f>
        <v>1122.3800893345096</v>
      </c>
      <c r="M407" s="7">
        <f>AVERAGE(E$2:E406)</f>
        <v>1.4225352112676057</v>
      </c>
      <c r="N407" s="7">
        <f>PERCENTILE($E$2:$E406,0.025)</f>
        <v>-2</v>
      </c>
      <c r="O407" s="7">
        <f>PERCENTILE($E$2:$E406,0.165)</f>
        <v>0</v>
      </c>
      <c r="P407" s="7">
        <f>PERCENTILE($E$2:$E406,0.5)</f>
        <v>1</v>
      </c>
      <c r="Q407" s="7">
        <f>PERCENTILE($E$2:$E406,0.835)</f>
        <v>3</v>
      </c>
      <c r="R407" s="7">
        <f>PERCENTILE($E$2:$E406,0.975)</f>
        <v>5</v>
      </c>
    </row>
    <row r="408" spans="1:18" x14ac:dyDescent="0.2">
      <c r="A408" s="5">
        <f>Data!E452</f>
        <v>2010</v>
      </c>
      <c r="B408" s="5">
        <f>Data!M452</f>
        <v>2.333333333333333</v>
      </c>
      <c r="C408" s="5">
        <f>Data!N452</f>
        <v>0.33333333333333331</v>
      </c>
      <c r="D408" s="5">
        <f ca="1">Data!O452</f>
        <v>160.81211305683561</v>
      </c>
      <c r="E408" s="1">
        <f>Data!AQ452</f>
        <v>0</v>
      </c>
      <c r="F408" t="str">
        <f t="shared" si="6"/>
        <v/>
      </c>
      <c r="G408" s="5">
        <f ca="1">AVERAGE(D$2:D407)</f>
        <v>161.4222470002793</v>
      </c>
      <c r="H408" s="5">
        <f ca="1">PERCENTILE(D$2:D407,0.025)</f>
        <v>-4.1493595800524936</v>
      </c>
      <c r="I408" s="5">
        <f ca="1">PERCENTILE(D$2:D407,0.165)</f>
        <v>2.0626483921099918</v>
      </c>
      <c r="J408" s="5">
        <f ca="1">PERCENTILE(D$2:D407,0.5)</f>
        <v>34.226035550417137</v>
      </c>
      <c r="K408" s="5">
        <f ca="1">PERCENTILE(D$2:D407,0.835)</f>
        <v>192.86957368016894</v>
      </c>
      <c r="L408" s="5">
        <f ca="1">PERCENTILE(D$2:D407,0.975)</f>
        <v>1121.4127709564582</v>
      </c>
      <c r="M408" s="7">
        <f>AVERAGE(E$2:E407)</f>
        <v>1.4269662921348314</v>
      </c>
      <c r="N408" s="7">
        <f>PERCENTILE($E$2:$E407,0.025)</f>
        <v>-2</v>
      </c>
      <c r="O408" s="7">
        <f>PERCENTILE($E$2:$E407,0.165)</f>
        <v>0</v>
      </c>
      <c r="P408" s="7">
        <f>PERCENTILE($E$2:$E407,0.5)</f>
        <v>1</v>
      </c>
      <c r="Q408" s="7">
        <f>PERCENTILE($E$2:$E407,0.835)</f>
        <v>3</v>
      </c>
      <c r="R408" s="7">
        <f>PERCENTILE($E$2:$E407,0.975)</f>
        <v>5</v>
      </c>
    </row>
    <row r="409" spans="1:18" x14ac:dyDescent="0.2">
      <c r="A409" s="5">
        <f>Data!E453</f>
        <v>2010</v>
      </c>
      <c r="B409" s="5">
        <f>Data!M453</f>
        <v>2.333333333333333</v>
      </c>
      <c r="C409" s="5">
        <f>Data!N453</f>
        <v>0.33333333333333331</v>
      </c>
      <c r="D409" s="5">
        <f ca="1">Data!O453</f>
        <v>24.57456507936508</v>
      </c>
      <c r="E409" s="1">
        <f>Data!AQ453</f>
        <v>1</v>
      </c>
      <c r="F409" t="str">
        <f t="shared" si="6"/>
        <v/>
      </c>
      <c r="G409" s="5">
        <f ca="1">AVERAGE(D$2:D408)</f>
        <v>161.42074789968115</v>
      </c>
      <c r="H409" s="5">
        <f ca="1">PERCENTILE(D$2:D408,0.025)</f>
        <v>-4.1493595800524936</v>
      </c>
      <c r="I409" s="5">
        <f ca="1">PERCENTILE(D$2:D408,0.165)</f>
        <v>2.1803441793254947</v>
      </c>
      <c r="J409" s="5">
        <f ca="1">PERCENTILE(D$2:D408,0.5)</f>
        <v>34.632729933792007</v>
      </c>
      <c r="K409" s="5">
        <f ca="1">PERCENTILE(D$2:D408,0.835)</f>
        <v>191.5428020837268</v>
      </c>
      <c r="L409" s="5">
        <f ca="1">PERCENTILE(D$2:D408,0.975)</f>
        <v>1120.4454525784045</v>
      </c>
      <c r="M409" s="7">
        <f>AVERAGE(E$2:E408)</f>
        <v>1.4229691876750701</v>
      </c>
      <c r="N409" s="7">
        <f>PERCENTILE($E$2:$E408,0.025)</f>
        <v>-2</v>
      </c>
      <c r="O409" s="7">
        <f>PERCENTILE($E$2:$E408,0.165)</f>
        <v>0</v>
      </c>
      <c r="P409" s="7">
        <f>PERCENTILE($E$2:$E408,0.5)</f>
        <v>1</v>
      </c>
      <c r="Q409" s="7">
        <f>PERCENTILE($E$2:$E408,0.835)</f>
        <v>3</v>
      </c>
      <c r="R409" s="7">
        <f>PERCENTILE($E$2:$E408,0.975)</f>
        <v>5</v>
      </c>
    </row>
    <row r="410" spans="1:18" x14ac:dyDescent="0.2">
      <c r="A410" s="5">
        <f>Data!E454</f>
        <v>2010</v>
      </c>
      <c r="B410" s="5">
        <f>Data!M454</f>
        <v>2.333333333333333</v>
      </c>
      <c r="C410" s="5">
        <f>Data!N454</f>
        <v>0.33333333333333331</v>
      </c>
      <c r="D410" s="5">
        <f ca="1">Data!O454</f>
        <v>1.1276833589349717</v>
      </c>
      <c r="E410" s="1" t="str">
        <f>Data!AQ454</f>
        <v>NA</v>
      </c>
      <c r="F410" t="str">
        <f t="shared" si="6"/>
        <v/>
      </c>
      <c r="G410" s="5">
        <f ca="1">AVERAGE(D$2:D409)</f>
        <v>161.08534058884706</v>
      </c>
      <c r="H410" s="5">
        <f ca="1">PERCENTILE(D$2:D409,0.025)</f>
        <v>-4.1493595800524936</v>
      </c>
      <c r="I410" s="5">
        <f ca="1">PERCENTILE(D$2:D409,0.165)</f>
        <v>2.2280169173794429</v>
      </c>
      <c r="J410" s="5">
        <f ca="1">PERCENTILE(D$2:D409,0.5)</f>
        <v>34.226035550417137</v>
      </c>
      <c r="K410" s="5">
        <f ca="1">PERCENTILE(D$2:D409,0.835)</f>
        <v>190.48426583537542</v>
      </c>
      <c r="L410" s="5">
        <f ca="1">PERCENTILE(D$2:D409,0.975)</f>
        <v>1119.4781342003528</v>
      </c>
      <c r="M410" s="7">
        <f>AVERAGE(E$2:E409)</f>
        <v>1.4217877094972067</v>
      </c>
      <c r="N410" s="7">
        <f>PERCENTILE($E$2:$E409,0.025)</f>
        <v>-2</v>
      </c>
      <c r="O410" s="7">
        <f>PERCENTILE($E$2:$E409,0.165)</f>
        <v>0</v>
      </c>
      <c r="P410" s="7">
        <f>PERCENTILE($E$2:$E409,0.5)</f>
        <v>1</v>
      </c>
      <c r="Q410" s="7">
        <f>PERCENTILE($E$2:$E409,0.835)</f>
        <v>3</v>
      </c>
      <c r="R410" s="7">
        <f>PERCENTILE($E$2:$E409,0.975)</f>
        <v>5</v>
      </c>
    </row>
    <row r="411" spans="1:18" x14ac:dyDescent="0.2">
      <c r="A411" s="5">
        <f>Data!E460</f>
        <v>2010</v>
      </c>
      <c r="B411" s="5">
        <f>Data!M460</f>
        <v>0.82352941176470584</v>
      </c>
      <c r="C411" s="5">
        <f>Data!N460</f>
        <v>0.11764705882352941</v>
      </c>
      <c r="D411" s="5">
        <f ca="1">Data!O460</f>
        <v>22.263460367454069</v>
      </c>
      <c r="E411" s="1">
        <f>Data!AQ460</f>
        <v>1</v>
      </c>
      <c r="F411" t="str">
        <f t="shared" si="6"/>
        <v/>
      </c>
      <c r="G411" s="5">
        <f ca="1">AVERAGE(D$2:D410)</f>
        <v>160.6942460723925</v>
      </c>
      <c r="H411" s="5">
        <f ca="1">PERCENTILE(D$2:D410,0.025)</f>
        <v>-4.1493595800524936</v>
      </c>
      <c r="I411" s="5">
        <f ca="1">PERCENTILE(D$2:D410,0.165)</f>
        <v>1.7024279524504407</v>
      </c>
      <c r="J411" s="5">
        <f ca="1">PERCENTILE(D$2:D410,0.5)</f>
        <v>33.819341167042261</v>
      </c>
      <c r="K411" s="5">
        <f ca="1">PERCENTILE(D$2:D410,0.835)</f>
        <v>189.44303509335282</v>
      </c>
      <c r="L411" s="5">
        <f ca="1">PERCENTILE(D$2:D410,0.975)</f>
        <v>1118.5108158223013</v>
      </c>
      <c r="M411" s="7">
        <f>AVERAGE(E$2:E410)</f>
        <v>1.4217877094972067</v>
      </c>
      <c r="N411" s="7">
        <f>PERCENTILE($E$2:$E410,0.025)</f>
        <v>-2</v>
      </c>
      <c r="O411" s="7">
        <f>PERCENTILE($E$2:$E410,0.165)</f>
        <v>0</v>
      </c>
      <c r="P411" s="7">
        <f>PERCENTILE($E$2:$E410,0.5)</f>
        <v>1</v>
      </c>
      <c r="Q411" s="7">
        <f>PERCENTILE($E$2:$E410,0.835)</f>
        <v>3</v>
      </c>
      <c r="R411" s="7">
        <f>PERCENTILE($E$2:$E410,0.975)</f>
        <v>5</v>
      </c>
    </row>
    <row r="412" spans="1:18" x14ac:dyDescent="0.2">
      <c r="A412" s="5">
        <f>Data!E461</f>
        <v>2010</v>
      </c>
      <c r="B412" s="5">
        <f>Data!M461</f>
        <v>0.82352941176470584</v>
      </c>
      <c r="C412" s="5">
        <f>Data!N461</f>
        <v>0.11764705882352941</v>
      </c>
      <c r="D412" s="5">
        <f ca="1">Data!O461</f>
        <v>39.86246824146982</v>
      </c>
      <c r="E412" s="1">
        <f>Data!AQ461</f>
        <v>1</v>
      </c>
      <c r="F412" t="str">
        <f t="shared" si="6"/>
        <v/>
      </c>
      <c r="G412" s="5">
        <f ca="1">AVERAGE(D$2:D411)</f>
        <v>160.35661000969753</v>
      </c>
      <c r="H412" s="5">
        <f ca="1">PERCENTILE(D$2:D411,0.025)</f>
        <v>-4.1493595800524936</v>
      </c>
      <c r="I412" s="5">
        <f ca="1">PERCENTILE(D$2:D411,0.165)</f>
        <v>1.8201237396659331</v>
      </c>
      <c r="J412" s="5">
        <f ca="1">PERCENTILE(D$2:D411,0.5)</f>
        <v>33.729076021578621</v>
      </c>
      <c r="K412" s="5">
        <f ca="1">PERCENTILE(D$2:D411,0.835)</f>
        <v>188.40180435132984</v>
      </c>
      <c r="L412" s="5">
        <f ca="1">PERCENTILE(D$2:D411,0.975)</f>
        <v>1117.5434974442474</v>
      </c>
      <c r="M412" s="7">
        <f>AVERAGE(E$2:E411)</f>
        <v>1.4206128133704736</v>
      </c>
      <c r="N412" s="7">
        <f>PERCENTILE($E$2:$E411,0.025)</f>
        <v>-2</v>
      </c>
      <c r="O412" s="7">
        <f>PERCENTILE($E$2:$E411,0.165)</f>
        <v>0</v>
      </c>
      <c r="P412" s="7">
        <f>PERCENTILE($E$2:$E411,0.5)</f>
        <v>1</v>
      </c>
      <c r="Q412" s="7">
        <f>PERCENTILE($E$2:$E411,0.835)</f>
        <v>3</v>
      </c>
      <c r="R412" s="7">
        <f>PERCENTILE($E$2:$E411,0.975)</f>
        <v>5</v>
      </c>
    </row>
    <row r="413" spans="1:18" x14ac:dyDescent="0.2">
      <c r="A413" s="5">
        <f>Data!E462</f>
        <v>2010</v>
      </c>
      <c r="B413" s="5">
        <f>Data!M462</f>
        <v>0.41176470588235292</v>
      </c>
      <c r="C413" s="5">
        <f>Data!N462</f>
        <v>5.8823529411764705E-2</v>
      </c>
      <c r="D413" s="5">
        <f ca="1">Data!O462</f>
        <v>145.21327716535433</v>
      </c>
      <c r="E413" s="1">
        <f>Data!AQ462</f>
        <v>0</v>
      </c>
      <c r="F413" t="str">
        <f t="shared" si="6"/>
        <v/>
      </c>
      <c r="G413" s="5">
        <f ca="1">AVERAGE(D$2:D412)</f>
        <v>160.06343691537094</v>
      </c>
      <c r="H413" s="5">
        <f ca="1">PERCENTILE(D$2:D412,0.025)</f>
        <v>-4.1493595800524936</v>
      </c>
      <c r="I413" s="5">
        <f ca="1">PERCENTILE(D$2:D412,0.165)</f>
        <v>1.9378195268814356</v>
      </c>
      <c r="J413" s="5">
        <f ca="1">PERCENTILE(D$2:D412,0.5)</f>
        <v>33.819341167042261</v>
      </c>
      <c r="K413" s="5">
        <f ca="1">PERCENTILE(D$2:D412,0.835)</f>
        <v>187.3605736093069</v>
      </c>
      <c r="L413" s="5">
        <f ca="1">PERCENTILE(D$2:D412,0.975)</f>
        <v>1116.5761790661959</v>
      </c>
      <c r="M413" s="7">
        <f>AVERAGE(E$2:E412)</f>
        <v>1.4194444444444445</v>
      </c>
      <c r="N413" s="7">
        <f>PERCENTILE($E$2:$E412,0.025)</f>
        <v>-2</v>
      </c>
      <c r="O413" s="7">
        <f>PERCENTILE($E$2:$E412,0.165)</f>
        <v>0</v>
      </c>
      <c r="P413" s="7">
        <f>PERCENTILE($E$2:$E412,0.5)</f>
        <v>1</v>
      </c>
      <c r="Q413" s="7">
        <f>PERCENTILE($E$2:$E412,0.835)</f>
        <v>3</v>
      </c>
      <c r="R413" s="7">
        <f>PERCENTILE($E$2:$E412,0.975)</f>
        <v>5</v>
      </c>
    </row>
    <row r="414" spans="1:18" x14ac:dyDescent="0.2">
      <c r="A414" s="5">
        <f>Data!E463</f>
        <v>2010</v>
      </c>
      <c r="B414" s="5">
        <f>Data!M463</f>
        <v>0.41176470588235292</v>
      </c>
      <c r="C414" s="5">
        <f>Data!N463</f>
        <v>5.8823529411764705E-2</v>
      </c>
      <c r="D414" s="5">
        <f ca="1">Data!O463</f>
        <v>260.5797816272966</v>
      </c>
      <c r="E414" s="1">
        <f>Data!AQ463</f>
        <v>0</v>
      </c>
      <c r="F414" t="str">
        <f t="shared" si="6"/>
        <v/>
      </c>
      <c r="G414" s="5">
        <f ca="1">AVERAGE(D$2:D413)</f>
        <v>160.0273928383078</v>
      </c>
      <c r="H414" s="5">
        <f ca="1">PERCENTILE(D$2:D413,0.025)</f>
        <v>-4.1493595800524936</v>
      </c>
      <c r="I414" s="5">
        <f ca="1">PERCENTILE(D$2:D413,0.165)</f>
        <v>2.0555153140969278</v>
      </c>
      <c r="J414" s="5">
        <f ca="1">PERCENTILE(D$2:D413,0.5)</f>
        <v>34.226035550417137</v>
      </c>
      <c r="K414" s="5">
        <f ca="1">PERCENTILE(D$2:D413,0.835)</f>
        <v>186.31934286728429</v>
      </c>
      <c r="L414" s="5">
        <f ca="1">PERCENTILE(D$2:D413,0.975)</f>
        <v>1115.6088606881422</v>
      </c>
      <c r="M414" s="7">
        <f>AVERAGE(E$2:E413)</f>
        <v>1.4155124653739612</v>
      </c>
      <c r="N414" s="7">
        <f>PERCENTILE($E$2:$E413,0.025)</f>
        <v>-2</v>
      </c>
      <c r="O414" s="7">
        <f>PERCENTILE($E$2:$E413,0.165)</f>
        <v>0</v>
      </c>
      <c r="P414" s="7">
        <f>PERCENTILE($E$2:$E413,0.5)</f>
        <v>1</v>
      </c>
      <c r="Q414" s="7">
        <f>PERCENTILE($E$2:$E413,0.835)</f>
        <v>3</v>
      </c>
      <c r="R414" s="7">
        <f>PERCENTILE($E$2:$E413,0.975)</f>
        <v>5</v>
      </c>
    </row>
    <row r="415" spans="1:18" x14ac:dyDescent="0.2">
      <c r="A415" s="5">
        <f>Data!E464</f>
        <v>2010</v>
      </c>
      <c r="B415" s="5">
        <f>Data!M464</f>
        <v>0.41176470588235292</v>
      </c>
      <c r="C415" s="5">
        <f>Data!N464</f>
        <v>5.8823529411764705E-2</v>
      </c>
      <c r="D415" s="5">
        <f ca="1">Data!O464</f>
        <v>0.94433700787401587</v>
      </c>
      <c r="E415" s="1">
        <f>Data!AQ464</f>
        <v>3</v>
      </c>
      <c r="F415" t="str">
        <f t="shared" si="6"/>
        <v/>
      </c>
      <c r="G415" s="5">
        <f ca="1">AVERAGE(D$2:D414)</f>
        <v>160.27086109203415</v>
      </c>
      <c r="H415" s="5">
        <f ca="1">PERCENTILE(D$2:D414,0.025)</f>
        <v>-4.1493595800524936</v>
      </c>
      <c r="I415" s="5">
        <f ca="1">PERCENTILE(D$2:D414,0.165)</f>
        <v>2.1732111013124307</v>
      </c>
      <c r="J415" s="5">
        <f ca="1">PERCENTILE(D$2:D414,0.5)</f>
        <v>34.632729933792007</v>
      </c>
      <c r="K415" s="5">
        <f ca="1">PERCENTILE(D$2:D414,0.835)</f>
        <v>191.62321248351108</v>
      </c>
      <c r="L415" s="5">
        <f ca="1">PERCENTILE(D$2:D414,0.975)</f>
        <v>1114.6415423100905</v>
      </c>
      <c r="M415" s="7">
        <f>AVERAGE(E$2:E414)</f>
        <v>1.4116022099447514</v>
      </c>
      <c r="N415" s="7">
        <f>PERCENTILE($E$2:$E414,0.025)</f>
        <v>-1.9749999999999996</v>
      </c>
      <c r="O415" s="7">
        <f>PERCENTILE($E$2:$E414,0.165)</f>
        <v>0</v>
      </c>
      <c r="P415" s="7">
        <f>PERCENTILE($E$2:$E414,0.5)</f>
        <v>1</v>
      </c>
      <c r="Q415" s="7">
        <f>PERCENTILE($E$2:$E414,0.835)</f>
        <v>3</v>
      </c>
      <c r="R415" s="7">
        <f>PERCENTILE($E$2:$E414,0.975)</f>
        <v>5</v>
      </c>
    </row>
    <row r="416" spans="1:18" x14ac:dyDescent="0.2">
      <c r="A416" s="5">
        <f>Data!E465</f>
        <v>2010</v>
      </c>
      <c r="B416" s="5">
        <f>Data!M465</f>
        <v>0.41176470588235292</v>
      </c>
      <c r="C416" s="5">
        <f>Data!N465</f>
        <v>5.8823529411764705E-2</v>
      </c>
      <c r="D416" s="5">
        <f ca="1">Data!O465</f>
        <v>1.6597438320209974</v>
      </c>
      <c r="E416" s="1">
        <f>Data!AQ465</f>
        <v>3</v>
      </c>
      <c r="F416" t="str">
        <f t="shared" si="6"/>
        <v/>
      </c>
      <c r="G416" s="5">
        <f ca="1">AVERAGE(D$2:D415)</f>
        <v>159.88601441550239</v>
      </c>
      <c r="H416" s="5">
        <f ca="1">PERCENTILE(D$2:D415,0.025)</f>
        <v>-4.1493595800524936</v>
      </c>
      <c r="I416" s="5">
        <f ca="1">PERCENTILE(D$2:D415,0.165)</f>
        <v>1.5775990872218841</v>
      </c>
      <c r="J416" s="5">
        <f ca="1">PERCENTILE(D$2:D415,0.5)</f>
        <v>34.226035550417137</v>
      </c>
      <c r="K416" s="5">
        <f ca="1">PERCENTILE(D$2:D415,0.835)</f>
        <v>190.54737072883128</v>
      </c>
      <c r="L416" s="5">
        <f ca="1">PERCENTILE(D$2:D415,0.975)</f>
        <v>1113.6742239320388</v>
      </c>
      <c r="M416" s="7">
        <f>AVERAGE(E$2:E415)</f>
        <v>1.415977961432507</v>
      </c>
      <c r="N416" s="7">
        <f>PERCENTILE($E$2:$E415,0.025)</f>
        <v>-1.9499999999999993</v>
      </c>
      <c r="O416" s="7">
        <f>PERCENTILE($E$2:$E415,0.165)</f>
        <v>0</v>
      </c>
      <c r="P416" s="7">
        <f>PERCENTILE($E$2:$E415,0.5)</f>
        <v>1</v>
      </c>
      <c r="Q416" s="7">
        <f>PERCENTILE($E$2:$E415,0.835)</f>
        <v>3</v>
      </c>
      <c r="R416" s="7">
        <f>PERCENTILE($E$2:$E415,0.975)</f>
        <v>5</v>
      </c>
    </row>
    <row r="417" spans="1:18" x14ac:dyDescent="0.2">
      <c r="A417" s="5">
        <f>Data!E466</f>
        <v>2010</v>
      </c>
      <c r="B417" s="5">
        <f>Data!M466</f>
        <v>0.41176470588235292</v>
      </c>
      <c r="C417" s="5">
        <f>Data!N466</f>
        <v>5.8823529411764705E-2</v>
      </c>
      <c r="D417" s="5">
        <f ca="1">Data!O466</f>
        <v>79.939558530183731</v>
      </c>
      <c r="E417" s="1">
        <f>Data!AQ466</f>
        <v>1</v>
      </c>
      <c r="F417" t="str">
        <f t="shared" si="6"/>
        <v/>
      </c>
      <c r="G417" s="5">
        <f ca="1">AVERAGE(D$2:D416)</f>
        <v>159.50474629361446</v>
      </c>
      <c r="H417" s="5">
        <f ca="1">PERCENTILE(D$2:D416,0.025)</f>
        <v>-4.1493595800524936</v>
      </c>
      <c r="I417" s="5">
        <f ca="1">PERCENTILE(D$2:D416,0.165)</f>
        <v>1.5316975125889345</v>
      </c>
      <c r="J417" s="5">
        <f ca="1">PERCENTILE(D$2:D416,0.5)</f>
        <v>33.819341167042261</v>
      </c>
      <c r="K417" s="5">
        <f ca="1">PERCENTILE(D$2:D416,0.835)</f>
        <v>189.50613998680868</v>
      </c>
      <c r="L417" s="5">
        <f ca="1">PERCENTILE(D$2:D416,0.975)</f>
        <v>1112.7069055539851</v>
      </c>
      <c r="M417" s="7">
        <f>AVERAGE(E$2:E416)</f>
        <v>1.4203296703296704</v>
      </c>
      <c r="N417" s="7">
        <f>PERCENTILE($E$2:$E416,0.025)</f>
        <v>-1.9249999999999989</v>
      </c>
      <c r="O417" s="7">
        <f>PERCENTILE($E$2:$E416,0.165)</f>
        <v>0</v>
      </c>
      <c r="P417" s="7">
        <f>PERCENTILE($E$2:$E416,0.5)</f>
        <v>1</v>
      </c>
      <c r="Q417" s="7">
        <f>PERCENTILE($E$2:$E416,0.835)</f>
        <v>3</v>
      </c>
      <c r="R417" s="7">
        <f>PERCENTILE($E$2:$E416,0.975)</f>
        <v>5</v>
      </c>
    </row>
    <row r="418" spans="1:18" x14ac:dyDescent="0.2">
      <c r="A418" s="5">
        <f>Data!E467</f>
        <v>2010</v>
      </c>
      <c r="B418" s="5">
        <f>Data!M467</f>
        <v>0.41176470588235292</v>
      </c>
      <c r="C418" s="5">
        <f>Data!N467</f>
        <v>5.8823529411764705E-2</v>
      </c>
      <c r="D418" s="5">
        <f ca="1">Data!O467</f>
        <v>102.67518740157482</v>
      </c>
      <c r="E418" s="1">
        <f>Data!AQ467</f>
        <v>1</v>
      </c>
      <c r="F418" t="str">
        <f t="shared" si="6"/>
        <v/>
      </c>
      <c r="G418" s="5">
        <f ca="1">AVERAGE(D$2:D417)</f>
        <v>159.31348382302929</v>
      </c>
      <c r="H418" s="5">
        <f ca="1">PERCENTILE(D$2:D417,0.025)</f>
        <v>-4.1493595800524936</v>
      </c>
      <c r="I418" s="5">
        <f ca="1">PERCENTILE(D$2:D417,0.165)</f>
        <v>1.5623172846270377</v>
      </c>
      <c r="J418" s="5">
        <f ca="1">PERCENTILE(D$2:D417,0.5)</f>
        <v>34.226035550417137</v>
      </c>
      <c r="K418" s="5">
        <f ca="1">PERCENTILE(D$2:D417,0.835)</f>
        <v>188.46490924478573</v>
      </c>
      <c r="L418" s="5">
        <f ca="1">PERCENTILE(D$2:D417,0.975)</f>
        <v>1111.7395871759336</v>
      </c>
      <c r="M418" s="7">
        <f>AVERAGE(E$2:E417)</f>
        <v>1.4191780821917808</v>
      </c>
      <c r="N418" s="7">
        <f>PERCENTILE($E$2:$E417,0.025)</f>
        <v>-1.9000000000000004</v>
      </c>
      <c r="O418" s="7">
        <f>PERCENTILE($E$2:$E417,0.165)</f>
        <v>0</v>
      </c>
      <c r="P418" s="7">
        <f>PERCENTILE($E$2:$E417,0.5)</f>
        <v>1</v>
      </c>
      <c r="Q418" s="7">
        <f>PERCENTILE($E$2:$E417,0.835)</f>
        <v>3</v>
      </c>
      <c r="R418" s="7">
        <f>PERCENTILE($E$2:$E417,0.975)</f>
        <v>5</v>
      </c>
    </row>
    <row r="419" spans="1:18" x14ac:dyDescent="0.2">
      <c r="A419" s="5">
        <f>Data!E468</f>
        <v>2010</v>
      </c>
      <c r="B419" s="5">
        <f>Data!M468</f>
        <v>0.41176470588235292</v>
      </c>
      <c r="C419" s="5">
        <f>Data!N468</f>
        <v>5.8823529411764705E-2</v>
      </c>
      <c r="D419" s="5">
        <f ca="1">Data!O468</f>
        <v>6.6532834645669299</v>
      </c>
      <c r="E419" s="1">
        <f>Data!AQ468</f>
        <v>1</v>
      </c>
      <c r="F419" t="str">
        <f t="shared" si="6"/>
        <v/>
      </c>
      <c r="G419" s="5">
        <f ca="1">AVERAGE(D$2:D418)</f>
        <v>159.17766057022004</v>
      </c>
      <c r="H419" s="5">
        <f ca="1">PERCENTILE(D$2:D418,0.025)</f>
        <v>-4.1493595800524936</v>
      </c>
      <c r="I419" s="5">
        <f ca="1">PERCENTILE(D$2:D418,0.165)</f>
        <v>1.5929370566651384</v>
      </c>
      <c r="J419" s="5">
        <f ca="1">PERCENTILE(D$2:D418,0.5)</f>
        <v>34.632729933792007</v>
      </c>
      <c r="K419" s="5">
        <f ca="1">PERCENTILE(D$2:D418,0.835)</f>
        <v>187.42367850276312</v>
      </c>
      <c r="L419" s="5">
        <f ca="1">PERCENTILE(D$2:D418,0.975)</f>
        <v>1110.7722687978796</v>
      </c>
      <c r="M419" s="7">
        <f>AVERAGE(E$2:E418)</f>
        <v>1.4180327868852458</v>
      </c>
      <c r="N419" s="7">
        <f>PERCENTILE($E$2:$E418,0.025)</f>
        <v>-1.875</v>
      </c>
      <c r="O419" s="7">
        <f>PERCENTILE($E$2:$E418,0.165)</f>
        <v>0</v>
      </c>
      <c r="P419" s="7">
        <f>PERCENTILE($E$2:$E418,0.5)</f>
        <v>1</v>
      </c>
      <c r="Q419" s="7">
        <f>PERCENTILE($E$2:$E418,0.835)</f>
        <v>3</v>
      </c>
      <c r="R419" s="7">
        <f>PERCENTILE($E$2:$E418,0.975)</f>
        <v>5</v>
      </c>
    </row>
    <row r="420" spans="1:18" x14ac:dyDescent="0.2">
      <c r="A420" s="5">
        <f>Data!E469</f>
        <v>2010</v>
      </c>
      <c r="B420" s="5">
        <f>Data!M469</f>
        <v>0.41176470588235292</v>
      </c>
      <c r="C420" s="5">
        <f>Data!N469</f>
        <v>5.8823529411764705E-2</v>
      </c>
      <c r="D420" s="5">
        <f ca="1">Data!O469</f>
        <v>18.529036745406824</v>
      </c>
      <c r="E420" s="1">
        <f>Data!AQ469</f>
        <v>1</v>
      </c>
      <c r="F420" t="str">
        <f t="shared" si="6"/>
        <v/>
      </c>
      <c r="G420" s="5">
        <f ca="1">AVERAGE(D$2:D419)</f>
        <v>158.81276971590029</v>
      </c>
      <c r="H420" s="5">
        <f ca="1">PERCENTILE(D$2:D419,0.025)</f>
        <v>-4.1493595800524936</v>
      </c>
      <c r="I420" s="5">
        <f ca="1">PERCENTILE(D$2:D419,0.165)</f>
        <v>1.6235568287032416</v>
      </c>
      <c r="J420" s="5">
        <f ca="1">PERCENTILE(D$2:D419,0.5)</f>
        <v>34.226035550417137</v>
      </c>
      <c r="K420" s="5">
        <f ca="1">PERCENTILE(D$2:D419,0.835)</f>
        <v>186.38244776074015</v>
      </c>
      <c r="L420" s="5">
        <f ca="1">PERCENTILE(D$2:D419,0.975)</f>
        <v>1109.8049504198282</v>
      </c>
      <c r="M420" s="7">
        <f>AVERAGE(E$2:E419)</f>
        <v>1.4168937329700273</v>
      </c>
      <c r="N420" s="7">
        <f>PERCENTILE($E$2:$E419,0.025)</f>
        <v>-1.8499999999999996</v>
      </c>
      <c r="O420" s="7">
        <f>PERCENTILE($E$2:$E419,0.165)</f>
        <v>0</v>
      </c>
      <c r="P420" s="7">
        <f>PERCENTILE($E$2:$E419,0.5)</f>
        <v>1</v>
      </c>
      <c r="Q420" s="7">
        <f>PERCENTILE($E$2:$E419,0.835)</f>
        <v>3</v>
      </c>
      <c r="R420" s="7">
        <f>PERCENTILE($E$2:$E419,0.975)</f>
        <v>5</v>
      </c>
    </row>
    <row r="421" spans="1:18" x14ac:dyDescent="0.2">
      <c r="A421" s="5">
        <f>Data!E470</f>
        <v>2010</v>
      </c>
      <c r="B421" s="5">
        <f>Data!M470</f>
        <v>0.41176470588235292</v>
      </c>
      <c r="C421" s="5">
        <f>Data!N470</f>
        <v>5.8823529411764705E-2</v>
      </c>
      <c r="D421" s="5">
        <f ca="1">Data!O470</f>
        <v>2.1319123359580052</v>
      </c>
      <c r="E421" s="1">
        <f>Data!AQ470</f>
        <v>1</v>
      </c>
      <c r="F421" t="str">
        <f t="shared" si="6"/>
        <v/>
      </c>
      <c r="G421" s="5">
        <f ca="1">AVERAGE(D$2:D420)</f>
        <v>158.47796367062463</v>
      </c>
      <c r="H421" s="5">
        <f ca="1">PERCENTILE(D$2:D420,0.025)</f>
        <v>-4.1493595800524936</v>
      </c>
      <c r="I421" s="5">
        <f ca="1">PERCENTILE(D$2:D420,0.165)</f>
        <v>1.6541766007413423</v>
      </c>
      <c r="J421" s="5">
        <f ca="1">PERCENTILE(D$2:D420,0.5)</f>
        <v>33.819341167042261</v>
      </c>
      <c r="K421" s="5">
        <f ca="1">PERCENTILE(D$2:D420,0.835)</f>
        <v>185.3412170187172</v>
      </c>
      <c r="L421" s="5">
        <f ca="1">PERCENTILE(D$2:D420,0.975)</f>
        <v>1108.8376320417765</v>
      </c>
      <c r="M421" s="7">
        <f>AVERAGE(E$2:E420)</f>
        <v>1.4157608695652173</v>
      </c>
      <c r="N421" s="7">
        <f>PERCENTILE($E$2:$E420,0.025)</f>
        <v>-1.8249999999999993</v>
      </c>
      <c r="O421" s="7">
        <f>PERCENTILE($E$2:$E420,0.165)</f>
        <v>0</v>
      </c>
      <c r="P421" s="7">
        <f>PERCENTILE($E$2:$E420,0.5)</f>
        <v>1</v>
      </c>
      <c r="Q421" s="7">
        <f>PERCENTILE($E$2:$E420,0.835)</f>
        <v>3</v>
      </c>
      <c r="R421" s="7">
        <f>PERCENTILE($E$2:$E420,0.975)</f>
        <v>5</v>
      </c>
    </row>
    <row r="422" spans="1:18" x14ac:dyDescent="0.2">
      <c r="A422" s="5">
        <f>Data!E471</f>
        <v>2010</v>
      </c>
      <c r="B422" s="5">
        <f>Data!M471</f>
        <v>0.41176470588235292</v>
      </c>
      <c r="C422" s="5">
        <f>Data!N471</f>
        <v>5.8823529411764705E-2</v>
      </c>
      <c r="D422" s="5">
        <f ca="1">Data!O471</f>
        <v>10.387707086614173</v>
      </c>
      <c r="E422" s="1">
        <f>Data!AQ471</f>
        <v>1</v>
      </c>
      <c r="F422" t="str">
        <f t="shared" si="6"/>
        <v/>
      </c>
      <c r="G422" s="5">
        <f ca="1">AVERAGE(D$2:D421)</f>
        <v>158.10571116744686</v>
      </c>
      <c r="H422" s="5">
        <f ca="1">PERCENTILE(D$2:D421,0.025)</f>
        <v>-4.1493595800524936</v>
      </c>
      <c r="I422" s="5">
        <f ca="1">PERCENTILE(D$2:D421,0.165)</f>
        <v>1.7234865800524959</v>
      </c>
      <c r="J422" s="5">
        <f ca="1">PERCENTILE(D$2:D421,0.5)</f>
        <v>33.729076021578621</v>
      </c>
      <c r="K422" s="5">
        <f ca="1">PERCENTILE(D$2:D421,0.835)</f>
        <v>184.9967512707039</v>
      </c>
      <c r="L422" s="5">
        <f ca="1">PERCENTILE(D$2:D421,0.975)</f>
        <v>1107.8703136637228</v>
      </c>
      <c r="M422" s="7">
        <f>AVERAGE(E$2:E421)</f>
        <v>1.4146341463414633</v>
      </c>
      <c r="N422" s="7">
        <f>PERCENTILE($E$2:$E421,0.025)</f>
        <v>-1.7999999999999989</v>
      </c>
      <c r="O422" s="7">
        <f>PERCENTILE($E$2:$E421,0.165)</f>
        <v>0</v>
      </c>
      <c r="P422" s="7">
        <f>PERCENTILE($E$2:$E421,0.5)</f>
        <v>1</v>
      </c>
      <c r="Q422" s="7">
        <f>PERCENTILE($E$2:$E421,0.835)</f>
        <v>3</v>
      </c>
      <c r="R422" s="7">
        <f>PERCENTILE($E$2:$E421,0.975)</f>
        <v>5</v>
      </c>
    </row>
    <row r="423" spans="1:18" x14ac:dyDescent="0.2">
      <c r="A423" s="5">
        <f>Data!E472</f>
        <v>2010</v>
      </c>
      <c r="B423" s="5">
        <f>Data!M472</f>
        <v>0.41176470588235292</v>
      </c>
      <c r="C423" s="5">
        <f>Data!N472</f>
        <v>5.8823529411764705E-2</v>
      </c>
      <c r="D423" s="5">
        <f ca="1">Data!O472</f>
        <v>22.263460367454069</v>
      </c>
      <c r="E423" s="1">
        <f>Data!AQ472</f>
        <v>1</v>
      </c>
      <c r="F423" t="str">
        <f t="shared" si="6"/>
        <v/>
      </c>
      <c r="G423" s="5">
        <f ca="1">AVERAGE(D$2:D422)</f>
        <v>157.75483704849</v>
      </c>
      <c r="H423" s="5">
        <f ca="1">PERCENTILE(D$2:D422,0.025)</f>
        <v>-4.1493595800524936</v>
      </c>
      <c r="I423" s="5">
        <f ca="1">PERCENTILE(D$2:D422,0.165)</f>
        <v>1.8013943832020984</v>
      </c>
      <c r="J423" s="5">
        <f ca="1">PERCENTILE(D$2:D422,0.5)</f>
        <v>33.638810876114988</v>
      </c>
      <c r="K423" s="5">
        <f ca="1">PERCENTILE(D$2:D422,0.835)</f>
        <v>184.8071221880258</v>
      </c>
      <c r="L423" s="5">
        <f ca="1">PERCENTILE(D$2:D422,0.975)</f>
        <v>1106.9029952856713</v>
      </c>
      <c r="M423" s="7">
        <f>AVERAGE(E$2:E422)</f>
        <v>1.4135135135135135</v>
      </c>
      <c r="N423" s="7">
        <f>PERCENTILE($E$2:$E422,0.025)</f>
        <v>-1.7750000000000004</v>
      </c>
      <c r="O423" s="7">
        <f>PERCENTILE($E$2:$E422,0.165)</f>
        <v>0</v>
      </c>
      <c r="P423" s="7">
        <f>PERCENTILE($E$2:$E422,0.5)</f>
        <v>1</v>
      </c>
      <c r="Q423" s="7">
        <f>PERCENTILE($E$2:$E422,0.835)</f>
        <v>3</v>
      </c>
      <c r="R423" s="7">
        <f>PERCENTILE($E$2:$E422,0.975)</f>
        <v>5</v>
      </c>
    </row>
    <row r="424" spans="1:18" x14ac:dyDescent="0.2">
      <c r="A424" s="5">
        <f>Data!E473</f>
        <v>2010</v>
      </c>
      <c r="B424" s="5">
        <f>Data!M473</f>
        <v>0.41176470588235292</v>
      </c>
      <c r="C424" s="5">
        <f>Data!N473</f>
        <v>5.8823529411764705E-2</v>
      </c>
      <c r="D424" s="5">
        <f ca="1">Data!O473</f>
        <v>27.714860367454069</v>
      </c>
      <c r="E424" s="1">
        <f>Data!AQ473</f>
        <v>1</v>
      </c>
      <c r="F424" t="str">
        <f t="shared" si="6"/>
        <v/>
      </c>
      <c r="G424" s="5">
        <f ca="1">AVERAGE(D$2:D423)</f>
        <v>157.43376743550178</v>
      </c>
      <c r="H424" s="5">
        <f ca="1">PERCENTILE(D$2:D423,0.025)</f>
        <v>-4.1493595800524936</v>
      </c>
      <c r="I424" s="5">
        <f ca="1">PERCENTILE(D$2:D423,0.165)</f>
        <v>1.8793021863517076</v>
      </c>
      <c r="J424" s="5">
        <f ca="1">PERCENTILE(D$2:D423,0.5)</f>
        <v>33.444691409922385</v>
      </c>
      <c r="K424" s="5">
        <f ca="1">PERCENTILE(D$2:D423,0.835)</f>
        <v>184.61749310534768</v>
      </c>
      <c r="L424" s="5">
        <f ca="1">PERCENTILE(D$2:D423,0.975)</f>
        <v>1105.9356769076173</v>
      </c>
      <c r="M424" s="7">
        <f>AVERAGE(E$2:E423)</f>
        <v>1.4123989218328841</v>
      </c>
      <c r="N424" s="7">
        <f>PERCENTILE($E$2:$E423,0.025)</f>
        <v>-1.75</v>
      </c>
      <c r="O424" s="7">
        <f>PERCENTILE($E$2:$E423,0.165)</f>
        <v>0</v>
      </c>
      <c r="P424" s="7">
        <f>PERCENTILE($E$2:$E423,0.5)</f>
        <v>1</v>
      </c>
      <c r="Q424" s="7">
        <f>PERCENTILE($E$2:$E423,0.835)</f>
        <v>3</v>
      </c>
      <c r="R424" s="7">
        <f>PERCENTILE($E$2:$E423,0.975)</f>
        <v>5</v>
      </c>
    </row>
    <row r="425" spans="1:18" x14ac:dyDescent="0.2">
      <c r="A425" s="5">
        <f>Data!E474</f>
        <v>2010</v>
      </c>
      <c r="B425" s="5">
        <f>Data!M474</f>
        <v>0.20588235294117646</v>
      </c>
      <c r="C425" s="5">
        <f>Data!N474</f>
        <v>2.9411764705882353E-2</v>
      </c>
      <c r="D425" s="5">
        <f ca="1">Data!O474</f>
        <v>22.263460367454069</v>
      </c>
      <c r="E425" s="1">
        <f>Data!AQ474</f>
        <v>1</v>
      </c>
      <c r="F425" t="str">
        <f t="shared" si="6"/>
        <v/>
      </c>
      <c r="G425" s="5">
        <f ca="1">AVERAGE(D$2:D424)</f>
        <v>157.1271033525986</v>
      </c>
      <c r="H425" s="5">
        <f ca="1">PERCENTILE(D$2:D424,0.025)</f>
        <v>-4.1493595800524936</v>
      </c>
      <c r="I425" s="5">
        <f ca="1">PERCENTILE(D$2:D424,0.165)</f>
        <v>1.9572099895013169</v>
      </c>
      <c r="J425" s="5">
        <f ca="1">PERCENTILE(D$2:D424,0.5)</f>
        <v>33.250571943729788</v>
      </c>
      <c r="K425" s="5">
        <f ca="1">PERCENTILE(D$2:D424,0.835)</f>
        <v>184.42786402266967</v>
      </c>
      <c r="L425" s="5">
        <f ca="1">PERCENTILE(D$2:D424,0.975)</f>
        <v>1104.9683585295659</v>
      </c>
      <c r="M425" s="7">
        <f>AVERAGE(E$2:E424)</f>
        <v>1.4112903225806452</v>
      </c>
      <c r="N425" s="7">
        <f>PERCENTILE($E$2:$E424,0.025)</f>
        <v>-1.7249999999999996</v>
      </c>
      <c r="O425" s="7">
        <f>PERCENTILE($E$2:$E424,0.165)</f>
        <v>0</v>
      </c>
      <c r="P425" s="7">
        <f>PERCENTILE($E$2:$E424,0.5)</f>
        <v>1</v>
      </c>
      <c r="Q425" s="7">
        <f>PERCENTILE($E$2:$E424,0.835)</f>
        <v>3</v>
      </c>
      <c r="R425" s="7">
        <f>PERCENTILE($E$2:$E424,0.975)</f>
        <v>5</v>
      </c>
    </row>
    <row r="426" spans="1:18" x14ac:dyDescent="0.2">
      <c r="A426" s="5">
        <f>Data!E475</f>
        <v>2010</v>
      </c>
      <c r="B426" s="5">
        <f>Data!M475</f>
        <v>0.20588235294117646</v>
      </c>
      <c r="C426" s="5">
        <f>Data!N475</f>
        <v>2.9411764705882353E-2</v>
      </c>
      <c r="D426" s="5">
        <f ca="1">Data!O475</f>
        <v>64.54400367454069</v>
      </c>
      <c r="E426" s="1">
        <f>Data!AQ475</f>
        <v>1</v>
      </c>
      <c r="F426" t="str">
        <f t="shared" si="6"/>
        <v/>
      </c>
      <c r="G426" s="5">
        <f ca="1">AVERAGE(D$2:D425)</f>
        <v>156.80902872291665</v>
      </c>
      <c r="H426" s="5">
        <f ca="1">PERCENTILE(D$2:D425,0.025)</f>
        <v>-4.1493595800524936</v>
      </c>
      <c r="I426" s="5">
        <f ca="1">PERCENTILE(D$2:D425,0.165)</f>
        <v>2.0351177926509196</v>
      </c>
      <c r="J426" s="5">
        <f ca="1">PERCENTILE(D$2:D425,0.5)</f>
        <v>33.053542446246631</v>
      </c>
      <c r="K426" s="5">
        <f ca="1">PERCENTILE(D$2:D425,0.835)</f>
        <v>184.23823493999157</v>
      </c>
      <c r="L426" s="5">
        <f ca="1">PERCENTILE(D$2:D425,0.975)</f>
        <v>1104.0010401515142</v>
      </c>
      <c r="M426" s="7">
        <f>AVERAGE(E$2:E425)</f>
        <v>1.4101876675603218</v>
      </c>
      <c r="N426" s="7">
        <f>PERCENTILE($E$2:$E425,0.025)</f>
        <v>-1.6999999999999993</v>
      </c>
      <c r="O426" s="7">
        <f>PERCENTILE($E$2:$E425,0.165)</f>
        <v>0</v>
      </c>
      <c r="P426" s="7">
        <f>PERCENTILE($E$2:$E425,0.5)</f>
        <v>1</v>
      </c>
      <c r="Q426" s="7">
        <f>PERCENTILE($E$2:$E425,0.835)</f>
        <v>3</v>
      </c>
      <c r="R426" s="7">
        <f>PERCENTILE($E$2:$E425,0.975)</f>
        <v>5</v>
      </c>
    </row>
    <row r="427" spans="1:18" x14ac:dyDescent="0.2">
      <c r="A427" s="5">
        <f>Data!E476</f>
        <v>2010</v>
      </c>
      <c r="B427" s="5">
        <f>Data!M476</f>
        <v>6</v>
      </c>
      <c r="C427" s="5">
        <f>Data!N476</f>
        <v>1</v>
      </c>
      <c r="D427" s="5">
        <f ca="1">Data!O476</f>
        <v>32.267375320020477</v>
      </c>
      <c r="E427" s="1">
        <f>Data!AQ476</f>
        <v>3</v>
      </c>
      <c r="F427" t="str">
        <f t="shared" si="6"/>
        <v/>
      </c>
      <c r="G427" s="5">
        <f ca="1">AVERAGE(D$2:D426)</f>
        <v>156.59193454633223</v>
      </c>
      <c r="H427" s="5">
        <f ca="1">PERCENTILE(D$2:D426,0.025)</f>
        <v>-4.1493595800524936</v>
      </c>
      <c r="I427" s="5">
        <f ca="1">PERCENTILE(D$2:D426,0.165)</f>
        <v>2.1130255958005288</v>
      </c>
      <c r="J427" s="5">
        <f ca="1">PERCENTILE(D$2:D426,0.5)</f>
        <v>33.250571943729788</v>
      </c>
      <c r="K427" s="5">
        <f ca="1">PERCENTILE(D$2:D426,0.835)</f>
        <v>184.04860585731348</v>
      </c>
      <c r="L427" s="5">
        <f ca="1">PERCENTILE(D$2:D426,0.975)</f>
        <v>1103.0337217734605</v>
      </c>
      <c r="M427" s="7">
        <f>AVERAGE(E$2:E426)</f>
        <v>1.4090909090909092</v>
      </c>
      <c r="N427" s="7">
        <f>PERCENTILE($E$2:$E426,0.025)</f>
        <v>-1.6749999999999989</v>
      </c>
      <c r="O427" s="7">
        <f>PERCENTILE($E$2:$E426,0.165)</f>
        <v>0</v>
      </c>
      <c r="P427" s="7">
        <f>PERCENTILE($E$2:$E426,0.5)</f>
        <v>1</v>
      </c>
      <c r="Q427" s="7">
        <f>PERCENTILE($E$2:$E426,0.835)</f>
        <v>3</v>
      </c>
      <c r="R427" s="7">
        <f>PERCENTILE($E$2:$E426,0.975)</f>
        <v>5</v>
      </c>
    </row>
    <row r="428" spans="1:18" x14ac:dyDescent="0.2">
      <c r="A428" s="5">
        <f>Data!E291</f>
        <v>2011</v>
      </c>
      <c r="B428" s="5">
        <f>Data!M291</f>
        <v>0.82521645021645018</v>
      </c>
      <c r="C428" s="5">
        <f>Data!N291</f>
        <v>0.13528138528138528</v>
      </c>
      <c r="D428" s="5">
        <f ca="1">Data!O291</f>
        <v>553</v>
      </c>
      <c r="E428" s="1">
        <f>Data!AQ291</f>
        <v>0</v>
      </c>
      <c r="F428">
        <f t="shared" si="6"/>
        <v>2011</v>
      </c>
      <c r="G428" s="5">
        <f ca="1">AVERAGE(D$2:D427)</f>
        <v>156.30009285800756</v>
      </c>
      <c r="H428" s="5">
        <f ca="1">PERCENTILE(D$2:D427,0.025)</f>
        <v>-4.1493595800524936</v>
      </c>
      <c r="I428" s="5">
        <f ca="1">PERCENTILE(D$2:D427,0.165)</f>
        <v>2.1388579511305732</v>
      </c>
      <c r="J428" s="5">
        <f ca="1">PERCENTILE(D$2:D427,0.5)</f>
        <v>33.053542446246631</v>
      </c>
      <c r="K428" s="5">
        <f ca="1">PERCENTILE(D$2:D427,0.835)</f>
        <v>182.11948132765423</v>
      </c>
      <c r="L428" s="5">
        <f ca="1">PERCENTILE(D$2:D427,0.975)</f>
        <v>1102.0664033954088</v>
      </c>
      <c r="M428" s="7">
        <f>AVERAGE(E$2:E427)</f>
        <v>1.4133333333333333</v>
      </c>
      <c r="N428" s="7">
        <f>PERCENTILE($E$2:$E427,0.025)</f>
        <v>-1.6500000000000004</v>
      </c>
      <c r="O428" s="7">
        <f>PERCENTILE($E$2:$E427,0.165)</f>
        <v>0</v>
      </c>
      <c r="P428" s="7">
        <f>PERCENTILE($E$2:$E427,0.5)</f>
        <v>1</v>
      </c>
      <c r="Q428" s="7">
        <f>PERCENTILE($E$2:$E427,0.835)</f>
        <v>3</v>
      </c>
      <c r="R428" s="7">
        <f>PERCENTILE($E$2:$E427,0.975)</f>
        <v>5</v>
      </c>
    </row>
    <row r="429" spans="1:18" x14ac:dyDescent="0.2">
      <c r="A429" s="5">
        <f>Data!E292</f>
        <v>2011</v>
      </c>
      <c r="B429" s="5">
        <f>Data!M292</f>
        <v>8.252164502164502E-3</v>
      </c>
      <c r="C429" s="5">
        <f>Data!N292</f>
        <v>1.3528138528138528E-3</v>
      </c>
      <c r="D429" s="5">
        <f ca="1">Data!O292</f>
        <v>536</v>
      </c>
      <c r="E429" s="1">
        <f>Data!AQ292</f>
        <v>0</v>
      </c>
      <c r="F429" t="str">
        <f t="shared" si="6"/>
        <v/>
      </c>
      <c r="G429" s="5">
        <f ca="1">AVERAGE(D$2:D428)</f>
        <v>157.22913245318787</v>
      </c>
      <c r="H429" s="5">
        <f ca="1">PERCENTILE(D$2:D428,0.025)</f>
        <v>-4.1493595800524936</v>
      </c>
      <c r="I429" s="5">
        <f ca="1">PERCENTILE(D$2:D428,0.165)</f>
        <v>2.148026163158363</v>
      </c>
      <c r="J429" s="5">
        <f ca="1">PERCENTILE(D$2:D428,0.5)</f>
        <v>33.250571943729788</v>
      </c>
      <c r="K429" s="5">
        <f ca="1">PERCENTILE(D$2:D428,0.835)</f>
        <v>184.81861485970325</v>
      </c>
      <c r="L429" s="5">
        <f ca="1">PERCENTILE(D$2:D428,0.975)</f>
        <v>1101.099085017355</v>
      </c>
      <c r="M429" s="7">
        <f>AVERAGE(E$2:E428)</f>
        <v>1.4095744680851063</v>
      </c>
      <c r="N429" s="7">
        <f>PERCENTILE($E$2:$E428,0.025)</f>
        <v>-1.625</v>
      </c>
      <c r="O429" s="7">
        <f>PERCENTILE($E$2:$E428,0.165)</f>
        <v>0</v>
      </c>
      <c r="P429" s="7">
        <f>PERCENTILE($E$2:$E428,0.5)</f>
        <v>1</v>
      </c>
      <c r="Q429" s="7">
        <f>PERCENTILE($E$2:$E428,0.835)</f>
        <v>3</v>
      </c>
      <c r="R429" s="7">
        <f>PERCENTILE($E$2:$E428,0.975)</f>
        <v>5</v>
      </c>
    </row>
    <row r="430" spans="1:18" x14ac:dyDescent="0.2">
      <c r="A430" s="5">
        <f>Data!E293</f>
        <v>2011</v>
      </c>
      <c r="B430" s="5">
        <f>Data!M293</f>
        <v>8.252164502164501E-2</v>
      </c>
      <c r="C430" s="5">
        <f>Data!N293</f>
        <v>1.3528138528138528E-2</v>
      </c>
      <c r="D430" s="5">
        <f ca="1">Data!O293</f>
        <v>578</v>
      </c>
      <c r="E430" s="1">
        <f>Data!AQ293</f>
        <v>0</v>
      </c>
      <c r="F430" t="str">
        <f t="shared" si="6"/>
        <v/>
      </c>
      <c r="G430" s="5">
        <f ca="1">AVERAGE(D$2:D429)</f>
        <v>158.11411111568043</v>
      </c>
      <c r="H430" s="5">
        <f ca="1">PERCENTILE(D$2:D429,0.025)</f>
        <v>-4.1493595800524936</v>
      </c>
      <c r="I430" s="5">
        <f ca="1">PERCENTILE(D$2:D429,0.165)</f>
        <v>2.1571943751861524</v>
      </c>
      <c r="J430" s="5">
        <f ca="1">PERCENTILE(D$2:D429,0.5)</f>
        <v>33.444691409922385</v>
      </c>
      <c r="K430" s="5">
        <f ca="1">PERCENTILE(D$2:D429,0.835)</f>
        <v>188.59111903169747</v>
      </c>
      <c r="L430" s="5">
        <f ca="1">PERCENTILE(D$2:D429,0.975)</f>
        <v>1100.1317666393036</v>
      </c>
      <c r="M430" s="7">
        <f>AVERAGE(E$2:E429)</f>
        <v>1.4058355437665782</v>
      </c>
      <c r="N430" s="7">
        <f>PERCENTILE($E$2:$E429,0.025)</f>
        <v>-1.5999999999999996</v>
      </c>
      <c r="O430" s="7">
        <f>PERCENTILE($E$2:$E429,0.165)</f>
        <v>0</v>
      </c>
      <c r="P430" s="7">
        <f>PERCENTILE($E$2:$E429,0.5)</f>
        <v>1</v>
      </c>
      <c r="Q430" s="7">
        <f>PERCENTILE($E$2:$E429,0.835)</f>
        <v>3</v>
      </c>
      <c r="R430" s="7">
        <f>PERCENTILE($E$2:$E429,0.975)</f>
        <v>5</v>
      </c>
    </row>
    <row r="431" spans="1:18" x14ac:dyDescent="0.2">
      <c r="A431" s="5">
        <f>Data!E294</f>
        <v>2011</v>
      </c>
      <c r="B431" s="5">
        <f>Data!M294</f>
        <v>8.252164502164502E-3</v>
      </c>
      <c r="C431" s="5">
        <f>Data!N294</f>
        <v>1.3528138528138528E-3</v>
      </c>
      <c r="D431" s="5">
        <f ca="1">Data!O294</f>
        <v>711</v>
      </c>
      <c r="E431" s="1">
        <f>Data!AQ294</f>
        <v>0</v>
      </c>
      <c r="F431" t="str">
        <f t="shared" si="6"/>
        <v/>
      </c>
      <c r="G431" s="5">
        <f ca="1">AVERAGE(D$2:D430)</f>
        <v>159.09286610142476</v>
      </c>
      <c r="H431" s="5">
        <f ca="1">PERCENTILE(D$2:D430,0.025)</f>
        <v>-4.1493595800524936</v>
      </c>
      <c r="I431" s="5">
        <f ca="1">PERCENTILE(D$2:D430,0.165)</f>
        <v>2.1663625872139423</v>
      </c>
      <c r="J431" s="5">
        <f ca="1">PERCENTILE(D$2:D430,0.5)</f>
        <v>33.638810876114988</v>
      </c>
      <c r="K431" s="5">
        <f ca="1">PERCENTILE(D$2:D430,0.835)</f>
        <v>194.51798687574822</v>
      </c>
      <c r="L431" s="5">
        <f ca="1">PERCENTILE(D$2:D430,0.975)</f>
        <v>1099.1644482612519</v>
      </c>
      <c r="M431" s="7">
        <f>AVERAGE(E$2:E430)</f>
        <v>1.4021164021164021</v>
      </c>
      <c r="N431" s="7">
        <f>PERCENTILE($E$2:$E430,0.025)</f>
        <v>-1.5749999999999993</v>
      </c>
      <c r="O431" s="7">
        <f>PERCENTILE($E$2:$E430,0.165)</f>
        <v>0</v>
      </c>
      <c r="P431" s="7">
        <f>PERCENTILE($E$2:$E430,0.5)</f>
        <v>1</v>
      </c>
      <c r="Q431" s="7">
        <f>PERCENTILE($E$2:$E430,0.835)</f>
        <v>3</v>
      </c>
      <c r="R431" s="7">
        <f>PERCENTILE($E$2:$E430,0.975)</f>
        <v>5</v>
      </c>
    </row>
    <row r="432" spans="1:18" x14ac:dyDescent="0.2">
      <c r="A432" s="5">
        <f>Data!E295</f>
        <v>2011</v>
      </c>
      <c r="B432" s="5">
        <f>Data!M295</f>
        <v>8.252164502164502E-4</v>
      </c>
      <c r="C432" s="5">
        <f>Data!N295</f>
        <v>1.3528138528138528E-4</v>
      </c>
      <c r="D432" s="5">
        <f ca="1">Data!O295</f>
        <v>1021</v>
      </c>
      <c r="E432" s="1">
        <f>Data!AQ295</f>
        <v>0</v>
      </c>
      <c r="F432" t="str">
        <f t="shared" si="6"/>
        <v/>
      </c>
      <c r="G432" s="5">
        <f ca="1">AVERAGE(D$2:D431)</f>
        <v>160.37637106397958</v>
      </c>
      <c r="H432" s="5">
        <f ca="1">PERCENTILE(D$2:D431,0.025)</f>
        <v>-4.1493595800524936</v>
      </c>
      <c r="I432" s="5">
        <f ca="1">PERCENTILE(D$2:D431,0.165)</f>
        <v>2.1755307992417316</v>
      </c>
      <c r="J432" s="5">
        <f ca="1">PERCENTILE(D$2:D431,0.5)</f>
        <v>33.729076021578621</v>
      </c>
      <c r="K432" s="5">
        <f ca="1">PERCENTILE(D$2:D431,0.835)</f>
        <v>202.48005298525041</v>
      </c>
      <c r="L432" s="5">
        <f ca="1">PERCENTILE(D$2:D431,0.975)</f>
        <v>1098.1971298831982</v>
      </c>
      <c r="M432" s="7">
        <f>AVERAGE(E$2:E431)</f>
        <v>1.3984168865435356</v>
      </c>
      <c r="N432" s="7">
        <f>PERCENTILE($E$2:$E431,0.025)</f>
        <v>-1.5499999999999989</v>
      </c>
      <c r="O432" s="7">
        <f>PERCENTILE($E$2:$E431,0.165)</f>
        <v>0</v>
      </c>
      <c r="P432" s="7">
        <f>PERCENTILE($E$2:$E431,0.5)</f>
        <v>1</v>
      </c>
      <c r="Q432" s="7">
        <f>PERCENTILE($E$2:$E431,0.835)</f>
        <v>3</v>
      </c>
      <c r="R432" s="7">
        <f>PERCENTILE($E$2:$E431,0.975)</f>
        <v>5</v>
      </c>
    </row>
    <row r="433" spans="1:18" x14ac:dyDescent="0.2">
      <c r="A433" s="5">
        <f>Data!E296</f>
        <v>2011</v>
      </c>
      <c r="B433" s="5">
        <f>Data!M296</f>
        <v>8.252164502164501E-2</v>
      </c>
      <c r="C433" s="5">
        <f>Data!N296</f>
        <v>1.3528138528138528E-2</v>
      </c>
      <c r="D433" s="5">
        <f ca="1">Data!O296</f>
        <v>831</v>
      </c>
      <c r="E433" s="1">
        <f>Data!AQ296</f>
        <v>0</v>
      </c>
      <c r="F433" t="str">
        <f t="shared" si="6"/>
        <v/>
      </c>
      <c r="G433" s="5">
        <f ca="1">AVERAGE(D$2:D432)</f>
        <v>162.37317762763624</v>
      </c>
      <c r="H433" s="5">
        <f ca="1">PERCENTILE(D$2:D432,0.025)</f>
        <v>-4.1493595800524936</v>
      </c>
      <c r="I433" s="5">
        <f ca="1">PERCENTILE(D$2:D432,0.165)</f>
        <v>2.1846990112695215</v>
      </c>
      <c r="J433" s="5">
        <f ca="1">PERCENTILE(D$2:D432,0.5)</f>
        <v>33.819341167042261</v>
      </c>
      <c r="K433" s="5">
        <f ca="1">PERCENTILE(D$2:D432,0.835)</f>
        <v>213.35986078355995</v>
      </c>
      <c r="L433" s="5">
        <f ca="1">PERCENTILE(D$2:D432,0.975)</f>
        <v>1097.2298115051465</v>
      </c>
      <c r="M433" s="7">
        <f>AVERAGE(E$2:E432)</f>
        <v>1.3947368421052631</v>
      </c>
      <c r="N433" s="7">
        <f>PERCENTILE($E$2:$E432,0.025)</f>
        <v>-1.5250000000000004</v>
      </c>
      <c r="O433" s="7">
        <f>PERCENTILE($E$2:$E432,0.165)</f>
        <v>0</v>
      </c>
      <c r="P433" s="7">
        <f>PERCENTILE($E$2:$E432,0.5)</f>
        <v>1</v>
      </c>
      <c r="Q433" s="7">
        <f>PERCENTILE($E$2:$E432,0.835)</f>
        <v>3</v>
      </c>
      <c r="R433" s="7">
        <f>PERCENTILE($E$2:$E432,0.975)</f>
        <v>5</v>
      </c>
    </row>
    <row r="434" spans="1:18" x14ac:dyDescent="0.2">
      <c r="A434" s="5">
        <f>Data!E297</f>
        <v>2011</v>
      </c>
      <c r="B434" s="5">
        <f>Data!M297</f>
        <v>8.252164502164502E-3</v>
      </c>
      <c r="C434" s="5">
        <f>Data!N297</f>
        <v>1.3528138528138528E-3</v>
      </c>
      <c r="D434" s="5">
        <f ca="1">Data!O297</f>
        <v>1608</v>
      </c>
      <c r="E434" s="1">
        <f>Data!AQ297</f>
        <v>0</v>
      </c>
      <c r="F434" t="str">
        <f t="shared" si="6"/>
        <v/>
      </c>
      <c r="G434" s="5">
        <f ca="1">AVERAGE(D$2:D433)</f>
        <v>163.92092490164634</v>
      </c>
      <c r="H434" s="5">
        <f ca="1">PERCENTILE(D$2:D433,0.025)</f>
        <v>-4.1493595800524936</v>
      </c>
      <c r="I434" s="5">
        <f ca="1">PERCENTILE(D$2:D433,0.165)</f>
        <v>2.2175550696269561</v>
      </c>
      <c r="J434" s="5">
        <f ca="1">PERCENTILE(D$2:D433,0.5)</f>
        <v>34.226035550417137</v>
      </c>
      <c r="K434" s="5">
        <f ca="1">PERCENTILE(D$2:D433,0.835)</f>
        <v>213.55489644699253</v>
      </c>
      <c r="L434" s="5">
        <f ca="1">PERCENTILE(D$2:D433,0.975)</f>
        <v>1096.2624931270927</v>
      </c>
      <c r="M434" s="7">
        <f>AVERAGE(E$2:E433)</f>
        <v>1.3910761154855642</v>
      </c>
      <c r="N434" s="7">
        <f>PERCENTILE($E$2:$E433,0.025)</f>
        <v>-1.5</v>
      </c>
      <c r="O434" s="7">
        <f>PERCENTILE($E$2:$E433,0.165)</f>
        <v>0</v>
      </c>
      <c r="P434" s="7">
        <f>PERCENTILE($E$2:$E433,0.5)</f>
        <v>1</v>
      </c>
      <c r="Q434" s="7">
        <f>PERCENTILE($E$2:$E433,0.835)</f>
        <v>3</v>
      </c>
      <c r="R434" s="7">
        <f>PERCENTILE($E$2:$E433,0.975)</f>
        <v>5</v>
      </c>
    </row>
    <row r="435" spans="1:18" x14ac:dyDescent="0.2">
      <c r="A435" s="5">
        <f>Data!E298</f>
        <v>2011</v>
      </c>
      <c r="B435" s="5">
        <f>Data!M298</f>
        <v>8.252164502164502E-4</v>
      </c>
      <c r="C435" s="5">
        <f>Data!N298</f>
        <v>1.3528138528138528E-4</v>
      </c>
      <c r="D435" s="5">
        <f ca="1">Data!O298</f>
        <v>1879</v>
      </c>
      <c r="E435" s="1">
        <f>Data!AQ298</f>
        <v>0</v>
      </c>
      <c r="F435" t="str">
        <f t="shared" si="6"/>
        <v/>
      </c>
      <c r="G435" s="5">
        <f ca="1">AVERAGE(D$2:D434)</f>
        <v>167.25598050233538</v>
      </c>
      <c r="H435" s="5">
        <f ca="1">PERCENTILE(D$2:D434,0.025)</f>
        <v>-4.1493595800524936</v>
      </c>
      <c r="I435" s="5">
        <f ca="1">PERCENTILE(D$2:D434,0.165)</f>
        <v>2.2607101916059698</v>
      </c>
      <c r="J435" s="5">
        <f ca="1">PERCENTILE(D$2:D434,0.5)</f>
        <v>34.632729933792007</v>
      </c>
      <c r="K435" s="5">
        <f ca="1">PERCENTILE(D$2:D434,0.835)</f>
        <v>213.87380497835275</v>
      </c>
      <c r="L435" s="5">
        <f ca="1">PERCENTILE(D$2:D434,0.975)</f>
        <v>1140.832274182306</v>
      </c>
      <c r="M435" s="7">
        <f>AVERAGE(E$2:E434)</f>
        <v>1.3874345549738221</v>
      </c>
      <c r="N435" s="7">
        <f>PERCENTILE($E$2:$E434,0.025)</f>
        <v>-1.4749999999999996</v>
      </c>
      <c r="O435" s="7">
        <f>PERCENTILE($E$2:$E434,0.165)</f>
        <v>0</v>
      </c>
      <c r="P435" s="7">
        <f>PERCENTILE($E$2:$E434,0.5)</f>
        <v>1</v>
      </c>
      <c r="Q435" s="7">
        <f>PERCENTILE($E$2:$E434,0.835)</f>
        <v>3</v>
      </c>
      <c r="R435" s="7">
        <f>PERCENTILE($E$2:$E434,0.975)</f>
        <v>5</v>
      </c>
    </row>
    <row r="436" spans="1:18" x14ac:dyDescent="0.2">
      <c r="A436" s="5">
        <f>Data!E299</f>
        <v>2011</v>
      </c>
      <c r="B436" s="5">
        <f>Data!M299</f>
        <v>0.82521645021645018</v>
      </c>
      <c r="C436" s="5">
        <f>Data!N299</f>
        <v>0.13528138528138528</v>
      </c>
      <c r="D436" s="5">
        <f ca="1">Data!O299</f>
        <v>359</v>
      </c>
      <c r="E436" s="1">
        <f>Data!AQ299</f>
        <v>0</v>
      </c>
      <c r="F436" t="str">
        <f t="shared" si="6"/>
        <v/>
      </c>
      <c r="G436" s="5">
        <f ca="1">AVERAGE(D$2:D435)</f>
        <v>171.20009114633922</v>
      </c>
      <c r="H436" s="5">
        <f ca="1">PERCENTILE(D$2:D435,0.025)</f>
        <v>-4.1493595800524936</v>
      </c>
      <c r="I436" s="5">
        <f ca="1">PERCENTILE(D$2:D435,0.165)</f>
        <v>2.3038653135849874</v>
      </c>
      <c r="J436" s="5">
        <f ca="1">PERCENTILE(D$2:D435,0.5)</f>
        <v>34.772915237354141</v>
      </c>
      <c r="K436" s="5">
        <f ca="1">PERCENTILE(D$2:D435,0.835)</f>
        <v>216.54139678215193</v>
      </c>
      <c r="L436" s="5">
        <f ca="1">PERCENTILE(D$2:D435,0.975)</f>
        <v>1218.7872975196728</v>
      </c>
      <c r="M436" s="7">
        <f>AVERAGE(E$2:E435)</f>
        <v>1.3838120104438643</v>
      </c>
      <c r="N436" s="7">
        <f>PERCENTILE($E$2:$E435,0.025)</f>
        <v>-1.4499999999999993</v>
      </c>
      <c r="O436" s="7">
        <f>PERCENTILE($E$2:$E435,0.165)</f>
        <v>0</v>
      </c>
      <c r="P436" s="7">
        <f>PERCENTILE($E$2:$E435,0.5)</f>
        <v>1</v>
      </c>
      <c r="Q436" s="7">
        <f>PERCENTILE($E$2:$E435,0.835)</f>
        <v>3</v>
      </c>
      <c r="R436" s="7">
        <f>PERCENTILE($E$2:$E435,0.975)</f>
        <v>5</v>
      </c>
    </row>
    <row r="437" spans="1:18" x14ac:dyDescent="0.2">
      <c r="A437" s="5">
        <f>Data!E300</f>
        <v>2011</v>
      </c>
      <c r="B437" s="5">
        <f>Data!M300</f>
        <v>8.252164502164502E-3</v>
      </c>
      <c r="C437" s="5">
        <f>Data!N300</f>
        <v>1.3528138528138528E-3</v>
      </c>
      <c r="D437" s="5">
        <f ca="1">Data!O300</f>
        <v>341</v>
      </c>
      <c r="E437" s="1">
        <f>Data!AQ300</f>
        <v>0</v>
      </c>
      <c r="F437" t="str">
        <f t="shared" si="6"/>
        <v/>
      </c>
      <c r="G437" s="5">
        <f ca="1">AVERAGE(D$2:D436)</f>
        <v>171.63181507473845</v>
      </c>
      <c r="H437" s="5">
        <f ca="1">PERCENTILE(D$2:D436,0.025)</f>
        <v>-4.1493595800524936</v>
      </c>
      <c r="I437" s="5">
        <f ca="1">PERCENTILE(D$2:D436,0.165)</f>
        <v>2.3470204355640014</v>
      </c>
      <c r="J437" s="5">
        <f ca="1">PERCENTILE(D$2:D436,0.5)</f>
        <v>34.913100540916275</v>
      </c>
      <c r="K437" s="5">
        <f ca="1">PERCENTILE(D$2:D436,0.835)</f>
        <v>219.42992115836657</v>
      </c>
      <c r="L437" s="5">
        <f ca="1">PERCENTILE(D$2:D436,0.975)</f>
        <v>1215.9839578060948</v>
      </c>
      <c r="M437" s="7">
        <f>AVERAGE(E$2:E436)</f>
        <v>1.3802083333333333</v>
      </c>
      <c r="N437" s="7">
        <f>PERCENTILE($E$2:$E436,0.025)</f>
        <v>-1.4249999999999989</v>
      </c>
      <c r="O437" s="7">
        <f>PERCENTILE($E$2:$E436,0.165)</f>
        <v>0</v>
      </c>
      <c r="P437" s="7">
        <f>PERCENTILE($E$2:$E436,0.5)</f>
        <v>1</v>
      </c>
      <c r="Q437" s="7">
        <f>PERCENTILE($E$2:$E436,0.835)</f>
        <v>3</v>
      </c>
      <c r="R437" s="7">
        <f>PERCENTILE($E$2:$E436,0.975)</f>
        <v>5</v>
      </c>
    </row>
    <row r="438" spans="1:18" x14ac:dyDescent="0.2">
      <c r="A438" s="5">
        <f>Data!E301</f>
        <v>2011</v>
      </c>
      <c r="B438" s="5">
        <f>Data!M301</f>
        <v>8.252164502164501E-2</v>
      </c>
      <c r="C438" s="5">
        <f>Data!N301</f>
        <v>1.3528138528138528E-2</v>
      </c>
      <c r="D438" s="5">
        <f ca="1">Data!O301</f>
        <v>367</v>
      </c>
      <c r="E438" s="1">
        <f>Data!AQ301</f>
        <v>0</v>
      </c>
      <c r="F438" t="str">
        <f t="shared" si="6"/>
        <v/>
      </c>
      <c r="G438" s="5">
        <f ca="1">AVERAGE(D$2:D437)</f>
        <v>172.02027421447528</v>
      </c>
      <c r="H438" s="5">
        <f ca="1">PERCENTILE(D$2:D437,0.025)</f>
        <v>-4.1493595800524936</v>
      </c>
      <c r="I438" s="5">
        <f ca="1">PERCENTILE(D$2:D437,0.165)</f>
        <v>2.390175557543019</v>
      </c>
      <c r="J438" s="5">
        <f ca="1">PERCENTILE(D$2:D437,0.5)</f>
        <v>35.848634925744214</v>
      </c>
      <c r="K438" s="5">
        <f ca="1">PERCENTILE(D$2:D437,0.835)</f>
        <v>221.90241409710495</v>
      </c>
      <c r="L438" s="5">
        <f ca="1">PERCENTILE(D$2:D437,0.975)</f>
        <v>1213.1806180925232</v>
      </c>
      <c r="M438" s="7">
        <f>AVERAGE(E$2:E437)</f>
        <v>1.3766233766233766</v>
      </c>
      <c r="N438" s="7">
        <f>PERCENTILE($E$2:$E437,0.025)</f>
        <v>-1.3999999999999986</v>
      </c>
      <c r="O438" s="7">
        <f>PERCENTILE($E$2:$E437,0.165)</f>
        <v>0</v>
      </c>
      <c r="P438" s="7">
        <f>PERCENTILE($E$2:$E437,0.5)</f>
        <v>1</v>
      </c>
      <c r="Q438" s="7">
        <f>PERCENTILE($E$2:$E437,0.835)</f>
        <v>3</v>
      </c>
      <c r="R438" s="7">
        <f>PERCENTILE($E$2:$E437,0.975)</f>
        <v>5</v>
      </c>
    </row>
    <row r="439" spans="1:18" x14ac:dyDescent="0.2">
      <c r="A439" s="5">
        <f>Data!E302</f>
        <v>2011</v>
      </c>
      <c r="B439" s="5">
        <f>Data!M302</f>
        <v>8.252164502164502E-3</v>
      </c>
      <c r="C439" s="5">
        <f>Data!N302</f>
        <v>1.3528138528138528E-3</v>
      </c>
      <c r="D439" s="5">
        <f ca="1">Data!O302</f>
        <v>423</v>
      </c>
      <c r="E439" s="1">
        <f>Data!AQ302</f>
        <v>0</v>
      </c>
      <c r="F439" t="str">
        <f t="shared" si="6"/>
        <v/>
      </c>
      <c r="G439" s="5">
        <f ca="1">AVERAGE(D$2:D438)</f>
        <v>172.46645207668473</v>
      </c>
      <c r="H439" s="5">
        <f ca="1">PERCENTILE(D$2:D438,0.025)</f>
        <v>-4.1493595800524936</v>
      </c>
      <c r="I439" s="5">
        <f ca="1">PERCENTILE(D$2:D438,0.165)</f>
        <v>2.4333306795220326</v>
      </c>
      <c r="J439" s="5">
        <f ca="1">PERCENTILE(D$2:D438,0.5)</f>
        <v>36.784169310572153</v>
      </c>
      <c r="K439" s="5">
        <f ca="1">PERCENTILE(D$2:D438,0.835)</f>
        <v>226.50086688290449</v>
      </c>
      <c r="L439" s="5">
        <f ca="1">PERCENTILE(D$2:D438,0.975)</f>
        <v>1210.3772783789452</v>
      </c>
      <c r="M439" s="7">
        <f>AVERAGE(E$2:E438)</f>
        <v>1.3730569948186528</v>
      </c>
      <c r="N439" s="7">
        <f>PERCENTILE($E$2:$E438,0.025)</f>
        <v>-1.375</v>
      </c>
      <c r="O439" s="7">
        <f>PERCENTILE($E$2:$E438,0.165)</f>
        <v>0</v>
      </c>
      <c r="P439" s="7">
        <f>PERCENTILE($E$2:$E438,0.5)</f>
        <v>1</v>
      </c>
      <c r="Q439" s="7">
        <f>PERCENTILE($E$2:$E438,0.835)</f>
        <v>3</v>
      </c>
      <c r="R439" s="7">
        <f>PERCENTILE($E$2:$E438,0.975)</f>
        <v>5</v>
      </c>
    </row>
    <row r="440" spans="1:18" x14ac:dyDescent="0.2">
      <c r="A440" s="5">
        <f>Data!E303</f>
        <v>2011</v>
      </c>
      <c r="B440" s="5">
        <f>Data!M303</f>
        <v>8.252164502164502E-4</v>
      </c>
      <c r="C440" s="5">
        <f>Data!N303</f>
        <v>1.3528138528138528E-4</v>
      </c>
      <c r="D440" s="5">
        <f ca="1">Data!O303</f>
        <v>583</v>
      </c>
      <c r="E440" s="1">
        <f>Data!AQ303</f>
        <v>0</v>
      </c>
      <c r="F440" t="str">
        <f t="shared" si="6"/>
        <v/>
      </c>
      <c r="G440" s="5">
        <f ca="1">AVERAGE(D$2:D439)</f>
        <v>173.03844647833611</v>
      </c>
      <c r="H440" s="5">
        <f ca="1">PERCENTILE(D$2:D439,0.025)</f>
        <v>-4.1493595800524936</v>
      </c>
      <c r="I440" s="5">
        <f ca="1">PERCENTILE(D$2:D439,0.165)</f>
        <v>2.4664994922827654</v>
      </c>
      <c r="J440" s="5">
        <f ca="1">PERCENTILE(D$2:D439,0.5)</f>
        <v>36.822312128442242</v>
      </c>
      <c r="K440" s="5">
        <f ca="1">PERCENTILE(D$2:D439,0.835)</f>
        <v>235.00915616075193</v>
      </c>
      <c r="L440" s="5">
        <f ca="1">PERCENTILE(D$2:D439,0.975)</f>
        <v>1207.5739386653736</v>
      </c>
      <c r="M440" s="7">
        <f>AVERAGE(E$2:E439)</f>
        <v>1.3695090439276485</v>
      </c>
      <c r="N440" s="7">
        <f>PERCENTILE($E$2:$E439,0.025)</f>
        <v>-1.3499999999999996</v>
      </c>
      <c r="O440" s="7">
        <f>PERCENTILE($E$2:$E439,0.165)</f>
        <v>0</v>
      </c>
      <c r="P440" s="7">
        <f>PERCENTILE($E$2:$E439,0.5)</f>
        <v>1</v>
      </c>
      <c r="Q440" s="7">
        <f>PERCENTILE($E$2:$E439,0.835)</f>
        <v>3</v>
      </c>
      <c r="R440" s="7">
        <f>PERCENTILE($E$2:$E439,0.975)</f>
        <v>5</v>
      </c>
    </row>
    <row r="441" spans="1:18" x14ac:dyDescent="0.2">
      <c r="A441" s="5">
        <f>Data!E304</f>
        <v>2011</v>
      </c>
      <c r="B441" s="5">
        <f>Data!M304</f>
        <v>8.252164502164501E-2</v>
      </c>
      <c r="C441" s="5">
        <f>Data!N304</f>
        <v>1.3528138528138528E-2</v>
      </c>
      <c r="D441" s="5">
        <f ca="1">Data!O304</f>
        <v>722</v>
      </c>
      <c r="E441" s="1">
        <f>Data!AQ304</f>
        <v>0</v>
      </c>
      <c r="F441" t="str">
        <f t="shared" si="6"/>
        <v/>
      </c>
      <c r="G441" s="5">
        <f ca="1">AVERAGE(D$2:D440)</f>
        <v>173.97229967542421</v>
      </c>
      <c r="H441" s="5">
        <f ca="1">PERCENTILE(D$2:D440,0.025)</f>
        <v>-4.1493595800524936</v>
      </c>
      <c r="I441" s="5">
        <f ca="1">PERCENTILE(D$2:D440,0.165)</f>
        <v>2.4939618426330492</v>
      </c>
      <c r="J441" s="5">
        <f ca="1">PERCENTILE(D$2:D440,0.5)</f>
        <v>36.860454946312331</v>
      </c>
      <c r="K441" s="5">
        <f ca="1">PERCENTILE(D$2:D440,0.835)</f>
        <v>236.34885385583115</v>
      </c>
      <c r="L441" s="5">
        <f ca="1">PERCENTILE(D$2:D440,0.975)</f>
        <v>1204.770598951802</v>
      </c>
      <c r="M441" s="7">
        <f>AVERAGE(E$2:E440)</f>
        <v>1.365979381443299</v>
      </c>
      <c r="N441" s="7">
        <f>PERCENTILE($E$2:$E440,0.025)</f>
        <v>-1.3249999999999993</v>
      </c>
      <c r="O441" s="7">
        <f>PERCENTILE($E$2:$E440,0.165)</f>
        <v>0</v>
      </c>
      <c r="P441" s="7">
        <f>PERCENTILE($E$2:$E440,0.5)</f>
        <v>1</v>
      </c>
      <c r="Q441" s="7">
        <f>PERCENTILE($E$2:$E440,0.835)</f>
        <v>3</v>
      </c>
      <c r="R441" s="7">
        <f>PERCENTILE($E$2:$E440,0.975)</f>
        <v>5</v>
      </c>
    </row>
    <row r="442" spans="1:18" x14ac:dyDescent="0.2">
      <c r="A442" s="5">
        <f>Data!E305</f>
        <v>2011</v>
      </c>
      <c r="B442" s="5">
        <f>Data!M305</f>
        <v>8.252164502164502E-3</v>
      </c>
      <c r="C442" s="5">
        <f>Data!N305</f>
        <v>1.3528138528138528E-3</v>
      </c>
      <c r="D442" s="5">
        <f ca="1">Data!O305</f>
        <v>1426</v>
      </c>
      <c r="E442" s="1">
        <f>Data!AQ305</f>
        <v>0</v>
      </c>
      <c r="F442" t="str">
        <f t="shared" si="6"/>
        <v/>
      </c>
      <c r="G442" s="5">
        <f ca="1">AVERAGE(D$2:D441)</f>
        <v>175.21781717616187</v>
      </c>
      <c r="H442" s="5">
        <f ca="1">PERCENTILE(D$2:D441,0.025)</f>
        <v>-4.1493595800524936</v>
      </c>
      <c r="I442" s="5">
        <f ca="1">PERCENTILE(D$2:D441,0.165)</f>
        <v>2.5214241929833308</v>
      </c>
      <c r="J442" s="5">
        <f ca="1">PERCENTILE(D$2:D441,0.5)</f>
        <v>37.173886265807084</v>
      </c>
      <c r="K442" s="5">
        <f ca="1">PERCENTILE(D$2:D441,0.835)</f>
        <v>246.02960879472494</v>
      </c>
      <c r="L442" s="5">
        <f ca="1">PERCENTILE(D$2:D441,0.975)</f>
        <v>1201.967259238224</v>
      </c>
      <c r="M442" s="7">
        <f>AVERAGE(E$2:E441)</f>
        <v>1.3624678663239074</v>
      </c>
      <c r="N442" s="7">
        <f>PERCENTILE($E$2:$E441,0.025)</f>
        <v>-1.2999999999999989</v>
      </c>
      <c r="O442" s="7">
        <f>PERCENTILE($E$2:$E441,0.165)</f>
        <v>0</v>
      </c>
      <c r="P442" s="7">
        <f>PERCENTILE($E$2:$E441,0.5)</f>
        <v>1</v>
      </c>
      <c r="Q442" s="7">
        <f>PERCENTILE($E$2:$E441,0.835)</f>
        <v>3</v>
      </c>
      <c r="R442" s="7">
        <f>PERCENTILE($E$2:$E441,0.975)</f>
        <v>5</v>
      </c>
    </row>
    <row r="443" spans="1:18" x14ac:dyDescent="0.2">
      <c r="A443" s="5">
        <f>Data!E306</f>
        <v>2011</v>
      </c>
      <c r="B443" s="5">
        <f>Data!M306</f>
        <v>8.252164502164502E-4</v>
      </c>
      <c r="C443" s="5">
        <f>Data!N306</f>
        <v>1.3528138528138528E-4</v>
      </c>
      <c r="D443" s="5">
        <f ca="1">Data!O306</f>
        <v>1670</v>
      </c>
      <c r="E443" s="1">
        <f>Data!AQ306</f>
        <v>0</v>
      </c>
      <c r="F443" t="str">
        <f t="shared" si="6"/>
        <v/>
      </c>
      <c r="G443" s="5">
        <f ca="1">AVERAGE(D$2:D442)</f>
        <v>178.05405795354019</v>
      </c>
      <c r="H443" s="5">
        <f ca="1">PERCENTILE(D$2:D442,0.025)</f>
        <v>-4.1493595800524936</v>
      </c>
      <c r="I443" s="5">
        <f ca="1">PERCENTILE(D$2:D442,0.165)</f>
        <v>2.5488865433336145</v>
      </c>
      <c r="J443" s="5">
        <f ca="1">PERCENTILE(D$2:D442,0.5)</f>
        <v>37.487317585301838</v>
      </c>
      <c r="K443" s="5">
        <f ca="1">PERCENTILE(D$2:D442,0.835)</f>
        <v>255.78544844874406</v>
      </c>
      <c r="L443" s="5">
        <f ca="1">PERCENTILE(D$2:D442,0.975)</f>
        <v>1311.297508067619</v>
      </c>
      <c r="M443" s="7">
        <f>AVERAGE(E$2:E442)</f>
        <v>1.358974358974359</v>
      </c>
      <c r="N443" s="7">
        <f>PERCENTILE($E$2:$E442,0.025)</f>
        <v>-1.2749999999999986</v>
      </c>
      <c r="O443" s="7">
        <f>PERCENTILE($E$2:$E442,0.165)</f>
        <v>0</v>
      </c>
      <c r="P443" s="7">
        <f>PERCENTILE($E$2:$E442,0.5)</f>
        <v>1</v>
      </c>
      <c r="Q443" s="7">
        <f>PERCENTILE($E$2:$E442,0.835)</f>
        <v>3</v>
      </c>
      <c r="R443" s="7">
        <f>PERCENTILE($E$2:$E442,0.975)</f>
        <v>5</v>
      </c>
    </row>
    <row r="444" spans="1:18" x14ac:dyDescent="0.2">
      <c r="A444" s="5">
        <f>Data!E307</f>
        <v>2011</v>
      </c>
      <c r="B444" s="5">
        <f>Data!M307</f>
        <v>0.82521645021645018</v>
      </c>
      <c r="C444" s="5">
        <f>Data!N307</f>
        <v>0.13528138528138528</v>
      </c>
      <c r="D444" s="5">
        <f ca="1">Data!O307</f>
        <v>108</v>
      </c>
      <c r="E444" s="1">
        <f>Data!AQ307</f>
        <v>1</v>
      </c>
      <c r="F444" t="str">
        <f t="shared" si="6"/>
        <v/>
      </c>
      <c r="G444" s="5">
        <f ca="1">AVERAGE(D$2:D443)</f>
        <v>181.42950126133761</v>
      </c>
      <c r="H444" s="5">
        <f ca="1">PERCENTILE(D$2:D443,0.025)</f>
        <v>-4.1412209848894044</v>
      </c>
      <c r="I444" s="5">
        <f ca="1">PERCENTILE(D$2:D443,0.165)</f>
        <v>2.5763488936838961</v>
      </c>
      <c r="J444" s="5">
        <f ca="1">PERCENTILE(D$2:D443,0.5)</f>
        <v>37.558858267716538</v>
      </c>
      <c r="K444" s="5">
        <f ca="1">PERCENTILE(D$2:D443,0.835)</f>
        <v>259.6424114706503</v>
      </c>
      <c r="L444" s="5">
        <f ca="1">PERCENTILE(D$2:D443,0.975)</f>
        <v>1328.5323296568417</v>
      </c>
      <c r="M444" s="7">
        <f>AVERAGE(E$2:E443)</f>
        <v>1.3554987212276215</v>
      </c>
      <c r="N444" s="7">
        <f>PERCENTILE($E$2:$E443,0.025)</f>
        <v>-1.25</v>
      </c>
      <c r="O444" s="7">
        <f>PERCENTILE($E$2:$E443,0.165)</f>
        <v>0</v>
      </c>
      <c r="P444" s="7">
        <f>PERCENTILE($E$2:$E443,0.5)</f>
        <v>1</v>
      </c>
      <c r="Q444" s="7">
        <f>PERCENTILE($E$2:$E443,0.835)</f>
        <v>3</v>
      </c>
      <c r="R444" s="7">
        <f>PERCENTILE($E$2:$E443,0.975)</f>
        <v>5</v>
      </c>
    </row>
    <row r="445" spans="1:18" x14ac:dyDescent="0.2">
      <c r="A445" s="5">
        <f>Data!E308</f>
        <v>2011</v>
      </c>
      <c r="B445" s="5">
        <f>Data!M308</f>
        <v>8.252164502164502E-3</v>
      </c>
      <c r="C445" s="5">
        <f>Data!N308</f>
        <v>1.3528138528138528E-3</v>
      </c>
      <c r="D445" s="5">
        <f ca="1">Data!O308</f>
        <v>105</v>
      </c>
      <c r="E445" s="1">
        <f>Data!AQ308</f>
        <v>1</v>
      </c>
      <c r="F445" t="str">
        <f t="shared" si="6"/>
        <v/>
      </c>
      <c r="G445" s="5">
        <f ca="1">AVERAGE(D$2:D444)</f>
        <v>181.26374617948358</v>
      </c>
      <c r="H445" s="5">
        <f ca="1">PERCENTILE(D$2:D444,0.025)</f>
        <v>-4.1330823897263151</v>
      </c>
      <c r="I445" s="5">
        <f ca="1">PERCENTILE(D$2:D444,0.165)</f>
        <v>2.6038112440341799</v>
      </c>
      <c r="J445" s="5">
        <f ca="1">PERCENTILE(D$2:D444,0.5)</f>
        <v>37.630398950131237</v>
      </c>
      <c r="K445" s="5">
        <f ca="1">PERCENTILE(D$2:D444,0.835)</f>
        <v>259.44023359372665</v>
      </c>
      <c r="L445" s="5">
        <f ca="1">PERCENTILE(D$2:D444,0.975)</f>
        <v>1328.0904111545544</v>
      </c>
      <c r="M445" s="7">
        <f>AVERAGE(E$2:E444)</f>
        <v>1.3545918367346939</v>
      </c>
      <c r="N445" s="7">
        <f>PERCENTILE($E$2:$E444,0.025)</f>
        <v>-1.2249999999999996</v>
      </c>
      <c r="O445" s="7">
        <f>PERCENTILE($E$2:$E444,0.165)</f>
        <v>0</v>
      </c>
      <c r="P445" s="7">
        <f>PERCENTILE($E$2:$E444,0.5)</f>
        <v>1</v>
      </c>
      <c r="Q445" s="7">
        <f>PERCENTILE($E$2:$E444,0.835)</f>
        <v>3</v>
      </c>
      <c r="R445" s="7">
        <f>PERCENTILE($E$2:$E444,0.975)</f>
        <v>5</v>
      </c>
    </row>
    <row r="446" spans="1:18" x14ac:dyDescent="0.2">
      <c r="A446" s="5">
        <f>Data!E309</f>
        <v>2011</v>
      </c>
      <c r="B446" s="5">
        <f>Data!M309</f>
        <v>8.252164502164501E-2</v>
      </c>
      <c r="C446" s="5">
        <f>Data!N309</f>
        <v>1.3528138528138528E-2</v>
      </c>
      <c r="D446" s="5">
        <f ca="1">Data!O309</f>
        <v>112</v>
      </c>
      <c r="E446" s="1">
        <f>Data!AQ309</f>
        <v>1</v>
      </c>
      <c r="F446" t="str">
        <f t="shared" si="6"/>
        <v/>
      </c>
      <c r="G446" s="5">
        <f ca="1">AVERAGE(D$2:D445)</f>
        <v>181.09198098538565</v>
      </c>
      <c r="H446" s="5">
        <f ca="1">PERCENTILE(D$2:D445,0.025)</f>
        <v>-4.1249437945632259</v>
      </c>
      <c r="I446" s="5">
        <f ca="1">PERCENTILE(D$2:D445,0.165)</f>
        <v>2.6233677662533195</v>
      </c>
      <c r="J446" s="5">
        <f ca="1">PERCENTILE(D$2:D445,0.5)</f>
        <v>37.820353618861233</v>
      </c>
      <c r="K446" s="5">
        <f ca="1">PERCENTILE(D$2:D445,0.835)</f>
        <v>258.78936748163704</v>
      </c>
      <c r="L446" s="5">
        <f ca="1">PERCENTILE(D$2:D445,0.975)</f>
        <v>1327.6484926522671</v>
      </c>
      <c r="M446" s="7">
        <f>AVERAGE(E$2:E445)</f>
        <v>1.3536895674300256</v>
      </c>
      <c r="N446" s="7">
        <f>PERCENTILE($E$2:$E445,0.025)</f>
        <v>-1.1999999999999993</v>
      </c>
      <c r="O446" s="7">
        <f>PERCENTILE($E$2:$E445,0.165)</f>
        <v>0</v>
      </c>
      <c r="P446" s="7">
        <f>PERCENTILE($E$2:$E445,0.5)</f>
        <v>1</v>
      </c>
      <c r="Q446" s="7">
        <f>PERCENTILE($E$2:$E445,0.835)</f>
        <v>3</v>
      </c>
      <c r="R446" s="7">
        <f>PERCENTILE($E$2:$E445,0.975)</f>
        <v>5</v>
      </c>
    </row>
    <row r="447" spans="1:18" x14ac:dyDescent="0.2">
      <c r="A447" s="5">
        <f>Data!E310</f>
        <v>2011</v>
      </c>
      <c r="B447" s="5">
        <f>Data!M310</f>
        <v>8.252164502164502E-3</v>
      </c>
      <c r="C447" s="5">
        <f>Data!N310</f>
        <v>1.3528138528138528E-3</v>
      </c>
      <c r="D447" s="5">
        <f ca="1">Data!O310</f>
        <v>135</v>
      </c>
      <c r="E447" s="1">
        <f>Data!AQ310</f>
        <v>1</v>
      </c>
      <c r="F447" t="str">
        <f t="shared" si="6"/>
        <v/>
      </c>
      <c r="G447" s="5">
        <f ca="1">AVERAGE(D$2:D446)</f>
        <v>180.93671810676679</v>
      </c>
      <c r="H447" s="5">
        <f ca="1">PERCENTILE(D$2:D446,0.025)</f>
        <v>-4.1168051994001367</v>
      </c>
      <c r="I447" s="5">
        <f ca="1">PERCENTILE(D$2:D446,0.165)</f>
        <v>2.6370989414284614</v>
      </c>
      <c r="J447" s="5">
        <f ca="1">PERCENTILE(D$2:D446,0.5)</f>
        <v>38.010308287591222</v>
      </c>
      <c r="K447" s="5">
        <f ca="1">PERCENTILE(D$2:D446,0.835)</f>
        <v>257.80788898574156</v>
      </c>
      <c r="L447" s="5">
        <f ca="1">PERCENTILE(D$2:D446,0.975)</f>
        <v>1327.2065741499787</v>
      </c>
      <c r="M447" s="7">
        <f>AVERAGE(E$2:E446)</f>
        <v>1.3527918781725887</v>
      </c>
      <c r="N447" s="7">
        <f>PERCENTILE($E$2:$E446,0.025)</f>
        <v>-1.1749999999999989</v>
      </c>
      <c r="O447" s="7">
        <f>PERCENTILE($E$2:$E446,0.165)</f>
        <v>0</v>
      </c>
      <c r="P447" s="7">
        <f>PERCENTILE($E$2:$E446,0.5)</f>
        <v>1</v>
      </c>
      <c r="Q447" s="7">
        <f>PERCENTILE($E$2:$E446,0.835)</f>
        <v>3</v>
      </c>
      <c r="R447" s="7">
        <f>PERCENTILE($E$2:$E446,0.975)</f>
        <v>5</v>
      </c>
    </row>
    <row r="448" spans="1:18" x14ac:dyDescent="0.2">
      <c r="A448" s="5">
        <f>Data!E311</f>
        <v>2011</v>
      </c>
      <c r="B448" s="5">
        <f>Data!M311</f>
        <v>8.252164502164502E-4</v>
      </c>
      <c r="C448" s="5">
        <f>Data!N311</f>
        <v>1.3528138528138528E-4</v>
      </c>
      <c r="D448" s="5">
        <f ca="1">Data!O311</f>
        <v>187</v>
      </c>
      <c r="E448" s="1">
        <f>Data!AQ311</f>
        <v>1</v>
      </c>
      <c r="F448" t="str">
        <f t="shared" si="6"/>
        <v/>
      </c>
      <c r="G448" s="5">
        <f ca="1">AVERAGE(D$2:D447)</f>
        <v>180.83372098096686</v>
      </c>
      <c r="H448" s="5">
        <f ca="1">PERCENTILE(D$2:D447,0.025)</f>
        <v>-4.1086666042370474</v>
      </c>
      <c r="I448" s="5">
        <f ca="1">PERCENTILE(D$2:D447,0.165)</f>
        <v>2.6508301166036023</v>
      </c>
      <c r="J448" s="5">
        <f ca="1">PERCENTILE(D$2:D447,0.5)</f>
        <v>38.124233011440239</v>
      </c>
      <c r="K448" s="5">
        <f ca="1">PERCENTILE(D$2:D447,0.835)</f>
        <v>256.82641048984567</v>
      </c>
      <c r="L448" s="5">
        <f ca="1">PERCENTILE(D$2:D447,0.975)</f>
        <v>1326.7646556476914</v>
      </c>
      <c r="M448" s="7">
        <f>AVERAGE(E$2:E447)</f>
        <v>1.3518987341772153</v>
      </c>
      <c r="N448" s="7">
        <f>PERCENTILE($E$2:$E447,0.025)</f>
        <v>-1.1499999999999986</v>
      </c>
      <c r="O448" s="7">
        <f>PERCENTILE($E$2:$E447,0.165)</f>
        <v>0</v>
      </c>
      <c r="P448" s="7">
        <f>PERCENTILE($E$2:$E447,0.5)</f>
        <v>1</v>
      </c>
      <c r="Q448" s="7">
        <f>PERCENTILE($E$2:$E447,0.835)</f>
        <v>3</v>
      </c>
      <c r="R448" s="7">
        <f>PERCENTILE($E$2:$E447,0.975)</f>
        <v>5</v>
      </c>
    </row>
    <row r="449" spans="1:18" x14ac:dyDescent="0.2">
      <c r="A449" s="5">
        <f>Data!E312</f>
        <v>2011</v>
      </c>
      <c r="B449" s="5">
        <f>Data!M312</f>
        <v>8.252164502164501E-2</v>
      </c>
      <c r="C449" s="5">
        <f>Data!N312</f>
        <v>1.3528138528138528E-2</v>
      </c>
      <c r="D449" s="5">
        <f ca="1">Data!O312</f>
        <v>155</v>
      </c>
      <c r="E449" s="1">
        <f>Data!AQ312</f>
        <v>1</v>
      </c>
      <c r="F449" t="str">
        <f t="shared" si="6"/>
        <v/>
      </c>
      <c r="G449" s="5">
        <f ca="1">AVERAGE(D$2:D448)</f>
        <v>180.84751578861571</v>
      </c>
      <c r="H449" s="5">
        <f ca="1">PERCENTILE(D$2:D448,0.025)</f>
        <v>-4.1005280090739582</v>
      </c>
      <c r="I449" s="5">
        <f ca="1">PERCENTILE(D$2:D448,0.165)</f>
        <v>2.6645612917787442</v>
      </c>
      <c r="J449" s="5">
        <f ca="1">PERCENTILE(D$2:D448,0.5)</f>
        <v>38.238157735289256</v>
      </c>
      <c r="K449" s="5">
        <f ca="1">PERCENTILE(D$2:D448,0.835)</f>
        <v>255.84493199394981</v>
      </c>
      <c r="L449" s="5">
        <f ca="1">PERCENTILE(D$2:D448,0.975)</f>
        <v>1326.3227371454029</v>
      </c>
      <c r="M449" s="7">
        <f>AVERAGE(E$2:E448)</f>
        <v>1.351010101010101</v>
      </c>
      <c r="N449" s="7">
        <f>PERCENTILE($E$2:$E448,0.025)</f>
        <v>-1.125</v>
      </c>
      <c r="O449" s="7">
        <f>PERCENTILE($E$2:$E448,0.165)</f>
        <v>0</v>
      </c>
      <c r="P449" s="7">
        <f>PERCENTILE($E$2:$E448,0.5)</f>
        <v>1</v>
      </c>
      <c r="Q449" s="7">
        <f>PERCENTILE($E$2:$E448,0.835)</f>
        <v>3</v>
      </c>
      <c r="R449" s="7">
        <f>PERCENTILE($E$2:$E448,0.975)</f>
        <v>5</v>
      </c>
    </row>
    <row r="450" spans="1:18" x14ac:dyDescent="0.2">
      <c r="A450" s="5">
        <f>Data!E313</f>
        <v>2011</v>
      </c>
      <c r="B450" s="5">
        <f>Data!M313</f>
        <v>8.252164502164502E-3</v>
      </c>
      <c r="C450" s="5">
        <f>Data!N313</f>
        <v>1.3528138528138528E-3</v>
      </c>
      <c r="D450" s="5">
        <f ca="1">Data!O313</f>
        <v>258</v>
      </c>
      <c r="E450" s="1">
        <f>Data!AQ313</f>
        <v>1</v>
      </c>
      <c r="F450" t="str">
        <f t="shared" si="6"/>
        <v/>
      </c>
      <c r="G450" s="5">
        <f ca="1">AVERAGE(D$2:D449)</f>
        <v>180.78982044087326</v>
      </c>
      <c r="H450" s="5">
        <f ca="1">PERCENTILE(D$2:D449,0.025)</f>
        <v>-4.092389413910869</v>
      </c>
      <c r="I450" s="5">
        <f ca="1">PERCENTILE(D$2:D449,0.165)</f>
        <v>2.6782924669538861</v>
      </c>
      <c r="J450" s="5">
        <f ca="1">PERCENTILE(D$2:D449,0.5)</f>
        <v>38.239287328750578</v>
      </c>
      <c r="K450" s="5">
        <f ca="1">PERCENTILE(D$2:D449,0.835)</f>
        <v>254.8634534980543</v>
      </c>
      <c r="L450" s="5">
        <f ca="1">PERCENTILE(D$2:D449,0.975)</f>
        <v>1325.8808186431156</v>
      </c>
      <c r="M450" s="7">
        <f>AVERAGE(E$2:E449)</f>
        <v>1.350125944584383</v>
      </c>
      <c r="N450" s="7">
        <f>PERCENTILE($E$2:$E449,0.025)</f>
        <v>-1.0999999999999996</v>
      </c>
      <c r="O450" s="7">
        <f>PERCENTILE($E$2:$E449,0.165)</f>
        <v>0</v>
      </c>
      <c r="P450" s="7">
        <f>PERCENTILE($E$2:$E449,0.5)</f>
        <v>1</v>
      </c>
      <c r="Q450" s="7">
        <f>PERCENTILE($E$2:$E449,0.835)</f>
        <v>3</v>
      </c>
      <c r="R450" s="7">
        <f>PERCENTILE($E$2:$E449,0.975)</f>
        <v>5</v>
      </c>
    </row>
    <row r="451" spans="1:18" x14ac:dyDescent="0.2">
      <c r="A451" s="5">
        <f>Data!E314</f>
        <v>2011</v>
      </c>
      <c r="B451" s="5">
        <f>Data!M314</f>
        <v>8.252164502164502E-4</v>
      </c>
      <c r="C451" s="5">
        <f>Data!N314</f>
        <v>1.3528138528138528E-4</v>
      </c>
      <c r="D451" s="5">
        <f ca="1">Data!O314</f>
        <v>290</v>
      </c>
      <c r="E451" s="1">
        <f>Data!AQ314</f>
        <v>1</v>
      </c>
      <c r="F451" t="str">
        <f t="shared" si="6"/>
        <v/>
      </c>
      <c r="G451" s="5">
        <f ca="1">AVERAGE(D$2:D450)</f>
        <v>180.96178075169539</v>
      </c>
      <c r="H451" s="5">
        <f ca="1">PERCENTILE(D$2:D450,0.025)</f>
        <v>-4.0842508187477797</v>
      </c>
      <c r="I451" s="5">
        <f ca="1">PERCENTILE(D$2:D450,0.165)</f>
        <v>2.6920236421290271</v>
      </c>
      <c r="J451" s="5">
        <f ca="1">PERCENTILE(D$2:D450,0.5)</f>
        <v>38.240416922211907</v>
      </c>
      <c r="K451" s="5">
        <f ca="1">PERCENTILE(D$2:D450,0.835)</f>
        <v>258.10835689288734</v>
      </c>
      <c r="L451" s="5">
        <f ca="1">PERCENTILE(D$2:D450,0.975)</f>
        <v>1325.4389001408281</v>
      </c>
      <c r="M451" s="7">
        <f>AVERAGE(E$2:E450)</f>
        <v>1.3492462311557789</v>
      </c>
      <c r="N451" s="7">
        <f>PERCENTILE($E$2:$E450,0.025)</f>
        <v>-1.0749999999999993</v>
      </c>
      <c r="O451" s="7">
        <f>PERCENTILE($E$2:$E450,0.165)</f>
        <v>0</v>
      </c>
      <c r="P451" s="7">
        <f>PERCENTILE($E$2:$E450,0.5)</f>
        <v>1</v>
      </c>
      <c r="Q451" s="7">
        <f>PERCENTILE($E$2:$E450,0.835)</f>
        <v>3</v>
      </c>
      <c r="R451" s="7">
        <f>PERCENTILE($E$2:$E450,0.975)</f>
        <v>5</v>
      </c>
    </row>
    <row r="452" spans="1:18" x14ac:dyDescent="0.2">
      <c r="A452" s="5">
        <f>Data!E315</f>
        <v>2011</v>
      </c>
      <c r="B452" s="5">
        <f>Data!M315</f>
        <v>0.82521645021645018</v>
      </c>
      <c r="C452" s="5">
        <f>Data!N315</f>
        <v>0.13528138528138528</v>
      </c>
      <c r="D452" s="5">
        <f ca="1">Data!O315</f>
        <v>85</v>
      </c>
      <c r="E452" s="1">
        <f>Data!AQ315</f>
        <v>1</v>
      </c>
      <c r="F452" t="str">
        <f t="shared" si="6"/>
        <v/>
      </c>
      <c r="G452" s="5">
        <f ca="1">AVERAGE(D$2:D451)</f>
        <v>181.20408790558051</v>
      </c>
      <c r="H452" s="5">
        <f ca="1">PERCENTILE(D$2:D451,0.025)</f>
        <v>-4.0761122235846905</v>
      </c>
      <c r="I452" s="5">
        <f ca="1">PERCENTILE(D$2:D451,0.165)</f>
        <v>2.7125316013811887</v>
      </c>
      <c r="J452" s="5">
        <f ca="1">PERCENTILE(D$2:D451,0.5)</f>
        <v>38.865436807562645</v>
      </c>
      <c r="K452" s="5">
        <f ca="1">PERCENTILE(D$2:D451,0.835)</f>
        <v>259.23933196239943</v>
      </c>
      <c r="L452" s="5">
        <f ca="1">PERCENTILE(D$2:D451,0.975)</f>
        <v>1324.9969816385399</v>
      </c>
      <c r="M452" s="7">
        <f>AVERAGE(E$2:E451)</f>
        <v>1.3483709273182958</v>
      </c>
      <c r="N452" s="7">
        <f>PERCENTILE($E$2:$E451,0.025)</f>
        <v>-1.0499999999999989</v>
      </c>
      <c r="O452" s="7">
        <f>PERCENTILE($E$2:$E451,0.165)</f>
        <v>0</v>
      </c>
      <c r="P452" s="7">
        <f>PERCENTILE($E$2:$E451,0.5)</f>
        <v>1</v>
      </c>
      <c r="Q452" s="7">
        <f>PERCENTILE($E$2:$E451,0.835)</f>
        <v>3</v>
      </c>
      <c r="R452" s="7">
        <f>PERCENTILE($E$2:$E451,0.975)</f>
        <v>5</v>
      </c>
    </row>
    <row r="453" spans="1:18" x14ac:dyDescent="0.2">
      <c r="A453" s="5">
        <f>Data!E316</f>
        <v>2011</v>
      </c>
      <c r="B453" s="5">
        <f>Data!M316</f>
        <v>8.252164502164502E-3</v>
      </c>
      <c r="C453" s="5">
        <f>Data!N316</f>
        <v>1.3528138528138528E-3</v>
      </c>
      <c r="D453" s="5">
        <f ca="1">Data!O316</f>
        <v>81</v>
      </c>
      <c r="E453" s="1">
        <f>Data!AQ316</f>
        <v>1</v>
      </c>
      <c r="F453" t="str">
        <f t="shared" ref="F453:F516" si="7">IF(A453&lt;&gt;A452,A453,"")</f>
        <v/>
      </c>
      <c r="G453" s="5">
        <f ca="1">AVERAGE(D$2:D452)</f>
        <v>180.99077507208696</v>
      </c>
      <c r="H453" s="5">
        <f ca="1">PERCENTILE(D$2:D452,0.025)</f>
        <v>-4.0679736284216013</v>
      </c>
      <c r="I453" s="5">
        <f ca="1">PERCENTILE(D$2:D452,0.165)</f>
        <v>2.7394177103528943</v>
      </c>
      <c r="J453" s="5">
        <f ca="1">PERCENTILE(D$2:D452,0.5)</f>
        <v>39.490456692913391</v>
      </c>
      <c r="K453" s="5">
        <f ca="1">PERCENTILE(D$2:D452,0.835)</f>
        <v>259.01584587081925</v>
      </c>
      <c r="L453" s="5">
        <f ca="1">PERCENTILE(D$2:D452,0.975)</f>
        <v>1324.5550631362523</v>
      </c>
      <c r="M453" s="7">
        <f>AVERAGE(E$2:E452)</f>
        <v>1.3474999999999999</v>
      </c>
      <c r="N453" s="7">
        <f>PERCENTILE($E$2:$E452,0.025)</f>
        <v>-1.0249999999999986</v>
      </c>
      <c r="O453" s="7">
        <f>PERCENTILE($E$2:$E452,0.165)</f>
        <v>0</v>
      </c>
      <c r="P453" s="7">
        <f>PERCENTILE($E$2:$E452,0.5)</f>
        <v>1</v>
      </c>
      <c r="Q453" s="7">
        <f>PERCENTILE($E$2:$E452,0.835)</f>
        <v>3</v>
      </c>
      <c r="R453" s="7">
        <f>PERCENTILE($E$2:$E452,0.975)</f>
        <v>5</v>
      </c>
    </row>
    <row r="454" spans="1:18" x14ac:dyDescent="0.2">
      <c r="A454" s="5">
        <f>Data!E317</f>
        <v>2011</v>
      </c>
      <c r="B454" s="5">
        <f>Data!M317</f>
        <v>8.252164502164501E-2</v>
      </c>
      <c r="C454" s="5">
        <f>Data!N317</f>
        <v>1.3528138528138528E-2</v>
      </c>
      <c r="D454" s="5">
        <f ca="1">Data!O317</f>
        <v>87</v>
      </c>
      <c r="E454" s="1">
        <f>Data!AQ317</f>
        <v>1</v>
      </c>
      <c r="F454" t="str">
        <f t="shared" si="7"/>
        <v/>
      </c>
      <c r="G454" s="5">
        <f ca="1">AVERAGE(D$2:D453)</f>
        <v>180.76955654316643</v>
      </c>
      <c r="H454" s="5">
        <f ca="1">PERCENTILE(D$2:D453,0.025)</f>
        <v>-4.059835033258512</v>
      </c>
      <c r="I454" s="5">
        <f ca="1">PERCENTILE(D$2:D453,0.165)</f>
        <v>2.7663038193246026</v>
      </c>
      <c r="J454" s="5">
        <f ca="1">PERCENTILE(D$2:D453,0.5)</f>
        <v>39.676462467191605</v>
      </c>
      <c r="K454" s="5">
        <f ca="1">PERCENTILE(D$2:D453,0.835)</f>
        <v>258.79235977923901</v>
      </c>
      <c r="L454" s="5">
        <f ca="1">PERCENTILE(D$2:D453,0.975)</f>
        <v>1324.1131446339641</v>
      </c>
      <c r="M454" s="7">
        <f>AVERAGE(E$2:E453)</f>
        <v>1.3466334164588529</v>
      </c>
      <c r="N454" s="7">
        <f>PERCENTILE($E$2:$E453,0.025)</f>
        <v>-1</v>
      </c>
      <c r="O454" s="7">
        <f>PERCENTILE($E$2:$E453,0.165)</f>
        <v>0</v>
      </c>
      <c r="P454" s="7">
        <f>PERCENTILE($E$2:$E453,0.5)</f>
        <v>1</v>
      </c>
      <c r="Q454" s="7">
        <f>PERCENTILE($E$2:$E453,0.835)</f>
        <v>3</v>
      </c>
      <c r="R454" s="7">
        <f>PERCENTILE($E$2:$E453,0.975)</f>
        <v>5</v>
      </c>
    </row>
    <row r="455" spans="1:18" x14ac:dyDescent="0.2">
      <c r="A455" s="5">
        <f>Data!E318</f>
        <v>2011</v>
      </c>
      <c r="B455" s="5">
        <f>Data!M318</f>
        <v>8.252164502164502E-3</v>
      </c>
      <c r="C455" s="5">
        <f>Data!N318</f>
        <v>1.3528138528138528E-3</v>
      </c>
      <c r="D455" s="5">
        <f ca="1">Data!O318</f>
        <v>99</v>
      </c>
      <c r="E455" s="1">
        <f>Data!AQ318</f>
        <v>1</v>
      </c>
      <c r="F455" t="str">
        <f t="shared" si="7"/>
        <v/>
      </c>
      <c r="G455" s="5">
        <f ca="1">AVERAGE(D$2:D454)</f>
        <v>180.56255972960534</v>
      </c>
      <c r="H455" s="5">
        <f ca="1">PERCENTILE(D$2:D454,0.025)</f>
        <v>-4.0516964380954228</v>
      </c>
      <c r="I455" s="5">
        <f ca="1">PERCENTILE(D$2:D454,0.165)</f>
        <v>2.7931899282963082</v>
      </c>
      <c r="J455" s="5">
        <f ca="1">PERCENTILE(D$2:D454,0.5)</f>
        <v>39.86246824146982</v>
      </c>
      <c r="K455" s="5">
        <f ca="1">PERCENTILE(D$2:D454,0.835)</f>
        <v>258.56887368765871</v>
      </c>
      <c r="L455" s="5">
        <f ca="1">PERCENTILE(D$2:D454,0.975)</f>
        <v>1323.6712261316766</v>
      </c>
      <c r="M455" s="7">
        <f>AVERAGE(E$2:E454)</f>
        <v>1.3457711442786069</v>
      </c>
      <c r="N455" s="7">
        <f>PERCENTILE($E$2:$E454,0.025)</f>
        <v>-1</v>
      </c>
      <c r="O455" s="7">
        <f>PERCENTILE($E$2:$E454,0.165)</f>
        <v>0</v>
      </c>
      <c r="P455" s="7">
        <f>PERCENTILE($E$2:$E454,0.5)</f>
        <v>1</v>
      </c>
      <c r="Q455" s="7">
        <f>PERCENTILE($E$2:$E454,0.835)</f>
        <v>3</v>
      </c>
      <c r="R455" s="7">
        <f>PERCENTILE($E$2:$E454,0.975)</f>
        <v>4.9749999999999659</v>
      </c>
    </row>
    <row r="456" spans="1:18" x14ac:dyDescent="0.2">
      <c r="A456" s="5">
        <f>Data!E319</f>
        <v>2011</v>
      </c>
      <c r="B456" s="5">
        <f>Data!M319</f>
        <v>8.252164502164502E-4</v>
      </c>
      <c r="C456" s="5">
        <f>Data!N319</f>
        <v>1.3528138528138528E-4</v>
      </c>
      <c r="D456" s="5">
        <f ca="1">Data!O319</f>
        <v>131</v>
      </c>
      <c r="E456" s="1">
        <f>Data!AQ319</f>
        <v>1</v>
      </c>
      <c r="F456" t="str">
        <f t="shared" si="7"/>
        <v/>
      </c>
      <c r="G456" s="5">
        <f ca="1">AVERAGE(D$2:D455)</f>
        <v>180.3829065143419</v>
      </c>
      <c r="H456" s="5">
        <f ca="1">PERCENTILE(D$2:D455,0.025)</f>
        <v>-4.0435578429323336</v>
      </c>
      <c r="I456" s="5">
        <f ca="1">PERCENTILE(D$2:D455,0.165)</f>
        <v>2.8200760372680165</v>
      </c>
      <c r="J456" s="5">
        <f ca="1">PERCENTILE(D$2:D455,0.5)</f>
        <v>39.881577286972785</v>
      </c>
      <c r="K456" s="5">
        <f ca="1">PERCENTILE(D$2:D455,0.835)</f>
        <v>258.34538759607852</v>
      </c>
      <c r="L456" s="5">
        <f ca="1">PERCENTILE(D$2:D455,0.975)</f>
        <v>1323.2293076293893</v>
      </c>
      <c r="M456" s="7">
        <f>AVERAGE(E$2:E455)</f>
        <v>1.3449131513647643</v>
      </c>
      <c r="N456" s="7">
        <f>PERCENTILE($E$2:$E455,0.025)</f>
        <v>-1</v>
      </c>
      <c r="O456" s="7">
        <f>PERCENTILE($E$2:$E455,0.165)</f>
        <v>0</v>
      </c>
      <c r="P456" s="7">
        <f>PERCENTILE($E$2:$E455,0.5)</f>
        <v>1</v>
      </c>
      <c r="Q456" s="7">
        <f>PERCENTILE($E$2:$E455,0.835)</f>
        <v>3</v>
      </c>
      <c r="R456" s="7">
        <f>PERCENTILE($E$2:$E455,0.975)</f>
        <v>4.9499999999999886</v>
      </c>
    </row>
    <row r="457" spans="1:18" x14ac:dyDescent="0.2">
      <c r="A457" s="5">
        <f>Data!E320</f>
        <v>2011</v>
      </c>
      <c r="B457" s="5">
        <f>Data!M320</f>
        <v>8.252164502164501E-2</v>
      </c>
      <c r="C457" s="5">
        <f>Data!N320</f>
        <v>1.3528138528138528E-2</v>
      </c>
      <c r="D457" s="5">
        <f ca="1">Data!O320</f>
        <v>145</v>
      </c>
      <c r="E457" s="1">
        <f>Data!AQ320</f>
        <v>1</v>
      </c>
      <c r="F457" t="str">
        <f t="shared" si="7"/>
        <v/>
      </c>
      <c r="G457" s="5">
        <f ca="1">AVERAGE(D$2:D456)</f>
        <v>180.27437265387081</v>
      </c>
      <c r="H457" s="5">
        <f ca="1">PERCENTILE(D$2:D456,0.025)</f>
        <v>-4.0354192477692443</v>
      </c>
      <c r="I457" s="5">
        <f ca="1">PERCENTILE(D$2:D456,0.165)</f>
        <v>2.8469621462397221</v>
      </c>
      <c r="J457" s="5">
        <f ca="1">PERCENTILE(D$2:D456,0.5)</f>
        <v>39.900686332475743</v>
      </c>
      <c r="K457" s="5">
        <f ca="1">PERCENTILE(D$2:D456,0.835)</f>
        <v>258.12190150449828</v>
      </c>
      <c r="L457" s="5">
        <f ca="1">PERCENTILE(D$2:D456,0.975)</f>
        <v>1322.7873891271008</v>
      </c>
      <c r="M457" s="7">
        <f>AVERAGE(E$2:E456)</f>
        <v>1.3440594059405941</v>
      </c>
      <c r="N457" s="7">
        <f>PERCENTILE($E$2:$E456,0.025)</f>
        <v>-1</v>
      </c>
      <c r="O457" s="7">
        <f>PERCENTILE($E$2:$E456,0.165)</f>
        <v>0</v>
      </c>
      <c r="P457" s="7">
        <f>PERCENTILE($E$2:$E456,0.5)</f>
        <v>1</v>
      </c>
      <c r="Q457" s="7">
        <f>PERCENTILE($E$2:$E456,0.835)</f>
        <v>3</v>
      </c>
      <c r="R457" s="7">
        <f>PERCENTILE($E$2:$E456,0.975)</f>
        <v>4.9250000000000114</v>
      </c>
    </row>
    <row r="458" spans="1:18" x14ac:dyDescent="0.2">
      <c r="A458" s="5">
        <f>Data!E321</f>
        <v>2011</v>
      </c>
      <c r="B458" s="5">
        <f>Data!M321</f>
        <v>8.252164502164502E-3</v>
      </c>
      <c r="C458" s="5">
        <f>Data!N321</f>
        <v>1.3528138528138528E-3</v>
      </c>
      <c r="D458" s="5">
        <f ca="1">Data!O321</f>
        <v>236</v>
      </c>
      <c r="E458" s="1">
        <f>Data!AQ321</f>
        <v>1</v>
      </c>
      <c r="F458" t="str">
        <f t="shared" si="7"/>
        <v/>
      </c>
      <c r="G458" s="5">
        <f ca="1">AVERAGE(D$2:D457)</f>
        <v>180.19701657348952</v>
      </c>
      <c r="H458" s="5">
        <f ca="1">PERCENTILE(D$2:D457,0.025)</f>
        <v>-4.0272806526061551</v>
      </c>
      <c r="I458" s="5">
        <f ca="1">PERCENTILE(D$2:D457,0.165)</f>
        <v>2.8681306677487073</v>
      </c>
      <c r="J458" s="5">
        <f ca="1">PERCENTILE(D$2:D457,0.5)</f>
        <v>40.038619114703394</v>
      </c>
      <c r="K458" s="5">
        <f ca="1">PERCENTILE(D$2:D457,0.835)</f>
        <v>257.65545799803846</v>
      </c>
      <c r="L458" s="5">
        <f ca="1">PERCENTILE(D$2:D457,0.975)</f>
        <v>1322.3454706248135</v>
      </c>
      <c r="M458" s="7">
        <f>AVERAGE(E$2:E457)</f>
        <v>1.3432098765432099</v>
      </c>
      <c r="N458" s="7">
        <f>PERCENTILE($E$2:$E457,0.025)</f>
        <v>-1</v>
      </c>
      <c r="O458" s="7">
        <f>PERCENTILE($E$2:$E457,0.165)</f>
        <v>0</v>
      </c>
      <c r="P458" s="7">
        <f>PERCENTILE($E$2:$E457,0.5)</f>
        <v>1</v>
      </c>
      <c r="Q458" s="7">
        <f>PERCENTILE($E$2:$E457,0.835)</f>
        <v>3</v>
      </c>
      <c r="R458" s="7">
        <f>PERCENTILE($E$2:$E457,0.975)</f>
        <v>4.8999999999999773</v>
      </c>
    </row>
    <row r="459" spans="1:18" x14ac:dyDescent="0.2">
      <c r="A459" s="5">
        <f>Data!E322</f>
        <v>2011</v>
      </c>
      <c r="B459" s="5">
        <f>Data!M322</f>
        <v>8.252164502164502E-4</v>
      </c>
      <c r="C459" s="5">
        <f>Data!N322</f>
        <v>1.3528138528138528E-4</v>
      </c>
      <c r="D459" s="5">
        <f ca="1">Data!O322</f>
        <v>265</v>
      </c>
      <c r="E459" s="1">
        <f>Data!AQ322</f>
        <v>1</v>
      </c>
      <c r="F459" t="str">
        <f t="shared" si="7"/>
        <v/>
      </c>
      <c r="G459" s="5">
        <f ca="1">AVERAGE(D$2:D458)</f>
        <v>180.31912375823023</v>
      </c>
      <c r="H459" s="5">
        <f ca="1">PERCENTILE(D$2:D458,0.025)</f>
        <v>-4.0191420574430659</v>
      </c>
      <c r="I459" s="5">
        <f ca="1">PERCENTILE(D$2:D458,0.165)</f>
        <v>2.8824380843024251</v>
      </c>
      <c r="J459" s="5">
        <f ca="1">PERCENTILE(D$2:D458,0.5)</f>
        <v>40.176551896931038</v>
      </c>
      <c r="K459" s="5">
        <f ca="1">PERCENTILE(D$2:D458,0.835)</f>
        <v>256.89746559372287</v>
      </c>
      <c r="L459" s="5">
        <f ca="1">PERCENTILE(D$2:D458,0.975)</f>
        <v>1321.9035521225251</v>
      </c>
      <c r="M459" s="7">
        <f>AVERAGE(E$2:E458)</f>
        <v>1.3423645320197044</v>
      </c>
      <c r="N459" s="7">
        <f>PERCENTILE($E$2:$E458,0.025)</f>
        <v>-1</v>
      </c>
      <c r="O459" s="7">
        <f>PERCENTILE($E$2:$E458,0.165)</f>
        <v>0</v>
      </c>
      <c r="P459" s="7">
        <f>PERCENTILE($E$2:$E458,0.5)</f>
        <v>1</v>
      </c>
      <c r="Q459" s="7">
        <f>PERCENTILE($E$2:$E458,0.835)</f>
        <v>3</v>
      </c>
      <c r="R459" s="7">
        <f>PERCENTILE($E$2:$E458,0.975)</f>
        <v>4.875</v>
      </c>
    </row>
    <row r="460" spans="1:18" x14ac:dyDescent="0.2">
      <c r="A460" s="5">
        <f>Data!E323</f>
        <v>2011</v>
      </c>
      <c r="B460" s="5">
        <f>Data!M323</f>
        <v>0.82521645021645018</v>
      </c>
      <c r="C460" s="5">
        <f>Data!N323</f>
        <v>0.13528138528138528</v>
      </c>
      <c r="D460" s="5">
        <f ca="1">Data!O323</f>
        <v>8</v>
      </c>
      <c r="E460" s="1">
        <f>Data!AQ323</f>
        <v>3</v>
      </c>
      <c r="F460" t="str">
        <f t="shared" si="7"/>
        <v/>
      </c>
      <c r="G460" s="5">
        <f ca="1">AVERAGE(D$2:D459)</f>
        <v>180.50401650111621</v>
      </c>
      <c r="H460" s="5">
        <f ca="1">PERCENTILE(D$2:D459,0.025)</f>
        <v>-4.0110034622799766</v>
      </c>
      <c r="I460" s="5">
        <f ca="1">PERCENTILE(D$2:D459,0.165)</f>
        <v>2.8967455008561411</v>
      </c>
      <c r="J460" s="5">
        <f ca="1">PERCENTILE(D$2:D459,0.5)</f>
        <v>40.256980663024365</v>
      </c>
      <c r="K460" s="5">
        <f ca="1">PERCENTILE(D$2:D459,0.835)</f>
        <v>258.80590439084989</v>
      </c>
      <c r="L460" s="5">
        <f ca="1">PERCENTILE(D$2:D459,0.975)</f>
        <v>1321.4616336202378</v>
      </c>
      <c r="M460" s="7">
        <f>AVERAGE(E$2:E459)</f>
        <v>1.3415233415233416</v>
      </c>
      <c r="N460" s="7">
        <f>PERCENTILE($E$2:$E459,0.025)</f>
        <v>-1</v>
      </c>
      <c r="O460" s="7">
        <f>PERCENTILE($E$2:$E459,0.165)</f>
        <v>0</v>
      </c>
      <c r="P460" s="7">
        <f>PERCENTILE($E$2:$E459,0.5)</f>
        <v>1</v>
      </c>
      <c r="Q460" s="7">
        <f>PERCENTILE($E$2:$E459,0.835)</f>
        <v>3</v>
      </c>
      <c r="R460" s="7">
        <f>PERCENTILE($E$2:$E459,0.975)</f>
        <v>4.8499999999999659</v>
      </c>
    </row>
    <row r="461" spans="1:18" x14ac:dyDescent="0.2">
      <c r="A461" s="5">
        <f>Data!E324</f>
        <v>2011</v>
      </c>
      <c r="B461" s="5">
        <f>Data!M324</f>
        <v>8.252164502164502E-3</v>
      </c>
      <c r="C461" s="5">
        <f>Data!N324</f>
        <v>1.3528138528138528E-3</v>
      </c>
      <c r="D461" s="5">
        <f ca="1">Data!O324</f>
        <v>8</v>
      </c>
      <c r="E461" s="1">
        <f>Data!AQ324</f>
        <v>3</v>
      </c>
      <c r="F461" t="str">
        <f t="shared" si="7"/>
        <v/>
      </c>
      <c r="G461" s="5">
        <f ca="1">AVERAGE(D$2:D460)</f>
        <v>180.12819075710507</v>
      </c>
      <c r="H461" s="5">
        <f ca="1">PERCENTILE(D$2:D460,0.025)</f>
        <v>-4.0028648671168874</v>
      </c>
      <c r="I461" s="5">
        <f ca="1">PERCENTILE(D$2:D460,0.165)</f>
        <v>2.9110529174098589</v>
      </c>
      <c r="J461" s="5">
        <f ca="1">PERCENTILE(D$2:D460,0.5)</f>
        <v>40.176551896931038</v>
      </c>
      <c r="K461" s="5">
        <f ca="1">PERCENTILE(D$2:D460,0.835)</f>
        <v>258.5824182992697</v>
      </c>
      <c r="L461" s="5">
        <f ca="1">PERCENTILE(D$2:D460,0.975)</f>
        <v>1321.0197151179505</v>
      </c>
      <c r="M461" s="7">
        <f>AVERAGE(E$2:E460)</f>
        <v>1.3455882352941178</v>
      </c>
      <c r="N461" s="7">
        <f>PERCENTILE($E$2:$E460,0.025)</f>
        <v>-1</v>
      </c>
      <c r="O461" s="7">
        <f>PERCENTILE($E$2:$E460,0.165)</f>
        <v>0</v>
      </c>
      <c r="P461" s="7">
        <f>PERCENTILE($E$2:$E460,0.5)</f>
        <v>1</v>
      </c>
      <c r="Q461" s="7">
        <f>PERCENTILE($E$2:$E460,0.835)</f>
        <v>3</v>
      </c>
      <c r="R461" s="7">
        <f>PERCENTILE($E$2:$E460,0.975)</f>
        <v>4.8249999999999886</v>
      </c>
    </row>
    <row r="462" spans="1:18" x14ac:dyDescent="0.2">
      <c r="A462" s="5">
        <f>Data!E325</f>
        <v>2011</v>
      </c>
      <c r="B462" s="5">
        <f>Data!M325</f>
        <v>8.252164502164501E-2</v>
      </c>
      <c r="C462" s="5">
        <f>Data!N325</f>
        <v>1.3528138528138528E-2</v>
      </c>
      <c r="D462" s="5">
        <f ca="1">Data!O325</f>
        <v>8</v>
      </c>
      <c r="E462" s="1">
        <f>Data!AQ325</f>
        <v>3</v>
      </c>
      <c r="F462" t="str">
        <f t="shared" si="7"/>
        <v/>
      </c>
      <c r="G462" s="5">
        <f ca="1">AVERAGE(D$2:D461)</f>
        <v>179.75399903806789</v>
      </c>
      <c r="H462" s="5">
        <f ca="1">PERCENTILE(D$2:D461,0.025)</f>
        <v>-3.9947262719537981</v>
      </c>
      <c r="I462" s="5">
        <f ca="1">PERCENTILE(D$2:D461,0.165)</f>
        <v>2.9253603339635754</v>
      </c>
      <c r="J462" s="5">
        <f ca="1">PERCENTILE(D$2:D461,0.5)</f>
        <v>40.038619114703394</v>
      </c>
      <c r="K462" s="5">
        <f ca="1">PERCENTILE(D$2:D461,0.835)</f>
        <v>258.35893220768946</v>
      </c>
      <c r="L462" s="5">
        <f ca="1">PERCENTILE(D$2:D461,0.975)</f>
        <v>1320.577796615662</v>
      </c>
      <c r="M462" s="7">
        <f>AVERAGE(E$2:E461)</f>
        <v>1.3496332518337408</v>
      </c>
      <c r="N462" s="7">
        <f>PERCENTILE($E$2:$E461,0.025)</f>
        <v>-1</v>
      </c>
      <c r="O462" s="7">
        <f>PERCENTILE($E$2:$E461,0.165)</f>
        <v>0</v>
      </c>
      <c r="P462" s="7">
        <f>PERCENTILE($E$2:$E461,0.5)</f>
        <v>1</v>
      </c>
      <c r="Q462" s="7">
        <f>PERCENTILE($E$2:$E461,0.835)</f>
        <v>3</v>
      </c>
      <c r="R462" s="7">
        <f>PERCENTILE($E$2:$E461,0.975)</f>
        <v>4.8000000000000114</v>
      </c>
    </row>
    <row r="463" spans="1:18" x14ac:dyDescent="0.2">
      <c r="A463" s="5">
        <f>Data!E326</f>
        <v>2011</v>
      </c>
      <c r="B463" s="5">
        <f>Data!M326</f>
        <v>8.252164502164502E-3</v>
      </c>
      <c r="C463" s="5">
        <f>Data!N326</f>
        <v>1.3528138528138528E-3</v>
      </c>
      <c r="D463" s="5">
        <f ca="1">Data!O326</f>
        <v>11</v>
      </c>
      <c r="E463" s="1">
        <f>Data!AQ326</f>
        <v>3</v>
      </c>
      <c r="F463" t="str">
        <f t="shared" si="7"/>
        <v/>
      </c>
      <c r="G463" s="5">
        <f ca="1">AVERAGE(D$2:D462)</f>
        <v>179.38143071043649</v>
      </c>
      <c r="H463" s="5">
        <f ca="1">PERCENTILE(D$2:D462,0.025)</f>
        <v>-3.9865876767907094</v>
      </c>
      <c r="I463" s="5">
        <f ca="1">PERCENTILE(D$2:D462,0.165)</f>
        <v>2.9396677505172928</v>
      </c>
      <c r="J463" s="5">
        <f ca="1">PERCENTILE(D$2:D462,0.5)</f>
        <v>39.900686332475743</v>
      </c>
      <c r="K463" s="5">
        <f ca="1">PERCENTILE(D$2:D462,0.835)</f>
        <v>258.13544611610916</v>
      </c>
      <c r="L463" s="5">
        <f ca="1">PERCENTILE(D$2:D462,0.975)</f>
        <v>1320.1358781133745</v>
      </c>
      <c r="M463" s="7">
        <f>AVERAGE(E$2:E462)</f>
        <v>1.3536585365853659</v>
      </c>
      <c r="N463" s="7">
        <f>PERCENTILE($E$2:$E462,0.025)</f>
        <v>-1</v>
      </c>
      <c r="O463" s="7">
        <f>PERCENTILE($E$2:$E462,0.165)</f>
        <v>0</v>
      </c>
      <c r="P463" s="7">
        <f>PERCENTILE($E$2:$E462,0.5)</f>
        <v>1</v>
      </c>
      <c r="Q463" s="7">
        <f>PERCENTILE($E$2:$E462,0.835)</f>
        <v>3</v>
      </c>
      <c r="R463" s="7">
        <f>PERCENTILE($E$2:$E462,0.975)</f>
        <v>4.7749999999999773</v>
      </c>
    </row>
    <row r="464" spans="1:18" x14ac:dyDescent="0.2">
      <c r="A464" s="5">
        <f>Data!E327</f>
        <v>2011</v>
      </c>
      <c r="B464" s="5">
        <f>Data!M327</f>
        <v>8.252164502164502E-4</v>
      </c>
      <c r="C464" s="5">
        <f>Data!N327</f>
        <v>1.3528138528138528E-4</v>
      </c>
      <c r="D464" s="5">
        <f ca="1">Data!O327</f>
        <v>15</v>
      </c>
      <c r="E464" s="1">
        <f>Data!AQ327</f>
        <v>3</v>
      </c>
      <c r="F464" t="str">
        <f t="shared" si="7"/>
        <v/>
      </c>
      <c r="G464" s="5">
        <f ca="1">AVERAGE(D$2:D463)</f>
        <v>179.01696873920179</v>
      </c>
      <c r="H464" s="5">
        <f ca="1">PERCENTILE(D$2:D463,0.025)</f>
        <v>-3.9784490816276201</v>
      </c>
      <c r="I464" s="5">
        <f ca="1">PERCENTILE(D$2:D463,0.165)</f>
        <v>2.9532624655220605</v>
      </c>
      <c r="J464" s="5">
        <f ca="1">PERCENTILE(D$2:D463,0.5)</f>
        <v>39.881577286972785</v>
      </c>
      <c r="K464" s="5">
        <f ca="1">PERCENTILE(D$2:D463,0.835)</f>
        <v>257.70139693163333</v>
      </c>
      <c r="L464" s="5">
        <f ca="1">PERCENTILE(D$2:D463,0.975)</f>
        <v>1319.6939596110863</v>
      </c>
      <c r="M464" s="7">
        <f>AVERAGE(E$2:E463)</f>
        <v>1.3576642335766422</v>
      </c>
      <c r="N464" s="7">
        <f>PERCENTILE($E$2:$E463,0.025)</f>
        <v>-1</v>
      </c>
      <c r="O464" s="7">
        <f>PERCENTILE($E$2:$E463,0.165)</f>
        <v>0</v>
      </c>
      <c r="P464" s="7">
        <f>PERCENTILE($E$2:$E463,0.5)</f>
        <v>1</v>
      </c>
      <c r="Q464" s="7">
        <f>PERCENTILE($E$2:$E463,0.835)</f>
        <v>3</v>
      </c>
      <c r="R464" s="7">
        <f>PERCENTILE($E$2:$E463,0.975)</f>
        <v>4.75</v>
      </c>
    </row>
    <row r="465" spans="1:18" x14ac:dyDescent="0.2">
      <c r="A465" s="5">
        <f>Data!E328</f>
        <v>2011</v>
      </c>
      <c r="B465" s="5">
        <f>Data!M328</f>
        <v>8.252164502164501E-2</v>
      </c>
      <c r="C465" s="5">
        <f>Data!N328</f>
        <v>1.3528138528138528E-2</v>
      </c>
      <c r="D465" s="5">
        <f ca="1">Data!O328</f>
        <v>12</v>
      </c>
      <c r="E465" s="1">
        <f>Data!AQ328</f>
        <v>3</v>
      </c>
      <c r="F465" t="str">
        <f t="shared" si="7"/>
        <v/>
      </c>
      <c r="G465" s="5">
        <f ca="1">AVERAGE(D$2:D464)</f>
        <v>178.66272042659011</v>
      </c>
      <c r="H465" s="5">
        <f ca="1">PERCENTILE(D$2:D464,0.025)</f>
        <v>-3.9703104864645309</v>
      </c>
      <c r="I465" s="5">
        <f ca="1">PERCENTILE(D$2:D464,0.165)</f>
        <v>2.9657607166053697</v>
      </c>
      <c r="J465" s="5">
        <f ca="1">PERCENTILE(D$2:D464,0.5)</f>
        <v>39.86246824146982</v>
      </c>
      <c r="K465" s="5">
        <f ca="1">PERCENTILE(D$2:D464,0.835)</f>
        <v>256.94340452731768</v>
      </c>
      <c r="L465" s="5">
        <f ca="1">PERCENTILE(D$2:D464,0.975)</f>
        <v>1319.2520411087987</v>
      </c>
      <c r="M465" s="7">
        <f>AVERAGE(E$2:E464)</f>
        <v>1.3616504854368932</v>
      </c>
      <c r="N465" s="7">
        <f>PERCENTILE($E$2:$E464,0.025)</f>
        <v>-1</v>
      </c>
      <c r="O465" s="7">
        <f>PERCENTILE($E$2:$E464,0.165)</f>
        <v>0</v>
      </c>
      <c r="P465" s="7">
        <f>PERCENTILE($E$2:$E464,0.5)</f>
        <v>1</v>
      </c>
      <c r="Q465" s="7">
        <f>PERCENTILE($E$2:$E464,0.835)</f>
        <v>3</v>
      </c>
      <c r="R465" s="7">
        <f>PERCENTILE($E$2:$E464,0.975)</f>
        <v>4.7249999999999659</v>
      </c>
    </row>
    <row r="466" spans="1:18" x14ac:dyDescent="0.2">
      <c r="A466" s="5">
        <f>Data!E329</f>
        <v>2011</v>
      </c>
      <c r="B466" s="5">
        <f>Data!M329</f>
        <v>8.252164502164502E-3</v>
      </c>
      <c r="C466" s="5">
        <f>Data!N329</f>
        <v>1.3528138528138528E-3</v>
      </c>
      <c r="D466" s="5">
        <f ca="1">Data!O329</f>
        <v>18</v>
      </c>
      <c r="E466" s="1">
        <f>Data!AQ329</f>
        <v>3</v>
      </c>
      <c r="F466" t="str">
        <f t="shared" si="7"/>
        <v/>
      </c>
      <c r="G466" s="5">
        <f ca="1">AVERAGE(D$2:D465)</f>
        <v>178.30353352911902</v>
      </c>
      <c r="H466" s="5">
        <f ca="1">PERCENTILE(D$2:D465,0.025)</f>
        <v>-3.9621718913014412</v>
      </c>
      <c r="I466" s="5">
        <f ca="1">PERCENTILE(D$2:D465,0.165)</f>
        <v>2.9782589676886788</v>
      </c>
      <c r="J466" s="5">
        <f ca="1">PERCENTILE(D$2:D465,0.5)</f>
        <v>39.676462467191605</v>
      </c>
      <c r="K466" s="5">
        <f ca="1">PERCENTILE(D$2:D465,0.835)</f>
        <v>256.1854121230021</v>
      </c>
      <c r="L466" s="5">
        <f ca="1">PERCENTILE(D$2:D465,0.975)</f>
        <v>1318.8101226065114</v>
      </c>
      <c r="M466" s="7">
        <f>AVERAGE(E$2:E465)</f>
        <v>1.3656174334140436</v>
      </c>
      <c r="N466" s="7">
        <f>PERCENTILE($E$2:$E465,0.025)</f>
        <v>-1</v>
      </c>
      <c r="O466" s="7">
        <f>PERCENTILE($E$2:$E465,0.165)</f>
        <v>0</v>
      </c>
      <c r="P466" s="7">
        <f>PERCENTILE($E$2:$E465,0.5)</f>
        <v>1</v>
      </c>
      <c r="Q466" s="7">
        <f>PERCENTILE($E$2:$E465,0.835)</f>
        <v>3</v>
      </c>
      <c r="R466" s="7">
        <f>PERCENTILE($E$2:$E465,0.975)</f>
        <v>4.6999999999999886</v>
      </c>
    </row>
    <row r="467" spans="1:18" x14ac:dyDescent="0.2">
      <c r="A467" s="5">
        <f>Data!E330</f>
        <v>2011</v>
      </c>
      <c r="B467" s="5">
        <f>Data!M330</f>
        <v>8.252164502164502E-4</v>
      </c>
      <c r="C467" s="5">
        <f>Data!N330</f>
        <v>1.3528138528138528E-4</v>
      </c>
      <c r="D467" s="5">
        <f ca="1">Data!O330</f>
        <v>19</v>
      </c>
      <c r="E467" s="1">
        <f>Data!AQ330</f>
        <v>3</v>
      </c>
      <c r="F467" t="str">
        <f t="shared" si="7"/>
        <v/>
      </c>
      <c r="G467" s="5">
        <f ca="1">AVERAGE(D$2:D466)</f>
        <v>177.95879474733596</v>
      </c>
      <c r="H467" s="5">
        <f ca="1">PERCENTILE(D$2:D466,0.025)</f>
        <v>-3.954033296138352</v>
      </c>
      <c r="I467" s="5">
        <f ca="1">PERCENTILE(D$2:D466,0.165)</f>
        <v>2.9907572187719866</v>
      </c>
      <c r="J467" s="5">
        <f ca="1">PERCENTILE(D$2:D466,0.5)</f>
        <v>39.490456692913391</v>
      </c>
      <c r="K467" s="5">
        <f ca="1">PERCENTILE(D$2:D466,0.835)</f>
        <v>255.42741971868676</v>
      </c>
      <c r="L467" s="5">
        <f ca="1">PERCENTILE(D$2:D466,0.975)</f>
        <v>1318.368204104223</v>
      </c>
      <c r="M467" s="7">
        <f>AVERAGE(E$2:E466)</f>
        <v>1.3695652173913044</v>
      </c>
      <c r="N467" s="7">
        <f>PERCENTILE($E$2:$E466,0.025)</f>
        <v>-1</v>
      </c>
      <c r="O467" s="7">
        <f>PERCENTILE($E$2:$E466,0.165)</f>
        <v>0</v>
      </c>
      <c r="P467" s="7">
        <f>PERCENTILE($E$2:$E466,0.5)</f>
        <v>1</v>
      </c>
      <c r="Q467" s="7">
        <f>PERCENTILE($E$2:$E466,0.835)</f>
        <v>3</v>
      </c>
      <c r="R467" s="7">
        <f>PERCENTILE($E$2:$E466,0.975)</f>
        <v>4.6750000000000114</v>
      </c>
    </row>
    <row r="468" spans="1:18" x14ac:dyDescent="0.2">
      <c r="A468" s="5">
        <f>Data!E331</f>
        <v>2011</v>
      </c>
      <c r="B468" s="5">
        <f>Data!M331</f>
        <v>0.82521645021645018</v>
      </c>
      <c r="C468" s="5">
        <f>Data!N331</f>
        <v>0.13528138528138528</v>
      </c>
      <c r="D468" s="5">
        <f ca="1">Data!O331</f>
        <v>5</v>
      </c>
      <c r="E468" s="1">
        <f>Data!AQ331</f>
        <v>3</v>
      </c>
      <c r="F468" t="str">
        <f t="shared" si="7"/>
        <v/>
      </c>
      <c r="G468" s="5">
        <f ca="1">AVERAGE(D$2:D467)</f>
        <v>177.61768145388675</v>
      </c>
      <c r="H468" s="5">
        <f ca="1">PERCENTILE(D$2:D467,0.025)</f>
        <v>-3.9458947009752632</v>
      </c>
      <c r="I468" s="5">
        <f ca="1">PERCENTILE(D$2:D467,0.165)</f>
        <v>3.0032554698552958</v>
      </c>
      <c r="J468" s="5">
        <f ca="1">PERCENTILE(D$2:D467,0.5)</f>
        <v>38.865436807562645</v>
      </c>
      <c r="K468" s="5">
        <f ca="1">PERCENTILE(D$2:D467,0.835)</f>
        <v>254.66942731437118</v>
      </c>
      <c r="L468" s="5">
        <f ca="1">PERCENTILE(D$2:D467,0.975)</f>
        <v>1317.9262856019357</v>
      </c>
      <c r="M468" s="7">
        <f>AVERAGE(E$2:E467)</f>
        <v>1.3734939759036144</v>
      </c>
      <c r="N468" s="7">
        <f>PERCENTILE($E$2:$E467,0.025)</f>
        <v>-1</v>
      </c>
      <c r="O468" s="7">
        <f>PERCENTILE($E$2:$E467,0.165)</f>
        <v>0</v>
      </c>
      <c r="P468" s="7">
        <f>PERCENTILE($E$2:$E467,0.5)</f>
        <v>1</v>
      </c>
      <c r="Q468" s="7">
        <f>PERCENTILE($E$2:$E467,0.835)</f>
        <v>3</v>
      </c>
      <c r="R468" s="7">
        <f>PERCENTILE($E$2:$E467,0.975)</f>
        <v>4.6499999999999773</v>
      </c>
    </row>
    <row r="469" spans="1:18" x14ac:dyDescent="0.2">
      <c r="A469" s="5">
        <f>Data!E332</f>
        <v>2011</v>
      </c>
      <c r="B469" s="5">
        <f>Data!M332</f>
        <v>8.252164502164502E-3</v>
      </c>
      <c r="C469" s="5">
        <f>Data!N332</f>
        <v>1.3528138528138528E-3</v>
      </c>
      <c r="D469" s="5">
        <f ca="1">Data!O332</f>
        <v>4</v>
      </c>
      <c r="E469" s="1">
        <f>Data!AQ332</f>
        <v>3</v>
      </c>
      <c r="F469" t="str">
        <f t="shared" si="7"/>
        <v/>
      </c>
      <c r="G469" s="5">
        <f ca="1">AVERAGE(D$2:D468)</f>
        <v>177.2480504443495</v>
      </c>
      <c r="H469" s="5">
        <f ca="1">PERCENTILE(D$2:D468,0.025)</f>
        <v>-3.9377561058121739</v>
      </c>
      <c r="I469" s="5">
        <f ca="1">PERCENTILE(D$2:D468,0.165)</f>
        <v>3.0157537209386041</v>
      </c>
      <c r="J469" s="5">
        <f ca="1">PERCENTILE(D$2:D468,0.5)</f>
        <v>38.240416922211907</v>
      </c>
      <c r="K469" s="5">
        <f ca="1">PERCENTILE(D$2:D468,0.835)</f>
        <v>253.91143491005559</v>
      </c>
      <c r="L469" s="5">
        <f ca="1">PERCENTILE(D$2:D468,0.975)</f>
        <v>1317.4843670996472</v>
      </c>
      <c r="M469" s="7">
        <f>AVERAGE(E$2:E468)</f>
        <v>1.3774038461538463</v>
      </c>
      <c r="N469" s="7">
        <f>PERCENTILE($E$2:$E468,0.025)</f>
        <v>-1</v>
      </c>
      <c r="O469" s="7">
        <f>PERCENTILE($E$2:$E468,0.165)</f>
        <v>0</v>
      </c>
      <c r="P469" s="7">
        <f>PERCENTILE($E$2:$E468,0.5)</f>
        <v>1</v>
      </c>
      <c r="Q469" s="7">
        <f>PERCENTILE($E$2:$E468,0.835)</f>
        <v>3</v>
      </c>
      <c r="R469" s="7">
        <f>PERCENTILE($E$2:$E468,0.975)</f>
        <v>4.625</v>
      </c>
    </row>
    <row r="470" spans="1:18" x14ac:dyDescent="0.2">
      <c r="A470" s="5">
        <f>Data!E333</f>
        <v>2011</v>
      </c>
      <c r="B470" s="5">
        <f>Data!M333</f>
        <v>8.252164502164501E-2</v>
      </c>
      <c r="C470" s="5">
        <f>Data!N333</f>
        <v>1.3528138528138528E-2</v>
      </c>
      <c r="D470" s="5">
        <f ca="1">Data!O333</f>
        <v>5</v>
      </c>
      <c r="E470" s="1">
        <f>Data!AQ333</f>
        <v>3</v>
      </c>
      <c r="F470" t="str">
        <f t="shared" si="7"/>
        <v/>
      </c>
      <c r="G470" s="5">
        <f ca="1">AVERAGE(D$2:D469)</f>
        <v>176.87786230237441</v>
      </c>
      <c r="H470" s="5">
        <f ca="1">PERCENTILE(D$2:D469,0.025)</f>
        <v>-3.9296175106490847</v>
      </c>
      <c r="I470" s="5">
        <f ca="1">PERCENTILE(D$2:D469,0.165)</f>
        <v>3.0301564866597657</v>
      </c>
      <c r="J470" s="5">
        <f ca="1">PERCENTILE(D$2:D469,0.5)</f>
        <v>38.239287328750578</v>
      </c>
      <c r="K470" s="5">
        <f ca="1">PERCENTILE(D$2:D469,0.835)</f>
        <v>252.47344599334352</v>
      </c>
      <c r="L470" s="5">
        <f ca="1">PERCENTILE(D$2:D469,0.975)</f>
        <v>1317.0424485973599</v>
      </c>
      <c r="M470" s="7">
        <f>AVERAGE(E$2:E469)</f>
        <v>1.3812949640287771</v>
      </c>
      <c r="N470" s="7">
        <f>PERCENTILE($E$2:$E469,0.025)</f>
        <v>-1</v>
      </c>
      <c r="O470" s="7">
        <f>PERCENTILE($E$2:$E469,0.165)</f>
        <v>0</v>
      </c>
      <c r="P470" s="7">
        <f>PERCENTILE($E$2:$E469,0.5)</f>
        <v>1</v>
      </c>
      <c r="Q470" s="7">
        <f>PERCENTILE($E$2:$E469,0.835)</f>
        <v>3</v>
      </c>
      <c r="R470" s="7">
        <f>PERCENTILE($E$2:$E469,0.975)</f>
        <v>4.5999999999999659</v>
      </c>
    </row>
    <row r="471" spans="1:18" x14ac:dyDescent="0.2">
      <c r="A471" s="5">
        <f>Data!E334</f>
        <v>2011</v>
      </c>
      <c r="B471" s="5">
        <f>Data!M334</f>
        <v>8.252164502164502E-3</v>
      </c>
      <c r="C471" s="5">
        <f>Data!N334</f>
        <v>1.3528138528138528E-3</v>
      </c>
      <c r="D471" s="5">
        <f ca="1">Data!O334</f>
        <v>6</v>
      </c>
      <c r="E471" s="1">
        <f>Data!AQ334</f>
        <v>3</v>
      </c>
      <c r="F471" t="str">
        <f t="shared" si="7"/>
        <v/>
      </c>
      <c r="G471" s="5">
        <f ca="1">AVERAGE(D$2:D470)</f>
        <v>176.51138498403245</v>
      </c>
      <c r="H471" s="5">
        <f ca="1">PERCENTILE(D$2:D470,0.025)</f>
        <v>-3.9214789154859955</v>
      </c>
      <c r="I471" s="5">
        <f ca="1">PERCENTILE(D$2:D470,0.165)</f>
        <v>3.0483682816566295</v>
      </c>
      <c r="J471" s="5">
        <f ca="1">PERCENTILE(D$2:D470,0.5)</f>
        <v>38.238157735289256</v>
      </c>
      <c r="K471" s="5">
        <f ca="1">PERCENTILE(D$2:D470,0.835)</f>
        <v>249.67546405183771</v>
      </c>
      <c r="L471" s="5">
        <f ca="1">PERCENTILE(D$2:D470,0.975)</f>
        <v>1316.6005300950726</v>
      </c>
      <c r="M471" s="7">
        <f>AVERAGE(E$2:E470)</f>
        <v>1.3851674641148326</v>
      </c>
      <c r="N471" s="7">
        <f>PERCENTILE($E$2:$E470,0.025)</f>
        <v>-1</v>
      </c>
      <c r="O471" s="7">
        <f>PERCENTILE($E$2:$E470,0.165)</f>
        <v>0</v>
      </c>
      <c r="P471" s="7">
        <f>PERCENTILE($E$2:$E470,0.5)</f>
        <v>1</v>
      </c>
      <c r="Q471" s="7">
        <f>PERCENTILE($E$2:$E470,0.835)</f>
        <v>3</v>
      </c>
      <c r="R471" s="7">
        <f>PERCENTILE($E$2:$E470,0.975)</f>
        <v>4.5749999999999886</v>
      </c>
    </row>
    <row r="472" spans="1:18" x14ac:dyDescent="0.2">
      <c r="A472" s="5">
        <f>Data!E335</f>
        <v>2011</v>
      </c>
      <c r="B472" s="5">
        <f>Data!M335</f>
        <v>8.252164502164502E-4</v>
      </c>
      <c r="C472" s="5">
        <f>Data!N335</f>
        <v>1.3528138528138528E-4</v>
      </c>
      <c r="D472" s="5">
        <f ca="1">Data!O335</f>
        <v>10</v>
      </c>
      <c r="E472" s="1">
        <f>Data!AQ335</f>
        <v>3</v>
      </c>
      <c r="F472" t="str">
        <f t="shared" si="7"/>
        <v/>
      </c>
      <c r="G472" s="5">
        <f ca="1">AVERAGE(D$2:D471)</f>
        <v>176.14859480321536</v>
      </c>
      <c r="H472" s="5">
        <f ca="1">PERCENTILE(D$2:D471,0.025)</f>
        <v>-3.9133403203229058</v>
      </c>
      <c r="I472" s="5">
        <f ca="1">PERCENTILE(D$2:D471,0.165)</f>
        <v>3.0665800766534956</v>
      </c>
      <c r="J472" s="5">
        <f ca="1">PERCENTILE(D$2:D471,0.5)</f>
        <v>38.124233011440239</v>
      </c>
      <c r="K472" s="5">
        <f ca="1">PERCENTILE(D$2:D471,0.835)</f>
        <v>246.87748211033286</v>
      </c>
      <c r="L472" s="5">
        <f ca="1">PERCENTILE(D$2:D471,0.975)</f>
        <v>1316.1586115927842</v>
      </c>
      <c r="M472" s="7">
        <f>AVERAGE(E$2:E471)</f>
        <v>1.3890214797136038</v>
      </c>
      <c r="N472" s="7">
        <f>PERCENTILE($E$2:$E471,0.025)</f>
        <v>-1</v>
      </c>
      <c r="O472" s="7">
        <f>PERCENTILE($E$2:$E471,0.165)</f>
        <v>0</v>
      </c>
      <c r="P472" s="7">
        <f>PERCENTILE($E$2:$E471,0.5)</f>
        <v>1</v>
      </c>
      <c r="Q472" s="7">
        <f>PERCENTILE($E$2:$E471,0.835)</f>
        <v>3</v>
      </c>
      <c r="R472" s="7">
        <f>PERCENTILE($E$2:$E471,0.975)</f>
        <v>4.5500000000000114</v>
      </c>
    </row>
    <row r="473" spans="1:18" x14ac:dyDescent="0.2">
      <c r="A473" s="5">
        <f>Data!E336</f>
        <v>2011</v>
      </c>
      <c r="B473" s="5">
        <f>Data!M336</f>
        <v>8.252164502164501E-2</v>
      </c>
      <c r="C473" s="5">
        <f>Data!N336</f>
        <v>1.3528138528138528E-2</v>
      </c>
      <c r="D473" s="5">
        <f ca="1">Data!O336</f>
        <v>9</v>
      </c>
      <c r="E473" s="1">
        <f>Data!AQ336</f>
        <v>3</v>
      </c>
      <c r="F473" t="str">
        <f t="shared" si="7"/>
        <v/>
      </c>
      <c r="G473" s="5">
        <f ca="1">AVERAGE(D$2:D472)</f>
        <v>175.79583770172235</v>
      </c>
      <c r="H473" s="5">
        <f ca="1">PERCENTILE(D$2:D472,0.025)</f>
        <v>-3.9052017251598174</v>
      </c>
      <c r="I473" s="5">
        <f ca="1">PERCENTILE(D$2:D472,0.165)</f>
        <v>3.08479187165036</v>
      </c>
      <c r="J473" s="5">
        <f ca="1">PERCENTILE(D$2:D472,0.5)</f>
        <v>38.010308287591222</v>
      </c>
      <c r="K473" s="5">
        <f ca="1">PERCENTILE(D$2:D472,0.835)</f>
        <v>244.07950016882705</v>
      </c>
      <c r="L473" s="5">
        <f ca="1">PERCENTILE(D$2:D472,0.975)</f>
        <v>1315.7166930904968</v>
      </c>
      <c r="M473" s="7">
        <f>AVERAGE(E$2:E472)</f>
        <v>1.3928571428571428</v>
      </c>
      <c r="N473" s="7">
        <f>PERCENTILE($E$2:$E472,0.025)</f>
        <v>-1</v>
      </c>
      <c r="O473" s="7">
        <f>PERCENTILE($E$2:$E472,0.165)</f>
        <v>0</v>
      </c>
      <c r="P473" s="7">
        <f>PERCENTILE($E$2:$E472,0.5)</f>
        <v>1</v>
      </c>
      <c r="Q473" s="7">
        <f>PERCENTILE($E$2:$E472,0.835)</f>
        <v>3</v>
      </c>
      <c r="R473" s="7">
        <f>PERCENTILE($E$2:$E472,0.975)</f>
        <v>4.5249999999999773</v>
      </c>
    </row>
    <row r="474" spans="1:18" x14ac:dyDescent="0.2">
      <c r="A474" s="5">
        <f>Data!E337</f>
        <v>2011</v>
      </c>
      <c r="B474" s="5">
        <f>Data!M337</f>
        <v>8.252164502164502E-3</v>
      </c>
      <c r="C474" s="5">
        <f>Data!N337</f>
        <v>1.3528138528138528E-3</v>
      </c>
      <c r="D474" s="5">
        <f ca="1">Data!O337</f>
        <v>14</v>
      </c>
      <c r="E474" s="1">
        <f>Data!AQ337</f>
        <v>3</v>
      </c>
      <c r="F474" t="str">
        <f t="shared" si="7"/>
        <v/>
      </c>
      <c r="G474" s="5">
        <f ca="1">AVERAGE(D$2:D473)</f>
        <v>175.44245668964243</v>
      </c>
      <c r="H474" s="5">
        <f ca="1">PERCENTILE(D$2:D473,0.025)</f>
        <v>-3.8970631299967278</v>
      </c>
      <c r="I474" s="5">
        <f ca="1">PERCENTILE(D$2:D473,0.165)</f>
        <v>3.1030036666472256</v>
      </c>
      <c r="J474" s="5">
        <f ca="1">PERCENTILE(D$2:D473,0.5)</f>
        <v>37.820353618861233</v>
      </c>
      <c r="K474" s="5">
        <f ca="1">PERCENTILE(D$2:D473,0.835)</f>
        <v>241.28151822732124</v>
      </c>
      <c r="L474" s="5">
        <f ca="1">PERCENTILE(D$2:D473,0.975)</f>
        <v>1315.2747745882084</v>
      </c>
      <c r="M474" s="7">
        <f>AVERAGE(E$2:E473)</f>
        <v>1.3966745843230404</v>
      </c>
      <c r="N474" s="7">
        <f>PERCENTILE($E$2:$E473,0.025)</f>
        <v>-1</v>
      </c>
      <c r="O474" s="7">
        <f>PERCENTILE($E$2:$E473,0.165)</f>
        <v>0</v>
      </c>
      <c r="P474" s="7">
        <f>PERCENTILE($E$2:$E473,0.5)</f>
        <v>1</v>
      </c>
      <c r="Q474" s="7">
        <f>PERCENTILE($E$2:$E473,0.835)</f>
        <v>3</v>
      </c>
      <c r="R474" s="7">
        <f>PERCENTILE($E$2:$E473,0.975)</f>
        <v>4.5</v>
      </c>
    </row>
    <row r="475" spans="1:18" x14ac:dyDescent="0.2">
      <c r="A475" s="5">
        <f>Data!E338</f>
        <v>2011</v>
      </c>
      <c r="B475" s="5">
        <f>Data!M338</f>
        <v>8.252164502164502E-4</v>
      </c>
      <c r="C475" s="5">
        <f>Data!N338</f>
        <v>1.3528138528138528E-4</v>
      </c>
      <c r="D475" s="5">
        <f ca="1">Data!O338</f>
        <v>15</v>
      </c>
      <c r="E475" s="1">
        <f>Data!AQ338</f>
        <v>3</v>
      </c>
      <c r="F475" t="str">
        <f t="shared" si="7"/>
        <v/>
      </c>
      <c r="G475" s="5">
        <f ca="1">AVERAGE(D$2:D474)</f>
        <v>175.10114071355437</v>
      </c>
      <c r="H475" s="5">
        <f ca="1">PERCENTILE(D$2:D474,0.025)</f>
        <v>-3.8889245348336385</v>
      </c>
      <c r="I475" s="5">
        <f ca="1">PERCENTILE(D$2:D474,0.165)</f>
        <v>3.1212154616440917</v>
      </c>
      <c r="J475" s="5">
        <f ca="1">PERCENTILE(D$2:D474,0.5)</f>
        <v>37.630398950131237</v>
      </c>
      <c r="K475" s="5">
        <f ca="1">PERCENTILE(D$2:D474,0.835)</f>
        <v>238.48353628581637</v>
      </c>
      <c r="L475" s="5">
        <f ca="1">PERCENTILE(D$2:D474,0.975)</f>
        <v>1314.8328560859211</v>
      </c>
      <c r="M475" s="7">
        <f>AVERAGE(E$2:E474)</f>
        <v>1.4004739336492891</v>
      </c>
      <c r="N475" s="7">
        <f>PERCENTILE($E$2:$E474,0.025)</f>
        <v>-1</v>
      </c>
      <c r="O475" s="7">
        <f>PERCENTILE($E$2:$E474,0.165)</f>
        <v>0</v>
      </c>
      <c r="P475" s="7">
        <f>PERCENTILE($E$2:$E474,0.5)</f>
        <v>1</v>
      </c>
      <c r="Q475" s="7">
        <f>PERCENTILE($E$2:$E474,0.835)</f>
        <v>3</v>
      </c>
      <c r="R475" s="7">
        <f>PERCENTILE($E$2:$E474,0.975)</f>
        <v>4.4749999999999659</v>
      </c>
    </row>
    <row r="476" spans="1:18" x14ac:dyDescent="0.2">
      <c r="A476" s="5">
        <f>Data!E484</f>
        <v>2011</v>
      </c>
      <c r="B476" s="5">
        <f>Data!M484</f>
        <v>3.05</v>
      </c>
      <c r="C476" s="5">
        <f>Data!N484</f>
        <v>0.5</v>
      </c>
      <c r="D476" s="5">
        <f ca="1">Data!O484</f>
        <v>115.68645621159868</v>
      </c>
      <c r="E476" s="1">
        <f>Data!AQ484</f>
        <v>1</v>
      </c>
      <c r="F476" t="str">
        <f t="shared" si="7"/>
        <v/>
      </c>
      <c r="G476" s="5">
        <f ca="1">AVERAGE(D$2:D475)</f>
        <v>174.76337459390552</v>
      </c>
      <c r="H476" s="5">
        <f ca="1">PERCENTILE(D$2:D475,0.025)</f>
        <v>-3.8807859396705493</v>
      </c>
      <c r="I476" s="5">
        <f ca="1">PERCENTILE(D$2:D475,0.165)</f>
        <v>3.1410644001746451</v>
      </c>
      <c r="J476" s="5">
        <f ca="1">PERCENTILE(D$2:D475,0.5)</f>
        <v>37.558858267716538</v>
      </c>
      <c r="K476" s="5">
        <f ca="1">PERCENTILE(D$2:D475,0.835)</f>
        <v>236.43200924960334</v>
      </c>
      <c r="L476" s="5">
        <f ca="1">PERCENTILE(D$2:D475,0.975)</f>
        <v>1314.3909375836336</v>
      </c>
      <c r="M476" s="7">
        <f>AVERAGE(E$2:E475)</f>
        <v>1.4042553191489362</v>
      </c>
      <c r="N476" s="7">
        <f>PERCENTILE($E$2:$E475,0.025)</f>
        <v>-1</v>
      </c>
      <c r="O476" s="7">
        <f>PERCENTILE($E$2:$E475,0.165)</f>
        <v>0</v>
      </c>
      <c r="P476" s="7">
        <f>PERCENTILE($E$2:$E475,0.5)</f>
        <v>1</v>
      </c>
      <c r="Q476" s="7">
        <f>PERCENTILE($E$2:$E475,0.835)</f>
        <v>3</v>
      </c>
      <c r="R476" s="7">
        <f>PERCENTILE($E$2:$E475,0.975)</f>
        <v>4.4499999999999886</v>
      </c>
    </row>
    <row r="477" spans="1:18" x14ac:dyDescent="0.2">
      <c r="A477" s="5">
        <f>Data!E485</f>
        <v>2011</v>
      </c>
      <c r="B477" s="5">
        <f>Data!M485</f>
        <v>3.05</v>
      </c>
      <c r="C477" s="5">
        <f>Data!N485</f>
        <v>0.5</v>
      </c>
      <c r="D477" s="5">
        <f ca="1">Data!O485</f>
        <v>59.945690888914022</v>
      </c>
      <c r="E477" s="1">
        <f>Data!AQ485</f>
        <v>1</v>
      </c>
      <c r="F477" t="str">
        <f t="shared" si="7"/>
        <v/>
      </c>
      <c r="G477" s="5">
        <f ca="1">AVERAGE(D$2:D476)</f>
        <v>174.63900213415329</v>
      </c>
      <c r="H477" s="5">
        <f ca="1">PERCENTILE(D$2:D476,0.025)</f>
        <v>-3.8726473445074601</v>
      </c>
      <c r="I477" s="5">
        <f ca="1">PERCENTILE(D$2:D476,0.165)</f>
        <v>3.1652790547950378</v>
      </c>
      <c r="J477" s="5">
        <f ca="1">PERCENTILE(D$2:D476,0.5)</f>
        <v>37.630398950131237</v>
      </c>
      <c r="K477" s="5">
        <f ca="1">PERCENTILE(D$2:D476,0.835)</f>
        <v>236.37102862750373</v>
      </c>
      <c r="L477" s="5">
        <f ca="1">PERCENTILE(D$2:D476,0.975)</f>
        <v>1313.9490190813453</v>
      </c>
      <c r="M477" s="7">
        <f>AVERAGE(E$2:E476)</f>
        <v>1.4033018867924529</v>
      </c>
      <c r="N477" s="7">
        <f>PERCENTILE($E$2:$E476,0.025)</f>
        <v>-1</v>
      </c>
      <c r="O477" s="7">
        <f>PERCENTILE($E$2:$E476,0.165)</f>
        <v>0</v>
      </c>
      <c r="P477" s="7">
        <f>PERCENTILE($E$2:$E476,0.5)</f>
        <v>1</v>
      </c>
      <c r="Q477" s="7">
        <f>PERCENTILE($E$2:$E476,0.835)</f>
        <v>3</v>
      </c>
      <c r="R477" s="7">
        <f>PERCENTILE($E$2:$E476,0.975)</f>
        <v>4.4250000000000114</v>
      </c>
    </row>
    <row r="478" spans="1:18" x14ac:dyDescent="0.2">
      <c r="A478" s="5">
        <f>Data!E505</f>
        <v>2011</v>
      </c>
      <c r="B478" s="5">
        <f>Data!M505</f>
        <v>0.35882352941176465</v>
      </c>
      <c r="C478" s="5">
        <f>Data!N505</f>
        <v>5.8823529411764705E-2</v>
      </c>
      <c r="D478" s="5">
        <f ca="1">Data!O505</f>
        <v>1.7653941780655935</v>
      </c>
      <c r="E478" s="1">
        <f>Data!AQ505</f>
        <v>3</v>
      </c>
      <c r="F478" t="str">
        <f t="shared" si="7"/>
        <v/>
      </c>
      <c r="G478" s="5">
        <f ca="1">AVERAGE(D$2:D477)</f>
        <v>174.39804979960448</v>
      </c>
      <c r="H478" s="5">
        <f ca="1">PERCENTILE(D$2:D477,0.025)</f>
        <v>-3.8645087493443713</v>
      </c>
      <c r="I478" s="5">
        <f ca="1">PERCENTILE(D$2:D477,0.165)</f>
        <v>3.1894937094154288</v>
      </c>
      <c r="J478" s="5">
        <f ca="1">PERCENTILE(D$2:D477,0.5)</f>
        <v>37.820353618861233</v>
      </c>
      <c r="K478" s="5">
        <f ca="1">PERCENTILE(D$2:D477,0.835)</f>
        <v>236.31004800540416</v>
      </c>
      <c r="L478" s="5">
        <f ca="1">PERCENTILE(D$2:D477,0.975)</f>
        <v>1313.5071005790578</v>
      </c>
      <c r="M478" s="7">
        <f>AVERAGE(E$2:E477)</f>
        <v>1.4023529411764706</v>
      </c>
      <c r="N478" s="7">
        <f>PERCENTILE($E$2:$E477,0.025)</f>
        <v>-1</v>
      </c>
      <c r="O478" s="7">
        <f>PERCENTILE($E$2:$E477,0.165)</f>
        <v>0</v>
      </c>
      <c r="P478" s="7">
        <f>PERCENTILE($E$2:$E477,0.5)</f>
        <v>1</v>
      </c>
      <c r="Q478" s="7">
        <f>PERCENTILE($E$2:$E477,0.835)</f>
        <v>3</v>
      </c>
      <c r="R478" s="7">
        <f>PERCENTILE($E$2:$E477,0.975)</f>
        <v>4.3999999999999773</v>
      </c>
    </row>
    <row r="479" spans="1:18" x14ac:dyDescent="0.2">
      <c r="A479" s="5">
        <f>Data!E506</f>
        <v>2011</v>
      </c>
      <c r="B479" s="5">
        <f>Data!M506</f>
        <v>0.35882352941176465</v>
      </c>
      <c r="C479" s="5">
        <f>Data!N506</f>
        <v>5.8823529411764705E-2</v>
      </c>
      <c r="D479" s="5">
        <f ca="1">Data!O506</f>
        <v>40.219130522847735</v>
      </c>
      <c r="E479" s="1">
        <f>Data!AQ506</f>
        <v>1</v>
      </c>
      <c r="F479" t="str">
        <f t="shared" si="7"/>
        <v/>
      </c>
      <c r="G479" s="5">
        <f ca="1">AVERAGE(D$2:D478)</f>
        <v>174.03613647545029</v>
      </c>
      <c r="H479" s="5">
        <f ca="1">PERCENTILE(D$2:D478,0.025)</f>
        <v>-3.856370154181282</v>
      </c>
      <c r="I479" s="5">
        <f ca="1">PERCENTILE(D$2:D478,0.165)</f>
        <v>3.0836881264990357</v>
      </c>
      <c r="J479" s="5">
        <f ca="1">PERCENTILE(D$2:D478,0.5)</f>
        <v>37.630398950131237</v>
      </c>
      <c r="K479" s="5">
        <f ca="1">PERCENTILE(D$2:D478,0.835)</f>
        <v>236.24906738330458</v>
      </c>
      <c r="L479" s="5">
        <f ca="1">PERCENTILE(D$2:D478,0.975)</f>
        <v>1313.0651820767696</v>
      </c>
      <c r="M479" s="7">
        <f>AVERAGE(E$2:E478)</f>
        <v>1.4061032863849765</v>
      </c>
      <c r="N479" s="7">
        <f>PERCENTILE($E$2:$E478,0.025)</f>
        <v>-1</v>
      </c>
      <c r="O479" s="7">
        <f>PERCENTILE($E$2:$E478,0.165)</f>
        <v>0</v>
      </c>
      <c r="P479" s="7">
        <f>PERCENTILE($E$2:$E478,0.5)</f>
        <v>1</v>
      </c>
      <c r="Q479" s="7">
        <f>PERCENTILE($E$2:$E478,0.835)</f>
        <v>3</v>
      </c>
      <c r="R479" s="7">
        <f>PERCENTILE($E$2:$E478,0.975)</f>
        <v>4.375</v>
      </c>
    </row>
    <row r="480" spans="1:18" x14ac:dyDescent="0.2">
      <c r="A480" s="5">
        <f>Data!E507</f>
        <v>2011</v>
      </c>
      <c r="B480" s="5">
        <f>Data!M507</f>
        <v>0.35882352941176465</v>
      </c>
      <c r="C480" s="5">
        <f>Data!N507</f>
        <v>5.8823529411764705E-2</v>
      </c>
      <c r="D480" s="5">
        <f ca="1">Data!O507</f>
        <v>246.88971212045143</v>
      </c>
      <c r="E480" s="1">
        <f>Data!AQ507</f>
        <v>0.1</v>
      </c>
      <c r="F480" t="str">
        <f t="shared" si="7"/>
        <v/>
      </c>
      <c r="G480" s="5">
        <f ca="1">AVERAGE(D$2:D479)</f>
        <v>173.75618458015197</v>
      </c>
      <c r="H480" s="5">
        <f ca="1">PERCENTILE(D$2:D479,0.025)</f>
        <v>-3.8482315590181924</v>
      </c>
      <c r="I480" s="5">
        <f ca="1">PERCENTILE(D$2:D479,0.165)</f>
        <v>3.1018999214959</v>
      </c>
      <c r="J480" s="5">
        <f ca="1">PERCENTILE(D$2:D479,0.5)</f>
        <v>37.820353618861233</v>
      </c>
      <c r="K480" s="5">
        <f ca="1">PERCENTILE(D$2:D479,0.835)</f>
        <v>236.18808676120497</v>
      </c>
      <c r="L480" s="5">
        <f ca="1">PERCENTILE(D$2:D479,0.975)</f>
        <v>1312.6232635744821</v>
      </c>
      <c r="M480" s="7">
        <f>AVERAGE(E$2:E479)</f>
        <v>1.405152224824356</v>
      </c>
      <c r="N480" s="7">
        <f>PERCENTILE($E$2:$E479,0.025)</f>
        <v>-1</v>
      </c>
      <c r="O480" s="7">
        <f>PERCENTILE($E$2:$E479,0.165)</f>
        <v>0</v>
      </c>
      <c r="P480" s="7">
        <f>PERCENTILE($E$2:$E479,0.5)</f>
        <v>1</v>
      </c>
      <c r="Q480" s="7">
        <f>PERCENTILE($E$2:$E479,0.835)</f>
        <v>3</v>
      </c>
      <c r="R480" s="7">
        <f>PERCENTILE($E$2:$E479,0.975)</f>
        <v>4.3499999999999659</v>
      </c>
    </row>
    <row r="481" spans="1:18" x14ac:dyDescent="0.2">
      <c r="A481" s="5">
        <f>Data!E508</f>
        <v>2011</v>
      </c>
      <c r="B481" s="5">
        <f>Data!M508</f>
        <v>0.35882352941176465</v>
      </c>
      <c r="C481" s="5">
        <f>Data!N508</f>
        <v>5.8823529411764705E-2</v>
      </c>
      <c r="D481" s="5">
        <f ca="1">Data!O508</f>
        <v>-3.0396636599776006</v>
      </c>
      <c r="E481" s="1">
        <f>Data!AQ508</f>
        <v>3</v>
      </c>
      <c r="F481" t="str">
        <f t="shared" si="7"/>
        <v/>
      </c>
      <c r="G481" s="5">
        <f ca="1">AVERAGE(D$2:D480)</f>
        <v>173.90886417835716</v>
      </c>
      <c r="H481" s="5">
        <f ca="1">PERCENTILE(D$2:D480,0.025)</f>
        <v>-3.8400929638551031</v>
      </c>
      <c r="I481" s="5">
        <f ca="1">PERCENTILE(D$2:D480,0.165)</f>
        <v>3.1201117164927656</v>
      </c>
      <c r="J481" s="5">
        <f ca="1">PERCENTILE(D$2:D480,0.5)</f>
        <v>38.010308287591222</v>
      </c>
      <c r="K481" s="5">
        <f ca="1">PERCENTILE(D$2:D480,0.835)</f>
        <v>237.8059796613299</v>
      </c>
      <c r="L481" s="5">
        <f ca="1">PERCENTILE(D$2:D480,0.975)</f>
        <v>1312.1813450721947</v>
      </c>
      <c r="M481" s="7">
        <f>AVERAGE(E$2:E480)</f>
        <v>1.4021028037383179</v>
      </c>
      <c r="N481" s="7">
        <f>PERCENTILE($E$2:$E480,0.025)</f>
        <v>-1</v>
      </c>
      <c r="O481" s="7">
        <f>PERCENTILE($E$2:$E480,0.165)</f>
        <v>0</v>
      </c>
      <c r="P481" s="7">
        <f>PERCENTILE($E$2:$E480,0.5)</f>
        <v>1</v>
      </c>
      <c r="Q481" s="7">
        <f>PERCENTILE($E$2:$E480,0.835)</f>
        <v>3</v>
      </c>
      <c r="R481" s="7">
        <f>PERCENTILE($E$2:$E480,0.975)</f>
        <v>4.3249999999999886</v>
      </c>
    </row>
    <row r="482" spans="1:18" x14ac:dyDescent="0.2">
      <c r="A482" s="5">
        <f>Data!E509</f>
        <v>2011</v>
      </c>
      <c r="B482" s="5">
        <f>Data!M509</f>
        <v>0.35882352941176465</v>
      </c>
      <c r="C482" s="5">
        <f>Data!N509</f>
        <v>5.8823529411764705E-2</v>
      </c>
      <c r="D482" s="5">
        <f ca="1">Data!O509</f>
        <v>2.0574142676704286</v>
      </c>
      <c r="E482" s="1">
        <f>Data!AQ509</f>
        <v>3</v>
      </c>
      <c r="F482" t="str">
        <f t="shared" si="7"/>
        <v/>
      </c>
      <c r="G482" s="5">
        <f ca="1">AVERAGE(D$2:D481)</f>
        <v>173.54022141202731</v>
      </c>
      <c r="H482" s="5">
        <f ca="1">PERCENTILE(D$2:D481,0.025)</f>
        <v>-3.8319543686920139</v>
      </c>
      <c r="I482" s="5">
        <f ca="1">PERCENTILE(D$2:D481,0.165)</f>
        <v>3.0279489963571158</v>
      </c>
      <c r="J482" s="5">
        <f ca="1">PERCENTILE(D$2:D481,0.5)</f>
        <v>37.820353618861233</v>
      </c>
      <c r="K482" s="5">
        <f ca="1">PERCENTILE(D$2:D481,0.835)</f>
        <v>236.4357050448821</v>
      </c>
      <c r="L482" s="5">
        <f ca="1">PERCENTILE(D$2:D481,0.975)</f>
        <v>1311.7394265699063</v>
      </c>
      <c r="M482" s="7">
        <f>AVERAGE(E$2:E481)</f>
        <v>1.4058275058275058</v>
      </c>
      <c r="N482" s="7">
        <f>PERCENTILE($E$2:$E481,0.025)</f>
        <v>-1</v>
      </c>
      <c r="O482" s="7">
        <f>PERCENTILE($E$2:$E481,0.165)</f>
        <v>0</v>
      </c>
      <c r="P482" s="7">
        <f>PERCENTILE($E$2:$E481,0.5)</f>
        <v>1</v>
      </c>
      <c r="Q482" s="7">
        <f>PERCENTILE($E$2:$E481,0.835)</f>
        <v>3</v>
      </c>
      <c r="R482" s="7">
        <f>PERCENTILE($E$2:$E481,0.975)</f>
        <v>4.3000000000000114</v>
      </c>
    </row>
    <row r="483" spans="1:18" x14ac:dyDescent="0.2">
      <c r="A483" s="5">
        <f>Data!E510</f>
        <v>2011</v>
      </c>
      <c r="B483" s="5">
        <f>Data!M510</f>
        <v>0.35882352941176465</v>
      </c>
      <c r="C483" s="5">
        <f>Data!N510</f>
        <v>5.8823529411764705E-2</v>
      </c>
      <c r="D483" s="5">
        <f ca="1">Data!O510</f>
        <v>10.738375113195978</v>
      </c>
      <c r="E483" s="1">
        <f>Data!AQ510</f>
        <v>1</v>
      </c>
      <c r="F483" t="str">
        <f t="shared" si="7"/>
        <v/>
      </c>
      <c r="G483" s="5">
        <f ca="1">AVERAGE(D$2:D482)</f>
        <v>173.18370829946107</v>
      </c>
      <c r="H483" s="5">
        <f ca="1">PERCENTILE(D$2:D482,0.025)</f>
        <v>-3.8238157735289251</v>
      </c>
      <c r="I483" s="5">
        <f ca="1">PERCENTILE(D$2:D482,0.165)</f>
        <v>2.9634883073174954</v>
      </c>
      <c r="J483" s="5">
        <f ca="1">PERCENTILE(D$2:D482,0.5)</f>
        <v>37.630398950131237</v>
      </c>
      <c r="K483" s="5">
        <f ca="1">PERCENTILE(D$2:D482,0.835)</f>
        <v>236.37472442278249</v>
      </c>
      <c r="L483" s="5">
        <f ca="1">PERCENTILE(D$2:D482,0.975)</f>
        <v>1311.297508067619</v>
      </c>
      <c r="M483" s="7">
        <f>AVERAGE(E$2:E482)</f>
        <v>1.4095348837209303</v>
      </c>
      <c r="N483" s="7">
        <f>PERCENTILE($E$2:$E482,0.025)</f>
        <v>-1</v>
      </c>
      <c r="O483" s="7">
        <f>PERCENTILE($E$2:$E482,0.165)</f>
        <v>0</v>
      </c>
      <c r="P483" s="7">
        <f>PERCENTILE($E$2:$E482,0.5)</f>
        <v>1</v>
      </c>
      <c r="Q483" s="7">
        <f>PERCENTILE($E$2:$E482,0.835)</f>
        <v>3</v>
      </c>
      <c r="R483" s="7">
        <f>PERCENTILE($E$2:$E482,0.975)</f>
        <v>4.2749999999999773</v>
      </c>
    </row>
    <row r="484" spans="1:18" x14ac:dyDescent="0.2">
      <c r="A484" s="5">
        <f>Data!E511</f>
        <v>2011</v>
      </c>
      <c r="B484" s="5">
        <f>Data!M511</f>
        <v>0.35882352941176465</v>
      </c>
      <c r="C484" s="5">
        <f>Data!N511</f>
        <v>5.8823529411764705E-2</v>
      </c>
      <c r="D484" s="5">
        <f ca="1">Data!O511</f>
        <v>60.26232758208868</v>
      </c>
      <c r="E484" s="1">
        <f>Data!AQ511</f>
        <v>1</v>
      </c>
      <c r="F484" t="str">
        <f t="shared" si="7"/>
        <v/>
      </c>
      <c r="G484" s="5">
        <f ca="1">AVERAGE(D$2:D483)</f>
        <v>172.8466847866265</v>
      </c>
      <c r="H484" s="5">
        <f ca="1">PERCENTILE(D$2:D483,0.025)</f>
        <v>-3.8238157735289251</v>
      </c>
      <c r="I484" s="5">
        <f ca="1">PERCENTILE(D$2:D483,0.165)</f>
        <v>2.9759865584008045</v>
      </c>
      <c r="J484" s="5">
        <f ca="1">PERCENTILE(D$2:D483,0.5)</f>
        <v>37.558858267716538</v>
      </c>
      <c r="K484" s="5">
        <f ca="1">PERCENTILE(D$2:D483,0.835)</f>
        <v>236.31374380068291</v>
      </c>
      <c r="L484" s="5">
        <f ca="1">PERCENTILE(D$2:D483,0.975)</f>
        <v>1308.494168354041</v>
      </c>
      <c r="M484" s="7">
        <f>AVERAGE(E$2:E483)</f>
        <v>1.4085846867749421</v>
      </c>
      <c r="N484" s="7">
        <f>PERCENTILE($E$2:$E483,0.025)</f>
        <v>-1</v>
      </c>
      <c r="O484" s="7">
        <f>PERCENTILE($E$2:$E483,0.165)</f>
        <v>0</v>
      </c>
      <c r="P484" s="7">
        <f>PERCENTILE($E$2:$E483,0.5)</f>
        <v>1</v>
      </c>
      <c r="Q484" s="7">
        <f>PERCENTILE($E$2:$E483,0.835)</f>
        <v>3</v>
      </c>
      <c r="R484" s="7">
        <f>PERCENTILE($E$2:$E483,0.975)</f>
        <v>4.25</v>
      </c>
    </row>
    <row r="485" spans="1:18" x14ac:dyDescent="0.2">
      <c r="A485" s="5">
        <f>Data!E512</f>
        <v>2011</v>
      </c>
      <c r="B485" s="5">
        <f>Data!M512</f>
        <v>0.35882352941176465</v>
      </c>
      <c r="C485" s="5">
        <f>Data!N512</f>
        <v>5.8823529411764705E-2</v>
      </c>
      <c r="D485" s="5">
        <f ca="1">Data!O512</f>
        <v>77.119850936549611</v>
      </c>
      <c r="E485" s="1">
        <f>Data!AQ512</f>
        <v>0.1</v>
      </c>
      <c r="F485" t="str">
        <f t="shared" si="7"/>
        <v/>
      </c>
      <c r="G485" s="5">
        <f ca="1">AVERAGE(D$2:D484)</f>
        <v>172.61359087937075</v>
      </c>
      <c r="H485" s="5">
        <f ca="1">PERCENTILE(D$2:D484,0.025)</f>
        <v>-3.8238157735289251</v>
      </c>
      <c r="I485" s="5">
        <f ca="1">PERCENTILE(D$2:D484,0.165)</f>
        <v>2.9884848094841123</v>
      </c>
      <c r="J485" s="5">
        <f ca="1">PERCENTILE(D$2:D484,0.5)</f>
        <v>37.630398950131237</v>
      </c>
      <c r="K485" s="5">
        <f ca="1">PERCENTILE(D$2:D484,0.835)</f>
        <v>236.25276317858334</v>
      </c>
      <c r="L485" s="5">
        <f ca="1">PERCENTILE(D$2:D484,0.975)</f>
        <v>1305.6908286404694</v>
      </c>
      <c r="M485" s="7">
        <f>AVERAGE(E$2:E484)</f>
        <v>1.4076388888888889</v>
      </c>
      <c r="N485" s="7">
        <f>PERCENTILE($E$2:$E484,0.025)</f>
        <v>-1</v>
      </c>
      <c r="O485" s="7">
        <f>PERCENTILE($E$2:$E484,0.165)</f>
        <v>0</v>
      </c>
      <c r="P485" s="7">
        <f>PERCENTILE($E$2:$E484,0.5)</f>
        <v>1</v>
      </c>
      <c r="Q485" s="7">
        <f>PERCENTILE($E$2:$E484,0.835)</f>
        <v>3</v>
      </c>
      <c r="R485" s="7">
        <f>PERCENTILE($E$2:$E484,0.975)</f>
        <v>4.2249999999999659</v>
      </c>
    </row>
    <row r="486" spans="1:18" x14ac:dyDescent="0.2">
      <c r="A486" s="5">
        <f>Data!E513</f>
        <v>2011</v>
      </c>
      <c r="B486" s="5">
        <f>Data!M513</f>
        <v>0.35882352941176465</v>
      </c>
      <c r="C486" s="5">
        <f>Data!N513</f>
        <v>5.8823529411764705E-2</v>
      </c>
      <c r="D486" s="5">
        <f ca="1">Data!O513</f>
        <v>2495.4444020776809</v>
      </c>
      <c r="E486" s="1">
        <f>Data!AQ513</f>
        <v>0.1</v>
      </c>
      <c r="F486" t="str">
        <f t="shared" si="7"/>
        <v/>
      </c>
      <c r="G486" s="5">
        <f ca="1">AVERAGE(D$2:D485)</f>
        <v>172.41628976378641</v>
      </c>
      <c r="H486" s="5">
        <f ca="1">PERCENTILE(D$2:D485,0.025)</f>
        <v>-3.8238157735289251</v>
      </c>
      <c r="I486" s="5">
        <f ca="1">PERCENTILE(D$2:D485,0.165)</f>
        <v>3.0009830605674215</v>
      </c>
      <c r="J486" s="5">
        <f ca="1">PERCENTILE(D$2:D485,0.5)</f>
        <v>37.820353618861233</v>
      </c>
      <c r="K486" s="5">
        <f ca="1">PERCENTILE(D$2:D485,0.835)</f>
        <v>236.19178255648376</v>
      </c>
      <c r="L486" s="5">
        <f ca="1">PERCENTILE(D$2:D485,0.975)</f>
        <v>1302.8874889268977</v>
      </c>
      <c r="M486" s="7">
        <f>AVERAGE(E$2:E485)</f>
        <v>1.4046189376443419</v>
      </c>
      <c r="N486" s="7">
        <f>PERCENTILE($E$2:$E485,0.025)</f>
        <v>-1</v>
      </c>
      <c r="O486" s="7">
        <f>PERCENTILE($E$2:$E485,0.165)</f>
        <v>0</v>
      </c>
      <c r="P486" s="7">
        <f>PERCENTILE($E$2:$E485,0.5)</f>
        <v>1</v>
      </c>
      <c r="Q486" s="7">
        <f>PERCENTILE($E$2:$E485,0.835)</f>
        <v>3</v>
      </c>
      <c r="R486" s="7">
        <f>PERCENTILE($E$2:$E485,0.975)</f>
        <v>4.1999999999999886</v>
      </c>
    </row>
    <row r="487" spans="1:18" x14ac:dyDescent="0.2">
      <c r="A487" s="5">
        <f>Data!E514</f>
        <v>2011</v>
      </c>
      <c r="B487" s="5">
        <f>Data!M514</f>
        <v>0.17941176470588233</v>
      </c>
      <c r="C487" s="5">
        <f>Data!N514</f>
        <v>2.9411764705882353E-2</v>
      </c>
      <c r="D487" s="5">
        <f ca="1">Data!O514</f>
        <v>0.93977374291010529</v>
      </c>
      <c r="E487" s="1">
        <f>Data!AQ514</f>
        <v>3</v>
      </c>
      <c r="F487" t="str">
        <f t="shared" si="7"/>
        <v/>
      </c>
      <c r="G487" s="5">
        <f ca="1">AVERAGE(D$2:D486)</f>
        <v>177.20603844896971</v>
      </c>
      <c r="H487" s="5">
        <f ca="1">PERCENTILE(D$2:D486,0.025)</f>
        <v>-3.8238157735289251</v>
      </c>
      <c r="I487" s="5">
        <f ca="1">PERCENTILE(D$2:D486,0.165)</f>
        <v>3.0134813116507297</v>
      </c>
      <c r="J487" s="5">
        <f ca="1">PERCENTILE(D$2:D486,0.5)</f>
        <v>38.010308287591222</v>
      </c>
      <c r="K487" s="5">
        <f ca="1">PERCENTILE(D$2:D486,0.835)</f>
        <v>237.91039037925074</v>
      </c>
      <c r="L487" s="5">
        <f ca="1">PERCENTILE(D$2:D486,0.975)</f>
        <v>1327.2065741499787</v>
      </c>
      <c r="M487" s="7">
        <f>AVERAGE(E$2:E486)</f>
        <v>1.4016129032258067</v>
      </c>
      <c r="N487" s="7">
        <f>PERCENTILE($E$2:$E486,0.025)</f>
        <v>-1</v>
      </c>
      <c r="O487" s="7">
        <f>PERCENTILE($E$2:$E486,0.165)</f>
        <v>0</v>
      </c>
      <c r="P487" s="7">
        <f>PERCENTILE($E$2:$E486,0.5)</f>
        <v>1</v>
      </c>
      <c r="Q487" s="7">
        <f>PERCENTILE($E$2:$E486,0.835)</f>
        <v>3</v>
      </c>
      <c r="R487" s="7">
        <f>PERCENTILE($E$2:$E486,0.975)</f>
        <v>4.1750000000000114</v>
      </c>
    </row>
    <row r="488" spans="1:18" x14ac:dyDescent="0.2">
      <c r="A488" s="5">
        <f>Data!E515</f>
        <v>2011</v>
      </c>
      <c r="B488" s="5">
        <f>Data!M515</f>
        <v>0.17941176470588233</v>
      </c>
      <c r="C488" s="5">
        <f>Data!N515</f>
        <v>2.9411764705882353E-2</v>
      </c>
      <c r="D488" s="5">
        <f ca="1">Data!O515</f>
        <v>3.8759030074823553</v>
      </c>
      <c r="E488" s="1">
        <f>Data!AQ515</f>
        <v>3</v>
      </c>
      <c r="F488" t="str">
        <f t="shared" si="7"/>
        <v/>
      </c>
      <c r="G488" s="5">
        <f ca="1">AVERAGE(D$2:D487)</f>
        <v>176.84335066150868</v>
      </c>
      <c r="H488" s="5">
        <f ca="1">PERCENTILE(D$2:D487,0.025)</f>
        <v>-3.8238157735289251</v>
      </c>
      <c r="I488" s="5">
        <f ca="1">PERCENTILE(D$2:D487,0.165)</f>
        <v>2.9502325864715622</v>
      </c>
      <c r="J488" s="5">
        <f ca="1">PERCENTILE(D$2:D487,0.5)</f>
        <v>37.820353618861233</v>
      </c>
      <c r="K488" s="5">
        <f ca="1">PERCENTILE(D$2:D487,0.835)</f>
        <v>236.43940084016086</v>
      </c>
      <c r="L488" s="5">
        <f ca="1">PERCENTILE(D$2:D487,0.975)</f>
        <v>1326.7646556476914</v>
      </c>
      <c r="M488" s="7">
        <f>AVERAGE(E$2:E487)</f>
        <v>1.4052873563218393</v>
      </c>
      <c r="N488" s="7">
        <f>PERCENTILE($E$2:$E487,0.025)</f>
        <v>-1</v>
      </c>
      <c r="O488" s="7">
        <f>PERCENTILE($E$2:$E487,0.165)</f>
        <v>0</v>
      </c>
      <c r="P488" s="7">
        <f>PERCENTILE($E$2:$E487,0.5)</f>
        <v>1</v>
      </c>
      <c r="Q488" s="7">
        <f>PERCENTILE($E$2:$E487,0.835)</f>
        <v>3</v>
      </c>
      <c r="R488" s="7">
        <f>PERCENTILE($E$2:$E487,0.975)</f>
        <v>4.1499999999999773</v>
      </c>
    </row>
    <row r="489" spans="1:18" x14ac:dyDescent="0.2">
      <c r="A489" s="5">
        <f>Data!E516</f>
        <v>2011</v>
      </c>
      <c r="B489" s="5">
        <f>Data!M516</f>
        <v>0.17941176470588233</v>
      </c>
      <c r="C489" s="5">
        <f>Data!N516</f>
        <v>2.9411764705882353E-2</v>
      </c>
      <c r="D489" s="5">
        <f ca="1">Data!O516</f>
        <v>15.264686502070923</v>
      </c>
      <c r="E489" s="1">
        <f>Data!AQ516</f>
        <v>1</v>
      </c>
      <c r="F489" t="str">
        <f t="shared" si="7"/>
        <v/>
      </c>
      <c r="G489" s="5">
        <f ca="1">AVERAGE(D$2:D488)</f>
        <v>176.48818136447784</v>
      </c>
      <c r="H489" s="5">
        <f ca="1">PERCENTILE(D$2:D488,0.025)</f>
        <v>-3.8238157735289251</v>
      </c>
      <c r="I489" s="5">
        <f ca="1">PERCENTILE(D$2:D488,0.165)</f>
        <v>2.96273083755487</v>
      </c>
      <c r="J489" s="5">
        <f ca="1">PERCENTILE(D$2:D488,0.5)</f>
        <v>37.630398950131237</v>
      </c>
      <c r="K489" s="5">
        <f ca="1">PERCENTILE(D$2:D488,0.835)</f>
        <v>236.37842021806128</v>
      </c>
      <c r="L489" s="5">
        <f ca="1">PERCENTILE(D$2:D488,0.975)</f>
        <v>1326.3227371454029</v>
      </c>
      <c r="M489" s="7">
        <f>AVERAGE(E$2:E488)</f>
        <v>1.4089449541284405</v>
      </c>
      <c r="N489" s="7">
        <f>PERCENTILE($E$2:$E488,0.025)</f>
        <v>-1</v>
      </c>
      <c r="O489" s="7">
        <f>PERCENTILE($E$2:$E488,0.165)</f>
        <v>0</v>
      </c>
      <c r="P489" s="7">
        <f>PERCENTILE($E$2:$E488,0.5)</f>
        <v>1</v>
      </c>
      <c r="Q489" s="7">
        <f>PERCENTILE($E$2:$E488,0.835)</f>
        <v>3</v>
      </c>
      <c r="R489" s="7">
        <f>PERCENTILE($E$2:$E488,0.975)</f>
        <v>4.125</v>
      </c>
    </row>
    <row r="490" spans="1:18" x14ac:dyDescent="0.2">
      <c r="A490" s="5">
        <f>Data!E517</f>
        <v>2011</v>
      </c>
      <c r="B490" s="5">
        <f>Data!M517</f>
        <v>0.17941176470588233</v>
      </c>
      <c r="C490" s="5">
        <f>Data!N517</f>
        <v>2.9411764705882353E-2</v>
      </c>
      <c r="D490" s="5">
        <f ca="1">Data!O517</f>
        <v>85.614980815962994</v>
      </c>
      <c r="E490" s="1">
        <f>Data!AQ517</f>
        <v>1</v>
      </c>
      <c r="F490" t="str">
        <f t="shared" si="7"/>
        <v/>
      </c>
      <c r="G490" s="5">
        <f ca="1">AVERAGE(D$2:D489)</f>
        <v>176.15780535041552</v>
      </c>
      <c r="H490" s="5">
        <f ca="1">PERCENTILE(D$2:D489,0.025)</f>
        <v>-3.8238157735289251</v>
      </c>
      <c r="I490" s="5">
        <f ca="1">PERCENTILE(D$2:D489,0.165)</f>
        <v>2.9752290886381791</v>
      </c>
      <c r="J490" s="5">
        <f ca="1">PERCENTILE(D$2:D489,0.5)</f>
        <v>37.558858267716538</v>
      </c>
      <c r="K490" s="5">
        <f ca="1">PERCENTILE(D$2:D489,0.835)</f>
        <v>236.31743959596167</v>
      </c>
      <c r="L490" s="5">
        <f ca="1">PERCENTILE(D$2:D489,0.975)</f>
        <v>1325.8808186431156</v>
      </c>
      <c r="M490" s="7">
        <f>AVERAGE(E$2:E489)</f>
        <v>1.4080091533180779</v>
      </c>
      <c r="N490" s="7">
        <f>PERCENTILE($E$2:$E489,0.025)</f>
        <v>-1</v>
      </c>
      <c r="O490" s="7">
        <f>PERCENTILE($E$2:$E489,0.165)</f>
        <v>0</v>
      </c>
      <c r="P490" s="7">
        <f>PERCENTILE($E$2:$E489,0.5)</f>
        <v>1</v>
      </c>
      <c r="Q490" s="7">
        <f>PERCENTILE($E$2:$E489,0.835)</f>
        <v>3</v>
      </c>
      <c r="R490" s="7">
        <f>PERCENTILE($E$2:$E489,0.975)</f>
        <v>4.0999999999999659</v>
      </c>
    </row>
    <row r="491" spans="1:18" x14ac:dyDescent="0.2">
      <c r="A491" s="5">
        <f>Data!E518</f>
        <v>2011</v>
      </c>
      <c r="B491" s="5">
        <f>Data!M518</f>
        <v>0.17941176470588233</v>
      </c>
      <c r="C491" s="5">
        <f>Data!N518</f>
        <v>2.9411764705882353E-2</v>
      </c>
      <c r="D491" s="5">
        <f ca="1">Data!O518</f>
        <v>70.084821505160406</v>
      </c>
      <c r="E491" s="1">
        <f>Data!AQ518</f>
        <v>0.1</v>
      </c>
      <c r="F491" t="str">
        <f t="shared" si="7"/>
        <v/>
      </c>
      <c r="G491" s="5">
        <f ca="1">AVERAGE(D$2:D490)</f>
        <v>175.97264620003833</v>
      </c>
      <c r="H491" s="5">
        <f ca="1">PERCENTILE(D$2:D490,0.025)</f>
        <v>-3.8238157735289251</v>
      </c>
      <c r="I491" s="5">
        <f ca="1">PERCENTILE(D$2:D490,0.165)</f>
        <v>2.9877273397214883</v>
      </c>
      <c r="J491" s="5">
        <f ca="1">PERCENTILE(D$2:D490,0.5)</f>
        <v>37.630398950131237</v>
      </c>
      <c r="K491" s="5">
        <f ca="1">PERCENTILE(D$2:D490,0.835)</f>
        <v>236.2564589738621</v>
      </c>
      <c r="L491" s="5">
        <f ca="1">PERCENTILE(D$2:D490,0.975)</f>
        <v>1325.4389001408281</v>
      </c>
      <c r="M491" s="7">
        <f>AVERAGE(E$2:E490)</f>
        <v>1.4070776255707764</v>
      </c>
      <c r="N491" s="7">
        <f>PERCENTILE($E$2:$E490,0.025)</f>
        <v>-1</v>
      </c>
      <c r="O491" s="7">
        <f>PERCENTILE($E$2:$E490,0.165)</f>
        <v>0</v>
      </c>
      <c r="P491" s="7">
        <f>PERCENTILE($E$2:$E490,0.5)</f>
        <v>1</v>
      </c>
      <c r="Q491" s="7">
        <f>PERCENTILE($E$2:$E490,0.835)</f>
        <v>3</v>
      </c>
      <c r="R491" s="7">
        <f>PERCENTILE($E$2:$E490,0.975)</f>
        <v>4.0749999999999886</v>
      </c>
    </row>
    <row r="492" spans="1:18" x14ac:dyDescent="0.2">
      <c r="A492" s="5">
        <f>Data!E519</f>
        <v>2011</v>
      </c>
      <c r="B492" s="5">
        <f>Data!M519</f>
        <v>0.17941176470588233</v>
      </c>
      <c r="C492" s="5">
        <f>Data!N519</f>
        <v>2.9411764705882353E-2</v>
      </c>
      <c r="D492" s="5">
        <f ca="1">Data!O519</f>
        <v>2004.3197059240947</v>
      </c>
      <c r="E492" s="1">
        <f>Data!AQ519</f>
        <v>0.1</v>
      </c>
      <c r="F492" t="str">
        <f t="shared" si="7"/>
        <v/>
      </c>
      <c r="G492" s="5">
        <f ca="1">AVERAGE(D$2:D491)</f>
        <v>175.75654859862021</v>
      </c>
      <c r="H492" s="5">
        <f ca="1">PERCENTILE(D$2:D491,0.025)</f>
        <v>-3.8238157735289251</v>
      </c>
      <c r="I492" s="5">
        <f ca="1">PERCENTILE(D$2:D491,0.165)</f>
        <v>3.0002255908047966</v>
      </c>
      <c r="J492" s="5">
        <f ca="1">PERCENTILE(D$2:D491,0.5)</f>
        <v>37.820353618861233</v>
      </c>
      <c r="K492" s="5">
        <f ca="1">PERCENTILE(D$2:D491,0.835)</f>
        <v>236.19547835176252</v>
      </c>
      <c r="L492" s="5">
        <f ca="1">PERCENTILE(D$2:D491,0.975)</f>
        <v>1324.9969816385399</v>
      </c>
      <c r="M492" s="7">
        <f>AVERAGE(E$2:E491)</f>
        <v>1.4041002277904331</v>
      </c>
      <c r="N492" s="7">
        <f>PERCENTILE($E$2:$E491,0.025)</f>
        <v>-1</v>
      </c>
      <c r="O492" s="7">
        <f>PERCENTILE($E$2:$E491,0.165)</f>
        <v>0</v>
      </c>
      <c r="P492" s="7">
        <f>PERCENTILE($E$2:$E491,0.5)</f>
        <v>1</v>
      </c>
      <c r="Q492" s="7">
        <f>PERCENTILE($E$2:$E491,0.835)</f>
        <v>3</v>
      </c>
      <c r="R492" s="7">
        <f>PERCENTILE($E$2:$E491,0.975)</f>
        <v>4.0500000000000114</v>
      </c>
    </row>
    <row r="493" spans="1:18" x14ac:dyDescent="0.2">
      <c r="A493" s="5">
        <f>Data!E520</f>
        <v>2011</v>
      </c>
      <c r="B493" s="5">
        <f>Data!M520</f>
        <v>0.35882352941176465</v>
      </c>
      <c r="C493" s="5">
        <f>Data!N520</f>
        <v>5.8823529411764705E-2</v>
      </c>
      <c r="D493" s="5">
        <f ca="1">Data!O520</f>
        <v>121.45380999473821</v>
      </c>
      <c r="E493" s="1">
        <f>Data!AQ520</f>
        <v>1</v>
      </c>
      <c r="F493" t="str">
        <f t="shared" si="7"/>
        <v/>
      </c>
      <c r="G493" s="5">
        <f ca="1">AVERAGE(D$2:D492)</f>
        <v>179.48070981516904</v>
      </c>
      <c r="H493" s="5">
        <f ca="1">PERCENTILE(D$2:D492,0.025)</f>
        <v>-3.8238157735289251</v>
      </c>
      <c r="I493" s="5">
        <f ca="1">PERCENTILE(D$2:D492,0.165)</f>
        <v>3.0127238418881057</v>
      </c>
      <c r="J493" s="5">
        <f ca="1">PERCENTILE(D$2:D492,0.5)</f>
        <v>38.010308287591222</v>
      </c>
      <c r="K493" s="5">
        <f ca="1">PERCENTILE(D$2:D492,0.835)</f>
        <v>238.01480109717158</v>
      </c>
      <c r="L493" s="5">
        <f ca="1">PERCENTILE(D$2:D492,0.975)</f>
        <v>1328.9742481591302</v>
      </c>
      <c r="M493" s="7">
        <f>AVERAGE(E$2:E492)</f>
        <v>1.4011363636363638</v>
      </c>
      <c r="N493" s="7">
        <f>PERCENTILE($E$2:$E492,0.025)</f>
        <v>-1</v>
      </c>
      <c r="O493" s="7">
        <f>PERCENTILE($E$2:$E492,0.165)</f>
        <v>0</v>
      </c>
      <c r="P493" s="7">
        <f>PERCENTILE($E$2:$E492,0.5)</f>
        <v>1</v>
      </c>
      <c r="Q493" s="7">
        <f>PERCENTILE($E$2:$E492,0.835)</f>
        <v>3</v>
      </c>
      <c r="R493" s="7">
        <f>PERCENTILE($E$2:$E492,0.975)</f>
        <v>4.0249999999999773</v>
      </c>
    </row>
    <row r="494" spans="1:18" x14ac:dyDescent="0.2">
      <c r="A494" s="5">
        <f>Data!E521</f>
        <v>2011</v>
      </c>
      <c r="B494" s="5">
        <f>Data!M521</f>
        <v>0.35882352941176465</v>
      </c>
      <c r="C494" s="5">
        <f>Data!N521</f>
        <v>5.8823529411764705E-2</v>
      </c>
      <c r="D494" s="5">
        <f ca="1">Data!O521</f>
        <v>16.061104928265927</v>
      </c>
      <c r="E494" s="1">
        <f>Data!AQ521</f>
        <v>1</v>
      </c>
      <c r="F494" t="str">
        <f t="shared" si="7"/>
        <v/>
      </c>
      <c r="G494" s="5">
        <f ca="1">AVERAGE(D$2:D493)</f>
        <v>179.36276896187547</v>
      </c>
      <c r="H494" s="5">
        <f ca="1">PERCENTILE(D$2:D493,0.025)</f>
        <v>-3.8238157735289251</v>
      </c>
      <c r="I494" s="5">
        <f ca="1">PERCENTILE(D$2:D493,0.165)</f>
        <v>3.0257415060544641</v>
      </c>
      <c r="J494" s="5">
        <f ca="1">PERCENTILE(D$2:D493,0.5)</f>
        <v>38.124233011440239</v>
      </c>
      <c r="K494" s="5">
        <f ca="1">PERCENTILE(D$2:D493,0.835)</f>
        <v>236.44309663543962</v>
      </c>
      <c r="L494" s="5">
        <f ca="1">PERCENTILE(D$2:D493,0.975)</f>
        <v>1328.9742481591302</v>
      </c>
      <c r="M494" s="7">
        <f>AVERAGE(E$2:E493)</f>
        <v>1.4002267573696148</v>
      </c>
      <c r="N494" s="7">
        <f>PERCENTILE($E$2:$E493,0.025)</f>
        <v>-1</v>
      </c>
      <c r="O494" s="7">
        <f>PERCENTILE($E$2:$E493,0.165)</f>
        <v>0</v>
      </c>
      <c r="P494" s="7">
        <f>PERCENTILE($E$2:$E493,0.5)</f>
        <v>1</v>
      </c>
      <c r="Q494" s="7">
        <f>PERCENTILE($E$2:$E493,0.835)</f>
        <v>3</v>
      </c>
      <c r="R494" s="7">
        <f>PERCENTILE($E$2:$E493,0.975)</f>
        <v>4</v>
      </c>
    </row>
    <row r="495" spans="1:18" x14ac:dyDescent="0.2">
      <c r="A495" s="5">
        <f>Data!E522</f>
        <v>2011</v>
      </c>
      <c r="B495" s="5">
        <f>Data!M522</f>
        <v>0.35882352941176465</v>
      </c>
      <c r="C495" s="5">
        <f>Data!N522</f>
        <v>5.8823529411764705E-2</v>
      </c>
      <c r="D495" s="5">
        <f ca="1">Data!O522</f>
        <v>38.626293670457727</v>
      </c>
      <c r="E495" s="1">
        <f>Data!AQ522</f>
        <v>1</v>
      </c>
      <c r="F495" t="str">
        <f t="shared" si="7"/>
        <v/>
      </c>
      <c r="G495" s="5">
        <f ca="1">AVERAGE(D$2:D494)</f>
        <v>179.03152826403851</v>
      </c>
      <c r="H495" s="5">
        <f ca="1">PERCENTILE(D$2:D494,0.025)</f>
        <v>-3.8238157735289251</v>
      </c>
      <c r="I495" s="5">
        <f ca="1">PERCENTILE(D$2:D494,0.165)</f>
        <v>3.0439533010513302</v>
      </c>
      <c r="J495" s="5">
        <f ca="1">PERCENTILE(D$2:D494,0.5)</f>
        <v>38.010308287591222</v>
      </c>
      <c r="K495" s="5">
        <f ca="1">PERCENTILE(D$2:D494,0.835)</f>
        <v>236.38211601334004</v>
      </c>
      <c r="L495" s="5">
        <f ca="1">PERCENTILE(D$2:D494,0.975)</f>
        <v>1328.9742481591302</v>
      </c>
      <c r="M495" s="7">
        <f>AVERAGE(E$2:E494)</f>
        <v>1.3993212669683261</v>
      </c>
      <c r="N495" s="7">
        <f>PERCENTILE($E$2:$E494,0.025)</f>
        <v>-1</v>
      </c>
      <c r="O495" s="7">
        <f>PERCENTILE($E$2:$E494,0.165)</f>
        <v>0</v>
      </c>
      <c r="P495" s="7">
        <f>PERCENTILE($E$2:$E494,0.5)</f>
        <v>1</v>
      </c>
      <c r="Q495" s="7">
        <f>PERCENTILE($E$2:$E494,0.835)</f>
        <v>3</v>
      </c>
      <c r="R495" s="7">
        <f>PERCENTILE($E$2:$E494,0.975)</f>
        <v>4</v>
      </c>
    </row>
    <row r="496" spans="1:18" x14ac:dyDescent="0.2">
      <c r="A496" s="5">
        <f>Data!E523</f>
        <v>2011</v>
      </c>
      <c r="B496" s="5">
        <f>Data!M523</f>
        <v>0.17941176470588233</v>
      </c>
      <c r="C496" s="5">
        <f>Data!N523</f>
        <v>2.9411764705882353E-2</v>
      </c>
      <c r="D496" s="5">
        <f ca="1">Data!O523</f>
        <v>3.198947345216602</v>
      </c>
      <c r="E496" s="1">
        <f>Data!AQ523</f>
        <v>1</v>
      </c>
      <c r="F496" t="str">
        <f t="shared" si="7"/>
        <v/>
      </c>
      <c r="G496" s="5">
        <f ca="1">AVERAGE(D$2:D495)</f>
        <v>178.74730714137945</v>
      </c>
      <c r="H496" s="5">
        <f ca="1">PERCENTILE(D$2:D495,0.025)</f>
        <v>-3.8238157735289251</v>
      </c>
      <c r="I496" s="5">
        <f ca="1">PERCENTILE(D$2:D495,0.165)</f>
        <v>3.0621650960481941</v>
      </c>
      <c r="J496" s="5">
        <f ca="1">PERCENTILE(D$2:D495,0.5)</f>
        <v>38.124233011440239</v>
      </c>
      <c r="K496" s="5">
        <f ca="1">PERCENTILE(D$2:D495,0.835)</f>
        <v>236.32113539124043</v>
      </c>
      <c r="L496" s="5">
        <f ca="1">PERCENTILE(D$2:D495,0.975)</f>
        <v>1328.9742481591302</v>
      </c>
      <c r="M496" s="7">
        <f>AVERAGE(E$2:E495)</f>
        <v>1.3984198645598196</v>
      </c>
      <c r="N496" s="7">
        <f>PERCENTILE($E$2:$E495,0.025)</f>
        <v>-1</v>
      </c>
      <c r="O496" s="7">
        <f>PERCENTILE($E$2:$E495,0.165)</f>
        <v>0</v>
      </c>
      <c r="P496" s="7">
        <f>PERCENTILE($E$2:$E495,0.5)</f>
        <v>1</v>
      </c>
      <c r="Q496" s="7">
        <f>PERCENTILE($E$2:$E495,0.835)</f>
        <v>3</v>
      </c>
      <c r="R496" s="7">
        <f>PERCENTILE($E$2:$E495,0.975)</f>
        <v>4</v>
      </c>
    </row>
    <row r="497" spans="1:18" x14ac:dyDescent="0.2">
      <c r="A497" s="5">
        <f>Data!E524</f>
        <v>2011</v>
      </c>
      <c r="B497" s="5">
        <f>Data!M524</f>
        <v>0.17941176470588233</v>
      </c>
      <c r="C497" s="5">
        <f>Data!N524</f>
        <v>2.9411764705882353E-2</v>
      </c>
      <c r="D497" s="5">
        <f ca="1">Data!O524</f>
        <v>99.552303274375575</v>
      </c>
      <c r="E497" s="1">
        <f>Data!AQ524</f>
        <v>1</v>
      </c>
      <c r="F497" t="str">
        <f t="shared" si="7"/>
        <v/>
      </c>
      <c r="G497" s="5">
        <f ca="1">AVERAGE(D$2:D496)</f>
        <v>178.39266399027608</v>
      </c>
      <c r="H497" s="5">
        <f ca="1">PERCENTILE(D$2:D496,0.025)</f>
        <v>-3.8238157735289251</v>
      </c>
      <c r="I497" s="5">
        <f ca="1">PERCENTILE(D$2:D496,0.165)</f>
        <v>3.0803768910450602</v>
      </c>
      <c r="J497" s="5">
        <f ca="1">PERCENTILE(D$2:D496,0.5)</f>
        <v>38.010308287591222</v>
      </c>
      <c r="K497" s="5">
        <f ca="1">PERCENTILE(D$2:D496,0.835)</f>
        <v>236.26015476914085</v>
      </c>
      <c r="L497" s="5">
        <f ca="1">PERCENTILE(D$2:D496,0.975)</f>
        <v>1328.9742481591302</v>
      </c>
      <c r="M497" s="7">
        <f>AVERAGE(E$2:E496)</f>
        <v>1.3975225225225227</v>
      </c>
      <c r="N497" s="7">
        <f>PERCENTILE($E$2:$E496,0.025)</f>
        <v>-1</v>
      </c>
      <c r="O497" s="7">
        <f>PERCENTILE($E$2:$E496,0.165)</f>
        <v>0</v>
      </c>
      <c r="P497" s="7">
        <f>PERCENTILE($E$2:$E496,0.5)</f>
        <v>1</v>
      </c>
      <c r="Q497" s="7">
        <f>PERCENTILE($E$2:$E496,0.835)</f>
        <v>3</v>
      </c>
      <c r="R497" s="7">
        <f>PERCENTILE($E$2:$E496,0.975)</f>
        <v>4</v>
      </c>
    </row>
    <row r="498" spans="1:18" x14ac:dyDescent="0.2">
      <c r="A498" s="5">
        <f>Data!E525</f>
        <v>2011</v>
      </c>
      <c r="B498" s="5">
        <f>Data!M525</f>
        <v>0.17941176470588233</v>
      </c>
      <c r="C498" s="5">
        <f>Data!N525</f>
        <v>2.9411764705882353E-2</v>
      </c>
      <c r="D498" s="5">
        <f ca="1">Data!O525</f>
        <v>6.8359248248404567</v>
      </c>
      <c r="E498" s="1">
        <f>Data!AQ525</f>
        <v>1</v>
      </c>
      <c r="F498" t="str">
        <f t="shared" si="7"/>
        <v/>
      </c>
      <c r="G498" s="5">
        <f ca="1">AVERAGE(D$2:D497)</f>
        <v>178.23371165012307</v>
      </c>
      <c r="H498" s="5">
        <f ca="1">PERCENTILE(D$2:D497,0.025)</f>
        <v>-3.8238157735289251</v>
      </c>
      <c r="I498" s="5">
        <f ca="1">PERCENTILE(D$2:D497,0.165)</f>
        <v>3.0985886860419245</v>
      </c>
      <c r="J498" s="5">
        <f ca="1">PERCENTILE(D$2:D497,0.5)</f>
        <v>38.124233011440239</v>
      </c>
      <c r="K498" s="5">
        <f ca="1">PERCENTILE(D$2:D497,0.835)</f>
        <v>236.19917414704128</v>
      </c>
      <c r="L498" s="5">
        <f ca="1">PERCENTILE(D$2:D497,0.975)</f>
        <v>1328.9742481591302</v>
      </c>
      <c r="M498" s="7">
        <f>AVERAGE(E$2:E497)</f>
        <v>1.3966292134831464</v>
      </c>
      <c r="N498" s="7">
        <f>PERCENTILE($E$2:$E497,0.025)</f>
        <v>-1</v>
      </c>
      <c r="O498" s="7">
        <f>PERCENTILE($E$2:$E497,0.165)</f>
        <v>0</v>
      </c>
      <c r="P498" s="7">
        <f>PERCENTILE($E$2:$E497,0.5)</f>
        <v>1</v>
      </c>
      <c r="Q498" s="7">
        <f>PERCENTILE($E$2:$E497,0.835)</f>
        <v>3</v>
      </c>
      <c r="R498" s="7">
        <f>PERCENTILE($E$2:$E497,0.975)</f>
        <v>4</v>
      </c>
    </row>
    <row r="499" spans="1:18" x14ac:dyDescent="0.2">
      <c r="A499" s="5">
        <f>Data!E526</f>
        <v>2011</v>
      </c>
      <c r="B499" s="5">
        <f>Data!M526</f>
        <v>0.17941176470588233</v>
      </c>
      <c r="C499" s="5">
        <f>Data!N526</f>
        <v>2.9411764705882353E-2</v>
      </c>
      <c r="D499" s="5">
        <f ca="1">Data!O526</f>
        <v>69.022930270233729</v>
      </c>
      <c r="E499" s="1">
        <f>Data!AQ526</f>
        <v>1</v>
      </c>
      <c r="F499" t="str">
        <f t="shared" si="7"/>
        <v/>
      </c>
      <c r="G499" s="5">
        <f ca="1">AVERAGE(D$2:D498)</f>
        <v>177.88884688789918</v>
      </c>
      <c r="H499" s="5">
        <f ca="1">PERCENTILE(D$2:D498,0.025)</f>
        <v>-3.8238157735289251</v>
      </c>
      <c r="I499" s="5">
        <f ca="1">PERCENTILE(D$2:D498,0.165)</f>
        <v>3.1168004810387901</v>
      </c>
      <c r="J499" s="5">
        <f ca="1">PERCENTILE(D$2:D498,0.5)</f>
        <v>38.010308287591222</v>
      </c>
      <c r="K499" s="5">
        <f ca="1">PERCENTILE(D$2:D498,0.835)</f>
        <v>236.13819352494167</v>
      </c>
      <c r="L499" s="5">
        <f ca="1">PERCENTILE(D$2:D498,0.975)</f>
        <v>1328.9742481591302</v>
      </c>
      <c r="M499" s="7">
        <f>AVERAGE(E$2:E498)</f>
        <v>1.3957399103139017</v>
      </c>
      <c r="N499" s="7">
        <f>PERCENTILE($E$2:$E498,0.025)</f>
        <v>-1</v>
      </c>
      <c r="O499" s="7">
        <f>PERCENTILE($E$2:$E498,0.165)</f>
        <v>0</v>
      </c>
      <c r="P499" s="7">
        <f>PERCENTILE($E$2:$E498,0.5)</f>
        <v>1</v>
      </c>
      <c r="Q499" s="7">
        <f>PERCENTILE($E$2:$E498,0.835)</f>
        <v>3</v>
      </c>
      <c r="R499" s="7">
        <f>PERCENTILE($E$2:$E498,0.975)</f>
        <v>4</v>
      </c>
    </row>
    <row r="500" spans="1:18" x14ac:dyDescent="0.2">
      <c r="A500" s="5">
        <f>Data!E527</f>
        <v>2011</v>
      </c>
      <c r="B500" s="5">
        <f>Data!M527</f>
        <v>0.55454545454545456</v>
      </c>
      <c r="C500" s="5">
        <f>Data!N527</f>
        <v>9.0909090909090912E-2</v>
      </c>
      <c r="D500" s="5">
        <f ca="1">Data!O527</f>
        <v>38.936011947311336</v>
      </c>
      <c r="E500" s="1">
        <f>Data!AQ527</f>
        <v>1</v>
      </c>
      <c r="F500" t="str">
        <f t="shared" si="7"/>
        <v/>
      </c>
      <c r="G500" s="5">
        <f ca="1">AVERAGE(D$2:D499)</f>
        <v>177.67024062963077</v>
      </c>
      <c r="H500" s="5">
        <f ca="1">PERCENTILE(D$2:D499,0.025)</f>
        <v>-3.8238157735289251</v>
      </c>
      <c r="I500" s="5">
        <f ca="1">PERCENTILE(D$2:D499,0.165)</f>
        <v>3.1347828381687761</v>
      </c>
      <c r="J500" s="5">
        <f ca="1">PERCENTILE(D$2:D499,0.5)</f>
        <v>38.124233011440239</v>
      </c>
      <c r="K500" s="5">
        <f ca="1">PERCENTILE(D$2:D499,0.835)</f>
        <v>236.07866549647906</v>
      </c>
      <c r="L500" s="5">
        <f ca="1">PERCENTILE(D$2:D499,0.975)</f>
        <v>1328.9742481591302</v>
      </c>
      <c r="M500" s="7">
        <f>AVERAGE(E$2:E499)</f>
        <v>1.3948545861297541</v>
      </c>
      <c r="N500" s="7">
        <f>PERCENTILE($E$2:$E499,0.025)</f>
        <v>-1</v>
      </c>
      <c r="O500" s="7">
        <f>PERCENTILE($E$2:$E499,0.165)</f>
        <v>0</v>
      </c>
      <c r="P500" s="7">
        <f>PERCENTILE($E$2:$E499,0.5)</f>
        <v>1</v>
      </c>
      <c r="Q500" s="7">
        <f>PERCENTILE($E$2:$E499,0.835)</f>
        <v>3</v>
      </c>
      <c r="R500" s="7">
        <f>PERCENTILE($E$2:$E499,0.975)</f>
        <v>4</v>
      </c>
    </row>
    <row r="501" spans="1:18" x14ac:dyDescent="0.2">
      <c r="A501" s="5">
        <f>Data!E528</f>
        <v>2011</v>
      </c>
      <c r="B501" s="5">
        <f>Data!M528</f>
        <v>0.27727272727272728</v>
      </c>
      <c r="C501" s="5">
        <f>Data!N528</f>
        <v>4.5454545454545456E-2</v>
      </c>
      <c r="D501" s="5">
        <f ca="1">Data!O528</f>
        <v>68.138020907794825</v>
      </c>
      <c r="E501" s="1">
        <f>Data!AQ528</f>
        <v>1</v>
      </c>
      <c r="F501" t="str">
        <f t="shared" si="7"/>
        <v/>
      </c>
      <c r="G501" s="5">
        <f ca="1">AVERAGE(D$2:D500)</f>
        <v>177.39221612325338</v>
      </c>
      <c r="H501" s="5">
        <f ca="1">PERCENTILE(D$2:D500,0.025)</f>
        <v>-3.8238157735289251</v>
      </c>
      <c r="I501" s="5">
        <f ca="1">PERCENTILE(D$2:D500,0.165)</f>
        <v>3.1454231835586159</v>
      </c>
      <c r="J501" s="5">
        <f ca="1">PERCENTILE(D$2:D500,0.5)</f>
        <v>38.238157735289256</v>
      </c>
      <c r="K501" s="5">
        <f ca="1">PERCENTILE(D$2:D500,0.835)</f>
        <v>236.06562046439961</v>
      </c>
      <c r="L501" s="5">
        <f ca="1">PERCENTILE(D$2:D500,0.975)</f>
        <v>1328.9742481591302</v>
      </c>
      <c r="M501" s="7">
        <f>AVERAGE(E$2:E500)</f>
        <v>1.3939732142857146</v>
      </c>
      <c r="N501" s="7">
        <f>PERCENTILE($E$2:$E500,0.025)</f>
        <v>-1</v>
      </c>
      <c r="O501" s="7">
        <f>PERCENTILE($E$2:$E500,0.165)</f>
        <v>0</v>
      </c>
      <c r="P501" s="7">
        <f>PERCENTILE($E$2:$E500,0.5)</f>
        <v>1</v>
      </c>
      <c r="Q501" s="7">
        <f>PERCENTILE($E$2:$E500,0.835)</f>
        <v>3</v>
      </c>
      <c r="R501" s="7">
        <f>PERCENTILE($E$2:$E500,0.975)</f>
        <v>4</v>
      </c>
    </row>
    <row r="502" spans="1:18" x14ac:dyDescent="0.2">
      <c r="A502" s="5">
        <f>Data!E529</f>
        <v>2011</v>
      </c>
      <c r="B502" s="5">
        <f>Data!M529</f>
        <v>0.27727272727272728</v>
      </c>
      <c r="C502" s="5">
        <f>Data!N529</f>
        <v>4.5454545454545456E-2</v>
      </c>
      <c r="D502" s="5">
        <f ca="1">Data!O529</f>
        <v>34.069010453897413</v>
      </c>
      <c r="E502" s="1">
        <f>Data!AQ529</f>
        <v>1</v>
      </c>
      <c r="F502" t="str">
        <f t="shared" si="7"/>
        <v/>
      </c>
      <c r="G502" s="5">
        <f ca="1">AVERAGE(D$2:D501)</f>
        <v>177.17370773282246</v>
      </c>
      <c r="H502" s="5">
        <f ca="1">PERCENTILE(D$2:D501,0.025)</f>
        <v>-3.8238157735289251</v>
      </c>
      <c r="I502" s="5">
        <f ca="1">PERCENTILE(D$2:D501,0.165)</f>
        <v>3.1560635289484571</v>
      </c>
      <c r="J502" s="5">
        <f ca="1">PERCENTILE(D$2:D501,0.5)</f>
        <v>38.239287328750578</v>
      </c>
      <c r="K502" s="5">
        <f ca="1">PERCENTILE(D$2:D501,0.835)</f>
        <v>236.05257543232017</v>
      </c>
      <c r="L502" s="5">
        <f ca="1">PERCENTILE(D$2:D501,0.975)</f>
        <v>1328.9742481591302</v>
      </c>
      <c r="M502" s="7">
        <f>AVERAGE(E$2:E501)</f>
        <v>1.3930957683741652</v>
      </c>
      <c r="N502" s="7">
        <f>PERCENTILE($E$2:$E501,0.025)</f>
        <v>-1</v>
      </c>
      <c r="O502" s="7">
        <f>PERCENTILE($E$2:$E501,0.165)</f>
        <v>0</v>
      </c>
      <c r="P502" s="7">
        <f>PERCENTILE($E$2:$E501,0.5)</f>
        <v>1</v>
      </c>
      <c r="Q502" s="7">
        <f>PERCENTILE($E$2:$E501,0.835)</f>
        <v>3</v>
      </c>
      <c r="R502" s="7">
        <f>PERCENTILE($E$2:$E501,0.975)</f>
        <v>4</v>
      </c>
    </row>
    <row r="503" spans="1:18" x14ac:dyDescent="0.2">
      <c r="A503" s="5">
        <f>Data!E530</f>
        <v>2011</v>
      </c>
      <c r="B503" s="5">
        <f>Data!M530</f>
        <v>0.27727272727272728</v>
      </c>
      <c r="C503" s="5">
        <f>Data!N530</f>
        <v>4.5454545454545456E-2</v>
      </c>
      <c r="D503" s="5">
        <f ca="1">Data!O530</f>
        <v>14.60100448024175</v>
      </c>
      <c r="E503" s="1">
        <f>Data!AQ530</f>
        <v>1</v>
      </c>
      <c r="F503" t="str">
        <f t="shared" si="7"/>
        <v/>
      </c>
      <c r="G503" s="5">
        <f ca="1">AVERAGE(D$2:D502)</f>
        <v>176.88806961450123</v>
      </c>
      <c r="H503" s="5">
        <f ca="1">PERCENTILE(D$2:D502,0.025)</f>
        <v>-3.8238157735289251</v>
      </c>
      <c r="I503" s="5">
        <f ca="1">PERCENTILE(D$2:D502,0.165)</f>
        <v>3.1667038743382969</v>
      </c>
      <c r="J503" s="5">
        <f ca="1">PERCENTILE(D$2:D502,0.5)</f>
        <v>38.238157735289256</v>
      </c>
      <c r="K503" s="5">
        <f ca="1">PERCENTILE(D$2:D502,0.835)</f>
        <v>236.03953040024072</v>
      </c>
      <c r="L503" s="5">
        <f ca="1">PERCENTILE(D$2:D502,0.975)</f>
        <v>1328.9742481591302</v>
      </c>
      <c r="M503" s="7">
        <f>AVERAGE(E$2:E502)</f>
        <v>1.3922222222222225</v>
      </c>
      <c r="N503" s="7">
        <f>PERCENTILE($E$2:$E502,0.025)</f>
        <v>-1</v>
      </c>
      <c r="O503" s="7">
        <f>PERCENTILE($E$2:$E502,0.165)</f>
        <v>0</v>
      </c>
      <c r="P503" s="7">
        <f>PERCENTILE($E$2:$E502,0.5)</f>
        <v>1</v>
      </c>
      <c r="Q503" s="7">
        <f>PERCENTILE($E$2:$E502,0.835)</f>
        <v>3</v>
      </c>
      <c r="R503" s="7">
        <f>PERCENTILE($E$2:$E502,0.975)</f>
        <v>4</v>
      </c>
    </row>
    <row r="504" spans="1:18" x14ac:dyDescent="0.2">
      <c r="A504" s="5">
        <f>Data!E531</f>
        <v>2011</v>
      </c>
      <c r="B504" s="5">
        <f>Data!M531</f>
        <v>0.27727272727272728</v>
      </c>
      <c r="C504" s="5">
        <f>Data!N531</f>
        <v>4.5454545454545456E-2</v>
      </c>
      <c r="D504" s="5">
        <f ca="1">Data!O531</f>
        <v>87.606026881450504</v>
      </c>
      <c r="E504" s="1">
        <f>Data!AQ531</f>
        <v>1</v>
      </c>
      <c r="F504" t="str">
        <f t="shared" si="7"/>
        <v/>
      </c>
      <c r="G504" s="5">
        <f ca="1">AVERAGE(D$2:D503)</f>
        <v>176.56478860825769</v>
      </c>
      <c r="H504" s="5">
        <f ca="1">PERCENTILE(D$2:D503,0.025)</f>
        <v>-3.8238157735289251</v>
      </c>
      <c r="I504" s="5">
        <f ca="1">PERCENTILE(D$2:D503,0.165)</f>
        <v>3.1773442197281381</v>
      </c>
      <c r="J504" s="5">
        <f ca="1">PERCENTILE(D$2:D503,0.5)</f>
        <v>38.124233011440239</v>
      </c>
      <c r="K504" s="5">
        <f ca="1">PERCENTILE(D$2:D503,0.835)</f>
        <v>236.0264853681613</v>
      </c>
      <c r="L504" s="5">
        <f ca="1">PERCENTILE(D$2:D503,0.975)</f>
        <v>1328.9742481591302</v>
      </c>
      <c r="M504" s="7">
        <f>AVERAGE(E$2:E503)</f>
        <v>1.3913525498891355</v>
      </c>
      <c r="N504" s="7">
        <f>PERCENTILE($E$2:$E503,0.025)</f>
        <v>-1</v>
      </c>
      <c r="O504" s="7">
        <f>PERCENTILE($E$2:$E503,0.165)</f>
        <v>0</v>
      </c>
      <c r="P504" s="7">
        <f>PERCENTILE($E$2:$E503,0.5)</f>
        <v>1</v>
      </c>
      <c r="Q504" s="7">
        <f>PERCENTILE($E$2:$E503,0.835)</f>
        <v>3</v>
      </c>
      <c r="R504" s="7">
        <f>PERCENTILE($E$2:$E503,0.975)</f>
        <v>4</v>
      </c>
    </row>
    <row r="505" spans="1:18" x14ac:dyDescent="0.2">
      <c r="A505" s="5">
        <f>Data!E532</f>
        <v>2011</v>
      </c>
      <c r="B505" s="5">
        <f>Data!M532</f>
        <v>0.55454545454545456</v>
      </c>
      <c r="C505" s="5">
        <f>Data!N532</f>
        <v>9.0909090909090912E-2</v>
      </c>
      <c r="D505" s="5">
        <f ca="1">Data!O532</f>
        <v>248.21707616410978</v>
      </c>
      <c r="E505" s="1">
        <f>Data!AQ532</f>
        <v>1</v>
      </c>
      <c r="F505" t="str">
        <f t="shared" si="7"/>
        <v/>
      </c>
      <c r="G505" s="5">
        <f ca="1">AVERAGE(D$2:D504)</f>
        <v>176.38793222311492</v>
      </c>
      <c r="H505" s="5">
        <f ca="1">PERCENTILE(D$2:D504,0.025)</f>
        <v>-3.8238157735289251</v>
      </c>
      <c r="I505" s="5">
        <f ca="1">PERCENTILE(D$2:D504,0.165)</f>
        <v>3.1879845651179783</v>
      </c>
      <c r="J505" s="5">
        <f ca="1">PERCENTILE(D$2:D504,0.5)</f>
        <v>38.238157735289256</v>
      </c>
      <c r="K505" s="5">
        <f ca="1">PERCENTILE(D$2:D504,0.835)</f>
        <v>236.01344033608186</v>
      </c>
      <c r="L505" s="5">
        <f ca="1">PERCENTILE(D$2:D504,0.975)</f>
        <v>1328.9742481591302</v>
      </c>
      <c r="M505" s="7">
        <f>AVERAGE(E$2:E504)</f>
        <v>1.390486725663717</v>
      </c>
      <c r="N505" s="7">
        <f>PERCENTILE($E$2:$E504,0.025)</f>
        <v>-1</v>
      </c>
      <c r="O505" s="7">
        <f>PERCENTILE($E$2:$E504,0.165)</f>
        <v>0</v>
      </c>
      <c r="P505" s="7">
        <f>PERCENTILE($E$2:$E504,0.5)</f>
        <v>1</v>
      </c>
      <c r="Q505" s="7">
        <f>PERCENTILE($E$2:$E504,0.835)</f>
        <v>3</v>
      </c>
      <c r="R505" s="7">
        <f>PERCENTILE($E$2:$E504,0.975)</f>
        <v>4</v>
      </c>
    </row>
    <row r="506" spans="1:18" x14ac:dyDescent="0.2">
      <c r="A506" s="5">
        <f>Data!E533</f>
        <v>2011</v>
      </c>
      <c r="B506" s="5">
        <f>Data!M533</f>
        <v>0.55454545454545456</v>
      </c>
      <c r="C506" s="5">
        <f>Data!N533</f>
        <v>9.0909090909090912E-2</v>
      </c>
      <c r="D506" s="5">
        <f ca="1">Data!O533</f>
        <v>1.4601004480241748</v>
      </c>
      <c r="E506" s="1">
        <f>Data!AQ533</f>
        <v>0.1</v>
      </c>
      <c r="F506" t="str">
        <f t="shared" si="7"/>
        <v/>
      </c>
      <c r="G506" s="5">
        <f ca="1">AVERAGE(D$2:D505)</f>
        <v>176.53045036585499</v>
      </c>
      <c r="H506" s="5">
        <f ca="1">PERCENTILE(D$2:D505,0.025)</f>
        <v>-3.8238157735289251</v>
      </c>
      <c r="I506" s="5">
        <f ca="1">PERCENTILE(D$2:D505,0.165)</f>
        <v>3.1986249105078191</v>
      </c>
      <c r="J506" s="5">
        <f ca="1">PERCENTILE(D$2:D505,0.5)</f>
        <v>38.239287328750578</v>
      </c>
      <c r="K506" s="5">
        <f ca="1">PERCENTILE(D$2:D505,0.835)</f>
        <v>236.08090869812085</v>
      </c>
      <c r="L506" s="5">
        <f ca="1">PERCENTILE(D$2:D505,0.975)</f>
        <v>1328.9742481591302</v>
      </c>
      <c r="M506" s="7">
        <f>AVERAGE(E$2:E505)</f>
        <v>1.3896247240618105</v>
      </c>
      <c r="N506" s="7">
        <f>PERCENTILE($E$2:$E505,0.025)</f>
        <v>-1</v>
      </c>
      <c r="O506" s="7">
        <f>PERCENTILE($E$2:$E505,0.165)</f>
        <v>0</v>
      </c>
      <c r="P506" s="7">
        <f>PERCENTILE($E$2:$E505,0.5)</f>
        <v>1</v>
      </c>
      <c r="Q506" s="7">
        <f>PERCENTILE($E$2:$E505,0.835)</f>
        <v>3</v>
      </c>
      <c r="R506" s="7">
        <f>PERCENTILE($E$2:$E505,0.975)</f>
        <v>4</v>
      </c>
    </row>
    <row r="507" spans="1:18" x14ac:dyDescent="0.2">
      <c r="A507" s="5">
        <f>Data!E534</f>
        <v>2011</v>
      </c>
      <c r="B507" s="5">
        <f>Data!M534</f>
        <v>0.55454545454545456</v>
      </c>
      <c r="C507" s="5">
        <f>Data!N534</f>
        <v>9.0909090909090912E-2</v>
      </c>
      <c r="D507" s="5">
        <f ca="1">Data!O534</f>
        <v>121.67503733534791</v>
      </c>
      <c r="E507" s="1">
        <f>Data!AQ534</f>
        <v>3</v>
      </c>
      <c r="F507" t="str">
        <f t="shared" si="7"/>
        <v/>
      </c>
      <c r="G507" s="5">
        <f ca="1">AVERAGE(D$2:D506)</f>
        <v>176.18377640562164</v>
      </c>
      <c r="H507" s="5">
        <f ca="1">PERCENTILE(D$2:D506,0.025)</f>
        <v>-3.8238157735289251</v>
      </c>
      <c r="I507" s="5">
        <f ca="1">PERCENTILE(D$2:D506,0.165)</f>
        <v>3.1447783141410506</v>
      </c>
      <c r="J507" s="5">
        <f ca="1">PERCENTILE(D$2:D506,0.5)</f>
        <v>38.238157735289256</v>
      </c>
      <c r="K507" s="5">
        <f ca="1">PERCENTILE(D$2:D506,0.835)</f>
        <v>236.06641107240443</v>
      </c>
      <c r="L507" s="5">
        <f ca="1">PERCENTILE(D$2:D506,0.975)</f>
        <v>1328.9742481591302</v>
      </c>
      <c r="M507" s="7">
        <f>AVERAGE(E$2:E506)</f>
        <v>1.3867841409691632</v>
      </c>
      <c r="N507" s="7">
        <f>PERCENTILE($E$2:$E506,0.025)</f>
        <v>-1</v>
      </c>
      <c r="O507" s="7">
        <f>PERCENTILE($E$2:$E506,0.165)</f>
        <v>0</v>
      </c>
      <c r="P507" s="7">
        <f>PERCENTILE($E$2:$E506,0.5)</f>
        <v>1</v>
      </c>
      <c r="Q507" s="7">
        <f>PERCENTILE($E$2:$E506,0.835)</f>
        <v>3</v>
      </c>
      <c r="R507" s="7">
        <f>PERCENTILE($E$2:$E506,0.975)</f>
        <v>4</v>
      </c>
    </row>
    <row r="508" spans="1:18" x14ac:dyDescent="0.2">
      <c r="A508" s="5">
        <f>Data!E535</f>
        <v>2011</v>
      </c>
      <c r="B508" s="5">
        <f>Data!M535</f>
        <v>0.55454545454545456</v>
      </c>
      <c r="C508" s="5">
        <f>Data!N535</f>
        <v>9.0909090909090912E-2</v>
      </c>
      <c r="D508" s="5">
        <f ca="1">Data!O535</f>
        <v>9.7340029868278339</v>
      </c>
      <c r="E508" s="1">
        <f>Data!AQ535</f>
        <v>1</v>
      </c>
      <c r="F508" t="str">
        <f t="shared" si="7"/>
        <v/>
      </c>
      <c r="G508" s="5">
        <f ca="1">AVERAGE(D$2:D507)</f>
        <v>176.07605162485035</v>
      </c>
      <c r="H508" s="5">
        <f ca="1">PERCENTILE(D$2:D507,0.025)</f>
        <v>-3.8238157735289251</v>
      </c>
      <c r="I508" s="5">
        <f ca="1">PERCENTILE(D$2:D507,0.165)</f>
        <v>3.1554186595308908</v>
      </c>
      <c r="J508" s="5">
        <f ca="1">PERCENTILE(D$2:D507,0.5)</f>
        <v>38.239287328750578</v>
      </c>
      <c r="K508" s="5">
        <f ca="1">PERCENTILE(D$2:D507,0.835)</f>
        <v>236.05336604032499</v>
      </c>
      <c r="L508" s="5">
        <f ca="1">PERCENTILE(D$2:D507,0.975)</f>
        <v>1328.9742481591302</v>
      </c>
      <c r="M508" s="7">
        <f>AVERAGE(E$2:E507)</f>
        <v>1.3903296703296706</v>
      </c>
      <c r="N508" s="7">
        <f>PERCENTILE($E$2:$E507,0.025)</f>
        <v>-1</v>
      </c>
      <c r="O508" s="7">
        <f>PERCENTILE($E$2:$E507,0.165)</f>
        <v>0</v>
      </c>
      <c r="P508" s="7">
        <f>PERCENTILE($E$2:$E507,0.5)</f>
        <v>1</v>
      </c>
      <c r="Q508" s="7">
        <f>PERCENTILE($E$2:$E507,0.835)</f>
        <v>3</v>
      </c>
      <c r="R508" s="7">
        <f>PERCENTILE($E$2:$E507,0.975)</f>
        <v>4</v>
      </c>
    </row>
    <row r="509" spans="1:18" x14ac:dyDescent="0.2">
      <c r="A509" s="5">
        <f>Data!E536</f>
        <v>2011</v>
      </c>
      <c r="B509" s="5">
        <f>Data!M536</f>
        <v>0.55454545454545456</v>
      </c>
      <c r="C509" s="5">
        <f>Data!N536</f>
        <v>9.0909090909090912E-2</v>
      </c>
      <c r="D509" s="5">
        <f ca="1">Data!O536</f>
        <v>14.60100448024175</v>
      </c>
      <c r="E509" s="1">
        <f>Data!AQ536</f>
        <v>1</v>
      </c>
      <c r="F509" t="str">
        <f t="shared" si="7"/>
        <v/>
      </c>
      <c r="G509" s="5">
        <f ca="1">AVERAGE(D$2:D508)</f>
        <v>175.74796079913432</v>
      </c>
      <c r="H509" s="5">
        <f ca="1">PERCENTILE(D$2:D508,0.025)</f>
        <v>-3.8238157735289251</v>
      </c>
      <c r="I509" s="5">
        <f ca="1">PERCENTILE(D$2:D508,0.165)</f>
        <v>3.1660590049207316</v>
      </c>
      <c r="J509" s="5">
        <f ca="1">PERCENTILE(D$2:D508,0.5)</f>
        <v>38.238157735289256</v>
      </c>
      <c r="K509" s="5">
        <f ca="1">PERCENTILE(D$2:D508,0.835)</f>
        <v>236.04032100824554</v>
      </c>
      <c r="L509" s="5">
        <f ca="1">PERCENTILE(D$2:D508,0.975)</f>
        <v>1328.9742481591302</v>
      </c>
      <c r="M509" s="7">
        <f>AVERAGE(E$2:E508)</f>
        <v>1.3894736842105266</v>
      </c>
      <c r="N509" s="7">
        <f>PERCENTILE($E$2:$E508,0.025)</f>
        <v>-1</v>
      </c>
      <c r="O509" s="7">
        <f>PERCENTILE($E$2:$E508,0.165)</f>
        <v>0</v>
      </c>
      <c r="P509" s="7">
        <f>PERCENTILE($E$2:$E508,0.5)</f>
        <v>1</v>
      </c>
      <c r="Q509" s="7">
        <f>PERCENTILE($E$2:$E508,0.835)</f>
        <v>3</v>
      </c>
      <c r="R509" s="7">
        <f>PERCENTILE($E$2:$E508,0.975)</f>
        <v>4</v>
      </c>
    </row>
    <row r="510" spans="1:18" x14ac:dyDescent="0.2">
      <c r="A510" s="5">
        <f>Data!E537</f>
        <v>2011</v>
      </c>
      <c r="B510" s="5">
        <f>Data!M537</f>
        <v>0.55454545454545456</v>
      </c>
      <c r="C510" s="5">
        <f>Data!N537</f>
        <v>9.0909090909090912E-2</v>
      </c>
      <c r="D510" s="5">
        <f ca="1">Data!O537</f>
        <v>38.936011947311336</v>
      </c>
      <c r="E510" s="1">
        <f>Data!AQ537</f>
        <v>1</v>
      </c>
      <c r="F510" t="str">
        <f t="shared" si="7"/>
        <v/>
      </c>
      <c r="G510" s="5">
        <f ca="1">AVERAGE(D$2:D509)</f>
        <v>175.43074238118373</v>
      </c>
      <c r="H510" s="5">
        <f ca="1">PERCENTILE(D$2:D509,0.025)</f>
        <v>-3.8238157735289251</v>
      </c>
      <c r="I510" s="5">
        <f ca="1">PERCENTILE(D$2:D509,0.165)</f>
        <v>3.1766993503105718</v>
      </c>
      <c r="J510" s="5">
        <f ca="1">PERCENTILE(D$2:D509,0.5)</f>
        <v>38.124233011440239</v>
      </c>
      <c r="K510" s="5">
        <f ca="1">PERCENTILE(D$2:D509,0.835)</f>
        <v>236.0272759761661</v>
      </c>
      <c r="L510" s="5">
        <f ca="1">PERCENTILE(D$2:D509,0.975)</f>
        <v>1328.9742481591302</v>
      </c>
      <c r="M510" s="7">
        <f>AVERAGE(E$2:E509)</f>
        <v>1.3886214442013132</v>
      </c>
      <c r="N510" s="7">
        <f>PERCENTILE($E$2:$E509,0.025)</f>
        <v>-1</v>
      </c>
      <c r="O510" s="7">
        <f>PERCENTILE($E$2:$E509,0.165)</f>
        <v>0</v>
      </c>
      <c r="P510" s="7">
        <f>PERCENTILE($E$2:$E509,0.5)</f>
        <v>1</v>
      </c>
      <c r="Q510" s="7">
        <f>PERCENTILE($E$2:$E509,0.835)</f>
        <v>3</v>
      </c>
      <c r="R510" s="7">
        <f>PERCENTILE($E$2:$E509,0.975)</f>
        <v>4</v>
      </c>
    </row>
    <row r="511" spans="1:18" x14ac:dyDescent="0.2">
      <c r="A511" s="5">
        <f>Data!E538</f>
        <v>2011</v>
      </c>
      <c r="B511" s="5">
        <f>Data!M538</f>
        <v>0.55454545454545456</v>
      </c>
      <c r="C511" s="5">
        <f>Data!N538</f>
        <v>9.0909090909090912E-2</v>
      </c>
      <c r="D511" s="5">
        <f ca="1">Data!O538</f>
        <v>58.404017920967</v>
      </c>
      <c r="E511" s="1">
        <f>Data!AQ538</f>
        <v>1</v>
      </c>
      <c r="F511" t="str">
        <f t="shared" si="7"/>
        <v/>
      </c>
      <c r="G511" s="5">
        <f ca="1">AVERAGE(D$2:D510)</f>
        <v>175.16257984595021</v>
      </c>
      <c r="H511" s="5">
        <f ca="1">PERCENTILE(D$2:D510,0.025)</f>
        <v>-3.8238157735289251</v>
      </c>
      <c r="I511" s="5">
        <f ca="1">PERCENTILE(D$2:D510,0.165)</f>
        <v>3.1873396957004125</v>
      </c>
      <c r="J511" s="5">
        <f ca="1">PERCENTILE(D$2:D510,0.5)</f>
        <v>38.238157735289256</v>
      </c>
      <c r="K511" s="5">
        <f ca="1">PERCENTILE(D$2:D510,0.835)</f>
        <v>236.01423094408668</v>
      </c>
      <c r="L511" s="5">
        <f ca="1">PERCENTILE(D$2:D510,0.975)</f>
        <v>1328.9742481591302</v>
      </c>
      <c r="M511" s="7">
        <f>AVERAGE(E$2:E510)</f>
        <v>1.3877729257641924</v>
      </c>
      <c r="N511" s="7">
        <f>PERCENTILE($E$2:$E510,0.025)</f>
        <v>-1</v>
      </c>
      <c r="O511" s="7">
        <f>PERCENTILE($E$2:$E510,0.165)</f>
        <v>0</v>
      </c>
      <c r="P511" s="7">
        <f>PERCENTILE($E$2:$E510,0.5)</f>
        <v>1</v>
      </c>
      <c r="Q511" s="7">
        <f>PERCENTILE($E$2:$E510,0.835)</f>
        <v>3</v>
      </c>
      <c r="R511" s="7">
        <f>PERCENTILE($E$2:$E510,0.975)</f>
        <v>4</v>
      </c>
    </row>
    <row r="512" spans="1:18" x14ac:dyDescent="0.2">
      <c r="A512" s="5">
        <f>Data!E539</f>
        <v>2011</v>
      </c>
      <c r="B512" s="5">
        <f>Data!M539</f>
        <v>0.55454545454545456</v>
      </c>
      <c r="C512" s="5">
        <f>Data!N539</f>
        <v>9.0909090909090912E-2</v>
      </c>
      <c r="D512" s="5">
        <f ca="1">Data!O539</f>
        <v>38.936011947311336</v>
      </c>
      <c r="E512" s="1">
        <f>Data!AQ539</f>
        <v>1</v>
      </c>
      <c r="F512" t="str">
        <f t="shared" si="7"/>
        <v/>
      </c>
      <c r="G512" s="5">
        <f ca="1">AVERAGE(D$2:D511)</f>
        <v>174.93364148923453</v>
      </c>
      <c r="H512" s="5">
        <f ca="1">PERCENTILE(D$2:D511,0.025)</f>
        <v>-3.8238157735289251</v>
      </c>
      <c r="I512" s="5">
        <f ca="1">PERCENTILE(D$2:D511,0.165)</f>
        <v>3.1979800410902528</v>
      </c>
      <c r="J512" s="5">
        <f ca="1">PERCENTILE(D$2:D511,0.5)</f>
        <v>38.239287328750578</v>
      </c>
      <c r="K512" s="5">
        <f ca="1">PERCENTILE(D$2:D511,0.835)</f>
        <v>236.00118591200723</v>
      </c>
      <c r="L512" s="5">
        <f ca="1">PERCENTILE(D$2:D511,0.975)</f>
        <v>1328.9742481591302</v>
      </c>
      <c r="M512" s="7">
        <f>AVERAGE(E$2:E511)</f>
        <v>1.3869281045751638</v>
      </c>
      <c r="N512" s="7">
        <f>PERCENTILE($E$2:$E511,0.025)</f>
        <v>-1</v>
      </c>
      <c r="O512" s="7">
        <f>PERCENTILE($E$2:$E511,0.165)</f>
        <v>0</v>
      </c>
      <c r="P512" s="7">
        <f>PERCENTILE($E$2:$E511,0.5)</f>
        <v>1</v>
      </c>
      <c r="Q512" s="7">
        <f>PERCENTILE($E$2:$E511,0.835)</f>
        <v>3</v>
      </c>
      <c r="R512" s="7">
        <f>PERCENTILE($E$2:$E511,0.975)</f>
        <v>4</v>
      </c>
    </row>
    <row r="513" spans="1:18" x14ac:dyDescent="0.2">
      <c r="A513" s="5">
        <f>Data!E540</f>
        <v>2011</v>
      </c>
      <c r="B513" s="5">
        <f>Data!M540</f>
        <v>0.6777777777777777</v>
      </c>
      <c r="C513" s="5">
        <f>Data!N540</f>
        <v>0.1111111111111111</v>
      </c>
      <c r="D513" s="5">
        <f ca="1">Data!O540</f>
        <v>23.866005504976972</v>
      </c>
      <c r="E513" s="1">
        <f>Data!AQ540</f>
        <v>0.1</v>
      </c>
      <c r="F513" t="str">
        <f t="shared" si="7"/>
        <v/>
      </c>
      <c r="G513" s="5">
        <f ca="1">AVERAGE(D$2:D512)</f>
        <v>174.66750131400573</v>
      </c>
      <c r="H513" s="5">
        <f ca="1">PERCENTILE(D$2:D512,0.025)</f>
        <v>-3.8238157735289251</v>
      </c>
      <c r="I513" s="5">
        <f ca="1">PERCENTILE(D$2:D512,0.165)</f>
        <v>3.2112876263352854</v>
      </c>
      <c r="J513" s="5">
        <f ca="1">PERCENTILE(D$2:D512,0.5)</f>
        <v>38.240416922211907</v>
      </c>
      <c r="K513" s="5">
        <f ca="1">PERCENTILE(D$2:D512,0.835)</f>
        <v>234.48342392045853</v>
      </c>
      <c r="L513" s="5">
        <f ca="1">PERCENTILE(D$2:D512,0.975)</f>
        <v>1328.9742481591302</v>
      </c>
      <c r="M513" s="7">
        <f>AVERAGE(E$2:E512)</f>
        <v>1.3860869565217395</v>
      </c>
      <c r="N513" s="7">
        <f>PERCENTILE($E$2:$E512,0.025)</f>
        <v>-1</v>
      </c>
      <c r="O513" s="7">
        <f>PERCENTILE($E$2:$E512,0.165)</f>
        <v>0</v>
      </c>
      <c r="P513" s="7">
        <f>PERCENTILE($E$2:$E512,0.5)</f>
        <v>1</v>
      </c>
      <c r="Q513" s="7">
        <f>PERCENTILE($E$2:$E512,0.835)</f>
        <v>3</v>
      </c>
      <c r="R513" s="7">
        <f>PERCENTILE($E$2:$E512,0.975)</f>
        <v>4</v>
      </c>
    </row>
    <row r="514" spans="1:18" x14ac:dyDescent="0.2">
      <c r="A514" s="5">
        <f>Data!E541</f>
        <v>2011</v>
      </c>
      <c r="B514" s="5">
        <f>Data!M541</f>
        <v>0.6777777777777777</v>
      </c>
      <c r="C514" s="5">
        <f>Data!N541</f>
        <v>0.1111111111111111</v>
      </c>
      <c r="D514" s="5">
        <f ca="1">Data!O541</f>
        <v>378.13946875738816</v>
      </c>
      <c r="E514" s="1">
        <f>Data!AQ541</f>
        <v>0.1</v>
      </c>
      <c r="F514" t="str">
        <f t="shared" si="7"/>
        <v/>
      </c>
      <c r="G514" s="5">
        <f ca="1">AVERAGE(D$2:D513)</f>
        <v>174.37296714250374</v>
      </c>
      <c r="H514" s="5">
        <f ca="1">PERCENTILE(D$2:D513,0.025)</f>
        <v>-3.8238157735289251</v>
      </c>
      <c r="I514" s="5">
        <f ca="1">PERCENTILE(D$2:D513,0.165)</f>
        <v>3.2248619355658361</v>
      </c>
      <c r="J514" s="5">
        <f ca="1">PERCENTILE(D$2:D513,0.5)</f>
        <v>38.239287328750578</v>
      </c>
      <c r="K514" s="5">
        <f ca="1">PERCENTILE(D$2:D513,0.835)</f>
        <v>232.81519023296363</v>
      </c>
      <c r="L514" s="5">
        <f ca="1">PERCENTILE(D$2:D513,0.975)</f>
        <v>1328.9742481591302</v>
      </c>
      <c r="M514" s="7">
        <f>AVERAGE(E$2:E513)</f>
        <v>1.3832971800433842</v>
      </c>
      <c r="N514" s="7">
        <f>PERCENTILE($E$2:$E513,0.025)</f>
        <v>-1</v>
      </c>
      <c r="O514" s="7">
        <f>PERCENTILE($E$2:$E513,0.165)</f>
        <v>0</v>
      </c>
      <c r="P514" s="7">
        <f>PERCENTILE($E$2:$E513,0.5)</f>
        <v>1</v>
      </c>
      <c r="Q514" s="7">
        <f>PERCENTILE($E$2:$E513,0.835)</f>
        <v>3</v>
      </c>
      <c r="R514" s="7">
        <f>PERCENTILE($E$2:$E513,0.975)</f>
        <v>4</v>
      </c>
    </row>
    <row r="515" spans="1:18" x14ac:dyDescent="0.2">
      <c r="A515" s="5">
        <f>Data!E542</f>
        <v>2011</v>
      </c>
      <c r="B515" s="5">
        <f>Data!M542</f>
        <v>0.6777777777777777</v>
      </c>
      <c r="C515" s="5">
        <f>Data!N542</f>
        <v>0.1111111111111111</v>
      </c>
      <c r="D515" s="5">
        <f ca="1">Data!O542</f>
        <v>151.00093360657286</v>
      </c>
      <c r="E515" s="1">
        <f>Data!AQ542</f>
        <v>0.1</v>
      </c>
      <c r="F515" t="str">
        <f t="shared" si="7"/>
        <v/>
      </c>
      <c r="G515" s="5">
        <f ca="1">AVERAGE(D$2:D514)</f>
        <v>174.77017279867312</v>
      </c>
      <c r="H515" s="5">
        <f ca="1">PERCENTILE(D$2:D514,0.025)</f>
        <v>-3.8238157735289251</v>
      </c>
      <c r="I515" s="5">
        <f ca="1">PERCENTILE(D$2:D514,0.165)</f>
        <v>3.2384362447963881</v>
      </c>
      <c r="J515" s="5">
        <f ca="1">PERCENTILE(D$2:D514,0.5)</f>
        <v>38.240416922211907</v>
      </c>
      <c r="K515" s="5">
        <f ca="1">PERCENTILE(D$2:D514,0.835)</f>
        <v>236.04111161625036</v>
      </c>
      <c r="L515" s="5">
        <f ca="1">PERCENTILE(D$2:D514,0.975)</f>
        <v>1328.9742481591302</v>
      </c>
      <c r="M515" s="7">
        <f>AVERAGE(E$2:E514)</f>
        <v>1.3805194805194809</v>
      </c>
      <c r="N515" s="7">
        <f>PERCENTILE($E$2:$E514,0.025)</f>
        <v>-1</v>
      </c>
      <c r="O515" s="7">
        <f>PERCENTILE($E$2:$E514,0.165)</f>
        <v>0</v>
      </c>
      <c r="P515" s="7">
        <f>PERCENTILE($E$2:$E514,0.5)</f>
        <v>1</v>
      </c>
      <c r="Q515" s="7">
        <f>PERCENTILE($E$2:$E514,0.835)</f>
        <v>3</v>
      </c>
      <c r="R515" s="7">
        <f>PERCENTILE($E$2:$E514,0.975)</f>
        <v>4</v>
      </c>
    </row>
    <row r="516" spans="1:18" x14ac:dyDescent="0.2">
      <c r="A516" s="5">
        <f>Data!E543</f>
        <v>2011</v>
      </c>
      <c r="B516" s="5">
        <f>Data!M543</f>
        <v>0.6777777777777777</v>
      </c>
      <c r="C516" s="5">
        <f>Data!N543</f>
        <v>0.1111111111111111</v>
      </c>
      <c r="D516" s="5">
        <f ca="1">Data!O543</f>
        <v>222.78478108761595</v>
      </c>
      <c r="E516" s="1">
        <f>Data!AQ543</f>
        <v>1</v>
      </c>
      <c r="F516" t="str">
        <f t="shared" si="7"/>
        <v/>
      </c>
      <c r="G516" s="5">
        <f ca="1">AVERAGE(D$2:D515)</f>
        <v>174.72392914265734</v>
      </c>
      <c r="H516" s="5">
        <f ca="1">PERCENTILE(D$2:D515,0.025)</f>
        <v>-3.8238157735289251</v>
      </c>
      <c r="I516" s="5">
        <f ca="1">PERCENTILE(D$2:D515,0.165)</f>
        <v>3.2520105540269402</v>
      </c>
      <c r="J516" s="5">
        <f ca="1">PERCENTILE(D$2:D515,0.5)</f>
        <v>38.433355296334817</v>
      </c>
      <c r="K516" s="5">
        <f ca="1">PERCENTILE(D$2:D515,0.835)</f>
        <v>236.02806658417092</v>
      </c>
      <c r="L516" s="5">
        <f ca="1">PERCENTILE(D$2:D515,0.975)</f>
        <v>1328.9742481591302</v>
      </c>
      <c r="M516" s="7">
        <f>AVERAGE(E$2:E515)</f>
        <v>1.3777537796976247</v>
      </c>
      <c r="N516" s="7">
        <f>PERCENTILE($E$2:$E515,0.025)</f>
        <v>-1</v>
      </c>
      <c r="O516" s="7">
        <f>PERCENTILE($E$2:$E515,0.165)</f>
        <v>0</v>
      </c>
      <c r="P516" s="7">
        <f>PERCENTILE($E$2:$E515,0.5)</f>
        <v>1</v>
      </c>
      <c r="Q516" s="7">
        <f>PERCENTILE($E$2:$E515,0.835)</f>
        <v>3</v>
      </c>
      <c r="R516" s="7">
        <f>PERCENTILE($E$2:$E515,0.975)</f>
        <v>4</v>
      </c>
    </row>
    <row r="517" spans="1:18" x14ac:dyDescent="0.2">
      <c r="A517" s="5">
        <f>Data!E544</f>
        <v>2011</v>
      </c>
      <c r="B517" s="5">
        <f>Data!M544</f>
        <v>0.6777777777777777</v>
      </c>
      <c r="C517" s="5">
        <f>Data!N544</f>
        <v>0.1111111111111111</v>
      </c>
      <c r="D517" s="5">
        <f ca="1">Data!O544</f>
        <v>91.428835327186519</v>
      </c>
      <c r="E517" s="1">
        <f>Data!AQ544</f>
        <v>1</v>
      </c>
      <c r="F517" t="str">
        <f t="shared" ref="F517:F580" si="8">IF(A517&lt;&gt;A516,A517,"")</f>
        <v/>
      </c>
      <c r="G517" s="5">
        <f ca="1">AVERAGE(D$2:D516)</f>
        <v>174.8172511852689</v>
      </c>
      <c r="H517" s="5">
        <f ca="1">PERCENTILE(D$2:D516,0.025)</f>
        <v>-3.8238157735289251</v>
      </c>
      <c r="I517" s="5">
        <f ca="1">PERCENTILE(D$2:D516,0.165)</f>
        <v>3.2655848632574909</v>
      </c>
      <c r="J517" s="5">
        <f ca="1">PERCENTILE(D$2:D516,0.5)</f>
        <v>38.626293670457727</v>
      </c>
      <c r="K517" s="5">
        <f ca="1">PERCENTILE(D$2:D516,0.835)</f>
        <v>236.01502155209147</v>
      </c>
      <c r="L517" s="5">
        <f ca="1">PERCENTILE(D$2:D516,0.975)</f>
        <v>1328.9742481591302</v>
      </c>
      <c r="M517" s="7">
        <f>AVERAGE(E$2:E516)</f>
        <v>1.3769396551724142</v>
      </c>
      <c r="N517" s="7">
        <f>PERCENTILE($E$2:$E516,0.025)</f>
        <v>-1</v>
      </c>
      <c r="O517" s="7">
        <f>PERCENTILE($E$2:$E516,0.165)</f>
        <v>0</v>
      </c>
      <c r="P517" s="7">
        <f>PERCENTILE($E$2:$E516,0.5)</f>
        <v>1</v>
      </c>
      <c r="Q517" s="7">
        <f>PERCENTILE($E$2:$E516,0.835)</f>
        <v>3</v>
      </c>
      <c r="R517" s="7">
        <f>PERCENTILE($E$2:$E516,0.975)</f>
        <v>4</v>
      </c>
    </row>
    <row r="518" spans="1:18" x14ac:dyDescent="0.2">
      <c r="A518" s="5">
        <f>Data!E545</f>
        <v>2011</v>
      </c>
      <c r="B518" s="5">
        <f>Data!M545</f>
        <v>0.6777777777777777</v>
      </c>
      <c r="C518" s="5">
        <f>Data!N545</f>
        <v>0.1111111111111111</v>
      </c>
      <c r="D518" s="5">
        <f ca="1">Data!O545</f>
        <v>38.281179019106553</v>
      </c>
      <c r="E518" s="1">
        <f>Data!AQ545</f>
        <v>1</v>
      </c>
      <c r="F518" t="str">
        <f t="shared" si="8"/>
        <v/>
      </c>
      <c r="G518" s="5">
        <f ca="1">AVERAGE(D$2:D517)</f>
        <v>174.65564572817959</v>
      </c>
      <c r="H518" s="5">
        <f ca="1">PERCENTILE(D$2:D517,0.025)</f>
        <v>-3.8238157735289251</v>
      </c>
      <c r="I518" s="5">
        <f ca="1">PERCENTILE(D$2:D517,0.165)</f>
        <v>3.2791591724880429</v>
      </c>
      <c r="J518" s="5">
        <f ca="1">PERCENTILE(D$2:D517,0.5)</f>
        <v>38.781152808884528</v>
      </c>
      <c r="K518" s="5">
        <f ca="1">PERCENTILE(D$2:D517,0.835)</f>
        <v>236.00197652001202</v>
      </c>
      <c r="L518" s="5">
        <f ca="1">PERCENTILE(D$2:D517,0.975)</f>
        <v>1328.9742481591302</v>
      </c>
      <c r="M518" s="7">
        <f>AVERAGE(E$2:E517)</f>
        <v>1.376129032258065</v>
      </c>
      <c r="N518" s="7">
        <f>PERCENTILE($E$2:$E517,0.025)</f>
        <v>-1</v>
      </c>
      <c r="O518" s="7">
        <f>PERCENTILE($E$2:$E517,0.165)</f>
        <v>0</v>
      </c>
      <c r="P518" s="7">
        <f>PERCENTILE($E$2:$E517,0.5)</f>
        <v>1</v>
      </c>
      <c r="Q518" s="7">
        <f>PERCENTILE($E$2:$E517,0.835)</f>
        <v>3</v>
      </c>
      <c r="R518" s="7">
        <f>PERCENTILE($E$2:$E517,0.975)</f>
        <v>4</v>
      </c>
    </row>
    <row r="519" spans="1:18" x14ac:dyDescent="0.2">
      <c r="A519" s="5">
        <f>Data!E546</f>
        <v>2011</v>
      </c>
      <c r="B519" s="5">
        <f>Data!M546</f>
        <v>0.6777777777777777</v>
      </c>
      <c r="C519" s="5">
        <f>Data!N546</f>
        <v>0.1111111111111111</v>
      </c>
      <c r="D519" s="5">
        <f ca="1">Data!O546</f>
        <v>12.862157583049322</v>
      </c>
      <c r="E519" s="1">
        <f>Data!AQ546</f>
        <v>3</v>
      </c>
      <c r="F519" t="str">
        <f t="shared" si="8"/>
        <v/>
      </c>
      <c r="G519" s="5">
        <f ca="1">AVERAGE(D$2:D518)</f>
        <v>174.39186532835546</v>
      </c>
      <c r="H519" s="5">
        <f ca="1">PERCENTILE(D$2:D518,0.025)</f>
        <v>-3.8238157735289251</v>
      </c>
      <c r="I519" s="5">
        <f ca="1">PERCENTILE(D$2:D518,0.165)</f>
        <v>3.2873536691789447</v>
      </c>
      <c r="J519" s="5">
        <f ca="1">PERCENTILE(D$2:D518,0.5)</f>
        <v>38.626293670457727</v>
      </c>
      <c r="K519" s="5">
        <f ca="1">PERCENTILE(D$2:D518,0.835)</f>
        <v>234.58452899242783</v>
      </c>
      <c r="L519" s="5">
        <f ca="1">PERCENTILE(D$2:D518,0.975)</f>
        <v>1328.9742481591302</v>
      </c>
      <c r="M519" s="7">
        <f>AVERAGE(E$2:E518)</f>
        <v>1.3753218884120175</v>
      </c>
      <c r="N519" s="7">
        <f>PERCENTILE($E$2:$E518,0.025)</f>
        <v>-1</v>
      </c>
      <c r="O519" s="7">
        <f>PERCENTILE($E$2:$E518,0.165)</f>
        <v>0</v>
      </c>
      <c r="P519" s="7">
        <f>PERCENTILE($E$2:$E518,0.5)</f>
        <v>1</v>
      </c>
      <c r="Q519" s="7">
        <f>PERCENTILE($E$2:$E518,0.835)</f>
        <v>3</v>
      </c>
      <c r="R519" s="7">
        <f>PERCENTILE($E$2:$E518,0.975)</f>
        <v>4</v>
      </c>
    </row>
    <row r="520" spans="1:18" x14ac:dyDescent="0.2">
      <c r="A520" s="5">
        <f>Data!E547</f>
        <v>2011</v>
      </c>
      <c r="B520" s="5">
        <f>Data!M547</f>
        <v>0.6777777777777777</v>
      </c>
      <c r="C520" s="5">
        <f>Data!N547</f>
        <v>0.1111111111111111</v>
      </c>
      <c r="D520" s="5">
        <f ca="1">Data!O547</f>
        <v>3.4113255922019361</v>
      </c>
      <c r="E520" s="1">
        <f>Data!AQ547</f>
        <v>3</v>
      </c>
      <c r="F520" t="str">
        <f t="shared" si="8"/>
        <v/>
      </c>
      <c r="G520" s="5">
        <f ca="1">AVERAGE(D$2:D519)</f>
        <v>174.08003191571973</v>
      </c>
      <c r="H520" s="5">
        <f ca="1">PERCENTILE(D$2:D519,0.025)</f>
        <v>-3.8238157735289251</v>
      </c>
      <c r="I520" s="5">
        <f ca="1">PERCENTILE(D$2:D519,0.165)</f>
        <v>3.2945874850591954</v>
      </c>
      <c r="J520" s="5">
        <f ca="1">PERCENTILE(D$2:D519,0.5)</f>
        <v>38.453736344782143</v>
      </c>
      <c r="K520" s="5">
        <f ca="1">PERCENTILE(D$2:D519,0.835)</f>
        <v>232.91629530493296</v>
      </c>
      <c r="L520" s="5">
        <f ca="1">PERCENTILE(D$2:D519,0.975)</f>
        <v>1328.9742481591302</v>
      </c>
      <c r="M520" s="7">
        <f>AVERAGE(E$2:E519)</f>
        <v>1.3788008565310497</v>
      </c>
      <c r="N520" s="7">
        <f>PERCENTILE($E$2:$E519,0.025)</f>
        <v>-1</v>
      </c>
      <c r="O520" s="7">
        <f>PERCENTILE($E$2:$E519,0.165)</f>
        <v>0</v>
      </c>
      <c r="P520" s="7">
        <f>PERCENTILE($E$2:$E519,0.5)</f>
        <v>1</v>
      </c>
      <c r="Q520" s="7">
        <f>PERCENTILE($E$2:$E519,0.835)</f>
        <v>3</v>
      </c>
      <c r="R520" s="7">
        <f>PERCENTILE($E$2:$E519,0.975)</f>
        <v>4</v>
      </c>
    </row>
    <row r="521" spans="1:18" x14ac:dyDescent="0.2">
      <c r="A521" s="5">
        <f>Data!E548</f>
        <v>2011</v>
      </c>
      <c r="B521" s="5">
        <f>Data!M548</f>
        <v>0.6777777777777777</v>
      </c>
      <c r="C521" s="5">
        <f>Data!N548</f>
        <v>0.1111111111111111</v>
      </c>
      <c r="D521" s="5">
        <f ca="1">Data!O548</f>
        <v>-1.0486175944900893</v>
      </c>
      <c r="E521" s="1">
        <f>Data!AQ548</f>
        <v>3</v>
      </c>
      <c r="F521" t="str">
        <f t="shared" si="8"/>
        <v/>
      </c>
      <c r="G521" s="5">
        <f ca="1">AVERAGE(D$2:D520)</f>
        <v>173.75119047771682</v>
      </c>
      <c r="H521" s="5">
        <f ca="1">PERCENTILE(D$2:D520,0.025)</f>
        <v>-3.8238157735289251</v>
      </c>
      <c r="I521" s="5">
        <f ca="1">PERCENTILE(D$2:D520,0.165)</f>
        <v>3.3018213009394461</v>
      </c>
      <c r="J521" s="5">
        <f ca="1">PERCENTILE(D$2:D520,0.5)</f>
        <v>38.281179019106553</v>
      </c>
      <c r="K521" s="5">
        <f ca="1">PERCENTILE(D$2:D520,0.835)</f>
        <v>231.24806161743751</v>
      </c>
      <c r="L521" s="5">
        <f ca="1">PERCENTILE(D$2:D520,0.975)</f>
        <v>1328.9742481591302</v>
      </c>
      <c r="M521" s="7">
        <f>AVERAGE(E$2:E520)</f>
        <v>1.3822649572649577</v>
      </c>
      <c r="N521" s="7">
        <f>PERCENTILE($E$2:$E520,0.025)</f>
        <v>-1</v>
      </c>
      <c r="O521" s="7">
        <f>PERCENTILE($E$2:$E520,0.165)</f>
        <v>0</v>
      </c>
      <c r="P521" s="7">
        <f>PERCENTILE($E$2:$E520,0.5)</f>
        <v>1</v>
      </c>
      <c r="Q521" s="7">
        <f>PERCENTILE($E$2:$E520,0.835)</f>
        <v>3</v>
      </c>
      <c r="R521" s="7">
        <f>PERCENTILE($E$2:$E520,0.975)</f>
        <v>4</v>
      </c>
    </row>
    <row r="522" spans="1:18" x14ac:dyDescent="0.2">
      <c r="A522" s="5">
        <f>Data!E756</f>
        <v>2011</v>
      </c>
      <c r="B522" s="5">
        <f>Data!M756</f>
        <v>0.55454545454545456</v>
      </c>
      <c r="C522" s="5">
        <f>Data!N756</f>
        <v>9.0909090909090912E-2</v>
      </c>
      <c r="D522" s="5">
        <f ca="1">Data!O756</f>
        <v>423.89276597568244</v>
      </c>
      <c r="E522" s="1" t="str">
        <f>Data!AQ756</f>
        <v>NA</v>
      </c>
      <c r="F522" t="str">
        <f t="shared" si="8"/>
        <v/>
      </c>
      <c r="G522" s="5">
        <f ca="1">AVERAGE(D$2:D521)</f>
        <v>173.41503700065485</v>
      </c>
      <c r="H522" s="5">
        <f ca="1">PERCENTILE(D$2:D521,0.025)</f>
        <v>-3.8238157735289251</v>
      </c>
      <c r="I522" s="5">
        <f ca="1">PERCENTILE(D$2:D521,0.165)</f>
        <v>3.2511878686190276</v>
      </c>
      <c r="J522" s="5">
        <f ca="1">PERCENTILE(D$2:D521,0.5)</f>
        <v>38.260797970659226</v>
      </c>
      <c r="K522" s="5">
        <f ca="1">PERCENTILE(D$2:D521,0.835)</f>
        <v>229.57982792994264</v>
      </c>
      <c r="L522" s="5">
        <f ca="1">PERCENTILE(D$2:D521,0.975)</f>
        <v>1328.9742481591302</v>
      </c>
      <c r="M522" s="7">
        <f>AVERAGE(E$2:E521)</f>
        <v>1.3857142857142861</v>
      </c>
      <c r="N522" s="7">
        <f>PERCENTILE($E$2:$E521,0.025)</f>
        <v>-1</v>
      </c>
      <c r="O522" s="7">
        <f>PERCENTILE($E$2:$E521,0.165)</f>
        <v>0</v>
      </c>
      <c r="P522" s="7">
        <f>PERCENTILE($E$2:$E521,0.5)</f>
        <v>1</v>
      </c>
      <c r="Q522" s="7">
        <f>PERCENTILE($E$2:$E521,0.835)</f>
        <v>3</v>
      </c>
      <c r="R522" s="7">
        <f>PERCENTILE($E$2:$E521,0.975)</f>
        <v>4</v>
      </c>
    </row>
    <row r="523" spans="1:18" x14ac:dyDescent="0.2">
      <c r="A523" s="5">
        <f>Data!E757</f>
        <v>2011</v>
      </c>
      <c r="B523" s="5">
        <f>Data!M757</f>
        <v>0.55454545454545456</v>
      </c>
      <c r="C523" s="5">
        <f>Data!N757</f>
        <v>9.0909090909090912E-2</v>
      </c>
      <c r="D523" s="5">
        <f ca="1">Data!O757</f>
        <v>544.41129747857258</v>
      </c>
      <c r="E523" s="1" t="str">
        <f>Data!AQ757</f>
        <v>NA</v>
      </c>
      <c r="F523" t="str">
        <f t="shared" si="8"/>
        <v/>
      </c>
      <c r="G523" s="5">
        <f ca="1">AVERAGE(D$2:D522)</f>
        <v>173.89580039600042</v>
      </c>
      <c r="H523" s="5">
        <f ca="1">PERCENTILE(D$2:D522,0.025)</f>
        <v>-3.8238157735289251</v>
      </c>
      <c r="I523" s="5">
        <f ca="1">PERCENTILE(D$2:D522,0.165)</f>
        <v>3.2647621778495783</v>
      </c>
      <c r="J523" s="5">
        <f ca="1">PERCENTILE(D$2:D522,0.5)</f>
        <v>38.281179019106553</v>
      </c>
      <c r="K523" s="5">
        <f ca="1">PERCENTILE(D$2:D522,0.835)</f>
        <v>236.01581216009629</v>
      </c>
      <c r="L523" s="5">
        <f ca="1">PERCENTILE(D$2:D522,0.975)</f>
        <v>1328.9742481591302</v>
      </c>
      <c r="M523" s="7">
        <f>AVERAGE(E$2:E522)</f>
        <v>1.3857142857142861</v>
      </c>
      <c r="N523" s="7">
        <f>PERCENTILE($E$2:$E522,0.025)</f>
        <v>-1</v>
      </c>
      <c r="O523" s="7">
        <f>PERCENTILE($E$2:$E522,0.165)</f>
        <v>0</v>
      </c>
      <c r="P523" s="7">
        <f>PERCENTILE($E$2:$E522,0.5)</f>
        <v>1</v>
      </c>
      <c r="Q523" s="7">
        <f>PERCENTILE($E$2:$E522,0.835)</f>
        <v>3</v>
      </c>
      <c r="R523" s="7">
        <f>PERCENTILE($E$2:$E522,0.975)</f>
        <v>4</v>
      </c>
    </row>
    <row r="524" spans="1:18" x14ac:dyDescent="0.2">
      <c r="A524" s="5">
        <f>Data!E758</f>
        <v>2011</v>
      </c>
      <c r="B524" s="5">
        <f>Data!M758</f>
        <v>0.55454545454545456</v>
      </c>
      <c r="C524" s="5">
        <f>Data!N758</f>
        <v>9.0909090909090912E-2</v>
      </c>
      <c r="D524" s="5">
        <f ca="1">Data!O758</f>
        <v>606.7484689455847</v>
      </c>
      <c r="E524" s="1" t="str">
        <f>Data!AQ758</f>
        <v>NA</v>
      </c>
      <c r="F524" t="str">
        <f t="shared" si="8"/>
        <v/>
      </c>
      <c r="G524" s="5">
        <f ca="1">AVERAGE(D$2:D523)</f>
        <v>174.60560019884059</v>
      </c>
      <c r="H524" s="5">
        <f ca="1">PERCENTILE(D$2:D523,0.025)</f>
        <v>-3.8238157735289251</v>
      </c>
      <c r="I524" s="5">
        <f ca="1">PERCENTILE(D$2:D523,0.165)</f>
        <v>3.2783364870801304</v>
      </c>
      <c r="J524" s="5">
        <f ca="1">PERCENTILE(D$2:D523,0.5)</f>
        <v>38.453736344782143</v>
      </c>
      <c r="K524" s="5">
        <f ca="1">PERCENTILE(D$2:D523,0.835)</f>
        <v>236.09199608395713</v>
      </c>
      <c r="L524" s="5">
        <f ca="1">PERCENTILE(D$2:D523,0.975)</f>
        <v>1328.5323296568417</v>
      </c>
      <c r="M524" s="7">
        <f>AVERAGE(E$2:E523)</f>
        <v>1.3857142857142861</v>
      </c>
      <c r="N524" s="7">
        <f>PERCENTILE($E$2:$E523,0.025)</f>
        <v>-1</v>
      </c>
      <c r="O524" s="7">
        <f>PERCENTILE($E$2:$E523,0.165)</f>
        <v>0</v>
      </c>
      <c r="P524" s="7">
        <f>PERCENTILE($E$2:$E523,0.5)</f>
        <v>1</v>
      </c>
      <c r="Q524" s="7">
        <f>PERCENTILE($E$2:$E523,0.835)</f>
        <v>3</v>
      </c>
      <c r="R524" s="7">
        <f>PERCENTILE($E$2:$E523,0.975)</f>
        <v>4</v>
      </c>
    </row>
    <row r="525" spans="1:18" x14ac:dyDescent="0.2">
      <c r="A525" s="5">
        <f>Data!E759</f>
        <v>2011</v>
      </c>
      <c r="B525" s="5">
        <f>Data!M759</f>
        <v>0.55454545454545456</v>
      </c>
      <c r="C525" s="5">
        <f>Data!N759</f>
        <v>9.0909090909090912E-2</v>
      </c>
      <c r="D525" s="5">
        <f ca="1">Data!O759</f>
        <v>781.29254905321864</v>
      </c>
      <c r="E525" s="1" t="str">
        <f>Data!AQ759</f>
        <v>NA</v>
      </c>
      <c r="F525" t="str">
        <f t="shared" si="8"/>
        <v/>
      </c>
      <c r="G525" s="5">
        <f ca="1">AVERAGE(D$2:D524)</f>
        <v>175.43187719453226</v>
      </c>
      <c r="H525" s="5">
        <f ca="1">PERCENTILE(D$2:D524,0.025)</f>
        <v>-3.8238157735289251</v>
      </c>
      <c r="I525" s="5">
        <f ca="1">PERCENTILE(D$2:D524,0.165)</f>
        <v>3.2869152560952934</v>
      </c>
      <c r="J525" s="5">
        <f ca="1">PERCENTILE(D$2:D524,0.5)</f>
        <v>38.626293670457727</v>
      </c>
      <c r="K525" s="5">
        <f ca="1">PERCENTILE(D$2:D524,0.835)</f>
        <v>236.40059498973386</v>
      </c>
      <c r="L525" s="5">
        <f ca="1">PERCENTILE(D$2:D524,0.975)</f>
        <v>1328.0904111545544</v>
      </c>
      <c r="M525" s="7">
        <f>AVERAGE(E$2:E524)</f>
        <v>1.3857142857142861</v>
      </c>
      <c r="N525" s="7">
        <f>PERCENTILE($E$2:$E524,0.025)</f>
        <v>-1</v>
      </c>
      <c r="O525" s="7">
        <f>PERCENTILE($E$2:$E524,0.165)</f>
        <v>0</v>
      </c>
      <c r="P525" s="7">
        <f>PERCENTILE($E$2:$E524,0.5)</f>
        <v>1</v>
      </c>
      <c r="Q525" s="7">
        <f>PERCENTILE($E$2:$E524,0.835)</f>
        <v>3</v>
      </c>
      <c r="R525" s="7">
        <f>PERCENTILE($E$2:$E524,0.975)</f>
        <v>4</v>
      </c>
    </row>
    <row r="526" spans="1:18" x14ac:dyDescent="0.2">
      <c r="A526" s="5">
        <f>Data!E760</f>
        <v>2011</v>
      </c>
      <c r="B526" s="5">
        <f>Data!M760</f>
        <v>0.55454545454545456</v>
      </c>
      <c r="C526" s="5">
        <f>Data!N760</f>
        <v>9.0909090909090912E-2</v>
      </c>
      <c r="D526" s="5">
        <f ca="1">Data!O760</f>
        <v>315.8416687661948</v>
      </c>
      <c r="E526" s="1" t="str">
        <f>Data!AQ760</f>
        <v>NA</v>
      </c>
      <c r="F526" t="str">
        <f t="shared" si="8"/>
        <v/>
      </c>
      <c r="G526" s="5">
        <f ca="1">AVERAGE(D$2:D525)</f>
        <v>176.58809985075112</v>
      </c>
      <c r="H526" s="5">
        <f ca="1">PERCENTILE(D$2:D525,0.025)</f>
        <v>-3.8238157735289251</v>
      </c>
      <c r="I526" s="5">
        <f ca="1">PERCENTILE(D$2:D525,0.165)</f>
        <v>3.2941490719755437</v>
      </c>
      <c r="J526" s="5">
        <f ca="1">PERCENTILE(D$2:D525,0.5)</f>
        <v>38.781152808884528</v>
      </c>
      <c r="K526" s="5">
        <f ca="1">PERCENTILE(D$2:D525,0.835)</f>
        <v>243.80959594178364</v>
      </c>
      <c r="L526" s="5">
        <f ca="1">PERCENTILE(D$2:D525,0.975)</f>
        <v>1327.6484926522671</v>
      </c>
      <c r="M526" s="7">
        <f>AVERAGE(E$2:E525)</f>
        <v>1.3857142857142861</v>
      </c>
      <c r="N526" s="7">
        <f>PERCENTILE($E$2:$E525,0.025)</f>
        <v>-1</v>
      </c>
      <c r="O526" s="7">
        <f>PERCENTILE($E$2:$E525,0.165)</f>
        <v>0</v>
      </c>
      <c r="P526" s="7">
        <f>PERCENTILE($E$2:$E525,0.5)</f>
        <v>1</v>
      </c>
      <c r="Q526" s="7">
        <f>PERCENTILE($E$2:$E525,0.835)</f>
        <v>3</v>
      </c>
      <c r="R526" s="7">
        <f>PERCENTILE($E$2:$E525,0.975)</f>
        <v>4</v>
      </c>
    </row>
    <row r="527" spans="1:18" x14ac:dyDescent="0.2">
      <c r="A527" s="5">
        <f>Data!E761</f>
        <v>2011</v>
      </c>
      <c r="B527" s="5">
        <f>Data!M761</f>
        <v>0.55454545454545456</v>
      </c>
      <c r="C527" s="5">
        <f>Data!N761</f>
        <v>9.0909090909090912E-2</v>
      </c>
      <c r="D527" s="5">
        <f ca="1">Data!O761</f>
        <v>411.42533168228005</v>
      </c>
      <c r="E527" s="1" t="str">
        <f>Data!AQ761</f>
        <v>NA</v>
      </c>
      <c r="F527" t="str">
        <f t="shared" si="8"/>
        <v/>
      </c>
      <c r="G527" s="5">
        <f ca="1">AVERAGE(D$2:D526)</f>
        <v>176.8533447439234</v>
      </c>
      <c r="H527" s="5">
        <f ca="1">PERCENTILE(D$2:D526,0.025)</f>
        <v>-3.8238157735289251</v>
      </c>
      <c r="I527" s="5">
        <f ca="1">PERCENTILE(D$2:D526,0.165)</f>
        <v>3.3013828878557949</v>
      </c>
      <c r="J527" s="5">
        <f ca="1">PERCENTILE(D$2:D526,0.5)</f>
        <v>38.936011947311336</v>
      </c>
      <c r="K527" s="5">
        <f ca="1">PERCENTILE(D$2:D526,0.835)</f>
        <v>247.6064887040269</v>
      </c>
      <c r="L527" s="5">
        <f ca="1">PERCENTILE(D$2:D526,0.975)</f>
        <v>1327.2065741499787</v>
      </c>
      <c r="M527" s="7">
        <f>AVERAGE(E$2:E526)</f>
        <v>1.3857142857142861</v>
      </c>
      <c r="N527" s="7">
        <f>PERCENTILE($E$2:$E526,0.025)</f>
        <v>-1</v>
      </c>
      <c r="O527" s="7">
        <f>PERCENTILE($E$2:$E526,0.165)</f>
        <v>0</v>
      </c>
      <c r="P527" s="7">
        <f>PERCENTILE($E$2:$E526,0.5)</f>
        <v>1</v>
      </c>
      <c r="Q527" s="7">
        <f>PERCENTILE($E$2:$E526,0.835)</f>
        <v>3</v>
      </c>
      <c r="R527" s="7">
        <f>PERCENTILE($E$2:$E526,0.975)</f>
        <v>4</v>
      </c>
    </row>
    <row r="528" spans="1:18" x14ac:dyDescent="0.2">
      <c r="A528" s="5">
        <f>Data!E762</f>
        <v>2011</v>
      </c>
      <c r="B528" s="5">
        <f>Data!M762</f>
        <v>0.55454545454545456</v>
      </c>
      <c r="C528" s="5">
        <f>Data!N762</f>
        <v>9.0909090909090912E-2</v>
      </c>
      <c r="D528" s="5">
        <f ca="1">Data!O762</f>
        <v>390.64627452660932</v>
      </c>
      <c r="E528" s="1" t="str">
        <f>Data!AQ762</f>
        <v>NA</v>
      </c>
      <c r="F528" t="str">
        <f t="shared" si="8"/>
        <v/>
      </c>
      <c r="G528" s="5">
        <f ca="1">AVERAGE(D$2:D527)</f>
        <v>177.29929909171497</v>
      </c>
      <c r="H528" s="5">
        <f ca="1">PERCENTILE(D$2:D527,0.025)</f>
        <v>-3.8238157735289251</v>
      </c>
      <c r="I528" s="5">
        <f ca="1">PERCENTILE(D$2:D527,0.165)</f>
        <v>3.3086167037360452</v>
      </c>
      <c r="J528" s="5">
        <f ca="1">PERCENTILE(D$2:D527,0.5)</f>
        <v>38.936011947311336</v>
      </c>
      <c r="K528" s="5">
        <f ca="1">PERCENTILE(D$2:D527,0.835)</f>
        <v>250.16296259276066</v>
      </c>
      <c r="L528" s="5">
        <f ca="1">PERCENTILE(D$2:D527,0.975)</f>
        <v>1326.7646556476914</v>
      </c>
      <c r="M528" s="7">
        <f>AVERAGE(E$2:E527)</f>
        <v>1.3857142857142861</v>
      </c>
      <c r="N528" s="7">
        <f>PERCENTILE($E$2:$E527,0.025)</f>
        <v>-1</v>
      </c>
      <c r="O528" s="7">
        <f>PERCENTILE($E$2:$E527,0.165)</f>
        <v>0</v>
      </c>
      <c r="P528" s="7">
        <f>PERCENTILE($E$2:$E527,0.5)</f>
        <v>1</v>
      </c>
      <c r="Q528" s="7">
        <f>PERCENTILE($E$2:$E527,0.835)</f>
        <v>3</v>
      </c>
      <c r="R528" s="7">
        <f>PERCENTILE($E$2:$E527,0.975)</f>
        <v>4</v>
      </c>
    </row>
    <row r="529" spans="1:18" x14ac:dyDescent="0.2">
      <c r="A529" s="5">
        <f>Data!E763</f>
        <v>2011</v>
      </c>
      <c r="B529" s="5">
        <f>Data!M763</f>
        <v>0.55454545454545456</v>
      </c>
      <c r="C529" s="5">
        <f>Data!N763</f>
        <v>9.0909090909090912E-2</v>
      </c>
      <c r="D529" s="5">
        <f ca="1">Data!O763</f>
        <v>473.76250314929217</v>
      </c>
      <c r="E529" s="1" t="str">
        <f>Data!AQ763</f>
        <v>NA</v>
      </c>
      <c r="F529" t="str">
        <f t="shared" si="8"/>
        <v/>
      </c>
      <c r="G529" s="5">
        <f ca="1">AVERAGE(D$2:D528)</f>
        <v>177.70413206217967</v>
      </c>
      <c r="H529" s="5">
        <f ca="1">PERCENTILE(D$2:D528,0.025)</f>
        <v>-3.8238157735289251</v>
      </c>
      <c r="I529" s="5">
        <f ca="1">PERCENTILE(D$2:D528,0.165)</f>
        <v>3.3158505196162964</v>
      </c>
      <c r="J529" s="5">
        <f ca="1">PERCENTILE(D$2:D528,0.5)</f>
        <v>38.936011947311336</v>
      </c>
      <c r="K529" s="5">
        <f ca="1">PERCENTILE(D$2:D528,0.835)</f>
        <v>254.37082424600447</v>
      </c>
      <c r="L529" s="5">
        <f ca="1">PERCENTILE(D$2:D528,0.975)</f>
        <v>1326.3227371454038</v>
      </c>
      <c r="M529" s="7">
        <f>AVERAGE(E$2:E528)</f>
        <v>1.3857142857142861</v>
      </c>
      <c r="N529" s="7">
        <f>PERCENTILE($E$2:$E528,0.025)</f>
        <v>-1</v>
      </c>
      <c r="O529" s="7">
        <f>PERCENTILE($E$2:$E528,0.165)</f>
        <v>0</v>
      </c>
      <c r="P529" s="7">
        <f>PERCENTILE($E$2:$E528,0.5)</f>
        <v>1</v>
      </c>
      <c r="Q529" s="7">
        <f>PERCENTILE($E$2:$E528,0.835)</f>
        <v>3</v>
      </c>
      <c r="R529" s="7">
        <f>PERCENTILE($E$2:$E528,0.975)</f>
        <v>4</v>
      </c>
    </row>
    <row r="530" spans="1:18" x14ac:dyDescent="0.2">
      <c r="A530" s="5">
        <f>Data!E764</f>
        <v>2011</v>
      </c>
      <c r="B530" s="5">
        <f>Data!M764</f>
        <v>0.55454545454545456</v>
      </c>
      <c r="C530" s="5">
        <f>Data!N764</f>
        <v>9.0909090909090912E-2</v>
      </c>
      <c r="D530" s="5">
        <f ca="1">Data!O764</f>
        <v>561.03454320310914</v>
      </c>
      <c r="E530" s="1" t="str">
        <f>Data!AQ764</f>
        <v>NA</v>
      </c>
      <c r="F530" t="str">
        <f t="shared" si="8"/>
        <v/>
      </c>
      <c r="G530" s="5">
        <f ca="1">AVERAGE(D$2:D529)</f>
        <v>178.26484867408706</v>
      </c>
      <c r="H530" s="5">
        <f ca="1">PERCENTILE(D$2:D529,0.025)</f>
        <v>-3.8238157735289251</v>
      </c>
      <c r="I530" s="5">
        <f ca="1">PERCENTILE(D$2:D529,0.165)</f>
        <v>3.3230843354965467</v>
      </c>
      <c r="J530" s="5">
        <f ca="1">PERCENTILE(D$2:D529,0.5)</f>
        <v>38.936011947311336</v>
      </c>
      <c r="K530" s="5">
        <f ca="1">PERCENTILE(D$2:D529,0.835)</f>
        <v>258.06095075224908</v>
      </c>
      <c r="L530" s="5">
        <f ca="1">PERCENTILE(D$2:D529,0.975)</f>
        <v>1325.8808186431145</v>
      </c>
      <c r="M530" s="7">
        <f>AVERAGE(E$2:E529)</f>
        <v>1.3857142857142861</v>
      </c>
      <c r="N530" s="7">
        <f>PERCENTILE($E$2:$E529,0.025)</f>
        <v>-1</v>
      </c>
      <c r="O530" s="7">
        <f>PERCENTILE($E$2:$E529,0.165)</f>
        <v>0</v>
      </c>
      <c r="P530" s="7">
        <f>PERCENTILE($E$2:$E529,0.5)</f>
        <v>1</v>
      </c>
      <c r="Q530" s="7">
        <f>PERCENTILE($E$2:$E529,0.835)</f>
        <v>3</v>
      </c>
      <c r="R530" s="7">
        <f>PERCENTILE($E$2:$E529,0.975)</f>
        <v>4</v>
      </c>
    </row>
    <row r="531" spans="1:18" x14ac:dyDescent="0.2">
      <c r="A531" s="5">
        <f>Data!E765</f>
        <v>2011</v>
      </c>
      <c r="B531" s="5">
        <f>Data!M765</f>
        <v>0.55454545454545456</v>
      </c>
      <c r="C531" s="5">
        <f>Data!N765</f>
        <v>9.0909090909090912E-2</v>
      </c>
      <c r="D531" s="5">
        <f ca="1">Data!O765</f>
        <v>610.90428037671882</v>
      </c>
      <c r="E531" s="1" t="str">
        <f>Data!AQ765</f>
        <v>NA</v>
      </c>
      <c r="F531" t="str">
        <f t="shared" si="8"/>
        <v/>
      </c>
      <c r="G531" s="5">
        <f ca="1">AVERAGE(D$2:D530)</f>
        <v>178.98842087546518</v>
      </c>
      <c r="H531" s="5">
        <f ca="1">PERCENTILE(D$2:D530,0.025)</f>
        <v>-3.8238157735289251</v>
      </c>
      <c r="I531" s="5">
        <f ca="1">PERCENTILE(D$2:D530,0.165)</f>
        <v>3.3354094021124538</v>
      </c>
      <c r="J531" s="5">
        <f ca="1">PERCENTILE(D$2:D530,0.5)</f>
        <v>38.936011947311336</v>
      </c>
      <c r="K531" s="5">
        <f ca="1">PERCENTILE(D$2:D530,0.835)</f>
        <v>259.19192582176123</v>
      </c>
      <c r="L531" s="5">
        <f ca="1">PERCENTILE(D$2:D530,0.975)</f>
        <v>1325.4389001408272</v>
      </c>
      <c r="M531" s="7">
        <f>AVERAGE(E$2:E530)</f>
        <v>1.3857142857142861</v>
      </c>
      <c r="N531" s="7">
        <f>PERCENTILE($E$2:$E530,0.025)</f>
        <v>-1</v>
      </c>
      <c r="O531" s="7">
        <f>PERCENTILE($E$2:$E530,0.165)</f>
        <v>0</v>
      </c>
      <c r="P531" s="7">
        <f>PERCENTILE($E$2:$E530,0.5)</f>
        <v>1</v>
      </c>
      <c r="Q531" s="7">
        <f>PERCENTILE($E$2:$E530,0.835)</f>
        <v>3</v>
      </c>
      <c r="R531" s="7">
        <f>PERCENTILE($E$2:$E530,0.975)</f>
        <v>4</v>
      </c>
    </row>
    <row r="532" spans="1:18" x14ac:dyDescent="0.2">
      <c r="A532" s="5">
        <f>Data!E766</f>
        <v>2011</v>
      </c>
      <c r="B532" s="5">
        <f>Data!M766</f>
        <v>0.55454545454545456</v>
      </c>
      <c r="C532" s="5">
        <f>Data!N766</f>
        <v>9.0909090909090912E-2</v>
      </c>
      <c r="D532" s="5">
        <f ca="1">Data!O766</f>
        <v>905.96689198724289</v>
      </c>
      <c r="E532" s="1" t="str">
        <f>Data!AQ766</f>
        <v>NA</v>
      </c>
      <c r="F532" t="str">
        <f t="shared" si="8"/>
        <v/>
      </c>
      <c r="G532" s="5">
        <f ca="1">AVERAGE(D$2:D531)</f>
        <v>179.80335645942981</v>
      </c>
      <c r="H532" s="5">
        <f ca="1">PERCENTILE(D$2:D531,0.025)</f>
        <v>-3.8238157735289251</v>
      </c>
      <c r="I532" s="5">
        <f ca="1">PERCENTILE(D$2:D531,0.165)</f>
        <v>3.3496436877542326</v>
      </c>
      <c r="J532" s="5">
        <f ca="1">PERCENTILE(D$2:D531,0.5)</f>
        <v>39.213234320112363</v>
      </c>
      <c r="K532" s="5">
        <f ca="1">PERCENTILE(D$2:D531,0.835)</f>
        <v>260.23056529442835</v>
      </c>
      <c r="L532" s="5">
        <f ca="1">PERCENTILE(D$2:D531,0.975)</f>
        <v>1324.9969816385399</v>
      </c>
      <c r="M532" s="7">
        <f>AVERAGE(E$2:E531)</f>
        <v>1.3857142857142861</v>
      </c>
      <c r="N532" s="7">
        <f>PERCENTILE($E$2:$E531,0.025)</f>
        <v>-1</v>
      </c>
      <c r="O532" s="7">
        <f>PERCENTILE($E$2:$E531,0.165)</f>
        <v>0</v>
      </c>
      <c r="P532" s="7">
        <f>PERCENTILE($E$2:$E531,0.5)</f>
        <v>1</v>
      </c>
      <c r="Q532" s="7">
        <f>PERCENTILE($E$2:$E531,0.835)</f>
        <v>3</v>
      </c>
      <c r="R532" s="7">
        <f>PERCENTILE($E$2:$E531,0.975)</f>
        <v>4</v>
      </c>
    </row>
    <row r="533" spans="1:18" x14ac:dyDescent="0.2">
      <c r="A533" s="5">
        <f>Data!E1092</f>
        <v>2011</v>
      </c>
      <c r="B533" s="5">
        <f>Data!M1092</f>
        <v>0.32903225806451608</v>
      </c>
      <c r="C533" s="5">
        <f>Data!N1092</f>
        <v>6.4516129032258063E-2</v>
      </c>
      <c r="D533" s="5">
        <f ca="1">Data!O1092</f>
        <v>44.207624993449606</v>
      </c>
      <c r="E533" s="1">
        <f>Data!AQ1092</f>
        <v>1.5</v>
      </c>
      <c r="F533" t="str">
        <f t="shared" si="8"/>
        <v/>
      </c>
      <c r="G533" s="5">
        <f ca="1">AVERAGE(D$2:D532)</f>
        <v>181.17089607435977</v>
      </c>
      <c r="H533" s="5">
        <f ca="1">PERCENTILE(D$2:D532,0.025)</f>
        <v>-3.8238157735289251</v>
      </c>
      <c r="I533" s="5">
        <f ca="1">PERCENTILE(D$2:D532,0.165)</f>
        <v>3.3638779733960096</v>
      </c>
      <c r="J533" s="5">
        <f ca="1">PERCENTILE(D$2:D532,0.5)</f>
        <v>39.490456692913391</v>
      </c>
      <c r="K533" s="5">
        <f ca="1">PERCENTILE(D$2:D532,0.835)</f>
        <v>263.01090173228329</v>
      </c>
      <c r="L533" s="5">
        <f ca="1">PERCENTILE(D$2:D532,0.975)</f>
        <v>1324.5550631362523</v>
      </c>
      <c r="M533" s="7">
        <f>AVERAGE(E$2:E532)</f>
        <v>1.3857142857142861</v>
      </c>
      <c r="N533" s="7">
        <f>PERCENTILE($E$2:$E532,0.025)</f>
        <v>-1</v>
      </c>
      <c r="O533" s="7">
        <f>PERCENTILE($E$2:$E532,0.165)</f>
        <v>0</v>
      </c>
      <c r="P533" s="7">
        <f>PERCENTILE($E$2:$E532,0.5)</f>
        <v>1</v>
      </c>
      <c r="Q533" s="7">
        <f>PERCENTILE($E$2:$E532,0.835)</f>
        <v>3</v>
      </c>
      <c r="R533" s="7">
        <f>PERCENTILE($E$2:$E532,0.975)</f>
        <v>4</v>
      </c>
    </row>
    <row r="534" spans="1:18" x14ac:dyDescent="0.2">
      <c r="A534" s="5">
        <f>Data!E1093</f>
        <v>2011</v>
      </c>
      <c r="B534" s="5">
        <f>Data!M1093</f>
        <v>0.65806451612903216</v>
      </c>
      <c r="C534" s="5">
        <f>Data!N1093</f>
        <v>0.12903225806451613</v>
      </c>
      <c r="D534" s="5">
        <f ca="1">Data!O1093</f>
        <v>41.545638202606931</v>
      </c>
      <c r="E534" s="1">
        <f>Data!AQ1093</f>
        <v>1.5</v>
      </c>
      <c r="F534" t="str">
        <f t="shared" si="8"/>
        <v/>
      </c>
      <c r="G534" s="5">
        <f ca="1">AVERAGE(D$2:D533)</f>
        <v>180.91344631668889</v>
      </c>
      <c r="H534" s="5">
        <f ca="1">PERCENTILE(D$2:D533,0.025)</f>
        <v>-3.8238157735289251</v>
      </c>
      <c r="I534" s="5">
        <f ca="1">PERCENTILE(D$2:D533,0.165)</f>
        <v>3.3781122590377883</v>
      </c>
      <c r="J534" s="5">
        <f ca="1">PERCENTILE(D$2:D533,0.5)</f>
        <v>39.676462467191605</v>
      </c>
      <c r="K534" s="5">
        <f ca="1">PERCENTILE(D$2:D533,0.835)</f>
        <v>262.28156570078738</v>
      </c>
      <c r="L534" s="5">
        <f ca="1">PERCENTILE(D$2:D533,0.975)</f>
        <v>1324.113144633965</v>
      </c>
      <c r="M534" s="7">
        <f>AVERAGE(E$2:E533)</f>
        <v>1.3859574468085112</v>
      </c>
      <c r="N534" s="7">
        <f>PERCENTILE($E$2:$E533,0.025)</f>
        <v>-1</v>
      </c>
      <c r="O534" s="7">
        <f>PERCENTILE($E$2:$E533,0.165)</f>
        <v>0</v>
      </c>
      <c r="P534" s="7">
        <f>PERCENTILE($E$2:$E533,0.5)</f>
        <v>1</v>
      </c>
      <c r="Q534" s="7">
        <f>PERCENTILE($E$2:$E533,0.835)</f>
        <v>3</v>
      </c>
      <c r="R534" s="7">
        <f>PERCENTILE($E$2:$E533,0.975)</f>
        <v>4</v>
      </c>
    </row>
    <row r="535" spans="1:18" x14ac:dyDescent="0.2">
      <c r="A535" s="5">
        <f>Data!E1094</f>
        <v>2011</v>
      </c>
      <c r="B535" s="5">
        <f>Data!M1094</f>
        <v>0.32903225806451608</v>
      </c>
      <c r="C535" s="5">
        <f>Data!N1094</f>
        <v>6.4516129032258063E-2</v>
      </c>
      <c r="D535" s="5">
        <f ca="1">Data!O1094</f>
        <v>143.15688496590138</v>
      </c>
      <c r="E535" s="1">
        <f>Data!AQ1094</f>
        <v>1</v>
      </c>
      <c r="F535" t="str">
        <f t="shared" si="8"/>
        <v/>
      </c>
      <c r="G535" s="5">
        <f ca="1">AVERAGE(D$2:D534)</f>
        <v>180.65196825268498</v>
      </c>
      <c r="H535" s="5">
        <f ca="1">PERCENTILE(D$2:D534,0.025)</f>
        <v>-3.8238157735289251</v>
      </c>
      <c r="I535" s="5">
        <f ca="1">PERCENTILE(D$2:D534,0.165)</f>
        <v>3.3923465446795658</v>
      </c>
      <c r="J535" s="5">
        <f ca="1">PERCENTILE(D$2:D534,0.5)</f>
        <v>39.86246824146982</v>
      </c>
      <c r="K535" s="5">
        <f ca="1">PERCENTILE(D$2:D534,0.835)</f>
        <v>261.55222966929119</v>
      </c>
      <c r="L535" s="5">
        <f ca="1">PERCENTILE(D$2:D534,0.975)</f>
        <v>1323.6712261316757</v>
      </c>
      <c r="M535" s="7">
        <f>AVERAGE(E$2:E534)</f>
        <v>1.3861995753715504</v>
      </c>
      <c r="N535" s="7">
        <f>PERCENTILE($E$2:$E534,0.025)</f>
        <v>-1</v>
      </c>
      <c r="O535" s="7">
        <f>PERCENTILE($E$2:$E534,0.165)</f>
        <v>0</v>
      </c>
      <c r="P535" s="7">
        <f>PERCENTILE($E$2:$E534,0.5)</f>
        <v>1</v>
      </c>
      <c r="Q535" s="7">
        <f>PERCENTILE($E$2:$E534,0.835)</f>
        <v>3</v>
      </c>
      <c r="R535" s="7">
        <f>PERCENTILE($E$2:$E534,0.975)</f>
        <v>4</v>
      </c>
    </row>
    <row r="536" spans="1:18" x14ac:dyDescent="0.2">
      <c r="A536" s="5">
        <f>Data!E1095</f>
        <v>2011</v>
      </c>
      <c r="B536" s="5">
        <f>Data!M1095</f>
        <v>0.16451612903225804</v>
      </c>
      <c r="C536" s="5">
        <f>Data!N1095</f>
        <v>3.2258064516129031E-2</v>
      </c>
      <c r="D536" s="5">
        <f ca="1">Data!O1095</f>
        <v>298.670774762446</v>
      </c>
      <c r="E536" s="1">
        <f>Data!AQ1095</f>
        <v>0.1</v>
      </c>
      <c r="F536" t="str">
        <f t="shared" si="8"/>
        <v/>
      </c>
      <c r="G536" s="5">
        <f ca="1">AVERAGE(D$2:D535)</f>
        <v>180.58175274091198</v>
      </c>
      <c r="H536" s="5">
        <f ca="1">PERCENTILE(D$2:D535,0.025)</f>
        <v>-3.8238157735289251</v>
      </c>
      <c r="I536" s="5">
        <f ca="1">PERCENTILE(D$2:D535,0.165)</f>
        <v>3.4065808303213441</v>
      </c>
      <c r="J536" s="5">
        <f ca="1">PERCENTILE(D$2:D535,0.5)</f>
        <v>39.881577286972785</v>
      </c>
      <c r="K536" s="5">
        <f ca="1">PERCENTILE(D$2:D535,0.835)</f>
        <v>260.82289363779529</v>
      </c>
      <c r="L536" s="5">
        <f ca="1">PERCENTILE(D$2:D535,0.975)</f>
        <v>1323.2293076293881</v>
      </c>
      <c r="M536" s="7">
        <f>AVERAGE(E$2:E535)</f>
        <v>1.3853813559322039</v>
      </c>
      <c r="N536" s="7">
        <f>PERCENTILE($E$2:$E535,0.025)</f>
        <v>-1</v>
      </c>
      <c r="O536" s="7">
        <f>PERCENTILE($E$2:$E535,0.165)</f>
        <v>0</v>
      </c>
      <c r="P536" s="7">
        <f>PERCENTILE($E$2:$E535,0.5)</f>
        <v>1</v>
      </c>
      <c r="Q536" s="7">
        <f>PERCENTILE($E$2:$E535,0.835)</f>
        <v>3</v>
      </c>
      <c r="R536" s="7">
        <f>PERCENTILE($E$2:$E535,0.975)</f>
        <v>4</v>
      </c>
    </row>
    <row r="537" spans="1:18" x14ac:dyDescent="0.2">
      <c r="A537" s="5">
        <f>Data!E1096</f>
        <v>2011</v>
      </c>
      <c r="B537" s="5">
        <f>Data!M1096</f>
        <v>0.16451612903225804</v>
      </c>
      <c r="C537" s="5">
        <f>Data!N1096</f>
        <v>3.2258064516129031E-2</v>
      </c>
      <c r="D537" s="5">
        <f ca="1">Data!O1096</f>
        <v>101.37301448240191</v>
      </c>
      <c r="E537" s="1">
        <f>Data!AQ1096</f>
        <v>1.5</v>
      </c>
      <c r="F537" t="str">
        <f t="shared" si="8"/>
        <v/>
      </c>
      <c r="G537" s="5">
        <f ca="1">AVERAGE(D$2:D536)</f>
        <v>180.80247988487744</v>
      </c>
      <c r="H537" s="5">
        <f ca="1">PERCENTILE(D$2:D536,0.025)</f>
        <v>-3.8238157735289251</v>
      </c>
      <c r="I537" s="5">
        <f ca="1">PERCENTILE(D$2:D536,0.165)</f>
        <v>3.420123883009802</v>
      </c>
      <c r="J537" s="5">
        <f ca="1">PERCENTILE(D$2:D536,0.5)</f>
        <v>39.900686332475743</v>
      </c>
      <c r="K537" s="5">
        <f ca="1">PERCENTILE(D$2:D536,0.835)</f>
        <v>264.51377597900256</v>
      </c>
      <c r="L537" s="5">
        <f ca="1">PERCENTILE(D$2:D536,0.975)</f>
        <v>1322.7873891271008</v>
      </c>
      <c r="M537" s="7">
        <f>AVERAGE(E$2:E536)</f>
        <v>1.3826638477801274</v>
      </c>
      <c r="N537" s="7">
        <f>PERCENTILE($E$2:$E536,0.025)</f>
        <v>-1</v>
      </c>
      <c r="O537" s="7">
        <f>PERCENTILE($E$2:$E536,0.165)</f>
        <v>0</v>
      </c>
      <c r="P537" s="7">
        <f>PERCENTILE($E$2:$E536,0.5)</f>
        <v>1</v>
      </c>
      <c r="Q537" s="7">
        <f>PERCENTILE($E$2:$E536,0.835)</f>
        <v>3</v>
      </c>
      <c r="R537" s="7">
        <f>PERCENTILE($E$2:$E536,0.975)</f>
        <v>4</v>
      </c>
    </row>
    <row r="538" spans="1:18" x14ac:dyDescent="0.2">
      <c r="A538" s="5">
        <f>Data!E1097</f>
        <v>2011</v>
      </c>
      <c r="B538" s="5">
        <f>Data!M1097</f>
        <v>0.16451612903225804</v>
      </c>
      <c r="C538" s="5">
        <f>Data!N1097</f>
        <v>3.2258064516129031E-2</v>
      </c>
      <c r="D538" s="5">
        <f ca="1">Data!O1097</f>
        <v>129.32905474887812</v>
      </c>
      <c r="E538" s="1">
        <f>Data!AQ1097</f>
        <v>1.5</v>
      </c>
      <c r="F538" t="str">
        <f t="shared" si="8"/>
        <v/>
      </c>
      <c r="G538" s="5">
        <f ca="1">AVERAGE(D$2:D537)</f>
        <v>180.65429058375344</v>
      </c>
      <c r="H538" s="5">
        <f ca="1">PERCENTILE(D$2:D537,0.025)</f>
        <v>-3.8238157735289251</v>
      </c>
      <c r="I538" s="5">
        <f ca="1">PERCENTILE(D$2:D537,0.165)</f>
        <v>3.4333213192216019</v>
      </c>
      <c r="J538" s="5">
        <f ca="1">PERCENTILE(D$2:D537,0.5)</f>
        <v>40.038619114703394</v>
      </c>
      <c r="K538" s="5">
        <f ca="1">PERCENTILE(D$2:D537,0.835)</f>
        <v>263.78443994750643</v>
      </c>
      <c r="L538" s="5">
        <f ca="1">PERCENTILE(D$2:D537,0.975)</f>
        <v>1322.3454706248135</v>
      </c>
      <c r="M538" s="7">
        <f>AVERAGE(E$2:E537)</f>
        <v>1.3829113924050638</v>
      </c>
      <c r="N538" s="7">
        <f>PERCENTILE($E$2:$E537,0.025)</f>
        <v>-1</v>
      </c>
      <c r="O538" s="7">
        <f>PERCENTILE($E$2:$E537,0.165)</f>
        <v>0</v>
      </c>
      <c r="P538" s="7">
        <f>PERCENTILE($E$2:$E537,0.5)</f>
        <v>1</v>
      </c>
      <c r="Q538" s="7">
        <f>PERCENTILE($E$2:$E537,0.835)</f>
        <v>3</v>
      </c>
      <c r="R538" s="7">
        <f>PERCENTILE($E$2:$E537,0.975)</f>
        <v>4</v>
      </c>
    </row>
    <row r="539" spans="1:18" x14ac:dyDescent="0.2">
      <c r="A539" s="5">
        <f>Data!E1098</f>
        <v>2011</v>
      </c>
      <c r="B539" s="5">
        <f>Data!M1098</f>
        <v>0.16451612903225804</v>
      </c>
      <c r="C539" s="5">
        <f>Data!N1098</f>
        <v>3.2258064516129031E-2</v>
      </c>
      <c r="D539" s="5">
        <f ca="1">Data!O1098</f>
        <v>9065.256184223781</v>
      </c>
      <c r="E539" s="1">
        <f>Data!AQ1098</f>
        <v>0</v>
      </c>
      <c r="F539" t="str">
        <f t="shared" si="8"/>
        <v/>
      </c>
      <c r="G539" s="5">
        <f ca="1">AVERAGE(D$2:D538)</f>
        <v>180.55871286339053</v>
      </c>
      <c r="H539" s="5">
        <f ca="1">PERCENTILE(D$2:D538,0.025)</f>
        <v>-3.8238157735289251</v>
      </c>
      <c r="I539" s="5">
        <f ca="1">PERCENTILE(D$2:D538,0.165)</f>
        <v>3.4465187554334005</v>
      </c>
      <c r="J539" s="5">
        <f ca="1">PERCENTILE(D$2:D538,0.5)</f>
        <v>40.176551896931038</v>
      </c>
      <c r="K539" s="5">
        <f ca="1">PERCENTILE(D$2:D538,0.835)</f>
        <v>263.05510391601052</v>
      </c>
      <c r="L539" s="5">
        <f ca="1">PERCENTILE(D$2:D538,0.975)</f>
        <v>1321.9035521225262</v>
      </c>
      <c r="M539" s="7">
        <f>AVERAGE(E$2:E538)</f>
        <v>1.3831578947368426</v>
      </c>
      <c r="N539" s="7">
        <f>PERCENTILE($E$2:$E538,0.025)</f>
        <v>-1</v>
      </c>
      <c r="O539" s="7">
        <f>PERCENTILE($E$2:$E538,0.165)</f>
        <v>0</v>
      </c>
      <c r="P539" s="7">
        <f>PERCENTILE($E$2:$E538,0.5)</f>
        <v>1</v>
      </c>
      <c r="Q539" s="7">
        <f>PERCENTILE($E$2:$E538,0.835)</f>
        <v>3</v>
      </c>
      <c r="R539" s="7">
        <f>PERCENTILE($E$2:$E538,0.975)</f>
        <v>4</v>
      </c>
    </row>
    <row r="540" spans="1:18" x14ac:dyDescent="0.2">
      <c r="A540" s="5">
        <f>Data!E1099</f>
        <v>2011</v>
      </c>
      <c r="B540" s="5">
        <f>Data!M1099</f>
        <v>0.16451612903225804</v>
      </c>
      <c r="C540" s="5">
        <f>Data!N1099</f>
        <v>3.2258064516129031E-2</v>
      </c>
      <c r="D540" s="5">
        <f ca="1">Data!O1099</f>
        <v>970.5375965056769</v>
      </c>
      <c r="E540" s="1">
        <f>Data!AQ1099</f>
        <v>0</v>
      </c>
      <c r="F540" t="str">
        <f t="shared" si="8"/>
        <v/>
      </c>
      <c r="G540" s="5">
        <f ca="1">AVERAGE(D$2:D539)</f>
        <v>197.07302043097491</v>
      </c>
      <c r="H540" s="5">
        <f ca="1">PERCENTILE(D$2:D539,0.025)</f>
        <v>-3.8238157735289251</v>
      </c>
      <c r="I540" s="5">
        <f ca="1">PERCENTILE(D$2:D539,0.165)</f>
        <v>3.4597161916451999</v>
      </c>
      <c r="J540" s="5">
        <f ca="1">PERCENTILE(D$2:D539,0.5)</f>
        <v>40.19784120988939</v>
      </c>
      <c r="K540" s="5">
        <f ca="1">PERCENTILE(D$2:D539,0.835)</f>
        <v>265.97721199929146</v>
      </c>
      <c r="L540" s="5">
        <f ca="1">PERCENTILE(D$2:D539,0.975)</f>
        <v>1328.9742481591302</v>
      </c>
      <c r="M540" s="7">
        <f>AVERAGE(E$2:E539)</f>
        <v>1.3802521008403366</v>
      </c>
      <c r="N540" s="7">
        <f>PERCENTILE($E$2:$E539,0.025)</f>
        <v>-1</v>
      </c>
      <c r="O540" s="7">
        <f>PERCENTILE($E$2:$E539,0.165)</f>
        <v>0</v>
      </c>
      <c r="P540" s="7">
        <f>PERCENTILE($E$2:$E539,0.5)</f>
        <v>1</v>
      </c>
      <c r="Q540" s="7">
        <f>PERCENTILE($E$2:$E539,0.835)</f>
        <v>3</v>
      </c>
      <c r="R540" s="7">
        <f>PERCENTILE($E$2:$E539,0.975)</f>
        <v>4</v>
      </c>
    </row>
    <row r="541" spans="1:18" x14ac:dyDescent="0.2">
      <c r="A541" s="5">
        <f>Data!E1100</f>
        <v>2011</v>
      </c>
      <c r="B541" s="5">
        <f>Data!M1100</f>
        <v>0.16451612903225804</v>
      </c>
      <c r="C541" s="5">
        <f>Data!N1100</f>
        <v>3.2258064516129031E-2</v>
      </c>
      <c r="D541" s="5">
        <f ca="1">Data!O1100</f>
        <v>162.6194265222959</v>
      </c>
      <c r="E541" s="1">
        <f>Data!AQ1100</f>
        <v>0</v>
      </c>
      <c r="F541" t="str">
        <f t="shared" si="8"/>
        <v/>
      </c>
      <c r="G541" s="5">
        <f ca="1">AVERAGE(D$2:D540)</f>
        <v>198.50801964447155</v>
      </c>
      <c r="H541" s="5">
        <f ca="1">PERCENTILE(D$2:D540,0.025)</f>
        <v>-3.8238157735289251</v>
      </c>
      <c r="I541" s="5">
        <f ca="1">PERCENTILE(D$2:D540,0.165)</f>
        <v>3.4729136278569999</v>
      </c>
      <c r="J541" s="5">
        <f ca="1">PERCENTILE(D$2:D540,0.5)</f>
        <v>40.219130522847735</v>
      </c>
      <c r="K541" s="5">
        <f ca="1">PERCENTILE(D$2:D540,0.835)</f>
        <v>268.57007101522601</v>
      </c>
      <c r="L541" s="5">
        <f ca="1">PERCENTILE(D$2:D540,0.975)</f>
        <v>1328.9742481591302</v>
      </c>
      <c r="M541" s="7">
        <f>AVERAGE(E$2:E540)</f>
        <v>1.3773584905660383</v>
      </c>
      <c r="N541" s="7">
        <f>PERCENTILE($E$2:$E540,0.025)</f>
        <v>-1</v>
      </c>
      <c r="O541" s="7">
        <f>PERCENTILE($E$2:$E540,0.165)</f>
        <v>0</v>
      </c>
      <c r="P541" s="7">
        <f>PERCENTILE($E$2:$E540,0.5)</f>
        <v>1</v>
      </c>
      <c r="Q541" s="7">
        <f>PERCENTILE($E$2:$E540,0.835)</f>
        <v>3</v>
      </c>
      <c r="R541" s="7">
        <f>PERCENTILE($E$2:$E540,0.975)</f>
        <v>4</v>
      </c>
    </row>
    <row r="542" spans="1:18" x14ac:dyDescent="0.2">
      <c r="A542" s="5">
        <f>Data!E1101</f>
        <v>2011</v>
      </c>
      <c r="B542" s="5">
        <f>Data!M1101</f>
        <v>0.16451612903225804</v>
      </c>
      <c r="C542" s="5">
        <f>Data!N1101</f>
        <v>3.2258064516129031E-2</v>
      </c>
      <c r="D542" s="5">
        <f ca="1">Data!O1101</f>
        <v>78.720231947098654</v>
      </c>
      <c r="E542" s="1">
        <f>Data!AQ1101</f>
        <v>0</v>
      </c>
      <c r="F542" t="str">
        <f t="shared" si="8"/>
        <v/>
      </c>
      <c r="G542" s="5">
        <f ca="1">AVERAGE(D$2:D541)</f>
        <v>198.4415592868379</v>
      </c>
      <c r="H542" s="5">
        <f ca="1">PERCENTILE(D$2:D541,0.025)</f>
        <v>-3.8238157735289251</v>
      </c>
      <c r="I542" s="5">
        <f ca="1">PERCENTILE(D$2:D541,0.165)</f>
        <v>3.486111064068798</v>
      </c>
      <c r="J542" s="5">
        <f ca="1">PERCENTILE(D$2:D541,0.5)</f>
        <v>40.278269975982717</v>
      </c>
      <c r="K542" s="5">
        <f ca="1">PERCENTILE(D$2:D541,0.835)</f>
        <v>267.78372650741909</v>
      </c>
      <c r="L542" s="5">
        <f ca="1">PERCENTILE(D$2:D541,0.975)</f>
        <v>1328.9742481591302</v>
      </c>
      <c r="M542" s="7">
        <f>AVERAGE(E$2:E541)</f>
        <v>1.3744769874476992</v>
      </c>
      <c r="N542" s="7">
        <f>PERCENTILE($E$2:$E541,0.025)</f>
        <v>-1</v>
      </c>
      <c r="O542" s="7">
        <f>PERCENTILE($E$2:$E541,0.165)</f>
        <v>0</v>
      </c>
      <c r="P542" s="7">
        <f>PERCENTILE($E$2:$E541,0.5)</f>
        <v>1</v>
      </c>
      <c r="Q542" s="7">
        <f>PERCENTILE($E$2:$E541,0.835)</f>
        <v>3</v>
      </c>
      <c r="R542" s="7">
        <f>PERCENTILE($E$2:$E541,0.975)</f>
        <v>4</v>
      </c>
    </row>
    <row r="543" spans="1:18" x14ac:dyDescent="0.2">
      <c r="A543" s="5">
        <f>Data!E1102</f>
        <v>2011</v>
      </c>
      <c r="B543" s="5">
        <f>Data!M1102</f>
        <v>0.16451612903225804</v>
      </c>
      <c r="C543" s="5">
        <f>Data!N1102</f>
        <v>3.2258064516129031E-2</v>
      </c>
      <c r="D543" s="5">
        <f ca="1">Data!O1102</f>
        <v>1351.7092459337332</v>
      </c>
      <c r="E543" s="1">
        <f>Data!AQ1102</f>
        <v>1</v>
      </c>
      <c r="F543" t="str">
        <f t="shared" si="8"/>
        <v/>
      </c>
      <c r="G543" s="5">
        <f ca="1">AVERAGE(D$2:D542)</f>
        <v>198.22026293316</v>
      </c>
      <c r="H543" s="5">
        <f ca="1">PERCENTILE(D$2:D542,0.025)</f>
        <v>-3.8238157735289251</v>
      </c>
      <c r="I543" s="5">
        <f ca="1">PERCENTILE(D$2:D542,0.165)</f>
        <v>3.491310054091628</v>
      </c>
      <c r="J543" s="5">
        <f ca="1">PERCENTILE(D$2:D542,0.5)</f>
        <v>40.337409429117699</v>
      </c>
      <c r="K543" s="5">
        <f ca="1">PERCENTILE(D$2:D542,0.835)</f>
        <v>267.22655898572737</v>
      </c>
      <c r="L543" s="5">
        <f ca="1">PERCENTILE(D$2:D542,0.975)</f>
        <v>1328.9742481591302</v>
      </c>
      <c r="M543" s="7">
        <f>AVERAGE(E$2:E542)</f>
        <v>1.3716075156576206</v>
      </c>
      <c r="N543" s="7">
        <f>PERCENTILE($E$2:$E542,0.025)</f>
        <v>-1</v>
      </c>
      <c r="O543" s="7">
        <f>PERCENTILE($E$2:$E542,0.165)</f>
        <v>0</v>
      </c>
      <c r="P543" s="7">
        <f>PERCENTILE($E$2:$E542,0.5)</f>
        <v>1</v>
      </c>
      <c r="Q543" s="7">
        <f>PERCENTILE($E$2:$E542,0.835)</f>
        <v>3</v>
      </c>
      <c r="R543" s="7">
        <f>PERCENTILE($E$2:$E542,0.975)</f>
        <v>4</v>
      </c>
    </row>
    <row r="544" spans="1:18" x14ac:dyDescent="0.2">
      <c r="A544" s="5">
        <f>Data!E1103</f>
        <v>2011</v>
      </c>
      <c r="B544" s="5">
        <f>Data!M1103</f>
        <v>0.16451612903225804</v>
      </c>
      <c r="C544" s="5">
        <f>Data!N1103</f>
        <v>3.2258064516129031E-2</v>
      </c>
      <c r="D544" s="5">
        <f ca="1">Data!O1103</f>
        <v>213.37326027766213</v>
      </c>
      <c r="E544" s="1">
        <f>Data!AQ1103</f>
        <v>1</v>
      </c>
      <c r="F544" t="str">
        <f t="shared" si="8"/>
        <v/>
      </c>
      <c r="G544" s="5">
        <f ca="1">AVERAGE(D$2:D543)</f>
        <v>200.34847138888063</v>
      </c>
      <c r="H544" s="5">
        <f ca="1">PERCENTILE(D$2:D543,0.025)</f>
        <v>-3.8238157735289251</v>
      </c>
      <c r="I544" s="5">
        <f ca="1">PERCENTILE(D$2:D543,0.165)</f>
        <v>3.491310054091628</v>
      </c>
      <c r="J544" s="5">
        <f ca="1">PERCENTILE(D$2:D543,0.5)</f>
        <v>40.451553600234021</v>
      </c>
      <c r="K544" s="5">
        <f ca="1">PERCENTILE(D$2:D543,0.835)</f>
        <v>270.97676178154467</v>
      </c>
      <c r="L544" s="5">
        <f ca="1">PERCENTILE(D$2:D543,0.975)</f>
        <v>1339.7733721020672</v>
      </c>
      <c r="M544" s="7">
        <f>AVERAGE(E$2:E543)</f>
        <v>1.3708333333333338</v>
      </c>
      <c r="N544" s="7">
        <f>PERCENTILE($E$2:$E543,0.025)</f>
        <v>-1</v>
      </c>
      <c r="O544" s="7">
        <f>PERCENTILE($E$2:$E543,0.165)</f>
        <v>0</v>
      </c>
      <c r="P544" s="7">
        <f>PERCENTILE($E$2:$E543,0.5)</f>
        <v>1</v>
      </c>
      <c r="Q544" s="7">
        <f>PERCENTILE($E$2:$E543,0.835)</f>
        <v>3</v>
      </c>
      <c r="R544" s="7">
        <f>PERCENTILE($E$2:$E543,0.975)</f>
        <v>4</v>
      </c>
    </row>
    <row r="545" spans="1:18" x14ac:dyDescent="0.2">
      <c r="A545" s="5">
        <f>Data!E1104</f>
        <v>2011</v>
      </c>
      <c r="B545" s="5">
        <f>Data!M1104</f>
        <v>0.16451612903225804</v>
      </c>
      <c r="C545" s="5">
        <f>Data!N1104</f>
        <v>3.2258064516129031E-2</v>
      </c>
      <c r="D545" s="5">
        <f ca="1">Data!O1104</f>
        <v>77.684439421478942</v>
      </c>
      <c r="E545" s="1">
        <f>Data!AQ1104</f>
        <v>1</v>
      </c>
      <c r="F545" t="str">
        <f t="shared" si="8"/>
        <v/>
      </c>
      <c r="G545" s="5">
        <f ca="1">AVERAGE(D$2:D544)</f>
        <v>200.37245810874944</v>
      </c>
      <c r="H545" s="5">
        <f ca="1">PERCENTILE(D$2:D544,0.025)</f>
        <v>-3.8238157735289251</v>
      </c>
      <c r="I545" s="5">
        <f ca="1">PERCENTILE(D$2:D544,0.165)</f>
        <v>3.491310054091628</v>
      </c>
      <c r="J545" s="5">
        <f ca="1">PERCENTILE(D$2:D544,0.5)</f>
        <v>40.565697771350337</v>
      </c>
      <c r="K545" s="5">
        <f ca="1">PERCENTILE(D$2:D544,0.835)</f>
        <v>270.19041727373775</v>
      </c>
      <c r="L545" s="5">
        <f ca="1">PERCENTILE(D$2:D544,0.975)</f>
        <v>1339.2049971577001</v>
      </c>
      <c r="M545" s="7">
        <f>AVERAGE(E$2:E544)</f>
        <v>1.3700623700623706</v>
      </c>
      <c r="N545" s="7">
        <f>PERCENTILE($E$2:$E544,0.025)</f>
        <v>-1</v>
      </c>
      <c r="O545" s="7">
        <f>PERCENTILE($E$2:$E544,0.165)</f>
        <v>0</v>
      </c>
      <c r="P545" s="7">
        <f>PERCENTILE($E$2:$E544,0.5)</f>
        <v>1</v>
      </c>
      <c r="Q545" s="7">
        <f>PERCENTILE($E$2:$E544,0.835)</f>
        <v>3</v>
      </c>
      <c r="R545" s="7">
        <f>PERCENTILE($E$2:$E544,0.975)</f>
        <v>4</v>
      </c>
    </row>
    <row r="546" spans="1:18" x14ac:dyDescent="0.2">
      <c r="A546" s="5">
        <f>Data!E1105</f>
        <v>2011</v>
      </c>
      <c r="B546" s="5">
        <f>Data!M1105</f>
        <v>0.16451612903225804</v>
      </c>
      <c r="C546" s="5">
        <f>Data!N1105</f>
        <v>3.2258064516129031E-2</v>
      </c>
      <c r="D546" s="5">
        <f ca="1">Data!O1105</f>
        <v>31.07377576859157</v>
      </c>
      <c r="E546" s="1">
        <f>Data!AQ1105</f>
        <v>1</v>
      </c>
      <c r="F546" t="str">
        <f t="shared" si="8"/>
        <v/>
      </c>
      <c r="G546" s="5">
        <f ca="1">AVERAGE(D$2:D545)</f>
        <v>200.14692866263317</v>
      </c>
      <c r="H546" s="5">
        <f ca="1">PERCENTILE(D$2:D545,0.025)</f>
        <v>-3.8238157735289251</v>
      </c>
      <c r="I546" s="5">
        <f ca="1">PERCENTILE(D$2:D545,0.165)</f>
        <v>3.491310054091628</v>
      </c>
      <c r="J546" s="5">
        <f ca="1">PERCENTILE(D$2:D545,0.5)</f>
        <v>41.055667986978634</v>
      </c>
      <c r="K546" s="5">
        <f ca="1">PERCENTILE(D$2:D545,0.835)</f>
        <v>269.40407276593055</v>
      </c>
      <c r="L546" s="5">
        <f ca="1">PERCENTILE(D$2:D545,0.975)</f>
        <v>1338.6366222133354</v>
      </c>
      <c r="M546" s="7">
        <f>AVERAGE(E$2:E545)</f>
        <v>1.3692946058091291</v>
      </c>
      <c r="N546" s="7">
        <f>PERCENTILE($E$2:$E545,0.025)</f>
        <v>-1</v>
      </c>
      <c r="O546" s="7">
        <f>PERCENTILE($E$2:$E545,0.165)</f>
        <v>0</v>
      </c>
      <c r="P546" s="7">
        <f>PERCENTILE($E$2:$E545,0.5)</f>
        <v>1</v>
      </c>
      <c r="Q546" s="7">
        <f>PERCENTILE($E$2:$E545,0.835)</f>
        <v>3</v>
      </c>
      <c r="R546" s="7">
        <f>PERCENTILE($E$2:$E545,0.975)</f>
        <v>4</v>
      </c>
    </row>
    <row r="547" spans="1:18" x14ac:dyDescent="0.2">
      <c r="A547" s="5">
        <f>Data!E1106</f>
        <v>2011</v>
      </c>
      <c r="B547" s="5">
        <f>Data!M1106</f>
        <v>0.16451612903225804</v>
      </c>
      <c r="C547" s="5">
        <f>Data!N1106</f>
        <v>3.2258064516129031E-2</v>
      </c>
      <c r="D547" s="5">
        <f ca="1">Data!O1106</f>
        <v>641.15557335860603</v>
      </c>
      <c r="E547" s="1">
        <f>Data!AQ1106</f>
        <v>1.5</v>
      </c>
      <c r="F547" t="str">
        <f t="shared" si="8"/>
        <v/>
      </c>
      <c r="G547" s="5">
        <f ca="1">AVERAGE(D$2:D546)</f>
        <v>199.83670269402023</v>
      </c>
      <c r="H547" s="5">
        <f ca="1">PERCENTILE(D$2:D546,0.025)</f>
        <v>-3.8238157735289251</v>
      </c>
      <c r="I547" s="5">
        <f ca="1">PERCENTILE(D$2:D546,0.165)</f>
        <v>3.491310054091628</v>
      </c>
      <c r="J547" s="5">
        <f ca="1">PERCENTILE(D$2:D546,0.5)</f>
        <v>40.565697771350337</v>
      </c>
      <c r="K547" s="5">
        <f ca="1">PERCENTILE(D$2:D546,0.835)</f>
        <v>268.61772825812363</v>
      </c>
      <c r="L547" s="5">
        <f ca="1">PERCENTILE(D$2:D546,0.975)</f>
        <v>1338.0682472689709</v>
      </c>
      <c r="M547" s="7">
        <f>AVERAGE(E$2:E546)</f>
        <v>1.3685300207039341</v>
      </c>
      <c r="N547" s="7">
        <f>PERCENTILE($E$2:$E546,0.025)</f>
        <v>-1</v>
      </c>
      <c r="O547" s="7">
        <f>PERCENTILE($E$2:$E546,0.165)</f>
        <v>0</v>
      </c>
      <c r="P547" s="7">
        <f>PERCENTILE($E$2:$E546,0.5)</f>
        <v>1</v>
      </c>
      <c r="Q547" s="7">
        <f>PERCENTILE($E$2:$E546,0.835)</f>
        <v>3</v>
      </c>
      <c r="R547" s="7">
        <f>PERCENTILE($E$2:$E546,0.975)</f>
        <v>4</v>
      </c>
    </row>
    <row r="548" spans="1:18" x14ac:dyDescent="0.2">
      <c r="A548" s="5">
        <f>Data!E1107</f>
        <v>2011</v>
      </c>
      <c r="B548" s="5">
        <f>Data!M1107</f>
        <v>0.16451612903225804</v>
      </c>
      <c r="C548" s="5">
        <f>Data!N1107</f>
        <v>3.2258064516129031E-2</v>
      </c>
      <c r="D548" s="5">
        <f ca="1">Data!O1107</f>
        <v>123.25931054874657</v>
      </c>
      <c r="E548" s="1">
        <f>Data!AQ1107</f>
        <v>1.5</v>
      </c>
      <c r="F548" t="str">
        <f t="shared" si="8"/>
        <v/>
      </c>
      <c r="G548" s="5">
        <f ca="1">AVERAGE(D$2:D547)</f>
        <v>200.64497901391871</v>
      </c>
      <c r="H548" s="5">
        <f ca="1">PERCENTILE(D$2:D547,0.025)</f>
        <v>-3.8238157735289251</v>
      </c>
      <c r="I548" s="5">
        <f ca="1">PERCENTILE(D$2:D547,0.165)</f>
        <v>3.491310054091628</v>
      </c>
      <c r="J548" s="5">
        <f ca="1">PERCENTILE(D$2:D547,0.5)</f>
        <v>41.055667986978634</v>
      </c>
      <c r="K548" s="5">
        <f ca="1">PERCENTILE(D$2:D547,0.835)</f>
        <v>272.74462521004341</v>
      </c>
      <c r="L548" s="5">
        <f ca="1">PERCENTILE(D$2:D547,0.975)</f>
        <v>1337.4998723246063</v>
      </c>
      <c r="M548" s="7">
        <f>AVERAGE(E$2:E547)</f>
        <v>1.3688016528925624</v>
      </c>
      <c r="N548" s="7">
        <f>PERCENTILE($E$2:$E547,0.025)</f>
        <v>-1</v>
      </c>
      <c r="O548" s="7">
        <f>PERCENTILE($E$2:$E547,0.165)</f>
        <v>0</v>
      </c>
      <c r="P548" s="7">
        <f>PERCENTILE($E$2:$E547,0.5)</f>
        <v>1</v>
      </c>
      <c r="Q548" s="7">
        <f>PERCENTILE($E$2:$E547,0.835)</f>
        <v>3</v>
      </c>
      <c r="R548" s="7">
        <f>PERCENTILE($E$2:$E547,0.975)</f>
        <v>4</v>
      </c>
    </row>
    <row r="549" spans="1:18" x14ac:dyDescent="0.2">
      <c r="A549" s="5">
        <f>Data!E1108</f>
        <v>2011</v>
      </c>
      <c r="B549" s="5">
        <f>Data!M1108</f>
        <v>0.16451612903225804</v>
      </c>
      <c r="C549" s="5">
        <f>Data!N1108</f>
        <v>3.2258064516129031E-2</v>
      </c>
      <c r="D549" s="5">
        <f ca="1">Data!O1108</f>
        <v>49.718041229746518</v>
      </c>
      <c r="E549" s="1">
        <f>Data!AQ1108</f>
        <v>1.5</v>
      </c>
      <c r="F549" t="str">
        <f t="shared" si="8"/>
        <v/>
      </c>
      <c r="G549" s="5">
        <f ca="1">AVERAGE(D$2:D548)</f>
        <v>200.50350612824198</v>
      </c>
      <c r="H549" s="5">
        <f ca="1">PERCENTILE(D$2:D548,0.025)</f>
        <v>-3.8238157735289251</v>
      </c>
      <c r="I549" s="5">
        <f ca="1">PERCENTILE(D$2:D548,0.165)</f>
        <v>3.5062679847703797</v>
      </c>
      <c r="J549" s="5">
        <f ca="1">PERCENTILE(D$2:D548,0.5)</f>
        <v>41.545638202606931</v>
      </c>
      <c r="K549" s="5">
        <f ca="1">PERCENTILE(D$2:D548,0.835)</f>
        <v>271.81076353224921</v>
      </c>
      <c r="L549" s="5">
        <f ca="1">PERCENTILE(D$2:D548,0.975)</f>
        <v>1336.9314973802418</v>
      </c>
      <c r="M549" s="7">
        <f>AVERAGE(E$2:E548)</f>
        <v>1.3690721649484541</v>
      </c>
      <c r="N549" s="7">
        <f>PERCENTILE($E$2:$E548,0.025)</f>
        <v>-1</v>
      </c>
      <c r="O549" s="7">
        <f>PERCENTILE($E$2:$E548,0.165)</f>
        <v>0</v>
      </c>
      <c r="P549" s="7">
        <f>PERCENTILE($E$2:$E548,0.5)</f>
        <v>1</v>
      </c>
      <c r="Q549" s="7">
        <f>PERCENTILE($E$2:$E548,0.835)</f>
        <v>3</v>
      </c>
      <c r="R549" s="7">
        <f>PERCENTILE($E$2:$E548,0.975)</f>
        <v>4</v>
      </c>
    </row>
    <row r="550" spans="1:18" x14ac:dyDescent="0.2">
      <c r="A550" s="5">
        <f>Data!E1109</f>
        <v>2011</v>
      </c>
      <c r="B550" s="5">
        <f>Data!M1109</f>
        <v>0.16451612903225804</v>
      </c>
      <c r="C550" s="5">
        <f>Data!N1109</f>
        <v>3.2258064516129031E-2</v>
      </c>
      <c r="D550" s="5">
        <f ca="1">Data!O1109</f>
        <v>22.787435563633817</v>
      </c>
      <c r="E550" s="1">
        <f>Data!AQ1109</f>
        <v>1.5</v>
      </c>
      <c r="F550" t="str">
        <f t="shared" si="8"/>
        <v/>
      </c>
      <c r="G550" s="5">
        <f ca="1">AVERAGE(D$2:D549)</f>
        <v>200.22835017039802</v>
      </c>
      <c r="H550" s="5">
        <f ca="1">PERCENTILE(D$2:D549,0.025)</f>
        <v>-3.8238157735289251</v>
      </c>
      <c r="I550" s="5">
        <f ca="1">PERCENTILE(D$2:D549,0.165)</f>
        <v>3.5336908576814241</v>
      </c>
      <c r="J550" s="5">
        <f ca="1">PERCENTILE(D$2:D549,0.5)</f>
        <v>41.55442656613458</v>
      </c>
      <c r="K550" s="5">
        <f ca="1">PERCENTILE(D$2:D549,0.835)</f>
        <v>271.0244190244423</v>
      </c>
      <c r="L550" s="5">
        <f ca="1">PERCENTILE(D$2:D549,0.975)</f>
        <v>1336.3631224358746</v>
      </c>
      <c r="M550" s="7">
        <f>AVERAGE(E$2:E549)</f>
        <v>1.3693415637860087</v>
      </c>
      <c r="N550" s="7">
        <f>PERCENTILE($E$2:$E549,0.025)</f>
        <v>-1</v>
      </c>
      <c r="O550" s="7">
        <f>PERCENTILE($E$2:$E549,0.165)</f>
        <v>0</v>
      </c>
      <c r="P550" s="7">
        <f>PERCENTILE($E$2:$E549,0.5)</f>
        <v>1</v>
      </c>
      <c r="Q550" s="7">
        <f>PERCENTILE($E$2:$E549,0.835)</f>
        <v>3</v>
      </c>
      <c r="R550" s="7">
        <f>PERCENTILE($E$2:$E549,0.975)</f>
        <v>4</v>
      </c>
    </row>
    <row r="551" spans="1:18" x14ac:dyDescent="0.2">
      <c r="A551" s="5">
        <f>Data!E1110</f>
        <v>2011</v>
      </c>
      <c r="B551" s="5">
        <f>Data!M1110</f>
        <v>0.16451612903225804</v>
      </c>
      <c r="C551" s="5">
        <f>Data!N1110</f>
        <v>3.2258064516129031E-2</v>
      </c>
      <c r="D551" s="5">
        <f ca="1">Data!O1110</f>
        <v>130.5098582280846</v>
      </c>
      <c r="E551" s="1">
        <f>Data!AQ1110</f>
        <v>3</v>
      </c>
      <c r="F551" t="str">
        <f t="shared" si="8"/>
        <v/>
      </c>
      <c r="G551" s="5">
        <f ca="1">AVERAGE(D$2:D550)</f>
        <v>199.90514267566803</v>
      </c>
      <c r="H551" s="5">
        <f ca="1">PERCENTILE(D$2:D550,0.025)</f>
        <v>-3.8238157735289251</v>
      </c>
      <c r="I551" s="5">
        <f ca="1">PERCENTILE(D$2:D550,0.165)</f>
        <v>3.5611137305924663</v>
      </c>
      <c r="J551" s="5">
        <f ca="1">PERCENTILE(D$2:D550,0.5)</f>
        <v>41.545638202606931</v>
      </c>
      <c r="K551" s="5">
        <f ca="1">PERCENTILE(D$2:D550,0.835)</f>
        <v>270.23807451663509</v>
      </c>
      <c r="L551" s="5">
        <f ca="1">PERCENTILE(D$2:D550,0.975)</f>
        <v>1335.79474749151</v>
      </c>
      <c r="M551" s="7">
        <f>AVERAGE(E$2:E550)</f>
        <v>1.369609856262834</v>
      </c>
      <c r="N551" s="7">
        <f>PERCENTILE($E$2:$E550,0.025)</f>
        <v>-1</v>
      </c>
      <c r="O551" s="7">
        <f>PERCENTILE($E$2:$E550,0.165)</f>
        <v>0</v>
      </c>
      <c r="P551" s="7">
        <f>PERCENTILE($E$2:$E550,0.5)</f>
        <v>1</v>
      </c>
      <c r="Q551" s="7">
        <f>PERCENTILE($E$2:$E550,0.835)</f>
        <v>3</v>
      </c>
      <c r="R551" s="7">
        <f>PERCENTILE($E$2:$E550,0.975)</f>
        <v>4</v>
      </c>
    </row>
    <row r="552" spans="1:18" x14ac:dyDescent="0.2">
      <c r="A552" s="5">
        <f>Data!E1111</f>
        <v>2011</v>
      </c>
      <c r="B552" s="5">
        <f>Data!M1111</f>
        <v>0.16451612903225804</v>
      </c>
      <c r="C552" s="5">
        <f>Data!N1111</f>
        <v>3.2258064516129031E-2</v>
      </c>
      <c r="D552" s="5">
        <f ca="1">Data!O1111</f>
        <v>38.324323447929608</v>
      </c>
      <c r="E552" s="1">
        <f>Data!AQ1111</f>
        <v>3</v>
      </c>
      <c r="F552" t="str">
        <f t="shared" si="8"/>
        <v/>
      </c>
      <c r="G552" s="5">
        <f ca="1">AVERAGE(D$2:D551)</f>
        <v>199.77896943121789</v>
      </c>
      <c r="H552" s="5">
        <f ca="1">PERCENTILE(D$2:D551,0.025)</f>
        <v>-3.8238157735289251</v>
      </c>
      <c r="I552" s="5">
        <f ca="1">PERCENTILE(D$2:D551,0.165)</f>
        <v>3.5885366035035111</v>
      </c>
      <c r="J552" s="5">
        <f ca="1">PERCENTILE(D$2:D551,0.5)</f>
        <v>41.55442656613458</v>
      </c>
      <c r="K552" s="5">
        <f ca="1">PERCENTILE(D$2:D551,0.835)</f>
        <v>269.45173000882789</v>
      </c>
      <c r="L552" s="5">
        <f ca="1">PERCENTILE(D$2:D551,0.975)</f>
        <v>1335.2263725471455</v>
      </c>
      <c r="M552" s="7">
        <f>AVERAGE(E$2:E551)</f>
        <v>1.3729508196721316</v>
      </c>
      <c r="N552" s="7">
        <f>PERCENTILE($E$2:$E551,0.025)</f>
        <v>-1</v>
      </c>
      <c r="O552" s="7">
        <f>PERCENTILE($E$2:$E551,0.165)</f>
        <v>0</v>
      </c>
      <c r="P552" s="7">
        <f>PERCENTILE($E$2:$E551,0.5)</f>
        <v>1</v>
      </c>
      <c r="Q552" s="7">
        <f>PERCENTILE($E$2:$E551,0.835)</f>
        <v>3</v>
      </c>
      <c r="R552" s="7">
        <f>PERCENTILE($E$2:$E551,0.975)</f>
        <v>4</v>
      </c>
    </row>
    <row r="553" spans="1:18" x14ac:dyDescent="0.2">
      <c r="A553" s="5">
        <f>Data!E1112</f>
        <v>2011</v>
      </c>
      <c r="B553" s="5">
        <f>Data!M1112</f>
        <v>0.16451612903225804</v>
      </c>
      <c r="C553" s="5">
        <f>Data!N1112</f>
        <v>3.2258064516129031E-2</v>
      </c>
      <c r="D553" s="5">
        <f ca="1">Data!O1112</f>
        <v>19.680057986774663</v>
      </c>
      <c r="E553" s="1">
        <f>Data!AQ1112</f>
        <v>3</v>
      </c>
      <c r="F553" t="str">
        <f t="shared" si="8"/>
        <v/>
      </c>
      <c r="G553" s="5">
        <f ca="1">AVERAGE(D$2:D552)</f>
        <v>199.48594829513206</v>
      </c>
      <c r="H553" s="5">
        <f ca="1">PERCENTILE(D$2:D552,0.025)</f>
        <v>-3.8238157735289251</v>
      </c>
      <c r="I553" s="5">
        <f ca="1">PERCENTILE(D$2:D552,0.165)</f>
        <v>3.6159594764145533</v>
      </c>
      <c r="J553" s="5">
        <f ca="1">PERCENTILE(D$2:D552,0.5)</f>
        <v>41.545638202606931</v>
      </c>
      <c r="K553" s="5">
        <f ca="1">PERCENTILE(D$2:D552,0.835)</f>
        <v>268.66538550102098</v>
      </c>
      <c r="L553" s="5">
        <f ca="1">PERCENTILE(D$2:D552,0.975)</f>
        <v>1334.6579976027811</v>
      </c>
      <c r="M553" s="7">
        <f>AVERAGE(E$2:E552)</f>
        <v>1.3762781186094075</v>
      </c>
      <c r="N553" s="7">
        <f>PERCENTILE($E$2:$E552,0.025)</f>
        <v>-1</v>
      </c>
      <c r="O553" s="7">
        <f>PERCENTILE($E$2:$E552,0.165)</f>
        <v>0</v>
      </c>
      <c r="P553" s="7">
        <f>PERCENTILE($E$2:$E552,0.5)</f>
        <v>1</v>
      </c>
      <c r="Q553" s="7">
        <f>PERCENTILE($E$2:$E552,0.835)</f>
        <v>3</v>
      </c>
      <c r="R553" s="7">
        <f>PERCENTILE($E$2:$E552,0.975)</f>
        <v>4</v>
      </c>
    </row>
    <row r="554" spans="1:18" x14ac:dyDescent="0.2">
      <c r="A554" s="5">
        <f>Data!E1113</f>
        <v>2011</v>
      </c>
      <c r="B554" s="5">
        <f>Data!M1113</f>
        <v>0.16451612903225804</v>
      </c>
      <c r="C554" s="5">
        <f>Data!N1113</f>
        <v>3.2258064516129031E-2</v>
      </c>
      <c r="D554" s="5">
        <f ca="1">Data!O1113</f>
        <v>10.357925256197191</v>
      </c>
      <c r="E554" s="1">
        <f>Data!AQ1113</f>
        <v>3</v>
      </c>
      <c r="F554" t="str">
        <f t="shared" si="8"/>
        <v/>
      </c>
      <c r="G554" s="5">
        <f ca="1">AVERAGE(D$2:D553)</f>
        <v>199.16021298660243</v>
      </c>
      <c r="H554" s="5">
        <f ca="1">PERCENTILE(D$2:D553,0.025)</f>
        <v>-3.8238157735289251</v>
      </c>
      <c r="I554" s="5">
        <f ca="1">PERCENTILE(D$2:D553,0.165)</f>
        <v>3.6433823493255981</v>
      </c>
      <c r="J554" s="5">
        <f ca="1">PERCENTILE(D$2:D553,0.5)</f>
        <v>41.055667986978634</v>
      </c>
      <c r="K554" s="5">
        <f ca="1">PERCENTILE(D$2:D553,0.835)</f>
        <v>267.87904099321383</v>
      </c>
      <c r="L554" s="5">
        <f ca="1">PERCENTILE(D$2:D553,0.975)</f>
        <v>1334.0896226584164</v>
      </c>
      <c r="M554" s="7">
        <f>AVERAGE(E$2:E553)</f>
        <v>1.3795918367346944</v>
      </c>
      <c r="N554" s="7">
        <f>PERCENTILE($E$2:$E553,0.025)</f>
        <v>-1</v>
      </c>
      <c r="O554" s="7">
        <f>PERCENTILE($E$2:$E553,0.165)</f>
        <v>0</v>
      </c>
      <c r="P554" s="7">
        <f>PERCENTILE($E$2:$E553,0.5)</f>
        <v>1</v>
      </c>
      <c r="Q554" s="7">
        <f>PERCENTILE($E$2:$E553,0.835)</f>
        <v>3</v>
      </c>
      <c r="R554" s="7">
        <f>PERCENTILE($E$2:$E553,0.975)</f>
        <v>4</v>
      </c>
    </row>
    <row r="555" spans="1:18" x14ac:dyDescent="0.2">
      <c r="A555" s="5">
        <f>Data!E1114</f>
        <v>2011</v>
      </c>
      <c r="B555" s="5">
        <f>Data!M1114</f>
        <v>0.16451612903225804</v>
      </c>
      <c r="C555" s="5">
        <f>Data!N1114</f>
        <v>3.2258064516129031E-2</v>
      </c>
      <c r="D555" s="5">
        <f ca="1">Data!O1114</f>
        <v>20.715850512394383</v>
      </c>
      <c r="E555" s="1" t="str">
        <f>Data!AQ1114</f>
        <v>NA</v>
      </c>
      <c r="F555" t="str">
        <f t="shared" si="8"/>
        <v/>
      </c>
      <c r="G555" s="5">
        <f ca="1">AVERAGE(D$2:D554)</f>
        <v>198.81879836141181</v>
      </c>
      <c r="H555" s="5">
        <f ca="1">PERCENTILE(D$2:D554,0.025)</f>
        <v>-3.8238157735289251</v>
      </c>
      <c r="I555" s="5">
        <f ca="1">PERCENTILE(D$2:D554,0.165)</f>
        <v>3.6749807817456741</v>
      </c>
      <c r="J555" s="5">
        <f ca="1">PERCENTILE(D$2:D554,0.5)</f>
        <v>40.565697771350337</v>
      </c>
      <c r="K555" s="5">
        <f ca="1">PERCENTILE(D$2:D554,0.835)</f>
        <v>267.27603807429904</v>
      </c>
      <c r="L555" s="5">
        <f ca="1">PERCENTILE(D$2:D554,0.975)</f>
        <v>1333.5212477140492</v>
      </c>
      <c r="M555" s="7">
        <f>AVERAGE(E$2:E554)</f>
        <v>1.3828920570264771</v>
      </c>
      <c r="N555" s="7">
        <f>PERCENTILE($E$2:$E554,0.025)</f>
        <v>-1</v>
      </c>
      <c r="O555" s="7">
        <f>PERCENTILE($E$2:$E554,0.165)</f>
        <v>0</v>
      </c>
      <c r="P555" s="7">
        <f>PERCENTILE($E$2:$E554,0.5)</f>
        <v>1</v>
      </c>
      <c r="Q555" s="7">
        <f>PERCENTILE($E$2:$E554,0.835)</f>
        <v>3</v>
      </c>
      <c r="R555" s="7">
        <f>PERCENTILE($E$2:$E554,0.975)</f>
        <v>4</v>
      </c>
    </row>
    <row r="556" spans="1:18" x14ac:dyDescent="0.2">
      <c r="A556" s="5">
        <f>Data!E1115</f>
        <v>2011</v>
      </c>
      <c r="B556" s="5">
        <f>Data!M1115</f>
        <v>0.16451612903225804</v>
      </c>
      <c r="C556" s="5">
        <f>Data!N1115</f>
        <v>3.2258064516129031E-2</v>
      </c>
      <c r="D556" s="5">
        <f ca="1">Data!O1115</f>
        <v>42.467493550408477</v>
      </c>
      <c r="E556" s="1" t="str">
        <f>Data!AQ1115</f>
        <v>NA</v>
      </c>
      <c r="F556" t="str">
        <f t="shared" si="8"/>
        <v/>
      </c>
      <c r="G556" s="5">
        <f ca="1">AVERAGE(D$2:D555)</f>
        <v>198.49731289598037</v>
      </c>
      <c r="H556" s="5">
        <f ca="1">PERCENTILE(D$2:D555,0.025)</f>
        <v>-3.8238157735289251</v>
      </c>
      <c r="I556" s="5">
        <f ca="1">PERCENTILE(D$2:D555,0.165)</f>
        <v>3.7110157461441022</v>
      </c>
      <c r="J556" s="5">
        <f ca="1">PERCENTILE(D$2:D555,0.5)</f>
        <v>40.451553600234021</v>
      </c>
      <c r="K556" s="5">
        <f ca="1">PERCENTILE(D$2:D555,0.835)</f>
        <v>266.86783559358241</v>
      </c>
      <c r="L556" s="5">
        <f ca="1">PERCENTILE(D$2:D555,0.975)</f>
        <v>1332.9528727696847</v>
      </c>
      <c r="M556" s="7">
        <f>AVERAGE(E$2:E555)</f>
        <v>1.3828920570264771</v>
      </c>
      <c r="N556" s="7">
        <f>PERCENTILE($E$2:$E555,0.025)</f>
        <v>-1</v>
      </c>
      <c r="O556" s="7">
        <f>PERCENTILE($E$2:$E555,0.165)</f>
        <v>0</v>
      </c>
      <c r="P556" s="7">
        <f>PERCENTILE($E$2:$E555,0.5)</f>
        <v>1</v>
      </c>
      <c r="Q556" s="7">
        <f>PERCENTILE($E$2:$E555,0.835)</f>
        <v>3</v>
      </c>
      <c r="R556" s="7">
        <f>PERCENTILE($E$2:$E555,0.975)</f>
        <v>4</v>
      </c>
    </row>
    <row r="557" spans="1:18" x14ac:dyDescent="0.2">
      <c r="A557" s="5">
        <f>Data!E1116</f>
        <v>2011</v>
      </c>
      <c r="B557" s="5">
        <f>Data!M1116</f>
        <v>0.16451612903225804</v>
      </c>
      <c r="C557" s="5">
        <f>Data!N1116</f>
        <v>3.2258064516129031E-2</v>
      </c>
      <c r="D557" s="5">
        <f ca="1">Data!O1116</f>
        <v>85.970779626436681</v>
      </c>
      <c r="E557" s="1" t="str">
        <f>Data!AQ1116</f>
        <v>NA</v>
      </c>
      <c r="F557" t="str">
        <f t="shared" si="8"/>
        <v/>
      </c>
      <c r="G557" s="5">
        <f ca="1">AVERAGE(D$2:D556)</f>
        <v>198.21617808634872</v>
      </c>
      <c r="H557" s="5">
        <f ca="1">PERCENTILE(D$2:D556,0.025)</f>
        <v>-3.8238157735289251</v>
      </c>
      <c r="I557" s="5">
        <f ca="1">PERCENTILE(D$2:D556,0.165)</f>
        <v>3.7470507105425299</v>
      </c>
      <c r="J557" s="5">
        <f ca="1">PERCENTILE(D$2:D556,0.5)</f>
        <v>40.565697771350337</v>
      </c>
      <c r="K557" s="5">
        <f ca="1">PERCENTILE(D$2:D556,0.835)</f>
        <v>266.45963311286567</v>
      </c>
      <c r="L557" s="5">
        <f ca="1">PERCENTILE(D$2:D556,0.975)</f>
        <v>1332.3844978253201</v>
      </c>
      <c r="M557" s="7">
        <f>AVERAGE(E$2:E556)</f>
        <v>1.3828920570264771</v>
      </c>
      <c r="N557" s="7">
        <f>PERCENTILE($E$2:$E556,0.025)</f>
        <v>-1</v>
      </c>
      <c r="O557" s="7">
        <f>PERCENTILE($E$2:$E556,0.165)</f>
        <v>0</v>
      </c>
      <c r="P557" s="7">
        <f>PERCENTILE($E$2:$E556,0.5)</f>
        <v>1</v>
      </c>
      <c r="Q557" s="7">
        <f>PERCENTILE($E$2:$E556,0.835)</f>
        <v>3</v>
      </c>
      <c r="R557" s="7">
        <f>PERCENTILE($E$2:$E556,0.975)</f>
        <v>4</v>
      </c>
    </row>
    <row r="558" spans="1:18" x14ac:dyDescent="0.2">
      <c r="A558" s="5">
        <f>Data!E1117</f>
        <v>2011</v>
      </c>
      <c r="B558" s="5">
        <f>Data!M1117</f>
        <v>0.16451612903225804</v>
      </c>
      <c r="C558" s="5">
        <f>Data!N1117</f>
        <v>3.2258064516129031E-2</v>
      </c>
      <c r="D558" s="5">
        <f ca="1">Data!O1117</f>
        <v>138.79619843304235</v>
      </c>
      <c r="E558" s="1" t="str">
        <f>Data!AQ1117</f>
        <v>NA</v>
      </c>
      <c r="F558" t="str">
        <f t="shared" si="8"/>
        <v/>
      </c>
      <c r="G558" s="5">
        <f ca="1">AVERAGE(D$2:D557)</f>
        <v>198.01429787329133</v>
      </c>
      <c r="H558" s="5">
        <f ca="1">PERCENTILE(D$2:D557,0.025)</f>
        <v>-3.8238157735289251</v>
      </c>
      <c r="I558" s="5">
        <f ca="1">PERCENTILE(D$2:D557,0.165)</f>
        <v>3.7830856749409545</v>
      </c>
      <c r="J558" s="5">
        <f ca="1">PERCENTILE(D$2:D557,0.5)</f>
        <v>41.055667986978634</v>
      </c>
      <c r="K558" s="5">
        <f ca="1">PERCENTILE(D$2:D557,0.835)</f>
        <v>266.05143063214894</v>
      </c>
      <c r="L558" s="5">
        <f ca="1">PERCENTILE(D$2:D557,0.975)</f>
        <v>1331.8161228809556</v>
      </c>
      <c r="M558" s="7">
        <f>AVERAGE(E$2:E557)</f>
        <v>1.3828920570264771</v>
      </c>
      <c r="N558" s="7">
        <f>PERCENTILE($E$2:$E557,0.025)</f>
        <v>-1</v>
      </c>
      <c r="O558" s="7">
        <f>PERCENTILE($E$2:$E557,0.165)</f>
        <v>0</v>
      </c>
      <c r="P558" s="7">
        <f>PERCENTILE($E$2:$E557,0.5)</f>
        <v>1</v>
      </c>
      <c r="Q558" s="7">
        <f>PERCENTILE($E$2:$E557,0.835)</f>
        <v>3</v>
      </c>
      <c r="R558" s="7">
        <f>PERCENTILE($E$2:$E557,0.975)</f>
        <v>4</v>
      </c>
    </row>
    <row r="559" spans="1:18" x14ac:dyDescent="0.2">
      <c r="A559" s="5">
        <f>Data!E477</f>
        <v>2012</v>
      </c>
      <c r="B559" s="5">
        <f>Data!M477</f>
        <v>5.58</v>
      </c>
      <c r="C559" s="5">
        <f>Data!N477</f>
        <v>0.9</v>
      </c>
      <c r="D559" s="5">
        <f ca="1">Data!O477</f>
        <v>33.145360819831012</v>
      </c>
      <c r="E559" s="1">
        <f>Data!AQ477</f>
        <v>3</v>
      </c>
      <c r="F559">
        <f t="shared" si="8"/>
        <v>2012</v>
      </c>
      <c r="G559" s="5">
        <f ca="1">AVERAGE(D$2:D558)</f>
        <v>197.90798171630706</v>
      </c>
      <c r="H559" s="5">
        <f ca="1">PERCENTILE(D$2:D558,0.025)</f>
        <v>-3.8238157735289251</v>
      </c>
      <c r="I559" s="5">
        <f ca="1">PERCENTILE(D$2:D558,0.165)</f>
        <v>3.8191206393393822</v>
      </c>
      <c r="J559" s="5">
        <f ca="1">PERCENTILE(D$2:D558,0.5)</f>
        <v>41.545638202606931</v>
      </c>
      <c r="K559" s="5">
        <f ca="1">PERCENTILE(D$2:D558,0.835)</f>
        <v>265.64322815143237</v>
      </c>
      <c r="L559" s="5">
        <f ca="1">PERCENTILE(D$2:D558,0.975)</f>
        <v>1331.2477479365909</v>
      </c>
      <c r="M559" s="7">
        <f>AVERAGE(E$2:E558)</f>
        <v>1.3828920570264771</v>
      </c>
      <c r="N559" s="7">
        <f>PERCENTILE($E$2:$E558,0.025)</f>
        <v>-1</v>
      </c>
      <c r="O559" s="7">
        <f>PERCENTILE($E$2:$E558,0.165)</f>
        <v>0</v>
      </c>
      <c r="P559" s="7">
        <f>PERCENTILE($E$2:$E558,0.5)</f>
        <v>1</v>
      </c>
      <c r="Q559" s="7">
        <f>PERCENTILE($E$2:$E558,0.835)</f>
        <v>3</v>
      </c>
      <c r="R559" s="7">
        <f>PERCENTILE($E$2:$E558,0.975)</f>
        <v>4</v>
      </c>
    </row>
    <row r="560" spans="1:18" x14ac:dyDescent="0.2">
      <c r="A560" s="5">
        <f>Data!E478</f>
        <v>2012</v>
      </c>
      <c r="B560" s="5">
        <f>Data!M478</f>
        <v>0.62000000000000011</v>
      </c>
      <c r="C560" s="5">
        <f>Data!N478</f>
        <v>0.1</v>
      </c>
      <c r="D560" s="5">
        <f ca="1">Data!O478</f>
        <v>42.467493550408477</v>
      </c>
      <c r="E560" s="1">
        <f>Data!AQ478</f>
        <v>3</v>
      </c>
      <c r="F560" t="str">
        <f t="shared" si="8"/>
        <v/>
      </c>
      <c r="G560" s="5">
        <f ca="1">AVERAGE(D$2:D559)</f>
        <v>197.61270820215566</v>
      </c>
      <c r="H560" s="5">
        <f ca="1">PERCENTILE(D$2:D559,0.025)</f>
        <v>-3.8238157735289251</v>
      </c>
      <c r="I560" s="5">
        <f ca="1">PERCENTILE(D$2:D559,0.165)</f>
        <v>3.8551556037378072</v>
      </c>
      <c r="J560" s="5">
        <f ca="1">PERCENTILE(D$2:D559,0.5)</f>
        <v>41.055667986978634</v>
      </c>
      <c r="K560" s="5">
        <f ca="1">PERCENTILE(D$2:D559,0.835)</f>
        <v>265.23502567071557</v>
      </c>
      <c r="L560" s="5">
        <f ca="1">PERCENTILE(D$2:D559,0.975)</f>
        <v>1330.6793729922238</v>
      </c>
      <c r="M560" s="7">
        <f>AVERAGE(E$2:E559)</f>
        <v>1.3861788617886184</v>
      </c>
      <c r="N560" s="7">
        <f>PERCENTILE($E$2:$E559,0.025)</f>
        <v>-1</v>
      </c>
      <c r="O560" s="7">
        <f>PERCENTILE($E$2:$E559,0.165)</f>
        <v>0</v>
      </c>
      <c r="P560" s="7">
        <f>PERCENTILE($E$2:$E559,0.5)</f>
        <v>1</v>
      </c>
      <c r="Q560" s="7">
        <f>PERCENTILE($E$2:$E559,0.835)</f>
        <v>3</v>
      </c>
      <c r="R560" s="7">
        <f>PERCENTILE($E$2:$E559,0.975)</f>
        <v>4</v>
      </c>
    </row>
    <row r="561" spans="1:18" x14ac:dyDescent="0.2">
      <c r="A561" s="5">
        <f>Data!E486</f>
        <v>2012</v>
      </c>
      <c r="B561" s="5">
        <f>Data!M486</f>
        <v>2.2962962962962963E-2</v>
      </c>
      <c r="C561" s="5">
        <f>Data!N486</f>
        <v>3.7037037037037038E-3</v>
      </c>
      <c r="D561" s="5">
        <f ca="1">Data!O486</f>
        <v>277.64169343403654</v>
      </c>
      <c r="E561" s="1">
        <f>Data!AQ486</f>
        <v>-0.5</v>
      </c>
      <c r="F561" t="str">
        <f t="shared" si="8"/>
        <v/>
      </c>
      <c r="G561" s="5">
        <f ca="1">AVERAGE(D$2:D560)</f>
        <v>197.33516756771607</v>
      </c>
      <c r="H561" s="5">
        <f ca="1">PERCENTILE(D$2:D560,0.025)</f>
        <v>-3.8238157735289251</v>
      </c>
      <c r="I561" s="5">
        <f ca="1">PERCENTILE(D$2:D560,0.165)</f>
        <v>3.8845897969585912</v>
      </c>
      <c r="J561" s="5">
        <f ca="1">PERCENTILE(D$2:D560,0.5)</f>
        <v>41.545638202606931</v>
      </c>
      <c r="K561" s="5">
        <f ca="1">PERCENTILE(D$2:D560,0.835)</f>
        <v>264.69058471391077</v>
      </c>
      <c r="L561" s="5">
        <f ca="1">PERCENTILE(D$2:D560,0.975)</f>
        <v>1330.1109980478593</v>
      </c>
      <c r="M561" s="7">
        <f>AVERAGE(E$2:E560)</f>
        <v>1.3894523326572013</v>
      </c>
      <c r="N561" s="7">
        <f>PERCENTILE($E$2:$E560,0.025)</f>
        <v>-1</v>
      </c>
      <c r="O561" s="7">
        <f>PERCENTILE($E$2:$E560,0.165)</f>
        <v>0</v>
      </c>
      <c r="P561" s="7">
        <f>PERCENTILE($E$2:$E560,0.5)</f>
        <v>1</v>
      </c>
      <c r="Q561" s="7">
        <f>PERCENTILE($E$2:$E560,0.835)</f>
        <v>3</v>
      </c>
      <c r="R561" s="7">
        <f>PERCENTILE($E$2:$E560,0.975)</f>
        <v>4</v>
      </c>
    </row>
    <row r="562" spans="1:18" x14ac:dyDescent="0.2">
      <c r="A562" s="5">
        <f>Data!E487</f>
        <v>2012</v>
      </c>
      <c r="B562" s="5">
        <f>Data!M487</f>
        <v>0.43629629629629624</v>
      </c>
      <c r="C562" s="5">
        <f>Data!N487</f>
        <v>7.0370370370370361E-2</v>
      </c>
      <c r="D562" s="5">
        <f ca="1">Data!O487</f>
        <v>124.0974235803648</v>
      </c>
      <c r="E562" s="1">
        <f>Data!AQ487</f>
        <v>-0.5</v>
      </c>
      <c r="F562" t="str">
        <f t="shared" si="8"/>
        <v/>
      </c>
      <c r="G562" s="5">
        <f ca="1">AVERAGE(D$2:D561)</f>
        <v>197.47857207819163</v>
      </c>
      <c r="H562" s="5">
        <f ca="1">PERCENTILE(D$2:D561,0.025)</f>
        <v>-3.8238157735289251</v>
      </c>
      <c r="I562" s="5">
        <f ca="1">PERCENTILE(D$2:D561,0.165)</f>
        <v>3.9050658007240018</v>
      </c>
      <c r="J562" s="5">
        <f ca="1">PERCENTILE(D$2:D561,0.5)</f>
        <v>41.55442656613458</v>
      </c>
      <c r="K562" s="5">
        <f ca="1">PERCENTILE(D$2:D561,0.835)</f>
        <v>266.89257513786828</v>
      </c>
      <c r="L562" s="5">
        <f ca="1">PERCENTILE(D$2:D561,0.975)</f>
        <v>1329.5426231034946</v>
      </c>
      <c r="M562" s="7">
        <f>AVERAGE(E$2:E561)</f>
        <v>1.385627530364373</v>
      </c>
      <c r="N562" s="7">
        <f>PERCENTILE($E$2:$E561,0.025)</f>
        <v>-1</v>
      </c>
      <c r="O562" s="7">
        <f>PERCENTILE($E$2:$E561,0.165)</f>
        <v>0</v>
      </c>
      <c r="P562" s="7">
        <f>PERCENTILE($E$2:$E561,0.5)</f>
        <v>1</v>
      </c>
      <c r="Q562" s="7">
        <f>PERCENTILE($E$2:$E561,0.835)</f>
        <v>3</v>
      </c>
      <c r="R562" s="7">
        <f>PERCENTILE($E$2:$E561,0.975)</f>
        <v>4</v>
      </c>
    </row>
    <row r="563" spans="1:18" x14ac:dyDescent="0.2">
      <c r="A563" s="5">
        <f>Data!E488</f>
        <v>2012</v>
      </c>
      <c r="B563" s="5">
        <f>Data!M488</f>
        <v>1.1481481481481481E-2</v>
      </c>
      <c r="C563" s="5">
        <f>Data!N488</f>
        <v>1.8518518518518519E-3</v>
      </c>
      <c r="D563" s="5">
        <f ca="1">Data!O488</f>
        <v>58.893692546613806</v>
      </c>
      <c r="E563" s="1">
        <f>Data!AQ488</f>
        <v>1</v>
      </c>
      <c r="F563" t="str">
        <f t="shared" si="8"/>
        <v/>
      </c>
      <c r="G563" s="5">
        <f ca="1">AVERAGE(D$2:D562)</f>
        <v>197.34776789192099</v>
      </c>
      <c r="H563" s="5">
        <f ca="1">PERCENTILE(D$2:D562,0.025)</f>
        <v>-3.8238157735289251</v>
      </c>
      <c r="I563" s="5">
        <f ca="1">PERCENTILE(D$2:D562,0.165)</f>
        <v>3.9255418044894137</v>
      </c>
      <c r="J563" s="5">
        <f ca="1">PERCENTILE(D$2:D562,0.5)</f>
        <v>41.563214929662237</v>
      </c>
      <c r="K563" s="5">
        <f ca="1">PERCENTILE(D$2:D562,0.835)</f>
        <v>266.48437265715154</v>
      </c>
      <c r="L563" s="5">
        <f ca="1">PERCENTILE(D$2:D562,0.975)</f>
        <v>1328.9742481591302</v>
      </c>
      <c r="M563" s="7">
        <f>AVERAGE(E$2:E562)</f>
        <v>1.3818181818181823</v>
      </c>
      <c r="N563" s="7">
        <f>PERCENTILE($E$2:$E562,0.025)</f>
        <v>-1</v>
      </c>
      <c r="O563" s="7">
        <f>PERCENTILE($E$2:$E562,0.165)</f>
        <v>0</v>
      </c>
      <c r="P563" s="7">
        <f>PERCENTILE($E$2:$E562,0.5)</f>
        <v>1</v>
      </c>
      <c r="Q563" s="7">
        <f>PERCENTILE($E$2:$E562,0.835)</f>
        <v>3</v>
      </c>
      <c r="R563" s="7">
        <f>PERCENTILE($E$2:$E562,0.975)</f>
        <v>4</v>
      </c>
    </row>
    <row r="564" spans="1:18" x14ac:dyDescent="0.2">
      <c r="A564" s="5">
        <f>Data!E489</f>
        <v>2012</v>
      </c>
      <c r="B564" s="5">
        <f>Data!M489</f>
        <v>0.21814814814814812</v>
      </c>
      <c r="C564" s="5">
        <f>Data!N489</f>
        <v>3.518518518518518E-2</v>
      </c>
      <c r="D564" s="5">
        <f ca="1">Data!O489</f>
        <v>29.446846273306903</v>
      </c>
      <c r="E564" s="1">
        <f>Data!AQ489</f>
        <v>1</v>
      </c>
      <c r="F564" t="str">
        <f t="shared" si="8"/>
        <v/>
      </c>
      <c r="G564" s="5">
        <f ca="1">AVERAGE(D$2:D563)</f>
        <v>197.10140832724963</v>
      </c>
      <c r="H564" s="5">
        <f ca="1">PERCENTILE(D$2:D563,0.025)</f>
        <v>-3.8212232663298096</v>
      </c>
      <c r="I564" s="5">
        <f ca="1">PERCENTILE(D$2:D563,0.165)</f>
        <v>3.9460178082548243</v>
      </c>
      <c r="J564" s="5">
        <f ca="1">PERCENTILE(D$2:D563,0.5)</f>
        <v>41.729467789380884</v>
      </c>
      <c r="K564" s="5">
        <f ca="1">PERCENTILE(D$2:D563,0.835)</f>
        <v>266.07617017643491</v>
      </c>
      <c r="L564" s="5">
        <f ca="1">PERCENTILE(D$2:D563,0.975)</f>
        <v>1328.9742481591302</v>
      </c>
      <c r="M564" s="7">
        <f>AVERAGE(E$2:E563)</f>
        <v>1.3810483870967747</v>
      </c>
      <c r="N564" s="7">
        <f>PERCENTILE($E$2:$E563,0.025)</f>
        <v>-1</v>
      </c>
      <c r="O564" s="7">
        <f>PERCENTILE($E$2:$E563,0.165)</f>
        <v>0</v>
      </c>
      <c r="P564" s="7">
        <f>PERCENTILE($E$2:$E563,0.5)</f>
        <v>1</v>
      </c>
      <c r="Q564" s="7">
        <f>PERCENTILE($E$2:$E563,0.835)</f>
        <v>3</v>
      </c>
      <c r="R564" s="7">
        <f>PERCENTILE($E$2:$E563,0.975)</f>
        <v>4</v>
      </c>
    </row>
    <row r="565" spans="1:18" x14ac:dyDescent="0.2">
      <c r="A565" s="5">
        <f>Data!E490</f>
        <v>2012</v>
      </c>
      <c r="B565" s="5">
        <f>Data!M490</f>
        <v>4.5925925925925926E-2</v>
      </c>
      <c r="C565" s="5">
        <f>Data!N490</f>
        <v>7.4074074074074077E-3</v>
      </c>
      <c r="D565" s="5">
        <f ca="1">Data!O490</f>
        <v>500.59638664621735</v>
      </c>
      <c r="E565" s="1">
        <f>Data!AQ490</f>
        <v>-0.5</v>
      </c>
      <c r="F565" t="str">
        <f t="shared" si="8"/>
        <v/>
      </c>
      <c r="G565" s="5">
        <f ca="1">AVERAGE(D$2:D564)</f>
        <v>196.80362047280212</v>
      </c>
      <c r="H565" s="5">
        <f ca="1">PERCENTILE(D$2:D564,0.025)</f>
        <v>-3.8186307591306941</v>
      </c>
      <c r="I565" s="5">
        <f ca="1">PERCENTILE(D$2:D564,0.165)</f>
        <v>3.9664938120202362</v>
      </c>
      <c r="J565" s="5">
        <f ca="1">PERCENTILE(D$2:D564,0.5)</f>
        <v>41.563214929662237</v>
      </c>
      <c r="K565" s="5">
        <f ca="1">PERCENTILE(D$2:D564,0.835)</f>
        <v>265.66796769571818</v>
      </c>
      <c r="L565" s="5">
        <f ca="1">PERCENTILE(D$2:D564,0.975)</f>
        <v>1328.9742481591302</v>
      </c>
      <c r="M565" s="7">
        <f>AVERAGE(E$2:E564)</f>
        <v>1.3802816901408455</v>
      </c>
      <c r="N565" s="7">
        <f>PERCENTILE($E$2:$E564,0.025)</f>
        <v>-1</v>
      </c>
      <c r="O565" s="7">
        <f>PERCENTILE($E$2:$E564,0.165)</f>
        <v>0</v>
      </c>
      <c r="P565" s="7">
        <f>PERCENTILE($E$2:$E564,0.5)</f>
        <v>1</v>
      </c>
      <c r="Q565" s="7">
        <f>PERCENTILE($E$2:$E564,0.835)</f>
        <v>3</v>
      </c>
      <c r="R565" s="7">
        <f>PERCENTILE($E$2:$E564,0.975)</f>
        <v>4</v>
      </c>
    </row>
    <row r="566" spans="1:18" x14ac:dyDescent="0.2">
      <c r="A566" s="5">
        <f>Data!E491</f>
        <v>2012</v>
      </c>
      <c r="B566" s="5">
        <f>Data!M491</f>
        <v>0.87259259259259248</v>
      </c>
      <c r="C566" s="5">
        <f>Data!N491</f>
        <v>0.14074074074074072</v>
      </c>
      <c r="D566" s="5">
        <f ca="1">Data!O491</f>
        <v>253.45321256667728</v>
      </c>
      <c r="E566" s="1">
        <f>Data!AQ491</f>
        <v>-0.5</v>
      </c>
      <c r="F566" t="str">
        <f t="shared" si="8"/>
        <v/>
      </c>
      <c r="G566" s="5">
        <f ca="1">AVERAGE(D$2:D565)</f>
        <v>197.34226012913794</v>
      </c>
      <c r="H566" s="5">
        <f ca="1">PERCENTILE(D$2:D565,0.025)</f>
        <v>-3.8160382519315785</v>
      </c>
      <c r="I566" s="5">
        <f ca="1">PERCENTILE(D$2:D565,0.165)</f>
        <v>3.9869698157856486</v>
      </c>
      <c r="J566" s="5">
        <f ca="1">PERCENTILE(D$2:D565,0.5)</f>
        <v>41.729467789380884</v>
      </c>
      <c r="K566" s="5">
        <f ca="1">PERCENTILE(D$2:D565,0.835)</f>
        <v>267.97435547900852</v>
      </c>
      <c r="L566" s="5">
        <f ca="1">PERCENTILE(D$2:D565,0.975)</f>
        <v>1328.9742481591302</v>
      </c>
      <c r="M566" s="7">
        <f>AVERAGE(E$2:E565)</f>
        <v>1.376506024096386</v>
      </c>
      <c r="N566" s="7">
        <f>PERCENTILE($E$2:$E565,0.025)</f>
        <v>-1</v>
      </c>
      <c r="O566" s="7">
        <f>PERCENTILE($E$2:$E565,0.165)</f>
        <v>0</v>
      </c>
      <c r="P566" s="7">
        <f>PERCENTILE($E$2:$E565,0.5)</f>
        <v>1</v>
      </c>
      <c r="Q566" s="7">
        <f>PERCENTILE($E$2:$E565,0.835)</f>
        <v>3</v>
      </c>
      <c r="R566" s="7">
        <f>PERCENTILE($E$2:$E565,0.975)</f>
        <v>4</v>
      </c>
    </row>
    <row r="567" spans="1:18" x14ac:dyDescent="0.2">
      <c r="A567" s="5">
        <f>Data!E492</f>
        <v>2012</v>
      </c>
      <c r="B567" s="5">
        <f>Data!M492</f>
        <v>2.2962962962962963E-2</v>
      </c>
      <c r="C567" s="5">
        <f>Data!N492</f>
        <v>3.7037037037037038E-3</v>
      </c>
      <c r="D567" s="5">
        <f ca="1">Data!O492</f>
        <v>120.94240433679622</v>
      </c>
      <c r="E567" s="1">
        <f>Data!AQ492</f>
        <v>1</v>
      </c>
      <c r="F567" t="str">
        <f t="shared" si="8"/>
        <v/>
      </c>
      <c r="G567" s="5">
        <f ca="1">AVERAGE(D$2:D566)</f>
        <v>197.44157154938137</v>
      </c>
      <c r="H567" s="5">
        <f ca="1">PERCENTILE(D$2:D566,0.025)</f>
        <v>-3.813445744732463</v>
      </c>
      <c r="I567" s="5">
        <f ca="1">PERCENTILE(D$2:D566,0.165)</f>
        <v>4.0224972708806268</v>
      </c>
      <c r="J567" s="5">
        <f ca="1">PERCENTILE(D$2:D566,0.5)</f>
        <v>41.89572064909953</v>
      </c>
      <c r="K567" s="5">
        <f ca="1">PERCENTILE(D$2:D566,0.835)</f>
        <v>267.32551716287082</v>
      </c>
      <c r="L567" s="5">
        <f ca="1">PERCENTILE(D$2:D566,0.975)</f>
        <v>1328.9742481591302</v>
      </c>
      <c r="M567" s="7">
        <f>AVERAGE(E$2:E566)</f>
        <v>1.3727454909819643</v>
      </c>
      <c r="N567" s="7">
        <f>PERCENTILE($E$2:$E566,0.025)</f>
        <v>-1</v>
      </c>
      <c r="O567" s="7">
        <f>PERCENTILE($E$2:$E566,0.165)</f>
        <v>0</v>
      </c>
      <c r="P567" s="7">
        <f>PERCENTILE($E$2:$E566,0.5)</f>
        <v>1</v>
      </c>
      <c r="Q567" s="7">
        <f>PERCENTILE($E$2:$E566,0.835)</f>
        <v>3</v>
      </c>
      <c r="R567" s="7">
        <f>PERCENTILE($E$2:$E566,0.975)</f>
        <v>4</v>
      </c>
    </row>
    <row r="568" spans="1:18" x14ac:dyDescent="0.2">
      <c r="A568" s="5">
        <f>Data!E493</f>
        <v>2012</v>
      </c>
      <c r="B568" s="5">
        <f>Data!M493</f>
        <v>0.43629629629629624</v>
      </c>
      <c r="C568" s="5">
        <f>Data!N493</f>
        <v>7.0370370370370361E-2</v>
      </c>
      <c r="D568" s="5">
        <f ca="1">Data!O493</f>
        <v>65.203731033750998</v>
      </c>
      <c r="E568" s="1">
        <f>Data!AQ493</f>
        <v>1</v>
      </c>
      <c r="F568" t="str">
        <f t="shared" si="8"/>
        <v/>
      </c>
      <c r="G568" s="5">
        <f ca="1">AVERAGE(D$2:D567)</f>
        <v>197.30641401013651</v>
      </c>
      <c r="H568" s="5">
        <f ca="1">PERCENTILE(D$2:D567,0.025)</f>
        <v>-3.8108532375333475</v>
      </c>
      <c r="I568" s="5">
        <f ca="1">PERCENTILE(D$2:D567,0.165)</f>
        <v>4.0843647658023503</v>
      </c>
      <c r="J568" s="5">
        <f ca="1">PERCENTILE(D$2:D567,0.5)</f>
        <v>42.008723409783443</v>
      </c>
      <c r="K568" s="5">
        <f ca="1">PERCENTILE(D$2:D567,0.835)</f>
        <v>266.91731468215409</v>
      </c>
      <c r="L568" s="5">
        <f ca="1">PERCENTILE(D$2:D567,0.975)</f>
        <v>1328.9742481591302</v>
      </c>
      <c r="M568" s="7">
        <f>AVERAGE(E$2:E567)</f>
        <v>1.3720000000000006</v>
      </c>
      <c r="N568" s="7">
        <f>PERCENTILE($E$2:$E567,0.025)</f>
        <v>-1</v>
      </c>
      <c r="O568" s="7">
        <f>PERCENTILE($E$2:$E567,0.165)</f>
        <v>0</v>
      </c>
      <c r="P568" s="7">
        <f>PERCENTILE($E$2:$E567,0.5)</f>
        <v>1</v>
      </c>
      <c r="Q568" s="7">
        <f>PERCENTILE($E$2:$E567,0.835)</f>
        <v>3</v>
      </c>
      <c r="R568" s="7">
        <f>PERCENTILE($E$2:$E567,0.975)</f>
        <v>4</v>
      </c>
    </row>
    <row r="569" spans="1:18" x14ac:dyDescent="0.2">
      <c r="A569" s="5">
        <f>Data!E494</f>
        <v>2012</v>
      </c>
      <c r="B569" s="5">
        <f>Data!M494</f>
        <v>4.5925925925925926E-2</v>
      </c>
      <c r="C569" s="5">
        <f>Data!N494</f>
        <v>7.4074074074074077E-3</v>
      </c>
      <c r="D569" s="5">
        <f ca="1">Data!O494</f>
        <v>933.88569609630463</v>
      </c>
      <c r="E569" s="1">
        <f>Data!AQ494</f>
        <v>-0.5</v>
      </c>
      <c r="F569" t="str">
        <f t="shared" si="8"/>
        <v/>
      </c>
      <c r="G569" s="5">
        <f ca="1">AVERAGE(D$2:D568)</f>
        <v>197.07342867860848</v>
      </c>
      <c r="H569" s="5">
        <f ca="1">PERCENTILE(D$2:D568,0.025)</f>
        <v>-3.808260730334232</v>
      </c>
      <c r="I569" s="5">
        <f ca="1">PERCENTILE(D$2:D568,0.165)</f>
        <v>4.1462322607240685</v>
      </c>
      <c r="J569" s="5">
        <f ca="1">PERCENTILE(D$2:D568,0.5)</f>
        <v>42.121726170467348</v>
      </c>
      <c r="K569" s="5">
        <f ca="1">PERCENTILE(D$2:D568,0.835)</f>
        <v>266.50911220143735</v>
      </c>
      <c r="L569" s="5">
        <f ca="1">PERCENTILE(D$2:D568,0.975)</f>
        <v>1328.9742481591302</v>
      </c>
      <c r="M569" s="7">
        <f>AVERAGE(E$2:E568)</f>
        <v>1.3712574850299406</v>
      </c>
      <c r="N569" s="7">
        <f>PERCENTILE($E$2:$E568,0.025)</f>
        <v>-1</v>
      </c>
      <c r="O569" s="7">
        <f>PERCENTILE($E$2:$E568,0.165)</f>
        <v>0</v>
      </c>
      <c r="P569" s="7">
        <f>PERCENTILE($E$2:$E568,0.5)</f>
        <v>1</v>
      </c>
      <c r="Q569" s="7">
        <f>PERCENTILE($E$2:$E568,0.835)</f>
        <v>3</v>
      </c>
      <c r="R569" s="7">
        <f>PERCENTILE($E$2:$E568,0.975)</f>
        <v>4</v>
      </c>
    </row>
    <row r="570" spans="1:18" x14ac:dyDescent="0.2">
      <c r="A570" s="5">
        <f>Data!E495</f>
        <v>2012</v>
      </c>
      <c r="B570" s="5">
        <f>Data!M495</f>
        <v>0.87259259259259248</v>
      </c>
      <c r="C570" s="5">
        <f>Data!N495</f>
        <v>0.14074074074074072</v>
      </c>
      <c r="D570" s="5">
        <f ca="1">Data!O495</f>
        <v>432.23763636889777</v>
      </c>
      <c r="E570" s="1">
        <f>Data!AQ495</f>
        <v>-0.5</v>
      </c>
      <c r="F570" t="str">
        <f t="shared" si="8"/>
        <v/>
      </c>
      <c r="G570" s="5">
        <f ca="1">AVERAGE(D$2:D569)</f>
        <v>198.37063337476641</v>
      </c>
      <c r="H570" s="5">
        <f ca="1">PERCENTILE(D$2:D569,0.025)</f>
        <v>-3.8056682231351164</v>
      </c>
      <c r="I570" s="5">
        <f ca="1">PERCENTILE(D$2:D569,0.165)</f>
        <v>4.2080997556457911</v>
      </c>
      <c r="J570" s="5">
        <f ca="1">PERCENTILE(D$2:D569,0.5)</f>
        <v>42.226318663946586</v>
      </c>
      <c r="K570" s="5">
        <f ca="1">PERCENTILE(D$2:D569,0.835)</f>
        <v>269.59470173752027</v>
      </c>
      <c r="L570" s="5">
        <f ca="1">PERCENTILE(D$2:D569,0.975)</f>
        <v>1328.9742481591302</v>
      </c>
      <c r="M570" s="7">
        <f>AVERAGE(E$2:E569)</f>
        <v>1.3675298804780882</v>
      </c>
      <c r="N570" s="7">
        <f>PERCENTILE($E$2:$E569,0.025)</f>
        <v>-1</v>
      </c>
      <c r="O570" s="7">
        <f>PERCENTILE($E$2:$E569,0.165)</f>
        <v>0</v>
      </c>
      <c r="P570" s="7">
        <f>PERCENTILE($E$2:$E569,0.5)</f>
        <v>1</v>
      </c>
      <c r="Q570" s="7">
        <f>PERCENTILE($E$2:$E569,0.835)</f>
        <v>3</v>
      </c>
      <c r="R570" s="7">
        <f>PERCENTILE($E$2:$E569,0.975)</f>
        <v>4</v>
      </c>
    </row>
    <row r="571" spans="1:18" x14ac:dyDescent="0.2">
      <c r="A571" s="5">
        <f>Data!E496</f>
        <v>2012</v>
      </c>
      <c r="B571" s="5">
        <f>Data!M496</f>
        <v>2.2962962962962963E-2</v>
      </c>
      <c r="C571" s="5">
        <f>Data!N496</f>
        <v>3.7037037037037038E-3</v>
      </c>
      <c r="D571" s="5">
        <f ca="1">Data!O496</f>
        <v>210.33461623790646</v>
      </c>
      <c r="E571" s="1">
        <f>Data!AQ496</f>
        <v>1</v>
      </c>
      <c r="F571" t="str">
        <f t="shared" si="8"/>
        <v/>
      </c>
      <c r="G571" s="5">
        <f ca="1">AVERAGE(D$2:D570)</f>
        <v>198.78164743978246</v>
      </c>
      <c r="H571" s="5">
        <f ca="1">PERCENTILE(D$2:D570,0.025)</f>
        <v>-3.8030757159360009</v>
      </c>
      <c r="I571" s="5">
        <f ca="1">PERCENTILE(D$2:D570,0.165)</f>
        <v>4.2699672505675093</v>
      </c>
      <c r="J571" s="5">
        <f ca="1">PERCENTILE(D$2:D570,0.5)</f>
        <v>42.330911157425817</v>
      </c>
      <c r="K571" s="5">
        <f ca="1">PERCENTILE(D$2:D570,0.835)</f>
        <v>273.75224283872478</v>
      </c>
      <c r="L571" s="5">
        <f ca="1">PERCENTILE(D$2:D570,0.975)</f>
        <v>1328.9742481591302</v>
      </c>
      <c r="M571" s="7">
        <f>AVERAGE(E$2:E570)</f>
        <v>1.3638170974155075</v>
      </c>
      <c r="N571" s="7">
        <f>PERCENTILE($E$2:$E570,0.025)</f>
        <v>-1</v>
      </c>
      <c r="O571" s="7">
        <f>PERCENTILE($E$2:$E570,0.165)</f>
        <v>0</v>
      </c>
      <c r="P571" s="7">
        <f>PERCENTILE($E$2:$E570,0.5)</f>
        <v>1</v>
      </c>
      <c r="Q571" s="7">
        <f>PERCENTILE($E$2:$E570,0.835)</f>
        <v>3</v>
      </c>
      <c r="R571" s="7">
        <f>PERCENTILE($E$2:$E570,0.975)</f>
        <v>4</v>
      </c>
    </row>
    <row r="572" spans="1:18" x14ac:dyDescent="0.2">
      <c r="A572" s="5">
        <f>Data!E497</f>
        <v>2012</v>
      </c>
      <c r="B572" s="5">
        <f>Data!M497</f>
        <v>0.43629629629629624</v>
      </c>
      <c r="C572" s="5">
        <f>Data!N497</f>
        <v>7.0370370370370361E-2</v>
      </c>
      <c r="D572" s="5">
        <f ca="1">Data!O497</f>
        <v>80.978827251593984</v>
      </c>
      <c r="E572" s="1">
        <f>Data!AQ497</f>
        <v>1</v>
      </c>
      <c r="F572" t="str">
        <f t="shared" si="8"/>
        <v/>
      </c>
      <c r="G572" s="5">
        <f ca="1">AVERAGE(D$2:D571)</f>
        <v>198.80191580609494</v>
      </c>
      <c r="H572" s="5">
        <f ca="1">PERCENTILE(D$2:D571,0.025)</f>
        <v>-3.8004832087368854</v>
      </c>
      <c r="I572" s="5">
        <f ca="1">PERCENTILE(D$2:D571,0.165)</f>
        <v>4.3318347454892328</v>
      </c>
      <c r="J572" s="5">
        <f ca="1">PERCENTILE(D$2:D571,0.5)</f>
        <v>42.399202353917147</v>
      </c>
      <c r="K572" s="5">
        <f ca="1">PERCENTILE(D$2:D571,0.835)</f>
        <v>272.86091041063241</v>
      </c>
      <c r="L572" s="5">
        <f ca="1">PERCENTILE(D$2:D571,0.975)</f>
        <v>1328.9742481591302</v>
      </c>
      <c r="M572" s="7">
        <f>AVERAGE(E$2:E571)</f>
        <v>1.3630952380952386</v>
      </c>
      <c r="N572" s="7">
        <f>PERCENTILE($E$2:$E571,0.025)</f>
        <v>-1</v>
      </c>
      <c r="O572" s="7">
        <f>PERCENTILE($E$2:$E571,0.165)</f>
        <v>0</v>
      </c>
      <c r="P572" s="7">
        <f>PERCENTILE($E$2:$E571,0.5)</f>
        <v>1</v>
      </c>
      <c r="Q572" s="7">
        <f>PERCENTILE($E$2:$E571,0.835)</f>
        <v>3</v>
      </c>
      <c r="R572" s="7">
        <f>PERCENTILE($E$2:$E571,0.975)</f>
        <v>4</v>
      </c>
    </row>
    <row r="573" spans="1:18" x14ac:dyDescent="0.2">
      <c r="A573" s="5">
        <f>Data!E498</f>
        <v>2012</v>
      </c>
      <c r="B573" s="5">
        <f>Data!M498</f>
        <v>9.1851851851851851E-2</v>
      </c>
      <c r="C573" s="5">
        <f>Data!N498</f>
        <v>1.4814814814814815E-2</v>
      </c>
      <c r="D573" s="5">
        <f ca="1">Data!O498</f>
        <v>938.09238842106276</v>
      </c>
      <c r="E573" s="1">
        <f>Data!AQ498</f>
        <v>-0.5</v>
      </c>
      <c r="F573" t="str">
        <f t="shared" si="8"/>
        <v/>
      </c>
      <c r="G573" s="5">
        <f ca="1">AVERAGE(D$2:D572)</f>
        <v>198.59557064225166</v>
      </c>
      <c r="H573" s="5">
        <f ca="1">PERCENTILE(D$2:D572,0.025)</f>
        <v>-3.7978907015377699</v>
      </c>
      <c r="I573" s="5">
        <f ca="1">PERCENTILE(D$2:D572,0.165)</f>
        <v>4.3776300165359316</v>
      </c>
      <c r="J573" s="5">
        <f ca="1">PERCENTILE(D$2:D572,0.5)</f>
        <v>42.467493550408477</v>
      </c>
      <c r="K573" s="5">
        <f ca="1">PERCENTILE(D$2:D572,0.835)</f>
        <v>272.00139250383887</v>
      </c>
      <c r="L573" s="5">
        <f ca="1">PERCENTILE(D$2:D572,0.975)</f>
        <v>1328.9742481591302</v>
      </c>
      <c r="M573" s="7">
        <f>AVERAGE(E$2:E572)</f>
        <v>1.3623762376237629</v>
      </c>
      <c r="N573" s="7">
        <f>PERCENTILE($E$2:$E572,0.025)</f>
        <v>-1</v>
      </c>
      <c r="O573" s="7">
        <f>PERCENTILE($E$2:$E572,0.165)</f>
        <v>0</v>
      </c>
      <c r="P573" s="7">
        <f>PERCENTILE($E$2:$E572,0.5)</f>
        <v>1</v>
      </c>
      <c r="Q573" s="7">
        <f>PERCENTILE($E$2:$E572,0.835)</f>
        <v>3</v>
      </c>
      <c r="R573" s="7">
        <f>PERCENTILE($E$2:$E572,0.975)</f>
        <v>4</v>
      </c>
    </row>
    <row r="574" spans="1:18" x14ac:dyDescent="0.2">
      <c r="A574" s="5">
        <f>Data!E499</f>
        <v>2012</v>
      </c>
      <c r="B574" s="5">
        <f>Data!M499</f>
        <v>1.745185185185185</v>
      </c>
      <c r="C574" s="5">
        <f>Data!N499</f>
        <v>0.28148148148148144</v>
      </c>
      <c r="D574" s="5">
        <f ca="1">Data!O499</f>
        <v>467.99452112934188</v>
      </c>
      <c r="E574" s="1">
        <f>Data!AQ499</f>
        <v>-0.5</v>
      </c>
      <c r="F574" t="str">
        <f t="shared" si="8"/>
        <v/>
      </c>
      <c r="G574" s="5">
        <f ca="1">AVERAGE(D$2:D573)</f>
        <v>199.88839724676009</v>
      </c>
      <c r="H574" s="5">
        <f ca="1">PERCENTILE(D$2:D573,0.025)</f>
        <v>-3.7952981943386543</v>
      </c>
      <c r="I574" s="5">
        <f ca="1">PERCENTILE(D$2:D573,0.165)</f>
        <v>4.3864591726700839</v>
      </c>
      <c r="J574" s="5">
        <f ca="1">PERCENTILE(D$2:D573,0.5)</f>
        <v>42.467493550408477</v>
      </c>
      <c r="K574" s="5">
        <f ca="1">PERCENTILE(D$2:D573,0.835)</f>
        <v>276.48026027015857</v>
      </c>
      <c r="L574" s="5">
        <f ca="1">PERCENTILE(D$2:D573,0.975)</f>
        <v>1328.9742481591302</v>
      </c>
      <c r="M574" s="7">
        <f>AVERAGE(E$2:E573)</f>
        <v>1.3586956521739135</v>
      </c>
      <c r="N574" s="7">
        <f>PERCENTILE($E$2:$E573,0.025)</f>
        <v>-1</v>
      </c>
      <c r="O574" s="7">
        <f>PERCENTILE($E$2:$E573,0.165)</f>
        <v>0</v>
      </c>
      <c r="P574" s="7">
        <f>PERCENTILE($E$2:$E573,0.5)</f>
        <v>1</v>
      </c>
      <c r="Q574" s="7">
        <f>PERCENTILE($E$2:$E573,0.835)</f>
        <v>3</v>
      </c>
      <c r="R574" s="7">
        <f>PERCENTILE($E$2:$E573,0.975)</f>
        <v>4</v>
      </c>
    </row>
    <row r="575" spans="1:18" x14ac:dyDescent="0.2">
      <c r="A575" s="5">
        <f>Data!E500</f>
        <v>2012</v>
      </c>
      <c r="B575" s="5">
        <f>Data!M500</f>
        <v>4.5925925925925926E-2</v>
      </c>
      <c r="C575" s="5">
        <f>Data!N500</f>
        <v>7.4074074074074077E-3</v>
      </c>
      <c r="D575" s="5">
        <f ca="1">Data!O500</f>
        <v>227.16138553693898</v>
      </c>
      <c r="E575" s="1">
        <f>Data!AQ500</f>
        <v>1</v>
      </c>
      <c r="F575" t="str">
        <f t="shared" si="8"/>
        <v/>
      </c>
      <c r="G575" s="5">
        <f ca="1">AVERAGE(D$2:D574)</f>
        <v>200.35629624131957</v>
      </c>
      <c r="H575" s="5">
        <f ca="1">PERCENTILE(D$2:D574,0.025)</f>
        <v>-3.7927056871395388</v>
      </c>
      <c r="I575" s="5">
        <f ca="1">PERCENTILE(D$2:D574,0.165)</f>
        <v>4.3952883288042361</v>
      </c>
      <c r="J575" s="5">
        <f ca="1">PERCENTILE(D$2:D574,0.5)</f>
        <v>42.467493550408477</v>
      </c>
      <c r="K575" s="5">
        <f ca="1">PERCENTILE(D$2:D574,0.835)</f>
        <v>278.46666864182748</v>
      </c>
      <c r="L575" s="5">
        <f ca="1">PERCENTILE(D$2:D574,0.975)</f>
        <v>1328.9742481591302</v>
      </c>
      <c r="M575" s="7">
        <f>AVERAGE(E$2:E574)</f>
        <v>1.355029585798817</v>
      </c>
      <c r="N575" s="7">
        <f>PERCENTILE($E$2:$E574,0.025)</f>
        <v>-1</v>
      </c>
      <c r="O575" s="7">
        <f>PERCENTILE($E$2:$E574,0.165)</f>
        <v>0</v>
      </c>
      <c r="P575" s="7">
        <f>PERCENTILE($E$2:$E574,0.5)</f>
        <v>1</v>
      </c>
      <c r="Q575" s="7">
        <f>PERCENTILE($E$2:$E574,0.835)</f>
        <v>3</v>
      </c>
      <c r="R575" s="7">
        <f>PERCENTILE($E$2:$E574,0.975)</f>
        <v>4</v>
      </c>
    </row>
    <row r="576" spans="1:18" x14ac:dyDescent="0.2">
      <c r="A576" s="5">
        <f>Data!E501</f>
        <v>2012</v>
      </c>
      <c r="B576" s="5">
        <f>Data!M501</f>
        <v>0.87259259259259248</v>
      </c>
      <c r="C576" s="5">
        <f>Data!N501</f>
        <v>0.14074074074074072</v>
      </c>
      <c r="D576" s="5">
        <f ca="1">Data!O501</f>
        <v>100.96061579419509</v>
      </c>
      <c r="E576" s="1">
        <f>Data!AQ501</f>
        <v>1</v>
      </c>
      <c r="F576" t="str">
        <f t="shared" si="8"/>
        <v/>
      </c>
      <c r="G576" s="5">
        <f ca="1">AVERAGE(D$2:D575)</f>
        <v>200.40299500315862</v>
      </c>
      <c r="H576" s="5">
        <f ca="1">PERCENTILE(D$2:D575,0.025)</f>
        <v>-3.7901131799404233</v>
      </c>
      <c r="I576" s="5">
        <f ca="1">PERCENTILE(D$2:D575,0.165)</f>
        <v>4.4041174849383884</v>
      </c>
      <c r="J576" s="5">
        <f ca="1">PERCENTILE(D$2:D575,0.5)</f>
        <v>42.568564975336088</v>
      </c>
      <c r="K576" s="5">
        <f ca="1">PERCENTILE(D$2:D575,0.835)</f>
        <v>278.24711878814117</v>
      </c>
      <c r="L576" s="5">
        <f ca="1">PERCENTILE(D$2:D575,0.975)</f>
        <v>1328.9742481591302</v>
      </c>
      <c r="M576" s="7">
        <f>AVERAGE(E$2:E575)</f>
        <v>1.3543307086614178</v>
      </c>
      <c r="N576" s="7">
        <f>PERCENTILE($E$2:$E575,0.025)</f>
        <v>-1</v>
      </c>
      <c r="O576" s="7">
        <f>PERCENTILE($E$2:$E575,0.165)</f>
        <v>0</v>
      </c>
      <c r="P576" s="7">
        <f>PERCENTILE($E$2:$E575,0.5)</f>
        <v>1</v>
      </c>
      <c r="Q576" s="7">
        <f>PERCENTILE($E$2:$E575,0.835)</f>
        <v>3</v>
      </c>
      <c r="R576" s="7">
        <f>PERCENTILE($E$2:$E575,0.975)</f>
        <v>4</v>
      </c>
    </row>
    <row r="577" spans="1:18" x14ac:dyDescent="0.2">
      <c r="A577" s="5">
        <f>Data!E502</f>
        <v>2012</v>
      </c>
      <c r="B577" s="5">
        <f>Data!M502</f>
        <v>0.12400000000000001</v>
      </c>
      <c r="C577" s="5">
        <f>Data!N502</f>
        <v>0.02</v>
      </c>
      <c r="D577" s="5">
        <f ca="1">Data!O502</f>
        <v>6.5316313364055292</v>
      </c>
      <c r="E577" s="1">
        <f>Data!AQ502</f>
        <v>3</v>
      </c>
      <c r="F577" t="str">
        <f t="shared" si="8"/>
        <v/>
      </c>
      <c r="G577" s="5">
        <f ca="1">AVERAGE(D$2:D576)</f>
        <v>200.23005173496909</v>
      </c>
      <c r="H577" s="5">
        <f ca="1">PERCENTILE(D$2:D576,0.025)</f>
        <v>-3.7875206727413078</v>
      </c>
      <c r="I577" s="5">
        <f ca="1">PERCENTILE(D$2:D576,0.165)</f>
        <v>4.4129466410725406</v>
      </c>
      <c r="J577" s="5">
        <f ca="1">PERCENTILE(D$2:D576,0.5)</f>
        <v>42.669636400263698</v>
      </c>
      <c r="K577" s="5">
        <f ca="1">PERCENTILE(D$2:D576,0.835)</f>
        <v>278.02756893445485</v>
      </c>
      <c r="L577" s="5">
        <f ca="1">PERCENTILE(D$2:D576,0.975)</f>
        <v>1328.9742481591302</v>
      </c>
      <c r="M577" s="7">
        <f>AVERAGE(E$2:E576)</f>
        <v>1.3536345776031438</v>
      </c>
      <c r="N577" s="7">
        <f>PERCENTILE($E$2:$E576,0.025)</f>
        <v>-1</v>
      </c>
      <c r="O577" s="7">
        <f>PERCENTILE($E$2:$E576,0.165)</f>
        <v>0</v>
      </c>
      <c r="P577" s="7">
        <f>PERCENTILE($E$2:$E576,0.5)</f>
        <v>1</v>
      </c>
      <c r="Q577" s="7">
        <f>PERCENTILE($E$2:$E576,0.835)</f>
        <v>3</v>
      </c>
      <c r="R577" s="7">
        <f>PERCENTILE($E$2:$E576,0.975)</f>
        <v>4</v>
      </c>
    </row>
    <row r="578" spans="1:18" x14ac:dyDescent="0.2">
      <c r="A578" s="5">
        <f>Data!E503</f>
        <v>2012</v>
      </c>
      <c r="B578" s="5">
        <f>Data!M503</f>
        <v>3.0379999999999998</v>
      </c>
      <c r="C578" s="5">
        <f>Data!N503</f>
        <v>0.49</v>
      </c>
      <c r="D578" s="5">
        <f ca="1">Data!O503</f>
        <v>18.098759651817716</v>
      </c>
      <c r="E578" s="1">
        <f>Data!AQ503</f>
        <v>3</v>
      </c>
      <c r="F578" t="str">
        <f t="shared" si="8"/>
        <v/>
      </c>
      <c r="G578" s="5">
        <f ca="1">AVERAGE(D$2:D577)</f>
        <v>199.89376975511047</v>
      </c>
      <c r="H578" s="5">
        <f ca="1">PERCENTILE(D$2:D577,0.025)</f>
        <v>-3.7849281655421922</v>
      </c>
      <c r="I578" s="5">
        <f ca="1">PERCENTILE(D$2:D577,0.165)</f>
        <v>4.4217757972066929</v>
      </c>
      <c r="J578" s="5">
        <f ca="1">PERCENTILE(D$2:D577,0.5)</f>
        <v>42.568564975336088</v>
      </c>
      <c r="K578" s="5">
        <f ca="1">PERCENTILE(D$2:D577,0.835)</f>
        <v>277.80801908076859</v>
      </c>
      <c r="L578" s="5">
        <f ca="1">PERCENTILE(D$2:D577,0.975)</f>
        <v>1328.9742481591302</v>
      </c>
      <c r="M578" s="7">
        <f>AVERAGE(E$2:E577)</f>
        <v>1.3568627450980397</v>
      </c>
      <c r="N578" s="7">
        <f>PERCENTILE($E$2:$E577,0.025)</f>
        <v>-1</v>
      </c>
      <c r="O578" s="7">
        <f>PERCENTILE($E$2:$E577,0.165)</f>
        <v>0</v>
      </c>
      <c r="P578" s="7">
        <f>PERCENTILE($E$2:$E577,0.5)</f>
        <v>1</v>
      </c>
      <c r="Q578" s="7">
        <f>PERCENTILE($E$2:$E577,0.835)</f>
        <v>3</v>
      </c>
      <c r="R578" s="7">
        <f>PERCENTILE($E$2:$E577,0.975)</f>
        <v>4</v>
      </c>
    </row>
    <row r="579" spans="1:18" x14ac:dyDescent="0.2">
      <c r="A579" s="5">
        <f>Data!E504</f>
        <v>2012</v>
      </c>
      <c r="B579" s="5">
        <f>Data!M504</f>
        <v>3.0379999999999998</v>
      </c>
      <c r="C579" s="5">
        <f>Data!N504</f>
        <v>0.49</v>
      </c>
      <c r="D579" s="5">
        <f ca="1">Data!O504</f>
        <v>20.074996825396823</v>
      </c>
      <c r="E579" s="1">
        <f>Data!AQ504</f>
        <v>3</v>
      </c>
      <c r="F579" t="str">
        <f t="shared" si="8"/>
        <v/>
      </c>
      <c r="G579" s="5">
        <f ca="1">AVERAGE(D$2:D578)</f>
        <v>199.57870041351032</v>
      </c>
      <c r="H579" s="5">
        <f ca="1">PERCENTILE(D$2:D578,0.025)</f>
        <v>-3.7823356583430767</v>
      </c>
      <c r="I579" s="5">
        <f ca="1">PERCENTILE(D$2:D578,0.165)</f>
        <v>4.4294944072614042</v>
      </c>
      <c r="J579" s="5">
        <f ca="1">PERCENTILE(D$2:D578,0.5)</f>
        <v>42.467493550408477</v>
      </c>
      <c r="K579" s="5">
        <f ca="1">PERCENTILE(D$2:D578,0.835)</f>
        <v>277.42561284540801</v>
      </c>
      <c r="L579" s="5">
        <f ca="1">PERCENTILE(D$2:D578,0.975)</f>
        <v>1328.9742481591302</v>
      </c>
      <c r="M579" s="7">
        <f>AVERAGE(E$2:E578)</f>
        <v>1.3600782778864975</v>
      </c>
      <c r="N579" s="7">
        <f>PERCENTILE($E$2:$E578,0.025)</f>
        <v>-1</v>
      </c>
      <c r="O579" s="7">
        <f>PERCENTILE($E$2:$E578,0.165)</f>
        <v>0</v>
      </c>
      <c r="P579" s="7">
        <f>PERCENTILE($E$2:$E578,0.5)</f>
        <v>1</v>
      </c>
      <c r="Q579" s="7">
        <f>PERCENTILE($E$2:$E578,0.835)</f>
        <v>3</v>
      </c>
      <c r="R579" s="7">
        <f>PERCENTILE($E$2:$E578,0.975)</f>
        <v>4</v>
      </c>
    </row>
    <row r="580" spans="1:18" x14ac:dyDescent="0.2">
      <c r="A580" s="5">
        <f>Data!E549</f>
        <v>2012</v>
      </c>
      <c r="B580" s="5">
        <f>Data!M549</f>
        <v>7.2</v>
      </c>
      <c r="C580" s="5">
        <f>Data!N549</f>
        <v>1</v>
      </c>
      <c r="D580" s="5">
        <f ca="1">Data!O549</f>
        <v>44.884606942252525</v>
      </c>
      <c r="E580" s="1">
        <f>Data!AQ549</f>
        <v>3</v>
      </c>
      <c r="F580" t="str">
        <f t="shared" si="8"/>
        <v/>
      </c>
      <c r="G580" s="5">
        <f ca="1">AVERAGE(D$2:D579)</f>
        <v>199.26814037270043</v>
      </c>
      <c r="H580" s="5">
        <f ca="1">PERCENTILE(D$2:D579,0.025)</f>
        <v>-3.7797431511439612</v>
      </c>
      <c r="I580" s="5">
        <f ca="1">PERCENTILE(D$2:D579,0.165)</f>
        <v>4.4337425608178629</v>
      </c>
      <c r="J580" s="5">
        <f ca="1">PERCENTILE(D$2:D579,0.5)</f>
        <v>42.467493550408477</v>
      </c>
      <c r="K580" s="5">
        <f ca="1">PERCENTILE(D$2:D579,0.835)</f>
        <v>276.53428041731564</v>
      </c>
      <c r="L580" s="5">
        <f ca="1">PERCENTILE(D$2:D579,0.975)</f>
        <v>1328.9742481591302</v>
      </c>
      <c r="M580" s="7">
        <f>AVERAGE(E$2:E579)</f>
        <v>1.3632812500000004</v>
      </c>
      <c r="N580" s="7">
        <f>PERCENTILE($E$2:$E579,0.025)</f>
        <v>-1</v>
      </c>
      <c r="O580" s="7">
        <f>PERCENTILE($E$2:$E579,0.165)</f>
        <v>0</v>
      </c>
      <c r="P580" s="7">
        <f>PERCENTILE($E$2:$E579,0.5)</f>
        <v>1</v>
      </c>
      <c r="Q580" s="7">
        <f>PERCENTILE($E$2:$E579,0.835)</f>
        <v>3</v>
      </c>
      <c r="R580" s="7">
        <f>PERCENTILE($E$2:$E579,0.975)</f>
        <v>4</v>
      </c>
    </row>
    <row r="581" spans="1:18" x14ac:dyDescent="0.2">
      <c r="A581" s="5">
        <f>Data!E550</f>
        <v>2012</v>
      </c>
      <c r="B581" s="5">
        <f>Data!M550</f>
        <v>5.2</v>
      </c>
      <c r="C581" s="5">
        <f>Data!N550</f>
        <v>1</v>
      </c>
      <c r="D581" s="5">
        <f ca="1">Data!O550</f>
        <v>91.51312335883901</v>
      </c>
      <c r="E581" s="1" t="str">
        <f>Data!AQ550</f>
        <v>NA</v>
      </c>
      <c r="F581" t="str">
        <f t="shared" ref="F581:F644" si="9">IF(A581&lt;&gt;A580,A581,"")</f>
        <v/>
      </c>
      <c r="G581" s="5">
        <f ca="1">AVERAGE(D$2:D580)</f>
        <v>199.00150214570485</v>
      </c>
      <c r="H581" s="5">
        <f ca="1">PERCENTILE(D$2:D580,0.025)</f>
        <v>-3.7771506439448457</v>
      </c>
      <c r="I581" s="5">
        <f ca="1">PERCENTILE(D$2:D580,0.165)</f>
        <v>4.4379907143743216</v>
      </c>
      <c r="J581" s="5">
        <f ca="1">PERCENTILE(D$2:D580,0.5)</f>
        <v>42.467493550408477</v>
      </c>
      <c r="K581" s="5">
        <f ca="1">PERCENTILE(D$2:D580,0.835)</f>
        <v>275.64294798922361</v>
      </c>
      <c r="L581" s="5">
        <f ca="1">PERCENTILE(D$2:D580,0.975)</f>
        <v>1328.9742481591302</v>
      </c>
      <c r="M581" s="7">
        <f>AVERAGE(E$2:E580)</f>
        <v>1.3664717348927879</v>
      </c>
      <c r="N581" s="7">
        <f>PERCENTILE($E$2:$E580,0.025)</f>
        <v>-1</v>
      </c>
      <c r="O581" s="7">
        <f>PERCENTILE($E$2:$E580,0.165)</f>
        <v>0</v>
      </c>
      <c r="P581" s="7">
        <f>PERCENTILE($E$2:$E580,0.5)</f>
        <v>1</v>
      </c>
      <c r="Q581" s="7">
        <f>PERCENTILE($E$2:$E580,0.835)</f>
        <v>3</v>
      </c>
      <c r="R581" s="7">
        <f>PERCENTILE($E$2:$E580,0.975)</f>
        <v>4</v>
      </c>
    </row>
    <row r="582" spans="1:18" x14ac:dyDescent="0.2">
      <c r="A582" s="5">
        <f>Data!E551</f>
        <v>2012</v>
      </c>
      <c r="B582" s="5">
        <f>Data!M551</f>
        <v>0.13777777777777778</v>
      </c>
      <c r="C582" s="5">
        <f>Data!N551</f>
        <v>2.2222222222222223E-2</v>
      </c>
      <c r="D582" s="5">
        <f ca="1">Data!O551</f>
        <v>21.033461623790647</v>
      </c>
      <c r="E582" s="1" t="str">
        <f>Data!AQ551</f>
        <v>NA</v>
      </c>
      <c r="F582" t="str">
        <f t="shared" si="9"/>
        <v/>
      </c>
      <c r="G582" s="5">
        <f ca="1">AVERAGE(D$2:D581)</f>
        <v>198.816177354693</v>
      </c>
      <c r="H582" s="5">
        <f ca="1">PERCENTILE(D$2:D581,0.025)</f>
        <v>-3.7745581367457302</v>
      </c>
      <c r="I582" s="5">
        <f ca="1">PERCENTILE(D$2:D581,0.165)</f>
        <v>4.4422388679307803</v>
      </c>
      <c r="J582" s="5">
        <f ca="1">PERCENTILE(D$2:D581,0.5)</f>
        <v>42.568564975336088</v>
      </c>
      <c r="K582" s="5">
        <f ca="1">PERCENTILE(D$2:D581,0.835)</f>
        <v>274.75161556113125</v>
      </c>
      <c r="L582" s="5">
        <f ca="1">PERCENTILE(D$2:D581,0.975)</f>
        <v>1328.9742481591302</v>
      </c>
      <c r="M582" s="7">
        <f>AVERAGE(E$2:E581)</f>
        <v>1.3664717348927879</v>
      </c>
      <c r="N582" s="7">
        <f>PERCENTILE($E$2:$E581,0.025)</f>
        <v>-1</v>
      </c>
      <c r="O582" s="7">
        <f>PERCENTILE($E$2:$E581,0.165)</f>
        <v>0</v>
      </c>
      <c r="P582" s="7">
        <f>PERCENTILE($E$2:$E581,0.5)</f>
        <v>1</v>
      </c>
      <c r="Q582" s="7">
        <f>PERCENTILE($E$2:$E581,0.835)</f>
        <v>3</v>
      </c>
      <c r="R582" s="7">
        <f>PERCENTILE($E$2:$E581,0.975)</f>
        <v>4</v>
      </c>
    </row>
    <row r="583" spans="1:18" x14ac:dyDescent="0.2">
      <c r="A583" s="5">
        <f>Data!E552</f>
        <v>2012</v>
      </c>
      <c r="B583" s="5">
        <f>Data!M552</f>
        <v>0.13777777777777778</v>
      </c>
      <c r="C583" s="5">
        <f>Data!N552</f>
        <v>2.2222222222222223E-2</v>
      </c>
      <c r="D583" s="5">
        <f ca="1">Data!O552</f>
        <v>44.170269409960355</v>
      </c>
      <c r="E583" s="1" t="str">
        <f>Data!AQ552</f>
        <v>NA</v>
      </c>
      <c r="F583" t="str">
        <f t="shared" si="9"/>
        <v/>
      </c>
      <c r="G583" s="5">
        <f ca="1">AVERAGE(D$2:D582)</f>
        <v>198.51018300747975</v>
      </c>
      <c r="H583" s="5">
        <f ca="1">PERCENTILE(D$2:D582,0.025)</f>
        <v>-3.7719656295466146</v>
      </c>
      <c r="I583" s="5">
        <f ca="1">PERCENTILE(D$2:D582,0.165)</f>
        <v>4.4464870214872381</v>
      </c>
      <c r="J583" s="5">
        <f ca="1">PERCENTILE(D$2:D582,0.5)</f>
        <v>42.467493550408477</v>
      </c>
      <c r="K583" s="5">
        <f ca="1">PERCENTILE(D$2:D582,0.835)</f>
        <v>273.86028313303888</v>
      </c>
      <c r="L583" s="5">
        <f ca="1">PERCENTILE(D$2:D582,0.975)</f>
        <v>1328.9742481591302</v>
      </c>
      <c r="M583" s="7">
        <f>AVERAGE(E$2:E582)</f>
        <v>1.3664717348927879</v>
      </c>
      <c r="N583" s="7">
        <f>PERCENTILE($E$2:$E582,0.025)</f>
        <v>-1</v>
      </c>
      <c r="O583" s="7">
        <f>PERCENTILE($E$2:$E582,0.165)</f>
        <v>0</v>
      </c>
      <c r="P583" s="7">
        <f>PERCENTILE($E$2:$E582,0.5)</f>
        <v>1</v>
      </c>
      <c r="Q583" s="7">
        <f>PERCENTILE($E$2:$E582,0.835)</f>
        <v>3</v>
      </c>
      <c r="R583" s="7">
        <f>PERCENTILE($E$2:$E582,0.975)</f>
        <v>4</v>
      </c>
    </row>
    <row r="584" spans="1:18" x14ac:dyDescent="0.2">
      <c r="A584" s="5">
        <f>Data!E553</f>
        <v>2012</v>
      </c>
      <c r="B584" s="5">
        <f>Data!M553</f>
        <v>0.13777777777777778</v>
      </c>
      <c r="C584" s="5">
        <f>Data!N553</f>
        <v>2.2222222222222223E-2</v>
      </c>
      <c r="D584" s="5">
        <f ca="1">Data!O553</f>
        <v>211.38628931909599</v>
      </c>
      <c r="E584" s="1" t="str">
        <f>Data!AQ553</f>
        <v>NA</v>
      </c>
      <c r="F584" t="str">
        <f t="shared" si="9"/>
        <v/>
      </c>
      <c r="G584" s="5">
        <f ca="1">AVERAGE(D$2:D583)</f>
        <v>198.24499415250122</v>
      </c>
      <c r="H584" s="5">
        <f ca="1">PERCENTILE(D$2:D583,0.025)</f>
        <v>-3.7693731223474991</v>
      </c>
      <c r="I584" s="5">
        <f ca="1">PERCENTILE(D$2:D583,0.165)</f>
        <v>4.4507351750436968</v>
      </c>
      <c r="J584" s="5">
        <f ca="1">PERCENTILE(D$2:D583,0.5)</f>
        <v>42.568564975336088</v>
      </c>
      <c r="K584" s="5">
        <f ca="1">PERCENTILE(D$2:D583,0.835)</f>
        <v>272.96895070494679</v>
      </c>
      <c r="L584" s="5">
        <f ca="1">PERCENTILE(D$2:D583,0.975)</f>
        <v>1328.9742481591302</v>
      </c>
      <c r="M584" s="7">
        <f>AVERAGE(E$2:E583)</f>
        <v>1.3664717348927879</v>
      </c>
      <c r="N584" s="7">
        <f>PERCENTILE($E$2:$E583,0.025)</f>
        <v>-1</v>
      </c>
      <c r="O584" s="7">
        <f>PERCENTILE($E$2:$E583,0.165)</f>
        <v>0</v>
      </c>
      <c r="P584" s="7">
        <f>PERCENTILE($E$2:$E583,0.5)</f>
        <v>1</v>
      </c>
      <c r="Q584" s="7">
        <f>PERCENTILE($E$2:$E583,0.835)</f>
        <v>3</v>
      </c>
      <c r="R584" s="7">
        <f>PERCENTILE($E$2:$E583,0.975)</f>
        <v>4</v>
      </c>
    </row>
    <row r="585" spans="1:18" x14ac:dyDescent="0.2">
      <c r="A585" s="5">
        <f>Data!E554</f>
        <v>2012</v>
      </c>
      <c r="B585" s="5">
        <f>Data!M554</f>
        <v>0.13777777777777778</v>
      </c>
      <c r="C585" s="5">
        <f>Data!N554</f>
        <v>2.2222222222222223E-2</v>
      </c>
      <c r="D585" s="5">
        <f ca="1">Data!O554</f>
        <v>25.240153948548773</v>
      </c>
      <c r="E585" s="1" t="str">
        <f>Data!AQ554</f>
        <v>NA</v>
      </c>
      <c r="F585" t="str">
        <f t="shared" si="9"/>
        <v/>
      </c>
      <c r="G585" s="5">
        <f ca="1">AVERAGE(D$2:D584)</f>
        <v>198.26753496753824</v>
      </c>
      <c r="H585" s="5">
        <f ca="1">PERCENTILE(D$2:D584,0.025)</f>
        <v>-3.7667806151483836</v>
      </c>
      <c r="I585" s="5">
        <f ca="1">PERCENTILE(D$2:D584,0.165)</f>
        <v>4.4543457745167663</v>
      </c>
      <c r="J585" s="5">
        <f ca="1">PERCENTILE(D$2:D584,0.5)</f>
        <v>42.669636400263698</v>
      </c>
      <c r="K585" s="5">
        <f ca="1">PERCENTILE(D$2:D584,0.835)</f>
        <v>272.09670698963362</v>
      </c>
      <c r="L585" s="5">
        <f ca="1">PERCENTILE(D$2:D584,0.975)</f>
        <v>1328.9742481591302</v>
      </c>
      <c r="M585" s="7">
        <f>AVERAGE(E$2:E584)</f>
        <v>1.3664717348927879</v>
      </c>
      <c r="N585" s="7">
        <f>PERCENTILE($E$2:$E584,0.025)</f>
        <v>-1</v>
      </c>
      <c r="O585" s="7">
        <f>PERCENTILE($E$2:$E584,0.165)</f>
        <v>0</v>
      </c>
      <c r="P585" s="7">
        <f>PERCENTILE($E$2:$E584,0.5)</f>
        <v>1</v>
      </c>
      <c r="Q585" s="7">
        <f>PERCENTILE($E$2:$E584,0.835)</f>
        <v>3</v>
      </c>
      <c r="R585" s="7">
        <f>PERCENTILE($E$2:$E584,0.975)</f>
        <v>4</v>
      </c>
    </row>
    <row r="586" spans="1:18" x14ac:dyDescent="0.2">
      <c r="A586" s="5">
        <f>Data!E555</f>
        <v>2012</v>
      </c>
      <c r="B586" s="5">
        <f>Data!M555</f>
        <v>0.13777777777777778</v>
      </c>
      <c r="C586" s="5">
        <f>Data!N555</f>
        <v>2.2222222222222223E-2</v>
      </c>
      <c r="D586" s="5">
        <f ca="1">Data!O555</f>
        <v>52.583654059476615</v>
      </c>
      <c r="E586" s="1" t="str">
        <f>Data!AQ555</f>
        <v>NA</v>
      </c>
      <c r="F586" t="str">
        <f t="shared" si="9"/>
        <v/>
      </c>
      <c r="G586" s="5">
        <f ca="1">AVERAGE(D$2:D585)</f>
        <v>197.97125520551941</v>
      </c>
      <c r="H586" s="5">
        <f ca="1">PERCENTILE(D$2:D585,0.025)</f>
        <v>-3.7641881079492681</v>
      </c>
      <c r="I586" s="5">
        <f ca="1">PERCENTILE(D$2:D585,0.165)</f>
        <v>4.4550873806145841</v>
      </c>
      <c r="J586" s="5">
        <f ca="1">PERCENTILE(D$2:D585,0.5)</f>
        <v>42.568564975336088</v>
      </c>
      <c r="K586" s="5">
        <f ca="1">PERCENTILE(D$2:D585,0.835)</f>
        <v>271.3103624818267</v>
      </c>
      <c r="L586" s="5">
        <f ca="1">PERCENTILE(D$2:D585,0.975)</f>
        <v>1328.9742481591302</v>
      </c>
      <c r="M586" s="7">
        <f>AVERAGE(E$2:E585)</f>
        <v>1.3664717348927879</v>
      </c>
      <c r="N586" s="7">
        <f>PERCENTILE($E$2:$E585,0.025)</f>
        <v>-1</v>
      </c>
      <c r="O586" s="7">
        <f>PERCENTILE($E$2:$E585,0.165)</f>
        <v>0</v>
      </c>
      <c r="P586" s="7">
        <f>PERCENTILE($E$2:$E585,0.5)</f>
        <v>1</v>
      </c>
      <c r="Q586" s="7">
        <f>PERCENTILE($E$2:$E585,0.835)</f>
        <v>3</v>
      </c>
      <c r="R586" s="7">
        <f>PERCENTILE($E$2:$E585,0.975)</f>
        <v>4</v>
      </c>
    </row>
    <row r="587" spans="1:18" x14ac:dyDescent="0.2">
      <c r="A587" s="5">
        <f>Data!E556</f>
        <v>2012</v>
      </c>
      <c r="B587" s="5">
        <f>Data!M556</f>
        <v>0.13777777777777778</v>
      </c>
      <c r="C587" s="5">
        <f>Data!N556</f>
        <v>2.2222222222222223E-2</v>
      </c>
      <c r="D587" s="5">
        <f ca="1">Data!O556</f>
        <v>216.64465472504367</v>
      </c>
      <c r="E587" s="1" t="str">
        <f>Data!AQ556</f>
        <v>NA</v>
      </c>
      <c r="F587" t="str">
        <f t="shared" si="9"/>
        <v/>
      </c>
      <c r="G587" s="5">
        <f ca="1">AVERAGE(D$2:D586)</f>
        <v>197.72272939159456</v>
      </c>
      <c r="H587" s="5">
        <f ca="1">PERCENTILE(D$2:D586,0.025)</f>
        <v>-3.7615956007501525</v>
      </c>
      <c r="I587" s="5">
        <f ca="1">PERCENTILE(D$2:D586,0.165)</f>
        <v>4.4558289867124019</v>
      </c>
      <c r="J587" s="5">
        <f ca="1">PERCENTILE(D$2:D586,0.5)</f>
        <v>42.669636400263698</v>
      </c>
      <c r="K587" s="5">
        <f ca="1">PERCENTILE(D$2:D586,0.835)</f>
        <v>270.5240179740195</v>
      </c>
      <c r="L587" s="5">
        <f ca="1">PERCENTILE(D$2:D586,0.975)</f>
        <v>1328.9742481591302</v>
      </c>
      <c r="M587" s="7">
        <f>AVERAGE(E$2:E586)</f>
        <v>1.3664717348927879</v>
      </c>
      <c r="N587" s="7">
        <f>PERCENTILE($E$2:$E586,0.025)</f>
        <v>-1</v>
      </c>
      <c r="O587" s="7">
        <f>PERCENTILE($E$2:$E586,0.165)</f>
        <v>0</v>
      </c>
      <c r="P587" s="7">
        <f>PERCENTILE($E$2:$E586,0.5)</f>
        <v>1</v>
      </c>
      <c r="Q587" s="7">
        <f>PERCENTILE($E$2:$E586,0.835)</f>
        <v>3</v>
      </c>
      <c r="R587" s="7">
        <f>PERCENTILE($E$2:$E586,0.975)</f>
        <v>4</v>
      </c>
    </row>
    <row r="588" spans="1:18" x14ac:dyDescent="0.2">
      <c r="A588" s="5">
        <f>Data!E557</f>
        <v>2012</v>
      </c>
      <c r="B588" s="5">
        <f>Data!M557</f>
        <v>0.13777777777777778</v>
      </c>
      <c r="C588" s="5">
        <f>Data!N557</f>
        <v>2.2222222222222223E-2</v>
      </c>
      <c r="D588" s="5">
        <f ca="1">Data!O557</f>
        <v>11.568403893084856</v>
      </c>
      <c r="E588" s="1" t="str">
        <f>Data!AQ557</f>
        <v>NA</v>
      </c>
      <c r="F588" t="str">
        <f t="shared" si="9"/>
        <v/>
      </c>
      <c r="G588" s="5">
        <f ca="1">AVERAGE(D$2:D587)</f>
        <v>197.7550193665663</v>
      </c>
      <c r="H588" s="5">
        <f ca="1">PERCENTILE(D$2:D587,0.025)</f>
        <v>-3.7590030935510375</v>
      </c>
      <c r="I588" s="5">
        <f ca="1">PERCENTILE(D$2:D587,0.165)</f>
        <v>4.4565705928102206</v>
      </c>
      <c r="J588" s="5">
        <f ca="1">PERCENTILE(D$2:D587,0.5)</f>
        <v>42.733556094219537</v>
      </c>
      <c r="K588" s="5">
        <f ca="1">PERCENTILE(D$2:D587,0.835)</f>
        <v>269.7376734662123</v>
      </c>
      <c r="L588" s="5">
        <f ca="1">PERCENTILE(D$2:D587,0.975)</f>
        <v>1328.9742481591302</v>
      </c>
      <c r="M588" s="7">
        <f>AVERAGE(E$2:E587)</f>
        <v>1.3664717348927879</v>
      </c>
      <c r="N588" s="7">
        <f>PERCENTILE($E$2:$E587,0.025)</f>
        <v>-1</v>
      </c>
      <c r="O588" s="7">
        <f>PERCENTILE($E$2:$E587,0.165)</f>
        <v>0</v>
      </c>
      <c r="P588" s="7">
        <f>PERCENTILE($E$2:$E587,0.5)</f>
        <v>1</v>
      </c>
      <c r="Q588" s="7">
        <f>PERCENTILE($E$2:$E587,0.835)</f>
        <v>3</v>
      </c>
      <c r="R588" s="7">
        <f>PERCENTILE($E$2:$E587,0.975)</f>
        <v>4</v>
      </c>
    </row>
    <row r="589" spans="1:18" x14ac:dyDescent="0.2">
      <c r="A589" s="5">
        <f>Data!E558</f>
        <v>2012</v>
      </c>
      <c r="B589" s="5">
        <f>Data!M558</f>
        <v>0.13777777777777778</v>
      </c>
      <c r="C589" s="5">
        <f>Data!N558</f>
        <v>2.2222222222222223E-2</v>
      </c>
      <c r="D589" s="5">
        <f ca="1">Data!O558</f>
        <v>28.395173192117372</v>
      </c>
      <c r="E589" s="1" t="str">
        <f>Data!AQ558</f>
        <v>NA</v>
      </c>
      <c r="F589" t="str">
        <f t="shared" si="9"/>
        <v/>
      </c>
      <c r="G589" s="5">
        <f ca="1">AVERAGE(D$2:D588)</f>
        <v>197.43783603526563</v>
      </c>
      <c r="H589" s="5">
        <f ca="1">PERCENTILE(D$2:D588,0.025)</f>
        <v>-3.7564105863519219</v>
      </c>
      <c r="I589" s="5">
        <f ca="1">PERCENTILE(D$2:D588,0.165)</f>
        <v>4.4573121989080384</v>
      </c>
      <c r="J589" s="5">
        <f ca="1">PERCENTILE(D$2:D588,0.5)</f>
        <v>42.669636400263698</v>
      </c>
      <c r="K589" s="5">
        <f ca="1">PERCENTILE(D$2:D588,0.835)</f>
        <v>268.95132895840538</v>
      </c>
      <c r="L589" s="5">
        <f ca="1">PERCENTILE(D$2:D588,0.975)</f>
        <v>1328.9742481591302</v>
      </c>
      <c r="M589" s="7">
        <f>AVERAGE(E$2:E588)</f>
        <v>1.3664717348927879</v>
      </c>
      <c r="N589" s="7">
        <f>PERCENTILE($E$2:$E588,0.025)</f>
        <v>-1</v>
      </c>
      <c r="O589" s="7">
        <f>PERCENTILE($E$2:$E588,0.165)</f>
        <v>0</v>
      </c>
      <c r="P589" s="7">
        <f>PERCENTILE($E$2:$E588,0.5)</f>
        <v>1</v>
      </c>
      <c r="Q589" s="7">
        <f>PERCENTILE($E$2:$E588,0.835)</f>
        <v>3</v>
      </c>
      <c r="R589" s="7">
        <f>PERCENTILE($E$2:$E588,0.975)</f>
        <v>4</v>
      </c>
    </row>
    <row r="590" spans="1:18" x14ac:dyDescent="0.2">
      <c r="A590" s="5">
        <f>Data!E559</f>
        <v>2012</v>
      </c>
      <c r="B590" s="5">
        <f>Data!M559</f>
        <v>0.13777777777777778</v>
      </c>
      <c r="C590" s="5">
        <f>Data!N559</f>
        <v>2.2222222222222223E-2</v>
      </c>
      <c r="D590" s="5">
        <f ca="1">Data!O559</f>
        <v>135.66582747344967</v>
      </c>
      <c r="E590" s="1" t="str">
        <f>Data!AQ559</f>
        <v>NA</v>
      </c>
      <c r="F590" t="str">
        <f t="shared" si="9"/>
        <v/>
      </c>
      <c r="G590" s="5">
        <f ca="1">AVERAGE(D$2:D589)</f>
        <v>197.15034851342355</v>
      </c>
      <c r="H590" s="5">
        <f ca="1">PERCENTILE(D$2:D589,0.025)</f>
        <v>-3.753818079152806</v>
      </c>
      <c r="I590" s="5">
        <f ca="1">PERCENTILE(D$2:D589,0.165)</f>
        <v>4.4580538050058562</v>
      </c>
      <c r="J590" s="5">
        <f ca="1">PERCENTILE(D$2:D589,0.5)</f>
        <v>42.568564975336088</v>
      </c>
      <c r="K590" s="5">
        <f ca="1">PERCENTILE(D$2:D589,0.835)</f>
        <v>268.16498445059824</v>
      </c>
      <c r="L590" s="5">
        <f ca="1">PERCENTILE(D$2:D589,0.975)</f>
        <v>1328.9742481591302</v>
      </c>
      <c r="M590" s="7">
        <f>AVERAGE(E$2:E589)</f>
        <v>1.3664717348927879</v>
      </c>
      <c r="N590" s="7">
        <f>PERCENTILE($E$2:$E589,0.025)</f>
        <v>-1</v>
      </c>
      <c r="O590" s="7">
        <f>PERCENTILE($E$2:$E589,0.165)</f>
        <v>0</v>
      </c>
      <c r="P590" s="7">
        <f>PERCENTILE($E$2:$E589,0.5)</f>
        <v>1</v>
      </c>
      <c r="Q590" s="7">
        <f>PERCENTILE($E$2:$E589,0.835)</f>
        <v>3</v>
      </c>
      <c r="R590" s="7">
        <f>PERCENTILE($E$2:$E589,0.975)</f>
        <v>4</v>
      </c>
    </row>
    <row r="591" spans="1:18" x14ac:dyDescent="0.2">
      <c r="A591" s="5">
        <f>Data!E560</f>
        <v>2012</v>
      </c>
      <c r="B591" s="5">
        <f>Data!M560</f>
        <v>0.13777777777777778</v>
      </c>
      <c r="C591" s="5">
        <f>Data!N560</f>
        <v>2.2222222222222223E-2</v>
      </c>
      <c r="D591" s="5">
        <f ca="1">Data!O560</f>
        <v>11.568403893084856</v>
      </c>
      <c r="E591" s="1" t="str">
        <f>Data!AQ560</f>
        <v>NA</v>
      </c>
      <c r="F591" t="str">
        <f t="shared" si="9"/>
        <v/>
      </c>
      <c r="G591" s="5">
        <f ca="1">AVERAGE(D$2:D590)</f>
        <v>197.04596053203142</v>
      </c>
      <c r="H591" s="5">
        <f ca="1">PERCENTILE(D$2:D590,0.025)</f>
        <v>-3.7512255719536904</v>
      </c>
      <c r="I591" s="5">
        <f ca="1">PERCENTILE(D$2:D590,0.165)</f>
        <v>4.4668267371503383</v>
      </c>
      <c r="J591" s="5">
        <f ca="1">PERCENTILE(D$2:D590,0.5)</f>
        <v>42.669636400263698</v>
      </c>
      <c r="K591" s="5">
        <f ca="1">PERCENTILE(D$2:D590,0.835)</f>
        <v>267.42447534001417</v>
      </c>
      <c r="L591" s="5">
        <f ca="1">PERCENTILE(D$2:D590,0.975)</f>
        <v>1328.9742481591302</v>
      </c>
      <c r="M591" s="7">
        <f>AVERAGE(E$2:E590)</f>
        <v>1.3664717348927879</v>
      </c>
      <c r="N591" s="7">
        <f>PERCENTILE($E$2:$E590,0.025)</f>
        <v>-1</v>
      </c>
      <c r="O591" s="7">
        <f>PERCENTILE($E$2:$E590,0.165)</f>
        <v>0</v>
      </c>
      <c r="P591" s="7">
        <f>PERCENTILE($E$2:$E590,0.5)</f>
        <v>1</v>
      </c>
      <c r="Q591" s="7">
        <f>PERCENTILE($E$2:$E590,0.835)</f>
        <v>3</v>
      </c>
      <c r="R591" s="7">
        <f>PERCENTILE($E$2:$E590,0.975)</f>
        <v>4</v>
      </c>
    </row>
    <row r="592" spans="1:18" x14ac:dyDescent="0.2">
      <c r="A592" s="5">
        <f>Data!E561</f>
        <v>2012</v>
      </c>
      <c r="B592" s="5">
        <f>Data!M561</f>
        <v>0.13777777777777778</v>
      </c>
      <c r="C592" s="5">
        <f>Data!N561</f>
        <v>2.2222222222222223E-2</v>
      </c>
      <c r="D592" s="5">
        <f ca="1">Data!O561</f>
        <v>29.446846273306903</v>
      </c>
      <c r="E592" s="1" t="str">
        <f>Data!AQ561</f>
        <v>NA</v>
      </c>
      <c r="F592" t="str">
        <f t="shared" si="9"/>
        <v/>
      </c>
      <c r="G592" s="5">
        <f ca="1">AVERAGE(D$2:D591)</f>
        <v>196.73159179196537</v>
      </c>
      <c r="H592" s="5">
        <f ca="1">PERCENTILE(D$2:D591,0.025)</f>
        <v>-3.7486330647545749</v>
      </c>
      <c r="I592" s="5">
        <f ca="1">PERCENTILE(D$2:D591,0.165)</f>
        <v>4.5338267831330992</v>
      </c>
      <c r="J592" s="5">
        <f ca="1">PERCENTILE(D$2:D591,0.5)</f>
        <v>42.568564975336088</v>
      </c>
      <c r="K592" s="5">
        <f ca="1">PERCENTILE(D$2:D591,0.835)</f>
        <v>267.0162728592976</v>
      </c>
      <c r="L592" s="5">
        <f ca="1">PERCENTILE(D$2:D591,0.975)</f>
        <v>1328.9742481591302</v>
      </c>
      <c r="M592" s="7">
        <f>AVERAGE(E$2:E591)</f>
        <v>1.3664717348927879</v>
      </c>
      <c r="N592" s="7">
        <f>PERCENTILE($E$2:$E591,0.025)</f>
        <v>-1</v>
      </c>
      <c r="O592" s="7">
        <f>PERCENTILE($E$2:$E591,0.165)</f>
        <v>0</v>
      </c>
      <c r="P592" s="7">
        <f>PERCENTILE($E$2:$E591,0.5)</f>
        <v>1</v>
      </c>
      <c r="Q592" s="7">
        <f>PERCENTILE($E$2:$E591,0.835)</f>
        <v>3</v>
      </c>
      <c r="R592" s="7">
        <f>PERCENTILE($E$2:$E591,0.975)</f>
        <v>4</v>
      </c>
    </row>
    <row r="593" spans="1:18" x14ac:dyDescent="0.2">
      <c r="A593" s="5">
        <f>Data!E562</f>
        <v>2012</v>
      </c>
      <c r="B593" s="5">
        <f>Data!M562</f>
        <v>0.13777777777777778</v>
      </c>
      <c r="C593" s="5">
        <f>Data!N562</f>
        <v>2.2222222222222223E-2</v>
      </c>
      <c r="D593" s="5">
        <f ca="1">Data!O562</f>
        <v>134.61415439226013</v>
      </c>
      <c r="E593" s="1" t="str">
        <f>Data!AQ562</f>
        <v>NA</v>
      </c>
      <c r="F593" t="str">
        <f t="shared" si="9"/>
        <v/>
      </c>
      <c r="G593" s="5">
        <f ca="1">AVERAGE(D$2:D592)</f>
        <v>196.44853807704379</v>
      </c>
      <c r="H593" s="5">
        <f ca="1">PERCENTILE(D$2:D592,0.025)</f>
        <v>-3.7460405575554598</v>
      </c>
      <c r="I593" s="5">
        <f ca="1">PERCENTILE(D$2:D592,0.165)</f>
        <v>4.6008268291158645</v>
      </c>
      <c r="J593" s="5">
        <f ca="1">PERCENTILE(D$2:D592,0.5)</f>
        <v>42.467493550408477</v>
      </c>
      <c r="K593" s="5">
        <f ca="1">PERCENTILE(D$2:D592,0.835)</f>
        <v>266.60807037858086</v>
      </c>
      <c r="L593" s="5">
        <f ca="1">PERCENTILE(D$2:D592,0.975)</f>
        <v>1328.9742481591302</v>
      </c>
      <c r="M593" s="7">
        <f>AVERAGE(E$2:E592)</f>
        <v>1.3664717348927879</v>
      </c>
      <c r="N593" s="7">
        <f>PERCENTILE($E$2:$E592,0.025)</f>
        <v>-1</v>
      </c>
      <c r="O593" s="7">
        <f>PERCENTILE($E$2:$E592,0.165)</f>
        <v>0</v>
      </c>
      <c r="P593" s="7">
        <f>PERCENTILE($E$2:$E592,0.5)</f>
        <v>1</v>
      </c>
      <c r="Q593" s="7">
        <f>PERCENTILE($E$2:$E592,0.835)</f>
        <v>3</v>
      </c>
      <c r="R593" s="7">
        <f>PERCENTILE($E$2:$E592,0.975)</f>
        <v>4</v>
      </c>
    </row>
    <row r="594" spans="1:18" x14ac:dyDescent="0.2">
      <c r="A594" s="5">
        <f>Data!E563</f>
        <v>2012</v>
      </c>
      <c r="B594" s="5">
        <f>Data!M563</f>
        <v>0.13777777777777778</v>
      </c>
      <c r="C594" s="5">
        <f>Data!N563</f>
        <v>2.2222222222222223E-2</v>
      </c>
      <c r="D594" s="5">
        <f ca="1">Data!O563</f>
        <v>12.620076974274387</v>
      </c>
      <c r="E594" s="1" t="str">
        <f>Data!AQ563</f>
        <v>NA</v>
      </c>
      <c r="F594" t="str">
        <f t="shared" si="9"/>
        <v/>
      </c>
      <c r="G594" s="5">
        <f ca="1">AVERAGE(D$2:D593)</f>
        <v>196.34408810460326</v>
      </c>
      <c r="H594" s="5">
        <f ca="1">PERCENTILE(D$2:D593,0.025)</f>
        <v>-3.7434480503563443</v>
      </c>
      <c r="I594" s="5">
        <f ca="1">PERCENTILE(D$2:D593,0.165)</f>
        <v>4.6678268750986254</v>
      </c>
      <c r="J594" s="5">
        <f ca="1">PERCENTILE(D$2:D593,0.5)</f>
        <v>42.568564975336088</v>
      </c>
      <c r="K594" s="5">
        <f ca="1">PERCENTILE(D$2:D593,0.835)</f>
        <v>266.19986789786412</v>
      </c>
      <c r="L594" s="5">
        <f ca="1">PERCENTILE(D$2:D593,0.975)</f>
        <v>1328.9742481591302</v>
      </c>
      <c r="M594" s="7">
        <f>AVERAGE(E$2:E593)</f>
        <v>1.3664717348927879</v>
      </c>
      <c r="N594" s="7">
        <f>PERCENTILE($E$2:$E593,0.025)</f>
        <v>-1</v>
      </c>
      <c r="O594" s="7">
        <f>PERCENTILE($E$2:$E593,0.165)</f>
        <v>0</v>
      </c>
      <c r="P594" s="7">
        <f>PERCENTILE($E$2:$E593,0.5)</f>
        <v>1</v>
      </c>
      <c r="Q594" s="7">
        <f>PERCENTILE($E$2:$E593,0.835)</f>
        <v>3</v>
      </c>
      <c r="R594" s="7">
        <f>PERCENTILE($E$2:$E593,0.975)</f>
        <v>4</v>
      </c>
    </row>
    <row r="595" spans="1:18" x14ac:dyDescent="0.2">
      <c r="A595" s="5">
        <f>Data!E564</f>
        <v>2012</v>
      </c>
      <c r="B595" s="5">
        <f>Data!M564</f>
        <v>0.13777777777777778</v>
      </c>
      <c r="C595" s="5">
        <f>Data!N564</f>
        <v>2.2222222222222223E-2</v>
      </c>
      <c r="D595" s="5">
        <f ca="1">Data!O564</f>
        <v>31.550192435685968</v>
      </c>
      <c r="E595" s="1" t="str">
        <f>Data!AQ564</f>
        <v>NA</v>
      </c>
      <c r="F595" t="str">
        <f t="shared" si="9"/>
        <v/>
      </c>
      <c r="G595" s="5">
        <f ca="1">AVERAGE(D$2:D594)</f>
        <v>196.03426683794166</v>
      </c>
      <c r="H595" s="5">
        <f ca="1">PERCENTILE(D$2:D594,0.025)</f>
        <v>-3.7408555431572288</v>
      </c>
      <c r="I595" s="5">
        <f ca="1">PERCENTILE(D$2:D594,0.165)</f>
        <v>4.7348269210813907</v>
      </c>
      <c r="J595" s="5">
        <f ca="1">PERCENTILE(D$2:D594,0.5)</f>
        <v>42.467493550408477</v>
      </c>
      <c r="K595" s="5">
        <f ca="1">PERCENTILE(D$2:D594,0.835)</f>
        <v>265.7916654171475</v>
      </c>
      <c r="L595" s="5">
        <f ca="1">PERCENTILE(D$2:D594,0.975)</f>
        <v>1328.9742481591302</v>
      </c>
      <c r="M595" s="7">
        <f>AVERAGE(E$2:E594)</f>
        <v>1.3664717348927879</v>
      </c>
      <c r="N595" s="7">
        <f>PERCENTILE($E$2:$E594,0.025)</f>
        <v>-1</v>
      </c>
      <c r="O595" s="7">
        <f>PERCENTILE($E$2:$E594,0.165)</f>
        <v>0</v>
      </c>
      <c r="P595" s="7">
        <f>PERCENTILE($E$2:$E594,0.5)</f>
        <v>1</v>
      </c>
      <c r="Q595" s="7">
        <f>PERCENTILE($E$2:$E594,0.835)</f>
        <v>3</v>
      </c>
      <c r="R595" s="7">
        <f>PERCENTILE($E$2:$E594,0.975)</f>
        <v>4</v>
      </c>
    </row>
    <row r="596" spans="1:18" x14ac:dyDescent="0.2">
      <c r="A596" s="5">
        <f>Data!E565</f>
        <v>2012</v>
      </c>
      <c r="B596" s="5">
        <f>Data!M565</f>
        <v>0.13777777777777778</v>
      </c>
      <c r="C596" s="5">
        <f>Data!N565</f>
        <v>2.2222222222222223E-2</v>
      </c>
      <c r="D596" s="5">
        <f ca="1">Data!O565</f>
        <v>145.13088520415545</v>
      </c>
      <c r="E596" s="1" t="str">
        <f>Data!AQ565</f>
        <v>NA</v>
      </c>
      <c r="F596" t="str">
        <f t="shared" si="9"/>
        <v/>
      </c>
      <c r="G596" s="5">
        <f ca="1">AVERAGE(D$2:D595)</f>
        <v>195.75735762177624</v>
      </c>
      <c r="H596" s="5">
        <f ca="1">PERCENTILE(D$2:D595,0.025)</f>
        <v>-3.7382630359581133</v>
      </c>
      <c r="I596" s="5">
        <f ca="1">PERCENTILE(D$2:D595,0.165)</f>
        <v>4.8018269670641516</v>
      </c>
      <c r="J596" s="5">
        <f ca="1">PERCENTILE(D$2:D595,0.5)</f>
        <v>42.467493550408477</v>
      </c>
      <c r="K596" s="5">
        <f ca="1">PERCENTILE(D$2:D595,0.835)</f>
        <v>265.38346293643076</v>
      </c>
      <c r="L596" s="5">
        <f ca="1">PERCENTILE(D$2:D595,0.975)</f>
        <v>1328.9742481591302</v>
      </c>
      <c r="M596" s="7">
        <f>AVERAGE(E$2:E595)</f>
        <v>1.3664717348927879</v>
      </c>
      <c r="N596" s="7">
        <f>PERCENTILE($E$2:$E595,0.025)</f>
        <v>-1</v>
      </c>
      <c r="O596" s="7">
        <f>PERCENTILE($E$2:$E595,0.165)</f>
        <v>0</v>
      </c>
      <c r="P596" s="7">
        <f>PERCENTILE($E$2:$E595,0.5)</f>
        <v>1</v>
      </c>
      <c r="Q596" s="7">
        <f>PERCENTILE($E$2:$E595,0.835)</f>
        <v>3</v>
      </c>
      <c r="R596" s="7">
        <f>PERCENTILE($E$2:$E595,0.975)</f>
        <v>4</v>
      </c>
    </row>
    <row r="597" spans="1:18" x14ac:dyDescent="0.2">
      <c r="A597" s="5">
        <f>Data!E566</f>
        <v>2012</v>
      </c>
      <c r="B597" s="5">
        <f>Data!M566</f>
        <v>0.13777777777777778</v>
      </c>
      <c r="C597" s="5">
        <f>Data!N566</f>
        <v>2.2222222222222223E-2</v>
      </c>
      <c r="D597" s="5">
        <f ca="1">Data!O566</f>
        <v>11.568403893084856</v>
      </c>
      <c r="E597" s="1" t="str">
        <f>Data!AQ566</f>
        <v>NA</v>
      </c>
      <c r="F597" t="str">
        <f t="shared" si="9"/>
        <v/>
      </c>
      <c r="G597" s="5">
        <f ca="1">AVERAGE(D$2:D596)</f>
        <v>195.67227111351133</v>
      </c>
      <c r="H597" s="5">
        <f ca="1">PERCENTILE(D$2:D596,0.025)</f>
        <v>-3.7356705287589977</v>
      </c>
      <c r="I597" s="5">
        <f ca="1">PERCENTILE(D$2:D596,0.165)</f>
        <v>4.8661187401574812</v>
      </c>
      <c r="J597" s="5">
        <f ca="1">PERCENTILE(D$2:D596,0.5)</f>
        <v>42.467493550408477</v>
      </c>
      <c r="K597" s="5">
        <f ca="1">PERCENTILE(D$2:D596,0.835)</f>
        <v>264.95579781627276</v>
      </c>
      <c r="L597" s="5">
        <f ca="1">PERCENTILE(D$2:D596,0.975)</f>
        <v>1328.9742481591302</v>
      </c>
      <c r="M597" s="7">
        <f>AVERAGE(E$2:E596)</f>
        <v>1.3664717348927879</v>
      </c>
      <c r="N597" s="7">
        <f>PERCENTILE($E$2:$E596,0.025)</f>
        <v>-1</v>
      </c>
      <c r="O597" s="7">
        <f>PERCENTILE($E$2:$E596,0.165)</f>
        <v>0</v>
      </c>
      <c r="P597" s="7">
        <f>PERCENTILE($E$2:$E596,0.5)</f>
        <v>1</v>
      </c>
      <c r="Q597" s="7">
        <f>PERCENTILE($E$2:$E596,0.835)</f>
        <v>3</v>
      </c>
      <c r="R597" s="7">
        <f>PERCENTILE($E$2:$E596,0.975)</f>
        <v>4</v>
      </c>
    </row>
    <row r="598" spans="1:18" x14ac:dyDescent="0.2">
      <c r="A598" s="5">
        <f>Data!E567</f>
        <v>2012</v>
      </c>
      <c r="B598" s="5">
        <f>Data!M567</f>
        <v>0.13777777777777778</v>
      </c>
      <c r="C598" s="5">
        <f>Data!N567</f>
        <v>2.2222222222222223E-2</v>
      </c>
      <c r="D598" s="5">
        <f ca="1">Data!O567</f>
        <v>27.343500110927838</v>
      </c>
      <c r="E598" s="1" t="str">
        <f>Data!AQ567</f>
        <v>NA</v>
      </c>
      <c r="F598" t="str">
        <f t="shared" si="9"/>
        <v/>
      </c>
      <c r="G598" s="5">
        <f ca="1">AVERAGE(D$2:D597)</f>
        <v>195.36337200743679</v>
      </c>
      <c r="H598" s="5">
        <f ca="1">PERCENTILE(D$2:D597,0.025)</f>
        <v>-3.7330780215598822</v>
      </c>
      <c r="I598" s="5">
        <f ca="1">PERCENTILE(D$2:D597,0.165)</f>
        <v>4.8884322834645682</v>
      </c>
      <c r="J598" s="5">
        <f ca="1">PERCENTILE(D$2:D597,0.5)</f>
        <v>42.467493550408477</v>
      </c>
      <c r="K598" s="5">
        <f ca="1">PERCENTILE(D$2:D597,0.835)</f>
        <v>264.22646178477686</v>
      </c>
      <c r="L598" s="5">
        <f ca="1">PERCENTILE(D$2:D597,0.975)</f>
        <v>1328.9742481591302</v>
      </c>
      <c r="M598" s="7">
        <f>AVERAGE(E$2:E597)</f>
        <v>1.3664717348927879</v>
      </c>
      <c r="N598" s="7">
        <f>PERCENTILE($E$2:$E597,0.025)</f>
        <v>-1</v>
      </c>
      <c r="O598" s="7">
        <f>PERCENTILE($E$2:$E597,0.165)</f>
        <v>0</v>
      </c>
      <c r="P598" s="7">
        <f>PERCENTILE($E$2:$E597,0.5)</f>
        <v>1</v>
      </c>
      <c r="Q598" s="7">
        <f>PERCENTILE($E$2:$E597,0.835)</f>
        <v>3</v>
      </c>
      <c r="R598" s="7">
        <f>PERCENTILE($E$2:$E597,0.975)</f>
        <v>4</v>
      </c>
    </row>
    <row r="599" spans="1:18" x14ac:dyDescent="0.2">
      <c r="A599" s="5">
        <f>Data!E568</f>
        <v>2012</v>
      </c>
      <c r="B599" s="5">
        <f>Data!M568</f>
        <v>0.13777777777777778</v>
      </c>
      <c r="C599" s="5">
        <f>Data!N568</f>
        <v>2.2222222222222223E-2</v>
      </c>
      <c r="D599" s="5">
        <f ca="1">Data!O568</f>
        <v>124.0974235803648</v>
      </c>
      <c r="E599" s="1" t="str">
        <f>Data!AQ568</f>
        <v>NA</v>
      </c>
      <c r="F599" t="str">
        <f t="shared" si="9"/>
        <v/>
      </c>
      <c r="G599" s="5">
        <f ca="1">AVERAGE(D$2:D598)</f>
        <v>195.08193168600209</v>
      </c>
      <c r="H599" s="5">
        <f ca="1">PERCENTILE(D$2:D598,0.025)</f>
        <v>-3.7304855143607667</v>
      </c>
      <c r="I599" s="5">
        <f ca="1">PERCENTILE(D$2:D598,0.165)</f>
        <v>4.9107458267716542</v>
      </c>
      <c r="J599" s="5">
        <f ca="1">PERCENTILE(D$2:D598,0.5)</f>
        <v>42.467493550408477</v>
      </c>
      <c r="K599" s="5">
        <f ca="1">PERCENTILE(D$2:D598,0.835)</f>
        <v>263.49712575328073</v>
      </c>
      <c r="L599" s="5">
        <f ca="1">PERCENTILE(D$2:D598,0.975)</f>
        <v>1328.9742481591302</v>
      </c>
      <c r="M599" s="7">
        <f>AVERAGE(E$2:E598)</f>
        <v>1.3664717348927879</v>
      </c>
      <c r="N599" s="7">
        <f>PERCENTILE($E$2:$E598,0.025)</f>
        <v>-1</v>
      </c>
      <c r="O599" s="7">
        <f>PERCENTILE($E$2:$E598,0.165)</f>
        <v>0</v>
      </c>
      <c r="P599" s="7">
        <f>PERCENTILE($E$2:$E598,0.5)</f>
        <v>1</v>
      </c>
      <c r="Q599" s="7">
        <f>PERCENTILE($E$2:$E598,0.835)</f>
        <v>3</v>
      </c>
      <c r="R599" s="7">
        <f>PERCENTILE($E$2:$E598,0.975)</f>
        <v>4</v>
      </c>
    </row>
    <row r="600" spans="1:18" x14ac:dyDescent="0.2">
      <c r="A600" s="5">
        <f>Data!E569</f>
        <v>2012</v>
      </c>
      <c r="B600" s="5">
        <f>Data!M569</f>
        <v>0.13777777777777778</v>
      </c>
      <c r="C600" s="5">
        <f>Data!N569</f>
        <v>2.2222222222222223E-2</v>
      </c>
      <c r="D600" s="5">
        <f ca="1">Data!O569</f>
        <v>14.723423136653452</v>
      </c>
      <c r="E600" s="1" t="str">
        <f>Data!AQ569</f>
        <v>NA</v>
      </c>
      <c r="F600" t="str">
        <f t="shared" si="9"/>
        <v/>
      </c>
      <c r="G600" s="5">
        <f ca="1">AVERAGE(D$2:D599)</f>
        <v>194.96322849518998</v>
      </c>
      <c r="H600" s="5">
        <f ca="1">PERCENTILE(D$2:D599,0.025)</f>
        <v>-3.7278930071616512</v>
      </c>
      <c r="I600" s="5">
        <f ca="1">PERCENTILE(D$2:D599,0.165)</f>
        <v>4.9330593700787411</v>
      </c>
      <c r="J600" s="5">
        <f ca="1">PERCENTILE(D$2:D599,0.5)</f>
        <v>42.467493550408477</v>
      </c>
      <c r="K600" s="5">
        <f ca="1">PERCENTILE(D$2:D599,0.835)</f>
        <v>262.76778972178482</v>
      </c>
      <c r="L600" s="5">
        <f ca="1">PERCENTILE(D$2:D599,0.975)</f>
        <v>1328.9742481591302</v>
      </c>
      <c r="M600" s="7">
        <f>AVERAGE(E$2:E599)</f>
        <v>1.3664717348927879</v>
      </c>
      <c r="N600" s="7">
        <f>PERCENTILE($E$2:$E599,0.025)</f>
        <v>-1</v>
      </c>
      <c r="O600" s="7">
        <f>PERCENTILE($E$2:$E599,0.165)</f>
        <v>0</v>
      </c>
      <c r="P600" s="7">
        <f>PERCENTILE($E$2:$E599,0.5)</f>
        <v>1</v>
      </c>
      <c r="Q600" s="7">
        <f>PERCENTILE($E$2:$E599,0.835)</f>
        <v>3</v>
      </c>
      <c r="R600" s="7">
        <f>PERCENTILE($E$2:$E599,0.975)</f>
        <v>4</v>
      </c>
    </row>
    <row r="601" spans="1:18" x14ac:dyDescent="0.2">
      <c r="A601" s="5">
        <f>Data!E570</f>
        <v>2012</v>
      </c>
      <c r="B601" s="5">
        <f>Data!M570</f>
        <v>0.13777777777777778</v>
      </c>
      <c r="C601" s="5">
        <f>Data!N570</f>
        <v>2.2222222222222223E-2</v>
      </c>
      <c r="D601" s="5">
        <f ca="1">Data!O570</f>
        <v>32.601865516875499</v>
      </c>
      <c r="E601" s="1" t="str">
        <f>Data!AQ570</f>
        <v>NA</v>
      </c>
      <c r="F601" t="str">
        <f t="shared" si="9"/>
        <v/>
      </c>
      <c r="G601" s="5">
        <f ca="1">AVERAGE(D$2:D600)</f>
        <v>194.66232731762983</v>
      </c>
      <c r="H601" s="5">
        <f ca="1">PERCENTILE(D$2:D600,0.025)</f>
        <v>-3.7253004999625356</v>
      </c>
      <c r="I601" s="5">
        <f ca="1">PERCENTILE(D$2:D600,0.165)</f>
        <v>4.9553729133858271</v>
      </c>
      <c r="J601" s="5">
        <f ca="1">PERCENTILE(D$2:D600,0.5)</f>
        <v>42.467493550408477</v>
      </c>
      <c r="K601" s="5">
        <f ca="1">PERCENTILE(D$2:D600,0.835)</f>
        <v>262.03845369028863</v>
      </c>
      <c r="L601" s="5">
        <f ca="1">PERCENTILE(D$2:D600,0.975)</f>
        <v>1328.9742481591302</v>
      </c>
      <c r="M601" s="7">
        <f>AVERAGE(E$2:E600)</f>
        <v>1.3664717348927879</v>
      </c>
      <c r="N601" s="7">
        <f>PERCENTILE($E$2:$E600,0.025)</f>
        <v>-1</v>
      </c>
      <c r="O601" s="7">
        <f>PERCENTILE($E$2:$E600,0.165)</f>
        <v>0</v>
      </c>
      <c r="P601" s="7">
        <f>PERCENTILE($E$2:$E600,0.5)</f>
        <v>1</v>
      </c>
      <c r="Q601" s="7">
        <f>PERCENTILE($E$2:$E600,0.835)</f>
        <v>3</v>
      </c>
      <c r="R601" s="7">
        <f>PERCENTILE($E$2:$E600,0.975)</f>
        <v>4</v>
      </c>
    </row>
    <row r="602" spans="1:18" x14ac:dyDescent="0.2">
      <c r="A602" s="5">
        <f>Data!E571</f>
        <v>2012</v>
      </c>
      <c r="B602" s="5">
        <f>Data!M571</f>
        <v>0.13777777777777778</v>
      </c>
      <c r="C602" s="5">
        <f>Data!N571</f>
        <v>2.2222222222222223E-2</v>
      </c>
      <c r="D602" s="5">
        <f ca="1">Data!O571</f>
        <v>136.7175005546392</v>
      </c>
      <c r="E602" s="1" t="str">
        <f>Data!AQ571</f>
        <v>NA</v>
      </c>
      <c r="F602" t="str">
        <f t="shared" si="9"/>
        <v/>
      </c>
      <c r="G602" s="5">
        <f ca="1">AVERAGE(D$2:D601)</f>
        <v>194.39222654796191</v>
      </c>
      <c r="H602" s="5">
        <f ca="1">PERCENTILE(D$2:D601,0.025)</f>
        <v>-3.7227079927634201</v>
      </c>
      <c r="I602" s="5">
        <f ca="1">PERCENTILE(D$2:D601,0.165)</f>
        <v>4.9776864566929149</v>
      </c>
      <c r="J602" s="5">
        <f ca="1">PERCENTILE(D$2:D601,0.5)</f>
        <v>42.399202353917147</v>
      </c>
      <c r="K602" s="5">
        <f ca="1">PERCENTILE(D$2:D601,0.835)</f>
        <v>261.3091176587925</v>
      </c>
      <c r="L602" s="5">
        <f ca="1">PERCENTILE(D$2:D601,0.975)</f>
        <v>1328.9742481591302</v>
      </c>
      <c r="M602" s="7">
        <f>AVERAGE(E$2:E601)</f>
        <v>1.3664717348927879</v>
      </c>
      <c r="N602" s="7">
        <f>PERCENTILE($E$2:$E601,0.025)</f>
        <v>-1</v>
      </c>
      <c r="O602" s="7">
        <f>PERCENTILE($E$2:$E601,0.165)</f>
        <v>0</v>
      </c>
      <c r="P602" s="7">
        <f>PERCENTILE($E$2:$E601,0.5)</f>
        <v>1</v>
      </c>
      <c r="Q602" s="7">
        <f>PERCENTILE($E$2:$E601,0.835)</f>
        <v>3</v>
      </c>
      <c r="R602" s="7">
        <f>PERCENTILE($E$2:$E601,0.975)</f>
        <v>4</v>
      </c>
    </row>
    <row r="603" spans="1:18" x14ac:dyDescent="0.2">
      <c r="A603" s="5">
        <f>Data!E572</f>
        <v>2012</v>
      </c>
      <c r="B603" s="5">
        <f>Data!M572</f>
        <v>0.13777777777777778</v>
      </c>
      <c r="C603" s="5">
        <f>Data!N572</f>
        <v>2.2222222222222223E-2</v>
      </c>
      <c r="D603" s="5">
        <f ca="1">Data!O572</f>
        <v>5.2583654059476617</v>
      </c>
      <c r="E603" s="1" t="str">
        <f>Data!AQ572</f>
        <v>NA</v>
      </c>
      <c r="F603" t="str">
        <f t="shared" si="9"/>
        <v/>
      </c>
      <c r="G603" s="5">
        <f ca="1">AVERAGE(D$2:D602)</f>
        <v>194.29626194564358</v>
      </c>
      <c r="H603" s="5">
        <f ca="1">PERCENTILE(D$2:D602,0.025)</f>
        <v>-3.7201154855643046</v>
      </c>
      <c r="I603" s="5">
        <f ca="1">PERCENTILE(D$2:D602,0.165)</f>
        <v>5</v>
      </c>
      <c r="J603" s="5">
        <f ca="1">PERCENTILE(D$2:D602,0.5)</f>
        <v>42.467493550408477</v>
      </c>
      <c r="K603" s="5">
        <f ca="1">PERCENTILE(D$2:D602,0.835)</f>
        <v>260.5797816272966</v>
      </c>
      <c r="L603" s="5">
        <f ca="1">PERCENTILE(D$2:D602,0.975)</f>
        <v>1328.9742481591302</v>
      </c>
      <c r="M603" s="7">
        <f>AVERAGE(E$2:E602)</f>
        <v>1.3664717348927879</v>
      </c>
      <c r="N603" s="7">
        <f>PERCENTILE($E$2:$E602,0.025)</f>
        <v>-1</v>
      </c>
      <c r="O603" s="7">
        <f>PERCENTILE($E$2:$E602,0.165)</f>
        <v>0</v>
      </c>
      <c r="P603" s="7">
        <f>PERCENTILE($E$2:$E602,0.5)</f>
        <v>1</v>
      </c>
      <c r="Q603" s="7">
        <f>PERCENTILE($E$2:$E602,0.835)</f>
        <v>3</v>
      </c>
      <c r="R603" s="7">
        <f>PERCENTILE($E$2:$E602,0.975)</f>
        <v>4</v>
      </c>
    </row>
    <row r="604" spans="1:18" x14ac:dyDescent="0.2">
      <c r="A604" s="5">
        <f>Data!E573</f>
        <v>2012</v>
      </c>
      <c r="B604" s="5">
        <f>Data!M573</f>
        <v>0.13777777777777778</v>
      </c>
      <c r="C604" s="5">
        <f>Data!N573</f>
        <v>2.2222222222222223E-2</v>
      </c>
      <c r="D604" s="5">
        <f ca="1">Data!O573</f>
        <v>15.775096217842984</v>
      </c>
      <c r="E604" s="1" t="str">
        <f>Data!AQ573</f>
        <v>NA</v>
      </c>
      <c r="F604" t="str">
        <f t="shared" si="9"/>
        <v/>
      </c>
      <c r="G604" s="5">
        <f ca="1">AVERAGE(D$2:D603)</f>
        <v>193.98224550620887</v>
      </c>
      <c r="H604" s="5">
        <f ca="1">PERCENTILE(D$2:D603,0.025)</f>
        <v>-3.714395349777488</v>
      </c>
      <c r="I604" s="5">
        <f ca="1">PERCENTILE(D$2:D603,0.165)</f>
        <v>5</v>
      </c>
      <c r="J604" s="5">
        <f ca="1">PERCENTILE(D$2:D603,0.5)</f>
        <v>42.399202353917147</v>
      </c>
      <c r="K604" s="5">
        <f ca="1">PERCENTILE(D$2:D603,0.835)</f>
        <v>260.37760375037288</v>
      </c>
      <c r="L604" s="5">
        <f ca="1">PERCENTILE(D$2:D603,0.975)</f>
        <v>1328.5323296568429</v>
      </c>
      <c r="M604" s="7">
        <f>AVERAGE(E$2:E603)</f>
        <v>1.3664717348927879</v>
      </c>
      <c r="N604" s="7">
        <f>PERCENTILE($E$2:$E603,0.025)</f>
        <v>-1</v>
      </c>
      <c r="O604" s="7">
        <f>PERCENTILE($E$2:$E603,0.165)</f>
        <v>0</v>
      </c>
      <c r="P604" s="7">
        <f>PERCENTILE($E$2:$E603,0.5)</f>
        <v>1</v>
      </c>
      <c r="Q604" s="7">
        <f>PERCENTILE($E$2:$E603,0.835)</f>
        <v>3</v>
      </c>
      <c r="R604" s="7">
        <f>PERCENTILE($E$2:$E603,0.975)</f>
        <v>4</v>
      </c>
    </row>
    <row r="605" spans="1:18" x14ac:dyDescent="0.2">
      <c r="A605" s="5">
        <f>Data!E574</f>
        <v>2012</v>
      </c>
      <c r="B605" s="5">
        <f>Data!M574</f>
        <v>0.13777777777777778</v>
      </c>
      <c r="C605" s="5">
        <f>Data!N574</f>
        <v>2.2222222222222223E-2</v>
      </c>
      <c r="D605" s="5">
        <f ca="1">Data!O574</f>
        <v>67.307077196130066</v>
      </c>
      <c r="E605" s="1" t="str">
        <f>Data!AQ574</f>
        <v>NA</v>
      </c>
      <c r="F605" t="str">
        <f t="shared" si="9"/>
        <v/>
      </c>
      <c r="G605" s="5">
        <f ca="1">AVERAGE(D$2:D604)</f>
        <v>193.68671126194954</v>
      </c>
      <c r="H605" s="5">
        <f ca="1">PERCENTILE(D$2:D604,0.025)</f>
        <v>-3.7086752139906705</v>
      </c>
      <c r="I605" s="5">
        <f ca="1">PERCENTILE(D$2:D604,0.165)</f>
        <v>5</v>
      </c>
      <c r="J605" s="5">
        <f ca="1">PERCENTILE(D$2:D604,0.5)</f>
        <v>42.330911157425817</v>
      </c>
      <c r="K605" s="5">
        <f ca="1">PERCENTILE(D$2:D604,0.835)</f>
        <v>260.17542587344911</v>
      </c>
      <c r="L605" s="5">
        <f ca="1">PERCENTILE(D$2:D604,0.975)</f>
        <v>1328.0904111545535</v>
      </c>
      <c r="M605" s="7">
        <f>AVERAGE(E$2:E604)</f>
        <v>1.3664717348927879</v>
      </c>
      <c r="N605" s="7">
        <f>PERCENTILE($E$2:$E604,0.025)</f>
        <v>-1</v>
      </c>
      <c r="O605" s="7">
        <f>PERCENTILE($E$2:$E604,0.165)</f>
        <v>0</v>
      </c>
      <c r="P605" s="7">
        <f>PERCENTILE($E$2:$E604,0.5)</f>
        <v>1</v>
      </c>
      <c r="Q605" s="7">
        <f>PERCENTILE($E$2:$E604,0.835)</f>
        <v>3</v>
      </c>
      <c r="R605" s="7">
        <f>PERCENTILE($E$2:$E604,0.975)</f>
        <v>4</v>
      </c>
    </row>
    <row r="606" spans="1:18" x14ac:dyDescent="0.2">
      <c r="A606" s="5">
        <f>Data!E575</f>
        <v>2012</v>
      </c>
      <c r="B606" s="5">
        <f>Data!M575</f>
        <v>0.13777777777777778</v>
      </c>
      <c r="C606" s="5">
        <f>Data!N575</f>
        <v>2.2222222222222223E-2</v>
      </c>
      <c r="D606" s="5">
        <f ca="1">Data!O575</f>
        <v>6.3100384871371933</v>
      </c>
      <c r="E606" s="1" t="str">
        <f>Data!AQ575</f>
        <v>NA</v>
      </c>
      <c r="F606" t="str">
        <f t="shared" si="9"/>
        <v/>
      </c>
      <c r="G606" s="5">
        <f ca="1">AVERAGE(D$2:D605)</f>
        <v>193.47747345720481</v>
      </c>
      <c r="H606" s="5">
        <f ca="1">PERCENTILE(D$2:D605,0.025)</f>
        <v>-3.7029550782038534</v>
      </c>
      <c r="I606" s="5">
        <f ca="1">PERCENTILE(D$2:D605,0.165)</f>
        <v>5</v>
      </c>
      <c r="J606" s="5">
        <f ca="1">PERCENTILE(D$2:D605,0.5)</f>
        <v>42.399202353917147</v>
      </c>
      <c r="K606" s="5">
        <f ca="1">PERCENTILE(D$2:D605,0.835)</f>
        <v>259.97324799652546</v>
      </c>
      <c r="L606" s="5">
        <f ca="1">PERCENTILE(D$2:D605,0.975)</f>
        <v>1327.648492652266</v>
      </c>
      <c r="M606" s="7">
        <f>AVERAGE(E$2:E605)</f>
        <v>1.3664717348927879</v>
      </c>
      <c r="N606" s="7">
        <f>PERCENTILE($E$2:$E605,0.025)</f>
        <v>-1</v>
      </c>
      <c r="O606" s="7">
        <f>PERCENTILE($E$2:$E605,0.165)</f>
        <v>0</v>
      </c>
      <c r="P606" s="7">
        <f>PERCENTILE($E$2:$E605,0.5)</f>
        <v>1</v>
      </c>
      <c r="Q606" s="7">
        <f>PERCENTILE($E$2:$E605,0.835)</f>
        <v>3</v>
      </c>
      <c r="R606" s="7">
        <f>PERCENTILE($E$2:$E605,0.975)</f>
        <v>4</v>
      </c>
    </row>
    <row r="607" spans="1:18" x14ac:dyDescent="0.2">
      <c r="A607" s="5">
        <f>Data!E576</f>
        <v>2012</v>
      </c>
      <c r="B607" s="5">
        <f>Data!M576</f>
        <v>0.13777777777777778</v>
      </c>
      <c r="C607" s="5">
        <f>Data!N576</f>
        <v>2.2222222222222223E-2</v>
      </c>
      <c r="D607" s="5">
        <f ca="1">Data!O576</f>
        <v>18.930115461411582</v>
      </c>
      <c r="E607" s="1" t="str">
        <f>Data!AQ576</f>
        <v>NA</v>
      </c>
      <c r="F607" t="str">
        <f t="shared" si="9"/>
        <v/>
      </c>
      <c r="G607" s="5">
        <f ca="1">AVERAGE(D$2:D606)</f>
        <v>193.16810579609725</v>
      </c>
      <c r="H607" s="5">
        <f ca="1">PERCENTILE(D$2:D606,0.025)</f>
        <v>-3.6972349424170368</v>
      </c>
      <c r="I607" s="5">
        <f ca="1">PERCENTILE(D$2:D606,0.165)</f>
        <v>5</v>
      </c>
      <c r="J607" s="5">
        <f ca="1">PERCENTILE(D$2:D606,0.5)</f>
        <v>42.330911157425817</v>
      </c>
      <c r="K607" s="5">
        <f ca="1">PERCENTILE(D$2:D606,0.835)</f>
        <v>259.77107011960175</v>
      </c>
      <c r="L607" s="5">
        <f ca="1">PERCENTILE(D$2:D606,0.975)</f>
        <v>1327.2065741499787</v>
      </c>
      <c r="M607" s="7">
        <f>AVERAGE(E$2:E606)</f>
        <v>1.3664717348927879</v>
      </c>
      <c r="N607" s="7">
        <f>PERCENTILE($E$2:$E606,0.025)</f>
        <v>-1</v>
      </c>
      <c r="O607" s="7">
        <f>PERCENTILE($E$2:$E606,0.165)</f>
        <v>0</v>
      </c>
      <c r="P607" s="7">
        <f>PERCENTILE($E$2:$E606,0.5)</f>
        <v>1</v>
      </c>
      <c r="Q607" s="7">
        <f>PERCENTILE($E$2:$E606,0.835)</f>
        <v>3</v>
      </c>
      <c r="R607" s="7">
        <f>PERCENTILE($E$2:$E606,0.975)</f>
        <v>4</v>
      </c>
    </row>
    <row r="608" spans="1:18" x14ac:dyDescent="0.2">
      <c r="A608" s="5">
        <f>Data!E577</f>
        <v>2012</v>
      </c>
      <c r="B608" s="5">
        <f>Data!M577</f>
        <v>0.13777777777777778</v>
      </c>
      <c r="C608" s="5">
        <f>Data!N577</f>
        <v>2.2222222222222223E-2</v>
      </c>
      <c r="D608" s="5">
        <f ca="1">Data!O577</f>
        <v>75.720461845646327</v>
      </c>
      <c r="E608" s="1" t="str">
        <f>Data!AQ577</f>
        <v>NA</v>
      </c>
      <c r="F608" t="str">
        <f t="shared" si="9"/>
        <v/>
      </c>
      <c r="G608" s="5">
        <f ca="1">AVERAGE(D$2:D607)</f>
        <v>192.88058435990141</v>
      </c>
      <c r="H608" s="5">
        <f ca="1">PERCENTILE(D$2:D607,0.025)</f>
        <v>-3.6915148066302201</v>
      </c>
      <c r="I608" s="5">
        <f ca="1">PERCENTILE(D$2:D607,0.165)</f>
        <v>5</v>
      </c>
      <c r="J608" s="5">
        <f ca="1">PERCENTILE(D$2:D607,0.5)</f>
        <v>42.226318663946586</v>
      </c>
      <c r="K608" s="5">
        <f ca="1">PERCENTILE(D$2:D607,0.835)</f>
        <v>259.56889224267803</v>
      </c>
      <c r="L608" s="5">
        <f ca="1">PERCENTILE(D$2:D607,0.975)</f>
        <v>1326.7646556476914</v>
      </c>
      <c r="M608" s="7">
        <f>AVERAGE(E$2:E607)</f>
        <v>1.3664717348927879</v>
      </c>
      <c r="N608" s="7">
        <f>PERCENTILE($E$2:$E607,0.025)</f>
        <v>-1</v>
      </c>
      <c r="O608" s="7">
        <f>PERCENTILE($E$2:$E607,0.165)</f>
        <v>0</v>
      </c>
      <c r="P608" s="7">
        <f>PERCENTILE($E$2:$E607,0.5)</f>
        <v>1</v>
      </c>
      <c r="Q608" s="7">
        <f>PERCENTILE($E$2:$E607,0.835)</f>
        <v>3</v>
      </c>
      <c r="R608" s="7">
        <f>PERCENTILE($E$2:$E607,0.975)</f>
        <v>4</v>
      </c>
    </row>
    <row r="609" spans="1:18" x14ac:dyDescent="0.2">
      <c r="A609" s="5">
        <f>Data!E578</f>
        <v>2012</v>
      </c>
      <c r="B609" s="5">
        <f>Data!M578</f>
        <v>0.13777777777777778</v>
      </c>
      <c r="C609" s="5">
        <f>Data!N578</f>
        <v>2.2222222222222223E-2</v>
      </c>
      <c r="D609" s="5">
        <f ca="1">Data!O578</f>
        <v>7.3617115683267258</v>
      </c>
      <c r="E609" s="1" t="str">
        <f>Data!AQ578</f>
        <v>NA</v>
      </c>
      <c r="F609" t="str">
        <f t="shared" si="9"/>
        <v/>
      </c>
      <c r="G609" s="5">
        <f ca="1">AVERAGE(D$2:D608)</f>
        <v>192.6875693310476</v>
      </c>
      <c r="H609" s="5">
        <f ca="1">PERCENTILE(D$2:D608,0.025)</f>
        <v>-3.6857946708434035</v>
      </c>
      <c r="I609" s="5">
        <f ca="1">PERCENTILE(D$2:D608,0.165)</f>
        <v>5</v>
      </c>
      <c r="J609" s="5">
        <f ca="1">PERCENTILE(D$2:D608,0.5)</f>
        <v>42.330911157425817</v>
      </c>
      <c r="K609" s="5">
        <f ca="1">PERCENTILE(D$2:D608,0.835)</f>
        <v>259.36671436575438</v>
      </c>
      <c r="L609" s="5">
        <f ca="1">PERCENTILE(D$2:D608,0.975)</f>
        <v>1326.3227371454038</v>
      </c>
      <c r="M609" s="7">
        <f>AVERAGE(E$2:E608)</f>
        <v>1.3664717348927879</v>
      </c>
      <c r="N609" s="7">
        <f>PERCENTILE($E$2:$E608,0.025)</f>
        <v>-1</v>
      </c>
      <c r="O609" s="7">
        <f>PERCENTILE($E$2:$E608,0.165)</f>
        <v>0</v>
      </c>
      <c r="P609" s="7">
        <f>PERCENTILE($E$2:$E608,0.5)</f>
        <v>1</v>
      </c>
      <c r="Q609" s="7">
        <f>PERCENTILE($E$2:$E608,0.835)</f>
        <v>3</v>
      </c>
      <c r="R609" s="7">
        <f>PERCENTILE($E$2:$E608,0.975)</f>
        <v>4</v>
      </c>
    </row>
    <row r="610" spans="1:18" x14ac:dyDescent="0.2">
      <c r="A610" s="5">
        <f>Data!E579</f>
        <v>2012</v>
      </c>
      <c r="B610" s="5">
        <f>Data!M579</f>
        <v>0.13777777777777778</v>
      </c>
      <c r="C610" s="5">
        <f>Data!N579</f>
        <v>2.2222222222222223E-2</v>
      </c>
      <c r="D610" s="5">
        <f ca="1">Data!O579</f>
        <v>19.981788542601112</v>
      </c>
      <c r="E610" s="1" t="str">
        <f>Data!AQ579</f>
        <v>NA</v>
      </c>
      <c r="F610" t="str">
        <f t="shared" si="9"/>
        <v/>
      </c>
      <c r="G610" s="5">
        <f ca="1">AVERAGE(D$2:D609)</f>
        <v>192.3827570649905</v>
      </c>
      <c r="H610" s="5">
        <f ca="1">PERCENTILE(D$2:D609,0.025)</f>
        <v>-3.680074535056586</v>
      </c>
      <c r="I610" s="5">
        <f ca="1">PERCENTILE(D$2:D609,0.165)</f>
        <v>5.0012164041994751</v>
      </c>
      <c r="J610" s="5">
        <f ca="1">PERCENTILE(D$2:D609,0.5)</f>
        <v>42.226318663946586</v>
      </c>
      <c r="K610" s="5">
        <f ca="1">PERCENTILE(D$2:D609,0.835)</f>
        <v>259.14451968112297</v>
      </c>
      <c r="L610" s="5">
        <f ca="1">PERCENTILE(D$2:D609,0.975)</f>
        <v>1325.8808186431145</v>
      </c>
      <c r="M610" s="7">
        <f>AVERAGE(E$2:E609)</f>
        <v>1.3664717348927879</v>
      </c>
      <c r="N610" s="7">
        <f>PERCENTILE($E$2:$E609,0.025)</f>
        <v>-1</v>
      </c>
      <c r="O610" s="7">
        <f>PERCENTILE($E$2:$E609,0.165)</f>
        <v>0</v>
      </c>
      <c r="P610" s="7">
        <f>PERCENTILE($E$2:$E609,0.5)</f>
        <v>1</v>
      </c>
      <c r="Q610" s="7">
        <f>PERCENTILE($E$2:$E609,0.835)</f>
        <v>3</v>
      </c>
      <c r="R610" s="7">
        <f>PERCENTILE($E$2:$E609,0.975)</f>
        <v>4</v>
      </c>
    </row>
    <row r="611" spans="1:18" x14ac:dyDescent="0.2">
      <c r="A611" s="5">
        <f>Data!E580</f>
        <v>2012</v>
      </c>
      <c r="B611" s="5">
        <f>Data!M580</f>
        <v>0.13777777777777778</v>
      </c>
      <c r="C611" s="5">
        <f>Data!N580</f>
        <v>2.2222222222222223E-2</v>
      </c>
      <c r="D611" s="5">
        <f ca="1">Data!O580</f>
        <v>80.978827251593984</v>
      </c>
      <c r="E611" s="1" t="str">
        <f>Data!AQ580</f>
        <v>NA</v>
      </c>
      <c r="F611" t="str">
        <f t="shared" si="9"/>
        <v/>
      </c>
      <c r="G611" s="5">
        <f ca="1">AVERAGE(D$2:D610)</f>
        <v>192.09966844672715</v>
      </c>
      <c r="H611" s="5">
        <f ca="1">PERCENTILE(D$2:D610,0.025)</f>
        <v>-3.6743543992697685</v>
      </c>
      <c r="I611" s="5">
        <f ca="1">PERCENTILE(D$2:D610,0.165)</f>
        <v>5.0025112860892387</v>
      </c>
      <c r="J611" s="5">
        <f ca="1">PERCENTILE(D$2:D610,0.5)</f>
        <v>42.121726170467348</v>
      </c>
      <c r="K611" s="5">
        <f ca="1">PERCENTILE(D$2:D610,0.835)</f>
        <v>258.92103358954273</v>
      </c>
      <c r="L611" s="5">
        <f ca="1">PERCENTILE(D$2:D610,0.975)</f>
        <v>1325.4389001408272</v>
      </c>
      <c r="M611" s="7">
        <f>AVERAGE(E$2:E610)</f>
        <v>1.3664717348927879</v>
      </c>
      <c r="N611" s="7">
        <f>PERCENTILE($E$2:$E610,0.025)</f>
        <v>-1</v>
      </c>
      <c r="O611" s="7">
        <f>PERCENTILE($E$2:$E610,0.165)</f>
        <v>0</v>
      </c>
      <c r="P611" s="7">
        <f>PERCENTILE($E$2:$E610,0.5)</f>
        <v>1</v>
      </c>
      <c r="Q611" s="7">
        <f>PERCENTILE($E$2:$E610,0.835)</f>
        <v>3</v>
      </c>
      <c r="R611" s="7">
        <f>PERCENTILE($E$2:$E610,0.975)</f>
        <v>4</v>
      </c>
    </row>
    <row r="612" spans="1:18" x14ac:dyDescent="0.2">
      <c r="A612" s="5">
        <f>Data!E581</f>
        <v>2012</v>
      </c>
      <c r="B612" s="5">
        <f>Data!M581</f>
        <v>0.13777777777777778</v>
      </c>
      <c r="C612" s="5">
        <f>Data!N581</f>
        <v>2.2222222222222223E-2</v>
      </c>
      <c r="D612" s="5">
        <f ca="1">Data!O581</f>
        <v>2.1033461623790646</v>
      </c>
      <c r="E612" s="1" t="str">
        <f>Data!AQ581</f>
        <v>NA</v>
      </c>
      <c r="F612" t="str">
        <f t="shared" si="9"/>
        <v/>
      </c>
      <c r="G612" s="5">
        <f ca="1">AVERAGE(D$2:D611)</f>
        <v>191.91750313329248</v>
      </c>
      <c r="H612" s="5">
        <f ca="1">PERCENTILE(D$2:D611,0.025)</f>
        <v>-3.6686342634829519</v>
      </c>
      <c r="I612" s="5">
        <f ca="1">PERCENTILE(D$2:D611,0.165)</f>
        <v>5.0038061679790031</v>
      </c>
      <c r="J612" s="5">
        <f ca="1">PERCENTILE(D$2:D611,0.5)</f>
        <v>42.226318663946586</v>
      </c>
      <c r="K612" s="5">
        <f ca="1">PERCENTILE(D$2:D611,0.835)</f>
        <v>258.69754749796255</v>
      </c>
      <c r="L612" s="5">
        <f ca="1">PERCENTILE(D$2:D611,0.975)</f>
        <v>1324.9969816385399</v>
      </c>
      <c r="M612" s="7">
        <f>AVERAGE(E$2:E611)</f>
        <v>1.3664717348927879</v>
      </c>
      <c r="N612" s="7">
        <f>PERCENTILE($E$2:$E611,0.025)</f>
        <v>-1</v>
      </c>
      <c r="O612" s="7">
        <f>PERCENTILE($E$2:$E611,0.165)</f>
        <v>0</v>
      </c>
      <c r="P612" s="7">
        <f>PERCENTILE($E$2:$E611,0.5)</f>
        <v>1</v>
      </c>
      <c r="Q612" s="7">
        <f>PERCENTILE($E$2:$E611,0.835)</f>
        <v>3</v>
      </c>
      <c r="R612" s="7">
        <f>PERCENTILE($E$2:$E611,0.975)</f>
        <v>4</v>
      </c>
    </row>
    <row r="613" spans="1:18" x14ac:dyDescent="0.2">
      <c r="A613" s="5">
        <f>Data!E582</f>
        <v>2012</v>
      </c>
      <c r="B613" s="5">
        <f>Data!M582</f>
        <v>0.13777777777777778</v>
      </c>
      <c r="C613" s="5">
        <f>Data!N582</f>
        <v>2.2222222222222223E-2</v>
      </c>
      <c r="D613" s="5">
        <f ca="1">Data!O582</f>
        <v>6.3100384871371933</v>
      </c>
      <c r="E613" s="1" t="str">
        <f>Data!AQ582</f>
        <v>NA</v>
      </c>
      <c r="F613" t="str">
        <f t="shared" si="9"/>
        <v/>
      </c>
      <c r="G613" s="5">
        <f ca="1">AVERAGE(D$2:D612)</f>
        <v>191.60684166525496</v>
      </c>
      <c r="H613" s="5">
        <f ca="1">PERCENTILE(D$2:D612,0.025)</f>
        <v>-3.6629141276961352</v>
      </c>
      <c r="I613" s="5">
        <f ca="1">PERCENTILE(D$2:D612,0.165)</f>
        <v>5</v>
      </c>
      <c r="J613" s="5">
        <f ca="1">PERCENTILE(D$2:D612,0.5)</f>
        <v>42.121726170467348</v>
      </c>
      <c r="K613" s="5">
        <f ca="1">PERCENTILE(D$2:D612,0.835)</f>
        <v>258.47406140638225</v>
      </c>
      <c r="L613" s="5">
        <f ca="1">PERCENTILE(D$2:D612,0.975)</f>
        <v>1324.5550631362523</v>
      </c>
      <c r="M613" s="7">
        <f>AVERAGE(E$2:E612)</f>
        <v>1.3664717348927879</v>
      </c>
      <c r="N613" s="7">
        <f>PERCENTILE($E$2:$E612,0.025)</f>
        <v>-1</v>
      </c>
      <c r="O613" s="7">
        <f>PERCENTILE($E$2:$E612,0.165)</f>
        <v>0</v>
      </c>
      <c r="P613" s="7">
        <f>PERCENTILE($E$2:$E612,0.5)</f>
        <v>1</v>
      </c>
      <c r="Q613" s="7">
        <f>PERCENTILE($E$2:$E612,0.835)</f>
        <v>3</v>
      </c>
      <c r="R613" s="7">
        <f>PERCENTILE($E$2:$E612,0.975)</f>
        <v>4</v>
      </c>
    </row>
    <row r="614" spans="1:18" x14ac:dyDescent="0.2">
      <c r="A614" s="5">
        <f>Data!E583</f>
        <v>2012</v>
      </c>
      <c r="B614" s="5">
        <f>Data!M583</f>
        <v>0.13777777777777778</v>
      </c>
      <c r="C614" s="5">
        <f>Data!N583</f>
        <v>2.2222222222222223E-2</v>
      </c>
      <c r="D614" s="5">
        <f ca="1">Data!O583</f>
        <v>22.085134704980177</v>
      </c>
      <c r="E614" s="1" t="str">
        <f>Data!AQ583</f>
        <v>NA</v>
      </c>
      <c r="F614" t="str">
        <f t="shared" si="9"/>
        <v/>
      </c>
      <c r="G614" s="5">
        <f ca="1">AVERAGE(D$2:D613)</f>
        <v>191.30406911104237</v>
      </c>
      <c r="H614" s="5">
        <f ca="1">PERCENTILE(D$2:D613,0.025)</f>
        <v>-3.657193991909319</v>
      </c>
      <c r="I614" s="5">
        <f ca="1">PERCENTILE(D$2:D613,0.165)</f>
        <v>5</v>
      </c>
      <c r="J614" s="5">
        <f ca="1">PERCENTILE(D$2:D613,0.5)</f>
        <v>42.008723409783443</v>
      </c>
      <c r="K614" s="5">
        <f ca="1">PERCENTILE(D$2:D613,0.835)</f>
        <v>258.25057531480206</v>
      </c>
      <c r="L614" s="5">
        <f ca="1">PERCENTILE(D$2:D613,0.975)</f>
        <v>1324.113144633965</v>
      </c>
      <c r="M614" s="7">
        <f>AVERAGE(E$2:E613)</f>
        <v>1.3664717348927879</v>
      </c>
      <c r="N614" s="7">
        <f>PERCENTILE($E$2:$E613,0.025)</f>
        <v>-1</v>
      </c>
      <c r="O614" s="7">
        <f>PERCENTILE($E$2:$E613,0.165)</f>
        <v>0</v>
      </c>
      <c r="P614" s="7">
        <f>PERCENTILE($E$2:$E613,0.5)</f>
        <v>1</v>
      </c>
      <c r="Q614" s="7">
        <f>PERCENTILE($E$2:$E613,0.835)</f>
        <v>3</v>
      </c>
      <c r="R614" s="7">
        <f>PERCENTILE($E$2:$E613,0.975)</f>
        <v>4</v>
      </c>
    </row>
    <row r="615" spans="1:18" x14ac:dyDescent="0.2">
      <c r="A615" s="5">
        <f>Data!E584</f>
        <v>2012</v>
      </c>
      <c r="B615" s="5">
        <f>Data!M584</f>
        <v>0.13777777777777778</v>
      </c>
      <c r="C615" s="5">
        <f>Data!N584</f>
        <v>2.2222222222222223E-2</v>
      </c>
      <c r="D615" s="5">
        <f ca="1">Data!O584</f>
        <v>3.1550192435685966</v>
      </c>
      <c r="E615" s="1" t="str">
        <f>Data!AQ584</f>
        <v>NA</v>
      </c>
      <c r="F615" t="str">
        <f t="shared" si="9"/>
        <v/>
      </c>
      <c r="G615" s="5">
        <f ca="1">AVERAGE(D$2:D614)</f>
        <v>191.02801864708468</v>
      </c>
      <c r="H615" s="5">
        <f ca="1">PERCENTILE(D$2:D614,0.025)</f>
        <v>-3.6514738561225015</v>
      </c>
      <c r="I615" s="5">
        <f ca="1">PERCENTILE(D$2:D614,0.165)</f>
        <v>5</v>
      </c>
      <c r="J615" s="5">
        <f ca="1">PERCENTILE(D$2:D614,0.5)</f>
        <v>41.89572064909953</v>
      </c>
      <c r="K615" s="5">
        <f ca="1">PERCENTILE(D$2:D614,0.835)</f>
        <v>258.02708922322182</v>
      </c>
      <c r="L615" s="5">
        <f ca="1">PERCENTILE(D$2:D614,0.975)</f>
        <v>1323.6712261316757</v>
      </c>
      <c r="M615" s="7">
        <f>AVERAGE(E$2:E614)</f>
        <v>1.3664717348927879</v>
      </c>
      <c r="N615" s="7">
        <f>PERCENTILE($E$2:$E614,0.025)</f>
        <v>-1</v>
      </c>
      <c r="O615" s="7">
        <f>PERCENTILE($E$2:$E614,0.165)</f>
        <v>0</v>
      </c>
      <c r="P615" s="7">
        <f>PERCENTILE($E$2:$E614,0.5)</f>
        <v>1</v>
      </c>
      <c r="Q615" s="7">
        <f>PERCENTILE($E$2:$E614,0.835)</f>
        <v>3</v>
      </c>
      <c r="R615" s="7">
        <f>PERCENTILE($E$2:$E614,0.975)</f>
        <v>4</v>
      </c>
    </row>
    <row r="616" spans="1:18" x14ac:dyDescent="0.2">
      <c r="A616" s="5">
        <f>Data!E585</f>
        <v>2012</v>
      </c>
      <c r="B616" s="5">
        <f>Data!M585</f>
        <v>0.13777777777777778</v>
      </c>
      <c r="C616" s="5">
        <f>Data!N585</f>
        <v>2.2222222222222223E-2</v>
      </c>
      <c r="D616" s="5">
        <f ca="1">Data!O585</f>
        <v>8.4133846495162583</v>
      </c>
      <c r="E616" s="1" t="str">
        <f>Data!AQ585</f>
        <v>NA</v>
      </c>
      <c r="F616" t="str">
        <f t="shared" si="9"/>
        <v/>
      </c>
      <c r="G616" s="5">
        <f ca="1">AVERAGE(D$2:D615)</f>
        <v>190.72203656336558</v>
      </c>
      <c r="H616" s="5">
        <f ca="1">PERCENTILE(D$2:D615,0.025)</f>
        <v>-3.645753720335684</v>
      </c>
      <c r="I616" s="5">
        <f ca="1">PERCENTILE(D$2:D615,0.165)</f>
        <v>5</v>
      </c>
      <c r="J616" s="5">
        <f ca="1">PERCENTILE(D$2:D615,0.5)</f>
        <v>41.729467789380884</v>
      </c>
      <c r="K616" s="5">
        <f ca="1">PERCENTILE(D$2:D615,0.835)</f>
        <v>257.34071582216831</v>
      </c>
      <c r="L616" s="5">
        <f ca="1">PERCENTILE(D$2:D615,0.975)</f>
        <v>1323.2293076293881</v>
      </c>
      <c r="M616" s="7">
        <f>AVERAGE(E$2:E615)</f>
        <v>1.3664717348927879</v>
      </c>
      <c r="N616" s="7">
        <f>PERCENTILE($E$2:$E615,0.025)</f>
        <v>-1</v>
      </c>
      <c r="O616" s="7">
        <f>PERCENTILE($E$2:$E615,0.165)</f>
        <v>0</v>
      </c>
      <c r="P616" s="7">
        <f>PERCENTILE($E$2:$E615,0.5)</f>
        <v>1</v>
      </c>
      <c r="Q616" s="7">
        <f>PERCENTILE($E$2:$E615,0.835)</f>
        <v>3</v>
      </c>
      <c r="R616" s="7">
        <f>PERCENTILE($E$2:$E615,0.975)</f>
        <v>4</v>
      </c>
    </row>
    <row r="617" spans="1:18" x14ac:dyDescent="0.2">
      <c r="A617" s="5">
        <f>Data!E586</f>
        <v>2012</v>
      </c>
      <c r="B617" s="5">
        <f>Data!M586</f>
        <v>0.13777777777777778</v>
      </c>
      <c r="C617" s="5">
        <f>Data!N586</f>
        <v>2.2222222222222223E-2</v>
      </c>
      <c r="D617" s="5">
        <f ca="1">Data!O586</f>
        <v>34.705211679254568</v>
      </c>
      <c r="E617" s="1" t="str">
        <f>Data!AQ586</f>
        <v>NA</v>
      </c>
      <c r="F617" t="str">
        <f t="shared" si="9"/>
        <v/>
      </c>
      <c r="G617" s="5">
        <f ca="1">AVERAGE(D$2:D616)</f>
        <v>190.42559973098534</v>
      </c>
      <c r="H617" s="5">
        <f ca="1">PERCENTILE(D$2:D616,0.025)</f>
        <v>-3.6400335845488674</v>
      </c>
      <c r="I617" s="5">
        <f ca="1">PERCENTILE(D$2:D616,0.165)</f>
        <v>5</v>
      </c>
      <c r="J617" s="5">
        <f ca="1">PERCENTILE(D$2:D616,0.5)</f>
        <v>41.563214929662237</v>
      </c>
      <c r="K617" s="5">
        <f ca="1">PERCENTILE(D$2:D616,0.835)</f>
        <v>256.59049589566968</v>
      </c>
      <c r="L617" s="5">
        <f ca="1">PERCENTILE(D$2:D616,0.975)</f>
        <v>1322.7873891271008</v>
      </c>
      <c r="M617" s="7">
        <f>AVERAGE(E$2:E616)</f>
        <v>1.3664717348927879</v>
      </c>
      <c r="N617" s="7">
        <f>PERCENTILE($E$2:$E616,0.025)</f>
        <v>-1</v>
      </c>
      <c r="O617" s="7">
        <f>PERCENTILE($E$2:$E616,0.165)</f>
        <v>0</v>
      </c>
      <c r="P617" s="7">
        <f>PERCENTILE($E$2:$E616,0.5)</f>
        <v>1</v>
      </c>
      <c r="Q617" s="7">
        <f>PERCENTILE($E$2:$E616,0.835)</f>
        <v>3</v>
      </c>
      <c r="R617" s="7">
        <f>PERCENTILE($E$2:$E616,0.975)</f>
        <v>4</v>
      </c>
    </row>
    <row r="618" spans="1:18" x14ac:dyDescent="0.2">
      <c r="A618" s="5">
        <f>Data!E587</f>
        <v>2012</v>
      </c>
      <c r="B618" s="5">
        <f>Data!M587</f>
        <v>0.13777777777777778</v>
      </c>
      <c r="C618" s="5">
        <f>Data!N587</f>
        <v>2.2222222222222223E-2</v>
      </c>
      <c r="D618" s="5">
        <f ca="1">Data!O587</f>
        <v>0</v>
      </c>
      <c r="E618" s="1" t="str">
        <f>Data!AQ587</f>
        <v>NA</v>
      </c>
      <c r="F618" t="str">
        <f t="shared" si="9"/>
        <v/>
      </c>
      <c r="G618" s="5">
        <f ca="1">AVERAGE(D$2:D617)</f>
        <v>190.172806893239</v>
      </c>
      <c r="H618" s="5">
        <f ca="1">PERCENTILE(D$2:D617,0.025)</f>
        <v>-3.6343134487620508</v>
      </c>
      <c r="I618" s="5">
        <f ca="1">PERCENTILE(D$2:D617,0.165)</f>
        <v>5</v>
      </c>
      <c r="J618" s="5">
        <f ca="1">PERCENTILE(D$2:D617,0.5)</f>
        <v>41.55442656613458</v>
      </c>
      <c r="K618" s="5">
        <f ca="1">PERCENTILE(D$2:D617,0.835)</f>
        <v>255.84027596917161</v>
      </c>
      <c r="L618" s="5">
        <f ca="1">PERCENTILE(D$2:D617,0.975)</f>
        <v>1322.3454706248135</v>
      </c>
      <c r="M618" s="7">
        <f>AVERAGE(E$2:E617)</f>
        <v>1.3664717348927879</v>
      </c>
      <c r="N618" s="7">
        <f>PERCENTILE($E$2:$E617,0.025)</f>
        <v>-1</v>
      </c>
      <c r="O618" s="7">
        <f>PERCENTILE($E$2:$E617,0.165)</f>
        <v>0</v>
      </c>
      <c r="P618" s="7">
        <f>PERCENTILE($E$2:$E617,0.5)</f>
        <v>1</v>
      </c>
      <c r="Q618" s="7">
        <f>PERCENTILE($E$2:$E617,0.835)</f>
        <v>3</v>
      </c>
      <c r="R618" s="7">
        <f>PERCENTILE($E$2:$E617,0.975)</f>
        <v>4</v>
      </c>
    </row>
    <row r="619" spans="1:18" x14ac:dyDescent="0.2">
      <c r="A619" s="5">
        <f>Data!E588</f>
        <v>2012</v>
      </c>
      <c r="B619" s="5">
        <f>Data!M588</f>
        <v>0.13777777777777778</v>
      </c>
      <c r="C619" s="5">
        <f>Data!N588</f>
        <v>2.2222222222222223E-2</v>
      </c>
      <c r="D619" s="5">
        <f ca="1">Data!O588</f>
        <v>3.1550192435685966</v>
      </c>
      <c r="E619" s="1" t="str">
        <f>Data!AQ588</f>
        <v>NA</v>
      </c>
      <c r="F619" t="str">
        <f t="shared" si="9"/>
        <v/>
      </c>
      <c r="G619" s="5">
        <f ca="1">AVERAGE(D$2:D618)</f>
        <v>189.86458516407654</v>
      </c>
      <c r="H619" s="5">
        <f ca="1">PERCENTILE(D$2:D618,0.025)</f>
        <v>-3.6285933129752341</v>
      </c>
      <c r="I619" s="5">
        <f ca="1">PERCENTILE(D$2:D618,0.165)</f>
        <v>4.9513159055118114</v>
      </c>
      <c r="J619" s="5">
        <f ca="1">PERCENTILE(D$2:D618,0.5)</f>
        <v>41.545638202606931</v>
      </c>
      <c r="K619" s="5">
        <f ca="1">PERCENTILE(D$2:D618,0.835)</f>
        <v>255.09005604267352</v>
      </c>
      <c r="L619" s="5">
        <f ca="1">PERCENTILE(D$2:D618,0.975)</f>
        <v>1321.9035521225262</v>
      </c>
      <c r="M619" s="7">
        <f>AVERAGE(E$2:E618)</f>
        <v>1.3664717348927879</v>
      </c>
      <c r="N619" s="7">
        <f>PERCENTILE($E$2:$E618,0.025)</f>
        <v>-1</v>
      </c>
      <c r="O619" s="7">
        <f>PERCENTILE($E$2:$E618,0.165)</f>
        <v>0</v>
      </c>
      <c r="P619" s="7">
        <f>PERCENTILE($E$2:$E618,0.5)</f>
        <v>1</v>
      </c>
      <c r="Q619" s="7">
        <f>PERCENTILE($E$2:$E618,0.835)</f>
        <v>3</v>
      </c>
      <c r="R619" s="7">
        <f>PERCENTILE($E$2:$E618,0.975)</f>
        <v>4</v>
      </c>
    </row>
    <row r="620" spans="1:18" x14ac:dyDescent="0.2">
      <c r="A620" s="5">
        <f>Data!E589</f>
        <v>2012</v>
      </c>
      <c r="B620" s="5">
        <f>Data!M589</f>
        <v>0.13777777777777778</v>
      </c>
      <c r="C620" s="5">
        <f>Data!N589</f>
        <v>2.2222222222222223E-2</v>
      </c>
      <c r="D620" s="5">
        <f ca="1">Data!O589</f>
        <v>7.3617115683267258</v>
      </c>
      <c r="E620" s="1" t="str">
        <f>Data!AQ589</f>
        <v>NA</v>
      </c>
      <c r="F620" t="str">
        <f t="shared" si="9"/>
        <v/>
      </c>
      <c r="G620" s="5">
        <f ca="1">AVERAGE(D$2:D619)</f>
        <v>189.56246612537021</v>
      </c>
      <c r="H620" s="5">
        <f ca="1">PERCENTILE(D$2:D619,0.025)</f>
        <v>-3.6228731771884171</v>
      </c>
      <c r="I620" s="5">
        <f ca="1">PERCENTILE(D$2:D619,0.165)</f>
        <v>4.7855845316743935</v>
      </c>
      <c r="J620" s="5">
        <f ca="1">PERCENTILE(D$2:D619,0.5)</f>
        <v>41.055667986978634</v>
      </c>
      <c r="K620" s="5">
        <f ca="1">PERCENTILE(D$2:D619,0.835)</f>
        <v>254.33983611617492</v>
      </c>
      <c r="L620" s="5">
        <f ca="1">PERCENTILE(D$2:D619,0.975)</f>
        <v>1321.4616336202366</v>
      </c>
      <c r="M620" s="7">
        <f>AVERAGE(E$2:E619)</f>
        <v>1.3664717348927879</v>
      </c>
      <c r="N620" s="7">
        <f>PERCENTILE($E$2:$E619,0.025)</f>
        <v>-1</v>
      </c>
      <c r="O620" s="7">
        <f>PERCENTILE($E$2:$E619,0.165)</f>
        <v>0</v>
      </c>
      <c r="P620" s="7">
        <f>PERCENTILE($E$2:$E619,0.5)</f>
        <v>1</v>
      </c>
      <c r="Q620" s="7">
        <f>PERCENTILE($E$2:$E619,0.835)</f>
        <v>3</v>
      </c>
      <c r="R620" s="7">
        <f>PERCENTILE($E$2:$E619,0.975)</f>
        <v>4</v>
      </c>
    </row>
    <row r="621" spans="1:18" x14ac:dyDescent="0.2">
      <c r="A621" s="5">
        <f>Data!E590</f>
        <v>2012</v>
      </c>
      <c r="B621" s="5">
        <f>Data!M590</f>
        <v>0.13777777777777778</v>
      </c>
      <c r="C621" s="5">
        <f>Data!N590</f>
        <v>2.2222222222222223E-2</v>
      </c>
      <c r="D621" s="5">
        <f ca="1">Data!O590</f>
        <v>1.0516730811895323</v>
      </c>
      <c r="E621" s="1" t="str">
        <f>Data!AQ590</f>
        <v>NA</v>
      </c>
      <c r="F621" t="str">
        <f t="shared" si="9"/>
        <v/>
      </c>
      <c r="G621" s="5">
        <f ca="1">AVERAGE(D$2:D620)</f>
        <v>189.26811918747515</v>
      </c>
      <c r="H621" s="5">
        <f ca="1">PERCENTILE(D$2:D620,0.025)</f>
        <v>-3.6171530414015995</v>
      </c>
      <c r="I621" s="5">
        <f ca="1">PERCENTILE(D$2:D620,0.165)</f>
        <v>4.8525845776571543</v>
      </c>
      <c r="J621" s="5">
        <f ca="1">PERCENTILE(D$2:D620,0.5)</f>
        <v>40.565697771350337</v>
      </c>
      <c r="K621" s="5">
        <f ca="1">PERCENTILE(D$2:D620,0.835)</f>
        <v>253.58961618967683</v>
      </c>
      <c r="L621" s="5">
        <f ca="1">PERCENTILE(D$2:D620,0.975)</f>
        <v>1321.0197151179493</v>
      </c>
      <c r="M621" s="7">
        <f>AVERAGE(E$2:E620)</f>
        <v>1.3664717348927879</v>
      </c>
      <c r="N621" s="7">
        <f>PERCENTILE($E$2:$E620,0.025)</f>
        <v>-1</v>
      </c>
      <c r="O621" s="7">
        <f>PERCENTILE($E$2:$E620,0.165)</f>
        <v>0</v>
      </c>
      <c r="P621" s="7">
        <f>PERCENTILE($E$2:$E620,0.5)</f>
        <v>1</v>
      </c>
      <c r="Q621" s="7">
        <f>PERCENTILE($E$2:$E620,0.835)</f>
        <v>3</v>
      </c>
      <c r="R621" s="7">
        <f>PERCENTILE($E$2:$E620,0.975)</f>
        <v>4</v>
      </c>
    </row>
    <row r="622" spans="1:18" x14ac:dyDescent="0.2">
      <c r="A622" s="5">
        <f>Data!E591</f>
        <v>2012</v>
      </c>
      <c r="B622" s="5">
        <f>Data!M591</f>
        <v>0.13777777777777778</v>
      </c>
      <c r="C622" s="5">
        <f>Data!N591</f>
        <v>2.2222222222222223E-2</v>
      </c>
      <c r="D622" s="5">
        <f ca="1">Data!O591</f>
        <v>6.3100384871371933</v>
      </c>
      <c r="E622" s="1" t="str">
        <f>Data!AQ591</f>
        <v>NA</v>
      </c>
      <c r="F622" t="str">
        <f t="shared" si="9"/>
        <v/>
      </c>
      <c r="G622" s="5">
        <f ca="1">AVERAGE(D$2:D621)</f>
        <v>188.96454427440051</v>
      </c>
      <c r="H622" s="5">
        <f ca="1">PERCENTILE(D$2:D621,0.025)</f>
        <v>-3.6114329056147829</v>
      </c>
      <c r="I622" s="5">
        <f ca="1">PERCENTILE(D$2:D621,0.165)</f>
        <v>4.5135237388958984</v>
      </c>
      <c r="J622" s="5">
        <f ca="1">PERCENTILE(D$2:D621,0.5)</f>
        <v>40.451553600234021</v>
      </c>
      <c r="K622" s="5">
        <f ca="1">PERCENTILE(D$2:D621,0.835)</f>
        <v>253.44685326664498</v>
      </c>
      <c r="L622" s="5">
        <f ca="1">PERCENTILE(D$2:D621,0.975)</f>
        <v>1320.577796615662</v>
      </c>
      <c r="M622" s="7">
        <f>AVERAGE(E$2:E621)</f>
        <v>1.3664717348927879</v>
      </c>
      <c r="N622" s="7">
        <f>PERCENTILE($E$2:$E621,0.025)</f>
        <v>-1</v>
      </c>
      <c r="O622" s="7">
        <f>PERCENTILE($E$2:$E621,0.165)</f>
        <v>0</v>
      </c>
      <c r="P622" s="7">
        <f>PERCENTILE($E$2:$E621,0.5)</f>
        <v>1</v>
      </c>
      <c r="Q622" s="7">
        <f>PERCENTILE($E$2:$E621,0.835)</f>
        <v>3</v>
      </c>
      <c r="R622" s="7">
        <f>PERCENTILE($E$2:$E621,0.975)</f>
        <v>4</v>
      </c>
    </row>
    <row r="623" spans="1:18" x14ac:dyDescent="0.2">
      <c r="A623" s="5">
        <f>Data!E592</f>
        <v>2012</v>
      </c>
      <c r="B623" s="5">
        <f>Data!M592</f>
        <v>0.13777777777777778</v>
      </c>
      <c r="C623" s="5">
        <f>Data!N592</f>
        <v>2.2222222222222223E-2</v>
      </c>
      <c r="D623" s="5">
        <f ca="1">Data!O592</f>
        <v>13.671750055463919</v>
      </c>
      <c r="E623" s="1" t="str">
        <f>Data!AQ592</f>
        <v>NA</v>
      </c>
      <c r="F623" t="str">
        <f t="shared" si="9"/>
        <v/>
      </c>
      <c r="G623" s="5">
        <f ca="1">AVERAGE(D$2:D622)</f>
        <v>188.67041463545161</v>
      </c>
      <c r="H623" s="5">
        <f ca="1">PERCENTILE(D$2:D622,0.025)</f>
        <v>-3.6057127698279663</v>
      </c>
      <c r="I623" s="5">
        <f ca="1">PERCENTILE(D$2:D622,0.165)</f>
        <v>4.5805237848786646</v>
      </c>
      <c r="J623" s="5">
        <f ca="1">PERCENTILE(D$2:D622,0.5)</f>
        <v>40.337409429117699</v>
      </c>
      <c r="K623" s="5">
        <f ca="1">PERCENTILE(D$2:D622,0.835)</f>
        <v>253.43908078882774</v>
      </c>
      <c r="L623" s="5">
        <f ca="1">PERCENTILE(D$2:D622,0.975)</f>
        <v>1320.1358781133745</v>
      </c>
      <c r="M623" s="7">
        <f>AVERAGE(E$2:E622)</f>
        <v>1.3664717348927879</v>
      </c>
      <c r="N623" s="7">
        <f>PERCENTILE($E$2:$E622,0.025)</f>
        <v>-1</v>
      </c>
      <c r="O623" s="7">
        <f>PERCENTILE($E$2:$E622,0.165)</f>
        <v>0</v>
      </c>
      <c r="P623" s="7">
        <f>PERCENTILE($E$2:$E622,0.5)</f>
        <v>1</v>
      </c>
      <c r="Q623" s="7">
        <f>PERCENTILE($E$2:$E622,0.835)</f>
        <v>3</v>
      </c>
      <c r="R623" s="7">
        <f>PERCENTILE($E$2:$E622,0.975)</f>
        <v>4</v>
      </c>
    </row>
    <row r="624" spans="1:18" x14ac:dyDescent="0.2">
      <c r="A624" s="5">
        <f>Data!E593</f>
        <v>2012</v>
      </c>
      <c r="B624" s="5">
        <f>Data!M593</f>
        <v>0.13777777777777778</v>
      </c>
      <c r="C624" s="5">
        <f>Data!N593</f>
        <v>2.2222222222222223E-2</v>
      </c>
      <c r="D624" s="5">
        <f ca="1">Data!O593</f>
        <v>1.0516730811895323</v>
      </c>
      <c r="E624" s="1" t="str">
        <f>Data!AQ593</f>
        <v>NA</v>
      </c>
      <c r="F624" t="str">
        <f t="shared" si="9"/>
        <v/>
      </c>
      <c r="G624" s="5">
        <f ca="1">AVERAGE(D$2:D623)</f>
        <v>188.38906630011402</v>
      </c>
      <c r="H624" s="5">
        <f ca="1">PERCENTILE(D$2:D623,0.025)</f>
        <v>-3.5999926340411497</v>
      </c>
      <c r="I624" s="5">
        <f ca="1">PERCENTILE(D$2:D623,0.165)</f>
        <v>4.6475238308614255</v>
      </c>
      <c r="J624" s="5">
        <f ca="1">PERCENTILE(D$2:D623,0.5)</f>
        <v>40.278269975982717</v>
      </c>
      <c r="K624" s="5">
        <f ca="1">PERCENTILE(D$2:D623,0.835)</f>
        <v>253.43130831101047</v>
      </c>
      <c r="L624" s="5">
        <f ca="1">PERCENTILE(D$2:D623,0.975)</f>
        <v>1319.6939596110872</v>
      </c>
      <c r="M624" s="7">
        <f>AVERAGE(E$2:E623)</f>
        <v>1.3664717348927879</v>
      </c>
      <c r="N624" s="7">
        <f>PERCENTILE($E$2:$E623,0.025)</f>
        <v>-1</v>
      </c>
      <c r="O624" s="7">
        <f>PERCENTILE($E$2:$E623,0.165)</f>
        <v>0</v>
      </c>
      <c r="P624" s="7">
        <f>PERCENTILE($E$2:$E623,0.5)</f>
        <v>1</v>
      </c>
      <c r="Q624" s="7">
        <f>PERCENTILE($E$2:$E623,0.835)</f>
        <v>3</v>
      </c>
      <c r="R624" s="7">
        <f>PERCENTILE($E$2:$E623,0.975)</f>
        <v>4</v>
      </c>
    </row>
    <row r="625" spans="1:18" x14ac:dyDescent="0.2">
      <c r="A625" s="5">
        <f>Data!E594</f>
        <v>2012</v>
      </c>
      <c r="B625" s="5">
        <f>Data!M594</f>
        <v>0.13777777777777778</v>
      </c>
      <c r="C625" s="5">
        <f>Data!N594</f>
        <v>2.2222222222222223E-2</v>
      </c>
      <c r="D625" s="5">
        <f ca="1">Data!O594</f>
        <v>6.3100384871371933</v>
      </c>
      <c r="E625" s="1" t="str">
        <f>Data!AQ594</f>
        <v>NA</v>
      </c>
      <c r="F625" t="str">
        <f t="shared" si="9"/>
        <v/>
      </c>
      <c r="G625" s="5">
        <f ca="1">AVERAGE(D$2:D624)</f>
        <v>188.0883642243212</v>
      </c>
      <c r="H625" s="5">
        <f ca="1">PERCENTILE(D$2:D624,0.025)</f>
        <v>-3.5942724982543321</v>
      </c>
      <c r="I625" s="5">
        <f ca="1">PERCENTILE(D$2:D624,0.165)</f>
        <v>4.4570425239633771</v>
      </c>
      <c r="J625" s="5">
        <f ca="1">PERCENTILE(D$2:D624,0.5)</f>
        <v>40.219130522847735</v>
      </c>
      <c r="K625" s="5">
        <f ca="1">PERCENTILE(D$2:D624,0.835)</f>
        <v>253.42353583319323</v>
      </c>
      <c r="L625" s="5">
        <f ca="1">PERCENTILE(D$2:D624,0.975)</f>
        <v>1319.2520411087978</v>
      </c>
      <c r="M625" s="7">
        <f>AVERAGE(E$2:E624)</f>
        <v>1.3664717348927879</v>
      </c>
      <c r="N625" s="7">
        <f>PERCENTILE($E$2:$E624,0.025)</f>
        <v>-1</v>
      </c>
      <c r="O625" s="7">
        <f>PERCENTILE($E$2:$E624,0.165)</f>
        <v>0</v>
      </c>
      <c r="P625" s="7">
        <f>PERCENTILE($E$2:$E624,0.5)</f>
        <v>1</v>
      </c>
      <c r="Q625" s="7">
        <f>PERCENTILE($E$2:$E624,0.835)</f>
        <v>3</v>
      </c>
      <c r="R625" s="7">
        <f>PERCENTILE($E$2:$E624,0.975)</f>
        <v>4</v>
      </c>
    </row>
    <row r="626" spans="1:18" x14ac:dyDescent="0.2">
      <c r="A626" s="5">
        <f>Data!E595</f>
        <v>2012</v>
      </c>
      <c r="B626" s="5">
        <f>Data!M595</f>
        <v>0.13777777777777778</v>
      </c>
      <c r="C626" s="5">
        <f>Data!N595</f>
        <v>2.2222222222222223E-2</v>
      </c>
      <c r="D626" s="5">
        <f ca="1">Data!O595</f>
        <v>13.671750055463919</v>
      </c>
      <c r="E626" s="1" t="str">
        <f>Data!AQ595</f>
        <v>NA</v>
      </c>
      <c r="F626" t="str">
        <f t="shared" si="9"/>
        <v/>
      </c>
      <c r="G626" s="5">
        <f ca="1">AVERAGE(D$2:D625)</f>
        <v>187.79705280487059</v>
      </c>
      <c r="H626" s="5">
        <f ca="1">PERCENTILE(D$2:D625,0.025)</f>
        <v>-3.5885523624675151</v>
      </c>
      <c r="I626" s="5">
        <f ca="1">PERCENTILE(D$2:D625,0.165)</f>
        <v>4.4577841300611949</v>
      </c>
      <c r="J626" s="5">
        <f ca="1">PERCENTILE(D$2:D625,0.5)</f>
        <v>40.19784120988939</v>
      </c>
      <c r="K626" s="5">
        <f ca="1">PERCENTILE(D$2:D625,0.835)</f>
        <v>253.41576335537599</v>
      </c>
      <c r="L626" s="5">
        <f ca="1">PERCENTILE(D$2:D625,0.975)</f>
        <v>1318.8101226065105</v>
      </c>
      <c r="M626" s="7">
        <f>AVERAGE(E$2:E625)</f>
        <v>1.3664717348927879</v>
      </c>
      <c r="N626" s="7">
        <f>PERCENTILE($E$2:$E625,0.025)</f>
        <v>-1</v>
      </c>
      <c r="O626" s="7">
        <f>PERCENTILE($E$2:$E625,0.165)</f>
        <v>0</v>
      </c>
      <c r="P626" s="7">
        <f>PERCENTILE($E$2:$E625,0.5)</f>
        <v>1</v>
      </c>
      <c r="Q626" s="7">
        <f>PERCENTILE($E$2:$E625,0.835)</f>
        <v>3</v>
      </c>
      <c r="R626" s="7">
        <f>PERCENTILE($E$2:$E625,0.975)</f>
        <v>4</v>
      </c>
    </row>
    <row r="627" spans="1:18" x14ac:dyDescent="0.2">
      <c r="A627" s="5">
        <f>Data!E596</f>
        <v>2012</v>
      </c>
      <c r="B627" s="5">
        <f>Data!M596</f>
        <v>0.72093023255813959</v>
      </c>
      <c r="C627" s="5">
        <f>Data!N596</f>
        <v>0.11627906976744186</v>
      </c>
      <c r="D627" s="5">
        <f ca="1">Data!O596</f>
        <v>279.74503959641561</v>
      </c>
      <c r="E627" s="1" t="str">
        <f>Data!AQ596</f>
        <v>NA</v>
      </c>
      <c r="F627" t="str">
        <f t="shared" si="9"/>
        <v/>
      </c>
      <c r="G627" s="5">
        <f ca="1">AVERAGE(D$2:D626)</f>
        <v>187.51845232047154</v>
      </c>
      <c r="H627" s="5">
        <f ca="1">PERCENTILE(D$2:D626,0.025)</f>
        <v>-3.5828322266806985</v>
      </c>
      <c r="I627" s="5">
        <f ca="1">PERCENTILE(D$2:D626,0.165)</f>
        <v>4.4585257361590136</v>
      </c>
      <c r="J627" s="5">
        <f ca="1">PERCENTILE(D$2:D626,0.5)</f>
        <v>40.176551896931038</v>
      </c>
      <c r="K627" s="5">
        <f ca="1">PERCENTILE(D$2:D626,0.835)</f>
        <v>253.40799087755872</v>
      </c>
      <c r="L627" s="5">
        <f ca="1">PERCENTILE(D$2:D626,0.975)</f>
        <v>1318.368204104223</v>
      </c>
      <c r="M627" s="7">
        <f>AVERAGE(E$2:E626)</f>
        <v>1.3664717348927879</v>
      </c>
      <c r="N627" s="7">
        <f>PERCENTILE($E$2:$E626,0.025)</f>
        <v>-1</v>
      </c>
      <c r="O627" s="7">
        <f>PERCENTILE($E$2:$E626,0.165)</f>
        <v>0</v>
      </c>
      <c r="P627" s="7">
        <f>PERCENTILE($E$2:$E626,0.5)</f>
        <v>1</v>
      </c>
      <c r="Q627" s="7">
        <f>PERCENTILE($E$2:$E626,0.835)</f>
        <v>3</v>
      </c>
      <c r="R627" s="7">
        <f>PERCENTILE($E$2:$E626,0.975)</f>
        <v>4</v>
      </c>
    </row>
    <row r="628" spans="1:18" x14ac:dyDescent="0.2">
      <c r="A628" s="5">
        <f>Data!E597</f>
        <v>2012</v>
      </c>
      <c r="B628" s="5">
        <f>Data!M597</f>
        <v>0.72093023255813959</v>
      </c>
      <c r="C628" s="5">
        <f>Data!N597</f>
        <v>0.11627906976744186</v>
      </c>
      <c r="D628" s="5">
        <f ca="1">Data!O597</f>
        <v>128.30411590512293</v>
      </c>
      <c r="E628" s="1" t="str">
        <f>Data!AQ597</f>
        <v>NA</v>
      </c>
      <c r="F628" t="str">
        <f t="shared" si="9"/>
        <v/>
      </c>
      <c r="G628" s="5">
        <f ca="1">AVERAGE(D$2:D627)</f>
        <v>187.66577913720627</v>
      </c>
      <c r="H628" s="5">
        <f ca="1">PERCENTILE(D$2:D627,0.025)</f>
        <v>-3.5771120908938818</v>
      </c>
      <c r="I628" s="5">
        <f ca="1">PERCENTILE(D$2:D627,0.165)</f>
        <v>4.5094631300484567</v>
      </c>
      <c r="J628" s="5">
        <f ca="1">PERCENTILE(D$2:D627,0.5)</f>
        <v>40.19784120988939</v>
      </c>
      <c r="K628" s="5">
        <f ca="1">PERCENTILE(D$2:D627,0.835)</f>
        <v>253.44732432590664</v>
      </c>
      <c r="L628" s="5">
        <f ca="1">PERCENTILE(D$2:D627,0.975)</f>
        <v>1317.9262856019357</v>
      </c>
      <c r="M628" s="7">
        <f>AVERAGE(E$2:E627)</f>
        <v>1.3664717348927879</v>
      </c>
      <c r="N628" s="7">
        <f>PERCENTILE($E$2:$E627,0.025)</f>
        <v>-1</v>
      </c>
      <c r="O628" s="7">
        <f>PERCENTILE($E$2:$E627,0.165)</f>
        <v>0</v>
      </c>
      <c r="P628" s="7">
        <f>PERCENTILE($E$2:$E627,0.5)</f>
        <v>1</v>
      </c>
      <c r="Q628" s="7">
        <f>PERCENTILE($E$2:$E627,0.835)</f>
        <v>3</v>
      </c>
      <c r="R628" s="7">
        <f>PERCENTILE($E$2:$E627,0.975)</f>
        <v>4</v>
      </c>
    </row>
    <row r="629" spans="1:18" x14ac:dyDescent="0.2">
      <c r="A629" s="5">
        <f>Data!E598</f>
        <v>2012</v>
      </c>
      <c r="B629" s="5">
        <f>Data!M598</f>
        <v>0.72093023255813959</v>
      </c>
      <c r="C629" s="5">
        <f>Data!N598</f>
        <v>0.11627906976744186</v>
      </c>
      <c r="D629" s="5">
        <f ca="1">Data!O598</f>
        <v>65.203731033750998</v>
      </c>
      <c r="E629" s="1" t="str">
        <f>Data!AQ598</f>
        <v>NA</v>
      </c>
      <c r="F629" t="str">
        <f t="shared" si="9"/>
        <v/>
      </c>
      <c r="G629" s="5">
        <f ca="1">AVERAGE(D$2:D628)</f>
        <v>187.57110343827154</v>
      </c>
      <c r="H629" s="5">
        <f ca="1">PERCENTILE(D$2:D628,0.025)</f>
        <v>-3.5713919551070652</v>
      </c>
      <c r="I629" s="5">
        <f ca="1">PERCENTILE(D$2:D628,0.165)</f>
        <v>4.5764631760312229</v>
      </c>
      <c r="J629" s="5">
        <f ca="1">PERCENTILE(D$2:D628,0.5)</f>
        <v>40.219130522847735</v>
      </c>
      <c r="K629" s="5">
        <f ca="1">PERCENTILE(D$2:D628,0.835)</f>
        <v>253.43955184808939</v>
      </c>
      <c r="L629" s="5">
        <f ca="1">PERCENTILE(D$2:D628,0.975)</f>
        <v>1317.4843670996484</v>
      </c>
      <c r="M629" s="7">
        <f>AVERAGE(E$2:E628)</f>
        <v>1.3664717348927879</v>
      </c>
      <c r="N629" s="7">
        <f>PERCENTILE($E$2:$E628,0.025)</f>
        <v>-1</v>
      </c>
      <c r="O629" s="7">
        <f>PERCENTILE($E$2:$E628,0.165)</f>
        <v>0</v>
      </c>
      <c r="P629" s="7">
        <f>PERCENTILE($E$2:$E628,0.5)</f>
        <v>1</v>
      </c>
      <c r="Q629" s="7">
        <f>PERCENTILE($E$2:$E628,0.835)</f>
        <v>3</v>
      </c>
      <c r="R629" s="7">
        <f>PERCENTILE($E$2:$E628,0.975)</f>
        <v>4</v>
      </c>
    </row>
    <row r="630" spans="1:18" x14ac:dyDescent="0.2">
      <c r="A630" s="5">
        <f>Data!E599</f>
        <v>2012</v>
      </c>
      <c r="B630" s="5">
        <f>Data!M599</f>
        <v>7.2093023255813959E-2</v>
      </c>
      <c r="C630" s="5">
        <f>Data!N599</f>
        <v>1.1627906976744186E-2</v>
      </c>
      <c r="D630" s="5">
        <f ca="1">Data!O599</f>
        <v>36.808557841633629</v>
      </c>
      <c r="E630" s="1" t="str">
        <f>Data!AQ599</f>
        <v>NA</v>
      </c>
      <c r="F630" t="str">
        <f t="shared" si="9"/>
        <v/>
      </c>
      <c r="G630" s="5">
        <f ca="1">AVERAGE(D$2:D629)</f>
        <v>187.37625093444268</v>
      </c>
      <c r="H630" s="5">
        <f ca="1">PERCENTILE(D$2:D629,0.025)</f>
        <v>-3.5656718193202477</v>
      </c>
      <c r="I630" s="5">
        <f ca="1">PERCENTILE(D$2:D629,0.165)</f>
        <v>4.6434632220139829</v>
      </c>
      <c r="J630" s="5">
        <f ca="1">PERCENTILE(D$2:D629,0.5)</f>
        <v>40.278269975982717</v>
      </c>
      <c r="K630" s="5">
        <f ca="1">PERCENTILE(D$2:D629,0.835)</f>
        <v>253.43177937027212</v>
      </c>
      <c r="L630" s="5">
        <f ca="1">PERCENTILE(D$2:D629,0.975)</f>
        <v>1317.042448597359</v>
      </c>
      <c r="M630" s="7">
        <f>AVERAGE(E$2:E629)</f>
        <v>1.3664717348927879</v>
      </c>
      <c r="N630" s="7">
        <f>PERCENTILE($E$2:$E629,0.025)</f>
        <v>-1</v>
      </c>
      <c r="O630" s="7">
        <f>PERCENTILE($E$2:$E629,0.165)</f>
        <v>0</v>
      </c>
      <c r="P630" s="7">
        <f>PERCENTILE($E$2:$E629,0.5)</f>
        <v>1</v>
      </c>
      <c r="Q630" s="7">
        <f>PERCENTILE($E$2:$E629,0.835)</f>
        <v>3</v>
      </c>
      <c r="R630" s="7">
        <f>PERCENTILE($E$2:$E629,0.975)</f>
        <v>4</v>
      </c>
    </row>
    <row r="631" spans="1:18" x14ac:dyDescent="0.2">
      <c r="A631" s="5">
        <f>Data!E600</f>
        <v>2012</v>
      </c>
      <c r="B631" s="5">
        <f>Data!M600</f>
        <v>7.2093023255813959E-2</v>
      </c>
      <c r="C631" s="5">
        <f>Data!N600</f>
        <v>1.1627906976744186E-2</v>
      </c>
      <c r="D631" s="5">
        <f ca="1">Data!O600</f>
        <v>22.085134704980177</v>
      </c>
      <c r="E631" s="1" t="str">
        <f>Data!AQ600</f>
        <v>NA</v>
      </c>
      <c r="F631" t="str">
        <f t="shared" si="9"/>
        <v/>
      </c>
      <c r="G631" s="5">
        <f ca="1">AVERAGE(D$2:D630)</f>
        <v>187.13687463381817</v>
      </c>
      <c r="H631" s="5">
        <f ca="1">PERCENTILE(D$2:D630,0.025)</f>
        <v>-3.5599516835334302</v>
      </c>
      <c r="I631" s="5">
        <f ca="1">PERCENTILE(D$2:D630,0.165)</f>
        <v>4.7104632679967491</v>
      </c>
      <c r="J631" s="5">
        <f ca="1">PERCENTILE(D$2:D630,0.5)</f>
        <v>40.219130522847735</v>
      </c>
      <c r="K631" s="5">
        <f ca="1">PERCENTILE(D$2:D630,0.835)</f>
        <v>253.42400689245488</v>
      </c>
      <c r="L631" s="5">
        <f ca="1">PERCENTILE(D$2:D630,0.975)</f>
        <v>1316.6005300950715</v>
      </c>
      <c r="M631" s="7">
        <f>AVERAGE(E$2:E630)</f>
        <v>1.3664717348927879</v>
      </c>
      <c r="N631" s="7">
        <f>PERCENTILE($E$2:$E630,0.025)</f>
        <v>-1</v>
      </c>
      <c r="O631" s="7">
        <f>PERCENTILE($E$2:$E630,0.165)</f>
        <v>0</v>
      </c>
      <c r="P631" s="7">
        <f>PERCENTILE($E$2:$E630,0.5)</f>
        <v>1</v>
      </c>
      <c r="Q631" s="7">
        <f>PERCENTILE($E$2:$E630,0.835)</f>
        <v>3</v>
      </c>
      <c r="R631" s="7">
        <f>PERCENTILE($E$2:$E630,0.975)</f>
        <v>4</v>
      </c>
    </row>
    <row r="632" spans="1:18" x14ac:dyDescent="0.2">
      <c r="A632" s="5">
        <f>Data!E601</f>
        <v>2012</v>
      </c>
      <c r="B632" s="5">
        <f>Data!M601</f>
        <v>7.2093023255813959E-2</v>
      </c>
      <c r="C632" s="5">
        <f>Data!N601</f>
        <v>1.1627906976744186E-2</v>
      </c>
      <c r="D632" s="5">
        <f ca="1">Data!O601</f>
        <v>5.2583654059476617</v>
      </c>
      <c r="E632" s="1" t="str">
        <f>Data!AQ601</f>
        <v>NA</v>
      </c>
      <c r="F632" t="str">
        <f t="shared" si="9"/>
        <v/>
      </c>
      <c r="G632" s="5">
        <f ca="1">AVERAGE(D$2:D631)</f>
        <v>186.87488774504223</v>
      </c>
      <c r="H632" s="5">
        <f ca="1">PERCENTILE(D$2:D631,0.025)</f>
        <v>-3.5542315477466135</v>
      </c>
      <c r="I632" s="5">
        <f ca="1">PERCENTILE(D$2:D631,0.165)</f>
        <v>4.7774633139795153</v>
      </c>
      <c r="J632" s="5">
        <f ca="1">PERCENTILE(D$2:D631,0.5)</f>
        <v>40.19784120988939</v>
      </c>
      <c r="K632" s="5">
        <f ca="1">PERCENTILE(D$2:D631,0.835)</f>
        <v>253.41623441463764</v>
      </c>
      <c r="L632" s="5">
        <f ca="1">PERCENTILE(D$2:D631,0.975)</f>
        <v>1316.1586115927842</v>
      </c>
      <c r="M632" s="7">
        <f>AVERAGE(E$2:E631)</f>
        <v>1.3664717348927879</v>
      </c>
      <c r="N632" s="7">
        <f>PERCENTILE($E$2:$E631,0.025)</f>
        <v>-1</v>
      </c>
      <c r="O632" s="7">
        <f>PERCENTILE($E$2:$E631,0.165)</f>
        <v>0</v>
      </c>
      <c r="P632" s="7">
        <f>PERCENTILE($E$2:$E631,0.5)</f>
        <v>1</v>
      </c>
      <c r="Q632" s="7">
        <f>PERCENTILE($E$2:$E631,0.835)</f>
        <v>3</v>
      </c>
      <c r="R632" s="7">
        <f>PERCENTILE($E$2:$E631,0.975)</f>
        <v>4</v>
      </c>
    </row>
    <row r="633" spans="1:18" x14ac:dyDescent="0.2">
      <c r="A633" s="5">
        <f>Data!E602</f>
        <v>2012</v>
      </c>
      <c r="B633" s="5">
        <f>Data!M602</f>
        <v>0.72093023255813959</v>
      </c>
      <c r="C633" s="5">
        <f>Data!N602</f>
        <v>0.11627906976744186</v>
      </c>
      <c r="D633" s="5">
        <f ca="1">Data!O602</f>
        <v>57.842019465424279</v>
      </c>
      <c r="E633" s="1" t="str">
        <f>Data!AQ602</f>
        <v>NA</v>
      </c>
      <c r="F633" t="str">
        <f t="shared" si="9"/>
        <v/>
      </c>
      <c r="G633" s="5">
        <f ca="1">AVERAGE(D$2:D632)</f>
        <v>186.58706441328454</v>
      </c>
      <c r="H633" s="5">
        <f ca="1">PERCENTILE(D$2:D632,0.025)</f>
        <v>-3.5485114119597974</v>
      </c>
      <c r="I633" s="5">
        <f ca="1">PERCENTILE(D$2:D632,0.165)</f>
        <v>4.8444633599622753</v>
      </c>
      <c r="J633" s="5">
        <f ca="1">PERCENTILE(D$2:D632,0.5)</f>
        <v>40.176551896931038</v>
      </c>
      <c r="K633" s="5">
        <f ca="1">PERCENTILE(D$2:D632,0.835)</f>
        <v>253.40846193682037</v>
      </c>
      <c r="L633" s="5">
        <f ca="1">PERCENTILE(D$2:D632,0.975)</f>
        <v>1315.7166930904968</v>
      </c>
      <c r="M633" s="7">
        <f>AVERAGE(E$2:E632)</f>
        <v>1.3664717348927879</v>
      </c>
      <c r="N633" s="7">
        <f>PERCENTILE($E$2:$E632,0.025)</f>
        <v>-1</v>
      </c>
      <c r="O633" s="7">
        <f>PERCENTILE($E$2:$E632,0.165)</f>
        <v>0</v>
      </c>
      <c r="P633" s="7">
        <f>PERCENTILE($E$2:$E632,0.5)</f>
        <v>1</v>
      </c>
      <c r="Q633" s="7">
        <f>PERCENTILE($E$2:$E632,0.835)</f>
        <v>3</v>
      </c>
      <c r="R633" s="7">
        <f>PERCENTILE($E$2:$E632,0.975)</f>
        <v>4</v>
      </c>
    </row>
    <row r="634" spans="1:18" x14ac:dyDescent="0.2">
      <c r="A634" s="5">
        <f>Data!E603</f>
        <v>2012</v>
      </c>
      <c r="B634" s="5">
        <f>Data!M603</f>
        <v>0.72093023255813959</v>
      </c>
      <c r="C634" s="5">
        <f>Data!N603</f>
        <v>0.11627906976744186</v>
      </c>
      <c r="D634" s="5">
        <f ca="1">Data!O603</f>
        <v>184.04278920816816</v>
      </c>
      <c r="E634" s="1" t="str">
        <f>Data!AQ603</f>
        <v>NA</v>
      </c>
      <c r="F634" t="str">
        <f t="shared" si="9"/>
        <v/>
      </c>
      <c r="G634" s="5">
        <f ca="1">AVERAGE(D$2:D633)</f>
        <v>186.38335389912652</v>
      </c>
      <c r="H634" s="5">
        <f ca="1">PERCENTILE(D$2:D633,0.025)</f>
        <v>-3.5427912761729807</v>
      </c>
      <c r="I634" s="5">
        <f ca="1">PERCENTILE(D$2:D633,0.165)</f>
        <v>4.8803182677165369</v>
      </c>
      <c r="J634" s="5">
        <f ca="1">PERCENTILE(D$2:D633,0.5)</f>
        <v>40.19784120988939</v>
      </c>
      <c r="K634" s="5">
        <f ca="1">PERCENTILE(D$2:D633,0.835)</f>
        <v>252.8093681357258</v>
      </c>
      <c r="L634" s="5">
        <f ca="1">PERCENTILE(D$2:D633,0.975)</f>
        <v>1315.2747745882093</v>
      </c>
      <c r="M634" s="7">
        <f>AVERAGE(E$2:E633)</f>
        <v>1.3664717348927879</v>
      </c>
      <c r="N634" s="7">
        <f>PERCENTILE($E$2:$E633,0.025)</f>
        <v>-1</v>
      </c>
      <c r="O634" s="7">
        <f>PERCENTILE($E$2:$E633,0.165)</f>
        <v>0</v>
      </c>
      <c r="P634" s="7">
        <f>PERCENTILE($E$2:$E633,0.5)</f>
        <v>1</v>
      </c>
      <c r="Q634" s="7">
        <f>PERCENTILE($E$2:$E633,0.835)</f>
        <v>3</v>
      </c>
      <c r="R634" s="7">
        <f>PERCENTILE($E$2:$E633,0.975)</f>
        <v>4</v>
      </c>
    </row>
    <row r="635" spans="1:18" x14ac:dyDescent="0.2">
      <c r="A635" s="5">
        <f>Data!E604</f>
        <v>2012</v>
      </c>
      <c r="B635" s="5">
        <f>Data!M604</f>
        <v>7.2093023255813959E-2</v>
      </c>
      <c r="C635" s="5">
        <f>Data!N604</f>
        <v>1.1627906976744186E-2</v>
      </c>
      <c r="D635" s="5">
        <f ca="1">Data!O604</f>
        <v>14.723423136653452</v>
      </c>
      <c r="E635" s="1" t="str">
        <f>Data!AQ604</f>
        <v>NA</v>
      </c>
      <c r="F635" t="str">
        <f t="shared" si="9"/>
        <v/>
      </c>
      <c r="G635" s="5">
        <f ca="1">AVERAGE(D$2:D634)</f>
        <v>186.37965632457525</v>
      </c>
      <c r="H635" s="5">
        <f ca="1">PERCENTILE(D$2:D634,0.025)</f>
        <v>-3.5370711403861632</v>
      </c>
      <c r="I635" s="5">
        <f ca="1">PERCENTILE(D$2:D634,0.165)</f>
        <v>4.902631811023622</v>
      </c>
      <c r="J635" s="5">
        <f ca="1">PERCENTILE(D$2:D634,0.5)</f>
        <v>40.219130522847735</v>
      </c>
      <c r="K635" s="5">
        <f ca="1">PERCENTILE(D$2:D634,0.835)</f>
        <v>251.95317810711961</v>
      </c>
      <c r="L635" s="5">
        <f ca="1">PERCENTILE(D$2:D634,0.975)</f>
        <v>1314.83285608592</v>
      </c>
      <c r="M635" s="7">
        <f>AVERAGE(E$2:E634)</f>
        <v>1.3664717348927879</v>
      </c>
      <c r="N635" s="7">
        <f>PERCENTILE($E$2:$E634,0.025)</f>
        <v>-1</v>
      </c>
      <c r="O635" s="7">
        <f>PERCENTILE($E$2:$E634,0.165)</f>
        <v>0</v>
      </c>
      <c r="P635" s="7">
        <f>PERCENTILE($E$2:$E634,0.5)</f>
        <v>1</v>
      </c>
      <c r="Q635" s="7">
        <f>PERCENTILE($E$2:$E634,0.835)</f>
        <v>3</v>
      </c>
      <c r="R635" s="7">
        <f>PERCENTILE($E$2:$E634,0.975)</f>
        <v>4</v>
      </c>
    </row>
    <row r="636" spans="1:18" x14ac:dyDescent="0.2">
      <c r="A636" s="5">
        <f>Data!E605</f>
        <v>2012</v>
      </c>
      <c r="B636" s="5">
        <f>Data!M605</f>
        <v>7.2093023255813959E-2</v>
      </c>
      <c r="C636" s="5">
        <f>Data!N605</f>
        <v>1.1627906976744186E-2</v>
      </c>
      <c r="D636" s="5">
        <f ca="1">Data!O605</f>
        <v>6.3100384871371933</v>
      </c>
      <c r="E636" s="1" t="str">
        <f>Data!AQ605</f>
        <v>NA</v>
      </c>
      <c r="F636" t="str">
        <f t="shared" si="9"/>
        <v/>
      </c>
      <c r="G636" s="5">
        <f ca="1">AVERAGE(D$2:D635)</f>
        <v>186.10890516812742</v>
      </c>
      <c r="H636" s="5">
        <f ca="1">PERCENTILE(D$2:D635,0.025)</f>
        <v>-3.5313510045993457</v>
      </c>
      <c r="I636" s="5">
        <f ca="1">PERCENTILE(D$2:D635,0.165)</f>
        <v>4.9249453543307098</v>
      </c>
      <c r="J636" s="5">
        <f ca="1">PERCENTILE(D$2:D635,0.5)</f>
        <v>40.19784120988939</v>
      </c>
      <c r="K636" s="5">
        <f ca="1">PERCENTILE(D$2:D635,0.835)</f>
        <v>251.09698807851282</v>
      </c>
      <c r="L636" s="5">
        <f ca="1">PERCENTILE(D$2:D635,0.975)</f>
        <v>1314.3909375836326</v>
      </c>
      <c r="M636" s="7">
        <f>AVERAGE(E$2:E635)</f>
        <v>1.3664717348927879</v>
      </c>
      <c r="N636" s="7">
        <f>PERCENTILE($E$2:$E635,0.025)</f>
        <v>-1</v>
      </c>
      <c r="O636" s="7">
        <f>PERCENTILE($E$2:$E635,0.165)</f>
        <v>0</v>
      </c>
      <c r="P636" s="7">
        <f>PERCENTILE($E$2:$E635,0.5)</f>
        <v>1</v>
      </c>
      <c r="Q636" s="7">
        <f>PERCENTILE($E$2:$E635,0.835)</f>
        <v>3</v>
      </c>
      <c r="R636" s="7">
        <f>PERCENTILE($E$2:$E635,0.975)</f>
        <v>4</v>
      </c>
    </row>
    <row r="637" spans="1:18" x14ac:dyDescent="0.2">
      <c r="A637" s="5">
        <f>Data!E606</f>
        <v>2012</v>
      </c>
      <c r="B637" s="5">
        <f>Data!M606</f>
        <v>7.2093023255813959E-2</v>
      </c>
      <c r="C637" s="5">
        <f>Data!N606</f>
        <v>1.1627906976744186E-2</v>
      </c>
      <c r="D637" s="5">
        <f ca="1">Data!O606</f>
        <v>-1.4723423136653451</v>
      </c>
      <c r="E637" s="1" t="str">
        <f>Data!AQ606</f>
        <v>NA</v>
      </c>
      <c r="F637" t="str">
        <f t="shared" si="9"/>
        <v/>
      </c>
      <c r="G637" s="5">
        <f ca="1">AVERAGE(D$2:D636)</f>
        <v>185.82575734658255</v>
      </c>
      <c r="H637" s="5">
        <f ca="1">PERCENTILE(D$2:D636,0.025)</f>
        <v>-3.5256308688125291</v>
      </c>
      <c r="I637" s="5">
        <f ca="1">PERCENTILE(D$2:D636,0.165)</f>
        <v>4.9472588976377949</v>
      </c>
      <c r="J637" s="5">
        <f ca="1">PERCENTILE(D$2:D636,0.5)</f>
        <v>40.176551896931038</v>
      </c>
      <c r="K637" s="5">
        <f ca="1">PERCENTILE(D$2:D636,0.835)</f>
        <v>250.24079804990663</v>
      </c>
      <c r="L637" s="5">
        <f ca="1">PERCENTILE(D$2:D636,0.975)</f>
        <v>1313.9490190813453</v>
      </c>
      <c r="M637" s="7">
        <f>AVERAGE(E$2:E636)</f>
        <v>1.3664717348927879</v>
      </c>
      <c r="N637" s="7">
        <f>PERCENTILE($E$2:$E636,0.025)</f>
        <v>-1</v>
      </c>
      <c r="O637" s="7">
        <f>PERCENTILE($E$2:$E636,0.165)</f>
        <v>0</v>
      </c>
      <c r="P637" s="7">
        <f>PERCENTILE($E$2:$E636,0.5)</f>
        <v>1</v>
      </c>
      <c r="Q637" s="7">
        <f>PERCENTILE($E$2:$E636,0.835)</f>
        <v>3</v>
      </c>
      <c r="R637" s="7">
        <f>PERCENTILE($E$2:$E636,0.975)</f>
        <v>4</v>
      </c>
    </row>
    <row r="638" spans="1:18" x14ac:dyDescent="0.2">
      <c r="A638" s="5">
        <f>Data!E607</f>
        <v>2012</v>
      </c>
      <c r="B638" s="5">
        <f>Data!M607</f>
        <v>0.72093023255813959</v>
      </c>
      <c r="C638" s="5">
        <f>Data!N607</f>
        <v>0.11627906976744186</v>
      </c>
      <c r="D638" s="5">
        <f ca="1">Data!O607</f>
        <v>152.49259677248219</v>
      </c>
      <c r="E638" s="1" t="str">
        <f>Data!AQ607</f>
        <v>NA</v>
      </c>
      <c r="F638" t="str">
        <f t="shared" si="9"/>
        <v/>
      </c>
      <c r="G638" s="5">
        <f ca="1">AVERAGE(D$2:D637)</f>
        <v>185.53126347919223</v>
      </c>
      <c r="H638" s="5">
        <f ca="1">PERCENTILE(D$2:D637,0.025)</f>
        <v>-3.5199107330257124</v>
      </c>
      <c r="I638" s="5">
        <f ca="1">PERCENTILE(D$2:D637,0.165)</f>
        <v>4.7734027051320727</v>
      </c>
      <c r="J638" s="5">
        <f ca="1">PERCENTILE(D$2:D637,0.5)</f>
        <v>40.038619114703394</v>
      </c>
      <c r="K638" s="5">
        <f ca="1">PERCENTILE(D$2:D637,0.835)</f>
        <v>249.38460802130044</v>
      </c>
      <c r="L638" s="5">
        <f ca="1">PERCENTILE(D$2:D637,0.975)</f>
        <v>1313.5071005790578</v>
      </c>
      <c r="M638" s="7">
        <f>AVERAGE(E$2:E637)</f>
        <v>1.3664717348927879</v>
      </c>
      <c r="N638" s="7">
        <f>PERCENTILE($E$2:$E637,0.025)</f>
        <v>-1</v>
      </c>
      <c r="O638" s="7">
        <f>PERCENTILE($E$2:$E637,0.165)</f>
        <v>0</v>
      </c>
      <c r="P638" s="7">
        <f>PERCENTILE($E$2:$E637,0.5)</f>
        <v>1</v>
      </c>
      <c r="Q638" s="7">
        <f>PERCENTILE($E$2:$E637,0.835)</f>
        <v>3</v>
      </c>
      <c r="R638" s="7">
        <f>PERCENTILE($E$2:$E637,0.975)</f>
        <v>4</v>
      </c>
    </row>
    <row r="639" spans="1:18" x14ac:dyDescent="0.2">
      <c r="A639" s="5">
        <f>Data!E608</f>
        <v>2012</v>
      </c>
      <c r="B639" s="5">
        <f>Data!M608</f>
        <v>0.72093023255813959</v>
      </c>
      <c r="C639" s="5">
        <f>Data!N608</f>
        <v>0.11627906976744186</v>
      </c>
      <c r="D639" s="5">
        <f ca="1">Data!O608</f>
        <v>73.617115683267258</v>
      </c>
      <c r="E639" s="1" t="str">
        <f>Data!AQ608</f>
        <v>NA</v>
      </c>
      <c r="F639" t="str">
        <f t="shared" si="9"/>
        <v/>
      </c>
      <c r="G639" s="5">
        <f ca="1">AVERAGE(D$2:D638)</f>
        <v>185.47939744040622</v>
      </c>
      <c r="H639" s="5">
        <f ca="1">PERCENTILE(D$2:D638,0.025)</f>
        <v>-3.5141905972388958</v>
      </c>
      <c r="I639" s="5">
        <f ca="1">PERCENTILE(D$2:D638,0.165)</f>
        <v>4.8404027511148389</v>
      </c>
      <c r="J639" s="5">
        <f ca="1">PERCENTILE(D$2:D638,0.5)</f>
        <v>40.176551896931038</v>
      </c>
      <c r="K639" s="5">
        <f ca="1">PERCENTILE(D$2:D638,0.835)</f>
        <v>248.52841799269365</v>
      </c>
      <c r="L639" s="5">
        <f ca="1">PERCENTILE(D$2:D638,0.975)</f>
        <v>1313.0651820767705</v>
      </c>
      <c r="M639" s="7">
        <f>AVERAGE(E$2:E638)</f>
        <v>1.3664717348927879</v>
      </c>
      <c r="N639" s="7">
        <f>PERCENTILE($E$2:$E638,0.025)</f>
        <v>-1</v>
      </c>
      <c r="O639" s="7">
        <f>PERCENTILE($E$2:$E638,0.165)</f>
        <v>0</v>
      </c>
      <c r="P639" s="7">
        <f>PERCENTILE($E$2:$E638,0.5)</f>
        <v>1</v>
      </c>
      <c r="Q639" s="7">
        <f>PERCENTILE($E$2:$E638,0.835)</f>
        <v>3</v>
      </c>
      <c r="R639" s="7">
        <f>PERCENTILE($E$2:$E638,0.975)</f>
        <v>4</v>
      </c>
    </row>
    <row r="640" spans="1:18" x14ac:dyDescent="0.2">
      <c r="A640" s="5">
        <f>Data!E609</f>
        <v>2012</v>
      </c>
      <c r="B640" s="5">
        <f>Data!M609</f>
        <v>0.72093023255813959</v>
      </c>
      <c r="C640" s="5">
        <f>Data!N609</f>
        <v>0.11627906976744186</v>
      </c>
      <c r="D640" s="5">
        <f ca="1">Data!O609</f>
        <v>1.0516730811895323</v>
      </c>
      <c r="E640" s="1" t="str">
        <f>Data!AQ609</f>
        <v>NA</v>
      </c>
      <c r="F640" t="str">
        <f t="shared" si="9"/>
        <v/>
      </c>
      <c r="G640" s="5">
        <f ca="1">AVERAGE(D$2:D639)</f>
        <v>185.30406471037935</v>
      </c>
      <c r="H640" s="5">
        <f ca="1">PERCENTILE(D$2:D639,0.025)</f>
        <v>-3.5084704614520787</v>
      </c>
      <c r="I640" s="5">
        <f ca="1">PERCENTILE(D$2:D639,0.165)</f>
        <v>4.8789659317585308</v>
      </c>
      <c r="J640" s="5">
        <f ca="1">PERCENTILE(D$2:D639,0.5)</f>
        <v>40.19784120988939</v>
      </c>
      <c r="K640" s="5">
        <f ca="1">PERCENTILE(D$2:D639,0.835)</f>
        <v>248.07770293952564</v>
      </c>
      <c r="L640" s="5">
        <f ca="1">PERCENTILE(D$2:D639,0.975)</f>
        <v>1312.6232635744811</v>
      </c>
      <c r="M640" s="7">
        <f>AVERAGE(E$2:E639)</f>
        <v>1.3664717348927879</v>
      </c>
      <c r="N640" s="7">
        <f>PERCENTILE($E$2:$E639,0.025)</f>
        <v>-1</v>
      </c>
      <c r="O640" s="7">
        <f>PERCENTILE($E$2:$E639,0.165)</f>
        <v>0</v>
      </c>
      <c r="P640" s="7">
        <f>PERCENTILE($E$2:$E639,0.5)</f>
        <v>1</v>
      </c>
      <c r="Q640" s="7">
        <f>PERCENTILE($E$2:$E639,0.835)</f>
        <v>3</v>
      </c>
      <c r="R640" s="7">
        <f>PERCENTILE($E$2:$E639,0.975)</f>
        <v>4</v>
      </c>
    </row>
    <row r="641" spans="1:18" x14ac:dyDescent="0.2">
      <c r="A641" s="5">
        <f>Data!E610</f>
        <v>2012</v>
      </c>
      <c r="B641" s="5">
        <f>Data!M610</f>
        <v>0.62000000000000011</v>
      </c>
      <c r="C641" s="5">
        <f>Data!N610</f>
        <v>0.1</v>
      </c>
      <c r="D641" s="5">
        <f ca="1">Data!O610</f>
        <v>43.399706823466232</v>
      </c>
      <c r="E641" s="1">
        <f>Data!AQ610</f>
        <v>3</v>
      </c>
      <c r="F641" t="str">
        <f t="shared" si="9"/>
        <v/>
      </c>
      <c r="G641" s="5">
        <f ca="1">AVERAGE(D$2:D640)</f>
        <v>185.0157198095512</v>
      </c>
      <c r="H641" s="5">
        <f ca="1">PERCENTILE(D$2:D640,0.025)</f>
        <v>-3.5027503256652612</v>
      </c>
      <c r="I641" s="5">
        <f ca="1">PERCENTILE(D$2:D640,0.165)</f>
        <v>4.5683419583363438</v>
      </c>
      <c r="J641" s="5">
        <f ca="1">PERCENTILE(D$2:D640,0.5)</f>
        <v>40.176551896931038</v>
      </c>
      <c r="K641" s="5">
        <f ca="1">PERCENTILE(D$2:D640,0.835)</f>
        <v>247.85868787232207</v>
      </c>
      <c r="L641" s="5">
        <f ca="1">PERCENTILE(D$2:D640,0.975)</f>
        <v>1312.1813450721938</v>
      </c>
      <c r="M641" s="7">
        <f>AVERAGE(E$2:E640)</f>
        <v>1.3664717348927879</v>
      </c>
      <c r="N641" s="7">
        <f>PERCENTILE($E$2:$E640,0.025)</f>
        <v>-1</v>
      </c>
      <c r="O641" s="7">
        <f>PERCENTILE($E$2:$E640,0.165)</f>
        <v>0</v>
      </c>
      <c r="P641" s="7">
        <f>PERCENTILE($E$2:$E640,0.5)</f>
        <v>1</v>
      </c>
      <c r="Q641" s="7">
        <f>PERCENTILE($E$2:$E640,0.835)</f>
        <v>3</v>
      </c>
      <c r="R641" s="7">
        <f>PERCENTILE($E$2:$E640,0.975)</f>
        <v>4</v>
      </c>
    </row>
    <row r="642" spans="1:18" x14ac:dyDescent="0.2">
      <c r="A642" s="5">
        <f>Data!E611</f>
        <v>2012</v>
      </c>
      <c r="B642" s="5">
        <f>Data!M611</f>
        <v>5.58</v>
      </c>
      <c r="C642" s="5">
        <f>Data!N611</f>
        <v>0.9</v>
      </c>
      <c r="D642" s="5">
        <f ca="1">Data!O611</f>
        <v>43.896887235763693</v>
      </c>
      <c r="E642" s="1">
        <f>Data!AQ611</f>
        <v>3</v>
      </c>
      <c r="F642" t="str">
        <f t="shared" si="9"/>
        <v/>
      </c>
      <c r="G642" s="5">
        <f ca="1">AVERAGE(D$2:D641)</f>
        <v>184.79444478926044</v>
      </c>
      <c r="H642" s="5">
        <f ca="1">PERCENTILE(D$2:D641,0.025)</f>
        <v>-3.4970301898784446</v>
      </c>
      <c r="I642" s="5">
        <f ca="1">PERCENTILE(D$2:D641,0.165)</f>
        <v>4.6353420043191038</v>
      </c>
      <c r="J642" s="5">
        <f ca="1">PERCENTILE(D$2:D641,0.5)</f>
        <v>40.19784120988939</v>
      </c>
      <c r="K642" s="5">
        <f ca="1">PERCENTILE(D$2:D641,0.835)</f>
        <v>247.63967280511832</v>
      </c>
      <c r="L642" s="5">
        <f ca="1">PERCENTILE(D$2:D641,0.975)</f>
        <v>1311.7394265699063</v>
      </c>
      <c r="M642" s="7">
        <f>AVERAGE(E$2:E641)</f>
        <v>1.3696498054474713</v>
      </c>
      <c r="N642" s="7">
        <f>PERCENTILE($E$2:$E641,0.025)</f>
        <v>-1</v>
      </c>
      <c r="O642" s="7">
        <f>PERCENTILE($E$2:$E641,0.165)</f>
        <v>0</v>
      </c>
      <c r="P642" s="7">
        <f>PERCENTILE($E$2:$E641,0.5)</f>
        <v>1</v>
      </c>
      <c r="Q642" s="7">
        <f>PERCENTILE($E$2:$E641,0.835)</f>
        <v>3</v>
      </c>
      <c r="R642" s="7">
        <f>PERCENTILE($E$2:$E641,0.975)</f>
        <v>4</v>
      </c>
    </row>
    <row r="643" spans="1:18" x14ac:dyDescent="0.2">
      <c r="A643" s="5">
        <f>Data!E612</f>
        <v>2012</v>
      </c>
      <c r="B643" s="5">
        <f>Data!M612</f>
        <v>4.3055555555555555E-2</v>
      </c>
      <c r="C643" s="5">
        <f>Data!N612</f>
        <v>6.9444444444444441E-3</v>
      </c>
      <c r="D643" s="5">
        <f ca="1">Data!O612</f>
        <v>38.324323447929608</v>
      </c>
      <c r="E643" s="1">
        <f>Data!AQ612</f>
        <v>3</v>
      </c>
      <c r="F643" t="str">
        <f t="shared" si="9"/>
        <v/>
      </c>
      <c r="G643" s="5">
        <f ca="1">AVERAGE(D$2:D642)</f>
        <v>184.57463580711769</v>
      </c>
      <c r="H643" s="5">
        <f ca="1">PERCENTILE(D$2:D642,0.025)</f>
        <v>-3.491310054091628</v>
      </c>
      <c r="I643" s="5">
        <f ca="1">PERCENTILE(D$2:D642,0.165)</f>
        <v>4.70234205030187</v>
      </c>
      <c r="J643" s="5">
        <f ca="1">PERCENTILE(D$2:D642,0.5)</f>
        <v>40.219130522847735</v>
      </c>
      <c r="K643" s="5">
        <f ca="1">PERCENTILE(D$2:D642,0.835)</f>
        <v>247.42065773791475</v>
      </c>
      <c r="L643" s="5">
        <f ca="1">PERCENTILE(D$2:D642,0.975)</f>
        <v>1311.297508067619</v>
      </c>
      <c r="M643" s="7">
        <f>AVERAGE(E$2:E642)</f>
        <v>1.372815533980583</v>
      </c>
      <c r="N643" s="7">
        <f>PERCENTILE($E$2:$E642,0.025)</f>
        <v>-1</v>
      </c>
      <c r="O643" s="7">
        <f>PERCENTILE($E$2:$E642,0.165)</f>
        <v>0</v>
      </c>
      <c r="P643" s="7">
        <f>PERCENTILE($E$2:$E642,0.5)</f>
        <v>1</v>
      </c>
      <c r="Q643" s="7">
        <f>PERCENTILE($E$2:$E642,0.835)</f>
        <v>3</v>
      </c>
      <c r="R643" s="7">
        <f>PERCENTILE($E$2:$E642,0.975)</f>
        <v>4</v>
      </c>
    </row>
    <row r="644" spans="1:18" x14ac:dyDescent="0.2">
      <c r="A644" s="5">
        <f>Data!E613</f>
        <v>2012</v>
      </c>
      <c r="B644" s="5">
        <f>Data!M613</f>
        <v>4.3055555555555555E-2</v>
      </c>
      <c r="C644" s="5">
        <f>Data!N613</f>
        <v>6.9444444444444441E-3</v>
      </c>
      <c r="D644" s="5">
        <f ca="1">Data!O613</f>
        <v>40.395908499169046</v>
      </c>
      <c r="E644" s="1">
        <f>Data!AQ613</f>
        <v>3</v>
      </c>
      <c r="F644" t="str">
        <f t="shared" si="9"/>
        <v/>
      </c>
      <c r="G644" s="5">
        <f ca="1">AVERAGE(D$2:D643)</f>
        <v>184.34683158225914</v>
      </c>
      <c r="H644" s="5">
        <f ca="1">PERCENTILE(D$2:D643,0.025)</f>
        <v>-3.4898761216369749</v>
      </c>
      <c r="I644" s="5">
        <f ca="1">PERCENTILE(D$2:D643,0.165)</f>
        <v>4.76934209628463</v>
      </c>
      <c r="J644" s="5">
        <f ca="1">PERCENTILE(D$2:D643,0.5)</f>
        <v>40.19784120988939</v>
      </c>
      <c r="K644" s="5">
        <f ca="1">PERCENTILE(D$2:D643,0.835)</f>
        <v>247.20164267071115</v>
      </c>
      <c r="L644" s="5">
        <f ca="1">PERCENTILE(D$2:D643,0.975)</f>
        <v>1308.4941683540474</v>
      </c>
      <c r="M644" s="7">
        <f>AVERAGE(E$2:E643)</f>
        <v>1.3759689922480625</v>
      </c>
      <c r="N644" s="7">
        <f>PERCENTILE($E$2:$E643,0.025)</f>
        <v>-1</v>
      </c>
      <c r="O644" s="7">
        <f>PERCENTILE($E$2:$E643,0.165)</f>
        <v>0</v>
      </c>
      <c r="P644" s="7">
        <f>PERCENTILE($E$2:$E643,0.5)</f>
        <v>1</v>
      </c>
      <c r="Q644" s="7">
        <f>PERCENTILE($E$2:$E643,0.835)</f>
        <v>3</v>
      </c>
      <c r="R644" s="7">
        <f>PERCENTILE($E$2:$E643,0.975)</f>
        <v>4</v>
      </c>
    </row>
    <row r="645" spans="1:18" x14ac:dyDescent="0.2">
      <c r="A645" s="5">
        <f>Data!E614</f>
        <v>2012</v>
      </c>
      <c r="B645" s="5">
        <f>Data!M614</f>
        <v>4.3055555555555555E-2</v>
      </c>
      <c r="C645" s="5">
        <f>Data!N614</f>
        <v>6.9444444444444441E-3</v>
      </c>
      <c r="D645" s="5">
        <f ca="1">Data!O614</f>
        <v>37.288530922309889</v>
      </c>
      <c r="E645" s="1">
        <f>Data!AQ614</f>
        <v>3</v>
      </c>
      <c r="F645" t="str">
        <f t="shared" ref="F645:F708" si="10">IF(A645&lt;&gt;A644,A645,"")</f>
        <v/>
      </c>
      <c r="G645" s="5">
        <f ca="1">AVERAGE(D$2:D644)</f>
        <v>184.1229576738873</v>
      </c>
      <c r="H645" s="5">
        <f ca="1">PERCENTILE(D$2:D644,0.025)</f>
        <v>-3.4884421891823223</v>
      </c>
      <c r="I645" s="5">
        <f ca="1">PERCENTILE(D$2:D644,0.165)</f>
        <v>4.8363421422673962</v>
      </c>
      <c r="J645" s="5">
        <f ca="1">PERCENTILE(D$2:D644,0.5)</f>
        <v>40.219130522847735</v>
      </c>
      <c r="K645" s="5">
        <f ca="1">PERCENTILE(D$2:D644,0.835)</f>
        <v>246.98262760350744</v>
      </c>
      <c r="L645" s="5">
        <f ca="1">PERCENTILE(D$2:D644,0.975)</f>
        <v>1305.690828640463</v>
      </c>
      <c r="M645" s="7">
        <f>AVERAGE(E$2:E644)</f>
        <v>1.3791102514506774</v>
      </c>
      <c r="N645" s="7">
        <f>PERCENTILE($E$2:$E644,0.025)</f>
        <v>-1</v>
      </c>
      <c r="O645" s="7">
        <f>PERCENTILE($E$2:$E644,0.165)</f>
        <v>0</v>
      </c>
      <c r="P645" s="7">
        <f>PERCENTILE($E$2:$E644,0.5)</f>
        <v>1</v>
      </c>
      <c r="Q645" s="7">
        <f>PERCENTILE($E$2:$E644,0.835)</f>
        <v>3</v>
      </c>
      <c r="R645" s="7">
        <f>PERCENTILE($E$2:$E644,0.975)</f>
        <v>4</v>
      </c>
    </row>
    <row r="646" spans="1:18" x14ac:dyDescent="0.2">
      <c r="A646" s="5">
        <f>Data!E615</f>
        <v>2012</v>
      </c>
      <c r="B646" s="5">
        <f>Data!M615</f>
        <v>4.3055555555555555E-2</v>
      </c>
      <c r="C646" s="5">
        <f>Data!N615</f>
        <v>6.9444444444444441E-3</v>
      </c>
      <c r="D646" s="5">
        <f ca="1">Data!O615</f>
        <v>50.75383375536623</v>
      </c>
      <c r="E646" s="1">
        <f>Data!AQ615</f>
        <v>3</v>
      </c>
      <c r="F646" t="str">
        <f t="shared" si="10"/>
        <v/>
      </c>
      <c r="G646" s="5">
        <f ca="1">AVERAGE(D$2:D645)</f>
        <v>183.89495390563951</v>
      </c>
      <c r="H646" s="5">
        <f ca="1">PERCENTILE(D$2:D645,0.025)</f>
        <v>-3.4870082567276692</v>
      </c>
      <c r="I646" s="5">
        <f ca="1">PERCENTILE(D$2:D645,0.165)</f>
        <v>4.8776135958005247</v>
      </c>
      <c r="J646" s="5">
        <f ca="1">PERCENTILE(D$2:D645,0.5)</f>
        <v>40.19784120988939</v>
      </c>
      <c r="K646" s="5">
        <f ca="1">PERCENTILE(D$2:D645,0.835)</f>
        <v>245.89781030020225</v>
      </c>
      <c r="L646" s="5">
        <f ca="1">PERCENTILE(D$2:D645,0.975)</f>
        <v>1302.8874889268914</v>
      </c>
      <c r="M646" s="7">
        <f>AVERAGE(E$2:E645)</f>
        <v>1.3822393822393826</v>
      </c>
      <c r="N646" s="7">
        <f>PERCENTILE($E$2:$E645,0.025)</f>
        <v>-1</v>
      </c>
      <c r="O646" s="7">
        <f>PERCENTILE($E$2:$E645,0.165)</f>
        <v>0</v>
      </c>
      <c r="P646" s="7">
        <f>PERCENTILE($E$2:$E645,0.5)</f>
        <v>1</v>
      </c>
      <c r="Q646" s="7">
        <f>PERCENTILE($E$2:$E645,0.835)</f>
        <v>3</v>
      </c>
      <c r="R646" s="7">
        <f>PERCENTILE($E$2:$E645,0.975)</f>
        <v>4</v>
      </c>
    </row>
    <row r="647" spans="1:18" x14ac:dyDescent="0.2">
      <c r="A647" s="5">
        <f>Data!E616</f>
        <v>2012</v>
      </c>
      <c r="B647" s="5">
        <f>Data!M616</f>
        <v>4.3055555555555555E-2</v>
      </c>
      <c r="C647" s="5">
        <f>Data!N616</f>
        <v>6.9444444444444441E-3</v>
      </c>
      <c r="D647" s="5">
        <f ca="1">Data!O616</f>
        <v>26.930605666112697</v>
      </c>
      <c r="E647" s="1">
        <f>Data!AQ616</f>
        <v>3</v>
      </c>
      <c r="F647" t="str">
        <f t="shared" si="10"/>
        <v/>
      </c>
      <c r="G647" s="5">
        <f ca="1">AVERAGE(D$2:D646)</f>
        <v>183.68853356432126</v>
      </c>
      <c r="H647" s="5">
        <f ca="1">PERCENTILE(D$2:D646,0.025)</f>
        <v>-3.4855743242730162</v>
      </c>
      <c r="I647" s="5">
        <f ca="1">PERCENTILE(D$2:D646,0.165)</f>
        <v>4.8999271391076125</v>
      </c>
      <c r="J647" s="5">
        <f ca="1">PERCENTILE(D$2:D646,0.5)</f>
        <v>40.219130522847735</v>
      </c>
      <c r="K647" s="5">
        <f ca="1">PERCENTILE(D$2:D646,0.835)</f>
        <v>244.17503345450717</v>
      </c>
      <c r="L647" s="5">
        <f ca="1">PERCENTILE(D$2:D646,0.975)</f>
        <v>1300.0841492133197</v>
      </c>
      <c r="M647" s="7">
        <f>AVERAGE(E$2:E646)</f>
        <v>1.385356454720617</v>
      </c>
      <c r="N647" s="7">
        <f>PERCENTILE($E$2:$E646,0.025)</f>
        <v>-1</v>
      </c>
      <c r="O647" s="7">
        <f>PERCENTILE($E$2:$E646,0.165)</f>
        <v>0</v>
      </c>
      <c r="P647" s="7">
        <f>PERCENTILE($E$2:$E646,0.5)</f>
        <v>1</v>
      </c>
      <c r="Q647" s="7">
        <f>PERCENTILE($E$2:$E646,0.835)</f>
        <v>3</v>
      </c>
      <c r="R647" s="7">
        <f>PERCENTILE($E$2:$E646,0.975)</f>
        <v>4</v>
      </c>
    </row>
    <row r="648" spans="1:18" x14ac:dyDescent="0.2">
      <c r="A648" s="5">
        <f>Data!E617</f>
        <v>2012</v>
      </c>
      <c r="B648" s="5">
        <f>Data!M617</f>
        <v>4.3055555555555555E-2</v>
      </c>
      <c r="C648" s="5">
        <f>Data!N617</f>
        <v>6.9444444444444441E-3</v>
      </c>
      <c r="D648" s="5">
        <f ca="1">Data!O617</f>
        <v>50.75383375536623</v>
      </c>
      <c r="E648" s="1">
        <f>Data!AQ617</f>
        <v>3</v>
      </c>
      <c r="F648" t="str">
        <f t="shared" si="10"/>
        <v/>
      </c>
      <c r="G648" s="5">
        <f ca="1">AVERAGE(D$2:D647)</f>
        <v>183.44587423320948</v>
      </c>
      <c r="H648" s="5">
        <f ca="1">PERCENTILE(D$2:D647,0.025)</f>
        <v>-3.4841403918183635</v>
      </c>
      <c r="I648" s="5">
        <f ca="1">PERCENTILE(D$2:D647,0.165)</f>
        <v>4.9222406824146994</v>
      </c>
      <c r="J648" s="5">
        <f ca="1">PERCENTILE(D$2:D647,0.5)</f>
        <v>40.19784120988939</v>
      </c>
      <c r="K648" s="5">
        <f ca="1">PERCENTILE(D$2:D647,0.835)</f>
        <v>242.45225660881093</v>
      </c>
      <c r="L648" s="5">
        <f ca="1">PERCENTILE(D$2:D647,0.975)</f>
        <v>1297.2808094997481</v>
      </c>
      <c r="M648" s="7">
        <f>AVERAGE(E$2:E647)</f>
        <v>1.3884615384615389</v>
      </c>
      <c r="N648" s="7">
        <f>PERCENTILE($E$2:$E647,0.025)</f>
        <v>-1</v>
      </c>
      <c r="O648" s="7">
        <f>PERCENTILE($E$2:$E647,0.165)</f>
        <v>0</v>
      </c>
      <c r="P648" s="7">
        <f>PERCENTILE($E$2:$E647,0.5)</f>
        <v>1</v>
      </c>
      <c r="Q648" s="7">
        <f>PERCENTILE($E$2:$E647,0.835)</f>
        <v>3</v>
      </c>
      <c r="R648" s="7">
        <f>PERCENTILE($E$2:$E647,0.975)</f>
        <v>4</v>
      </c>
    </row>
    <row r="649" spans="1:18" x14ac:dyDescent="0.2">
      <c r="A649" s="5">
        <f>Data!E618</f>
        <v>2012</v>
      </c>
      <c r="B649" s="5">
        <f>Data!M618</f>
        <v>4.3055555555555555E-2</v>
      </c>
      <c r="C649" s="5">
        <f>Data!N618</f>
        <v>6.9444444444444441E-3</v>
      </c>
      <c r="D649" s="5">
        <f ca="1">Data!O618</f>
        <v>31.07377576859157</v>
      </c>
      <c r="E649" s="1">
        <f>Data!AQ618</f>
        <v>3</v>
      </c>
      <c r="F649" t="str">
        <f t="shared" si="10"/>
        <v/>
      </c>
      <c r="G649" s="5">
        <f ca="1">AVERAGE(D$2:D648)</f>
        <v>183.24078607172905</v>
      </c>
      <c r="H649" s="5">
        <f ca="1">PERCENTILE(D$2:D648,0.025)</f>
        <v>-3.4827064593637105</v>
      </c>
      <c r="I649" s="5">
        <f ca="1">PERCENTILE(D$2:D648,0.165)</f>
        <v>4.9445542257217854</v>
      </c>
      <c r="J649" s="5">
        <f ca="1">PERCENTILE(D$2:D648,0.5)</f>
        <v>40.219130522847735</v>
      </c>
      <c r="K649" s="5">
        <f ca="1">PERCENTILE(D$2:D648,0.835)</f>
        <v>240.72947976311585</v>
      </c>
      <c r="L649" s="5">
        <f ca="1">PERCENTILE(D$2:D648,0.975)</f>
        <v>1294.4774697861765</v>
      </c>
      <c r="M649" s="7">
        <f>AVERAGE(E$2:E648)</f>
        <v>1.391554702495202</v>
      </c>
      <c r="N649" s="7">
        <f>PERCENTILE($E$2:$E648,0.025)</f>
        <v>-1</v>
      </c>
      <c r="O649" s="7">
        <f>PERCENTILE($E$2:$E648,0.165)</f>
        <v>0</v>
      </c>
      <c r="P649" s="7">
        <f>PERCENTILE($E$2:$E648,0.5)</f>
        <v>1</v>
      </c>
      <c r="Q649" s="7">
        <f>PERCENTILE($E$2:$E648,0.835)</f>
        <v>3</v>
      </c>
      <c r="R649" s="7">
        <f>PERCENTILE($E$2:$E648,0.975)</f>
        <v>4</v>
      </c>
    </row>
    <row r="650" spans="1:18" x14ac:dyDescent="0.2">
      <c r="A650" s="5">
        <f>Data!E619</f>
        <v>2012</v>
      </c>
      <c r="B650" s="5">
        <f>Data!M619</f>
        <v>4.3055555555555555E-2</v>
      </c>
      <c r="C650" s="5">
        <f>Data!N619</f>
        <v>6.9444444444444441E-3</v>
      </c>
      <c r="D650" s="5">
        <f ca="1">Data!O619</f>
        <v>40.395908499169046</v>
      </c>
      <c r="E650" s="1">
        <f>Data!AQ619</f>
        <v>3</v>
      </c>
      <c r="F650" t="str">
        <f t="shared" si="10"/>
        <v/>
      </c>
      <c r="G650" s="5">
        <f ca="1">AVERAGE(D$2:D649)</f>
        <v>183.0059604385452</v>
      </c>
      <c r="H650" s="5">
        <f ca="1">PERCENTILE(D$2:D649,0.025)</f>
        <v>-3.4812725269090574</v>
      </c>
      <c r="I650" s="5">
        <f ca="1">PERCENTILE(D$2:D649,0.165)</f>
        <v>4.9668677690288723</v>
      </c>
      <c r="J650" s="5">
        <f ca="1">PERCENTILE(D$2:D649,0.5)</f>
        <v>40.19784120988939</v>
      </c>
      <c r="K650" s="5">
        <f ca="1">PERCENTILE(D$2:D649,0.835)</f>
        <v>239.00670291742077</v>
      </c>
      <c r="L650" s="5">
        <f ca="1">PERCENTILE(D$2:D649,0.975)</f>
        <v>1291.6741300725921</v>
      </c>
      <c r="M650" s="7">
        <f>AVERAGE(E$2:E649)</f>
        <v>1.3946360153256709</v>
      </c>
      <c r="N650" s="7">
        <f>PERCENTILE($E$2:$E649,0.025)</f>
        <v>-1</v>
      </c>
      <c r="O650" s="7">
        <f>PERCENTILE($E$2:$E649,0.165)</f>
        <v>0</v>
      </c>
      <c r="P650" s="7">
        <f>PERCENTILE($E$2:$E649,0.5)</f>
        <v>1</v>
      </c>
      <c r="Q650" s="7">
        <f>PERCENTILE($E$2:$E649,0.835)</f>
        <v>3</v>
      </c>
      <c r="R650" s="7">
        <f>PERCENTILE($E$2:$E649,0.975)</f>
        <v>3.9749999999999659</v>
      </c>
    </row>
    <row r="651" spans="1:18" x14ac:dyDescent="0.2">
      <c r="A651" s="5">
        <f>Data!E620</f>
        <v>2012</v>
      </c>
      <c r="B651" s="5">
        <f>Data!M620</f>
        <v>4.3055555555555555E-2</v>
      </c>
      <c r="C651" s="5">
        <f>Data!N620</f>
        <v>6.9444444444444441E-3</v>
      </c>
      <c r="D651" s="5">
        <f ca="1">Data!O620</f>
        <v>43.503286076028203</v>
      </c>
      <c r="E651" s="1">
        <f>Data!AQ620</f>
        <v>3</v>
      </c>
      <c r="F651" t="str">
        <f t="shared" si="10"/>
        <v/>
      </c>
      <c r="G651" s="5">
        <f ca="1">AVERAGE(D$2:D650)</f>
        <v>182.78622229996373</v>
      </c>
      <c r="H651" s="5">
        <f ca="1">PERCENTILE(D$2:D650,0.025)</f>
        <v>-3.4798385944544048</v>
      </c>
      <c r="I651" s="5">
        <f ca="1">PERCENTILE(D$2:D650,0.165)</f>
        <v>4.9891813123359583</v>
      </c>
      <c r="J651" s="5">
        <f ca="1">PERCENTILE(D$2:D650,0.5)</f>
        <v>40.219130522847735</v>
      </c>
      <c r="K651" s="5">
        <f ca="1">PERCENTILE(D$2:D650,0.835)</f>
        <v>237.28392607172452</v>
      </c>
      <c r="L651" s="5">
        <f ca="1">PERCENTILE(D$2:D650,0.975)</f>
        <v>1288.8707903590205</v>
      </c>
      <c r="M651" s="7">
        <f>AVERAGE(E$2:E650)</f>
        <v>1.3977055449330789</v>
      </c>
      <c r="N651" s="7">
        <f>PERCENTILE($E$2:$E650,0.025)</f>
        <v>-1</v>
      </c>
      <c r="O651" s="7">
        <f>PERCENTILE($E$2:$E650,0.165)</f>
        <v>0</v>
      </c>
      <c r="P651" s="7">
        <f>PERCENTILE($E$2:$E650,0.5)</f>
        <v>1</v>
      </c>
      <c r="Q651" s="7">
        <f>PERCENTILE($E$2:$E650,0.835)</f>
        <v>3</v>
      </c>
      <c r="R651" s="7">
        <f>PERCENTILE($E$2:$E650,0.975)</f>
        <v>3.9499999999999886</v>
      </c>
    </row>
    <row r="652" spans="1:18" x14ac:dyDescent="0.2">
      <c r="A652" s="5">
        <f>Data!E621</f>
        <v>2012</v>
      </c>
      <c r="B652" s="5">
        <f>Data!M621</f>
        <v>4.3055555555555555E-2</v>
      </c>
      <c r="C652" s="5">
        <f>Data!N621</f>
        <v>6.9444444444444441E-3</v>
      </c>
      <c r="D652" s="5">
        <f ca="1">Data!O621</f>
        <v>65.254929114042298</v>
      </c>
      <c r="E652" s="1">
        <f>Data!AQ621</f>
        <v>3</v>
      </c>
      <c r="F652" t="str">
        <f t="shared" si="10"/>
        <v/>
      </c>
      <c r="G652" s="5">
        <f ca="1">AVERAGE(D$2:D651)</f>
        <v>182.57194085961919</v>
      </c>
      <c r="H652" s="5">
        <f ca="1">PERCENTILE(D$2:D651,0.025)</f>
        <v>-3.4784046619997517</v>
      </c>
      <c r="I652" s="5">
        <f ca="1">PERCENTILE(D$2:D651,0.165)</f>
        <v>5</v>
      </c>
      <c r="J652" s="5">
        <f ca="1">PERCENTILE(D$2:D651,0.5)</f>
        <v>40.278269975982717</v>
      </c>
      <c r="K652" s="5">
        <f ca="1">PERCENTILE(D$2:D651,0.835)</f>
        <v>236.41722606848828</v>
      </c>
      <c r="L652" s="5">
        <f ca="1">PERCENTILE(D$2:D651,0.975)</f>
        <v>1286.0674506454488</v>
      </c>
      <c r="M652" s="7">
        <f>AVERAGE(E$2:E651)</f>
        <v>1.4007633587786263</v>
      </c>
      <c r="N652" s="7">
        <f>PERCENTILE($E$2:$E651,0.025)</f>
        <v>-1</v>
      </c>
      <c r="O652" s="7">
        <f>PERCENTILE($E$2:$E651,0.165)</f>
        <v>0</v>
      </c>
      <c r="P652" s="7">
        <f>PERCENTILE($E$2:$E651,0.5)</f>
        <v>1</v>
      </c>
      <c r="Q652" s="7">
        <f>PERCENTILE($E$2:$E651,0.835)</f>
        <v>3</v>
      </c>
      <c r="R652" s="7">
        <f>PERCENTILE($E$2:$E651,0.975)</f>
        <v>3.9250000000000114</v>
      </c>
    </row>
    <row r="653" spans="1:18" x14ac:dyDescent="0.2">
      <c r="A653" s="5">
        <f>Data!E622</f>
        <v>2012</v>
      </c>
      <c r="B653" s="5">
        <f>Data!M622</f>
        <v>4.3055555555555555E-2</v>
      </c>
      <c r="C653" s="5">
        <f>Data!N622</f>
        <v>6.9444444444444441E-3</v>
      </c>
      <c r="D653" s="5">
        <f ca="1">Data!O622</f>
        <v>36.25273839669017</v>
      </c>
      <c r="E653" s="1">
        <f>Data!AQ622</f>
        <v>3</v>
      </c>
      <c r="F653" t="str">
        <f t="shared" si="10"/>
        <v/>
      </c>
      <c r="G653" s="5">
        <f ca="1">AVERAGE(D$2:D652)</f>
        <v>182.39173039610833</v>
      </c>
      <c r="H653" s="5">
        <f ca="1">PERCENTILE(D$2:D652,0.025)</f>
        <v>-3.4769707295450987</v>
      </c>
      <c r="I653" s="5">
        <f ca="1">PERCENTILE(D$2:D652,0.165)</f>
        <v>5</v>
      </c>
      <c r="J653" s="5">
        <f ca="1">PERCENTILE(D$2:D652,0.5)</f>
        <v>40.337409429117699</v>
      </c>
      <c r="K653" s="5">
        <f ca="1">PERCENTILE(D$2:D652,0.835)</f>
        <v>236.3562454463887</v>
      </c>
      <c r="L653" s="5">
        <f ca="1">PERCENTILE(D$2:D652,0.975)</f>
        <v>1283.2641109318774</v>
      </c>
      <c r="M653" s="7">
        <f>AVERAGE(E$2:E652)</f>
        <v>1.4038095238095243</v>
      </c>
      <c r="N653" s="7">
        <f>PERCENTILE($E$2:$E652,0.025)</f>
        <v>-1</v>
      </c>
      <c r="O653" s="7">
        <f>PERCENTILE($E$2:$E652,0.165)</f>
        <v>0</v>
      </c>
      <c r="P653" s="7">
        <f>PERCENTILE($E$2:$E652,0.5)</f>
        <v>1</v>
      </c>
      <c r="Q653" s="7">
        <f>PERCENTILE($E$2:$E652,0.835)</f>
        <v>3</v>
      </c>
      <c r="R653" s="7">
        <f>PERCENTILE($E$2:$E652,0.975)</f>
        <v>3.8999999999999773</v>
      </c>
    </row>
    <row r="654" spans="1:18" x14ac:dyDescent="0.2">
      <c r="A654" s="5">
        <f>Data!E623</f>
        <v>2012</v>
      </c>
      <c r="B654" s="5">
        <f>Data!M623</f>
        <v>4.3055555555555555E-2</v>
      </c>
      <c r="C654" s="5">
        <f>Data!N623</f>
        <v>6.9444444444444441E-3</v>
      </c>
      <c r="D654" s="5">
        <f ca="1">Data!O623</f>
        <v>34.181153345450724</v>
      </c>
      <c r="E654" s="1">
        <f>Data!AQ623</f>
        <v>3</v>
      </c>
      <c r="F654" t="str">
        <f t="shared" si="10"/>
        <v/>
      </c>
      <c r="G654" s="5">
        <f ca="1">AVERAGE(D$2:D653)</f>
        <v>182.16759083782702</v>
      </c>
      <c r="H654" s="5">
        <f ca="1">PERCENTILE(D$2:D653,0.025)</f>
        <v>-3.4755367970904461</v>
      </c>
      <c r="I654" s="5">
        <f ca="1">PERCENTILE(D$2:D653,0.165)</f>
        <v>5</v>
      </c>
      <c r="J654" s="5">
        <f ca="1">PERCENTILE(D$2:D653,0.5)</f>
        <v>40.278269975982717</v>
      </c>
      <c r="K654" s="5">
        <f ca="1">PERCENTILE(D$2:D653,0.835)</f>
        <v>236.29526482428909</v>
      </c>
      <c r="L654" s="5">
        <f ca="1">PERCENTILE(D$2:D653,0.975)</f>
        <v>1280.4607712183058</v>
      </c>
      <c r="M654" s="7">
        <f>AVERAGE(E$2:E653)</f>
        <v>1.4068441064638788</v>
      </c>
      <c r="N654" s="7">
        <f>PERCENTILE($E$2:$E653,0.025)</f>
        <v>-1</v>
      </c>
      <c r="O654" s="7">
        <f>PERCENTILE($E$2:$E653,0.165)</f>
        <v>0</v>
      </c>
      <c r="P654" s="7">
        <f>PERCENTILE($E$2:$E653,0.5)</f>
        <v>1</v>
      </c>
      <c r="Q654" s="7">
        <f>PERCENTILE($E$2:$E653,0.835)</f>
        <v>3</v>
      </c>
      <c r="R654" s="7">
        <f>PERCENTILE($E$2:$E653,0.975)</f>
        <v>3.875</v>
      </c>
    </row>
    <row r="655" spans="1:18" x14ac:dyDescent="0.2">
      <c r="A655" s="5">
        <f>Data!E624</f>
        <v>2012</v>
      </c>
      <c r="B655" s="5">
        <f>Data!M624</f>
        <v>4.3055555555555555E-2</v>
      </c>
      <c r="C655" s="5">
        <f>Data!N624</f>
        <v>6.9444444444444441E-3</v>
      </c>
      <c r="D655" s="5">
        <f ca="1">Data!O624</f>
        <v>48.682248704126799</v>
      </c>
      <c r="E655" s="1">
        <f>Data!AQ624</f>
        <v>3</v>
      </c>
      <c r="F655" t="str">
        <f t="shared" si="10"/>
        <v/>
      </c>
      <c r="G655" s="5">
        <f ca="1">AVERAGE(D$2:D654)</f>
        <v>181.94096535927821</v>
      </c>
      <c r="H655" s="5">
        <f ca="1">PERCENTILE(D$2:D654,0.025)</f>
        <v>-3.474102864635793</v>
      </c>
      <c r="I655" s="5">
        <f ca="1">PERCENTILE(D$2:D654,0.165)</f>
        <v>5</v>
      </c>
      <c r="J655" s="5">
        <f ca="1">PERCENTILE(D$2:D654,0.5)</f>
        <v>40.219130522847735</v>
      </c>
      <c r="K655" s="5">
        <f ca="1">PERCENTILE(D$2:D654,0.835)</f>
        <v>236.23428420218951</v>
      </c>
      <c r="L655" s="5">
        <f ca="1">PERCENTILE(D$2:D654,0.975)</f>
        <v>1277.6574315047214</v>
      </c>
      <c r="M655" s="7">
        <f>AVERAGE(E$2:E654)</f>
        <v>1.4098671726755223</v>
      </c>
      <c r="N655" s="7">
        <f>PERCENTILE($E$2:$E654,0.025)</f>
        <v>-1</v>
      </c>
      <c r="O655" s="7">
        <f>PERCENTILE($E$2:$E654,0.165)</f>
        <v>0</v>
      </c>
      <c r="P655" s="7">
        <f>PERCENTILE($E$2:$E654,0.5)</f>
        <v>1</v>
      </c>
      <c r="Q655" s="7">
        <f>PERCENTILE($E$2:$E654,0.835)</f>
        <v>3</v>
      </c>
      <c r="R655" s="7">
        <f>PERCENTILE($E$2:$E654,0.975)</f>
        <v>3.8500000000000227</v>
      </c>
    </row>
    <row r="656" spans="1:18" x14ac:dyDescent="0.2">
      <c r="A656" s="5">
        <f>Data!E625</f>
        <v>2012</v>
      </c>
      <c r="B656" s="5">
        <f>Data!M625</f>
        <v>4.3055555555555555E-2</v>
      </c>
      <c r="C656" s="5">
        <f>Data!N625</f>
        <v>6.9444444444444441E-3</v>
      </c>
      <c r="D656" s="5">
        <f ca="1">Data!O625</f>
        <v>23.823228089253536</v>
      </c>
      <c r="E656" s="1">
        <f>Data!AQ625</f>
        <v>3</v>
      </c>
      <c r="F656" t="str">
        <f t="shared" si="10"/>
        <v/>
      </c>
      <c r="G656" s="5">
        <f ca="1">AVERAGE(D$2:D655)</f>
        <v>181.73720585368926</v>
      </c>
      <c r="H656" s="5">
        <f ca="1">PERCENTILE(D$2:D655,0.025)</f>
        <v>-3.4726689321811404</v>
      </c>
      <c r="I656" s="5">
        <f ca="1">PERCENTILE(D$2:D655,0.165)</f>
        <v>5</v>
      </c>
      <c r="J656" s="5">
        <f ca="1">PERCENTILE(D$2:D655,0.5)</f>
        <v>40.278269975982717</v>
      </c>
      <c r="K656" s="5">
        <f ca="1">PERCENTILE(D$2:D655,0.835)</f>
        <v>236.17330358008994</v>
      </c>
      <c r="L656" s="5">
        <f ca="1">PERCENTILE(D$2:D655,0.975)</f>
        <v>1274.8540917911498</v>
      </c>
      <c r="M656" s="7">
        <f>AVERAGE(E$2:E655)</f>
        <v>1.4128787878787883</v>
      </c>
      <c r="N656" s="7">
        <f>PERCENTILE($E$2:$E655,0.025)</f>
        <v>-1</v>
      </c>
      <c r="O656" s="7">
        <f>PERCENTILE($E$2:$E655,0.165)</f>
        <v>0</v>
      </c>
      <c r="P656" s="7">
        <f>PERCENTILE($E$2:$E655,0.5)</f>
        <v>1</v>
      </c>
      <c r="Q656" s="7">
        <f>PERCENTILE($E$2:$E655,0.835)</f>
        <v>3</v>
      </c>
      <c r="R656" s="7">
        <f>PERCENTILE($E$2:$E655,0.975)</f>
        <v>3.8249999999999318</v>
      </c>
    </row>
    <row r="657" spans="1:18" x14ac:dyDescent="0.2">
      <c r="A657" s="5">
        <f>Data!E626</f>
        <v>2012</v>
      </c>
      <c r="B657" s="5">
        <f>Data!M626</f>
        <v>4.3055555555555555E-2</v>
      </c>
      <c r="C657" s="5">
        <f>Data!N626</f>
        <v>6.9444444444444441E-3</v>
      </c>
      <c r="D657" s="5">
        <f ca="1">Data!O626</f>
        <v>45.574871127267635</v>
      </c>
      <c r="E657" s="1">
        <f>Data!AQ626</f>
        <v>3</v>
      </c>
      <c r="F657" t="str">
        <f t="shared" si="10"/>
        <v/>
      </c>
      <c r="G657" s="5">
        <f ca="1">AVERAGE(D$2:D656)</f>
        <v>181.49611581130083</v>
      </c>
      <c r="H657" s="5">
        <f ca="1">PERCENTILE(D$2:D656,0.025)</f>
        <v>-3.4712349997264873</v>
      </c>
      <c r="I657" s="5">
        <f ca="1">PERCENTILE(D$2:D656,0.165)</f>
        <v>5</v>
      </c>
      <c r="J657" s="5">
        <f ca="1">PERCENTILE(D$2:D656,0.5)</f>
        <v>40.219130522847735</v>
      </c>
      <c r="K657" s="5">
        <f ca="1">PERCENTILE(D$2:D656,0.835)</f>
        <v>236.11232295799036</v>
      </c>
      <c r="L657" s="5">
        <f ca="1">PERCENTILE(D$2:D656,0.975)</f>
        <v>1272.0507520775782</v>
      </c>
      <c r="M657" s="7">
        <f>AVERAGE(E$2:E656)</f>
        <v>1.4158790170132329</v>
      </c>
      <c r="N657" s="7">
        <f>PERCENTILE($E$2:$E656,0.025)</f>
        <v>-1</v>
      </c>
      <c r="O657" s="7">
        <f>PERCENTILE($E$2:$E656,0.165)</f>
        <v>0</v>
      </c>
      <c r="P657" s="7">
        <f>PERCENTILE($E$2:$E656,0.5)</f>
        <v>1</v>
      </c>
      <c r="Q657" s="7">
        <f>PERCENTILE($E$2:$E656,0.835)</f>
        <v>3</v>
      </c>
      <c r="R657" s="7">
        <f>PERCENTILE($E$2:$E656,0.975)</f>
        <v>3.7999999999999545</v>
      </c>
    </row>
    <row r="658" spans="1:18" x14ac:dyDescent="0.2">
      <c r="A658" s="5">
        <f>Data!E627</f>
        <v>2012</v>
      </c>
      <c r="B658" s="5">
        <f>Data!M627</f>
        <v>4.3055555555555555E-2</v>
      </c>
      <c r="C658" s="5">
        <f>Data!N627</f>
        <v>6.9444444444444441E-3</v>
      </c>
      <c r="D658" s="5">
        <f ca="1">Data!O627</f>
        <v>43.503286076028203</v>
      </c>
      <c r="E658" s="1">
        <f>Data!AQ627</f>
        <v>3</v>
      </c>
      <c r="F658" t="str">
        <f t="shared" si="10"/>
        <v/>
      </c>
      <c r="G658" s="5">
        <f ca="1">AVERAGE(D$2:D657)</f>
        <v>181.28891879196539</v>
      </c>
      <c r="H658" s="5">
        <f ca="1">PERCENTILE(D$2:D657,0.025)</f>
        <v>-3.4698010672718342</v>
      </c>
      <c r="I658" s="5">
        <f ca="1">PERCENTILE(D$2:D657,0.165)</f>
        <v>5.0005885826771657</v>
      </c>
      <c r="J658" s="5">
        <f ca="1">PERCENTILE(D$2:D657,0.5)</f>
        <v>40.278269975982717</v>
      </c>
      <c r="K658" s="5">
        <f ca="1">PERCENTILE(D$2:D657,0.835)</f>
        <v>236.07313124044535</v>
      </c>
      <c r="L658" s="5">
        <f ca="1">PERCENTILE(D$2:D657,0.975)</f>
        <v>1269.2474123640065</v>
      </c>
      <c r="M658" s="7">
        <f>AVERAGE(E$2:E657)</f>
        <v>1.4188679245283022</v>
      </c>
      <c r="N658" s="7">
        <f>PERCENTILE($E$2:$E657,0.025)</f>
        <v>-1</v>
      </c>
      <c r="O658" s="7">
        <f>PERCENTILE($E$2:$E657,0.165)</f>
        <v>0</v>
      </c>
      <c r="P658" s="7">
        <f>PERCENTILE($E$2:$E657,0.5)</f>
        <v>1</v>
      </c>
      <c r="Q658" s="7">
        <f>PERCENTILE($E$2:$E657,0.835)</f>
        <v>3</v>
      </c>
      <c r="R658" s="7">
        <f>PERCENTILE($E$2:$E657,0.975)</f>
        <v>3.7749999999999773</v>
      </c>
    </row>
    <row r="659" spans="1:18" x14ac:dyDescent="0.2">
      <c r="A659" s="5">
        <f>Data!E628</f>
        <v>2012</v>
      </c>
      <c r="B659" s="5">
        <f>Data!M628</f>
        <v>4.3055555555555555E-2</v>
      </c>
      <c r="C659" s="5">
        <f>Data!N628</f>
        <v>6.9444444444444441E-3</v>
      </c>
      <c r="D659" s="5">
        <f ca="1">Data!O628</f>
        <v>49.718041229746518</v>
      </c>
      <c r="E659" s="1">
        <f>Data!AQ628</f>
        <v>3</v>
      </c>
      <c r="F659" t="str">
        <f t="shared" si="10"/>
        <v/>
      </c>
      <c r="G659" s="5">
        <f ca="1">AVERAGE(D$2:D658)</f>
        <v>181.07919941188027</v>
      </c>
      <c r="H659" s="5">
        <f ca="1">PERCENTILE(D$2:D658,0.025)</f>
        <v>-3.4683671348171812</v>
      </c>
      <c r="I659" s="5">
        <f ca="1">PERCENTILE(D$2:D658,0.165)</f>
        <v>5.0018834645669292</v>
      </c>
      <c r="J659" s="5">
        <f ca="1">PERCENTILE(D$2:D658,0.5)</f>
        <v>40.337409429117699</v>
      </c>
      <c r="K659" s="5">
        <f ca="1">PERCENTILE(D$2:D658,0.835)</f>
        <v>236.06008620836593</v>
      </c>
      <c r="L659" s="5">
        <f ca="1">PERCENTILE(D$2:D658,0.975)</f>
        <v>1266.4440726504349</v>
      </c>
      <c r="M659" s="7">
        <f>AVERAGE(E$2:E658)</f>
        <v>1.4218455743879477</v>
      </c>
      <c r="N659" s="7">
        <f>PERCENTILE($E$2:$E658,0.025)</f>
        <v>-1</v>
      </c>
      <c r="O659" s="7">
        <f>PERCENTILE($E$2:$E658,0.165)</f>
        <v>0</v>
      </c>
      <c r="P659" s="7">
        <f>PERCENTILE($E$2:$E658,0.5)</f>
        <v>1</v>
      </c>
      <c r="Q659" s="7">
        <f>PERCENTILE($E$2:$E658,0.835)</f>
        <v>3</v>
      </c>
      <c r="R659" s="7">
        <f>PERCENTILE($E$2:$E658,0.975)</f>
        <v>3.75</v>
      </c>
    </row>
    <row r="660" spans="1:18" x14ac:dyDescent="0.2">
      <c r="A660" s="5">
        <f>Data!E629</f>
        <v>2012</v>
      </c>
      <c r="B660" s="5">
        <f>Data!M629</f>
        <v>4.3055555555555555E-2</v>
      </c>
      <c r="C660" s="5">
        <f>Data!N629</f>
        <v>6.9444444444444441E-3</v>
      </c>
      <c r="D660" s="5">
        <f ca="1">Data!O629</f>
        <v>38.324323447929608</v>
      </c>
      <c r="E660" s="1">
        <f>Data!AQ629</f>
        <v>3</v>
      </c>
      <c r="F660" t="str">
        <f t="shared" si="10"/>
        <v/>
      </c>
      <c r="G660" s="5">
        <f ca="1">AVERAGE(D$2:D659)</f>
        <v>180.87956239336637</v>
      </c>
      <c r="H660" s="5">
        <f ca="1">PERCENTILE(D$2:D659,0.025)</f>
        <v>-3.4669332023625286</v>
      </c>
      <c r="I660" s="5">
        <f ca="1">PERCENTILE(D$2:D659,0.165)</f>
        <v>5.0031783464566928</v>
      </c>
      <c r="J660" s="5">
        <f ca="1">PERCENTILE(D$2:D659,0.5)</f>
        <v>40.366658964143369</v>
      </c>
      <c r="K660" s="5">
        <f ca="1">PERCENTILE(D$2:D659,0.835)</f>
        <v>236.04704117628648</v>
      </c>
      <c r="L660" s="5">
        <f ca="1">PERCENTILE(D$2:D659,0.975)</f>
        <v>1263.6407329368506</v>
      </c>
      <c r="M660" s="7">
        <f>AVERAGE(E$2:E659)</f>
        <v>1.4248120300751883</v>
      </c>
      <c r="N660" s="7">
        <f>PERCENTILE($E$2:$E659,0.025)</f>
        <v>-1</v>
      </c>
      <c r="O660" s="7">
        <f>PERCENTILE($E$2:$E659,0.165)</f>
        <v>0</v>
      </c>
      <c r="P660" s="7">
        <f>PERCENTILE($E$2:$E659,0.5)</f>
        <v>1</v>
      </c>
      <c r="Q660" s="7">
        <f>PERCENTILE($E$2:$E659,0.835)</f>
        <v>3</v>
      </c>
      <c r="R660" s="7">
        <f>PERCENTILE($E$2:$E659,0.975)</f>
        <v>3.7250000000000227</v>
      </c>
    </row>
    <row r="661" spans="1:18" x14ac:dyDescent="0.2">
      <c r="A661" s="5">
        <f>Data!E630</f>
        <v>2012</v>
      </c>
      <c r="B661" s="5">
        <f>Data!M630</f>
        <v>4.3055555555555555E-2</v>
      </c>
      <c r="C661" s="5">
        <f>Data!N630</f>
        <v>6.9444444444444441E-3</v>
      </c>
      <c r="D661" s="5">
        <f ca="1">Data!O630</f>
        <v>46.610663652887361</v>
      </c>
      <c r="E661" s="1">
        <f>Data!AQ630</f>
        <v>0.95</v>
      </c>
      <c r="F661" t="str">
        <f t="shared" si="10"/>
        <v/>
      </c>
      <c r="G661" s="5">
        <f ca="1">AVERAGE(D$2:D660)</f>
        <v>180.66324184868438</v>
      </c>
      <c r="H661" s="5">
        <f ca="1">PERCENTILE(D$2:D660,0.025)</f>
        <v>-3.4654992699078755</v>
      </c>
      <c r="I661" s="5">
        <f ca="1">PERCENTILE(D$2:D660,0.165)</f>
        <v>5.0044732283464572</v>
      </c>
      <c r="J661" s="5">
        <f ca="1">PERCENTILE(D$2:D660,0.5)</f>
        <v>40.337409429117699</v>
      </c>
      <c r="K661" s="5">
        <f ca="1">PERCENTILE(D$2:D660,0.835)</f>
        <v>236.03399614420704</v>
      </c>
      <c r="L661" s="5">
        <f ca="1">PERCENTILE(D$2:D660,0.975)</f>
        <v>1260.8373932232789</v>
      </c>
      <c r="M661" s="7">
        <f>AVERAGE(E$2:E660)</f>
        <v>1.4277673545966234</v>
      </c>
      <c r="N661" s="7">
        <f>PERCENTILE($E$2:$E660,0.025)</f>
        <v>-1</v>
      </c>
      <c r="O661" s="7">
        <f>PERCENTILE($E$2:$E660,0.165)</f>
        <v>0</v>
      </c>
      <c r="P661" s="7">
        <f>PERCENTILE($E$2:$E660,0.5)</f>
        <v>1</v>
      </c>
      <c r="Q661" s="7">
        <f>PERCENTILE($E$2:$E660,0.835)</f>
        <v>3</v>
      </c>
      <c r="R661" s="7">
        <f>PERCENTILE($E$2:$E660,0.975)</f>
        <v>3.6999999999999318</v>
      </c>
    </row>
    <row r="662" spans="1:18" x14ac:dyDescent="0.2">
      <c r="A662" s="5">
        <f>Data!E631</f>
        <v>2012</v>
      </c>
      <c r="B662" s="5">
        <f>Data!M631</f>
        <v>4.3055555555555555E-2</v>
      </c>
      <c r="C662" s="5">
        <f>Data!N631</f>
        <v>6.9444444444444441E-3</v>
      </c>
      <c r="D662" s="5">
        <f ca="1">Data!O631</f>
        <v>50.75383375536623</v>
      </c>
      <c r="E662" s="1">
        <f>Data!AQ631</f>
        <v>0.95</v>
      </c>
      <c r="F662" t="str">
        <f t="shared" si="10"/>
        <v/>
      </c>
      <c r="G662" s="5">
        <f ca="1">AVERAGE(D$2:D661)</f>
        <v>180.46013188172105</v>
      </c>
      <c r="H662" s="5">
        <f ca="1">PERCENTILE(D$2:D661,0.025)</f>
        <v>-3.4640653374532224</v>
      </c>
      <c r="I662" s="5">
        <f ca="1">PERCENTILE(D$2:D661,0.165)</f>
        <v>5.0057681102362208</v>
      </c>
      <c r="J662" s="5">
        <f ca="1">PERCENTILE(D$2:D661,0.5)</f>
        <v>40.366658964143369</v>
      </c>
      <c r="K662" s="5">
        <f ca="1">PERCENTILE(D$2:D661,0.835)</f>
        <v>236.02095111212759</v>
      </c>
      <c r="L662" s="5">
        <f ca="1">PERCENTILE(D$2:D661,0.975)</f>
        <v>1258.0340535097073</v>
      </c>
      <c r="M662" s="7">
        <f>AVERAGE(E$2:E661)</f>
        <v>1.4268726591760306</v>
      </c>
      <c r="N662" s="7">
        <f>PERCENTILE($E$2:$E661,0.025)</f>
        <v>-1</v>
      </c>
      <c r="O662" s="7">
        <f>PERCENTILE($E$2:$E661,0.165)</f>
        <v>0</v>
      </c>
      <c r="P662" s="7">
        <f>PERCENTILE($E$2:$E661,0.5)</f>
        <v>1</v>
      </c>
      <c r="Q662" s="7">
        <f>PERCENTILE($E$2:$E661,0.835)</f>
        <v>3</v>
      </c>
      <c r="R662" s="7">
        <f>PERCENTILE($E$2:$E661,0.975)</f>
        <v>3.6749999999999545</v>
      </c>
    </row>
    <row r="663" spans="1:18" x14ac:dyDescent="0.2">
      <c r="A663" s="5">
        <f>Data!E632</f>
        <v>2012</v>
      </c>
      <c r="B663" s="5">
        <f>Data!M632</f>
        <v>4.3055555555555555E-2</v>
      </c>
      <c r="C663" s="5">
        <f>Data!N632</f>
        <v>6.9444444444444441E-3</v>
      </c>
      <c r="D663" s="5">
        <f ca="1">Data!O632</f>
        <v>44.539078601647923</v>
      </c>
      <c r="E663" s="1">
        <f>Data!AQ632</f>
        <v>0.95</v>
      </c>
      <c r="F663" t="str">
        <f t="shared" si="10"/>
        <v/>
      </c>
      <c r="G663" s="5">
        <f ca="1">AVERAGE(D$2:D662)</f>
        <v>180.26390450180222</v>
      </c>
      <c r="H663" s="5">
        <f ca="1">PERCENTILE(D$2:D662,0.025)</f>
        <v>-3.4626314049985698</v>
      </c>
      <c r="I663" s="5">
        <f ca="1">PERCENTILE(D$2:D662,0.165)</f>
        <v>5.0070629921259844</v>
      </c>
      <c r="J663" s="5">
        <f ca="1">PERCENTILE(D$2:D662,0.5)</f>
        <v>40.395908499169046</v>
      </c>
      <c r="K663" s="5">
        <f ca="1">PERCENTILE(D$2:D662,0.835)</f>
        <v>236.00790608004814</v>
      </c>
      <c r="L663" s="5">
        <f ca="1">PERCENTILE(D$2:D662,0.975)</f>
        <v>1255.2307137961357</v>
      </c>
      <c r="M663" s="7">
        <f>AVERAGE(E$2:E662)</f>
        <v>1.4259813084112156</v>
      </c>
      <c r="N663" s="7">
        <f>PERCENTILE($E$2:$E662,0.025)</f>
        <v>-1</v>
      </c>
      <c r="O663" s="7">
        <f>PERCENTILE($E$2:$E662,0.165)</f>
        <v>0</v>
      </c>
      <c r="P663" s="7">
        <f>PERCENTILE($E$2:$E662,0.5)</f>
        <v>1</v>
      </c>
      <c r="Q663" s="7">
        <f>PERCENTILE($E$2:$E662,0.835)</f>
        <v>3</v>
      </c>
      <c r="R663" s="7">
        <f>PERCENTILE($E$2:$E662,0.975)</f>
        <v>3.6499999999999773</v>
      </c>
    </row>
    <row r="664" spans="1:18" x14ac:dyDescent="0.2">
      <c r="A664" s="5">
        <f>Data!E633</f>
        <v>2012</v>
      </c>
      <c r="B664" s="5">
        <f>Data!M633</f>
        <v>4.3055555555555555E-2</v>
      </c>
      <c r="C664" s="5">
        <f>Data!N633</f>
        <v>6.9444444444444441E-3</v>
      </c>
      <c r="D664" s="5">
        <f ca="1">Data!O633</f>
        <v>72.505476793380339</v>
      </c>
      <c r="E664" s="1">
        <f>Data!AQ633</f>
        <v>0.95</v>
      </c>
      <c r="F664" t="str">
        <f t="shared" si="10"/>
        <v/>
      </c>
      <c r="G664" s="5">
        <f ca="1">AVERAGE(D$2:D663)</f>
        <v>180.05888210618264</v>
      </c>
      <c r="H664" s="5">
        <f ca="1">PERCENTILE(D$2:D663,0.025)</f>
        <v>-3.4611974725439167</v>
      </c>
      <c r="I664" s="5">
        <f ca="1">PERCENTILE(D$2:D663,0.165)</f>
        <v>5.0241314154285961</v>
      </c>
      <c r="J664" s="5">
        <f ca="1">PERCENTILE(D$2:D663,0.5)</f>
        <v>40.395908499169046</v>
      </c>
      <c r="K664" s="5">
        <f ca="1">PERCENTILE(D$2:D663,0.835)</f>
        <v>235.42549005990054</v>
      </c>
      <c r="L664" s="5">
        <f ca="1">PERCENTILE(D$2:D663,0.975)</f>
        <v>1252.427374082564</v>
      </c>
      <c r="M664" s="7">
        <f>AVERAGE(E$2:E663)</f>
        <v>1.4250932835820902</v>
      </c>
      <c r="N664" s="7">
        <f>PERCENTILE($E$2:$E663,0.025)</f>
        <v>-1</v>
      </c>
      <c r="O664" s="7">
        <f>PERCENTILE($E$2:$E663,0.165)</f>
        <v>0</v>
      </c>
      <c r="P664" s="7">
        <f>PERCENTILE($E$2:$E663,0.5)</f>
        <v>1</v>
      </c>
      <c r="Q664" s="7">
        <f>PERCENTILE($E$2:$E663,0.835)</f>
        <v>3</v>
      </c>
      <c r="R664" s="7">
        <f>PERCENTILE($E$2:$E663,0.975)</f>
        <v>3.625</v>
      </c>
    </row>
    <row r="665" spans="1:18" x14ac:dyDescent="0.2">
      <c r="A665" s="5">
        <f>Data!E634</f>
        <v>2012</v>
      </c>
      <c r="B665" s="5">
        <f>Data!M634</f>
        <v>4.3055555555555555E-2</v>
      </c>
      <c r="C665" s="5">
        <f>Data!N634</f>
        <v>6.9444444444444441E-3</v>
      </c>
      <c r="D665" s="5">
        <f ca="1">Data!O634</f>
        <v>46.610663652887361</v>
      </c>
      <c r="E665" s="1">
        <f>Data!AQ634</f>
        <v>0.95</v>
      </c>
      <c r="F665" t="str">
        <f t="shared" si="10"/>
        <v/>
      </c>
      <c r="G665" s="5">
        <f ca="1">AVERAGE(D$2:D664)</f>
        <v>179.89665977539408</v>
      </c>
      <c r="H665" s="5">
        <f ca="1">PERCENTILE(D$2:D664,0.025)</f>
        <v>-3.4597635400892641</v>
      </c>
      <c r="I665" s="5">
        <f ca="1">PERCENTILE(D$2:D664,0.165)</f>
        <v>5.0654668255201942</v>
      </c>
      <c r="J665" s="5">
        <f ca="1">PERCENTILE(D$2:D664,0.5)</f>
        <v>40.395908499169046</v>
      </c>
      <c r="K665" s="5">
        <f ca="1">PERCENTILE(D$2:D664,0.835)</f>
        <v>233.9671186734958</v>
      </c>
      <c r="L665" s="5">
        <f ca="1">PERCENTILE(D$2:D664,0.975)</f>
        <v>1249.6240343689797</v>
      </c>
      <c r="M665" s="7">
        <f>AVERAGE(E$2:E664)</f>
        <v>1.4242085661080082</v>
      </c>
      <c r="N665" s="7">
        <f>PERCENTILE($E$2:$E664,0.025)</f>
        <v>-1</v>
      </c>
      <c r="O665" s="7">
        <f>PERCENTILE($E$2:$E664,0.165)</f>
        <v>0</v>
      </c>
      <c r="P665" s="7">
        <f>PERCENTILE($E$2:$E664,0.5)</f>
        <v>1</v>
      </c>
      <c r="Q665" s="7">
        <f>PERCENTILE($E$2:$E664,0.835)</f>
        <v>3</v>
      </c>
      <c r="R665" s="7">
        <f>PERCENTILE($E$2:$E664,0.975)</f>
        <v>3.6000000000000227</v>
      </c>
    </row>
    <row r="666" spans="1:18" x14ac:dyDescent="0.2">
      <c r="A666" s="5">
        <f>Data!E635</f>
        <v>2012</v>
      </c>
      <c r="B666" s="5">
        <f>Data!M635</f>
        <v>4.3055555555555555E-2</v>
      </c>
      <c r="C666" s="5">
        <f>Data!N635</f>
        <v>6.9444444444444441E-3</v>
      </c>
      <c r="D666" s="5">
        <f ca="1">Data!O635</f>
        <v>88.042364677676119</v>
      </c>
      <c r="E666" s="1">
        <f>Data!AQ635</f>
        <v>0.95</v>
      </c>
      <c r="F666" t="str">
        <f t="shared" si="10"/>
        <v/>
      </c>
      <c r="G666" s="5">
        <f ca="1">AVERAGE(D$2:D665)</f>
        <v>179.69592785352285</v>
      </c>
      <c r="H666" s="5">
        <f ca="1">PERCENTILE(D$2:D665,0.025)</f>
        <v>-3.4583296076346111</v>
      </c>
      <c r="I666" s="5">
        <f ca="1">PERCENTILE(D$2:D665,0.165)</f>
        <v>5.1068022356117959</v>
      </c>
      <c r="J666" s="5">
        <f ca="1">PERCENTILE(D$2:D665,0.5)</f>
        <v>40.480803135259691</v>
      </c>
      <c r="K666" s="5">
        <f ca="1">PERCENTILE(D$2:D665,0.835)</f>
        <v>232.50874728709107</v>
      </c>
      <c r="L666" s="5">
        <f ca="1">PERCENTILE(D$2:D665,0.975)</f>
        <v>1246.820694655408</v>
      </c>
      <c r="M666" s="7">
        <f>AVERAGE(E$2:E665)</f>
        <v>1.4233271375464693</v>
      </c>
      <c r="N666" s="7">
        <f>PERCENTILE($E$2:$E665,0.025)</f>
        <v>-1</v>
      </c>
      <c r="O666" s="7">
        <f>PERCENTILE($E$2:$E665,0.165)</f>
        <v>0</v>
      </c>
      <c r="P666" s="7">
        <f>PERCENTILE($E$2:$E665,0.5)</f>
        <v>1</v>
      </c>
      <c r="Q666" s="7">
        <f>PERCENTILE($E$2:$E665,0.835)</f>
        <v>3</v>
      </c>
      <c r="R666" s="7">
        <f>PERCENTILE($E$2:$E665,0.975)</f>
        <v>3.5749999999999318</v>
      </c>
    </row>
    <row r="667" spans="1:18" x14ac:dyDescent="0.2">
      <c r="A667" s="5">
        <f>Data!E636</f>
        <v>2012</v>
      </c>
      <c r="B667" s="5">
        <f>Data!M636</f>
        <v>4.3055555555555555E-2</v>
      </c>
      <c r="C667" s="5">
        <f>Data!N636</f>
        <v>6.9444444444444441E-3</v>
      </c>
      <c r="D667" s="5">
        <f ca="1">Data!O636</f>
        <v>35.21694587107045</v>
      </c>
      <c r="E667" s="1">
        <f>Data!AQ636</f>
        <v>0.95</v>
      </c>
      <c r="F667" t="str">
        <f t="shared" si="10"/>
        <v/>
      </c>
      <c r="G667" s="5">
        <f ca="1">AVERAGE(D$2:D666)</f>
        <v>179.55810294649149</v>
      </c>
      <c r="H667" s="5">
        <f ca="1">PERCENTILE(D$2:D666,0.025)</f>
        <v>-3.456895675179958</v>
      </c>
      <c r="I667" s="5">
        <f ca="1">PERCENTILE(D$2:D666,0.165)</f>
        <v>5.1481376457033949</v>
      </c>
      <c r="J667" s="5">
        <f ca="1">PERCENTILE(D$2:D666,0.5)</f>
        <v>40.565697771350337</v>
      </c>
      <c r="K667" s="5">
        <f ca="1">PERCENTILE(D$2:D666,0.835)</f>
        <v>231.05037590068531</v>
      </c>
      <c r="L667" s="5">
        <f ca="1">PERCENTILE(D$2:D666,0.975)</f>
        <v>1244.0173549418364</v>
      </c>
      <c r="M667" s="7">
        <f>AVERAGE(E$2:E666)</f>
        <v>1.4224489795918376</v>
      </c>
      <c r="N667" s="7">
        <f>PERCENTILE($E$2:$E666,0.025)</f>
        <v>-1</v>
      </c>
      <c r="O667" s="7">
        <f>PERCENTILE($E$2:$E666,0.165)</f>
        <v>0</v>
      </c>
      <c r="P667" s="7">
        <f>PERCENTILE($E$2:$E666,0.5)</f>
        <v>1</v>
      </c>
      <c r="Q667" s="7">
        <f>PERCENTILE($E$2:$E666,0.835)</f>
        <v>3</v>
      </c>
      <c r="R667" s="7">
        <f>PERCENTILE($E$2:$E666,0.975)</f>
        <v>3.5499999999999545</v>
      </c>
    </row>
    <row r="668" spans="1:18" x14ac:dyDescent="0.2">
      <c r="A668" s="5">
        <f>Data!E637</f>
        <v>2012</v>
      </c>
      <c r="B668" s="5">
        <f>Data!M637</f>
        <v>4.3055555555555555E-2</v>
      </c>
      <c r="C668" s="5">
        <f>Data!N637</f>
        <v>6.9444444444444441E-3</v>
      </c>
      <c r="D668" s="5">
        <f ca="1">Data!O637</f>
        <v>49.718041229746518</v>
      </c>
      <c r="E668" s="1">
        <f>Data!AQ637</f>
        <v>0.95</v>
      </c>
      <c r="F668" t="str">
        <f t="shared" si="10"/>
        <v/>
      </c>
      <c r="G668" s="5">
        <f ca="1">AVERAGE(D$2:D667)</f>
        <v>179.3413744824143</v>
      </c>
      <c r="H668" s="5">
        <f ca="1">PERCENTILE(D$2:D667,0.025)</f>
        <v>-3.4554617427253054</v>
      </c>
      <c r="I668" s="5">
        <f ca="1">PERCENTILE(D$2:D667,0.165)</f>
        <v>5.1894730557949966</v>
      </c>
      <c r="J668" s="5">
        <f ca="1">PERCENTILE(D$2:D667,0.5)</f>
        <v>40.480803135259691</v>
      </c>
      <c r="K668" s="5">
        <f ca="1">PERCENTILE(D$2:D667,0.835)</f>
        <v>229.59200451428055</v>
      </c>
      <c r="L668" s="5">
        <f ca="1">PERCENTILE(D$2:D667,0.975)</f>
        <v>1241.2140152282648</v>
      </c>
      <c r="M668" s="7">
        <f>AVERAGE(E$2:E667)</f>
        <v>1.421574074074075</v>
      </c>
      <c r="N668" s="7">
        <f>PERCENTILE($E$2:$E667,0.025)</f>
        <v>-1</v>
      </c>
      <c r="O668" s="7">
        <f>PERCENTILE($E$2:$E667,0.165)</f>
        <v>0</v>
      </c>
      <c r="P668" s="7">
        <f>PERCENTILE($E$2:$E667,0.5)</f>
        <v>1</v>
      </c>
      <c r="Q668" s="7">
        <f>PERCENTILE($E$2:$E667,0.835)</f>
        <v>3</v>
      </c>
      <c r="R668" s="7">
        <f>PERCENTILE($E$2:$E667,0.975)</f>
        <v>3.5249999999999773</v>
      </c>
    </row>
    <row r="669" spans="1:18" x14ac:dyDescent="0.2">
      <c r="A669" s="5">
        <f>Data!E638</f>
        <v>2012</v>
      </c>
      <c r="B669" s="5">
        <f>Data!M638</f>
        <v>4.3055555555555555E-2</v>
      </c>
      <c r="C669" s="5">
        <f>Data!N638</f>
        <v>6.9444444444444441E-3</v>
      </c>
      <c r="D669" s="5">
        <f ca="1">Data!O638</f>
        <v>63.183344062802867</v>
      </c>
      <c r="E669" s="1">
        <f>Data!AQ638</f>
        <v>0.95</v>
      </c>
      <c r="F669" t="str">
        <f t="shared" si="10"/>
        <v/>
      </c>
      <c r="G669" s="5">
        <f ca="1">AVERAGE(D$2:D668)</f>
        <v>179.14703665145078</v>
      </c>
      <c r="H669" s="5">
        <f ca="1">PERCENTILE(D$2:D668,0.025)</f>
        <v>-3.4540278102706523</v>
      </c>
      <c r="I669" s="5">
        <f ca="1">PERCENTILE(D$2:D668,0.165)</f>
        <v>5.2308084658865948</v>
      </c>
      <c r="J669" s="5">
        <f ca="1">PERCENTILE(D$2:D668,0.5)</f>
        <v>40.565697771350337</v>
      </c>
      <c r="K669" s="5">
        <f ca="1">PERCENTILE(D$2:D668,0.835)</f>
        <v>228.13363312787581</v>
      </c>
      <c r="L669" s="5">
        <f ca="1">PERCENTILE(D$2:D668,0.975)</f>
        <v>1238.4106755146931</v>
      </c>
      <c r="M669" s="7">
        <f>AVERAGE(E$2:E668)</f>
        <v>1.4207024029574873</v>
      </c>
      <c r="N669" s="7">
        <f>PERCENTILE($E$2:$E668,0.025)</f>
        <v>-1</v>
      </c>
      <c r="O669" s="7">
        <f>PERCENTILE($E$2:$E668,0.165)</f>
        <v>0</v>
      </c>
      <c r="P669" s="7">
        <f>PERCENTILE($E$2:$E668,0.5)</f>
        <v>1</v>
      </c>
      <c r="Q669" s="7">
        <f>PERCENTILE($E$2:$E668,0.835)</f>
        <v>3</v>
      </c>
      <c r="R669" s="7">
        <f>PERCENTILE($E$2:$E668,0.975)</f>
        <v>3.5</v>
      </c>
    </row>
    <row r="670" spans="1:18" x14ac:dyDescent="0.2">
      <c r="A670" s="5">
        <f>Data!E639</f>
        <v>2012</v>
      </c>
      <c r="B670" s="5">
        <f>Data!M639</f>
        <v>4.3055555555555555E-2</v>
      </c>
      <c r="C670" s="5">
        <f>Data!N639</f>
        <v>6.9444444444444441E-3</v>
      </c>
      <c r="D670" s="5">
        <f ca="1">Data!O639</f>
        <v>101.50766751073246</v>
      </c>
      <c r="E670" s="1">
        <f>Data!AQ639</f>
        <v>0.95</v>
      </c>
      <c r="F670" t="str">
        <f t="shared" si="10"/>
        <v/>
      </c>
      <c r="G670" s="5">
        <f ca="1">AVERAGE(D$2:D669)</f>
        <v>178.97343830925217</v>
      </c>
      <c r="H670" s="5">
        <f ca="1">PERCENTILE(D$2:D669,0.025)</f>
        <v>-3.4525938778159992</v>
      </c>
      <c r="I670" s="5">
        <f ca="1">PERCENTILE(D$2:D669,0.165)</f>
        <v>5.2583654059476617</v>
      </c>
      <c r="J670" s="5">
        <f ca="1">PERCENTILE(D$2:D669,0.5)</f>
        <v>41.055667986978634</v>
      </c>
      <c r="K670" s="5">
        <f ca="1">PERCENTILE(D$2:D669,0.835)</f>
        <v>227.0914314365755</v>
      </c>
      <c r="L670" s="5">
        <f ca="1">PERCENTILE(D$2:D669,0.975)</f>
        <v>1235.6073358011088</v>
      </c>
      <c r="M670" s="7">
        <f>AVERAGE(E$2:E669)</f>
        <v>1.4198339483394846</v>
      </c>
      <c r="N670" s="7">
        <f>PERCENTILE($E$2:$E669,0.025)</f>
        <v>-1</v>
      </c>
      <c r="O670" s="7">
        <f>PERCENTILE($E$2:$E669,0.165)</f>
        <v>0</v>
      </c>
      <c r="P670" s="7">
        <f>PERCENTILE($E$2:$E669,0.5)</f>
        <v>1</v>
      </c>
      <c r="Q670" s="7">
        <f>PERCENTILE($E$2:$E669,0.835)</f>
        <v>3</v>
      </c>
      <c r="R670" s="7">
        <f>PERCENTILE($E$2:$E669,0.975)</f>
        <v>3.4750000000000227</v>
      </c>
    </row>
    <row r="671" spans="1:18" x14ac:dyDescent="0.2">
      <c r="A671" s="5">
        <f>Data!E640</f>
        <v>2012</v>
      </c>
      <c r="B671" s="5">
        <f>Data!M640</f>
        <v>4.3055555555555555E-2</v>
      </c>
      <c r="C671" s="5">
        <f>Data!N640</f>
        <v>6.9444444444444441E-3</v>
      </c>
      <c r="D671" s="5">
        <f ca="1">Data!O640</f>
        <v>49.718041229746518</v>
      </c>
      <c r="E671" s="1">
        <f>Data!AQ640</f>
        <v>0.95</v>
      </c>
      <c r="F671" t="str">
        <f t="shared" si="10"/>
        <v/>
      </c>
      <c r="G671" s="5">
        <f ca="1">AVERAGE(D$2:D670)</f>
        <v>178.85764492988218</v>
      </c>
      <c r="H671" s="5">
        <f ca="1">PERCENTILE(D$2:D670,0.025)</f>
        <v>-3.4511599453613466</v>
      </c>
      <c r="I671" s="5">
        <f ca="1">PERCENTILE(D$2:D670,0.165)</f>
        <v>5.2583654059476617</v>
      </c>
      <c r="J671" s="5">
        <f ca="1">PERCENTILE(D$2:D670,0.5)</f>
        <v>41.545638202606931</v>
      </c>
      <c r="K671" s="5">
        <f ca="1">PERCENTILE(D$2:D670,0.835)</f>
        <v>226.88156913548536</v>
      </c>
      <c r="L671" s="5">
        <f ca="1">PERCENTILE(D$2:D670,0.975)</f>
        <v>1232.8039960875371</v>
      </c>
      <c r="M671" s="7">
        <f>AVERAGE(E$2:E670)</f>
        <v>1.4189686924493567</v>
      </c>
      <c r="N671" s="7">
        <f>PERCENTILE($E$2:$E670,0.025)</f>
        <v>-1</v>
      </c>
      <c r="O671" s="7">
        <f>PERCENTILE($E$2:$E670,0.165)</f>
        <v>0</v>
      </c>
      <c r="P671" s="7">
        <f>PERCENTILE($E$2:$E670,0.5)</f>
        <v>1</v>
      </c>
      <c r="Q671" s="7">
        <f>PERCENTILE($E$2:$E670,0.835)</f>
        <v>3</v>
      </c>
      <c r="R671" s="7">
        <f>PERCENTILE($E$2:$E670,0.975)</f>
        <v>3.4499999999999318</v>
      </c>
    </row>
    <row r="672" spans="1:18" x14ac:dyDescent="0.2">
      <c r="A672" s="5">
        <f>Data!E641</f>
        <v>2012</v>
      </c>
      <c r="B672" s="5">
        <f>Data!M641</f>
        <v>4.3055555555555555E-2</v>
      </c>
      <c r="C672" s="5">
        <f>Data!N641</f>
        <v>6.9444444444444441E-3</v>
      </c>
      <c r="D672" s="5">
        <f ca="1">Data!O641</f>
        <v>45.574871127267635</v>
      </c>
      <c r="E672" s="1">
        <f>Data!AQ641</f>
        <v>0.95</v>
      </c>
      <c r="F672" t="str">
        <f t="shared" si="10"/>
        <v/>
      </c>
      <c r="G672" s="5">
        <f ca="1">AVERAGE(D$2:D671)</f>
        <v>178.66489925271782</v>
      </c>
      <c r="H672" s="5">
        <f ca="1">PERCENTILE(D$2:D671,0.025)</f>
        <v>-3.4497260129066936</v>
      </c>
      <c r="I672" s="5">
        <f ca="1">PERCENTILE(D$2:D671,0.165)</f>
        <v>5.2583654059476617</v>
      </c>
      <c r="J672" s="5">
        <f ca="1">PERCENTILE(D$2:D671,0.5)</f>
        <v>41.55442656613458</v>
      </c>
      <c r="K672" s="5">
        <f ca="1">PERCENTILE(D$2:D671,0.835)</f>
        <v>226.67170683439525</v>
      </c>
      <c r="L672" s="5">
        <f ca="1">PERCENTILE(D$2:D671,0.975)</f>
        <v>1230.0006563739655</v>
      </c>
      <c r="M672" s="7">
        <f>AVERAGE(E$2:E671)</f>
        <v>1.4181066176470603</v>
      </c>
      <c r="N672" s="7">
        <f>PERCENTILE($E$2:$E671,0.025)</f>
        <v>-1</v>
      </c>
      <c r="O672" s="7">
        <f>PERCENTILE($E$2:$E671,0.165)</f>
        <v>0</v>
      </c>
      <c r="P672" s="7">
        <f>PERCENTILE($E$2:$E671,0.5)</f>
        <v>1</v>
      </c>
      <c r="Q672" s="7">
        <f>PERCENTILE($E$2:$E671,0.835)</f>
        <v>3</v>
      </c>
      <c r="R672" s="7">
        <f>PERCENTILE($E$2:$E671,0.975)</f>
        <v>3.4249999999999545</v>
      </c>
    </row>
    <row r="673" spans="1:18" x14ac:dyDescent="0.2">
      <c r="A673" s="5">
        <f>Data!E642</f>
        <v>2012</v>
      </c>
      <c r="B673" s="5">
        <f>Data!M642</f>
        <v>4.3055555555555555E-2</v>
      </c>
      <c r="C673" s="5">
        <f>Data!N642</f>
        <v>6.9444444444444441E-3</v>
      </c>
      <c r="D673" s="5">
        <f ca="1">Data!O642</f>
        <v>78.720231947098654</v>
      </c>
      <c r="E673" s="1">
        <f>Data!AQ642</f>
        <v>0.95</v>
      </c>
      <c r="F673" t="str">
        <f t="shared" si="10"/>
        <v/>
      </c>
      <c r="G673" s="5">
        <f ca="1">AVERAGE(D$2:D672)</f>
        <v>178.46655345819403</v>
      </c>
      <c r="H673" s="5">
        <f ca="1">PERCENTILE(D$2:D672,0.025)</f>
        <v>-3.4482920804520409</v>
      </c>
      <c r="I673" s="5">
        <f ca="1">PERCENTILE(D$2:D672,0.165)</f>
        <v>5.2583654059476617</v>
      </c>
      <c r="J673" s="5">
        <f ca="1">PERCENTILE(D$2:D672,0.5)</f>
        <v>41.563214929662237</v>
      </c>
      <c r="K673" s="5">
        <f ca="1">PERCENTILE(D$2:D672,0.835)</f>
        <v>226.46184453330497</v>
      </c>
      <c r="L673" s="5">
        <f ca="1">PERCENTILE(D$2:D672,0.975)</f>
        <v>1227.1973166603939</v>
      </c>
      <c r="M673" s="7">
        <f>AVERAGE(E$2:E672)</f>
        <v>1.4172477064220197</v>
      </c>
      <c r="N673" s="7">
        <f>PERCENTILE($E$2:$E672,0.025)</f>
        <v>-1</v>
      </c>
      <c r="O673" s="7">
        <f>PERCENTILE($E$2:$E672,0.165)</f>
        <v>0</v>
      </c>
      <c r="P673" s="7">
        <f>PERCENTILE($E$2:$E672,0.5)</f>
        <v>1</v>
      </c>
      <c r="Q673" s="7">
        <f>PERCENTILE($E$2:$E672,0.835)</f>
        <v>3</v>
      </c>
      <c r="R673" s="7">
        <f>PERCENTILE($E$2:$E672,0.975)</f>
        <v>3.3999999999999773</v>
      </c>
    </row>
    <row r="674" spans="1:18" x14ac:dyDescent="0.2">
      <c r="A674" s="5">
        <f>Data!E643</f>
        <v>2012</v>
      </c>
      <c r="B674" s="5">
        <f>Data!M643</f>
        <v>4.3055555555555555E-2</v>
      </c>
      <c r="C674" s="5">
        <f>Data!N643</f>
        <v>6.9444444444444441E-3</v>
      </c>
      <c r="D674" s="5">
        <f ca="1">Data!O643</f>
        <v>48.682248704126799</v>
      </c>
      <c r="E674" s="1">
        <f>Data!AQ643</f>
        <v>0.95</v>
      </c>
      <c r="F674" t="str">
        <f t="shared" si="10"/>
        <v/>
      </c>
      <c r="G674" s="5">
        <f ca="1">AVERAGE(D$2:D673)</f>
        <v>178.31812143213585</v>
      </c>
      <c r="H674" s="5">
        <f ca="1">PERCENTILE(D$2:D673,0.025)</f>
        <v>-3.4468581479973879</v>
      </c>
      <c r="I674" s="5">
        <f ca="1">PERCENTILE(D$2:D673,0.165)</f>
        <v>5.2583654059476617</v>
      </c>
      <c r="J674" s="5">
        <f ca="1">PERCENTILE(D$2:D673,0.5)</f>
        <v>41.729467789380884</v>
      </c>
      <c r="K674" s="5">
        <f ca="1">PERCENTILE(D$2:D673,0.835)</f>
        <v>226.25198223221483</v>
      </c>
      <c r="L674" s="5">
        <f ca="1">PERCENTILE(D$2:D673,0.975)</f>
        <v>1224.3939769468225</v>
      </c>
      <c r="M674" s="7">
        <f>AVERAGE(E$2:E673)</f>
        <v>1.4163919413919428</v>
      </c>
      <c r="N674" s="7">
        <f>PERCENTILE($E$2:$E673,0.025)</f>
        <v>-1</v>
      </c>
      <c r="O674" s="7">
        <f>PERCENTILE($E$2:$E673,0.165)</f>
        <v>0</v>
      </c>
      <c r="P674" s="7">
        <f>PERCENTILE($E$2:$E673,0.5)</f>
        <v>1</v>
      </c>
      <c r="Q674" s="7">
        <f>PERCENTILE($E$2:$E673,0.835)</f>
        <v>3</v>
      </c>
      <c r="R674" s="7">
        <f>PERCENTILE($E$2:$E673,0.975)</f>
        <v>3.375</v>
      </c>
    </row>
    <row r="675" spans="1:18" x14ac:dyDescent="0.2">
      <c r="A675" s="5">
        <f>Data!E644</f>
        <v>2012</v>
      </c>
      <c r="B675" s="5">
        <f>Data!M644</f>
        <v>4.3055555555555555E-2</v>
      </c>
      <c r="C675" s="5">
        <f>Data!N644</f>
        <v>6.9444444444444441E-3</v>
      </c>
      <c r="D675" s="5">
        <f ca="1">Data!O644</f>
        <v>84.934987100816954</v>
      </c>
      <c r="E675" s="1">
        <f>Data!AQ644</f>
        <v>0.95</v>
      </c>
      <c r="F675" t="str">
        <f t="shared" si="10"/>
        <v/>
      </c>
      <c r="G675" s="5">
        <f ca="1">AVERAGE(D$2:D674)</f>
        <v>178.12549754992483</v>
      </c>
      <c r="H675" s="5">
        <f ca="1">PERCENTILE(D$2:D674,0.025)</f>
        <v>-3.4454242155427348</v>
      </c>
      <c r="I675" s="5">
        <f ca="1">PERCENTILE(D$2:D674,0.165)</f>
        <v>5.2583654059476617</v>
      </c>
      <c r="J675" s="5">
        <f ca="1">PERCENTILE(D$2:D674,0.5)</f>
        <v>41.89572064909953</v>
      </c>
      <c r="K675" s="5">
        <f ca="1">PERCENTILE(D$2:D674,0.835)</f>
        <v>226.04211993112472</v>
      </c>
      <c r="L675" s="5">
        <f ca="1">PERCENTILE(D$2:D674,0.975)</f>
        <v>1221.5906372332381</v>
      </c>
      <c r="M675" s="7">
        <f>AVERAGE(E$2:E674)</f>
        <v>1.415539305301647</v>
      </c>
      <c r="N675" s="7">
        <f>PERCENTILE($E$2:$E674,0.025)</f>
        <v>-1</v>
      </c>
      <c r="O675" s="7">
        <f>PERCENTILE($E$2:$E674,0.165)</f>
        <v>0</v>
      </c>
      <c r="P675" s="7">
        <f>PERCENTILE($E$2:$E674,0.5)</f>
        <v>1</v>
      </c>
      <c r="Q675" s="7">
        <f>PERCENTILE($E$2:$E674,0.835)</f>
        <v>3</v>
      </c>
      <c r="R675" s="7">
        <f>PERCENTILE($E$2:$E674,0.975)</f>
        <v>3.3500000000000227</v>
      </c>
    </row>
    <row r="676" spans="1:18" x14ac:dyDescent="0.2">
      <c r="A676" s="5">
        <f>Data!E645</f>
        <v>2012</v>
      </c>
      <c r="B676" s="5">
        <f>Data!M645</f>
        <v>4.3055555555555555E-2</v>
      </c>
      <c r="C676" s="5">
        <f>Data!N645</f>
        <v>6.9444444444444441E-3</v>
      </c>
      <c r="D676" s="5">
        <f ca="1">Data!O645</f>
        <v>78.720231947098654</v>
      </c>
      <c r="E676" s="1">
        <f>Data!AQ645</f>
        <v>0.95</v>
      </c>
      <c r="F676" t="str">
        <f t="shared" si="10"/>
        <v/>
      </c>
      <c r="G676" s="5">
        <f ca="1">AVERAGE(D$2:D675)</f>
        <v>177.98723269762644</v>
      </c>
      <c r="H676" s="5">
        <f ca="1">PERCENTILE(D$2:D675,0.025)</f>
        <v>-3.4439902830880822</v>
      </c>
      <c r="I676" s="5">
        <f ca="1">PERCENTILE(D$2:D675,0.165)</f>
        <v>5.2742499243423584</v>
      </c>
      <c r="J676" s="5">
        <f ca="1">PERCENTILE(D$2:D675,0.5)</f>
        <v>42.008723409783443</v>
      </c>
      <c r="K676" s="5">
        <f ca="1">PERCENTILE(D$2:D675,0.835)</f>
        <v>225.74978077586394</v>
      </c>
      <c r="L676" s="5">
        <f ca="1">PERCENTILE(D$2:D675,0.975)</f>
        <v>1218.7872975196665</v>
      </c>
      <c r="M676" s="7">
        <f>AVERAGE(E$2:E675)</f>
        <v>1.4146897810218995</v>
      </c>
      <c r="N676" s="7">
        <f>PERCENTILE($E$2:$E675,0.025)</f>
        <v>-1</v>
      </c>
      <c r="O676" s="7">
        <f>PERCENTILE($E$2:$E675,0.165)</f>
        <v>0</v>
      </c>
      <c r="P676" s="7">
        <f>PERCENTILE($E$2:$E675,0.5)</f>
        <v>1</v>
      </c>
      <c r="Q676" s="7">
        <f>PERCENTILE($E$2:$E675,0.835)</f>
        <v>3</v>
      </c>
      <c r="R676" s="7">
        <f>PERCENTILE($E$2:$E675,0.975)</f>
        <v>3.3249999999999318</v>
      </c>
    </row>
    <row r="677" spans="1:18" x14ac:dyDescent="0.2">
      <c r="A677" s="5">
        <f>Data!E646</f>
        <v>2012</v>
      </c>
      <c r="B677" s="5">
        <f>Data!M646</f>
        <v>4.3055555555555555E-2</v>
      </c>
      <c r="C677" s="5">
        <f>Data!N646</f>
        <v>6.9444444444444441E-3</v>
      </c>
      <c r="D677" s="5">
        <f ca="1">Data!O646</f>
        <v>93.221327305774722</v>
      </c>
      <c r="E677" s="1">
        <f>Data!AQ646</f>
        <v>0.95</v>
      </c>
      <c r="F677" t="str">
        <f t="shared" si="10"/>
        <v/>
      </c>
      <c r="G677" s="5">
        <f ca="1">AVERAGE(D$2:D676)</f>
        <v>177.84017047429234</v>
      </c>
      <c r="H677" s="5">
        <f ca="1">PERCENTILE(D$2:D676,0.025)</f>
        <v>-3.4425563506334291</v>
      </c>
      <c r="I677" s="5">
        <f ca="1">PERCENTILE(D$2:D676,0.165)</f>
        <v>5.3324931584562476</v>
      </c>
      <c r="J677" s="5">
        <f ca="1">PERCENTILE(D$2:D676,0.5)</f>
        <v>42.121726170467348</v>
      </c>
      <c r="K677" s="5">
        <f ca="1">PERCENTILE(D$2:D676,0.835)</f>
        <v>225.23750334281593</v>
      </c>
      <c r="L677" s="5">
        <f ca="1">PERCENTILE(D$2:D676,0.975)</f>
        <v>1215.9839578060948</v>
      </c>
      <c r="M677" s="7">
        <f>AVERAGE(E$2:E676)</f>
        <v>1.4138433515482713</v>
      </c>
      <c r="N677" s="7">
        <f>PERCENTILE($E$2:$E676,0.025)</f>
        <v>-1</v>
      </c>
      <c r="O677" s="7">
        <f>PERCENTILE($E$2:$E676,0.165)</f>
        <v>0</v>
      </c>
      <c r="P677" s="7">
        <f>PERCENTILE($E$2:$E676,0.5)</f>
        <v>1</v>
      </c>
      <c r="Q677" s="7">
        <f>PERCENTILE($E$2:$E676,0.835)</f>
        <v>3</v>
      </c>
      <c r="R677" s="7">
        <f>PERCENTILE($E$2:$E676,0.975)</f>
        <v>3.2999999999999545</v>
      </c>
    </row>
    <row r="678" spans="1:18" x14ac:dyDescent="0.2">
      <c r="A678" s="5">
        <f>Data!E647</f>
        <v>2012</v>
      </c>
      <c r="B678" s="5">
        <f>Data!M647</f>
        <v>4.3055555555555555E-2</v>
      </c>
      <c r="C678" s="5">
        <f>Data!N647</f>
        <v>6.9444444444444441E-3</v>
      </c>
      <c r="D678" s="5">
        <f ca="1">Data!O647</f>
        <v>87.006572152056407</v>
      </c>
      <c r="E678" s="1">
        <f>Data!AQ647</f>
        <v>0.95</v>
      </c>
      <c r="F678" t="str">
        <f t="shared" si="10"/>
        <v/>
      </c>
      <c r="G678" s="5">
        <f ca="1">AVERAGE(D$2:D677)</f>
        <v>177.7149946707886</v>
      </c>
      <c r="H678" s="5">
        <f ca="1">PERCENTILE(D$2:D677,0.025)</f>
        <v>-3.4411224181787761</v>
      </c>
      <c r="I678" s="5">
        <f ca="1">PERCENTILE(D$2:D677,0.165)</f>
        <v>5.3907363925701315</v>
      </c>
      <c r="J678" s="5">
        <f ca="1">PERCENTILE(D$2:D677,0.5)</f>
        <v>42.226318663946586</v>
      </c>
      <c r="K678" s="5">
        <f ca="1">PERCENTILE(D$2:D677,0.835)</f>
        <v>224.72522590976791</v>
      </c>
      <c r="L678" s="5">
        <f ca="1">PERCENTILE(D$2:D677,0.975)</f>
        <v>1213.1806180925232</v>
      </c>
      <c r="M678" s="7">
        <f>AVERAGE(E$2:E677)</f>
        <v>1.4130000000000018</v>
      </c>
      <c r="N678" s="7">
        <f>PERCENTILE($E$2:$E677,0.025)</f>
        <v>-1</v>
      </c>
      <c r="O678" s="7">
        <f>PERCENTILE($E$2:$E677,0.165)</f>
        <v>0</v>
      </c>
      <c r="P678" s="7">
        <f>PERCENTILE($E$2:$E677,0.5)</f>
        <v>1</v>
      </c>
      <c r="Q678" s="7">
        <f>PERCENTILE($E$2:$E677,0.835)</f>
        <v>3</v>
      </c>
      <c r="R678" s="7">
        <f>PERCENTILE($E$2:$E677,0.975)</f>
        <v>3.2749999999999773</v>
      </c>
    </row>
    <row r="679" spans="1:18" x14ac:dyDescent="0.2">
      <c r="A679" s="5">
        <f>Data!E648</f>
        <v>2012</v>
      </c>
      <c r="B679" s="5">
        <f>Data!M648</f>
        <v>4.3055555555555555E-2</v>
      </c>
      <c r="C679" s="5">
        <f>Data!N648</f>
        <v>6.9444444444444441E-3</v>
      </c>
      <c r="D679" s="5">
        <f ca="1">Data!O648</f>
        <v>53.861211332225395</v>
      </c>
      <c r="E679" s="1">
        <f>Data!AQ648</f>
        <v>0.14000000000000001</v>
      </c>
      <c r="F679" t="str">
        <f t="shared" si="10"/>
        <v/>
      </c>
      <c r="G679" s="5">
        <f ca="1">AVERAGE(D$2:D678)</f>
        <v>177.58100881773285</v>
      </c>
      <c r="H679" s="5">
        <f ca="1">PERCENTILE(D$2:D678,0.025)</f>
        <v>-3.439688485724123</v>
      </c>
      <c r="I679" s="5">
        <f ca="1">PERCENTILE(D$2:D678,0.165)</f>
        <v>5.4489796266840198</v>
      </c>
      <c r="J679" s="5">
        <f ca="1">PERCENTILE(D$2:D678,0.5)</f>
        <v>42.330911157425817</v>
      </c>
      <c r="K679" s="5">
        <f ca="1">PERCENTILE(D$2:D678,0.835)</f>
        <v>224.21294847671956</v>
      </c>
      <c r="L679" s="5">
        <f ca="1">PERCENTILE(D$2:D678,0.975)</f>
        <v>1210.3772783789516</v>
      </c>
      <c r="M679" s="7">
        <f>AVERAGE(E$2:E678)</f>
        <v>1.4121597096188767</v>
      </c>
      <c r="N679" s="7">
        <f>PERCENTILE($E$2:$E678,0.025)</f>
        <v>-1</v>
      </c>
      <c r="O679" s="7">
        <f>PERCENTILE($E$2:$E678,0.165)</f>
        <v>0</v>
      </c>
      <c r="P679" s="7">
        <f>PERCENTILE($E$2:$E678,0.5)</f>
        <v>1</v>
      </c>
      <c r="Q679" s="7">
        <f>PERCENTILE($E$2:$E678,0.835)</f>
        <v>3</v>
      </c>
      <c r="R679" s="7">
        <f>PERCENTILE($E$2:$E678,0.975)</f>
        <v>3.25</v>
      </c>
    </row>
    <row r="680" spans="1:18" x14ac:dyDescent="0.2">
      <c r="A680" s="5">
        <f>Data!E649</f>
        <v>2012</v>
      </c>
      <c r="B680" s="5">
        <f>Data!M649</f>
        <v>4.3055555555555555E-2</v>
      </c>
      <c r="C680" s="5">
        <f>Data!N649</f>
        <v>6.9444444444444441E-3</v>
      </c>
      <c r="D680" s="5">
        <f ca="1">Data!O649</f>
        <v>60.075966485943709</v>
      </c>
      <c r="E680" s="1">
        <f>Data!AQ649</f>
        <v>0.14000000000000001</v>
      </c>
      <c r="F680" t="str">
        <f t="shared" si="10"/>
        <v/>
      </c>
      <c r="G680" s="5">
        <f ca="1">AVERAGE(D$2:D679)</f>
        <v>177.39853124032061</v>
      </c>
      <c r="H680" s="5">
        <f ca="1">PERCENTILE(D$2:D679,0.025)</f>
        <v>-3.4382545532694704</v>
      </c>
      <c r="I680" s="5">
        <f ca="1">PERCENTILE(D$2:D679,0.165)</f>
        <v>5.5072228607979037</v>
      </c>
      <c r="J680" s="5">
        <f ca="1">PERCENTILE(D$2:D679,0.5)</f>
        <v>42.399202353917147</v>
      </c>
      <c r="K680" s="5">
        <f ca="1">PERCENTILE(D$2:D679,0.835)</f>
        <v>223.70067104367155</v>
      </c>
      <c r="L680" s="5">
        <f ca="1">PERCENTILE(D$2:D679,0.975)</f>
        <v>1207.5739386653672</v>
      </c>
      <c r="M680" s="7">
        <f>AVERAGE(E$2:E679)</f>
        <v>1.40985507246377</v>
      </c>
      <c r="N680" s="7">
        <f>PERCENTILE($E$2:$E679,0.025)</f>
        <v>-1</v>
      </c>
      <c r="O680" s="7">
        <f>PERCENTILE($E$2:$E679,0.165)</f>
        <v>0</v>
      </c>
      <c r="P680" s="7">
        <f>PERCENTILE($E$2:$E679,0.5)</f>
        <v>1</v>
      </c>
      <c r="Q680" s="7">
        <f>PERCENTILE($E$2:$E679,0.835)</f>
        <v>3</v>
      </c>
      <c r="R680" s="7">
        <f>PERCENTILE($E$2:$E679,0.975)</f>
        <v>3.2250000000000227</v>
      </c>
    </row>
    <row r="681" spans="1:18" x14ac:dyDescent="0.2">
      <c r="A681" s="5">
        <f>Data!E650</f>
        <v>2012</v>
      </c>
      <c r="B681" s="5">
        <f>Data!M650</f>
        <v>4.3055555555555555E-2</v>
      </c>
      <c r="C681" s="5">
        <f>Data!N650</f>
        <v>6.9444444444444441E-3</v>
      </c>
      <c r="D681" s="5">
        <f ca="1">Data!O650</f>
        <v>49.718041229746518</v>
      </c>
      <c r="E681" s="1">
        <f>Data!AQ650</f>
        <v>0.14000000000000001</v>
      </c>
      <c r="F681" t="str">
        <f t="shared" si="10"/>
        <v/>
      </c>
      <c r="G681" s="5">
        <f ca="1">AVERAGE(D$2:D680)</f>
        <v>177.22574395791358</v>
      </c>
      <c r="H681" s="5">
        <f ca="1">PERCENTILE(D$2:D680,0.025)</f>
        <v>-3.4368206208148173</v>
      </c>
      <c r="I681" s="5">
        <f ca="1">PERCENTILE(D$2:D680,0.165)</f>
        <v>5.5654660949117929</v>
      </c>
      <c r="J681" s="5">
        <f ca="1">PERCENTILE(D$2:D680,0.5)</f>
        <v>42.467493550408477</v>
      </c>
      <c r="K681" s="5">
        <f ca="1">PERCENTILE(D$2:D680,0.835)</f>
        <v>223.18839361062356</v>
      </c>
      <c r="L681" s="5">
        <f ca="1">PERCENTILE(D$2:D680,0.975)</f>
        <v>1204.7705989517956</v>
      </c>
      <c r="M681" s="7">
        <f>AVERAGE(E$2:E680)</f>
        <v>1.4075587703435823</v>
      </c>
      <c r="N681" s="7">
        <f>PERCENTILE($E$2:$E680,0.025)</f>
        <v>-1</v>
      </c>
      <c r="O681" s="7">
        <f>PERCENTILE($E$2:$E680,0.165)</f>
        <v>0</v>
      </c>
      <c r="P681" s="7">
        <f>PERCENTILE($E$2:$E680,0.5)</f>
        <v>1</v>
      </c>
      <c r="Q681" s="7">
        <f>PERCENTILE($E$2:$E680,0.835)</f>
        <v>3</v>
      </c>
      <c r="R681" s="7">
        <f>PERCENTILE($E$2:$E680,0.975)</f>
        <v>3.1999999999999318</v>
      </c>
    </row>
    <row r="682" spans="1:18" x14ac:dyDescent="0.2">
      <c r="A682" s="5">
        <f>Data!E651</f>
        <v>2012</v>
      </c>
      <c r="B682" s="5">
        <f>Data!M651</f>
        <v>4.3055555555555555E-2</v>
      </c>
      <c r="C682" s="5">
        <f>Data!N651</f>
        <v>6.9444444444444441E-3</v>
      </c>
      <c r="D682" s="5">
        <f ca="1">Data!O651</f>
        <v>92.185534780154995</v>
      </c>
      <c r="E682" s="1">
        <f>Data!AQ651</f>
        <v>0.14000000000000001</v>
      </c>
      <c r="F682" t="str">
        <f t="shared" si="10"/>
        <v/>
      </c>
      <c r="G682" s="5">
        <f ca="1">AVERAGE(D$2:D681)</f>
        <v>177.03823263037216</v>
      </c>
      <c r="H682" s="5">
        <f ca="1">PERCENTILE(D$2:D681,0.025)</f>
        <v>-3.4353866883601643</v>
      </c>
      <c r="I682" s="5">
        <f ca="1">PERCENTILE(D$2:D681,0.165)</f>
        <v>5.6200866089203725</v>
      </c>
      <c r="J682" s="5">
        <f ca="1">PERCENTILE(D$2:D681,0.5)</f>
        <v>42.467493550408477</v>
      </c>
      <c r="K682" s="5">
        <f ca="1">PERCENTILE(D$2:D681,0.835)</f>
        <v>222.71338437867797</v>
      </c>
      <c r="L682" s="5">
        <f ca="1">PERCENTILE(D$2:D681,0.975)</f>
        <v>1201.967259238224</v>
      </c>
      <c r="M682" s="7">
        <f>AVERAGE(E$2:E681)</f>
        <v>1.4052707581227455</v>
      </c>
      <c r="N682" s="7">
        <f>PERCENTILE($E$2:$E681,0.025)</f>
        <v>-1</v>
      </c>
      <c r="O682" s="7">
        <f>PERCENTILE($E$2:$E681,0.165)</f>
        <v>0</v>
      </c>
      <c r="P682" s="7">
        <f>PERCENTILE($E$2:$E681,0.5)</f>
        <v>1</v>
      </c>
      <c r="Q682" s="7">
        <f>PERCENTILE($E$2:$E681,0.835)</f>
        <v>3</v>
      </c>
      <c r="R682" s="7">
        <f>PERCENTILE($E$2:$E681,0.975)</f>
        <v>3.1749999999999545</v>
      </c>
    </row>
    <row r="683" spans="1:18" x14ac:dyDescent="0.2">
      <c r="A683" s="5">
        <f>Data!E652</f>
        <v>2012</v>
      </c>
      <c r="B683" s="5">
        <f>Data!M652</f>
        <v>4.3055555555555555E-2</v>
      </c>
      <c r="C683" s="5">
        <f>Data!N652</f>
        <v>6.9444444444444441E-3</v>
      </c>
      <c r="D683" s="5">
        <f ca="1">Data!O652</f>
        <v>67.32651416528175</v>
      </c>
      <c r="E683" s="1">
        <f>Data!AQ652</f>
        <v>0.14000000000000001</v>
      </c>
      <c r="F683" t="str">
        <f t="shared" si="10"/>
        <v/>
      </c>
      <c r="G683" s="5">
        <f ca="1">AVERAGE(D$2:D682)</f>
        <v>176.91363248668611</v>
      </c>
      <c r="H683" s="5">
        <f ca="1">PERCENTILE(D$2:D682,0.025)</f>
        <v>-3.4339527559055116</v>
      </c>
      <c r="I683" s="5">
        <f ca="1">PERCENTILE(D$2:D682,0.165)</f>
        <v>5.6612513053949503</v>
      </c>
      <c r="J683" s="5">
        <f ca="1">PERCENTILE(D$2:D682,0.5)</f>
        <v>42.467493550408477</v>
      </c>
      <c r="K683" s="5">
        <f ca="1">PERCENTILE(D$2:D682,0.835)</f>
        <v>222.37679989368411</v>
      </c>
      <c r="L683" s="5">
        <f ca="1">PERCENTILE(D$2:D682,0.975)</f>
        <v>1199.1639195246523</v>
      </c>
      <c r="M683" s="7">
        <f>AVERAGE(E$2:E682)</f>
        <v>1.4029909909909928</v>
      </c>
      <c r="N683" s="7">
        <f>PERCENTILE($E$2:$E682,0.025)</f>
        <v>-1</v>
      </c>
      <c r="O683" s="7">
        <f>PERCENTILE($E$2:$E682,0.165)</f>
        <v>0</v>
      </c>
      <c r="P683" s="7">
        <f>PERCENTILE($E$2:$E682,0.5)</f>
        <v>1</v>
      </c>
      <c r="Q683" s="7">
        <f>PERCENTILE($E$2:$E682,0.835)</f>
        <v>3</v>
      </c>
      <c r="R683" s="7">
        <f>PERCENTILE($E$2:$E682,0.975)</f>
        <v>3.1499999999999773</v>
      </c>
    </row>
    <row r="684" spans="1:18" x14ac:dyDescent="0.2">
      <c r="A684" s="5">
        <f>Data!E653</f>
        <v>2012</v>
      </c>
      <c r="B684" s="5">
        <f>Data!M653</f>
        <v>4.3055555555555555E-2</v>
      </c>
      <c r="C684" s="5">
        <f>Data!N653</f>
        <v>6.9444444444444441E-3</v>
      </c>
      <c r="D684" s="5">
        <f ca="1">Data!O653</f>
        <v>134.6530283305635</v>
      </c>
      <c r="E684" s="1">
        <f>Data!AQ653</f>
        <v>0.14000000000000001</v>
      </c>
      <c r="F684" t="str">
        <f t="shared" si="10"/>
        <v/>
      </c>
      <c r="G684" s="5">
        <f ca="1">AVERAGE(D$2:D683)</f>
        <v>176.75294756246117</v>
      </c>
      <c r="H684" s="5">
        <f ca="1">PERCENTILE(D$2:D683,0.025)</f>
        <v>-3.4310054116622513</v>
      </c>
      <c r="I684" s="5">
        <f ca="1">PERCENTILE(D$2:D683,0.165)</f>
        <v>5.7024160018695307</v>
      </c>
      <c r="J684" s="5">
        <f ca="1">PERCENTILE(D$2:D683,0.5)</f>
        <v>42.568564975336088</v>
      </c>
      <c r="K684" s="5">
        <f ca="1">PERCENTILE(D$2:D683,0.835)</f>
        <v>222.0402154086905</v>
      </c>
      <c r="L684" s="5">
        <f ca="1">PERCENTILE(D$2:D683,0.975)</f>
        <v>1197.3410556077056</v>
      </c>
      <c r="M684" s="7">
        <f>AVERAGE(E$2:E683)</f>
        <v>1.4007194244604335</v>
      </c>
      <c r="N684" s="7">
        <f>PERCENTILE($E$2:$E683,0.025)</f>
        <v>-1</v>
      </c>
      <c r="O684" s="7">
        <f>PERCENTILE($E$2:$E683,0.165)</f>
        <v>0</v>
      </c>
      <c r="P684" s="7">
        <f>PERCENTILE($E$2:$E683,0.5)</f>
        <v>1</v>
      </c>
      <c r="Q684" s="7">
        <f>PERCENTILE($E$2:$E683,0.835)</f>
        <v>3</v>
      </c>
      <c r="R684" s="7">
        <f>PERCENTILE($E$2:$E683,0.975)</f>
        <v>3.125</v>
      </c>
    </row>
    <row r="685" spans="1:18" x14ac:dyDescent="0.2">
      <c r="A685" s="5">
        <f>Data!E654</f>
        <v>2012</v>
      </c>
      <c r="B685" s="5">
        <f>Data!M654</f>
        <v>4.3055555555555555E-2</v>
      </c>
      <c r="C685" s="5">
        <f>Data!N654</f>
        <v>6.9444444444444441E-3</v>
      </c>
      <c r="D685" s="5">
        <f ca="1">Data!O654</f>
        <v>37.288530922309889</v>
      </c>
      <c r="E685" s="1">
        <f>Data!AQ654</f>
        <v>0.14000000000000001</v>
      </c>
      <c r="F685" t="str">
        <f t="shared" si="10"/>
        <v/>
      </c>
      <c r="G685" s="5">
        <f ca="1">AVERAGE(D$2:D684)</f>
        <v>176.69130785641153</v>
      </c>
      <c r="H685" s="5">
        <f ca="1">PERCENTILE(D$2:D684,0.025)</f>
        <v>-3.4280580674189918</v>
      </c>
      <c r="I685" s="5">
        <f ca="1">PERCENTILE(D$2:D684,0.165)</f>
        <v>5.7435806983441084</v>
      </c>
      <c r="J685" s="5">
        <f ca="1">PERCENTILE(D$2:D684,0.5)</f>
        <v>42.669636400263698</v>
      </c>
      <c r="K685" s="5">
        <f ca="1">PERCENTILE(D$2:D684,0.835)</f>
        <v>221.70363092369686</v>
      </c>
      <c r="L685" s="5">
        <f ca="1">PERCENTILE(D$2:D684,0.975)</f>
        <v>1195.5181916907509</v>
      </c>
      <c r="M685" s="7">
        <f>AVERAGE(E$2:E684)</f>
        <v>1.3984560143626588</v>
      </c>
      <c r="N685" s="7">
        <f>PERCENTILE($E$2:$E684,0.025)</f>
        <v>-1</v>
      </c>
      <c r="O685" s="7">
        <f>PERCENTILE($E$2:$E684,0.165)</f>
        <v>0</v>
      </c>
      <c r="P685" s="7">
        <f>PERCENTILE($E$2:$E684,0.5)</f>
        <v>1</v>
      </c>
      <c r="Q685" s="7">
        <f>PERCENTILE($E$2:$E684,0.835)</f>
        <v>3</v>
      </c>
      <c r="R685" s="7">
        <f>PERCENTILE($E$2:$E684,0.975)</f>
        <v>3.1000000000000227</v>
      </c>
    </row>
    <row r="686" spans="1:18" x14ac:dyDescent="0.2">
      <c r="A686" s="5">
        <f>Data!E655</f>
        <v>2012</v>
      </c>
      <c r="B686" s="5">
        <f>Data!M655</f>
        <v>4.3055555555555555E-2</v>
      </c>
      <c r="C686" s="5">
        <f>Data!N655</f>
        <v>6.9444444444444441E-3</v>
      </c>
      <c r="D686" s="5">
        <f ca="1">Data!O655</f>
        <v>56.968588909084552</v>
      </c>
      <c r="E686" s="1">
        <f>Data!AQ655</f>
        <v>0.14000000000000001</v>
      </c>
      <c r="F686" t="str">
        <f t="shared" si="10"/>
        <v/>
      </c>
      <c r="G686" s="5">
        <f ca="1">AVERAGE(D$2:D685)</f>
        <v>176.4875026269757</v>
      </c>
      <c r="H686" s="5">
        <f ca="1">PERCENTILE(D$2:D685,0.025)</f>
        <v>-3.4251107231757318</v>
      </c>
      <c r="I686" s="5">
        <f ca="1">PERCENTILE(D$2:D685,0.165)</f>
        <v>5.7847453948186889</v>
      </c>
      <c r="J686" s="5">
        <f ca="1">PERCENTILE(D$2:D685,0.5)</f>
        <v>42.568564975336088</v>
      </c>
      <c r="K686" s="5">
        <f ca="1">PERCENTILE(D$2:D685,0.835)</f>
        <v>221.36704643870303</v>
      </c>
      <c r="L686" s="5">
        <f ca="1">PERCENTILE(D$2:D685,0.975)</f>
        <v>1193.6953277738041</v>
      </c>
      <c r="M686" s="7">
        <f>AVERAGE(E$2:E685)</f>
        <v>1.3962007168458799</v>
      </c>
      <c r="N686" s="7">
        <f>PERCENTILE($E$2:$E685,0.025)</f>
        <v>-1</v>
      </c>
      <c r="O686" s="7">
        <f>PERCENTILE($E$2:$E685,0.165)</f>
        <v>0</v>
      </c>
      <c r="P686" s="7">
        <f>PERCENTILE($E$2:$E685,0.5)</f>
        <v>1</v>
      </c>
      <c r="Q686" s="7">
        <f>PERCENTILE($E$2:$E685,0.835)</f>
        <v>3</v>
      </c>
      <c r="R686" s="7">
        <f>PERCENTILE($E$2:$E685,0.975)</f>
        <v>3.0749999999999318</v>
      </c>
    </row>
    <row r="687" spans="1:18" x14ac:dyDescent="0.2">
      <c r="A687" s="5">
        <f>Data!E656</f>
        <v>2012</v>
      </c>
      <c r="B687" s="5">
        <f>Data!M656</f>
        <v>4.3055555555555555E-2</v>
      </c>
      <c r="C687" s="5">
        <f>Data!N656</f>
        <v>6.9444444444444441E-3</v>
      </c>
      <c r="D687" s="5">
        <f ca="1">Data!O656</f>
        <v>93.221327305774722</v>
      </c>
      <c r="E687" s="1">
        <f>Data!AQ656</f>
        <v>0.14000000000000001</v>
      </c>
      <c r="F687" t="str">
        <f t="shared" si="10"/>
        <v/>
      </c>
      <c r="G687" s="5">
        <f ca="1">AVERAGE(D$2:D686)</f>
        <v>176.31302246096419</v>
      </c>
      <c r="H687" s="5">
        <f ca="1">PERCENTILE(D$2:D686,0.025)</f>
        <v>-3.4221633789324719</v>
      </c>
      <c r="I687" s="5">
        <f ca="1">PERCENTILE(D$2:D686,0.165)</f>
        <v>5.8259100912932658</v>
      </c>
      <c r="J687" s="5">
        <f ca="1">PERCENTILE(D$2:D686,0.5)</f>
        <v>42.669636400263698</v>
      </c>
      <c r="K687" s="5">
        <f ca="1">PERCENTILE(D$2:D686,0.835)</f>
        <v>221.03046195370939</v>
      </c>
      <c r="L687" s="5">
        <f ca="1">PERCENTILE(D$2:D686,0.975)</f>
        <v>1191.8724638568574</v>
      </c>
      <c r="M687" s="7">
        <f>AVERAGE(E$2:E686)</f>
        <v>1.3939534883720948</v>
      </c>
      <c r="N687" s="7">
        <f>PERCENTILE($E$2:$E686,0.025)</f>
        <v>-1</v>
      </c>
      <c r="O687" s="7">
        <f>PERCENTILE($E$2:$E686,0.165)</f>
        <v>0</v>
      </c>
      <c r="P687" s="7">
        <f>PERCENTILE($E$2:$E686,0.5)</f>
        <v>1</v>
      </c>
      <c r="Q687" s="7">
        <f>PERCENTILE($E$2:$E686,0.835)</f>
        <v>3</v>
      </c>
      <c r="R687" s="7">
        <f>PERCENTILE($E$2:$E686,0.975)</f>
        <v>3.0499999999999545</v>
      </c>
    </row>
    <row r="688" spans="1:18" x14ac:dyDescent="0.2">
      <c r="A688" s="5">
        <f>Data!E657</f>
        <v>2012</v>
      </c>
      <c r="B688" s="5">
        <f>Data!M657</f>
        <v>4.3055555555555555E-2</v>
      </c>
      <c r="C688" s="5">
        <f>Data!N657</f>
        <v>6.9444444444444441E-3</v>
      </c>
      <c r="D688" s="5">
        <f ca="1">Data!O657</f>
        <v>143.97516106114097</v>
      </c>
      <c r="E688" s="1">
        <f>Data!AQ657</f>
        <v>0.14000000000000001</v>
      </c>
      <c r="F688" t="str">
        <f t="shared" si="10"/>
        <v/>
      </c>
      <c r="G688" s="5">
        <f ca="1">AVERAGE(D$2:D687)</f>
        <v>176.19189754091289</v>
      </c>
      <c r="H688" s="5">
        <f ca="1">PERCENTILE(D$2:D687,0.025)</f>
        <v>-3.419216034689212</v>
      </c>
      <c r="I688" s="5">
        <f ca="1">PERCENTILE(D$2:D687,0.165)</f>
        <v>5.8614344615953939</v>
      </c>
      <c r="J688" s="5">
        <f ca="1">PERCENTILE(D$2:D687,0.5)</f>
        <v>42.733556094219537</v>
      </c>
      <c r="K688" s="5">
        <f ca="1">PERCENTILE(D$2:D687,0.835)</f>
        <v>220.69098356223634</v>
      </c>
      <c r="L688" s="5">
        <f ca="1">PERCENTILE(D$2:D687,0.975)</f>
        <v>1190.0495999399109</v>
      </c>
      <c r="M688" s="7">
        <f>AVERAGE(E$2:E687)</f>
        <v>1.3917142857142875</v>
      </c>
      <c r="N688" s="7">
        <f>PERCENTILE($E$2:$E687,0.025)</f>
        <v>-1</v>
      </c>
      <c r="O688" s="7">
        <f>PERCENTILE($E$2:$E687,0.165)</f>
        <v>0</v>
      </c>
      <c r="P688" s="7">
        <f>PERCENTILE($E$2:$E687,0.5)</f>
        <v>1</v>
      </c>
      <c r="Q688" s="7">
        <f>PERCENTILE($E$2:$E687,0.835)</f>
        <v>3</v>
      </c>
      <c r="R688" s="7">
        <f>PERCENTILE($E$2:$E687,0.975)</f>
        <v>3.0249999999999773</v>
      </c>
    </row>
    <row r="689" spans="1:18" x14ac:dyDescent="0.2">
      <c r="A689" s="5">
        <f>Data!E658</f>
        <v>2012</v>
      </c>
      <c r="B689" s="5">
        <f>Data!M658</f>
        <v>4.3055555555555555E-2</v>
      </c>
      <c r="C689" s="5">
        <f>Data!N658</f>
        <v>6.9444444444444441E-3</v>
      </c>
      <c r="D689" s="5">
        <f ca="1">Data!O658</f>
        <v>59.040173960323983</v>
      </c>
      <c r="E689" s="1">
        <f>Data!AQ658</f>
        <v>0.14000000000000001</v>
      </c>
      <c r="F689" t="str">
        <f t="shared" si="10"/>
        <v/>
      </c>
      <c r="G689" s="5">
        <f ca="1">AVERAGE(D$2:D688)</f>
        <v>176.14500272798747</v>
      </c>
      <c r="H689" s="5">
        <f ca="1">PERCENTILE(D$2:D688,0.025)</f>
        <v>-3.416268690445952</v>
      </c>
      <c r="I689" s="5">
        <f ca="1">PERCENTILE(D$2:D688,0.165)</f>
        <v>5.8653730053317918</v>
      </c>
      <c r="J689" s="5">
        <f ca="1">PERCENTILE(D$2:D688,0.5)</f>
        <v>42.797475788175376</v>
      </c>
      <c r="K689" s="5">
        <f ca="1">PERCENTILE(D$2:D688,0.835)</f>
        <v>220.33529929447803</v>
      </c>
      <c r="L689" s="5">
        <f ca="1">PERCENTILE(D$2:D688,0.975)</f>
        <v>1188.2267360229641</v>
      </c>
      <c r="M689" s="7">
        <f>AVERAGE(E$2:E688)</f>
        <v>1.3894830659536559</v>
      </c>
      <c r="N689" s="7">
        <f>PERCENTILE($E$2:$E688,0.025)</f>
        <v>-1</v>
      </c>
      <c r="O689" s="7">
        <f>PERCENTILE($E$2:$E688,0.165)</f>
        <v>0</v>
      </c>
      <c r="P689" s="7">
        <f>PERCENTILE($E$2:$E688,0.5)</f>
        <v>1</v>
      </c>
      <c r="Q689" s="7">
        <f>PERCENTILE($E$2:$E688,0.835)</f>
        <v>3</v>
      </c>
      <c r="R689" s="7">
        <f>PERCENTILE($E$2:$E688,0.975)</f>
        <v>3</v>
      </c>
    </row>
    <row r="690" spans="1:18" x14ac:dyDescent="0.2">
      <c r="A690" s="5">
        <f>Data!E659</f>
        <v>2012</v>
      </c>
      <c r="B690" s="5">
        <f>Data!M659</f>
        <v>4.3055555555555555E-2</v>
      </c>
      <c r="C690" s="5">
        <f>Data!N659</f>
        <v>6.9444444444444441E-3</v>
      </c>
      <c r="D690" s="5">
        <f ca="1">Data!O659</f>
        <v>53.861211332225395</v>
      </c>
      <c r="E690" s="1">
        <f>Data!AQ659</f>
        <v>0.14000000000000001</v>
      </c>
      <c r="F690" t="str">
        <f t="shared" si="10"/>
        <v/>
      </c>
      <c r="G690" s="5">
        <f ca="1">AVERAGE(D$2:D689)</f>
        <v>175.97479222105773</v>
      </c>
      <c r="H690" s="5">
        <f ca="1">PERCENTILE(D$2:D689,0.025)</f>
        <v>-3.4133213462026921</v>
      </c>
      <c r="I690" s="5">
        <f ca="1">PERCENTILE(D$2:D689,0.165)</f>
        <v>5.8693115490681889</v>
      </c>
      <c r="J690" s="5">
        <f ca="1">PERCENTILE(D$2:D689,0.5)</f>
        <v>43.011609657512054</v>
      </c>
      <c r="K690" s="5">
        <f ca="1">PERCENTILE(D$2:D689,0.835)</f>
        <v>219.97961502672001</v>
      </c>
      <c r="L690" s="5">
        <f ca="1">PERCENTILE(D$2:D689,0.975)</f>
        <v>1186.4038721060092</v>
      </c>
      <c r="M690" s="7">
        <f>AVERAGE(E$2:E689)</f>
        <v>1.3872597864768699</v>
      </c>
      <c r="N690" s="7">
        <f>PERCENTILE($E$2:$E689,0.025)</f>
        <v>-1</v>
      </c>
      <c r="O690" s="7">
        <f>PERCENTILE($E$2:$E689,0.165)</f>
        <v>0</v>
      </c>
      <c r="P690" s="7">
        <f>PERCENTILE($E$2:$E689,0.5)</f>
        <v>1</v>
      </c>
      <c r="Q690" s="7">
        <f>PERCENTILE($E$2:$E689,0.835)</f>
        <v>3</v>
      </c>
      <c r="R690" s="7">
        <f>PERCENTILE($E$2:$E689,0.975)</f>
        <v>3</v>
      </c>
    </row>
    <row r="691" spans="1:18" x14ac:dyDescent="0.2">
      <c r="A691" s="5">
        <f>Data!E660</f>
        <v>2012</v>
      </c>
      <c r="B691" s="5">
        <f>Data!M660</f>
        <v>4.3055555555555555E-2</v>
      </c>
      <c r="C691" s="5">
        <f>Data!N660</f>
        <v>6.9444444444444441E-3</v>
      </c>
      <c r="D691" s="5">
        <f ca="1">Data!O660</f>
        <v>107.72242266445079</v>
      </c>
      <c r="E691" s="1">
        <f>Data!AQ660</f>
        <v>0.14000000000000001</v>
      </c>
      <c r="F691" t="str">
        <f t="shared" si="10"/>
        <v/>
      </c>
      <c r="G691" s="5">
        <f ca="1">AVERAGE(D$2:D690)</f>
        <v>175.79755915735842</v>
      </c>
      <c r="H691" s="5">
        <f ca="1">PERCENTILE(D$2:D690,0.025)</f>
        <v>-3.4103740019594326</v>
      </c>
      <c r="I691" s="5">
        <f ca="1">PERCENTILE(D$2:D690,0.165)</f>
        <v>5.8732500928045868</v>
      </c>
      <c r="J691" s="5">
        <f ca="1">PERCENTILE(D$2:D690,0.5)</f>
        <v>43.225743526848724</v>
      </c>
      <c r="K691" s="5">
        <f ca="1">PERCENTILE(D$2:D690,0.835)</f>
        <v>219.62393075896199</v>
      </c>
      <c r="L691" s="5">
        <f ca="1">PERCENTILE(D$2:D690,0.975)</f>
        <v>1184.5810081890627</v>
      </c>
      <c r="M691" s="7">
        <f>AVERAGE(E$2:E690)</f>
        <v>1.3850444049733586</v>
      </c>
      <c r="N691" s="7">
        <f>PERCENTILE($E$2:$E690,0.025)</f>
        <v>-1</v>
      </c>
      <c r="O691" s="7">
        <f>PERCENTILE($E$2:$E690,0.165)</f>
        <v>0</v>
      </c>
      <c r="P691" s="7">
        <f>PERCENTILE($E$2:$E690,0.5)</f>
        <v>1</v>
      </c>
      <c r="Q691" s="7">
        <f>PERCENTILE($E$2:$E690,0.835)</f>
        <v>3</v>
      </c>
      <c r="R691" s="7">
        <f>PERCENTILE($E$2:$E690,0.975)</f>
        <v>3</v>
      </c>
    </row>
    <row r="692" spans="1:18" x14ac:dyDescent="0.2">
      <c r="A692" s="5">
        <f>Data!E661</f>
        <v>2012</v>
      </c>
      <c r="B692" s="5">
        <f>Data!M661</f>
        <v>4.3055555555555555E-2</v>
      </c>
      <c r="C692" s="5">
        <f>Data!N661</f>
        <v>6.9444444444444441E-3</v>
      </c>
      <c r="D692" s="5">
        <f ca="1">Data!O661</f>
        <v>75.612854370239489</v>
      </c>
      <c r="E692" s="1">
        <f>Data!AQ661</f>
        <v>0.14000000000000001</v>
      </c>
      <c r="F692" t="str">
        <f t="shared" si="10"/>
        <v/>
      </c>
      <c r="G692" s="5">
        <f ca="1">AVERAGE(D$2:D691)</f>
        <v>175.69889953925275</v>
      </c>
      <c r="H692" s="5">
        <f ca="1">PERCENTILE(D$2:D691,0.025)</f>
        <v>-3.4074266577161723</v>
      </c>
      <c r="I692" s="5">
        <f ca="1">PERCENTILE(D$2:D691,0.165)</f>
        <v>5.8771886365409838</v>
      </c>
      <c r="J692" s="5">
        <f ca="1">PERCENTILE(D$2:D691,0.5)</f>
        <v>43.225743526848724</v>
      </c>
      <c r="K692" s="5">
        <f ca="1">PERCENTILE(D$2:D691,0.835)</f>
        <v>219.26824649120368</v>
      </c>
      <c r="L692" s="5">
        <f ca="1">PERCENTILE(D$2:D691,0.975)</f>
        <v>1182.7581442721159</v>
      </c>
      <c r="M692" s="7">
        <f>AVERAGE(E$2:E691)</f>
        <v>1.3828368794326256</v>
      </c>
      <c r="N692" s="7">
        <f>PERCENTILE($E$2:$E691,0.025)</f>
        <v>-1</v>
      </c>
      <c r="O692" s="7">
        <f>PERCENTILE($E$2:$E691,0.165)</f>
        <v>0</v>
      </c>
      <c r="P692" s="7">
        <f>PERCENTILE($E$2:$E691,0.5)</f>
        <v>1</v>
      </c>
      <c r="Q692" s="7">
        <f>PERCENTILE($E$2:$E691,0.835)</f>
        <v>3</v>
      </c>
      <c r="R692" s="7">
        <f>PERCENTILE($E$2:$E691,0.975)</f>
        <v>3</v>
      </c>
    </row>
    <row r="693" spans="1:18" x14ac:dyDescent="0.2">
      <c r="A693" s="5">
        <f>Data!E662</f>
        <v>2012</v>
      </c>
      <c r="B693" s="5">
        <f>Data!M662</f>
        <v>4.3055555555555555E-2</v>
      </c>
      <c r="C693" s="5">
        <f>Data!N662</f>
        <v>6.9444444444444441E-3</v>
      </c>
      <c r="D693" s="5">
        <f ca="1">Data!O662</f>
        <v>152.26150126609872</v>
      </c>
      <c r="E693" s="1">
        <f>Data!AQ662</f>
        <v>0.14000000000000001</v>
      </c>
      <c r="F693" t="str">
        <f t="shared" si="10"/>
        <v/>
      </c>
      <c r="G693" s="5">
        <f ca="1">AVERAGE(D$2:D692)</f>
        <v>175.55405721628745</v>
      </c>
      <c r="H693" s="5">
        <f ca="1">PERCENTILE(D$2:D692,0.025)</f>
        <v>-3.4044793134729128</v>
      </c>
      <c r="I693" s="5">
        <f ca="1">PERCENTILE(D$2:D692,0.165)</f>
        <v>5.8811271802773817</v>
      </c>
      <c r="J693" s="5">
        <f ca="1">PERCENTILE(D$2:D692,0.5)</f>
        <v>43.225743526848724</v>
      </c>
      <c r="K693" s="5">
        <f ca="1">PERCENTILE(D$2:D692,0.835)</f>
        <v>218.91256222344566</v>
      </c>
      <c r="L693" s="5">
        <f ca="1">PERCENTILE(D$2:D692,0.975)</f>
        <v>1180.9352803551694</v>
      </c>
      <c r="M693" s="7">
        <f>AVERAGE(E$2:E692)</f>
        <v>1.3806371681415945</v>
      </c>
      <c r="N693" s="7">
        <f>PERCENTILE($E$2:$E692,0.025)</f>
        <v>-1</v>
      </c>
      <c r="O693" s="7">
        <f>PERCENTILE($E$2:$E692,0.165)</f>
        <v>0</v>
      </c>
      <c r="P693" s="7">
        <f>PERCENTILE($E$2:$E692,0.5)</f>
        <v>1</v>
      </c>
      <c r="Q693" s="7">
        <f>PERCENTILE($E$2:$E692,0.835)</f>
        <v>3</v>
      </c>
      <c r="R693" s="7">
        <f>PERCENTILE($E$2:$E692,0.975)</f>
        <v>3</v>
      </c>
    </row>
    <row r="694" spans="1:18" x14ac:dyDescent="0.2">
      <c r="A694" s="5">
        <f>Data!E663</f>
        <v>2012</v>
      </c>
      <c r="B694" s="5">
        <f>Data!M663</f>
        <v>4.3055555555555555E-2</v>
      </c>
      <c r="C694" s="5">
        <f>Data!N663</f>
        <v>6.9444444444444441E-3</v>
      </c>
      <c r="D694" s="5">
        <f ca="1">Data!O663</f>
        <v>134.6530283305635</v>
      </c>
      <c r="E694" s="1">
        <f>Data!AQ663</f>
        <v>0.14000000000000001</v>
      </c>
      <c r="F694" t="str">
        <f t="shared" si="10"/>
        <v/>
      </c>
      <c r="G694" s="5">
        <f ca="1">AVERAGE(D$2:D693)</f>
        <v>175.52039745335364</v>
      </c>
      <c r="H694" s="5">
        <f ca="1">PERCENTILE(D$2:D693,0.025)</f>
        <v>-3.4015319692296524</v>
      </c>
      <c r="I694" s="5">
        <f ca="1">PERCENTILE(D$2:D693,0.165)</f>
        <v>5.8864370594644493</v>
      </c>
      <c r="J694" s="5">
        <f ca="1">PERCENTILE(D$2:D693,0.5)</f>
        <v>43.312725175157482</v>
      </c>
      <c r="K694" s="5">
        <f ca="1">PERCENTILE(D$2:D693,0.835)</f>
        <v>218.56004451665902</v>
      </c>
      <c r="L694" s="5">
        <f ca="1">PERCENTILE(D$2:D693,0.975)</f>
        <v>1179.1124164382227</v>
      </c>
      <c r="M694" s="7">
        <f>AVERAGE(E$2:E693)</f>
        <v>1.3784452296819802</v>
      </c>
      <c r="N694" s="7">
        <f>PERCENTILE($E$2:$E693,0.025)</f>
        <v>-1</v>
      </c>
      <c r="O694" s="7">
        <f>PERCENTILE($E$2:$E693,0.165)</f>
        <v>0</v>
      </c>
      <c r="P694" s="7">
        <f>PERCENTILE($E$2:$E693,0.5)</f>
        <v>1</v>
      </c>
      <c r="Q694" s="7">
        <f>PERCENTILE($E$2:$E693,0.835)</f>
        <v>3</v>
      </c>
      <c r="R694" s="7">
        <f>PERCENTILE($E$2:$E693,0.975)</f>
        <v>3</v>
      </c>
    </row>
    <row r="695" spans="1:18" x14ac:dyDescent="0.2">
      <c r="A695" s="5">
        <f>Data!E664</f>
        <v>2012</v>
      </c>
      <c r="B695" s="5">
        <f>Data!M664</f>
        <v>4.3055555555555555E-2</v>
      </c>
      <c r="C695" s="5">
        <f>Data!N664</f>
        <v>6.9444444444444441E-3</v>
      </c>
      <c r="D695" s="5">
        <f ca="1">Data!O664</f>
        <v>156.4046713685776</v>
      </c>
      <c r="E695" s="1">
        <f>Data!AQ664</f>
        <v>0.14000000000000001</v>
      </c>
      <c r="F695" t="str">
        <f t="shared" si="10"/>
        <v/>
      </c>
      <c r="G695" s="5">
        <f ca="1">AVERAGE(D$2:D694)</f>
        <v>175.46142578073778</v>
      </c>
      <c r="H695" s="5">
        <f ca="1">PERCENTILE(D$2:D694,0.025)</f>
        <v>-3.3985846249863925</v>
      </c>
      <c r="I695" s="5">
        <f ca="1">PERCENTILE(D$2:D694,0.165)</f>
        <v>5.9054602931582227</v>
      </c>
      <c r="J695" s="5">
        <f ca="1">PERCENTILE(D$2:D694,0.5)</f>
        <v>43.399706823466232</v>
      </c>
      <c r="K695" s="5">
        <f ca="1">PERCENTILE(D$2:D694,0.835)</f>
        <v>218.23919241958626</v>
      </c>
      <c r="L695" s="5">
        <f ca="1">PERCENTILE(D$2:D694,0.975)</f>
        <v>1177.2895525212678</v>
      </c>
      <c r="M695" s="7">
        <f>AVERAGE(E$2:E694)</f>
        <v>1.376261022927691</v>
      </c>
      <c r="N695" s="7">
        <f>PERCENTILE($E$2:$E694,0.025)</f>
        <v>-1</v>
      </c>
      <c r="O695" s="7">
        <f>PERCENTILE($E$2:$E694,0.165)</f>
        <v>0</v>
      </c>
      <c r="P695" s="7">
        <f>PERCENTILE($E$2:$E694,0.5)</f>
        <v>1</v>
      </c>
      <c r="Q695" s="7">
        <f>PERCENTILE($E$2:$E694,0.835)</f>
        <v>3</v>
      </c>
      <c r="R695" s="7">
        <f>PERCENTILE($E$2:$E694,0.975)</f>
        <v>3</v>
      </c>
    </row>
    <row r="696" spans="1:18" x14ac:dyDescent="0.2">
      <c r="A696" s="5">
        <f>Data!E665</f>
        <v>2012</v>
      </c>
      <c r="B696" s="5">
        <f>Data!M665</f>
        <v>4.3055555555555555E-2</v>
      </c>
      <c r="C696" s="5">
        <f>Data!N665</f>
        <v>6.9444444444444441E-3</v>
      </c>
      <c r="D696" s="5">
        <f ca="1">Data!O665</f>
        <v>160.54784147105644</v>
      </c>
      <c r="E696" s="1">
        <f>Data!AQ665</f>
        <v>0.14000000000000001</v>
      </c>
      <c r="F696" t="str">
        <f t="shared" si="10"/>
        <v/>
      </c>
      <c r="G696" s="5">
        <f ca="1">AVERAGE(D$2:D695)</f>
        <v>175.43396648043208</v>
      </c>
      <c r="H696" s="5">
        <f ca="1">PERCENTILE(D$2:D695,0.025)</f>
        <v>-3.395637280743133</v>
      </c>
      <c r="I696" s="5">
        <f ca="1">PERCENTILE(D$2:D695,0.165)</f>
        <v>5.9244835268519935</v>
      </c>
      <c r="J696" s="5">
        <f ca="1">PERCENTILE(D$2:D695,0.5)</f>
        <v>43.451496449747218</v>
      </c>
      <c r="K696" s="5">
        <f ca="1">PERCENTILE(D$2:D695,0.835)</f>
        <v>217.9183403225137</v>
      </c>
      <c r="L696" s="5">
        <f ca="1">PERCENTILE(D$2:D695,0.975)</f>
        <v>1175.4666886043212</v>
      </c>
      <c r="M696" s="7">
        <f>AVERAGE(E$2:E695)</f>
        <v>1.3740845070422549</v>
      </c>
      <c r="N696" s="7">
        <f>PERCENTILE($E$2:$E695,0.025)</f>
        <v>-1</v>
      </c>
      <c r="O696" s="7">
        <f>PERCENTILE($E$2:$E695,0.165)</f>
        <v>0</v>
      </c>
      <c r="P696" s="7">
        <f>PERCENTILE($E$2:$E695,0.5)</f>
        <v>1</v>
      </c>
      <c r="Q696" s="7">
        <f>PERCENTILE($E$2:$E695,0.835)</f>
        <v>3</v>
      </c>
      <c r="R696" s="7">
        <f>PERCENTILE($E$2:$E695,0.975)</f>
        <v>3</v>
      </c>
    </row>
    <row r="697" spans="1:18" x14ac:dyDescent="0.2">
      <c r="A697" s="5">
        <f>Data!E666</f>
        <v>2012</v>
      </c>
      <c r="B697" s="5">
        <f>Data!M666</f>
        <v>4.3055555555555555E-2</v>
      </c>
      <c r="C697" s="5">
        <f>Data!N666</f>
        <v>6.9444444444444441E-3</v>
      </c>
      <c r="D697" s="5">
        <f ca="1">Data!O666</f>
        <v>75.612854370239489</v>
      </c>
      <c r="E697" s="1">
        <f>Data!AQ666</f>
        <v>-1.1000000000000001</v>
      </c>
      <c r="F697" t="str">
        <f t="shared" si="10"/>
        <v/>
      </c>
      <c r="G697" s="5">
        <f ca="1">AVERAGE(D$2:D696)</f>
        <v>175.41254759552649</v>
      </c>
      <c r="H697" s="5">
        <f ca="1">PERCENTILE(D$2:D696,0.025)</f>
        <v>-3.3926899364998726</v>
      </c>
      <c r="I697" s="5">
        <f ca="1">PERCENTILE(D$2:D696,0.165)</f>
        <v>5.943506760545767</v>
      </c>
      <c r="J697" s="5">
        <f ca="1">PERCENTILE(D$2:D696,0.5)</f>
        <v>43.503286076028203</v>
      </c>
      <c r="K697" s="5">
        <f ca="1">PERCENTILE(D$2:D696,0.835)</f>
        <v>217.59748822544117</v>
      </c>
      <c r="L697" s="5">
        <f ca="1">PERCENTILE(D$2:D696,0.975)</f>
        <v>1173.6438246873745</v>
      </c>
      <c r="M697" s="7">
        <f>AVERAGE(E$2:E696)</f>
        <v>1.3719156414762756</v>
      </c>
      <c r="N697" s="7">
        <f>PERCENTILE($E$2:$E696,0.025)</f>
        <v>-1</v>
      </c>
      <c r="O697" s="7">
        <f>PERCENTILE($E$2:$E696,0.165)</f>
        <v>0</v>
      </c>
      <c r="P697" s="7">
        <f>PERCENTILE($E$2:$E696,0.5)</f>
        <v>1</v>
      </c>
      <c r="Q697" s="7">
        <f>PERCENTILE($E$2:$E696,0.835)</f>
        <v>3</v>
      </c>
      <c r="R697" s="7">
        <f>PERCENTILE($E$2:$E696,0.975)</f>
        <v>3</v>
      </c>
    </row>
    <row r="698" spans="1:18" x14ac:dyDescent="0.2">
      <c r="A698" s="5">
        <f>Data!E667</f>
        <v>2012</v>
      </c>
      <c r="B698" s="5">
        <f>Data!M667</f>
        <v>4.3055555555555555E-2</v>
      </c>
      <c r="C698" s="5">
        <f>Data!N667</f>
        <v>6.9444444444444441E-3</v>
      </c>
      <c r="D698" s="5">
        <f ca="1">Data!O667</f>
        <v>89.078157203295845</v>
      </c>
      <c r="E698" s="1">
        <f>Data!AQ667</f>
        <v>-1.1000000000000001</v>
      </c>
      <c r="F698" t="str">
        <f t="shared" si="10"/>
        <v/>
      </c>
      <c r="G698" s="5">
        <f ca="1">AVERAGE(D$2:D697)</f>
        <v>175.26915723169705</v>
      </c>
      <c r="H698" s="5">
        <f ca="1">PERCENTILE(D$2:D697,0.025)</f>
        <v>-3.3897425922566131</v>
      </c>
      <c r="I698" s="5">
        <f ca="1">PERCENTILE(D$2:D697,0.165)</f>
        <v>5.9625299942395404</v>
      </c>
      <c r="J698" s="5">
        <f ca="1">PERCENTILE(D$2:D697,0.5)</f>
        <v>43.503286076028203</v>
      </c>
      <c r="K698" s="5">
        <f ca="1">PERCENTILE(D$2:D697,0.835)</f>
        <v>217.27663612836838</v>
      </c>
      <c r="L698" s="5">
        <f ca="1">PERCENTILE(D$2:D697,0.975)</f>
        <v>1171.820960770428</v>
      </c>
      <c r="M698" s="7">
        <f>AVERAGE(E$2:E697)</f>
        <v>1.3675789473684223</v>
      </c>
      <c r="N698" s="7">
        <f>PERCENTILE($E$2:$E697,0.025)</f>
        <v>-1</v>
      </c>
      <c r="O698" s="7">
        <f>PERCENTILE($E$2:$E697,0.165)</f>
        <v>0</v>
      </c>
      <c r="P698" s="7">
        <f>PERCENTILE($E$2:$E697,0.5)</f>
        <v>1</v>
      </c>
      <c r="Q698" s="7">
        <f>PERCENTILE($E$2:$E697,0.835)</f>
        <v>3</v>
      </c>
      <c r="R698" s="7">
        <f>PERCENTILE($E$2:$E697,0.975)</f>
        <v>3</v>
      </c>
    </row>
    <row r="699" spans="1:18" x14ac:dyDescent="0.2">
      <c r="A699" s="5">
        <f>Data!E668</f>
        <v>2012</v>
      </c>
      <c r="B699" s="5">
        <f>Data!M668</f>
        <v>4.3055555555555555E-2</v>
      </c>
      <c r="C699" s="5">
        <f>Data!N668</f>
        <v>6.9444444444444441E-3</v>
      </c>
      <c r="D699" s="5">
        <f ca="1">Data!O668</f>
        <v>65.254929114042298</v>
      </c>
      <c r="E699" s="1">
        <f>Data!AQ668</f>
        <v>-1.1000000000000001</v>
      </c>
      <c r="F699" t="str">
        <f t="shared" si="10"/>
        <v/>
      </c>
      <c r="G699" s="5">
        <f ca="1">AVERAGE(D$2:D698)</f>
        <v>175.14549726035074</v>
      </c>
      <c r="H699" s="5">
        <f ca="1">PERCENTILE(D$2:D698,0.025)</f>
        <v>-3.3867952480133527</v>
      </c>
      <c r="I699" s="5">
        <f ca="1">PERCENTILE(D$2:D698,0.165)</f>
        <v>5.9815532279333121</v>
      </c>
      <c r="J699" s="5">
        <f ca="1">PERCENTILE(D$2:D698,0.5)</f>
        <v>43.503286076028203</v>
      </c>
      <c r="K699" s="5">
        <f ca="1">PERCENTILE(D$2:D698,0.835)</f>
        <v>216.95578403129585</v>
      </c>
      <c r="L699" s="5">
        <f ca="1">PERCENTILE(D$2:D698,0.975)</f>
        <v>1169.9980968534812</v>
      </c>
      <c r="M699" s="7">
        <f>AVERAGE(E$2:E698)</f>
        <v>1.363257443082313</v>
      </c>
      <c r="N699" s="7">
        <f>PERCENTILE($E$2:$E698,0.025)</f>
        <v>-1</v>
      </c>
      <c r="O699" s="7">
        <f>PERCENTILE($E$2:$E698,0.165)</f>
        <v>0</v>
      </c>
      <c r="P699" s="7">
        <f>PERCENTILE($E$2:$E698,0.5)</f>
        <v>1</v>
      </c>
      <c r="Q699" s="7">
        <f>PERCENTILE($E$2:$E698,0.835)</f>
        <v>3</v>
      </c>
      <c r="R699" s="7">
        <f>PERCENTILE($E$2:$E698,0.975)</f>
        <v>3</v>
      </c>
    </row>
    <row r="700" spans="1:18" x14ac:dyDescent="0.2">
      <c r="A700" s="5">
        <f>Data!E669</f>
        <v>2012</v>
      </c>
      <c r="B700" s="5">
        <f>Data!M669</f>
        <v>4.3055555555555555E-2</v>
      </c>
      <c r="C700" s="5">
        <f>Data!N669</f>
        <v>6.9444444444444441E-3</v>
      </c>
      <c r="D700" s="5">
        <f ca="1">Data!O669</f>
        <v>178.15631440659169</v>
      </c>
      <c r="E700" s="1">
        <f>Data!AQ669</f>
        <v>-1.1000000000000001</v>
      </c>
      <c r="F700" t="str">
        <f t="shared" si="10"/>
        <v/>
      </c>
      <c r="G700" s="5">
        <f ca="1">AVERAGE(D$2:D699)</f>
        <v>174.98806091630158</v>
      </c>
      <c r="H700" s="5">
        <f ca="1">PERCENTILE(D$2:D699,0.025)</f>
        <v>-3.3838479037700933</v>
      </c>
      <c r="I700" s="5">
        <f ca="1">PERCENTILE(D$2:D699,0.165)</f>
        <v>6.0013617434725042</v>
      </c>
      <c r="J700" s="5">
        <f ca="1">PERCENTILE(D$2:D699,0.5)</f>
        <v>43.700086655895944</v>
      </c>
      <c r="K700" s="5">
        <f ca="1">PERCENTILE(D$2:D699,0.835)</f>
        <v>216.63136834612285</v>
      </c>
      <c r="L700" s="5">
        <f ca="1">PERCENTILE(D$2:D699,0.975)</f>
        <v>1168.1752329365263</v>
      </c>
      <c r="M700" s="7">
        <f>AVERAGE(E$2:E699)</f>
        <v>1.3589510489510501</v>
      </c>
      <c r="N700" s="7">
        <f>PERCENTILE($E$2:$E699,0.025)</f>
        <v>-1</v>
      </c>
      <c r="O700" s="7">
        <f>PERCENTILE($E$2:$E699,0.165)</f>
        <v>0</v>
      </c>
      <c r="P700" s="7">
        <f>PERCENTILE($E$2:$E699,0.5)</f>
        <v>1</v>
      </c>
      <c r="Q700" s="7">
        <f>PERCENTILE($E$2:$E699,0.835)</f>
        <v>3</v>
      </c>
      <c r="R700" s="7">
        <f>PERCENTILE($E$2:$E699,0.975)</f>
        <v>3</v>
      </c>
    </row>
    <row r="701" spans="1:18" x14ac:dyDescent="0.2">
      <c r="A701" s="5">
        <f>Data!E670</f>
        <v>2012</v>
      </c>
      <c r="B701" s="5">
        <f>Data!M670</f>
        <v>4.3055555555555555E-2</v>
      </c>
      <c r="C701" s="5">
        <f>Data!N670</f>
        <v>6.9444444444444441E-3</v>
      </c>
      <c r="D701" s="5">
        <f ca="1">Data!O670</f>
        <v>178.15631440659169</v>
      </c>
      <c r="E701" s="1">
        <f>Data!AQ670</f>
        <v>-1.1000000000000001</v>
      </c>
      <c r="F701" t="str">
        <f t="shared" si="10"/>
        <v/>
      </c>
      <c r="G701" s="5">
        <f ca="1">AVERAGE(D$2:D700)</f>
        <v>174.99259346778982</v>
      </c>
      <c r="H701" s="5">
        <f ca="1">PERCENTILE(D$2:D700,0.025)</f>
        <v>-3.3809005595268333</v>
      </c>
      <c r="I701" s="5">
        <f ca="1">PERCENTILE(D$2:D700,0.165)</f>
        <v>6.0462992780650548</v>
      </c>
      <c r="J701" s="5">
        <f ca="1">PERCENTILE(D$2:D700,0.5)</f>
        <v>43.896887235763693</v>
      </c>
      <c r="K701" s="5">
        <f ca="1">PERCENTILE(D$2:D700,0.835)</f>
        <v>216.19291784173512</v>
      </c>
      <c r="L701" s="5">
        <f ca="1">PERCENTILE(D$2:D700,0.975)</f>
        <v>1166.3523690195798</v>
      </c>
      <c r="M701" s="7">
        <f>AVERAGE(E$2:E700)</f>
        <v>1.3546596858638755</v>
      </c>
      <c r="N701" s="7">
        <f>PERCENTILE($E$2:$E700,0.025)</f>
        <v>-1</v>
      </c>
      <c r="O701" s="7">
        <f>PERCENTILE($E$2:$E700,0.165)</f>
        <v>0</v>
      </c>
      <c r="P701" s="7">
        <f>PERCENTILE($E$2:$E700,0.5)</f>
        <v>1</v>
      </c>
      <c r="Q701" s="7">
        <f>PERCENTILE($E$2:$E700,0.835)</f>
        <v>3</v>
      </c>
      <c r="R701" s="7">
        <f>PERCENTILE($E$2:$E700,0.975)</f>
        <v>3</v>
      </c>
    </row>
    <row r="702" spans="1:18" x14ac:dyDescent="0.2">
      <c r="A702" s="5">
        <f>Data!E671</f>
        <v>2012</v>
      </c>
      <c r="B702" s="5">
        <f>Data!M671</f>
        <v>4.3055555555555555E-2</v>
      </c>
      <c r="C702" s="5">
        <f>Data!N671</f>
        <v>6.9444444444444441E-3</v>
      </c>
      <c r="D702" s="5">
        <f ca="1">Data!O671</f>
        <v>408.10225509416932</v>
      </c>
      <c r="E702" s="1">
        <f>Data!AQ671</f>
        <v>-1.1000000000000001</v>
      </c>
      <c r="F702" t="str">
        <f t="shared" si="10"/>
        <v/>
      </c>
      <c r="G702" s="5">
        <f ca="1">AVERAGE(D$2:D701)</f>
        <v>174.99711306913096</v>
      </c>
      <c r="H702" s="5">
        <f ca="1">PERCENTILE(D$2:D701,0.025)</f>
        <v>-3.3779532152835734</v>
      </c>
      <c r="I702" s="5">
        <f ca="1">PERCENTILE(D$2:D701,0.165)</f>
        <v>6.0912368126576091</v>
      </c>
      <c r="J702" s="5">
        <f ca="1">PERCENTILE(D$2:D701,0.5)</f>
        <v>44.013266221227383</v>
      </c>
      <c r="K702" s="5">
        <f ca="1">PERCENTILE(D$2:D701,0.835)</f>
        <v>215.75446733734771</v>
      </c>
      <c r="L702" s="5">
        <f ca="1">PERCENTILE(D$2:D701,0.975)</f>
        <v>1164.529505102633</v>
      </c>
      <c r="M702" s="7">
        <f>AVERAGE(E$2:E701)</f>
        <v>1.3503832752613252</v>
      </c>
      <c r="N702" s="7">
        <f>PERCENTILE($E$2:$E701,0.025)</f>
        <v>-1.0674999999999999</v>
      </c>
      <c r="O702" s="7">
        <f>PERCENTILE($E$2:$E701,0.165)</f>
        <v>0</v>
      </c>
      <c r="P702" s="7">
        <f>PERCENTILE($E$2:$E701,0.5)</f>
        <v>1</v>
      </c>
      <c r="Q702" s="7">
        <f>PERCENTILE($E$2:$E701,0.835)</f>
        <v>3</v>
      </c>
      <c r="R702" s="7">
        <f>PERCENTILE($E$2:$E701,0.975)</f>
        <v>3</v>
      </c>
    </row>
    <row r="703" spans="1:18" x14ac:dyDescent="0.2">
      <c r="A703" s="5">
        <f>Data!E672</f>
        <v>2012</v>
      </c>
      <c r="B703" s="5">
        <f>Data!M672</f>
        <v>4.3055555555555555E-2</v>
      </c>
      <c r="C703" s="5">
        <f>Data!N672</f>
        <v>6.9444444444444441E-3</v>
      </c>
      <c r="D703" s="5">
        <f ca="1">Data!O672</f>
        <v>44.539078601647923</v>
      </c>
      <c r="E703" s="1">
        <f>Data!AQ672</f>
        <v>-1.1000000000000001</v>
      </c>
      <c r="F703" t="str">
        <f t="shared" si="10"/>
        <v/>
      </c>
      <c r="G703" s="5">
        <f ca="1">AVERAGE(D$2:D702)</f>
        <v>175.32964536873874</v>
      </c>
      <c r="H703" s="5">
        <f ca="1">PERCENTILE(D$2:D702,0.025)</f>
        <v>-3.3750058710403135</v>
      </c>
      <c r="I703" s="5">
        <f ca="1">PERCENTILE(D$2:D702,0.165)</f>
        <v>6.1361743472501598</v>
      </c>
      <c r="J703" s="5">
        <f ca="1">PERCENTILE(D$2:D702,0.5)</f>
        <v>44.129645206691066</v>
      </c>
      <c r="K703" s="5">
        <f ca="1">PERCENTILE(D$2:D702,0.835)</f>
        <v>217.61693380708192</v>
      </c>
      <c r="L703" s="5">
        <f ca="1">PERCENTILE(D$2:D702,0.975)</f>
        <v>1162.7066411856863</v>
      </c>
      <c r="M703" s="7">
        <f>AVERAGE(E$2:E702)</f>
        <v>1.3461217391304359</v>
      </c>
      <c r="N703" s="7">
        <f>PERCENTILE($E$2:$E702,0.025)</f>
        <v>-1.1000000000000001</v>
      </c>
      <c r="O703" s="7">
        <f>PERCENTILE($E$2:$E702,0.165)</f>
        <v>0</v>
      </c>
      <c r="P703" s="7">
        <f>PERCENTILE($E$2:$E702,0.5)</f>
        <v>1</v>
      </c>
      <c r="Q703" s="7">
        <f>PERCENTILE($E$2:$E702,0.835)</f>
        <v>3</v>
      </c>
      <c r="R703" s="7">
        <f>PERCENTILE($E$2:$E702,0.975)</f>
        <v>3</v>
      </c>
    </row>
    <row r="704" spans="1:18" x14ac:dyDescent="0.2">
      <c r="A704" s="5">
        <f>Data!E673</f>
        <v>2012</v>
      </c>
      <c r="B704" s="5">
        <f>Data!M673</f>
        <v>4.3055555555555555E-2</v>
      </c>
      <c r="C704" s="5">
        <f>Data!N673</f>
        <v>6.9444444444444441E-3</v>
      </c>
      <c r="D704" s="5">
        <f ca="1">Data!O673</f>
        <v>79.756024472718366</v>
      </c>
      <c r="E704" s="1">
        <f>Data!AQ673</f>
        <v>-1.1000000000000001</v>
      </c>
      <c r="F704" t="str">
        <f t="shared" si="10"/>
        <v/>
      </c>
      <c r="G704" s="5">
        <f ca="1">AVERAGE(D$2:D703)</f>
        <v>175.14333402006767</v>
      </c>
      <c r="H704" s="5">
        <f ca="1">PERCENTILE(D$2:D703,0.025)</f>
        <v>-3.3720585267970531</v>
      </c>
      <c r="I704" s="5">
        <f ca="1">PERCENTILE(D$2:D703,0.165)</f>
        <v>6.181111881842714</v>
      </c>
      <c r="J704" s="5">
        <f ca="1">PERCENTILE(D$2:D703,0.5)</f>
        <v>44.135324189688831</v>
      </c>
      <c r="K704" s="5">
        <f ca="1">PERCENTILE(D$2:D703,0.835)</f>
        <v>217.29608171000913</v>
      </c>
      <c r="L704" s="5">
        <f ca="1">PERCENTILE(D$2:D703,0.975)</f>
        <v>1160.8837772687398</v>
      </c>
      <c r="M704" s="7">
        <f>AVERAGE(E$2:E703)</f>
        <v>1.341875000000001</v>
      </c>
      <c r="N704" s="7">
        <f>PERCENTILE($E$2:$E703,0.025)</f>
        <v>-1.1000000000000001</v>
      </c>
      <c r="O704" s="7">
        <f>PERCENTILE($E$2:$E703,0.165)</f>
        <v>0</v>
      </c>
      <c r="P704" s="7">
        <f>PERCENTILE($E$2:$E703,0.5)</f>
        <v>1</v>
      </c>
      <c r="Q704" s="7">
        <f>PERCENTILE($E$2:$E703,0.835)</f>
        <v>3</v>
      </c>
      <c r="R704" s="7">
        <f>PERCENTILE($E$2:$E703,0.975)</f>
        <v>3</v>
      </c>
    </row>
    <row r="705" spans="1:18" x14ac:dyDescent="0.2">
      <c r="A705" s="5">
        <f>Data!E674</f>
        <v>2012</v>
      </c>
      <c r="B705" s="5">
        <f>Data!M674</f>
        <v>4.3055555555555555E-2</v>
      </c>
      <c r="C705" s="5">
        <f>Data!N674</f>
        <v>6.9444444444444441E-3</v>
      </c>
      <c r="D705" s="5">
        <f ca="1">Data!O674</f>
        <v>397.74432983797215</v>
      </c>
      <c r="E705" s="1">
        <f>Data!AQ674</f>
        <v>-1.1000000000000001</v>
      </c>
      <c r="F705" t="str">
        <f t="shared" si="10"/>
        <v/>
      </c>
      <c r="G705" s="5">
        <f ca="1">AVERAGE(D$2:D704)</f>
        <v>175.00764794674285</v>
      </c>
      <c r="H705" s="5">
        <f ca="1">PERCENTILE(D$2:D704,0.025)</f>
        <v>-3.3691111825537936</v>
      </c>
      <c r="I705" s="5">
        <f ca="1">PERCENTILE(D$2:D704,0.165)</f>
        <v>6.2260494164352682</v>
      </c>
      <c r="J705" s="5">
        <f ca="1">PERCENTILE(D$2:D704,0.5)</f>
        <v>44.141003172686588</v>
      </c>
      <c r="K705" s="5">
        <f ca="1">PERCENTILE(D$2:D704,0.835)</f>
        <v>216.9752296129366</v>
      </c>
      <c r="L705" s="5">
        <f ca="1">PERCENTILE(D$2:D704,0.975)</f>
        <v>1159.0609133517848</v>
      </c>
      <c r="M705" s="7">
        <f>AVERAGE(E$2:E704)</f>
        <v>1.3376429809358763</v>
      </c>
      <c r="N705" s="7">
        <f>PERCENTILE($E$2:$E704,0.025)</f>
        <v>-1.1000000000000001</v>
      </c>
      <c r="O705" s="7">
        <f>PERCENTILE($E$2:$E704,0.165)</f>
        <v>0</v>
      </c>
      <c r="P705" s="7">
        <f>PERCENTILE($E$2:$E704,0.5)</f>
        <v>1</v>
      </c>
      <c r="Q705" s="7">
        <f>PERCENTILE($E$2:$E704,0.835)</f>
        <v>3</v>
      </c>
      <c r="R705" s="7">
        <f>PERCENTILE($E$2:$E704,0.975)</f>
        <v>3</v>
      </c>
    </row>
    <row r="706" spans="1:18" x14ac:dyDescent="0.2">
      <c r="A706" s="5">
        <f>Data!E675</f>
        <v>2012</v>
      </c>
      <c r="B706" s="5">
        <f>Data!M675</f>
        <v>4.3055555555555555E-2</v>
      </c>
      <c r="C706" s="5">
        <f>Data!N675</f>
        <v>6.9444444444444441E-3</v>
      </c>
      <c r="D706" s="5">
        <f ca="1">Data!O675</f>
        <v>435.03286076028201</v>
      </c>
      <c r="E706" s="1">
        <f>Data!AQ675</f>
        <v>-1.1000000000000001</v>
      </c>
      <c r="F706" t="str">
        <f t="shared" si="10"/>
        <v/>
      </c>
      <c r="G706" s="5">
        <f ca="1">AVERAGE(D$2:D705)</f>
        <v>175.32403527897469</v>
      </c>
      <c r="H706" s="5">
        <f ca="1">PERCENTILE(D$2:D705,0.025)</f>
        <v>-3.3661638383105337</v>
      </c>
      <c r="I706" s="5">
        <f ca="1">PERCENTILE(D$2:D705,0.165)</f>
        <v>6.2709869510278189</v>
      </c>
      <c r="J706" s="5">
        <f ca="1">PERCENTILE(D$2:D705,0.5)</f>
        <v>44.155636291323475</v>
      </c>
      <c r="K706" s="5">
        <f ca="1">PERCENTILE(D$2:D705,0.835)</f>
        <v>218.59999120026433</v>
      </c>
      <c r="L706" s="5">
        <f ca="1">PERCENTILE(D$2:D705,0.975)</f>
        <v>1157.2380494348381</v>
      </c>
      <c r="M706" s="7">
        <f>AVERAGE(E$2:E705)</f>
        <v>1.3334256055363332</v>
      </c>
      <c r="N706" s="7">
        <f>PERCENTILE($E$2:$E705,0.025)</f>
        <v>-1.1000000000000001</v>
      </c>
      <c r="O706" s="7">
        <f>PERCENTILE($E$2:$E705,0.165)</f>
        <v>0</v>
      </c>
      <c r="P706" s="7">
        <f>PERCENTILE($E$2:$E705,0.5)</f>
        <v>1</v>
      </c>
      <c r="Q706" s="7">
        <f>PERCENTILE($E$2:$E705,0.835)</f>
        <v>3</v>
      </c>
      <c r="R706" s="7">
        <f>PERCENTILE($E$2:$E705,0.975)</f>
        <v>3</v>
      </c>
    </row>
    <row r="707" spans="1:18" x14ac:dyDescent="0.2">
      <c r="A707" s="5">
        <f>Data!E676</f>
        <v>2012</v>
      </c>
      <c r="B707" s="5">
        <f>Data!M676</f>
        <v>4.3055555555555555E-2</v>
      </c>
      <c r="C707" s="5">
        <f>Data!N676</f>
        <v>6.9444444444444441E-3</v>
      </c>
      <c r="D707" s="5">
        <f ca="1">Data!O676</f>
        <v>87.006572152056407</v>
      </c>
      <c r="E707" s="1">
        <f>Data!AQ676</f>
        <v>-1.1000000000000001</v>
      </c>
      <c r="F707" t="str">
        <f t="shared" si="10"/>
        <v/>
      </c>
      <c r="G707" s="5">
        <f ca="1">AVERAGE(D$2:D706)</f>
        <v>175.69241659171414</v>
      </c>
      <c r="H707" s="5">
        <f ca="1">PERCENTILE(D$2:D706,0.025)</f>
        <v>-3.3632164940672737</v>
      </c>
      <c r="I707" s="5">
        <f ca="1">PERCENTILE(D$2:D706,0.165)</f>
        <v>6.2783790613222195</v>
      </c>
      <c r="J707" s="5">
        <f ca="1">PERCENTILE(D$2:D706,0.5)</f>
        <v>44.170269409960355</v>
      </c>
      <c r="K707" s="5">
        <f ca="1">PERCENTILE(D$2:D706,0.835)</f>
        <v>220.39996916134311</v>
      </c>
      <c r="L707" s="5">
        <f ca="1">PERCENTILE(D$2:D706,0.975)</f>
        <v>1155.4151855178916</v>
      </c>
      <c r="M707" s="7">
        <f>AVERAGE(E$2:E706)</f>
        <v>1.3292227979274622</v>
      </c>
      <c r="N707" s="7">
        <f>PERCENTILE($E$2:$E706,0.025)</f>
        <v>-1.1000000000000001</v>
      </c>
      <c r="O707" s="7">
        <f>PERCENTILE($E$2:$E706,0.165)</f>
        <v>0</v>
      </c>
      <c r="P707" s="7">
        <f>PERCENTILE($E$2:$E706,0.5)</f>
        <v>1</v>
      </c>
      <c r="Q707" s="7">
        <f>PERCENTILE($E$2:$E706,0.835)</f>
        <v>3</v>
      </c>
      <c r="R707" s="7">
        <f>PERCENTILE($E$2:$E706,0.975)</f>
        <v>3</v>
      </c>
    </row>
    <row r="708" spans="1:18" x14ac:dyDescent="0.2">
      <c r="A708" s="5">
        <f>Data!E677</f>
        <v>2012</v>
      </c>
      <c r="B708" s="5">
        <f>Data!M677</f>
        <v>4.3055555555555555E-2</v>
      </c>
      <c r="C708" s="5">
        <f>Data!N677</f>
        <v>6.9444444444444441E-3</v>
      </c>
      <c r="D708" s="5">
        <f ca="1">Data!O677</f>
        <v>75.612854370239489</v>
      </c>
      <c r="E708" s="1">
        <f>Data!AQ677</f>
        <v>-1.1000000000000001</v>
      </c>
      <c r="F708" t="str">
        <f t="shared" si="10"/>
        <v/>
      </c>
      <c r="G708" s="5">
        <f ca="1">AVERAGE(D$2:D707)</f>
        <v>175.56679924831519</v>
      </c>
      <c r="H708" s="5">
        <f ca="1">PERCENTILE(D$2:D707,0.025)</f>
        <v>-3.3602691498240138</v>
      </c>
      <c r="I708" s="5">
        <f ca="1">PERCENTILE(D$2:D707,0.165)</f>
        <v>6.2845978771073039</v>
      </c>
      <c r="J708" s="5">
        <f ca="1">PERCENTILE(D$2:D707,0.5)</f>
        <v>44.188947201704977</v>
      </c>
      <c r="K708" s="5">
        <f ca="1">PERCENTILE(D$2:D707,0.835)</f>
        <v>220.04428489358506</v>
      </c>
      <c r="L708" s="5">
        <f ca="1">PERCENTILE(D$2:D707,0.975)</f>
        <v>1153.5923216009448</v>
      </c>
      <c r="M708" s="7">
        <f>AVERAGE(E$2:E707)</f>
        <v>1.3250344827586216</v>
      </c>
      <c r="N708" s="7">
        <f>PERCENTILE($E$2:$E707,0.025)</f>
        <v>-1.1000000000000001</v>
      </c>
      <c r="O708" s="7">
        <f>PERCENTILE($E$2:$E707,0.165)</f>
        <v>0</v>
      </c>
      <c r="P708" s="7">
        <f>PERCENTILE($E$2:$E707,0.5)</f>
        <v>1</v>
      </c>
      <c r="Q708" s="7">
        <f>PERCENTILE($E$2:$E707,0.835)</f>
        <v>3</v>
      </c>
      <c r="R708" s="7">
        <f>PERCENTILE($E$2:$E707,0.975)</f>
        <v>3</v>
      </c>
    </row>
    <row r="709" spans="1:18" x14ac:dyDescent="0.2">
      <c r="A709" s="5">
        <f>Data!E678</f>
        <v>2012</v>
      </c>
      <c r="B709" s="5">
        <f>Data!M678</f>
        <v>4.3055555555555555E-2</v>
      </c>
      <c r="C709" s="5">
        <f>Data!N678</f>
        <v>6.9444444444444441E-3</v>
      </c>
      <c r="D709" s="5">
        <f ca="1">Data!O678</f>
        <v>226.83856311071847</v>
      </c>
      <c r="E709" s="1">
        <f>Data!AQ678</f>
        <v>-1.1000000000000001</v>
      </c>
      <c r="F709" t="str">
        <f t="shared" ref="F709:F772" si="11">IF(A709&lt;&gt;A708,A709,"")</f>
        <v/>
      </c>
      <c r="G709" s="5">
        <f ca="1">AVERAGE(D$2:D708)</f>
        <v>175.42542167423022</v>
      </c>
      <c r="H709" s="5">
        <f ca="1">PERCENTILE(D$2:D708,0.025)</f>
        <v>-3.3573218055807539</v>
      </c>
      <c r="I709" s="5">
        <f ca="1">PERCENTILE(D$2:D708,0.165)</f>
        <v>6.2908166928923883</v>
      </c>
      <c r="J709" s="5">
        <f ca="1">PERCENTILE(D$2:D708,0.5)</f>
        <v>44.207624993449606</v>
      </c>
      <c r="K709" s="5">
        <f ca="1">PERCENTILE(D$2:D708,0.835)</f>
        <v>219.68860062582704</v>
      </c>
      <c r="L709" s="5">
        <f ca="1">PERCENTILE(D$2:D708,0.975)</f>
        <v>1151.7694576839983</v>
      </c>
      <c r="M709" s="7">
        <f>AVERAGE(E$2:E708)</f>
        <v>1.3208605851979356</v>
      </c>
      <c r="N709" s="7">
        <f>PERCENTILE($E$2:$E708,0.025)</f>
        <v>-1.1000000000000001</v>
      </c>
      <c r="O709" s="7">
        <f>PERCENTILE($E$2:$E708,0.165)</f>
        <v>0</v>
      </c>
      <c r="P709" s="7">
        <f>PERCENTILE($E$2:$E708,0.5)</f>
        <v>1</v>
      </c>
      <c r="Q709" s="7">
        <f>PERCENTILE($E$2:$E708,0.835)</f>
        <v>3</v>
      </c>
      <c r="R709" s="7">
        <f>PERCENTILE($E$2:$E708,0.975)</f>
        <v>3</v>
      </c>
    </row>
    <row r="710" spans="1:18" x14ac:dyDescent="0.2">
      <c r="A710" s="5">
        <f>Data!E679</f>
        <v>2012</v>
      </c>
      <c r="B710" s="5">
        <f>Data!M679</f>
        <v>4.3055555555555555E-2</v>
      </c>
      <c r="C710" s="5">
        <f>Data!N679</f>
        <v>6.9444444444444441E-3</v>
      </c>
      <c r="D710" s="5">
        <f ca="1">Data!O679</f>
        <v>226.83856311071847</v>
      </c>
      <c r="E710" s="1">
        <f>Data!AQ679</f>
        <v>-1.1000000000000001</v>
      </c>
      <c r="F710" t="str">
        <f t="shared" si="11"/>
        <v/>
      </c>
      <c r="G710" s="5">
        <f ca="1">AVERAGE(D$2:D709)</f>
        <v>175.49803910563767</v>
      </c>
      <c r="H710" s="5">
        <f ca="1">PERCENTILE(D$2:D709,0.025)</f>
        <v>-3.354374461337494</v>
      </c>
      <c r="I710" s="5">
        <f ca="1">PERCENTILE(D$2:D709,0.165)</f>
        <v>6.2970355086774719</v>
      </c>
      <c r="J710" s="5">
        <f ca="1">PERCENTILE(D$2:D709,0.5)</f>
        <v>44.304280859345099</v>
      </c>
      <c r="K710" s="5">
        <f ca="1">PERCENTILE(D$2:D709,0.835)</f>
        <v>221.44864267748952</v>
      </c>
      <c r="L710" s="5">
        <f ca="1">PERCENTILE(D$2:D709,0.975)</f>
        <v>1149.9465937670434</v>
      </c>
      <c r="M710" s="7">
        <f>AVERAGE(E$2:E709)</f>
        <v>1.316701030927836</v>
      </c>
      <c r="N710" s="7">
        <f>PERCENTILE($E$2:$E709,0.025)</f>
        <v>-1.1000000000000001</v>
      </c>
      <c r="O710" s="7">
        <f>PERCENTILE($E$2:$E709,0.165)</f>
        <v>0</v>
      </c>
      <c r="P710" s="7">
        <f>PERCENTILE($E$2:$E709,0.5)</f>
        <v>1</v>
      </c>
      <c r="Q710" s="7">
        <f>PERCENTILE($E$2:$E709,0.835)</f>
        <v>3</v>
      </c>
      <c r="R710" s="7">
        <f>PERCENTILE($E$2:$E709,0.975)</f>
        <v>3</v>
      </c>
    </row>
    <row r="711" spans="1:18" x14ac:dyDescent="0.2">
      <c r="A711" s="5">
        <f>Data!E680</f>
        <v>2012</v>
      </c>
      <c r="B711" s="5">
        <f>Data!M680</f>
        <v>4.3055555555555555E-2</v>
      </c>
      <c r="C711" s="5">
        <f>Data!N680</f>
        <v>6.9444444444444441E-3</v>
      </c>
      <c r="D711" s="5">
        <f ca="1">Data!O680</f>
        <v>1044.0788658246768</v>
      </c>
      <c r="E711" s="1">
        <f>Data!AQ680</f>
        <v>-1.1000000000000001</v>
      </c>
      <c r="F711" t="str">
        <f t="shared" si="11"/>
        <v/>
      </c>
      <c r="G711" s="5">
        <f ca="1">AVERAGE(D$2:D710)</f>
        <v>175.57045169238674</v>
      </c>
      <c r="H711" s="5">
        <f ca="1">PERCENTILE(D$2:D710,0.025)</f>
        <v>-3.3514271170942345</v>
      </c>
      <c r="I711" s="5">
        <f ca="1">PERCENTILE(D$2:D710,0.165)</f>
        <v>6.3032543244625563</v>
      </c>
      <c r="J711" s="5">
        <f ca="1">PERCENTILE(D$2:D710,0.5)</f>
        <v>44.400936725240584</v>
      </c>
      <c r="K711" s="5">
        <f ca="1">PERCENTILE(D$2:D710,0.835)</f>
        <v>223.34362919639557</v>
      </c>
      <c r="L711" s="5">
        <f ca="1">PERCENTILE(D$2:D710,0.975)</f>
        <v>1148.1237298500967</v>
      </c>
      <c r="M711" s="7">
        <f>AVERAGE(E$2:E710)</f>
        <v>1.3125557461406527</v>
      </c>
      <c r="N711" s="7">
        <f>PERCENTILE($E$2:$E710,0.025)</f>
        <v>-1.1000000000000001</v>
      </c>
      <c r="O711" s="7">
        <f>PERCENTILE($E$2:$E710,0.165)</f>
        <v>0</v>
      </c>
      <c r="P711" s="7">
        <f>PERCENTILE($E$2:$E710,0.5)</f>
        <v>1</v>
      </c>
      <c r="Q711" s="7">
        <f>PERCENTILE($E$2:$E710,0.835)</f>
        <v>3</v>
      </c>
      <c r="R711" s="7">
        <f>PERCENTILE($E$2:$E710,0.975)</f>
        <v>3</v>
      </c>
    </row>
    <row r="712" spans="1:18" x14ac:dyDescent="0.2">
      <c r="A712" s="5">
        <f>Data!E681</f>
        <v>2012</v>
      </c>
      <c r="B712" s="5">
        <f>Data!M681</f>
        <v>4.3055555555555555E-2</v>
      </c>
      <c r="C712" s="5">
        <f>Data!N681</f>
        <v>6.9444444444444441E-3</v>
      </c>
      <c r="D712" s="5">
        <f ca="1">Data!O681</f>
        <v>743.69903339495829</v>
      </c>
      <c r="E712" s="1">
        <f>Data!AQ681</f>
        <v>-1.1000000000000001</v>
      </c>
      <c r="F712" t="str">
        <f t="shared" si="11"/>
        <v/>
      </c>
      <c r="G712" s="5">
        <f ca="1">AVERAGE(D$2:D711)</f>
        <v>176.79370297989701</v>
      </c>
      <c r="H712" s="5">
        <f ca="1">PERCENTILE(D$2:D711,0.025)</f>
        <v>-3.3484797728509741</v>
      </c>
      <c r="I712" s="5">
        <f ca="1">PERCENTILE(D$2:D711,0.165)</f>
        <v>6.3094731402476398</v>
      </c>
      <c r="J712" s="5">
        <f ca="1">PERCENTILE(D$2:D711,0.5)</f>
        <v>44.47000766344425</v>
      </c>
      <c r="K712" s="5">
        <f ca="1">PERCENTILE(D$2:D711,0.835)</f>
        <v>225.903728857674</v>
      </c>
      <c r="L712" s="5">
        <f ca="1">PERCENTILE(D$2:D711,0.975)</f>
        <v>1146.3008659331501</v>
      </c>
      <c r="M712" s="7">
        <f>AVERAGE(E$2:E711)</f>
        <v>1.3084246575342473</v>
      </c>
      <c r="N712" s="7">
        <f>PERCENTILE($E$2:$E711,0.025)</f>
        <v>-1.1000000000000001</v>
      </c>
      <c r="O712" s="7">
        <f>PERCENTILE($E$2:$E711,0.165)</f>
        <v>0</v>
      </c>
      <c r="P712" s="7">
        <f>PERCENTILE($E$2:$E711,0.5)</f>
        <v>1</v>
      </c>
      <c r="Q712" s="7">
        <f>PERCENTILE($E$2:$E711,0.835)</f>
        <v>3</v>
      </c>
      <c r="R712" s="7">
        <f>PERCENTILE($E$2:$E711,0.975)</f>
        <v>3</v>
      </c>
    </row>
    <row r="713" spans="1:18" x14ac:dyDescent="0.2">
      <c r="A713" s="5">
        <f>Data!E682</f>
        <v>2012</v>
      </c>
      <c r="B713" s="5">
        <f>Data!M682</f>
        <v>4.3055555555555555E-2</v>
      </c>
      <c r="C713" s="5">
        <f>Data!N682</f>
        <v>6.9444444444444441E-3</v>
      </c>
      <c r="D713" s="5">
        <f ca="1">Data!O682</f>
        <v>748.87799602305688</v>
      </c>
      <c r="E713" s="1">
        <f>Data!AQ682</f>
        <v>-1.1000000000000001</v>
      </c>
      <c r="F713" t="str">
        <f t="shared" si="11"/>
        <v/>
      </c>
      <c r="G713" s="5">
        <f ca="1">AVERAGE(D$2:D712)</f>
        <v>177.59103818441892</v>
      </c>
      <c r="H713" s="5">
        <f ca="1">PERCENTILE(D$2:D712,0.025)</f>
        <v>-3.3455324286077142</v>
      </c>
      <c r="I713" s="5">
        <f ca="1">PERCENTILE(D$2:D712,0.165)</f>
        <v>6.3100384871371933</v>
      </c>
      <c r="J713" s="5">
        <f ca="1">PERCENTILE(D$2:D712,0.5)</f>
        <v>44.539078601647923</v>
      </c>
      <c r="K713" s="5">
        <f ca="1">PERCENTILE(D$2:D712,0.835)</f>
        <v>226.69620256456957</v>
      </c>
      <c r="L713" s="5">
        <f ca="1">PERCENTILE(D$2:D712,0.975)</f>
        <v>1144.4780020162034</v>
      </c>
      <c r="M713" s="7">
        <f>AVERAGE(E$2:E712)</f>
        <v>1.3043076923076931</v>
      </c>
      <c r="N713" s="7">
        <f>PERCENTILE($E$2:$E712,0.025)</f>
        <v>-1.1000000000000001</v>
      </c>
      <c r="O713" s="7">
        <f>PERCENTILE($E$2:$E712,0.165)</f>
        <v>0</v>
      </c>
      <c r="P713" s="7">
        <f>PERCENTILE($E$2:$E712,0.5)</f>
        <v>1</v>
      </c>
      <c r="Q713" s="7">
        <f>PERCENTILE($E$2:$E712,0.835)</f>
        <v>3</v>
      </c>
      <c r="R713" s="7">
        <f>PERCENTILE($E$2:$E712,0.975)</f>
        <v>3</v>
      </c>
    </row>
    <row r="714" spans="1:18" x14ac:dyDescent="0.2">
      <c r="A714" s="5">
        <f>Data!E683</f>
        <v>2012</v>
      </c>
      <c r="B714" s="5">
        <f>Data!M683</f>
        <v>4.3055555555555555E-2</v>
      </c>
      <c r="C714" s="5">
        <f>Data!N683</f>
        <v>6.9444444444444441E-3</v>
      </c>
      <c r="D714" s="5">
        <f ca="1">Data!O683</f>
        <v>804.81079240652173</v>
      </c>
      <c r="E714" s="1">
        <f>Data!AQ683</f>
        <v>-1.1000000000000001</v>
      </c>
      <c r="F714" t="str">
        <f t="shared" si="11"/>
        <v/>
      </c>
      <c r="G714" s="5">
        <f ca="1">AVERAGE(D$2:D713)</f>
        <v>178.39340750722599</v>
      </c>
      <c r="H714" s="5">
        <f ca="1">PERCENTILE(D$2:D713,0.025)</f>
        <v>-3.3425850843644542</v>
      </c>
      <c r="I714" s="5">
        <f ca="1">PERCENTILE(D$2:D713,0.165)</f>
        <v>6.3100384871371933</v>
      </c>
      <c r="J714" s="5">
        <f ca="1">PERCENTILE(D$2:D713,0.5)</f>
        <v>44.539078601647923</v>
      </c>
      <c r="K714" s="5">
        <f ca="1">PERCENTILE(D$2:D713,0.835)</f>
        <v>226.83856311071847</v>
      </c>
      <c r="L714" s="5">
        <f ca="1">PERCENTILE(D$2:D713,0.975)</f>
        <v>1142.6551380992569</v>
      </c>
      <c r="M714" s="7">
        <f>AVERAGE(E$2:E713)</f>
        <v>1.3002047781569972</v>
      </c>
      <c r="N714" s="7">
        <f>PERCENTILE($E$2:$E713,0.025)</f>
        <v>-1.1000000000000001</v>
      </c>
      <c r="O714" s="7">
        <f>PERCENTILE($E$2:$E713,0.165)</f>
        <v>0</v>
      </c>
      <c r="P714" s="7">
        <f>PERCENTILE($E$2:$E713,0.5)</f>
        <v>1</v>
      </c>
      <c r="Q714" s="7">
        <f>PERCENTILE($E$2:$E713,0.835)</f>
        <v>3</v>
      </c>
      <c r="R714" s="7">
        <f>PERCENTILE($E$2:$E713,0.975)</f>
        <v>3</v>
      </c>
    </row>
    <row r="715" spans="1:18" x14ac:dyDescent="0.2">
      <c r="A715" s="5">
        <f>Data!E684</f>
        <v>2012</v>
      </c>
      <c r="B715" s="5">
        <f>Data!M684</f>
        <v>4.3055555555555555E-2</v>
      </c>
      <c r="C715" s="5">
        <f>Data!N684</f>
        <v>6.9444444444444441E-3</v>
      </c>
      <c r="D715" s="5">
        <f ca="1">Data!O684</f>
        <v>35.21694587107045</v>
      </c>
      <c r="E715" s="1">
        <f>Data!AQ684</f>
        <v>3</v>
      </c>
      <c r="F715" t="str">
        <f t="shared" si="11"/>
        <v/>
      </c>
      <c r="G715" s="5">
        <f ca="1">AVERAGE(D$2:D714)</f>
        <v>179.27197326444801</v>
      </c>
      <c r="H715" s="5">
        <f ca="1">PERCENTILE(D$2:D714,0.025)</f>
        <v>-3.3396377401211943</v>
      </c>
      <c r="I715" s="5">
        <f ca="1">PERCENTILE(D$2:D714,0.165)</f>
        <v>6.3100384871371933</v>
      </c>
      <c r="J715" s="5">
        <f ca="1">PERCENTILE(D$2:D714,0.5)</f>
        <v>44.539078601647923</v>
      </c>
      <c r="K715" s="5">
        <f ca="1">PERCENTILE(D$2:D714,0.835)</f>
        <v>227.00643077235313</v>
      </c>
      <c r="L715" s="5">
        <f ca="1">PERCENTILE(D$2:D714,0.975)</f>
        <v>1140.8322741823019</v>
      </c>
      <c r="M715" s="7">
        <f>AVERAGE(E$2:E714)</f>
        <v>1.2961158432708695</v>
      </c>
      <c r="N715" s="7">
        <f>PERCENTILE($E$2:$E714,0.025)</f>
        <v>-1.1000000000000001</v>
      </c>
      <c r="O715" s="7">
        <f>PERCENTILE($E$2:$E714,0.165)</f>
        <v>0</v>
      </c>
      <c r="P715" s="7">
        <f>PERCENTILE($E$2:$E714,0.5)</f>
        <v>1</v>
      </c>
      <c r="Q715" s="7">
        <f>PERCENTILE($E$2:$E714,0.835)</f>
        <v>3</v>
      </c>
      <c r="R715" s="7">
        <f>PERCENTILE($E$2:$E714,0.975)</f>
        <v>3</v>
      </c>
    </row>
    <row r="716" spans="1:18" x14ac:dyDescent="0.2">
      <c r="A716" s="5">
        <f>Data!E685</f>
        <v>2012</v>
      </c>
      <c r="B716" s="5">
        <f>Data!M685</f>
        <v>4.3055555555555555E-2</v>
      </c>
      <c r="C716" s="5">
        <f>Data!N685</f>
        <v>6.9444444444444441E-3</v>
      </c>
      <c r="D716" s="5">
        <f ca="1">Data!O685</f>
        <v>36.25273839669017</v>
      </c>
      <c r="E716" s="1">
        <f>Data!AQ685</f>
        <v>3</v>
      </c>
      <c r="F716" t="str">
        <f t="shared" si="11"/>
        <v/>
      </c>
      <c r="G716" s="5">
        <f ca="1">AVERAGE(D$2:D715)</f>
        <v>179.07021552300071</v>
      </c>
      <c r="H716" s="5">
        <f ca="1">PERCENTILE(D$2:D715,0.025)</f>
        <v>-3.3366903958779348</v>
      </c>
      <c r="I716" s="5">
        <f ca="1">PERCENTILE(D$2:D715,0.165)</f>
        <v>6.3100384871371933</v>
      </c>
      <c r="J716" s="5">
        <f ca="1">PERCENTILE(D$2:D715,0.5)</f>
        <v>44.539078601647923</v>
      </c>
      <c r="K716" s="5">
        <f ca="1">PERCENTILE(D$2:D715,0.835)</f>
        <v>226.95316507202676</v>
      </c>
      <c r="L716" s="5">
        <f ca="1">PERCENTILE(D$2:D715,0.975)</f>
        <v>1139.0094102653552</v>
      </c>
      <c r="M716" s="7">
        <f>AVERAGE(E$2:E715)</f>
        <v>1.2990136054421775</v>
      </c>
      <c r="N716" s="7">
        <f>PERCENTILE($E$2:$E715,0.025)</f>
        <v>-1.1000000000000001</v>
      </c>
      <c r="O716" s="7">
        <f>PERCENTILE($E$2:$E715,0.165)</f>
        <v>0</v>
      </c>
      <c r="P716" s="7">
        <f>PERCENTILE($E$2:$E715,0.5)</f>
        <v>1</v>
      </c>
      <c r="Q716" s="7">
        <f>PERCENTILE($E$2:$E715,0.835)</f>
        <v>3</v>
      </c>
      <c r="R716" s="7">
        <f>PERCENTILE($E$2:$E715,0.975)</f>
        <v>3</v>
      </c>
    </row>
    <row r="717" spans="1:18" x14ac:dyDescent="0.2">
      <c r="A717" s="5">
        <f>Data!E686</f>
        <v>2012</v>
      </c>
      <c r="B717" s="5">
        <f>Data!M686</f>
        <v>4.3055555555555555E-2</v>
      </c>
      <c r="C717" s="5">
        <f>Data!N686</f>
        <v>6.9444444444444441E-3</v>
      </c>
      <c r="D717" s="5">
        <f ca="1">Data!O686</f>
        <v>34.181153345450724</v>
      </c>
      <c r="E717" s="1">
        <f>Data!AQ686</f>
        <v>3</v>
      </c>
      <c r="F717" t="str">
        <f t="shared" si="11"/>
        <v/>
      </c>
      <c r="G717" s="5">
        <f ca="1">AVERAGE(D$2:D716)</f>
        <v>178.87047079974712</v>
      </c>
      <c r="H717" s="5">
        <f ca="1">PERCENTILE(D$2:D716,0.025)</f>
        <v>-3.3337430516346744</v>
      </c>
      <c r="I717" s="5">
        <f ca="1">PERCENTILE(D$2:D716,0.165)</f>
        <v>6.3100384871371933</v>
      </c>
      <c r="J717" s="5">
        <f ca="1">PERCENTILE(D$2:D716,0.5)</f>
        <v>44.539078601647923</v>
      </c>
      <c r="K717" s="5">
        <f ca="1">PERCENTILE(D$2:D716,0.835)</f>
        <v>226.89989937170034</v>
      </c>
      <c r="L717" s="5">
        <f ca="1">PERCENTILE(D$2:D716,0.975)</f>
        <v>1137.1865463484087</v>
      </c>
      <c r="M717" s="7">
        <f>AVERAGE(E$2:E716)</f>
        <v>1.3019015280135831</v>
      </c>
      <c r="N717" s="7">
        <f>PERCENTILE($E$2:$E716,0.025)</f>
        <v>-1.1000000000000001</v>
      </c>
      <c r="O717" s="7">
        <f>PERCENTILE($E$2:$E716,0.165)</f>
        <v>0</v>
      </c>
      <c r="P717" s="7">
        <f>PERCENTILE($E$2:$E716,0.5)</f>
        <v>1</v>
      </c>
      <c r="Q717" s="7">
        <f>PERCENTILE($E$2:$E716,0.835)</f>
        <v>3</v>
      </c>
      <c r="R717" s="7">
        <f>PERCENTILE($E$2:$E716,0.975)</f>
        <v>3</v>
      </c>
    </row>
    <row r="718" spans="1:18" x14ac:dyDescent="0.2">
      <c r="A718" s="5">
        <f>Data!E687</f>
        <v>2012</v>
      </c>
      <c r="B718" s="5">
        <f>Data!M687</f>
        <v>4.3055555555555555E-2</v>
      </c>
      <c r="C718" s="5">
        <f>Data!N687</f>
        <v>6.9444444444444441E-3</v>
      </c>
      <c r="D718" s="5">
        <f ca="1">Data!O687</f>
        <v>53.861211332225395</v>
      </c>
      <c r="E718" s="1">
        <f>Data!AQ687</f>
        <v>3</v>
      </c>
      <c r="F718" t="str">
        <f t="shared" si="11"/>
        <v/>
      </c>
      <c r="G718" s="5">
        <f ca="1">AVERAGE(D$2:D717)</f>
        <v>178.66839074743666</v>
      </c>
      <c r="H718" s="5">
        <f ca="1">PERCENTILE(D$2:D717,0.025)</f>
        <v>-3.330795707391415</v>
      </c>
      <c r="I718" s="5">
        <f ca="1">PERCENTILE(D$2:D717,0.165)</f>
        <v>6.3100384871371933</v>
      </c>
      <c r="J718" s="5">
        <f ca="1">PERCENTILE(D$2:D717,0.5)</f>
        <v>44.47000766344425</v>
      </c>
      <c r="K718" s="5">
        <f ca="1">PERCENTILE(D$2:D717,0.835)</f>
        <v>226.84663367137398</v>
      </c>
      <c r="L718" s="5">
        <f ca="1">PERCENTILE(D$2:D717,0.975)</f>
        <v>1135.3636824314619</v>
      </c>
      <c r="M718" s="7">
        <f>AVERAGE(E$2:E717)</f>
        <v>1.3047796610169498</v>
      </c>
      <c r="N718" s="7">
        <f>PERCENTILE($E$2:$E717,0.025)</f>
        <v>-1.1000000000000001</v>
      </c>
      <c r="O718" s="7">
        <f>PERCENTILE($E$2:$E717,0.165)</f>
        <v>0</v>
      </c>
      <c r="P718" s="7">
        <f>PERCENTILE($E$2:$E717,0.5)</f>
        <v>1</v>
      </c>
      <c r="Q718" s="7">
        <f>PERCENTILE($E$2:$E717,0.835)</f>
        <v>3</v>
      </c>
      <c r="R718" s="7">
        <f>PERCENTILE($E$2:$E717,0.975)</f>
        <v>3</v>
      </c>
    </row>
    <row r="719" spans="1:18" x14ac:dyDescent="0.2">
      <c r="A719" s="5">
        <f>Data!E688</f>
        <v>2012</v>
      </c>
      <c r="B719" s="5">
        <f>Data!M688</f>
        <v>4.3055555555555555E-2</v>
      </c>
      <c r="C719" s="5">
        <f>Data!N688</f>
        <v>6.9444444444444441E-3</v>
      </c>
      <c r="D719" s="5">
        <f ca="1">Data!O688</f>
        <v>24.859020614873259</v>
      </c>
      <c r="E719" s="1">
        <f>Data!AQ688</f>
        <v>3</v>
      </c>
      <c r="F719" t="str">
        <f t="shared" si="11"/>
        <v/>
      </c>
      <c r="G719" s="5">
        <f ca="1">AVERAGE(D$2:D718)</f>
        <v>178.49432215689941</v>
      </c>
      <c r="H719" s="5">
        <f ca="1">PERCENTILE(D$2:D718,0.025)</f>
        <v>-3.3278483631481546</v>
      </c>
      <c r="I719" s="5">
        <f ca="1">PERCENTILE(D$2:D718,0.165)</f>
        <v>6.3100384871371933</v>
      </c>
      <c r="J719" s="5">
        <f ca="1">PERCENTILE(D$2:D718,0.5)</f>
        <v>44.539078601647923</v>
      </c>
      <c r="K719" s="5">
        <f ca="1">PERCENTILE(D$2:D718,0.835)</f>
        <v>226.83856311071847</v>
      </c>
      <c r="L719" s="5">
        <f ca="1">PERCENTILE(D$2:D718,0.975)</f>
        <v>1133.5408185145154</v>
      </c>
      <c r="M719" s="7">
        <f>AVERAGE(E$2:E718)</f>
        <v>1.3076480541455167</v>
      </c>
      <c r="N719" s="7">
        <f>PERCENTILE($E$2:$E718,0.025)</f>
        <v>-1.1000000000000001</v>
      </c>
      <c r="O719" s="7">
        <f>PERCENTILE($E$2:$E718,0.165)</f>
        <v>0</v>
      </c>
      <c r="P719" s="7">
        <f>PERCENTILE($E$2:$E718,0.5)</f>
        <v>1</v>
      </c>
      <c r="Q719" s="7">
        <f>PERCENTILE($E$2:$E718,0.835)</f>
        <v>3</v>
      </c>
      <c r="R719" s="7">
        <f>PERCENTILE($E$2:$E718,0.975)</f>
        <v>3</v>
      </c>
    </row>
    <row r="720" spans="1:18" x14ac:dyDescent="0.2">
      <c r="A720" s="5">
        <f>Data!E689</f>
        <v>2012</v>
      </c>
      <c r="B720" s="5">
        <f>Data!M689</f>
        <v>4.3055555555555555E-2</v>
      </c>
      <c r="C720" s="5">
        <f>Data!N689</f>
        <v>6.9444444444444441E-3</v>
      </c>
      <c r="D720" s="5">
        <f ca="1">Data!O689</f>
        <v>66.290721639662024</v>
      </c>
      <c r="E720" s="1">
        <f>Data!AQ689</f>
        <v>3</v>
      </c>
      <c r="F720" t="str">
        <f t="shared" si="11"/>
        <v/>
      </c>
      <c r="G720" s="5">
        <f ca="1">AVERAGE(D$2:D719)</f>
        <v>178.28034541380467</v>
      </c>
      <c r="H720" s="5">
        <f ca="1">PERCENTILE(D$2:D719,0.025)</f>
        <v>-3.3249010189048951</v>
      </c>
      <c r="I720" s="5">
        <f ca="1">PERCENTILE(D$2:D719,0.165)</f>
        <v>6.3100384871371933</v>
      </c>
      <c r="J720" s="5">
        <f ca="1">PERCENTILE(D$2:D719,0.5)</f>
        <v>44.47000766344425</v>
      </c>
      <c r="K720" s="5">
        <f ca="1">PERCENTILE(D$2:D719,0.835)</f>
        <v>226.83856311071847</v>
      </c>
      <c r="L720" s="5">
        <f ca="1">PERCENTILE(D$2:D719,0.975)</f>
        <v>1131.7179545975605</v>
      </c>
      <c r="M720" s="7">
        <f>AVERAGE(E$2:E719)</f>
        <v>1.3105067567567574</v>
      </c>
      <c r="N720" s="7">
        <f>PERCENTILE($E$2:$E719,0.025)</f>
        <v>-1.1000000000000001</v>
      </c>
      <c r="O720" s="7">
        <f>PERCENTILE($E$2:$E719,0.165)</f>
        <v>0</v>
      </c>
      <c r="P720" s="7">
        <f>PERCENTILE($E$2:$E719,0.5)</f>
        <v>1</v>
      </c>
      <c r="Q720" s="7">
        <f>PERCENTILE($E$2:$E719,0.835)</f>
        <v>3</v>
      </c>
      <c r="R720" s="7">
        <f>PERCENTILE($E$2:$E719,0.975)</f>
        <v>3</v>
      </c>
    </row>
    <row r="721" spans="1:18" x14ac:dyDescent="0.2">
      <c r="A721" s="5">
        <f>Data!E690</f>
        <v>2012</v>
      </c>
      <c r="B721" s="5">
        <f>Data!M690</f>
        <v>4.3055555555555555E-2</v>
      </c>
      <c r="C721" s="5">
        <f>Data!N690</f>
        <v>6.9444444444444441E-3</v>
      </c>
      <c r="D721" s="5">
        <f ca="1">Data!O690</f>
        <v>27.966398191732413</v>
      </c>
      <c r="E721" s="1">
        <f>Data!AQ690</f>
        <v>3</v>
      </c>
      <c r="F721" t="str">
        <f t="shared" si="11"/>
        <v/>
      </c>
      <c r="G721" s="5">
        <f ca="1">AVERAGE(D$2:D720)</f>
        <v>178.12458793984896</v>
      </c>
      <c r="H721" s="5">
        <f ca="1">PERCENTILE(D$2:D720,0.025)</f>
        <v>-3.3219536746616352</v>
      </c>
      <c r="I721" s="5">
        <f ca="1">PERCENTILE(D$2:D720,0.165)</f>
        <v>6.3100384871371933</v>
      </c>
      <c r="J721" s="5">
        <f ca="1">PERCENTILE(D$2:D720,0.5)</f>
        <v>44.539078601647923</v>
      </c>
      <c r="K721" s="5">
        <f ca="1">PERCENTILE(D$2:D720,0.835)</f>
        <v>226.83856311071847</v>
      </c>
      <c r="L721" s="5">
        <f ca="1">PERCENTILE(D$2:D720,0.975)</f>
        <v>1129.8950906806137</v>
      </c>
      <c r="M721" s="7">
        <f>AVERAGE(E$2:E720)</f>
        <v>1.3133558178752114</v>
      </c>
      <c r="N721" s="7">
        <f>PERCENTILE($E$2:$E720,0.025)</f>
        <v>-1.1000000000000001</v>
      </c>
      <c r="O721" s="7">
        <f>PERCENTILE($E$2:$E720,0.165)</f>
        <v>0</v>
      </c>
      <c r="P721" s="7">
        <f>PERCENTILE($E$2:$E720,0.5)</f>
        <v>1</v>
      </c>
      <c r="Q721" s="7">
        <f>PERCENTILE($E$2:$E720,0.835)</f>
        <v>3</v>
      </c>
      <c r="R721" s="7">
        <f>PERCENTILE($E$2:$E720,0.975)</f>
        <v>3</v>
      </c>
    </row>
    <row r="722" spans="1:18" x14ac:dyDescent="0.2">
      <c r="A722" s="5">
        <f>Data!E691</f>
        <v>2012</v>
      </c>
      <c r="B722" s="5">
        <f>Data!M691</f>
        <v>4.3055555555555555E-2</v>
      </c>
      <c r="C722" s="5">
        <f>Data!N691</f>
        <v>6.9444444444444441E-3</v>
      </c>
      <c r="D722" s="5">
        <f ca="1">Data!O691</f>
        <v>36.25273839669017</v>
      </c>
      <c r="E722" s="1">
        <f>Data!AQ691</f>
        <v>3</v>
      </c>
      <c r="F722" t="str">
        <f t="shared" si="11"/>
        <v/>
      </c>
      <c r="G722" s="5">
        <f ca="1">AVERAGE(D$2:D721)</f>
        <v>177.91603489853213</v>
      </c>
      <c r="H722" s="5">
        <f ca="1">PERCENTILE(D$2:D721,0.025)</f>
        <v>-3.3190063304183752</v>
      </c>
      <c r="I722" s="5">
        <f ca="1">PERCENTILE(D$2:D721,0.165)</f>
        <v>6.3100384871371933</v>
      </c>
      <c r="J722" s="5">
        <f ca="1">PERCENTILE(D$2:D721,0.5)</f>
        <v>44.47000766344425</v>
      </c>
      <c r="K722" s="5">
        <f ca="1">PERCENTILE(D$2:D721,0.835)</f>
        <v>226.83856311071847</v>
      </c>
      <c r="L722" s="5">
        <f ca="1">PERCENTILE(D$2:D721,0.975)</f>
        <v>1128.0722267636672</v>
      </c>
      <c r="M722" s="7">
        <f>AVERAGE(E$2:E721)</f>
        <v>1.3161952861952868</v>
      </c>
      <c r="N722" s="7">
        <f>PERCENTILE($E$2:$E721,0.025)</f>
        <v>-1.1000000000000001</v>
      </c>
      <c r="O722" s="7">
        <f>PERCENTILE($E$2:$E721,0.165)</f>
        <v>0</v>
      </c>
      <c r="P722" s="7">
        <f>PERCENTILE($E$2:$E721,0.5)</f>
        <v>1</v>
      </c>
      <c r="Q722" s="7">
        <f>PERCENTILE($E$2:$E721,0.835)</f>
        <v>3</v>
      </c>
      <c r="R722" s="7">
        <f>PERCENTILE($E$2:$E721,0.975)</f>
        <v>3</v>
      </c>
    </row>
    <row r="723" spans="1:18" x14ac:dyDescent="0.2">
      <c r="A723" s="5">
        <f>Data!E692</f>
        <v>2012</v>
      </c>
      <c r="B723" s="5">
        <f>Data!M692</f>
        <v>4.3055555555555555E-2</v>
      </c>
      <c r="C723" s="5">
        <f>Data!N692</f>
        <v>6.9444444444444441E-3</v>
      </c>
      <c r="D723" s="5">
        <f ca="1">Data!O692</f>
        <v>43.503286076028203</v>
      </c>
      <c r="E723" s="1">
        <f>Data!AQ692</f>
        <v>3</v>
      </c>
      <c r="F723" t="str">
        <f t="shared" si="11"/>
        <v/>
      </c>
      <c r="G723" s="5">
        <f ca="1">AVERAGE(D$2:D722)</f>
        <v>177.71955321128965</v>
      </c>
      <c r="H723" s="5">
        <f ca="1">PERCENTILE(D$2:D722,0.025)</f>
        <v>-3.3160589861751153</v>
      </c>
      <c r="I723" s="5">
        <f ca="1">PERCENTILE(D$2:D722,0.165)</f>
        <v>6.3100384871371933</v>
      </c>
      <c r="J723" s="5">
        <f ca="1">PERCENTILE(D$2:D722,0.5)</f>
        <v>44.400936725240584</v>
      </c>
      <c r="K723" s="5">
        <f ca="1">PERCENTILE(D$2:D722,0.835)</f>
        <v>226.83856311071847</v>
      </c>
      <c r="L723" s="5">
        <f ca="1">PERCENTILE(D$2:D722,0.975)</f>
        <v>1126.2493628467205</v>
      </c>
      <c r="M723" s="7">
        <f>AVERAGE(E$2:E722)</f>
        <v>1.3190252100840343</v>
      </c>
      <c r="N723" s="7">
        <f>PERCENTILE($E$2:$E722,0.025)</f>
        <v>-1.1000000000000001</v>
      </c>
      <c r="O723" s="7">
        <f>PERCENTILE($E$2:$E722,0.165)</f>
        <v>0</v>
      </c>
      <c r="P723" s="7">
        <f>PERCENTILE($E$2:$E722,0.5)</f>
        <v>1</v>
      </c>
      <c r="Q723" s="7">
        <f>PERCENTILE($E$2:$E722,0.835)</f>
        <v>3</v>
      </c>
      <c r="R723" s="7">
        <f>PERCENTILE($E$2:$E722,0.975)</f>
        <v>3</v>
      </c>
    </row>
    <row r="724" spans="1:18" x14ac:dyDescent="0.2">
      <c r="A724" s="5">
        <f>Data!E693</f>
        <v>2012</v>
      </c>
      <c r="B724" s="5">
        <f>Data!M693</f>
        <v>4.3055555555555555E-2</v>
      </c>
      <c r="C724" s="5">
        <f>Data!N693</f>
        <v>6.9444444444444441E-3</v>
      </c>
      <c r="D724" s="5">
        <f ca="1">Data!O693</f>
        <v>51.789626280985956</v>
      </c>
      <c r="E724" s="1">
        <f>Data!AQ693</f>
        <v>3</v>
      </c>
      <c r="F724" t="str">
        <f t="shared" si="11"/>
        <v/>
      </c>
      <c r="G724" s="5">
        <f ca="1">AVERAGE(D$2:D723)</f>
        <v>177.5336581044541</v>
      </c>
      <c r="H724" s="5">
        <f ca="1">PERCENTILE(D$2:D723,0.025)</f>
        <v>-3.3154292962976402</v>
      </c>
      <c r="I724" s="5">
        <f ca="1">PERCENTILE(D$2:D723,0.165)</f>
        <v>6.3100384871371933</v>
      </c>
      <c r="J724" s="5">
        <f ca="1">PERCENTILE(D$2:D723,0.5)</f>
        <v>44.304280859345099</v>
      </c>
      <c r="K724" s="5">
        <f ca="1">PERCENTILE(D$2:D723,0.835)</f>
        <v>226.83856311071847</v>
      </c>
      <c r="L724" s="5">
        <f ca="1">PERCENTILE(D$2:D723,0.975)</f>
        <v>1125.2820444686688</v>
      </c>
      <c r="M724" s="7">
        <f>AVERAGE(E$2:E723)</f>
        <v>1.3218456375838932</v>
      </c>
      <c r="N724" s="7">
        <f>PERCENTILE($E$2:$E723,0.025)</f>
        <v>-1.1000000000000001</v>
      </c>
      <c r="O724" s="7">
        <f>PERCENTILE($E$2:$E723,0.165)</f>
        <v>0</v>
      </c>
      <c r="P724" s="7">
        <f>PERCENTILE($E$2:$E723,0.5)</f>
        <v>1</v>
      </c>
      <c r="Q724" s="7">
        <f>PERCENTILE($E$2:$E723,0.835)</f>
        <v>3</v>
      </c>
      <c r="R724" s="7">
        <f>PERCENTILE($E$2:$E723,0.975)</f>
        <v>3</v>
      </c>
    </row>
    <row r="725" spans="1:18" x14ac:dyDescent="0.2">
      <c r="A725" s="5">
        <f>Data!E694</f>
        <v>2012</v>
      </c>
      <c r="B725" s="5">
        <f>Data!M694</f>
        <v>4.3055555555555555E-2</v>
      </c>
      <c r="C725" s="5">
        <f>Data!N694</f>
        <v>6.9444444444444441E-3</v>
      </c>
      <c r="D725" s="5">
        <f ca="1">Data!O694</f>
        <v>33.145360819831012</v>
      </c>
      <c r="E725" s="1">
        <f>Data!AQ694</f>
        <v>3</v>
      </c>
      <c r="F725" t="str">
        <f t="shared" si="11"/>
        <v/>
      </c>
      <c r="G725" s="5">
        <f ca="1">AVERAGE(D$2:D724)</f>
        <v>177.35973828173837</v>
      </c>
      <c r="H725" s="5">
        <f ca="1">PERCENTILE(D$2:D724,0.025)</f>
        <v>-3.3147996064201655</v>
      </c>
      <c r="I725" s="5">
        <f ca="1">PERCENTILE(D$2:D724,0.165)</f>
        <v>6.3100384871371933</v>
      </c>
      <c r="J725" s="5">
        <f ca="1">PERCENTILE(D$2:D724,0.5)</f>
        <v>44.400936725240584</v>
      </c>
      <c r="K725" s="5">
        <f ca="1">PERCENTILE(D$2:D724,0.835)</f>
        <v>226.71518397072276</v>
      </c>
      <c r="L725" s="5">
        <f ca="1">PERCENTILE(D$2:D724,0.975)</f>
        <v>1124.314726090613</v>
      </c>
      <c r="M725" s="7">
        <f>AVERAGE(E$2:E724)</f>
        <v>1.324656616415411</v>
      </c>
      <c r="N725" s="7">
        <f>PERCENTILE($E$2:$E724,0.025)</f>
        <v>-1.1000000000000001</v>
      </c>
      <c r="O725" s="7">
        <f>PERCENTILE($E$2:$E724,0.165)</f>
        <v>0</v>
      </c>
      <c r="P725" s="7">
        <f>PERCENTILE($E$2:$E724,0.5)</f>
        <v>1</v>
      </c>
      <c r="Q725" s="7">
        <f>PERCENTILE($E$2:$E724,0.835)</f>
        <v>3</v>
      </c>
      <c r="R725" s="7">
        <f>PERCENTILE($E$2:$E724,0.975)</f>
        <v>3</v>
      </c>
    </row>
    <row r="726" spans="1:18" x14ac:dyDescent="0.2">
      <c r="A726" s="5">
        <f>Data!E695</f>
        <v>2012</v>
      </c>
      <c r="B726" s="5">
        <f>Data!M695</f>
        <v>4.3055555555555555E-2</v>
      </c>
      <c r="C726" s="5">
        <f>Data!N695</f>
        <v>6.9444444444444441E-3</v>
      </c>
      <c r="D726" s="5">
        <f ca="1">Data!O695</f>
        <v>30.037983242971855</v>
      </c>
      <c r="E726" s="1">
        <f>Data!AQ695</f>
        <v>3</v>
      </c>
      <c r="F726" t="str">
        <f t="shared" si="11"/>
        <v/>
      </c>
      <c r="G726" s="5">
        <f ca="1">AVERAGE(D$2:D725)</f>
        <v>177.16054715264733</v>
      </c>
      <c r="H726" s="5">
        <f ca="1">PERCENTILE(D$2:D725,0.025)</f>
        <v>-3.3141699165426903</v>
      </c>
      <c r="I726" s="5">
        <f ca="1">PERCENTILE(D$2:D725,0.165)</f>
        <v>6.3100384871371933</v>
      </c>
      <c r="J726" s="5">
        <f ca="1">PERCENTILE(D$2:D725,0.5)</f>
        <v>44.304280859345099</v>
      </c>
      <c r="K726" s="5">
        <f ca="1">PERCENTILE(D$2:D725,0.835)</f>
        <v>226.5585873699589</v>
      </c>
      <c r="L726" s="5">
        <f ca="1">PERCENTILE(D$2:D725,0.975)</f>
        <v>1123.3474077125613</v>
      </c>
      <c r="M726" s="7">
        <f>AVERAGE(E$2:E725)</f>
        <v>1.3274581939799337</v>
      </c>
      <c r="N726" s="7">
        <f>PERCENTILE($E$2:$E725,0.025)</f>
        <v>-1.1000000000000001</v>
      </c>
      <c r="O726" s="7">
        <f>PERCENTILE($E$2:$E725,0.165)</f>
        <v>0</v>
      </c>
      <c r="P726" s="7">
        <f>PERCENTILE($E$2:$E725,0.5)</f>
        <v>1</v>
      </c>
      <c r="Q726" s="7">
        <f>PERCENTILE($E$2:$E725,0.835)</f>
        <v>3</v>
      </c>
      <c r="R726" s="7">
        <f>PERCENTILE($E$2:$E725,0.975)</f>
        <v>3</v>
      </c>
    </row>
    <row r="727" spans="1:18" x14ac:dyDescent="0.2">
      <c r="A727" s="5">
        <f>Data!E696</f>
        <v>2012</v>
      </c>
      <c r="B727" s="5">
        <f>Data!M696</f>
        <v>4.3055555555555555E-2</v>
      </c>
      <c r="C727" s="5">
        <f>Data!N696</f>
        <v>6.9444444444444441E-3</v>
      </c>
      <c r="D727" s="5">
        <f ca="1">Data!O696</f>
        <v>45.574871127267635</v>
      </c>
      <c r="E727" s="1">
        <f>Data!AQ696</f>
        <v>3</v>
      </c>
      <c r="F727" t="str">
        <f t="shared" si="11"/>
        <v/>
      </c>
      <c r="G727" s="5">
        <f ca="1">AVERAGE(D$2:D726)</f>
        <v>176.95761947828916</v>
      </c>
      <c r="H727" s="5">
        <f ca="1">PERCENTILE(D$2:D726,0.025)</f>
        <v>-3.3135402266652152</v>
      </c>
      <c r="I727" s="5">
        <f ca="1">PERCENTILE(D$2:D726,0.165)</f>
        <v>6.3100384871371933</v>
      </c>
      <c r="J727" s="5">
        <f ca="1">PERCENTILE(D$2:D726,0.5)</f>
        <v>44.207624993449606</v>
      </c>
      <c r="K727" s="5">
        <f ca="1">PERCENTILE(D$2:D726,0.835)</f>
        <v>226.40199076919512</v>
      </c>
      <c r="L727" s="5">
        <f ca="1">PERCENTILE(D$2:D726,0.975)</f>
        <v>1122.3800893345096</v>
      </c>
      <c r="M727" s="7">
        <f>AVERAGE(E$2:E726)</f>
        <v>1.3302504173622711</v>
      </c>
      <c r="N727" s="7">
        <f>PERCENTILE($E$2:$E726,0.025)</f>
        <v>-1.1000000000000001</v>
      </c>
      <c r="O727" s="7">
        <f>PERCENTILE($E$2:$E726,0.165)</f>
        <v>0</v>
      </c>
      <c r="P727" s="7">
        <f>PERCENTILE($E$2:$E726,0.5)</f>
        <v>1</v>
      </c>
      <c r="Q727" s="7">
        <f>PERCENTILE($E$2:$E726,0.835)</f>
        <v>3</v>
      </c>
      <c r="R727" s="7">
        <f>PERCENTILE($E$2:$E726,0.975)</f>
        <v>3</v>
      </c>
    </row>
    <row r="728" spans="1:18" x14ac:dyDescent="0.2">
      <c r="A728" s="5">
        <f>Data!E697</f>
        <v>2012</v>
      </c>
      <c r="B728" s="5">
        <f>Data!M697</f>
        <v>4.3055555555555555E-2</v>
      </c>
      <c r="C728" s="5">
        <f>Data!N697</f>
        <v>6.9444444444444441E-3</v>
      </c>
      <c r="D728" s="5">
        <f ca="1">Data!O697</f>
        <v>20.715850512394383</v>
      </c>
      <c r="E728" s="1">
        <f>Data!AQ697</f>
        <v>3</v>
      </c>
      <c r="F728" t="str">
        <f t="shared" si="11"/>
        <v/>
      </c>
      <c r="G728" s="5">
        <f ca="1">AVERAGE(D$2:D727)</f>
        <v>176.77665150535387</v>
      </c>
      <c r="H728" s="5">
        <f ca="1">PERCENTILE(D$2:D727,0.025)</f>
        <v>-3.3129105367877401</v>
      </c>
      <c r="I728" s="5">
        <f ca="1">PERCENTILE(D$2:D727,0.165)</f>
        <v>6.3100384871371933</v>
      </c>
      <c r="J728" s="5">
        <f ca="1">PERCENTILE(D$2:D727,0.5)</f>
        <v>44.304280859345099</v>
      </c>
      <c r="K728" s="5">
        <f ca="1">PERCENTILE(D$2:D727,0.835)</f>
        <v>226.24539416843137</v>
      </c>
      <c r="L728" s="5">
        <f ca="1">PERCENTILE(D$2:D727,0.975)</f>
        <v>1121.4127709564582</v>
      </c>
      <c r="M728" s="7">
        <f>AVERAGE(E$2:E727)</f>
        <v>1.333033333333334</v>
      </c>
      <c r="N728" s="7">
        <f>PERCENTILE($E$2:$E727,0.025)</f>
        <v>-1.1000000000000001</v>
      </c>
      <c r="O728" s="7">
        <f>PERCENTILE($E$2:$E727,0.165)</f>
        <v>0</v>
      </c>
      <c r="P728" s="7">
        <f>PERCENTILE($E$2:$E727,0.5)</f>
        <v>1</v>
      </c>
      <c r="Q728" s="7">
        <f>PERCENTILE($E$2:$E727,0.835)</f>
        <v>3</v>
      </c>
      <c r="R728" s="7">
        <f>PERCENTILE($E$2:$E727,0.975)</f>
        <v>3</v>
      </c>
    </row>
    <row r="729" spans="1:18" x14ac:dyDescent="0.2">
      <c r="A729" s="5">
        <f>Data!E698</f>
        <v>2012</v>
      </c>
      <c r="B729" s="5">
        <f>Data!M698</f>
        <v>4.3055555555555555E-2</v>
      </c>
      <c r="C729" s="5">
        <f>Data!N698</f>
        <v>6.9444444444444441E-3</v>
      </c>
      <c r="D729" s="5">
        <f ca="1">Data!O698</f>
        <v>40.395908499169046</v>
      </c>
      <c r="E729" s="1">
        <f>Data!AQ698</f>
        <v>3</v>
      </c>
      <c r="F729" t="str">
        <f t="shared" si="11"/>
        <v/>
      </c>
      <c r="G729" s="5">
        <f ca="1">AVERAGE(D$2:D728)</f>
        <v>176.56198740495091</v>
      </c>
      <c r="H729" s="5">
        <f ca="1">PERCENTILE(D$2:D728,0.025)</f>
        <v>-3.3122808469102654</v>
      </c>
      <c r="I729" s="5">
        <f ca="1">PERCENTILE(D$2:D728,0.165)</f>
        <v>6.3100384871371933</v>
      </c>
      <c r="J729" s="5">
        <f ca="1">PERCENTILE(D$2:D728,0.5)</f>
        <v>44.207624993449606</v>
      </c>
      <c r="K729" s="5">
        <f ca="1">PERCENTILE(D$2:D728,0.835)</f>
        <v>226.08879756766751</v>
      </c>
      <c r="L729" s="5">
        <f ca="1">PERCENTILE(D$2:D728,0.975)</f>
        <v>1120.4454525784065</v>
      </c>
      <c r="M729" s="7">
        <f>AVERAGE(E$2:E728)</f>
        <v>1.3358069883527461</v>
      </c>
      <c r="N729" s="7">
        <f>PERCENTILE($E$2:$E728,0.025)</f>
        <v>-1.1000000000000001</v>
      </c>
      <c r="O729" s="7">
        <f>PERCENTILE($E$2:$E728,0.165)</f>
        <v>0</v>
      </c>
      <c r="P729" s="7">
        <f>PERCENTILE($E$2:$E728,0.5)</f>
        <v>1</v>
      </c>
      <c r="Q729" s="7">
        <f>PERCENTILE($E$2:$E728,0.835)</f>
        <v>3</v>
      </c>
      <c r="R729" s="7">
        <f>PERCENTILE($E$2:$E728,0.975)</f>
        <v>3</v>
      </c>
    </row>
    <row r="730" spans="1:18" x14ac:dyDescent="0.2">
      <c r="A730" s="5">
        <f>Data!E699</f>
        <v>2012</v>
      </c>
      <c r="B730" s="5">
        <f>Data!M699</f>
        <v>4.3055555555555555E-2</v>
      </c>
      <c r="C730" s="5">
        <f>Data!N699</f>
        <v>6.9444444444444441E-3</v>
      </c>
      <c r="D730" s="5">
        <f ca="1">Data!O699</f>
        <v>37.288530922309889</v>
      </c>
      <c r="E730" s="1">
        <f>Data!AQ699</f>
        <v>3</v>
      </c>
      <c r="F730" t="str">
        <f t="shared" si="11"/>
        <v/>
      </c>
      <c r="G730" s="5">
        <f ca="1">AVERAGE(D$2:D729)</f>
        <v>176.37494608777263</v>
      </c>
      <c r="H730" s="5">
        <f ca="1">PERCENTILE(D$2:D729,0.025)</f>
        <v>-3.3116511570327902</v>
      </c>
      <c r="I730" s="5">
        <f ca="1">PERCENTILE(D$2:D729,0.165)</f>
        <v>6.3100384871371933</v>
      </c>
      <c r="J730" s="5">
        <f ca="1">PERCENTILE(D$2:D729,0.5)</f>
        <v>44.188947201704977</v>
      </c>
      <c r="K730" s="5">
        <f ca="1">PERCENTILE(D$2:D729,0.835)</f>
        <v>225.93220096690374</v>
      </c>
      <c r="L730" s="5">
        <f ca="1">PERCENTILE(D$2:D729,0.975)</f>
        <v>1119.4781342003505</v>
      </c>
      <c r="M730" s="7">
        <f>AVERAGE(E$2:E729)</f>
        <v>1.3385714285714292</v>
      </c>
      <c r="N730" s="7">
        <f>PERCENTILE($E$2:$E729,0.025)</f>
        <v>-1.1000000000000001</v>
      </c>
      <c r="O730" s="7">
        <f>PERCENTILE($E$2:$E729,0.165)</f>
        <v>0</v>
      </c>
      <c r="P730" s="7">
        <f>PERCENTILE($E$2:$E729,0.5)</f>
        <v>1</v>
      </c>
      <c r="Q730" s="7">
        <f>PERCENTILE($E$2:$E729,0.835)</f>
        <v>3</v>
      </c>
      <c r="R730" s="7">
        <f>PERCENTILE($E$2:$E729,0.975)</f>
        <v>3</v>
      </c>
    </row>
    <row r="731" spans="1:18" x14ac:dyDescent="0.2">
      <c r="A731" s="5">
        <f>Data!E700</f>
        <v>2012</v>
      </c>
      <c r="B731" s="5">
        <f>Data!M700</f>
        <v>4.3055555555555555E-2</v>
      </c>
      <c r="C731" s="5">
        <f>Data!N700</f>
        <v>6.9444444444444441E-3</v>
      </c>
      <c r="D731" s="5">
        <f ca="1">Data!O700</f>
        <v>44.539078601647923</v>
      </c>
      <c r="E731" s="1">
        <f>Data!AQ700</f>
        <v>3</v>
      </c>
      <c r="F731" t="str">
        <f t="shared" si="11"/>
        <v/>
      </c>
      <c r="G731" s="5">
        <f ca="1">AVERAGE(D$2:D730)</f>
        <v>176.18415539481589</v>
      </c>
      <c r="H731" s="5">
        <f ca="1">PERCENTILE(D$2:D730,0.025)</f>
        <v>-3.3110214671553151</v>
      </c>
      <c r="I731" s="5">
        <f ca="1">PERCENTILE(D$2:D730,0.165)</f>
        <v>6.3100384871371933</v>
      </c>
      <c r="J731" s="5">
        <f ca="1">PERCENTILE(D$2:D730,0.5)</f>
        <v>44.170269409960355</v>
      </c>
      <c r="K731" s="5">
        <f ca="1">PERCENTILE(D$2:D730,0.835)</f>
        <v>225.51692739720593</v>
      </c>
      <c r="L731" s="5">
        <f ca="1">PERCENTILE(D$2:D730,0.975)</f>
        <v>1118.510815822299</v>
      </c>
      <c r="M731" s="7">
        <f>AVERAGE(E$2:E730)</f>
        <v>1.3413266998341631</v>
      </c>
      <c r="N731" s="7">
        <f>PERCENTILE($E$2:$E730,0.025)</f>
        <v>-1.1000000000000001</v>
      </c>
      <c r="O731" s="7">
        <f>PERCENTILE($E$2:$E730,0.165)</f>
        <v>0</v>
      </c>
      <c r="P731" s="7">
        <f>PERCENTILE($E$2:$E730,0.5)</f>
        <v>1</v>
      </c>
      <c r="Q731" s="7">
        <f>PERCENTILE($E$2:$E730,0.835)</f>
        <v>3</v>
      </c>
      <c r="R731" s="7">
        <f>PERCENTILE($E$2:$E730,0.975)</f>
        <v>3</v>
      </c>
    </row>
    <row r="732" spans="1:18" x14ac:dyDescent="0.2">
      <c r="A732" s="5">
        <f>Data!E701</f>
        <v>2012</v>
      </c>
      <c r="B732" s="5">
        <f>Data!M701</f>
        <v>4.3055555555555555E-2</v>
      </c>
      <c r="C732" s="5">
        <f>Data!N701</f>
        <v>6.9444444444444441E-3</v>
      </c>
      <c r="D732" s="5">
        <f ca="1">Data!O701</f>
        <v>32.109568294211293</v>
      </c>
      <c r="E732" s="1">
        <f>Data!AQ701</f>
        <v>3</v>
      </c>
      <c r="F732" t="str">
        <f t="shared" si="11"/>
        <v/>
      </c>
      <c r="G732" s="5">
        <f ca="1">AVERAGE(D$2:D731)</f>
        <v>176.0038196731814</v>
      </c>
      <c r="H732" s="5">
        <f ca="1">PERCENTILE(D$2:D731,0.025)</f>
        <v>-3.3103917772778404</v>
      </c>
      <c r="I732" s="5">
        <f ca="1">PERCENTILE(D$2:D731,0.165)</f>
        <v>6.3100384871371933</v>
      </c>
      <c r="J732" s="5">
        <f ca="1">PERCENTILE(D$2:D731,0.5)</f>
        <v>44.188947201704977</v>
      </c>
      <c r="K732" s="5">
        <f ca="1">PERCENTILE(D$2:D731,0.835)</f>
        <v>225.00464996415755</v>
      </c>
      <c r="L732" s="5">
        <f ca="1">PERCENTILE(D$2:D731,0.975)</f>
        <v>1117.5434974442474</v>
      </c>
      <c r="M732" s="7">
        <f>AVERAGE(E$2:E731)</f>
        <v>1.3440728476821198</v>
      </c>
      <c r="N732" s="7">
        <f>PERCENTILE($E$2:$E731,0.025)</f>
        <v>-1.1000000000000001</v>
      </c>
      <c r="O732" s="7">
        <f>PERCENTILE($E$2:$E731,0.165)</f>
        <v>0</v>
      </c>
      <c r="P732" s="7">
        <f>PERCENTILE($E$2:$E731,0.5)</f>
        <v>1</v>
      </c>
      <c r="Q732" s="7">
        <f>PERCENTILE($E$2:$E731,0.835)</f>
        <v>3</v>
      </c>
      <c r="R732" s="7">
        <f>PERCENTILE($E$2:$E731,0.975)</f>
        <v>3</v>
      </c>
    </row>
    <row r="733" spans="1:18" x14ac:dyDescent="0.2">
      <c r="A733" s="5">
        <f>Data!E702</f>
        <v>2012</v>
      </c>
      <c r="B733" s="5">
        <f>Data!M702</f>
        <v>4.3055555555555555E-2</v>
      </c>
      <c r="C733" s="5">
        <f>Data!N702</f>
        <v>6.9444444444444441E-3</v>
      </c>
      <c r="D733" s="5">
        <f ca="1">Data!O702</f>
        <v>42.467493550408477</v>
      </c>
      <c r="E733" s="1">
        <f>Data!AQ702</f>
        <v>0.95</v>
      </c>
      <c r="F733" t="str">
        <f t="shared" si="11"/>
        <v/>
      </c>
      <c r="G733" s="5">
        <f ca="1">AVERAGE(D$2:D732)</f>
        <v>175.80697391206107</v>
      </c>
      <c r="H733" s="5">
        <f ca="1">PERCENTILE(D$2:D732,0.025)</f>
        <v>-3.3097620874003653</v>
      </c>
      <c r="I733" s="5">
        <f ca="1">PERCENTILE(D$2:D732,0.165)</f>
        <v>6.3100384871371933</v>
      </c>
      <c r="J733" s="5">
        <f ca="1">PERCENTILE(D$2:D732,0.5)</f>
        <v>44.170269409960355</v>
      </c>
      <c r="K733" s="5">
        <f ca="1">PERCENTILE(D$2:D732,0.835)</f>
        <v>224.49237253110954</v>
      </c>
      <c r="L733" s="5">
        <f ca="1">PERCENTILE(D$2:D732,0.975)</f>
        <v>1116.5761790661959</v>
      </c>
      <c r="M733" s="7">
        <f>AVERAGE(E$2:E732)</f>
        <v>1.3468099173553725</v>
      </c>
      <c r="N733" s="7">
        <f>PERCENTILE($E$2:$E732,0.025)</f>
        <v>-1.1000000000000001</v>
      </c>
      <c r="O733" s="7">
        <f>PERCENTILE($E$2:$E732,0.165)</f>
        <v>0</v>
      </c>
      <c r="P733" s="7">
        <f>PERCENTILE($E$2:$E732,0.5)</f>
        <v>1</v>
      </c>
      <c r="Q733" s="7">
        <f>PERCENTILE($E$2:$E732,0.835)</f>
        <v>3</v>
      </c>
      <c r="R733" s="7">
        <f>PERCENTILE($E$2:$E732,0.975)</f>
        <v>3</v>
      </c>
    </row>
    <row r="734" spans="1:18" x14ac:dyDescent="0.2">
      <c r="A734" s="5">
        <f>Data!E703</f>
        <v>2012</v>
      </c>
      <c r="B734" s="5">
        <f>Data!M703</f>
        <v>4.3055555555555555E-2</v>
      </c>
      <c r="C734" s="5">
        <f>Data!N703</f>
        <v>6.9444444444444441E-3</v>
      </c>
      <c r="D734" s="5">
        <f ca="1">Data!O703</f>
        <v>43.503286076028203</v>
      </c>
      <c r="E734" s="1">
        <f>Data!AQ703</f>
        <v>0.95</v>
      </c>
      <c r="F734" t="str">
        <f t="shared" si="11"/>
        <v/>
      </c>
      <c r="G734" s="5">
        <f ca="1">AVERAGE(D$2:D733)</f>
        <v>175.62481615200417</v>
      </c>
      <c r="H734" s="5">
        <f ca="1">PERCENTILE(D$2:D733,0.025)</f>
        <v>-3.3091323975228901</v>
      </c>
      <c r="I734" s="5">
        <f ca="1">PERCENTILE(D$2:D733,0.165)</f>
        <v>6.3100384871371933</v>
      </c>
      <c r="J734" s="5">
        <f ca="1">PERCENTILE(D$2:D733,0.5)</f>
        <v>44.155636291323475</v>
      </c>
      <c r="K734" s="5">
        <f ca="1">PERCENTILE(D$2:D733,0.835)</f>
        <v>223.98009509806155</v>
      </c>
      <c r="L734" s="5">
        <f ca="1">PERCENTILE(D$2:D733,0.975)</f>
        <v>1115.6088606881442</v>
      </c>
      <c r="M734" s="7">
        <f>AVERAGE(E$2:E733)</f>
        <v>1.3461551155115519</v>
      </c>
      <c r="N734" s="7">
        <f>PERCENTILE($E$2:$E733,0.025)</f>
        <v>-1.1000000000000001</v>
      </c>
      <c r="O734" s="7">
        <f>PERCENTILE($E$2:$E733,0.165)</f>
        <v>0</v>
      </c>
      <c r="P734" s="7">
        <f>PERCENTILE($E$2:$E733,0.5)</f>
        <v>1</v>
      </c>
      <c r="Q734" s="7">
        <f>PERCENTILE($E$2:$E733,0.835)</f>
        <v>3</v>
      </c>
      <c r="R734" s="7">
        <f>PERCENTILE($E$2:$E733,0.975)</f>
        <v>3</v>
      </c>
    </row>
    <row r="735" spans="1:18" x14ac:dyDescent="0.2">
      <c r="A735" s="5">
        <f>Data!E704</f>
        <v>2012</v>
      </c>
      <c r="B735" s="5">
        <f>Data!M704</f>
        <v>4.3055555555555555E-2</v>
      </c>
      <c r="C735" s="5">
        <f>Data!N704</f>
        <v>6.9444444444444441E-3</v>
      </c>
      <c r="D735" s="5">
        <f ca="1">Data!O704</f>
        <v>39.360115973549327</v>
      </c>
      <c r="E735" s="1">
        <f>Data!AQ704</f>
        <v>0.95</v>
      </c>
      <c r="F735" t="str">
        <f t="shared" si="11"/>
        <v/>
      </c>
      <c r="G735" s="5">
        <f ca="1">AVERAGE(D$2:D734)</f>
        <v>175.44456849842166</v>
      </c>
      <c r="H735" s="5">
        <f ca="1">PERCENTILE(D$2:D734,0.025)</f>
        <v>-3.3085027076454154</v>
      </c>
      <c r="I735" s="5">
        <f ca="1">PERCENTILE(D$2:D734,0.165)</f>
        <v>6.3100384871371933</v>
      </c>
      <c r="J735" s="5">
        <f ca="1">PERCENTILE(D$2:D734,0.5)</f>
        <v>44.141003172686588</v>
      </c>
      <c r="K735" s="5">
        <f ca="1">PERCENTILE(D$2:D734,0.835)</f>
        <v>223.46781766501354</v>
      </c>
      <c r="L735" s="5">
        <f ca="1">PERCENTILE(D$2:D734,0.975)</f>
        <v>1114.6415423100882</v>
      </c>
      <c r="M735" s="7">
        <f>AVERAGE(E$2:E734)</f>
        <v>1.3455024711696877</v>
      </c>
      <c r="N735" s="7">
        <f>PERCENTILE($E$2:$E734,0.025)</f>
        <v>-1.1000000000000001</v>
      </c>
      <c r="O735" s="7">
        <f>PERCENTILE($E$2:$E734,0.165)</f>
        <v>0</v>
      </c>
      <c r="P735" s="7">
        <f>PERCENTILE($E$2:$E734,0.5)</f>
        <v>1</v>
      </c>
      <c r="Q735" s="7">
        <f>PERCENTILE($E$2:$E734,0.835)</f>
        <v>3</v>
      </c>
      <c r="R735" s="7">
        <f>PERCENTILE($E$2:$E734,0.975)</f>
        <v>3</v>
      </c>
    </row>
    <row r="736" spans="1:18" x14ac:dyDescent="0.2">
      <c r="A736" s="5">
        <f>Data!E705</f>
        <v>2012</v>
      </c>
      <c r="B736" s="5">
        <f>Data!M705</f>
        <v>4.3055555555555555E-2</v>
      </c>
      <c r="C736" s="5">
        <f>Data!N705</f>
        <v>6.9444444444444441E-3</v>
      </c>
      <c r="D736" s="5">
        <f ca="1">Data!O705</f>
        <v>74.577061844619777</v>
      </c>
      <c r="E736" s="1">
        <f>Data!AQ705</f>
        <v>0.95</v>
      </c>
      <c r="F736" t="str">
        <f t="shared" si="11"/>
        <v/>
      </c>
      <c r="G736" s="5">
        <f ca="1">AVERAGE(D$2:D735)</f>
        <v>175.25916733694365</v>
      </c>
      <c r="H736" s="5">
        <f ca="1">PERCENTILE(D$2:D735,0.025)</f>
        <v>-3.3078730177679403</v>
      </c>
      <c r="I736" s="5">
        <f ca="1">PERCENTILE(D$2:D735,0.165)</f>
        <v>6.3100384871371933</v>
      </c>
      <c r="J736" s="5">
        <f ca="1">PERCENTILE(D$2:D735,0.5)</f>
        <v>44.135324189688831</v>
      </c>
      <c r="K736" s="5">
        <f ca="1">PERCENTILE(D$2:D735,0.835)</f>
        <v>222.95554023196516</v>
      </c>
      <c r="L736" s="5">
        <f ca="1">PERCENTILE(D$2:D735,0.975)</f>
        <v>1113.6742239320367</v>
      </c>
      <c r="M736" s="7">
        <f>AVERAGE(E$2:E735)</f>
        <v>1.3448519736842115</v>
      </c>
      <c r="N736" s="7">
        <f>PERCENTILE($E$2:$E735,0.025)</f>
        <v>-1.1000000000000001</v>
      </c>
      <c r="O736" s="7">
        <f>PERCENTILE($E$2:$E735,0.165)</f>
        <v>0</v>
      </c>
      <c r="P736" s="7">
        <f>PERCENTILE($E$2:$E735,0.5)</f>
        <v>1</v>
      </c>
      <c r="Q736" s="7">
        <f>PERCENTILE($E$2:$E735,0.835)</f>
        <v>3</v>
      </c>
      <c r="R736" s="7">
        <f>PERCENTILE($E$2:$E735,0.975)</f>
        <v>3</v>
      </c>
    </row>
    <row r="737" spans="1:18" x14ac:dyDescent="0.2">
      <c r="A737" s="5">
        <f>Data!E706</f>
        <v>2012</v>
      </c>
      <c r="B737" s="5">
        <f>Data!M706</f>
        <v>4.3055555555555555E-2</v>
      </c>
      <c r="C737" s="5">
        <f>Data!N706</f>
        <v>6.9444444444444441E-3</v>
      </c>
      <c r="D737" s="5">
        <f ca="1">Data!O706</f>
        <v>41.431701024788765</v>
      </c>
      <c r="E737" s="1">
        <f>Data!AQ706</f>
        <v>0.95</v>
      </c>
      <c r="F737" t="str">
        <f t="shared" si="11"/>
        <v/>
      </c>
      <c r="G737" s="5">
        <f ca="1">AVERAGE(D$2:D736)</f>
        <v>175.12218488049152</v>
      </c>
      <c r="H737" s="5">
        <f ca="1">PERCENTILE(D$2:D736,0.025)</f>
        <v>-3.3072433278904652</v>
      </c>
      <c r="I737" s="5">
        <f ca="1">PERCENTILE(D$2:D736,0.165)</f>
        <v>6.33441370055671</v>
      </c>
      <c r="J737" s="5">
        <f ca="1">PERCENTILE(D$2:D736,0.5)</f>
        <v>44.141003172686588</v>
      </c>
      <c r="K737" s="5">
        <f ca="1">PERCENTILE(D$2:D736,0.835)</f>
        <v>222.56039143095347</v>
      </c>
      <c r="L737" s="5">
        <f ca="1">PERCENTILE(D$2:D736,0.975)</f>
        <v>1112.7069055539851</v>
      </c>
      <c r="M737" s="7">
        <f>AVERAGE(E$2:E736)</f>
        <v>1.3442036124794754</v>
      </c>
      <c r="N737" s="7">
        <f>PERCENTILE($E$2:$E736,0.025)</f>
        <v>-1.1000000000000001</v>
      </c>
      <c r="O737" s="7">
        <f>PERCENTILE($E$2:$E736,0.165)</f>
        <v>0</v>
      </c>
      <c r="P737" s="7">
        <f>PERCENTILE($E$2:$E736,0.5)</f>
        <v>1</v>
      </c>
      <c r="Q737" s="7">
        <f>PERCENTILE($E$2:$E736,0.835)</f>
        <v>3</v>
      </c>
      <c r="R737" s="7">
        <f>PERCENTILE($E$2:$E736,0.975)</f>
        <v>3</v>
      </c>
    </row>
    <row r="738" spans="1:18" x14ac:dyDescent="0.2">
      <c r="A738" s="5">
        <f>Data!E707</f>
        <v>2012</v>
      </c>
      <c r="B738" s="5">
        <f>Data!M707</f>
        <v>4.3055555555555555E-2</v>
      </c>
      <c r="C738" s="5">
        <f>Data!N707</f>
        <v>6.9444444444444441E-3</v>
      </c>
      <c r="D738" s="5">
        <f ca="1">Data!O707</f>
        <v>110.82980024130995</v>
      </c>
      <c r="E738" s="1">
        <f>Data!AQ707</f>
        <v>0.95</v>
      </c>
      <c r="F738" t="str">
        <f t="shared" si="11"/>
        <v/>
      </c>
      <c r="G738" s="5">
        <f ca="1">AVERAGE(D$2:D737)</f>
        <v>174.94054020133973</v>
      </c>
      <c r="H738" s="5">
        <f ca="1">PERCENTILE(D$2:D737,0.025)</f>
        <v>-3.3066136380129905</v>
      </c>
      <c r="I738" s="5">
        <f ca="1">PERCENTILE(D$2:D737,0.165)</f>
        <v>6.3709765206859865</v>
      </c>
      <c r="J738" s="5">
        <f ca="1">PERCENTILE(D$2:D737,0.5)</f>
        <v>44.135324189688831</v>
      </c>
      <c r="K738" s="5">
        <f ca="1">PERCENTILE(D$2:D737,0.835)</f>
        <v>222.22380694595984</v>
      </c>
      <c r="L738" s="5">
        <f ca="1">PERCENTILE(D$2:D737,0.975)</f>
        <v>1111.7395871759336</v>
      </c>
      <c r="M738" s="7">
        <f>AVERAGE(E$2:E737)</f>
        <v>1.3435573770491813</v>
      </c>
      <c r="N738" s="7">
        <f>PERCENTILE($E$2:$E737,0.025)</f>
        <v>-1.1000000000000001</v>
      </c>
      <c r="O738" s="7">
        <f>PERCENTILE($E$2:$E737,0.165)</f>
        <v>0</v>
      </c>
      <c r="P738" s="7">
        <f>PERCENTILE($E$2:$E737,0.5)</f>
        <v>1</v>
      </c>
      <c r="Q738" s="7">
        <f>PERCENTILE($E$2:$E737,0.835)</f>
        <v>3</v>
      </c>
      <c r="R738" s="7">
        <f>PERCENTILE($E$2:$E737,0.975)</f>
        <v>3</v>
      </c>
    </row>
    <row r="739" spans="1:18" x14ac:dyDescent="0.2">
      <c r="A739" s="5">
        <f>Data!E708</f>
        <v>2012</v>
      </c>
      <c r="B739" s="5">
        <f>Data!M708</f>
        <v>4.3055555555555555E-2</v>
      </c>
      <c r="C739" s="5">
        <f>Data!N708</f>
        <v>6.9444444444444441E-3</v>
      </c>
      <c r="D739" s="5">
        <f ca="1">Data!O708</f>
        <v>31.07377576859157</v>
      </c>
      <c r="E739" s="1">
        <f>Data!AQ708</f>
        <v>0.95</v>
      </c>
      <c r="F739" t="str">
        <f t="shared" si="11"/>
        <v/>
      </c>
      <c r="G739" s="5">
        <f ca="1">AVERAGE(D$2:D738)</f>
        <v>174.85355140899233</v>
      </c>
      <c r="H739" s="5">
        <f ca="1">PERCENTILE(D$2:D738,0.025)</f>
        <v>-3.3059839481355153</v>
      </c>
      <c r="I739" s="5">
        <f ca="1">PERCENTILE(D$2:D738,0.165)</f>
        <v>6.4075393408152639</v>
      </c>
      <c r="J739" s="5">
        <f ca="1">PERCENTILE(D$2:D738,0.5)</f>
        <v>44.141003172686588</v>
      </c>
      <c r="K739" s="5">
        <f ca="1">PERCENTILE(D$2:D738,0.835)</f>
        <v>221.887222460966</v>
      </c>
      <c r="L739" s="5">
        <f ca="1">PERCENTILE(D$2:D738,0.975)</f>
        <v>1110.7722687978819</v>
      </c>
      <c r="M739" s="7">
        <f>AVERAGE(E$2:E738)</f>
        <v>1.3429132569558113</v>
      </c>
      <c r="N739" s="7">
        <f>PERCENTILE($E$2:$E738,0.025)</f>
        <v>-1.1000000000000001</v>
      </c>
      <c r="O739" s="7">
        <f>PERCENTILE($E$2:$E738,0.165)</f>
        <v>0</v>
      </c>
      <c r="P739" s="7">
        <f>PERCENTILE($E$2:$E738,0.5)</f>
        <v>1</v>
      </c>
      <c r="Q739" s="7">
        <f>PERCENTILE($E$2:$E738,0.835)</f>
        <v>3</v>
      </c>
      <c r="R739" s="7">
        <f>PERCENTILE($E$2:$E738,0.975)</f>
        <v>3</v>
      </c>
    </row>
    <row r="740" spans="1:18" x14ac:dyDescent="0.2">
      <c r="A740" s="5">
        <f>Data!E709</f>
        <v>2012</v>
      </c>
      <c r="B740" s="5">
        <f>Data!M709</f>
        <v>4.3055555555555555E-2</v>
      </c>
      <c r="C740" s="5">
        <f>Data!N709</f>
        <v>6.9444444444444441E-3</v>
      </c>
      <c r="D740" s="5">
        <f ca="1">Data!O709</f>
        <v>43.503286076028203</v>
      </c>
      <c r="E740" s="1">
        <f>Data!AQ709</f>
        <v>0.95</v>
      </c>
      <c r="F740" t="str">
        <f t="shared" si="11"/>
        <v/>
      </c>
      <c r="G740" s="5">
        <f ca="1">AVERAGE(D$2:D739)</f>
        <v>174.65872786476416</v>
      </c>
      <c r="H740" s="5">
        <f ca="1">PERCENTILE(D$2:D739,0.025)</f>
        <v>-3.3053542582580402</v>
      </c>
      <c r="I740" s="5">
        <f ca="1">PERCENTILE(D$2:D739,0.165)</f>
        <v>6.4441021609445377</v>
      </c>
      <c r="J740" s="5">
        <f ca="1">PERCENTILE(D$2:D739,0.5)</f>
        <v>44.135324189688831</v>
      </c>
      <c r="K740" s="5">
        <f ca="1">PERCENTILE(D$2:D739,0.835)</f>
        <v>221.55063797597236</v>
      </c>
      <c r="L740" s="5">
        <f ca="1">PERCENTILE(D$2:D739,0.975)</f>
        <v>1109.8049504198259</v>
      </c>
      <c r="M740" s="7">
        <f>AVERAGE(E$2:E739)</f>
        <v>1.3422712418300664</v>
      </c>
      <c r="N740" s="7">
        <f>PERCENTILE($E$2:$E739,0.025)</f>
        <v>-1.1000000000000001</v>
      </c>
      <c r="O740" s="7">
        <f>PERCENTILE($E$2:$E739,0.165)</f>
        <v>0</v>
      </c>
      <c r="P740" s="7">
        <f>PERCENTILE($E$2:$E739,0.5)</f>
        <v>1</v>
      </c>
      <c r="Q740" s="7">
        <f>PERCENTILE($E$2:$E739,0.835)</f>
        <v>3</v>
      </c>
      <c r="R740" s="7">
        <f>PERCENTILE($E$2:$E739,0.975)</f>
        <v>3</v>
      </c>
    </row>
    <row r="741" spans="1:18" x14ac:dyDescent="0.2">
      <c r="A741" s="5">
        <f>Data!E710</f>
        <v>2012</v>
      </c>
      <c r="B741" s="5">
        <f>Data!M710</f>
        <v>4.3055555555555555E-2</v>
      </c>
      <c r="C741" s="5">
        <f>Data!N710</f>
        <v>6.9444444444444441E-3</v>
      </c>
      <c r="D741" s="5">
        <f ca="1">Data!O710</f>
        <v>55.932796383464826</v>
      </c>
      <c r="E741" s="1">
        <f>Data!AQ710</f>
        <v>0.95</v>
      </c>
      <c r="F741" t="str">
        <f t="shared" si="11"/>
        <v/>
      </c>
      <c r="G741" s="5">
        <f ca="1">AVERAGE(D$2:D740)</f>
        <v>174.48125094759399</v>
      </c>
      <c r="H741" s="5">
        <f ca="1">PERCENTILE(D$2:D740,0.025)</f>
        <v>-3.3047245683805651</v>
      </c>
      <c r="I741" s="5">
        <f ca="1">PERCENTILE(D$2:D740,0.165)</f>
        <v>6.4806649810738142</v>
      </c>
      <c r="J741" s="5">
        <f ca="1">PERCENTILE(D$2:D740,0.5)</f>
        <v>44.129645206691066</v>
      </c>
      <c r="K741" s="5">
        <f ca="1">PERCENTILE(D$2:D740,0.835)</f>
        <v>221.21405349097876</v>
      </c>
      <c r="L741" s="5">
        <f ca="1">PERCENTILE(D$2:D740,0.975)</f>
        <v>1108.8376320417744</v>
      </c>
      <c r="M741" s="7">
        <f>AVERAGE(E$2:E740)</f>
        <v>1.3416313213703113</v>
      </c>
      <c r="N741" s="7">
        <f>PERCENTILE($E$2:$E740,0.025)</f>
        <v>-1.1000000000000001</v>
      </c>
      <c r="O741" s="7">
        <f>PERCENTILE($E$2:$E740,0.165)</f>
        <v>0</v>
      </c>
      <c r="P741" s="7">
        <f>PERCENTILE($E$2:$E740,0.5)</f>
        <v>1</v>
      </c>
      <c r="Q741" s="7">
        <f>PERCENTILE($E$2:$E740,0.835)</f>
        <v>3</v>
      </c>
      <c r="R741" s="7">
        <f>PERCENTILE($E$2:$E740,0.975)</f>
        <v>3</v>
      </c>
    </row>
    <row r="742" spans="1:18" x14ac:dyDescent="0.2">
      <c r="A742" s="5">
        <f>Data!E711</f>
        <v>2012</v>
      </c>
      <c r="B742" s="5">
        <f>Data!M711</f>
        <v>4.3055555555555555E-2</v>
      </c>
      <c r="C742" s="5">
        <f>Data!N711</f>
        <v>6.9444444444444441E-3</v>
      </c>
      <c r="D742" s="5">
        <f ca="1">Data!O711</f>
        <v>65.254929114042298</v>
      </c>
      <c r="E742" s="1">
        <f>Data!AQ711</f>
        <v>0.95</v>
      </c>
      <c r="F742" t="str">
        <f t="shared" si="11"/>
        <v/>
      </c>
      <c r="G742" s="5">
        <f ca="1">AVERAGE(D$2:D741)</f>
        <v>174.32105033331814</v>
      </c>
      <c r="H742" s="5">
        <f ca="1">PERCENTILE(D$2:D741,0.025)</f>
        <v>-3.3040948785030904</v>
      </c>
      <c r="I742" s="5">
        <f ca="1">PERCENTILE(D$2:D741,0.165)</f>
        <v>6.517227801203088</v>
      </c>
      <c r="J742" s="5">
        <f ca="1">PERCENTILE(D$2:D741,0.5)</f>
        <v>44.135324189688831</v>
      </c>
      <c r="K742" s="5">
        <f ca="1">PERCENTILE(D$2:D741,0.835)</f>
        <v>220.87746900598489</v>
      </c>
      <c r="L742" s="5">
        <f ca="1">PERCENTILE(D$2:D741,0.975)</f>
        <v>1107.8703136637228</v>
      </c>
      <c r="M742" s="7">
        <f>AVERAGE(E$2:E741)</f>
        <v>1.3409934853420209</v>
      </c>
      <c r="N742" s="7">
        <f>PERCENTILE($E$2:$E741,0.025)</f>
        <v>-1.1000000000000001</v>
      </c>
      <c r="O742" s="7">
        <f>PERCENTILE($E$2:$E741,0.165)</f>
        <v>0</v>
      </c>
      <c r="P742" s="7">
        <f>PERCENTILE($E$2:$E741,0.5)</f>
        <v>1</v>
      </c>
      <c r="Q742" s="7">
        <f>PERCENTILE($E$2:$E741,0.835)</f>
        <v>3</v>
      </c>
      <c r="R742" s="7">
        <f>PERCENTILE($E$2:$E741,0.975)</f>
        <v>3</v>
      </c>
    </row>
    <row r="743" spans="1:18" x14ac:dyDescent="0.2">
      <c r="A743" s="5">
        <f>Data!E712</f>
        <v>2012</v>
      </c>
      <c r="B743" s="5">
        <f>Data!M712</f>
        <v>4.3055555555555555E-2</v>
      </c>
      <c r="C743" s="5">
        <f>Data!N712</f>
        <v>6.9444444444444441E-3</v>
      </c>
      <c r="D743" s="5">
        <f ca="1">Data!O712</f>
        <v>43.503286076028203</v>
      </c>
      <c r="E743" s="1">
        <f>Data!AQ712</f>
        <v>0.95</v>
      </c>
      <c r="F743" t="str">
        <f t="shared" si="11"/>
        <v/>
      </c>
      <c r="G743" s="5">
        <f ca="1">AVERAGE(D$2:D742)</f>
        <v>174.17386258538392</v>
      </c>
      <c r="H743" s="5">
        <f ca="1">PERCENTILE(D$2:D742,0.025)</f>
        <v>-3.3034651886256152</v>
      </c>
      <c r="I743" s="5">
        <f ca="1">PERCENTILE(D$2:D742,0.165)</f>
        <v>6.5437965492216703</v>
      </c>
      <c r="J743" s="5">
        <f ca="1">PERCENTILE(D$2:D742,0.5)</f>
        <v>44.141003172686588</v>
      </c>
      <c r="K743" s="5">
        <f ca="1">PERCENTILE(D$2:D742,0.835)</f>
        <v>220.52930889507346</v>
      </c>
      <c r="L743" s="5">
        <f ca="1">PERCENTILE(D$2:D742,0.975)</f>
        <v>1106.9029952856713</v>
      </c>
      <c r="M743" s="7">
        <f>AVERAGE(E$2:E742)</f>
        <v>1.340357723577237</v>
      </c>
      <c r="N743" s="7">
        <f>PERCENTILE($E$2:$E742,0.025)</f>
        <v>-1.1000000000000001</v>
      </c>
      <c r="O743" s="7">
        <f>PERCENTILE($E$2:$E742,0.165)</f>
        <v>0</v>
      </c>
      <c r="P743" s="7">
        <f>PERCENTILE($E$2:$E742,0.5)</f>
        <v>1</v>
      </c>
      <c r="Q743" s="7">
        <f>PERCENTILE($E$2:$E742,0.835)</f>
        <v>3</v>
      </c>
      <c r="R743" s="7">
        <f>PERCENTILE($E$2:$E742,0.975)</f>
        <v>3</v>
      </c>
    </row>
    <row r="744" spans="1:18" x14ac:dyDescent="0.2">
      <c r="A744" s="5">
        <f>Data!E713</f>
        <v>2012</v>
      </c>
      <c r="B744" s="5">
        <f>Data!M713</f>
        <v>4.3055555555555555E-2</v>
      </c>
      <c r="C744" s="5">
        <f>Data!N713</f>
        <v>6.9444444444444441E-3</v>
      </c>
      <c r="D744" s="5">
        <f ca="1">Data!O713</f>
        <v>39.360115973549327</v>
      </c>
      <c r="E744" s="1">
        <f>Data!AQ713</f>
        <v>0.95</v>
      </c>
      <c r="F744" t="str">
        <f t="shared" si="11"/>
        <v/>
      </c>
      <c r="G744" s="5">
        <f ca="1">AVERAGE(D$2:D743)</f>
        <v>173.99775668712331</v>
      </c>
      <c r="H744" s="5">
        <f ca="1">PERCENTILE(D$2:D743,0.025)</f>
        <v>-3.3028354987481401</v>
      </c>
      <c r="I744" s="5">
        <f ca="1">PERCENTILE(D$2:D743,0.165)</f>
        <v>6.5638691503683004</v>
      </c>
      <c r="J744" s="5">
        <f ca="1">PERCENTILE(D$2:D743,0.5)</f>
        <v>44.135324189688831</v>
      </c>
      <c r="K744" s="5">
        <f ca="1">PERCENTILE(D$2:D743,0.835)</f>
        <v>220.17362462731541</v>
      </c>
      <c r="L744" s="5">
        <f ca="1">PERCENTILE(D$2:D743,0.975)</f>
        <v>1105.9356769076196</v>
      </c>
      <c r="M744" s="7">
        <f>AVERAGE(E$2:E743)</f>
        <v>1.3397240259740275</v>
      </c>
      <c r="N744" s="7">
        <f>PERCENTILE($E$2:$E743,0.025)</f>
        <v>-1.1000000000000001</v>
      </c>
      <c r="O744" s="7">
        <f>PERCENTILE($E$2:$E743,0.165)</f>
        <v>0</v>
      </c>
      <c r="P744" s="7">
        <f>PERCENTILE($E$2:$E743,0.5)</f>
        <v>1</v>
      </c>
      <c r="Q744" s="7">
        <f>PERCENTILE($E$2:$E743,0.835)</f>
        <v>3</v>
      </c>
      <c r="R744" s="7">
        <f>PERCENTILE($E$2:$E743,0.975)</f>
        <v>3</v>
      </c>
    </row>
    <row r="745" spans="1:18" x14ac:dyDescent="0.2">
      <c r="A745" s="5">
        <f>Data!E714</f>
        <v>2012</v>
      </c>
      <c r="B745" s="5">
        <f>Data!M714</f>
        <v>4.3055555555555555E-2</v>
      </c>
      <c r="C745" s="5">
        <f>Data!N714</f>
        <v>6.9444444444444441E-3</v>
      </c>
      <c r="D745" s="5">
        <f ca="1">Data!O714</f>
        <v>70.433891742140901</v>
      </c>
      <c r="E745" s="1">
        <f>Data!AQ714</f>
        <v>0.95</v>
      </c>
      <c r="F745" t="str">
        <f t="shared" si="11"/>
        <v/>
      </c>
      <c r="G745" s="5">
        <f ca="1">AVERAGE(D$2:D744)</f>
        <v>173.816548556957</v>
      </c>
      <c r="H745" s="5">
        <f ca="1">PERCENTILE(D$2:D744,0.025)</f>
        <v>-3.3022058088706654</v>
      </c>
      <c r="I745" s="5">
        <f ca="1">PERCENTILE(D$2:D744,0.165)</f>
        <v>6.5839417515149323</v>
      </c>
      <c r="J745" s="5">
        <f ca="1">PERCENTILE(D$2:D744,0.5)</f>
        <v>44.129645206691066</v>
      </c>
      <c r="K745" s="5">
        <f ca="1">PERCENTILE(D$2:D744,0.835)</f>
        <v>219.81794035955713</v>
      </c>
      <c r="L745" s="5">
        <f ca="1">PERCENTILE(D$2:D744,0.975)</f>
        <v>1104.9683585295636</v>
      </c>
      <c r="M745" s="7">
        <f>AVERAGE(E$2:E744)</f>
        <v>1.3390923824959498</v>
      </c>
      <c r="N745" s="7">
        <f>PERCENTILE($E$2:$E744,0.025)</f>
        <v>-1.1000000000000001</v>
      </c>
      <c r="O745" s="7">
        <f>PERCENTILE($E$2:$E744,0.165)</f>
        <v>0</v>
      </c>
      <c r="P745" s="7">
        <f>PERCENTILE($E$2:$E744,0.5)</f>
        <v>1</v>
      </c>
      <c r="Q745" s="7">
        <f>PERCENTILE($E$2:$E744,0.835)</f>
        <v>3</v>
      </c>
      <c r="R745" s="7">
        <f>PERCENTILE($E$2:$E744,0.975)</f>
        <v>3</v>
      </c>
    </row>
    <row r="746" spans="1:18" x14ac:dyDescent="0.2">
      <c r="A746" s="5">
        <f>Data!E715</f>
        <v>2012</v>
      </c>
      <c r="B746" s="5">
        <f>Data!M715</f>
        <v>4.3055555555555555E-2</v>
      </c>
      <c r="C746" s="5">
        <f>Data!N715</f>
        <v>6.9444444444444441E-3</v>
      </c>
      <c r="D746" s="5">
        <f ca="1">Data!O715</f>
        <v>42.467493550408477</v>
      </c>
      <c r="E746" s="1">
        <f>Data!AQ715</f>
        <v>0.95</v>
      </c>
      <c r="F746" t="str">
        <f t="shared" si="11"/>
        <v/>
      </c>
      <c r="G746" s="5">
        <f ca="1">AVERAGE(D$2:D745)</f>
        <v>173.67759337306614</v>
      </c>
      <c r="H746" s="5">
        <f ca="1">PERCENTILE(D$2:D745,0.025)</f>
        <v>-3.3015761189931903</v>
      </c>
      <c r="I746" s="5">
        <f ca="1">PERCENTILE(D$2:D745,0.165)</f>
        <v>6.6040143526615624</v>
      </c>
      <c r="J746" s="5">
        <f ca="1">PERCENTILE(D$2:D745,0.5)</f>
        <v>44.135324189688831</v>
      </c>
      <c r="K746" s="5">
        <f ca="1">PERCENTILE(D$2:D745,0.835)</f>
        <v>219.46225609179911</v>
      </c>
      <c r="L746" s="5">
        <f ca="1">PERCENTILE(D$2:D745,0.975)</f>
        <v>1104.0010401515119</v>
      </c>
      <c r="M746" s="7">
        <f>AVERAGE(E$2:E745)</f>
        <v>1.3384627831715226</v>
      </c>
      <c r="N746" s="7">
        <f>PERCENTILE($E$2:$E745,0.025)</f>
        <v>-1.1000000000000001</v>
      </c>
      <c r="O746" s="7">
        <f>PERCENTILE($E$2:$E745,0.165)</f>
        <v>0</v>
      </c>
      <c r="P746" s="7">
        <f>PERCENTILE($E$2:$E745,0.5)</f>
        <v>1</v>
      </c>
      <c r="Q746" s="7">
        <f>PERCENTILE($E$2:$E745,0.835)</f>
        <v>3</v>
      </c>
      <c r="R746" s="7">
        <f>PERCENTILE($E$2:$E745,0.975)</f>
        <v>3</v>
      </c>
    </row>
    <row r="747" spans="1:18" x14ac:dyDescent="0.2">
      <c r="A747" s="5">
        <f>Data!E716</f>
        <v>2012</v>
      </c>
      <c r="B747" s="5">
        <f>Data!M716</f>
        <v>4.3055555555555555E-2</v>
      </c>
      <c r="C747" s="5">
        <f>Data!N716</f>
        <v>6.9444444444444441E-3</v>
      </c>
      <c r="D747" s="5">
        <f ca="1">Data!O716</f>
        <v>63.183344062802867</v>
      </c>
      <c r="E747" s="1">
        <f>Data!AQ716</f>
        <v>0.95</v>
      </c>
      <c r="F747" t="str">
        <f t="shared" si="11"/>
        <v/>
      </c>
      <c r="G747" s="5">
        <f ca="1">AVERAGE(D$2:D746)</f>
        <v>173.50147243370688</v>
      </c>
      <c r="H747" s="5">
        <f ca="1">PERCENTILE(D$2:D746,0.025)</f>
        <v>-3.3009464291157151</v>
      </c>
      <c r="I747" s="5">
        <f ca="1">PERCENTILE(D$2:D746,0.165)</f>
        <v>6.6240869538081943</v>
      </c>
      <c r="J747" s="5">
        <f ca="1">PERCENTILE(D$2:D746,0.5)</f>
        <v>44.129645206691066</v>
      </c>
      <c r="K747" s="5">
        <f ca="1">PERCENTILE(D$2:D746,0.835)</f>
        <v>219.10657182404105</v>
      </c>
      <c r="L747" s="5">
        <f ca="1">PERCENTILE(D$2:D746,0.975)</f>
        <v>1103.0337217734605</v>
      </c>
      <c r="M747" s="7">
        <f>AVERAGE(E$2:E746)</f>
        <v>1.3378352180937012</v>
      </c>
      <c r="N747" s="7">
        <f>PERCENTILE($E$2:$E746,0.025)</f>
        <v>-1.1000000000000001</v>
      </c>
      <c r="O747" s="7">
        <f>PERCENTILE($E$2:$E746,0.165)</f>
        <v>0</v>
      </c>
      <c r="P747" s="7">
        <f>PERCENTILE($E$2:$E746,0.5)</f>
        <v>1</v>
      </c>
      <c r="Q747" s="7">
        <f>PERCENTILE($E$2:$E746,0.835)</f>
        <v>3</v>
      </c>
      <c r="R747" s="7">
        <f>PERCENTILE($E$2:$E746,0.975)</f>
        <v>3</v>
      </c>
    </row>
    <row r="748" spans="1:18" x14ac:dyDescent="0.2">
      <c r="A748" s="5">
        <f>Data!E717</f>
        <v>2012</v>
      </c>
      <c r="B748" s="5">
        <f>Data!M717</f>
        <v>4.3055555555555555E-2</v>
      </c>
      <c r="C748" s="5">
        <f>Data!N717</f>
        <v>6.9444444444444441E-3</v>
      </c>
      <c r="D748" s="5">
        <f ca="1">Data!O717</f>
        <v>56.968588909084552</v>
      </c>
      <c r="E748" s="1">
        <f>Data!AQ717</f>
        <v>0.95</v>
      </c>
      <c r="F748" t="str">
        <f t="shared" si="11"/>
        <v/>
      </c>
      <c r="G748" s="5">
        <f ca="1">AVERAGE(D$2:D747)</f>
        <v>173.35359290505954</v>
      </c>
      <c r="H748" s="5">
        <f ca="1">PERCENTILE(D$2:D747,0.025)</f>
        <v>-3.30031673923824</v>
      </c>
      <c r="I748" s="5">
        <f ca="1">PERCENTILE(D$2:D747,0.165)</f>
        <v>6.6441595549548262</v>
      </c>
      <c r="J748" s="5">
        <f ca="1">PERCENTILE(D$2:D747,0.5)</f>
        <v>44.135324189688831</v>
      </c>
      <c r="K748" s="5">
        <f ca="1">PERCENTILE(D$2:D747,0.835)</f>
        <v>218.75088755628278</v>
      </c>
      <c r="L748" s="5">
        <f ca="1">PERCENTILE(D$2:D747,0.975)</f>
        <v>1102.0664033954088</v>
      </c>
      <c r="M748" s="7">
        <f>AVERAGE(E$2:E747)</f>
        <v>1.3372096774193565</v>
      </c>
      <c r="N748" s="7">
        <f>PERCENTILE($E$2:$E747,0.025)</f>
        <v>-1.1000000000000001</v>
      </c>
      <c r="O748" s="7">
        <f>PERCENTILE($E$2:$E747,0.165)</f>
        <v>0</v>
      </c>
      <c r="P748" s="7">
        <f>PERCENTILE($E$2:$E747,0.5)</f>
        <v>1</v>
      </c>
      <c r="Q748" s="7">
        <f>PERCENTILE($E$2:$E747,0.835)</f>
        <v>3</v>
      </c>
      <c r="R748" s="7">
        <f>PERCENTILE($E$2:$E747,0.975)</f>
        <v>3</v>
      </c>
    </row>
    <row r="749" spans="1:18" x14ac:dyDescent="0.2">
      <c r="A749" s="5">
        <f>Data!E718</f>
        <v>2012</v>
      </c>
      <c r="B749" s="5">
        <f>Data!M718</f>
        <v>4.3055555555555555E-2</v>
      </c>
      <c r="C749" s="5">
        <f>Data!N718</f>
        <v>6.9444444444444441E-3</v>
      </c>
      <c r="D749" s="5">
        <f ca="1">Data!O718</f>
        <v>71.469684267760613</v>
      </c>
      <c r="E749" s="1">
        <f>Data!AQ718</f>
        <v>0.95</v>
      </c>
      <c r="F749" t="str">
        <f t="shared" si="11"/>
        <v/>
      </c>
      <c r="G749" s="5">
        <f ca="1">AVERAGE(D$2:D748)</f>
        <v>173.19778968685878</v>
      </c>
      <c r="H749" s="5">
        <f ca="1">PERCENTILE(D$2:D748,0.025)</f>
        <v>-3.2996870493607653</v>
      </c>
      <c r="I749" s="5">
        <f ca="1">PERCENTILE(D$2:D748,0.165)</f>
        <v>6.6536665058529865</v>
      </c>
      <c r="J749" s="5">
        <f ca="1">PERCENTILE(D$2:D748,0.5)</f>
        <v>44.141003172686588</v>
      </c>
      <c r="K749" s="5">
        <f ca="1">PERCENTILE(D$2:D748,0.835)</f>
        <v>218.4142026543532</v>
      </c>
      <c r="L749" s="5">
        <f ca="1">PERCENTILE(D$2:D748,0.975)</f>
        <v>1101.0990850173573</v>
      </c>
      <c r="M749" s="7">
        <f>AVERAGE(E$2:E748)</f>
        <v>1.3365861513687618</v>
      </c>
      <c r="N749" s="7">
        <f>PERCENTILE($E$2:$E748,0.025)</f>
        <v>-1.1000000000000001</v>
      </c>
      <c r="O749" s="7">
        <f>PERCENTILE($E$2:$E748,0.165)</f>
        <v>0</v>
      </c>
      <c r="P749" s="7">
        <f>PERCENTILE($E$2:$E748,0.5)</f>
        <v>1</v>
      </c>
      <c r="Q749" s="7">
        <f>PERCENTILE($E$2:$E748,0.835)</f>
        <v>3</v>
      </c>
      <c r="R749" s="7">
        <f>PERCENTILE($E$2:$E748,0.975)</f>
        <v>3</v>
      </c>
    </row>
    <row r="750" spans="1:18" x14ac:dyDescent="0.2">
      <c r="A750" s="5">
        <f>Data!E719</f>
        <v>2012</v>
      </c>
      <c r="B750" s="5">
        <f>Data!M719</f>
        <v>4.3055555555555555E-2</v>
      </c>
      <c r="C750" s="5">
        <f>Data!N719</f>
        <v>6.9444444444444441E-3</v>
      </c>
      <c r="D750" s="5">
        <f ca="1">Data!O719</f>
        <v>64.219136588422586</v>
      </c>
      <c r="E750" s="1">
        <f>Data!AQ719</f>
        <v>0.95</v>
      </c>
      <c r="F750" t="str">
        <f t="shared" si="11"/>
        <v/>
      </c>
      <c r="G750" s="5">
        <f ca="1">AVERAGE(D$2:D749)</f>
        <v>173.06178954592417</v>
      </c>
      <c r="H750" s="5">
        <f ca="1">PERCENTILE(D$2:D749,0.025)</f>
        <v>-3.2990573594832902</v>
      </c>
      <c r="I750" s="5">
        <f ca="1">PERCENTILE(D$2:D749,0.165)</f>
        <v>6.6543687482107581</v>
      </c>
      <c r="J750" s="5">
        <f ca="1">PERCENTILE(D$2:D749,0.5)</f>
        <v>44.155636291323475</v>
      </c>
      <c r="K750" s="5">
        <f ca="1">PERCENTILE(D$2:D749,0.835)</f>
        <v>218.09335055728064</v>
      </c>
      <c r="L750" s="5">
        <f ca="1">PERCENTILE(D$2:D749,0.975)</f>
        <v>1100.1317666393013</v>
      </c>
      <c r="M750" s="7">
        <f>AVERAGE(E$2:E749)</f>
        <v>1.3359646302250823</v>
      </c>
      <c r="N750" s="7">
        <f>PERCENTILE($E$2:$E749,0.025)</f>
        <v>-1.1000000000000001</v>
      </c>
      <c r="O750" s="7">
        <f>PERCENTILE($E$2:$E749,0.165)</f>
        <v>0</v>
      </c>
      <c r="P750" s="7">
        <f>PERCENTILE($E$2:$E749,0.5)</f>
        <v>1</v>
      </c>
      <c r="Q750" s="7">
        <f>PERCENTILE($E$2:$E749,0.835)</f>
        <v>3</v>
      </c>
      <c r="R750" s="7">
        <f>PERCENTILE($E$2:$E749,0.975)</f>
        <v>3</v>
      </c>
    </row>
    <row r="751" spans="1:18" x14ac:dyDescent="0.2">
      <c r="A751" s="5">
        <f>Data!E720</f>
        <v>2012</v>
      </c>
      <c r="B751" s="5">
        <f>Data!M720</f>
        <v>4.3055555555555555E-2</v>
      </c>
      <c r="C751" s="5">
        <f>Data!N720</f>
        <v>6.9444444444444441E-3</v>
      </c>
      <c r="D751" s="5">
        <f ca="1">Data!O720</f>
        <v>47.646456178507073</v>
      </c>
      <c r="E751" s="1">
        <f>Data!AQ720</f>
        <v>0.14000000000000001</v>
      </c>
      <c r="F751" t="str">
        <f t="shared" si="11"/>
        <v/>
      </c>
      <c r="G751" s="5">
        <f ca="1">AVERAGE(D$2:D750)</f>
        <v>172.91647225225591</v>
      </c>
      <c r="H751" s="5">
        <f ca="1">PERCENTILE(D$2:D750,0.025)</f>
        <v>-3.298427669605815</v>
      </c>
      <c r="I751" s="5">
        <f ca="1">PERCENTILE(D$2:D750,0.165)</f>
        <v>6.6550709905685288</v>
      </c>
      <c r="J751" s="5">
        <f ca="1">PERCENTILE(D$2:D750,0.5)</f>
        <v>44.170269409960355</v>
      </c>
      <c r="K751" s="5">
        <f ca="1">PERCENTILE(D$2:D750,0.835)</f>
        <v>217.77249846020788</v>
      </c>
      <c r="L751" s="5">
        <f ca="1">PERCENTILE(D$2:D750,0.975)</f>
        <v>1099.1644482612496</v>
      </c>
      <c r="M751" s="7">
        <f>AVERAGE(E$2:E750)</f>
        <v>1.3353451043338702</v>
      </c>
      <c r="N751" s="7">
        <f>PERCENTILE($E$2:$E750,0.025)</f>
        <v>-1.1000000000000001</v>
      </c>
      <c r="O751" s="7">
        <f>PERCENTILE($E$2:$E750,0.165)</f>
        <v>0</v>
      </c>
      <c r="P751" s="7">
        <f>PERCENTILE($E$2:$E750,0.5)</f>
        <v>1</v>
      </c>
      <c r="Q751" s="7">
        <f>PERCENTILE($E$2:$E750,0.835)</f>
        <v>3</v>
      </c>
      <c r="R751" s="7">
        <f>PERCENTILE($E$2:$E750,0.975)</f>
        <v>3</v>
      </c>
    </row>
    <row r="752" spans="1:18" x14ac:dyDescent="0.2">
      <c r="A752" s="5">
        <f>Data!E721</f>
        <v>2012</v>
      </c>
      <c r="B752" s="5">
        <f>Data!M721</f>
        <v>4.3055555555555555E-2</v>
      </c>
      <c r="C752" s="5">
        <f>Data!N721</f>
        <v>6.9444444444444441E-3</v>
      </c>
      <c r="D752" s="5">
        <f ca="1">Data!O721</f>
        <v>48.682248704126799</v>
      </c>
      <c r="E752" s="1">
        <f>Data!AQ721</f>
        <v>0.14000000000000001</v>
      </c>
      <c r="F752" t="str">
        <f t="shared" si="11"/>
        <v/>
      </c>
      <c r="G752" s="5">
        <f ca="1">AVERAGE(D$2:D751)</f>
        <v>172.74944556415761</v>
      </c>
      <c r="H752" s="5">
        <f ca="1">PERCENTILE(D$2:D751,0.025)</f>
        <v>-3.2977979797283403</v>
      </c>
      <c r="I752" s="5">
        <f ca="1">PERCENTILE(D$2:D751,0.165)</f>
        <v>6.6557732329262995</v>
      </c>
      <c r="J752" s="5">
        <f ca="1">PERCENTILE(D$2:D751,0.5)</f>
        <v>44.188947201704977</v>
      </c>
      <c r="K752" s="5">
        <f ca="1">PERCENTILE(D$2:D751,0.835)</f>
        <v>217.45164636313532</v>
      </c>
      <c r="L752" s="5">
        <f ca="1">PERCENTILE(D$2:D751,0.975)</f>
        <v>1098.1971298831982</v>
      </c>
      <c r="M752" s="7">
        <f>AVERAGE(E$2:E751)</f>
        <v>1.3334294871794892</v>
      </c>
      <c r="N752" s="7">
        <f>PERCENTILE($E$2:$E751,0.025)</f>
        <v>-1.1000000000000001</v>
      </c>
      <c r="O752" s="7">
        <f>PERCENTILE($E$2:$E751,0.165)</f>
        <v>0</v>
      </c>
      <c r="P752" s="7">
        <f>PERCENTILE($E$2:$E751,0.5)</f>
        <v>1</v>
      </c>
      <c r="Q752" s="7">
        <f>PERCENTILE($E$2:$E751,0.835)</f>
        <v>3</v>
      </c>
      <c r="R752" s="7">
        <f>PERCENTILE($E$2:$E751,0.975)</f>
        <v>3</v>
      </c>
    </row>
    <row r="753" spans="1:18" x14ac:dyDescent="0.2">
      <c r="A753" s="5">
        <f>Data!E722</f>
        <v>2012</v>
      </c>
      <c r="B753" s="5">
        <f>Data!M722</f>
        <v>4.3055555555555555E-2</v>
      </c>
      <c r="C753" s="5">
        <f>Data!N722</f>
        <v>6.9444444444444441E-3</v>
      </c>
      <c r="D753" s="5">
        <f ca="1">Data!O722</f>
        <v>43.503286076028203</v>
      </c>
      <c r="E753" s="1">
        <f>Data!AQ722</f>
        <v>0.14000000000000001</v>
      </c>
      <c r="F753" t="str">
        <f t="shared" si="11"/>
        <v/>
      </c>
      <c r="G753" s="5">
        <f ca="1">AVERAGE(D$2:D752)</f>
        <v>172.58424290522279</v>
      </c>
      <c r="H753" s="5">
        <f ca="1">PERCENTILE(D$2:D752,0.025)</f>
        <v>-3.2971682898508652</v>
      </c>
      <c r="I753" s="5">
        <f ca="1">PERCENTILE(D$2:D752,0.165)</f>
        <v>6.6564754752840711</v>
      </c>
      <c r="J753" s="5">
        <f ca="1">PERCENTILE(D$2:D752,0.5)</f>
        <v>44.207624993449606</v>
      </c>
      <c r="K753" s="5">
        <f ca="1">PERCENTILE(D$2:D752,0.835)</f>
        <v>217.13079426606279</v>
      </c>
      <c r="L753" s="5">
        <f ca="1">PERCENTILE(D$2:D752,0.975)</f>
        <v>1097.2298115051465</v>
      </c>
      <c r="M753" s="7">
        <f>AVERAGE(E$2:E752)</f>
        <v>1.3315200000000018</v>
      </c>
      <c r="N753" s="7">
        <f>PERCENTILE($E$2:$E752,0.025)</f>
        <v>-1.1000000000000001</v>
      </c>
      <c r="O753" s="7">
        <f>PERCENTILE($E$2:$E752,0.165)</f>
        <v>0</v>
      </c>
      <c r="P753" s="7">
        <f>PERCENTILE($E$2:$E752,0.5)</f>
        <v>1</v>
      </c>
      <c r="Q753" s="7">
        <f>PERCENTILE($E$2:$E752,0.835)</f>
        <v>3</v>
      </c>
      <c r="R753" s="7">
        <f>PERCENTILE($E$2:$E752,0.975)</f>
        <v>3</v>
      </c>
    </row>
    <row r="754" spans="1:18" x14ac:dyDescent="0.2">
      <c r="A754" s="5">
        <f>Data!E723</f>
        <v>2012</v>
      </c>
      <c r="B754" s="5">
        <f>Data!M723</f>
        <v>4.3055555555555555E-2</v>
      </c>
      <c r="C754" s="5">
        <f>Data!N723</f>
        <v>6.9444444444444441E-3</v>
      </c>
      <c r="D754" s="5">
        <f ca="1">Data!O723</f>
        <v>92.185534780154995</v>
      </c>
      <c r="E754" s="1">
        <f>Data!AQ723</f>
        <v>0.14000000000000001</v>
      </c>
      <c r="F754" t="str">
        <f t="shared" si="11"/>
        <v/>
      </c>
      <c r="G754" s="5">
        <f ca="1">AVERAGE(D$2:D753)</f>
        <v>172.41259269667333</v>
      </c>
      <c r="H754" s="5">
        <f ca="1">PERCENTILE(D$2:D753,0.025)</f>
        <v>-3.29653859997339</v>
      </c>
      <c r="I754" s="5">
        <f ca="1">PERCENTILE(D$2:D753,0.165)</f>
        <v>6.6571777176418419</v>
      </c>
      <c r="J754" s="5">
        <f ca="1">PERCENTILE(D$2:D753,0.5)</f>
        <v>44.188947201704977</v>
      </c>
      <c r="K754" s="5">
        <f ca="1">PERCENTILE(D$2:D753,0.835)</f>
        <v>216.80994216899001</v>
      </c>
      <c r="L754" s="5">
        <f ca="1">PERCENTILE(D$2:D753,0.975)</f>
        <v>1096.262493127095</v>
      </c>
      <c r="M754" s="7">
        <f>AVERAGE(E$2:E753)</f>
        <v>1.3296166134185323</v>
      </c>
      <c r="N754" s="7">
        <f>PERCENTILE($E$2:$E753,0.025)</f>
        <v>-1.1000000000000001</v>
      </c>
      <c r="O754" s="7">
        <f>PERCENTILE($E$2:$E753,0.165)</f>
        <v>0</v>
      </c>
      <c r="P754" s="7">
        <f>PERCENTILE($E$2:$E753,0.5)</f>
        <v>1</v>
      </c>
      <c r="Q754" s="7">
        <f>PERCENTILE($E$2:$E753,0.835)</f>
        <v>3</v>
      </c>
      <c r="R754" s="7">
        <f>PERCENTILE($E$2:$E753,0.975)</f>
        <v>3</v>
      </c>
    </row>
    <row r="755" spans="1:18" x14ac:dyDescent="0.2">
      <c r="A755" s="5">
        <f>Data!E724</f>
        <v>2012</v>
      </c>
      <c r="B755" s="5">
        <f>Data!M724</f>
        <v>4.3055555555555555E-2</v>
      </c>
      <c r="C755" s="5">
        <f>Data!N724</f>
        <v>6.9444444444444441E-3</v>
      </c>
      <c r="D755" s="5">
        <f ca="1">Data!O724</f>
        <v>60.075966485943709</v>
      </c>
      <c r="E755" s="1">
        <f>Data!AQ724</f>
        <v>0.14000000000000001</v>
      </c>
      <c r="F755" t="str">
        <f t="shared" si="11"/>
        <v/>
      </c>
      <c r="G755" s="5">
        <f ca="1">AVERAGE(D$2:D754)</f>
        <v>172.30604945906839</v>
      </c>
      <c r="H755" s="5">
        <f ca="1">PERCENTILE(D$2:D754,0.025)</f>
        <v>-3.2959089100959154</v>
      </c>
      <c r="I755" s="5">
        <f ca="1">PERCENTILE(D$2:D754,0.165)</f>
        <v>6.6655360147143625</v>
      </c>
      <c r="J755" s="5">
        <f ca="1">PERCENTILE(D$2:D754,0.5)</f>
        <v>44.207624993449606</v>
      </c>
      <c r="K755" s="5">
        <f ca="1">PERCENTILE(D$2:D754,0.835)</f>
        <v>216.43207266231022</v>
      </c>
      <c r="L755" s="5">
        <f ca="1">PERCENTILE(D$2:D754,0.975)</f>
        <v>1095.295174749039</v>
      </c>
      <c r="M755" s="7">
        <f>AVERAGE(E$2:E754)</f>
        <v>1.3277192982456159</v>
      </c>
      <c r="N755" s="7">
        <f>PERCENTILE($E$2:$E754,0.025)</f>
        <v>-1.1000000000000001</v>
      </c>
      <c r="O755" s="7">
        <f>PERCENTILE($E$2:$E754,0.165)</f>
        <v>0</v>
      </c>
      <c r="P755" s="7">
        <f>PERCENTILE($E$2:$E754,0.5)</f>
        <v>1</v>
      </c>
      <c r="Q755" s="7">
        <f>PERCENTILE($E$2:$E754,0.835)</f>
        <v>3</v>
      </c>
      <c r="R755" s="7">
        <f>PERCENTILE($E$2:$E754,0.975)</f>
        <v>3</v>
      </c>
    </row>
    <row r="756" spans="1:18" x14ac:dyDescent="0.2">
      <c r="A756" s="5">
        <f>Data!E725</f>
        <v>2012</v>
      </c>
      <c r="B756" s="5">
        <f>Data!M725</f>
        <v>4.3055555555555555E-2</v>
      </c>
      <c r="C756" s="5">
        <f>Data!N725</f>
        <v>6.9444444444444441E-3</v>
      </c>
      <c r="D756" s="5">
        <f ca="1">Data!O725</f>
        <v>155.36887884295788</v>
      </c>
      <c r="E756" s="1">
        <f>Data!AQ725</f>
        <v>0.14000000000000001</v>
      </c>
      <c r="F756" t="str">
        <f t="shared" si="11"/>
        <v/>
      </c>
      <c r="G756" s="5">
        <f ca="1">AVERAGE(D$2:D755)</f>
        <v>172.15720319517834</v>
      </c>
      <c r="H756" s="5">
        <f ca="1">PERCENTILE(D$2:D755,0.025)</f>
        <v>-3.2952792202184402</v>
      </c>
      <c r="I756" s="5">
        <f ca="1">PERCENTILE(D$2:D755,0.165)</f>
        <v>6.6820288699213002</v>
      </c>
      <c r="J756" s="5">
        <f ca="1">PERCENTILE(D$2:D755,0.5)</f>
        <v>44.304280859345099</v>
      </c>
      <c r="K756" s="5">
        <f ca="1">PERCENTILE(D$2:D755,0.835)</f>
        <v>215.9936221579228</v>
      </c>
      <c r="L756" s="5">
        <f ca="1">PERCENTILE(D$2:D755,0.975)</f>
        <v>1094.3278563709873</v>
      </c>
      <c r="M756" s="7">
        <f>AVERAGE(E$2:E755)</f>
        <v>1.3258280254777088</v>
      </c>
      <c r="N756" s="7">
        <f>PERCENTILE($E$2:$E755,0.025)</f>
        <v>-1.1000000000000001</v>
      </c>
      <c r="O756" s="7">
        <f>PERCENTILE($E$2:$E755,0.165)</f>
        <v>0</v>
      </c>
      <c r="P756" s="7">
        <f>PERCENTILE($E$2:$E755,0.5)</f>
        <v>1</v>
      </c>
      <c r="Q756" s="7">
        <f>PERCENTILE($E$2:$E755,0.835)</f>
        <v>3</v>
      </c>
      <c r="R756" s="7">
        <f>PERCENTILE($E$2:$E755,0.975)</f>
        <v>3</v>
      </c>
    </row>
    <row r="757" spans="1:18" x14ac:dyDescent="0.2">
      <c r="A757" s="5">
        <f>Data!E726</f>
        <v>2012</v>
      </c>
      <c r="B757" s="5">
        <f>Data!M726</f>
        <v>4.3055555555555555E-2</v>
      </c>
      <c r="C757" s="5">
        <f>Data!N726</f>
        <v>6.9444444444444441E-3</v>
      </c>
      <c r="D757" s="5">
        <f ca="1">Data!O726</f>
        <v>33.145360819831012</v>
      </c>
      <c r="E757" s="1">
        <f>Data!AQ726</f>
        <v>0.14000000000000001</v>
      </c>
      <c r="F757" t="str">
        <f t="shared" si="11"/>
        <v/>
      </c>
      <c r="G757" s="5">
        <f ca="1">AVERAGE(D$2:D756)</f>
        <v>172.13496700398332</v>
      </c>
      <c r="H757" s="5">
        <f ca="1">PERCENTILE(D$2:D756,0.025)</f>
        <v>-3.2946495303409651</v>
      </c>
      <c r="I757" s="5">
        <f ca="1">PERCENTILE(D$2:D756,0.165)</f>
        <v>6.6985217251282396</v>
      </c>
      <c r="J757" s="5">
        <f ca="1">PERCENTILE(D$2:D756,0.5)</f>
        <v>44.400936725240584</v>
      </c>
      <c r="K757" s="5">
        <f ca="1">PERCENTILE(D$2:D756,0.835)</f>
        <v>215.55517165353507</v>
      </c>
      <c r="L757" s="5">
        <f ca="1">PERCENTILE(D$2:D756,0.975)</f>
        <v>1093.3605379929359</v>
      </c>
      <c r="M757" s="7">
        <f>AVERAGE(E$2:E756)</f>
        <v>1.3239427662957093</v>
      </c>
      <c r="N757" s="7">
        <f>PERCENTILE($E$2:$E756,0.025)</f>
        <v>-1.1000000000000001</v>
      </c>
      <c r="O757" s="7">
        <f>PERCENTILE($E$2:$E756,0.165)</f>
        <v>0</v>
      </c>
      <c r="P757" s="7">
        <f>PERCENTILE($E$2:$E756,0.5)</f>
        <v>1</v>
      </c>
      <c r="Q757" s="7">
        <f>PERCENTILE($E$2:$E756,0.835)</f>
        <v>3</v>
      </c>
      <c r="R757" s="7">
        <f>PERCENTILE($E$2:$E756,0.975)</f>
        <v>3</v>
      </c>
    </row>
    <row r="758" spans="1:18" x14ac:dyDescent="0.2">
      <c r="A758" s="5">
        <f>Data!E727</f>
        <v>2012</v>
      </c>
      <c r="B758" s="5">
        <f>Data!M727</f>
        <v>4.3055555555555555E-2</v>
      </c>
      <c r="C758" s="5">
        <f>Data!N727</f>
        <v>6.9444444444444441E-3</v>
      </c>
      <c r="D758" s="5">
        <f ca="1">Data!O727</f>
        <v>48.682248704126799</v>
      </c>
      <c r="E758" s="1">
        <f>Data!AQ727</f>
        <v>0.14000000000000001</v>
      </c>
      <c r="F758" t="str">
        <f t="shared" si="11"/>
        <v/>
      </c>
      <c r="G758" s="5">
        <f ca="1">AVERAGE(D$2:D757)</f>
        <v>171.95111831855456</v>
      </c>
      <c r="H758" s="5">
        <f ca="1">PERCENTILE(D$2:D757,0.025)</f>
        <v>-3.2940198404634904</v>
      </c>
      <c r="I758" s="5">
        <f ca="1">PERCENTILE(D$2:D757,0.165)</f>
        <v>6.7150145803351782</v>
      </c>
      <c r="J758" s="5">
        <f ca="1">PERCENTILE(D$2:D757,0.5)</f>
        <v>44.304280859345099</v>
      </c>
      <c r="K758" s="5">
        <f ca="1">PERCENTILE(D$2:D757,0.835)</f>
        <v>215.11672114914765</v>
      </c>
      <c r="L758" s="5">
        <f ca="1">PERCENTILE(D$2:D757,0.975)</f>
        <v>1092.3932196148842</v>
      </c>
      <c r="M758" s="7">
        <f>AVERAGE(E$2:E757)</f>
        <v>1.3220634920634939</v>
      </c>
      <c r="N758" s="7">
        <f>PERCENTILE($E$2:$E757,0.025)</f>
        <v>-1.1000000000000001</v>
      </c>
      <c r="O758" s="7">
        <f>PERCENTILE($E$2:$E757,0.165)</f>
        <v>0</v>
      </c>
      <c r="P758" s="7">
        <f>PERCENTILE($E$2:$E757,0.5)</f>
        <v>1</v>
      </c>
      <c r="Q758" s="7">
        <f>PERCENTILE($E$2:$E757,0.835)</f>
        <v>3</v>
      </c>
      <c r="R758" s="7">
        <f>PERCENTILE($E$2:$E757,0.975)</f>
        <v>3</v>
      </c>
    </row>
    <row r="759" spans="1:18" x14ac:dyDescent="0.2">
      <c r="A759" s="5">
        <f>Data!E728</f>
        <v>2012</v>
      </c>
      <c r="B759" s="5">
        <f>Data!M728</f>
        <v>4.3055555555555555E-2</v>
      </c>
      <c r="C759" s="5">
        <f>Data!N728</f>
        <v>6.9444444444444441E-3</v>
      </c>
      <c r="D759" s="5">
        <f ca="1">Data!O728</f>
        <v>66.290721639662024</v>
      </c>
      <c r="E759" s="1">
        <f>Data!AQ728</f>
        <v>0.14000000000000001</v>
      </c>
      <c r="F759" t="str">
        <f t="shared" si="11"/>
        <v/>
      </c>
      <c r="G759" s="5">
        <f ca="1">AVERAGE(D$2:D758)</f>
        <v>171.7882796532779</v>
      </c>
      <c r="H759" s="5">
        <f ca="1">PERCENTILE(D$2:D758,0.025)</f>
        <v>-3.2933901505860153</v>
      </c>
      <c r="I759" s="5">
        <f ca="1">PERCENTILE(D$2:D758,0.165)</f>
        <v>6.7315074355421176</v>
      </c>
      <c r="J759" s="5">
        <f ca="1">PERCENTILE(D$2:D758,0.5)</f>
        <v>44.400936725240584</v>
      </c>
      <c r="K759" s="5">
        <f ca="1">PERCENTILE(D$2:D758,0.835)</f>
        <v>214.67827064476023</v>
      </c>
      <c r="L759" s="5">
        <f ca="1">PERCENTILE(D$2:D758,0.975)</f>
        <v>1091.4259012368327</v>
      </c>
      <c r="M759" s="7">
        <f>AVERAGE(E$2:E758)</f>
        <v>1.3201901743264677</v>
      </c>
      <c r="N759" s="7">
        <f>PERCENTILE($E$2:$E758,0.025)</f>
        <v>-1.1000000000000001</v>
      </c>
      <c r="O759" s="7">
        <f>PERCENTILE($E$2:$E758,0.165)</f>
        <v>0</v>
      </c>
      <c r="P759" s="7">
        <f>PERCENTILE($E$2:$E758,0.5)</f>
        <v>1</v>
      </c>
      <c r="Q759" s="7">
        <f>PERCENTILE($E$2:$E758,0.835)</f>
        <v>3</v>
      </c>
      <c r="R759" s="7">
        <f>PERCENTILE($E$2:$E758,0.975)</f>
        <v>3</v>
      </c>
    </row>
    <row r="760" spans="1:18" x14ac:dyDescent="0.2">
      <c r="A760" s="5">
        <f>Data!E729</f>
        <v>2012</v>
      </c>
      <c r="B760" s="5">
        <f>Data!M729</f>
        <v>4.3055555555555555E-2</v>
      </c>
      <c r="C760" s="5">
        <f>Data!N729</f>
        <v>6.9444444444444441E-3</v>
      </c>
      <c r="D760" s="5">
        <f ca="1">Data!O729</f>
        <v>75.612854370239489</v>
      </c>
      <c r="E760" s="1">
        <f>Data!AQ729</f>
        <v>0.14000000000000001</v>
      </c>
      <c r="F760" t="str">
        <f t="shared" si="11"/>
        <v/>
      </c>
      <c r="G760" s="5">
        <f ca="1">AVERAGE(D$2:D759)</f>
        <v>171.64910081684832</v>
      </c>
      <c r="H760" s="5">
        <f ca="1">PERCENTILE(D$2:D759,0.025)</f>
        <v>-3.2927604607085401</v>
      </c>
      <c r="I760" s="5">
        <f ca="1">PERCENTILE(D$2:D759,0.165)</f>
        <v>6.7480002907490562</v>
      </c>
      <c r="J760" s="5">
        <f ca="1">PERCENTILE(D$2:D759,0.5)</f>
        <v>44.47000766344425</v>
      </c>
      <c r="K760" s="5">
        <f ca="1">PERCENTILE(D$2:D759,0.835)</f>
        <v>214.23982014037279</v>
      </c>
      <c r="L760" s="5">
        <f ca="1">PERCENTILE(D$2:D759,0.975)</f>
        <v>1090.4585828587767</v>
      </c>
      <c r="M760" s="7">
        <f>AVERAGE(E$2:E759)</f>
        <v>1.3183227848101282</v>
      </c>
      <c r="N760" s="7">
        <f>PERCENTILE($E$2:$E759,0.025)</f>
        <v>-1.1000000000000001</v>
      </c>
      <c r="O760" s="7">
        <f>PERCENTILE($E$2:$E759,0.165)</f>
        <v>0</v>
      </c>
      <c r="P760" s="7">
        <f>PERCENTILE($E$2:$E759,0.5)</f>
        <v>1</v>
      </c>
      <c r="Q760" s="7">
        <f>PERCENTILE($E$2:$E759,0.835)</f>
        <v>3</v>
      </c>
      <c r="R760" s="7">
        <f>PERCENTILE($E$2:$E759,0.975)</f>
        <v>3</v>
      </c>
    </row>
    <row r="761" spans="1:18" x14ac:dyDescent="0.2">
      <c r="A761" s="5">
        <f>Data!E730</f>
        <v>2012</v>
      </c>
      <c r="B761" s="5">
        <f>Data!M730</f>
        <v>4.3055555555555555E-2</v>
      </c>
      <c r="C761" s="5">
        <f>Data!N730</f>
        <v>6.9444444444444441E-3</v>
      </c>
      <c r="D761" s="5">
        <f ca="1">Data!O730</f>
        <v>50.75383375536623</v>
      </c>
      <c r="E761" s="1">
        <f>Data!AQ730</f>
        <v>0.14000000000000001</v>
      </c>
      <c r="F761" t="str">
        <f t="shared" si="11"/>
        <v/>
      </c>
      <c r="G761" s="5">
        <f ca="1">AVERAGE(D$2:D760)</f>
        <v>171.52257084788044</v>
      </c>
      <c r="H761" s="5">
        <f ca="1">PERCENTILE(D$2:D760,0.025)</f>
        <v>-3.292130770831065</v>
      </c>
      <c r="I761" s="5">
        <f ca="1">PERCENTILE(D$2:D760,0.165)</f>
        <v>6.7629861824235338</v>
      </c>
      <c r="J761" s="5">
        <f ca="1">PERCENTILE(D$2:D760,0.5)</f>
        <v>44.539078601647923</v>
      </c>
      <c r="K761" s="5">
        <f ca="1">PERCENTILE(D$2:D760,0.835)</f>
        <v>213.95898545024582</v>
      </c>
      <c r="L761" s="5">
        <f ca="1">PERCENTILE(D$2:D760,0.975)</f>
        <v>1089.491264480725</v>
      </c>
      <c r="M761" s="7">
        <f>AVERAGE(E$2:E760)</f>
        <v>1.316461295418643</v>
      </c>
      <c r="N761" s="7">
        <f>PERCENTILE($E$2:$E760,0.025)</f>
        <v>-1.1000000000000001</v>
      </c>
      <c r="O761" s="7">
        <f>PERCENTILE($E$2:$E760,0.165)</f>
        <v>0</v>
      </c>
      <c r="P761" s="7">
        <f>PERCENTILE($E$2:$E760,0.5)</f>
        <v>1</v>
      </c>
      <c r="Q761" s="7">
        <f>PERCENTILE($E$2:$E760,0.835)</f>
        <v>3</v>
      </c>
      <c r="R761" s="7">
        <f>PERCENTILE($E$2:$E760,0.975)</f>
        <v>3</v>
      </c>
    </row>
    <row r="762" spans="1:18" x14ac:dyDescent="0.2">
      <c r="A762" s="5">
        <f>Data!E731</f>
        <v>2012</v>
      </c>
      <c r="B762" s="5">
        <f>Data!M731</f>
        <v>4.3055555555555555E-2</v>
      </c>
      <c r="C762" s="5">
        <f>Data!N731</f>
        <v>6.9444444444444441E-3</v>
      </c>
      <c r="D762" s="5">
        <f ca="1">Data!O731</f>
        <v>46.610663652887361</v>
      </c>
      <c r="E762" s="1">
        <f>Data!AQ731</f>
        <v>0.14000000000000001</v>
      </c>
      <c r="F762" t="str">
        <f t="shared" si="11"/>
        <v/>
      </c>
      <c r="G762" s="5">
        <f ca="1">AVERAGE(D$2:D761)</f>
        <v>171.36366461486401</v>
      </c>
      <c r="H762" s="5">
        <f ca="1">PERCENTILE(D$2:D761,0.025)</f>
        <v>-3.2915010809535903</v>
      </c>
      <c r="I762" s="5">
        <f ca="1">PERCENTILE(D$2:D761,0.165)</f>
        <v>6.7759269093039549</v>
      </c>
      <c r="J762" s="5">
        <f ca="1">PERCENTILE(D$2:D761,0.5)</f>
        <v>44.539078601647923</v>
      </c>
      <c r="K762" s="5">
        <f ca="1">PERCENTILE(D$2:D761,0.835)</f>
        <v>213.89205793661557</v>
      </c>
      <c r="L762" s="5">
        <f ca="1">PERCENTILE(D$2:D761,0.975)</f>
        <v>1088.5239461026736</v>
      </c>
      <c r="M762" s="7">
        <f>AVERAGE(E$2:E761)</f>
        <v>1.3146056782334401</v>
      </c>
      <c r="N762" s="7">
        <f>PERCENTILE($E$2:$E761,0.025)</f>
        <v>-1.1000000000000001</v>
      </c>
      <c r="O762" s="7">
        <f>PERCENTILE($E$2:$E761,0.165)</f>
        <v>0</v>
      </c>
      <c r="P762" s="7">
        <f>PERCENTILE($E$2:$E761,0.5)</f>
        <v>1</v>
      </c>
      <c r="Q762" s="7">
        <f>PERCENTILE($E$2:$E761,0.835)</f>
        <v>3</v>
      </c>
      <c r="R762" s="7">
        <f>PERCENTILE($E$2:$E761,0.975)</f>
        <v>3</v>
      </c>
    </row>
    <row r="763" spans="1:18" x14ac:dyDescent="0.2">
      <c r="A763" s="5">
        <f>Data!E732</f>
        <v>2012</v>
      </c>
      <c r="B763" s="5">
        <f>Data!M732</f>
        <v>4.3055555555555555E-2</v>
      </c>
      <c r="C763" s="5">
        <f>Data!N732</f>
        <v>6.9444444444444441E-3</v>
      </c>
      <c r="D763" s="5">
        <f ca="1">Data!O732</f>
        <v>92.185534780154995</v>
      </c>
      <c r="E763" s="1">
        <f>Data!AQ732</f>
        <v>0.14000000000000001</v>
      </c>
      <c r="F763" t="str">
        <f t="shared" si="11"/>
        <v/>
      </c>
      <c r="G763" s="5">
        <f ca="1">AVERAGE(D$2:D762)</f>
        <v>171.19973163068269</v>
      </c>
      <c r="H763" s="5">
        <f ca="1">PERCENTILE(D$2:D762,0.025)</f>
        <v>-3.2908713910761151</v>
      </c>
      <c r="I763" s="5">
        <f ca="1">PERCENTILE(D$2:D762,0.165)</f>
        <v>6.7888676361843769</v>
      </c>
      <c r="J763" s="5">
        <f ca="1">PERCENTILE(D$2:D762,0.5)</f>
        <v>44.539078601647923</v>
      </c>
      <c r="K763" s="5">
        <f ca="1">PERCENTILE(D$2:D762,0.835)</f>
        <v>213.8251304229853</v>
      </c>
      <c r="L763" s="5">
        <f ca="1">PERCENTILE(D$2:D762,0.975)</f>
        <v>1087.5566277246219</v>
      </c>
      <c r="M763" s="7">
        <f>AVERAGE(E$2:E762)</f>
        <v>1.3127559055118128</v>
      </c>
      <c r="N763" s="7">
        <f>PERCENTILE($E$2:$E762,0.025)</f>
        <v>-1.1000000000000001</v>
      </c>
      <c r="O763" s="7">
        <f>PERCENTILE($E$2:$E762,0.165)</f>
        <v>0</v>
      </c>
      <c r="P763" s="7">
        <f>PERCENTILE($E$2:$E762,0.5)</f>
        <v>1</v>
      </c>
      <c r="Q763" s="7">
        <f>PERCENTILE($E$2:$E762,0.835)</f>
        <v>3</v>
      </c>
      <c r="R763" s="7">
        <f>PERCENTILE($E$2:$E762,0.975)</f>
        <v>3</v>
      </c>
    </row>
    <row r="764" spans="1:18" x14ac:dyDescent="0.2">
      <c r="A764" s="5">
        <f>Data!E733</f>
        <v>2012</v>
      </c>
      <c r="B764" s="5">
        <f>Data!M733</f>
        <v>4.3055555555555555E-2</v>
      </c>
      <c r="C764" s="5">
        <f>Data!N733</f>
        <v>6.9444444444444441E-3</v>
      </c>
      <c r="D764" s="5">
        <f ca="1">Data!O733</f>
        <v>63.183344062802867</v>
      </c>
      <c r="E764" s="1">
        <f>Data!AQ733</f>
        <v>0.14000000000000001</v>
      </c>
      <c r="F764" t="str">
        <f t="shared" si="11"/>
        <v/>
      </c>
      <c r="G764" s="5">
        <f ca="1">AVERAGE(D$2:D763)</f>
        <v>171.09603845896282</v>
      </c>
      <c r="H764" s="5">
        <f ca="1">PERCENTILE(D$2:D763,0.025)</f>
        <v>-3.2845911977986519</v>
      </c>
      <c r="I764" s="5">
        <f ca="1">PERCENTILE(D$2:D763,0.165)</f>
        <v>6.8018083630647999</v>
      </c>
      <c r="J764" s="5">
        <f ca="1">PERCENTILE(D$2:D763,0.5)</f>
        <v>44.539078601647923</v>
      </c>
      <c r="K764" s="5">
        <f ca="1">PERCENTILE(D$2:D763,0.835)</f>
        <v>213.75820290935499</v>
      </c>
      <c r="L764" s="5">
        <f ca="1">PERCENTILE(D$2:D763,0.975)</f>
        <v>1087.0061318551489</v>
      </c>
      <c r="M764" s="7">
        <f>AVERAGE(E$2:E763)</f>
        <v>1.3109119496855361</v>
      </c>
      <c r="N764" s="7">
        <f>PERCENTILE($E$2:$E763,0.025)</f>
        <v>-1.1000000000000001</v>
      </c>
      <c r="O764" s="7">
        <f>PERCENTILE($E$2:$E763,0.165)</f>
        <v>0</v>
      </c>
      <c r="P764" s="7">
        <f>PERCENTILE($E$2:$E763,0.5)</f>
        <v>1</v>
      </c>
      <c r="Q764" s="7">
        <f>PERCENTILE($E$2:$E763,0.835)</f>
        <v>3</v>
      </c>
      <c r="R764" s="7">
        <f>PERCENTILE($E$2:$E763,0.975)</f>
        <v>3</v>
      </c>
    </row>
    <row r="765" spans="1:18" x14ac:dyDescent="0.2">
      <c r="A765" s="5">
        <f>Data!E734</f>
        <v>2012</v>
      </c>
      <c r="B765" s="5">
        <f>Data!M734</f>
        <v>4.3055555555555555E-2</v>
      </c>
      <c r="C765" s="5">
        <f>Data!N734</f>
        <v>6.9444444444444441E-3</v>
      </c>
      <c r="D765" s="5">
        <f ca="1">Data!O734</f>
        <v>93.221327305774722</v>
      </c>
      <c r="E765" s="1">
        <f>Data!AQ734</f>
        <v>0.14000000000000001</v>
      </c>
      <c r="F765" t="str">
        <f t="shared" si="11"/>
        <v/>
      </c>
      <c r="G765" s="5">
        <f ca="1">AVERAGE(D$2:D764)</f>
        <v>170.95460635621558</v>
      </c>
      <c r="H765" s="5">
        <f ca="1">PERCENTILE(D$2:D764,0.025)</f>
        <v>-3.2783110045211892</v>
      </c>
      <c r="I765" s="5">
        <f ca="1">PERCENTILE(D$2:D764,0.165)</f>
        <v>6.814749089945221</v>
      </c>
      <c r="J765" s="5">
        <f ca="1">PERCENTILE(D$2:D764,0.5)</f>
        <v>44.539078601647923</v>
      </c>
      <c r="K765" s="5">
        <f ca="1">PERCENTILE(D$2:D764,0.835)</f>
        <v>213.69127539572472</v>
      </c>
      <c r="L765" s="5">
        <f ca="1">PERCENTILE(D$2:D764,0.975)</f>
        <v>1086.4556359856736</v>
      </c>
      <c r="M765" s="7">
        <f>AVERAGE(E$2:E764)</f>
        <v>1.3090737833594992</v>
      </c>
      <c r="N765" s="7">
        <f>PERCENTILE($E$2:$E764,0.025)</f>
        <v>-1.1000000000000001</v>
      </c>
      <c r="O765" s="7">
        <f>PERCENTILE($E$2:$E764,0.165)</f>
        <v>0</v>
      </c>
      <c r="P765" s="7">
        <f>PERCENTILE($E$2:$E764,0.5)</f>
        <v>1</v>
      </c>
      <c r="Q765" s="7">
        <f>PERCENTILE($E$2:$E764,0.835)</f>
        <v>3</v>
      </c>
      <c r="R765" s="7">
        <f>PERCENTILE($E$2:$E764,0.975)</f>
        <v>3</v>
      </c>
    </row>
    <row r="766" spans="1:18" x14ac:dyDescent="0.2">
      <c r="A766" s="5">
        <f>Data!E735</f>
        <v>2012</v>
      </c>
      <c r="B766" s="5">
        <f>Data!M735</f>
        <v>4.3055555555555555E-2</v>
      </c>
      <c r="C766" s="5">
        <f>Data!N735</f>
        <v>6.9444444444444441E-3</v>
      </c>
      <c r="D766" s="5">
        <f ca="1">Data!O735</f>
        <v>87.006572152056407</v>
      </c>
      <c r="E766" s="1">
        <f>Data!AQ735</f>
        <v>0.14000000000000001</v>
      </c>
      <c r="F766" t="str">
        <f t="shared" si="11"/>
        <v/>
      </c>
      <c r="G766" s="5">
        <f ca="1">AVERAGE(D$2:D765)</f>
        <v>170.85286122656839</v>
      </c>
      <c r="H766" s="5">
        <f ca="1">PERCENTILE(D$2:D765,0.025)</f>
        <v>-3.2720308112437269</v>
      </c>
      <c r="I766" s="5">
        <f ca="1">PERCENTILE(D$2:D765,0.165)</f>
        <v>6.8276898168256439</v>
      </c>
      <c r="J766" s="5">
        <f ca="1">PERCENTILE(D$2:D765,0.5)</f>
        <v>44.711842771950224</v>
      </c>
      <c r="K766" s="5">
        <f ca="1">PERCENTILE(D$2:D765,0.835)</f>
        <v>213.62434788209447</v>
      </c>
      <c r="L766" s="5">
        <f ca="1">PERCENTILE(D$2:D765,0.975)</f>
        <v>1085.9051401162005</v>
      </c>
      <c r="M766" s="7">
        <f>AVERAGE(E$2:E765)</f>
        <v>1.3072413793103463</v>
      </c>
      <c r="N766" s="7">
        <f>PERCENTILE($E$2:$E765,0.025)</f>
        <v>-1.1000000000000001</v>
      </c>
      <c r="O766" s="7">
        <f>PERCENTILE($E$2:$E765,0.165)</f>
        <v>0</v>
      </c>
      <c r="P766" s="7">
        <f>PERCENTILE($E$2:$E765,0.5)</f>
        <v>1</v>
      </c>
      <c r="Q766" s="7">
        <f>PERCENTILE($E$2:$E765,0.835)</f>
        <v>3</v>
      </c>
      <c r="R766" s="7">
        <f>PERCENTILE($E$2:$E765,0.975)</f>
        <v>3</v>
      </c>
    </row>
    <row r="767" spans="1:18" x14ac:dyDescent="0.2">
      <c r="A767" s="5">
        <f>Data!E736</f>
        <v>2012</v>
      </c>
      <c r="B767" s="5">
        <f>Data!M736</f>
        <v>4.3055555555555555E-2</v>
      </c>
      <c r="C767" s="5">
        <f>Data!N736</f>
        <v>6.9444444444444441E-3</v>
      </c>
      <c r="D767" s="5">
        <f ca="1">Data!O736</f>
        <v>107.72242266445079</v>
      </c>
      <c r="E767" s="1">
        <f>Data!AQ736</f>
        <v>0.14000000000000001</v>
      </c>
      <c r="F767" t="str">
        <f t="shared" si="11"/>
        <v/>
      </c>
      <c r="G767" s="5">
        <f ca="1">AVERAGE(D$2:D766)</f>
        <v>170.74325823431411</v>
      </c>
      <c r="H767" s="5">
        <f ca="1">PERCENTILE(D$2:D766,0.025)</f>
        <v>-3.2657506179662632</v>
      </c>
      <c r="I767" s="5">
        <f ca="1">PERCENTILE(D$2:D766,0.165)</f>
        <v>6.8555908947946618</v>
      </c>
      <c r="J767" s="5">
        <f ca="1">PERCENTILE(D$2:D766,0.5)</f>
        <v>44.884606942252525</v>
      </c>
      <c r="K767" s="5">
        <f ca="1">PERCENTILE(D$2:D766,0.835)</f>
        <v>213.56924780403875</v>
      </c>
      <c r="L767" s="5">
        <f ca="1">PERCENTILE(D$2:D766,0.975)</f>
        <v>1085.3546442467275</v>
      </c>
      <c r="M767" s="7">
        <f>AVERAGE(E$2:E766)</f>
        <v>1.3054147104851346</v>
      </c>
      <c r="N767" s="7">
        <f>PERCENTILE($E$2:$E766,0.025)</f>
        <v>-1.1000000000000001</v>
      </c>
      <c r="O767" s="7">
        <f>PERCENTILE($E$2:$E766,0.165)</f>
        <v>0</v>
      </c>
      <c r="P767" s="7">
        <f>PERCENTILE($E$2:$E766,0.5)</f>
        <v>1</v>
      </c>
      <c r="Q767" s="7">
        <f>PERCENTILE($E$2:$E766,0.835)</f>
        <v>3</v>
      </c>
      <c r="R767" s="7">
        <f>PERCENTILE($E$2:$E766,0.975)</f>
        <v>3</v>
      </c>
    </row>
    <row r="768" spans="1:18" x14ac:dyDescent="0.2">
      <c r="A768" s="5">
        <f>Data!E737</f>
        <v>2012</v>
      </c>
      <c r="B768" s="5">
        <f>Data!M737</f>
        <v>4.3055555555555555E-2</v>
      </c>
      <c r="C768" s="5">
        <f>Data!N737</f>
        <v>6.9444444444444441E-3</v>
      </c>
      <c r="D768" s="5">
        <f ca="1">Data!O737</f>
        <v>107.72242266445079</v>
      </c>
      <c r="E768" s="1">
        <f>Data!AQ737</f>
        <v>0.14000000000000001</v>
      </c>
      <c r="F768" t="str">
        <f t="shared" si="11"/>
        <v/>
      </c>
      <c r="G768" s="5">
        <f ca="1">AVERAGE(D$2:D767)</f>
        <v>170.66098560302186</v>
      </c>
      <c r="H768" s="5">
        <f ca="1">PERCENTILE(D$2:D767,0.025)</f>
        <v>-3.2594704246888009</v>
      </c>
      <c r="I768" s="5">
        <f ca="1">PERCENTILE(D$2:D767,0.165)</f>
        <v>6.9096725871687248</v>
      </c>
      <c r="J768" s="5">
        <f ca="1">PERCENTILE(D$2:D767,0.5)</f>
        <v>45.22973903476008</v>
      </c>
      <c r="K768" s="5">
        <f ca="1">PERCENTILE(D$2:D767,0.835)</f>
        <v>213.5348457382386</v>
      </c>
      <c r="L768" s="5">
        <f ca="1">PERCENTILE(D$2:D767,0.975)</f>
        <v>1084.8041483772547</v>
      </c>
      <c r="M768" s="7">
        <f>AVERAGE(E$2:E767)</f>
        <v>1.3035937500000014</v>
      </c>
      <c r="N768" s="7">
        <f>PERCENTILE($E$2:$E767,0.025)</f>
        <v>-1.1000000000000001</v>
      </c>
      <c r="O768" s="7">
        <f>PERCENTILE($E$2:$E767,0.165)</f>
        <v>0</v>
      </c>
      <c r="P768" s="7">
        <f>PERCENTILE($E$2:$E767,0.5)</f>
        <v>1</v>
      </c>
      <c r="Q768" s="7">
        <f>PERCENTILE($E$2:$E767,0.835)</f>
        <v>3</v>
      </c>
      <c r="R768" s="7">
        <f>PERCENTILE($E$2:$E767,0.975)</f>
        <v>3</v>
      </c>
    </row>
    <row r="769" spans="1:18" x14ac:dyDescent="0.2">
      <c r="A769" s="5">
        <f>Data!E738</f>
        <v>2012</v>
      </c>
      <c r="B769" s="5">
        <f>Data!M738</f>
        <v>4.3055555555555555E-2</v>
      </c>
      <c r="C769" s="5">
        <f>Data!N738</f>
        <v>6.9444444444444441E-3</v>
      </c>
      <c r="D769" s="5">
        <f ca="1">Data!O738</f>
        <v>62.147551537183141</v>
      </c>
      <c r="E769" s="1">
        <f>Data!AQ738</f>
        <v>-1.1000000000000001</v>
      </c>
      <c r="F769" t="str">
        <f t="shared" si="11"/>
        <v/>
      </c>
      <c r="G769" s="5">
        <f ca="1">AVERAGE(D$2:D768)</f>
        <v>170.57892750271083</v>
      </c>
      <c r="H769" s="5">
        <f ca="1">PERCENTILE(D$2:D768,0.025)</f>
        <v>-3.2531902314113372</v>
      </c>
      <c r="I769" s="5">
        <f ca="1">PERCENTILE(D$2:D768,0.165)</f>
        <v>6.9637542795427825</v>
      </c>
      <c r="J769" s="5">
        <f ca="1">PERCENTILE(D$2:D768,0.5)</f>
        <v>45.574871127267635</v>
      </c>
      <c r="K769" s="5">
        <f ca="1">PERCENTILE(D$2:D768,0.835)</f>
        <v>213.50044367243845</v>
      </c>
      <c r="L769" s="5">
        <f ca="1">PERCENTILE(D$2:D768,0.975)</f>
        <v>1084.2536525077817</v>
      </c>
      <c r="M769" s="7">
        <f>AVERAGE(E$2:E768)</f>
        <v>1.3017784711388471</v>
      </c>
      <c r="N769" s="7">
        <f>PERCENTILE($E$2:$E768,0.025)</f>
        <v>-1.1000000000000001</v>
      </c>
      <c r="O769" s="7">
        <f>PERCENTILE($E$2:$E768,0.165)</f>
        <v>0</v>
      </c>
      <c r="P769" s="7">
        <f>PERCENTILE($E$2:$E768,0.5)</f>
        <v>1</v>
      </c>
      <c r="Q769" s="7">
        <f>PERCENTILE($E$2:$E768,0.835)</f>
        <v>3</v>
      </c>
      <c r="R769" s="7">
        <f>PERCENTILE($E$2:$E768,0.975)</f>
        <v>3</v>
      </c>
    </row>
    <row r="770" spans="1:18" x14ac:dyDescent="0.2">
      <c r="A770" s="5">
        <f>Data!E739</f>
        <v>2012</v>
      </c>
      <c r="B770" s="5">
        <f>Data!M739</f>
        <v>4.3055555555555555E-2</v>
      </c>
      <c r="C770" s="5">
        <f>Data!N739</f>
        <v>6.9444444444444441E-3</v>
      </c>
      <c r="D770" s="5">
        <f ca="1">Data!O739</f>
        <v>64.219136588422586</v>
      </c>
      <c r="E770" s="1">
        <f>Data!AQ739</f>
        <v>-1.1000000000000001</v>
      </c>
      <c r="F770" t="str">
        <f t="shared" si="11"/>
        <v/>
      </c>
      <c r="G770" s="5">
        <f ca="1">AVERAGE(D$2:D769)</f>
        <v>170.43774081525569</v>
      </c>
      <c r="H770" s="5">
        <f ca="1">PERCENTILE(D$2:D769,0.025)</f>
        <v>-3.2469100381338749</v>
      </c>
      <c r="I770" s="5">
        <f ca="1">PERCENTILE(D$2:D769,0.165)</f>
        <v>7.0178359719168455</v>
      </c>
      <c r="J770" s="5">
        <f ca="1">PERCENTILE(D$2:D769,0.5)</f>
        <v>45.574871127267635</v>
      </c>
      <c r="K770" s="5">
        <f ca="1">PERCENTILE(D$2:D769,0.835)</f>
        <v>213.4660416066383</v>
      </c>
      <c r="L770" s="5">
        <f ca="1">PERCENTILE(D$2:D769,0.975)</f>
        <v>1083.7031566383062</v>
      </c>
      <c r="M770" s="7">
        <f>AVERAGE(E$2:E769)</f>
        <v>1.2980373831775716</v>
      </c>
      <c r="N770" s="7">
        <f>PERCENTILE($E$2:$E769,0.025)</f>
        <v>-1.1000000000000001</v>
      </c>
      <c r="O770" s="7">
        <f>PERCENTILE($E$2:$E769,0.165)</f>
        <v>0</v>
      </c>
      <c r="P770" s="7">
        <f>PERCENTILE($E$2:$E769,0.5)</f>
        <v>1</v>
      </c>
      <c r="Q770" s="7">
        <f>PERCENTILE($E$2:$E769,0.835)</f>
        <v>3</v>
      </c>
      <c r="R770" s="7">
        <f>PERCENTILE($E$2:$E769,0.975)</f>
        <v>3</v>
      </c>
    </row>
    <row r="771" spans="1:18" x14ac:dyDescent="0.2">
      <c r="A771" s="5">
        <f>Data!E740</f>
        <v>2012</v>
      </c>
      <c r="B771" s="5">
        <f>Data!M740</f>
        <v>4.3055555555555555E-2</v>
      </c>
      <c r="C771" s="5">
        <f>Data!N740</f>
        <v>6.9444444444444441E-3</v>
      </c>
      <c r="D771" s="5">
        <f ca="1">Data!O740</f>
        <v>54.897003857845114</v>
      </c>
      <c r="E771" s="1">
        <f>Data!AQ740</f>
        <v>-1.1000000000000001</v>
      </c>
      <c r="F771" t="str">
        <f t="shared" si="11"/>
        <v/>
      </c>
      <c r="G771" s="5">
        <f ca="1">AVERAGE(D$2:D770)</f>
        <v>170.29961519207387</v>
      </c>
      <c r="H771" s="5">
        <f ca="1">PERCENTILE(D$2:D770,0.025)</f>
        <v>-3.2406298448564117</v>
      </c>
      <c r="I771" s="5">
        <f ca="1">PERCENTILE(D$2:D770,0.165)</f>
        <v>7.0719176642909041</v>
      </c>
      <c r="J771" s="5">
        <f ca="1">PERCENTILE(D$2:D770,0.5)</f>
        <v>45.574871127267635</v>
      </c>
      <c r="K771" s="5">
        <f ca="1">PERCENTILE(D$2:D770,0.835)</f>
        <v>213.43163954083815</v>
      </c>
      <c r="L771" s="5">
        <f ca="1">PERCENTILE(D$2:D770,0.975)</f>
        <v>1083.1526607688334</v>
      </c>
      <c r="M771" s="7">
        <f>AVERAGE(E$2:E770)</f>
        <v>1.2943079315707635</v>
      </c>
      <c r="N771" s="7">
        <f>PERCENTILE($E$2:$E770,0.025)</f>
        <v>-1.1000000000000001</v>
      </c>
      <c r="O771" s="7">
        <f>PERCENTILE($E$2:$E770,0.165)</f>
        <v>0</v>
      </c>
      <c r="P771" s="7">
        <f>PERCENTILE($E$2:$E770,0.5)</f>
        <v>1</v>
      </c>
      <c r="Q771" s="7">
        <f>PERCENTILE($E$2:$E770,0.835)</f>
        <v>3</v>
      </c>
      <c r="R771" s="7">
        <f>PERCENTILE($E$2:$E770,0.975)</f>
        <v>3</v>
      </c>
    </row>
    <row r="772" spans="1:18" x14ac:dyDescent="0.2">
      <c r="A772" s="5">
        <f>Data!E741</f>
        <v>2012</v>
      </c>
      <c r="B772" s="5">
        <f>Data!M741</f>
        <v>4.3055555555555555E-2</v>
      </c>
      <c r="C772" s="5">
        <f>Data!N741</f>
        <v>6.9444444444444441E-3</v>
      </c>
      <c r="D772" s="5">
        <f ca="1">Data!O741</f>
        <v>148.11833116361981</v>
      </c>
      <c r="E772" s="1">
        <f>Data!AQ741</f>
        <v>-1.1000000000000001</v>
      </c>
      <c r="F772" t="str">
        <f t="shared" si="11"/>
        <v/>
      </c>
      <c r="G772" s="5">
        <f ca="1">AVERAGE(D$2:D771)</f>
        <v>170.14974167086058</v>
      </c>
      <c r="H772" s="5">
        <f ca="1">PERCENTILE(D$2:D771,0.025)</f>
        <v>-3.2343496515789489</v>
      </c>
      <c r="I772" s="5">
        <f ca="1">PERCENTILE(D$2:D771,0.165)</f>
        <v>7.1259993566649671</v>
      </c>
      <c r="J772" s="5">
        <f ca="1">PERCENTILE(D$2:D771,0.5)</f>
        <v>45.574871127267635</v>
      </c>
      <c r="K772" s="5">
        <f ca="1">PERCENTILE(D$2:D771,0.835)</f>
        <v>213.397237475038</v>
      </c>
      <c r="L772" s="5">
        <f ca="1">PERCENTILE(D$2:D771,0.975)</f>
        <v>1082.6021648993603</v>
      </c>
      <c r="M772" s="7">
        <f>AVERAGE(E$2:E771)</f>
        <v>1.2905900621118027</v>
      </c>
      <c r="N772" s="7">
        <f>PERCENTILE($E$2:$E771,0.025)</f>
        <v>-1.1000000000000001</v>
      </c>
      <c r="O772" s="7">
        <f>PERCENTILE($E$2:$E771,0.165)</f>
        <v>0</v>
      </c>
      <c r="P772" s="7">
        <f>PERCENTILE($E$2:$E771,0.5)</f>
        <v>1</v>
      </c>
      <c r="Q772" s="7">
        <f>PERCENTILE($E$2:$E771,0.835)</f>
        <v>3</v>
      </c>
      <c r="R772" s="7">
        <f>PERCENTILE($E$2:$E771,0.975)</f>
        <v>3</v>
      </c>
    </row>
    <row r="773" spans="1:18" x14ac:dyDescent="0.2">
      <c r="A773" s="5">
        <f>Data!E742</f>
        <v>2012</v>
      </c>
      <c r="B773" s="5">
        <f>Data!M742</f>
        <v>4.3055555555555555E-2</v>
      </c>
      <c r="C773" s="5">
        <f>Data!N742</f>
        <v>6.9444444444444441E-3</v>
      </c>
      <c r="D773" s="5">
        <f ca="1">Data!O742</f>
        <v>148.11833116361981</v>
      </c>
      <c r="E773" s="1">
        <f>Data!AQ742</f>
        <v>-1.1000000000000001</v>
      </c>
      <c r="F773" t="str">
        <f t="shared" ref="F773:F836" si="12">IF(A773&lt;&gt;A772,A773,"")</f>
        <v/>
      </c>
      <c r="G773" s="5">
        <f ca="1">AVERAGE(D$2:D772)</f>
        <v>170.12116655995624</v>
      </c>
      <c r="H773" s="5">
        <f ca="1">PERCENTILE(D$2:D772,0.025)</f>
        <v>-3.2280694583014866</v>
      </c>
      <c r="I773" s="5">
        <f ca="1">PERCENTILE(D$2:D772,0.165)</f>
        <v>7.1646145771880301</v>
      </c>
      <c r="J773" s="5">
        <f ca="1">PERCENTILE(D$2:D772,0.5)</f>
        <v>45.574871127267635</v>
      </c>
      <c r="K773" s="5">
        <f ca="1">PERCENTILE(D$2:D772,0.835)</f>
        <v>213.37200636384495</v>
      </c>
      <c r="L773" s="5">
        <f ca="1">PERCENTILE(D$2:D772,0.975)</f>
        <v>1082.0516690298873</v>
      </c>
      <c r="M773" s="7">
        <f>AVERAGE(E$2:E772)</f>
        <v>1.286883720930234</v>
      </c>
      <c r="N773" s="7">
        <f>PERCENTILE($E$2:$E772,0.025)</f>
        <v>-1.1000000000000001</v>
      </c>
      <c r="O773" s="7">
        <f>PERCENTILE($E$2:$E772,0.165)</f>
        <v>0</v>
      </c>
      <c r="P773" s="7">
        <f>PERCENTILE($E$2:$E772,0.5)</f>
        <v>1</v>
      </c>
      <c r="Q773" s="7">
        <f>PERCENTILE($E$2:$E772,0.835)</f>
        <v>3</v>
      </c>
      <c r="R773" s="7">
        <f>PERCENTILE($E$2:$E772,0.975)</f>
        <v>3</v>
      </c>
    </row>
    <row r="774" spans="1:18" x14ac:dyDescent="0.2">
      <c r="A774" s="5">
        <f>Data!E743</f>
        <v>2012</v>
      </c>
      <c r="B774" s="5">
        <f>Data!M743</f>
        <v>4.3055555555555555E-2</v>
      </c>
      <c r="C774" s="5">
        <f>Data!N743</f>
        <v>6.9444444444444441E-3</v>
      </c>
      <c r="D774" s="5">
        <f ca="1">Data!O743</f>
        <v>327.31043809583122</v>
      </c>
      <c r="E774" s="1">
        <f>Data!AQ743</f>
        <v>-1.1000000000000001</v>
      </c>
      <c r="F774" t="str">
        <f t="shared" si="12"/>
        <v/>
      </c>
      <c r="G774" s="5">
        <f ca="1">AVERAGE(D$2:D773)</f>
        <v>170.09266547783665</v>
      </c>
      <c r="H774" s="5">
        <f ca="1">PERCENTILE(D$2:D773,0.025)</f>
        <v>-3.221789265024023</v>
      </c>
      <c r="I774" s="5">
        <f ca="1">PERCENTILE(D$2:D773,0.165)</f>
        <v>7.1676569124538059</v>
      </c>
      <c r="J774" s="5">
        <f ca="1">PERCENTILE(D$2:D773,0.5)</f>
        <v>45.593620536188553</v>
      </c>
      <c r="K774" s="5">
        <f ca="1">PERCENTILE(D$2:D773,0.835)</f>
        <v>213.36786844824823</v>
      </c>
      <c r="L774" s="5">
        <f ca="1">PERCENTILE(D$2:D773,0.975)</f>
        <v>1081.5011731604145</v>
      </c>
      <c r="M774" s="7">
        <f>AVERAGE(E$2:E773)</f>
        <v>1.2831888544891654</v>
      </c>
      <c r="N774" s="7">
        <f>PERCENTILE($E$2:$E773,0.025)</f>
        <v>-1.1000000000000001</v>
      </c>
      <c r="O774" s="7">
        <f>PERCENTILE($E$2:$E773,0.165)</f>
        <v>0</v>
      </c>
      <c r="P774" s="7">
        <f>PERCENTILE($E$2:$E773,0.5)</f>
        <v>1</v>
      </c>
      <c r="Q774" s="7">
        <f>PERCENTILE($E$2:$E773,0.835)</f>
        <v>3</v>
      </c>
      <c r="R774" s="7">
        <f>PERCENTILE($E$2:$E773,0.975)</f>
        <v>3</v>
      </c>
    </row>
    <row r="775" spans="1:18" x14ac:dyDescent="0.2">
      <c r="A775" s="5">
        <f>Data!E744</f>
        <v>2012</v>
      </c>
      <c r="B775" s="5">
        <f>Data!M744</f>
        <v>4.3055555555555555E-2</v>
      </c>
      <c r="C775" s="5">
        <f>Data!N744</f>
        <v>6.9444444444444441E-3</v>
      </c>
      <c r="D775" s="5">
        <f ca="1">Data!O744</f>
        <v>38.324323447929608</v>
      </c>
      <c r="E775" s="1">
        <f>Data!AQ744</f>
        <v>-1.1000000000000001</v>
      </c>
      <c r="F775" t="str">
        <f t="shared" si="12"/>
        <v/>
      </c>
      <c r="G775" s="5">
        <f ca="1">AVERAGE(D$2:D774)</f>
        <v>170.29605198833855</v>
      </c>
      <c r="H775" s="5">
        <f ca="1">PERCENTILE(D$2:D774,0.025)</f>
        <v>-3.2155090717465606</v>
      </c>
      <c r="I775" s="5">
        <f ca="1">PERCENTILE(D$2:D774,0.165)</f>
        <v>7.1706992477195808</v>
      </c>
      <c r="J775" s="5">
        <f ca="1">PERCENTILE(D$2:D774,0.5)</f>
        <v>45.612369945109471</v>
      </c>
      <c r="K775" s="5">
        <f ca="1">PERCENTILE(D$2:D774,0.835)</f>
        <v>213.50252864612332</v>
      </c>
      <c r="L775" s="5">
        <f ca="1">PERCENTILE(D$2:D774,0.975)</f>
        <v>1080.950677290939</v>
      </c>
      <c r="M775" s="7">
        <f>AVERAGE(E$2:E774)</f>
        <v>1.2795054095826905</v>
      </c>
      <c r="N775" s="7">
        <f>PERCENTILE($E$2:$E774,0.025)</f>
        <v>-1.1000000000000001</v>
      </c>
      <c r="O775" s="7">
        <f>PERCENTILE($E$2:$E774,0.165)</f>
        <v>0</v>
      </c>
      <c r="P775" s="7">
        <f>PERCENTILE($E$2:$E774,0.5)</f>
        <v>1</v>
      </c>
      <c r="Q775" s="7">
        <f>PERCENTILE($E$2:$E774,0.835)</f>
        <v>3</v>
      </c>
      <c r="R775" s="7">
        <f>PERCENTILE($E$2:$E774,0.975)</f>
        <v>3</v>
      </c>
    </row>
    <row r="776" spans="1:18" x14ac:dyDescent="0.2">
      <c r="A776" s="5">
        <f>Data!E745</f>
        <v>2012</v>
      </c>
      <c r="B776" s="5">
        <f>Data!M745</f>
        <v>4.3055555555555555E-2</v>
      </c>
      <c r="C776" s="5">
        <f>Data!N745</f>
        <v>6.9444444444444441E-3</v>
      </c>
      <c r="D776" s="5">
        <f ca="1">Data!O745</f>
        <v>65.254929114042298</v>
      </c>
      <c r="E776" s="1">
        <f>Data!AQ745</f>
        <v>-1.1000000000000001</v>
      </c>
      <c r="F776" t="str">
        <f t="shared" si="12"/>
        <v/>
      </c>
      <c r="G776" s="5">
        <f ca="1">AVERAGE(D$2:D775)</f>
        <v>170.12554587911322</v>
      </c>
      <c r="H776" s="5">
        <f ca="1">PERCENTILE(D$2:D775,0.025)</f>
        <v>-3.209228878469097</v>
      </c>
      <c r="I776" s="5">
        <f ca="1">PERCENTILE(D$2:D775,0.165)</f>
        <v>7.1737415829853566</v>
      </c>
      <c r="J776" s="5">
        <f ca="1">PERCENTILE(D$2:D775,0.5)</f>
        <v>45.593620536188553</v>
      </c>
      <c r="K776" s="5">
        <f ca="1">PERCENTILE(D$2:D775,0.835)</f>
        <v>213.46812658032314</v>
      </c>
      <c r="L776" s="5">
        <f ca="1">PERCENTILE(D$2:D775,0.975)</f>
        <v>1080.4001814214662</v>
      </c>
      <c r="M776" s="7">
        <f>AVERAGE(E$2:E775)</f>
        <v>1.2758333333333345</v>
      </c>
      <c r="N776" s="7">
        <f>PERCENTILE($E$2:$E775,0.025)</f>
        <v>-1.1000000000000001</v>
      </c>
      <c r="O776" s="7">
        <f>PERCENTILE($E$2:$E775,0.165)</f>
        <v>0</v>
      </c>
      <c r="P776" s="7">
        <f>PERCENTILE($E$2:$E775,0.5)</f>
        <v>1</v>
      </c>
      <c r="Q776" s="7">
        <f>PERCENTILE($E$2:$E775,0.835)</f>
        <v>3</v>
      </c>
      <c r="R776" s="7">
        <f>PERCENTILE($E$2:$E775,0.975)</f>
        <v>3</v>
      </c>
    </row>
    <row r="777" spans="1:18" x14ac:dyDescent="0.2">
      <c r="A777" s="5">
        <f>Data!E746</f>
        <v>2012</v>
      </c>
      <c r="B777" s="5">
        <f>Data!M746</f>
        <v>4.3055555555555555E-2</v>
      </c>
      <c r="C777" s="5">
        <f>Data!N746</f>
        <v>6.9444444444444441E-3</v>
      </c>
      <c r="D777" s="5">
        <f ca="1">Data!O746</f>
        <v>100.47187498511275</v>
      </c>
      <c r="E777" s="1">
        <f>Data!AQ746</f>
        <v>-1.1000000000000001</v>
      </c>
      <c r="F777" t="str">
        <f t="shared" si="12"/>
        <v/>
      </c>
      <c r="G777" s="5">
        <f ca="1">AVERAGE(D$2:D776)</f>
        <v>169.99022895425506</v>
      </c>
      <c r="H777" s="5">
        <f ca="1">PERCENTILE(D$2:D776,0.025)</f>
        <v>-3.2029486851916347</v>
      </c>
      <c r="I777" s="5">
        <f ca="1">PERCENTILE(D$2:D776,0.165)</f>
        <v>7.1767839182511315</v>
      </c>
      <c r="J777" s="5">
        <f ca="1">PERCENTILE(D$2:D776,0.5)</f>
        <v>45.612369945109471</v>
      </c>
      <c r="K777" s="5">
        <f ca="1">PERCENTILE(D$2:D776,0.835)</f>
        <v>213.43372451452299</v>
      </c>
      <c r="L777" s="5">
        <f ca="1">PERCENTILE(D$2:D776,0.975)</f>
        <v>1079.8496855519932</v>
      </c>
      <c r="M777" s="7">
        <f>AVERAGE(E$2:E776)</f>
        <v>1.2721725731895235</v>
      </c>
      <c r="N777" s="7">
        <f>PERCENTILE($E$2:$E776,0.025)</f>
        <v>-1.1000000000000001</v>
      </c>
      <c r="O777" s="7">
        <f>PERCENTILE($E$2:$E776,0.165)</f>
        <v>0</v>
      </c>
      <c r="P777" s="7">
        <f>PERCENTILE($E$2:$E776,0.5)</f>
        <v>1</v>
      </c>
      <c r="Q777" s="7">
        <f>PERCENTILE($E$2:$E776,0.835)</f>
        <v>3</v>
      </c>
      <c r="R777" s="7">
        <f>PERCENTILE($E$2:$E776,0.975)</f>
        <v>3</v>
      </c>
    </row>
    <row r="778" spans="1:18" x14ac:dyDescent="0.2">
      <c r="A778" s="5">
        <f>Data!E747</f>
        <v>2012</v>
      </c>
      <c r="B778" s="5">
        <f>Data!M747</f>
        <v>4.3055555555555555E-2</v>
      </c>
      <c r="C778" s="5">
        <f>Data!N747</f>
        <v>6.9444444444444441E-3</v>
      </c>
      <c r="D778" s="5">
        <f ca="1">Data!O747</f>
        <v>108.7582151900705</v>
      </c>
      <c r="E778" s="1">
        <f>Data!AQ747</f>
        <v>-1.1000000000000001</v>
      </c>
      <c r="F778" t="str">
        <f t="shared" si="12"/>
        <v/>
      </c>
      <c r="G778" s="5">
        <f ca="1">AVERAGE(D$2:D777)</f>
        <v>169.90064344656287</v>
      </c>
      <c r="H778" s="5">
        <f ca="1">PERCENTILE(D$2:D777,0.025)</f>
        <v>-3.1966684919141723</v>
      </c>
      <c r="I778" s="5">
        <f ca="1">PERCENTILE(D$2:D777,0.165)</f>
        <v>7.1798262535169064</v>
      </c>
      <c r="J778" s="5">
        <f ca="1">PERCENTILE(D$2:D777,0.5)</f>
        <v>46.081585333165592</v>
      </c>
      <c r="K778" s="5">
        <f ca="1">PERCENTILE(D$2:D777,0.835)</f>
        <v>213.39932244872284</v>
      </c>
      <c r="L778" s="5">
        <f ca="1">PERCENTILE(D$2:D777,0.975)</f>
        <v>1079.2991896825201</v>
      </c>
      <c r="M778" s="7">
        <f>AVERAGE(E$2:E777)</f>
        <v>1.2685230769230782</v>
      </c>
      <c r="N778" s="7">
        <f>PERCENTILE($E$2:$E777,0.025)</f>
        <v>-1.1000000000000001</v>
      </c>
      <c r="O778" s="7">
        <f>PERCENTILE($E$2:$E777,0.165)</f>
        <v>0</v>
      </c>
      <c r="P778" s="7">
        <f>PERCENTILE($E$2:$E777,0.5)</f>
        <v>1</v>
      </c>
      <c r="Q778" s="7">
        <f>PERCENTILE($E$2:$E777,0.835)</f>
        <v>3</v>
      </c>
      <c r="R778" s="7">
        <f>PERCENTILE($E$2:$E777,0.975)</f>
        <v>3</v>
      </c>
    </row>
    <row r="779" spans="1:18" x14ac:dyDescent="0.2">
      <c r="A779" s="5">
        <f>Data!E748</f>
        <v>2012</v>
      </c>
      <c r="B779" s="5">
        <f>Data!M748</f>
        <v>4.3055555555555555E-2</v>
      </c>
      <c r="C779" s="5">
        <f>Data!N748</f>
        <v>6.9444444444444441E-3</v>
      </c>
      <c r="D779" s="5">
        <f ca="1">Data!O748</f>
        <v>70.433891742140901</v>
      </c>
      <c r="E779" s="1">
        <f>Data!AQ748</f>
        <v>-1.1000000000000001</v>
      </c>
      <c r="F779" t="str">
        <f t="shared" si="12"/>
        <v/>
      </c>
      <c r="G779" s="5">
        <f ca="1">AVERAGE(D$2:D778)</f>
        <v>169.82195306270637</v>
      </c>
      <c r="H779" s="5">
        <f ca="1">PERCENTILE(D$2:D778,0.025)</f>
        <v>-3.1903882986367087</v>
      </c>
      <c r="I779" s="5">
        <f ca="1">PERCENTILE(D$2:D778,0.165)</f>
        <v>7.1893142735753166</v>
      </c>
      <c r="J779" s="5">
        <f ca="1">PERCENTILE(D$2:D778,0.5)</f>
        <v>46.550800721221705</v>
      </c>
      <c r="K779" s="5">
        <f ca="1">PERCENTILE(D$2:D778,0.835)</f>
        <v>213.37225714660838</v>
      </c>
      <c r="L779" s="5">
        <f ca="1">PERCENTILE(D$2:D778,0.975)</f>
        <v>1078.7486938130473</v>
      </c>
      <c r="M779" s="7">
        <f>AVERAGE(E$2:E778)</f>
        <v>1.2648847926267293</v>
      </c>
      <c r="N779" s="7">
        <f>PERCENTILE($E$2:$E778,0.025)</f>
        <v>-1.1000000000000001</v>
      </c>
      <c r="O779" s="7">
        <f>PERCENTILE($E$2:$E778,0.165)</f>
        <v>0</v>
      </c>
      <c r="P779" s="7">
        <f>PERCENTILE($E$2:$E778,0.5)</f>
        <v>1</v>
      </c>
      <c r="Q779" s="7">
        <f>PERCENTILE($E$2:$E778,0.835)</f>
        <v>3</v>
      </c>
      <c r="R779" s="7">
        <f>PERCENTILE($E$2:$E778,0.975)</f>
        <v>3</v>
      </c>
    </row>
    <row r="780" spans="1:18" x14ac:dyDescent="0.2">
      <c r="A780" s="5">
        <f>Data!E749</f>
        <v>2012</v>
      </c>
      <c r="B780" s="5">
        <f>Data!M749</f>
        <v>4.3055555555555555E-2</v>
      </c>
      <c r="C780" s="5">
        <f>Data!N749</f>
        <v>6.9444444444444441E-3</v>
      </c>
      <c r="D780" s="5">
        <f ca="1">Data!O749</f>
        <v>62.147551537183141</v>
      </c>
      <c r="E780" s="1">
        <f>Data!AQ749</f>
        <v>-1.1000000000000001</v>
      </c>
      <c r="F780" t="str">
        <f t="shared" si="12"/>
        <v/>
      </c>
      <c r="G780" s="5">
        <f ca="1">AVERAGE(D$2:D779)</f>
        <v>169.69420491190871</v>
      </c>
      <c r="H780" s="5">
        <f ca="1">PERCENTILE(D$2:D779,0.025)</f>
        <v>-3.1841081053592464</v>
      </c>
      <c r="I780" s="5">
        <f ca="1">PERCENTILE(D$2:D779,0.165)</f>
        <v>7.2189450586107187</v>
      </c>
      <c r="J780" s="5">
        <f ca="1">PERCENTILE(D$2:D779,0.5)</f>
        <v>46.550800721221705</v>
      </c>
      <c r="K780" s="5">
        <f ca="1">PERCENTILE(D$2:D779,0.835)</f>
        <v>213.36811923101169</v>
      </c>
      <c r="L780" s="5">
        <f ca="1">PERCENTILE(D$2:D779,0.975)</f>
        <v>1078.1981979435718</v>
      </c>
      <c r="M780" s="7">
        <f>AVERAGE(E$2:E779)</f>
        <v>1.2612576687116575</v>
      </c>
      <c r="N780" s="7">
        <f>PERCENTILE($E$2:$E779,0.025)</f>
        <v>-1.1000000000000001</v>
      </c>
      <c r="O780" s="7">
        <f>PERCENTILE($E$2:$E779,0.165)</f>
        <v>0</v>
      </c>
      <c r="P780" s="7">
        <f>PERCENTILE($E$2:$E779,0.5)</f>
        <v>1</v>
      </c>
      <c r="Q780" s="7">
        <f>PERCENTILE($E$2:$E779,0.835)</f>
        <v>3</v>
      </c>
      <c r="R780" s="7">
        <f>PERCENTILE($E$2:$E779,0.975)</f>
        <v>3</v>
      </c>
    </row>
    <row r="781" spans="1:18" x14ac:dyDescent="0.2">
      <c r="A781" s="5">
        <f>Data!E750</f>
        <v>2012</v>
      </c>
      <c r="B781" s="5">
        <f>Data!M750</f>
        <v>4.3055555555555555E-2</v>
      </c>
      <c r="C781" s="5">
        <f>Data!N750</f>
        <v>6.9444444444444441E-3</v>
      </c>
      <c r="D781" s="5">
        <f ca="1">Data!O750</f>
        <v>168.8341816760142</v>
      </c>
      <c r="E781" s="1">
        <f>Data!AQ750</f>
        <v>-1.1000000000000001</v>
      </c>
      <c r="F781" t="str">
        <f t="shared" si="12"/>
        <v/>
      </c>
      <c r="G781" s="5">
        <f ca="1">AVERAGE(D$2:D780)</f>
        <v>169.5561475905034</v>
      </c>
      <c r="H781" s="5">
        <f ca="1">PERCENTILE(D$2:D780,0.025)</f>
        <v>-3.1778279120817827</v>
      </c>
      <c r="I781" s="5">
        <f ca="1">PERCENTILE(D$2:D780,0.165)</f>
        <v>7.2485758436461154</v>
      </c>
      <c r="J781" s="5">
        <f ca="1">PERCENTILE(D$2:D780,0.5)</f>
        <v>46.550800721221705</v>
      </c>
      <c r="K781" s="5">
        <f ca="1">PERCENTILE(D$2:D780,0.835)</f>
        <v>213.36398131541497</v>
      </c>
      <c r="L781" s="5">
        <f ca="1">PERCENTILE(D$2:D780,0.975)</f>
        <v>1077.6477020740988</v>
      </c>
      <c r="M781" s="7">
        <f>AVERAGE(E$2:E780)</f>
        <v>1.2576416539050546</v>
      </c>
      <c r="N781" s="7">
        <f>PERCENTILE($E$2:$E780,0.025)</f>
        <v>-1.1000000000000001</v>
      </c>
      <c r="O781" s="7">
        <f>PERCENTILE($E$2:$E780,0.165)</f>
        <v>0</v>
      </c>
      <c r="P781" s="7">
        <f>PERCENTILE($E$2:$E780,0.5)</f>
        <v>1</v>
      </c>
      <c r="Q781" s="7">
        <f>PERCENTILE($E$2:$E780,0.835)</f>
        <v>3</v>
      </c>
      <c r="R781" s="7">
        <f>PERCENTILE($E$2:$E780,0.975)</f>
        <v>3</v>
      </c>
    </row>
    <row r="782" spans="1:18" x14ac:dyDescent="0.2">
      <c r="A782" s="5">
        <f>Data!E751</f>
        <v>2012</v>
      </c>
      <c r="B782" s="5">
        <f>Data!M751</f>
        <v>4.3055555555555555E-2</v>
      </c>
      <c r="C782" s="5">
        <f>Data!N751</f>
        <v>6.9444444444444441E-3</v>
      </c>
      <c r="D782" s="5">
        <f ca="1">Data!O751</f>
        <v>168.8341816760142</v>
      </c>
      <c r="E782" s="1">
        <f>Data!AQ751</f>
        <v>-1.1000000000000001</v>
      </c>
      <c r="F782" t="str">
        <f t="shared" si="12"/>
        <v/>
      </c>
      <c r="G782" s="5">
        <f ca="1">AVERAGE(D$2:D781)</f>
        <v>169.55522199317713</v>
      </c>
      <c r="H782" s="5">
        <f ca="1">PERCENTILE(D$2:D781,0.025)</f>
        <v>-3.1715477188043204</v>
      </c>
      <c r="I782" s="5">
        <f ca="1">PERCENTILE(D$2:D781,0.165)</f>
        <v>7.2782066286815121</v>
      </c>
      <c r="J782" s="5">
        <f ca="1">PERCENTILE(D$2:D781,0.5)</f>
        <v>46.580732187054537</v>
      </c>
      <c r="K782" s="5">
        <f ca="1">PERCENTILE(D$2:D781,0.835)</f>
        <v>213.35984339981829</v>
      </c>
      <c r="L782" s="5">
        <f ca="1">PERCENTILE(D$2:D781,0.975)</f>
        <v>1077.097206204626</v>
      </c>
      <c r="M782" s="7">
        <f>AVERAGE(E$2:E781)</f>
        <v>1.2540366972477075</v>
      </c>
      <c r="N782" s="7">
        <f>PERCENTILE($E$2:$E781,0.025)</f>
        <v>-1.1000000000000001</v>
      </c>
      <c r="O782" s="7">
        <f>PERCENTILE($E$2:$E781,0.165)</f>
        <v>0</v>
      </c>
      <c r="P782" s="7">
        <f>PERCENTILE($E$2:$E781,0.5)</f>
        <v>1</v>
      </c>
      <c r="Q782" s="7">
        <f>PERCENTILE($E$2:$E781,0.835)</f>
        <v>3</v>
      </c>
      <c r="R782" s="7">
        <f>PERCENTILE($E$2:$E781,0.975)</f>
        <v>3</v>
      </c>
    </row>
    <row r="783" spans="1:18" x14ac:dyDescent="0.2">
      <c r="A783" s="5">
        <f>Data!E752</f>
        <v>2012</v>
      </c>
      <c r="B783" s="5">
        <f>Data!M752</f>
        <v>4.3055555555555555E-2</v>
      </c>
      <c r="C783" s="5">
        <f>Data!N752</f>
        <v>6.9444444444444441E-3</v>
      </c>
      <c r="D783" s="5">
        <f ca="1">Data!O752</f>
        <v>449.53395611895809</v>
      </c>
      <c r="E783" s="1">
        <f>Data!AQ752</f>
        <v>-1.1000000000000001</v>
      </c>
      <c r="F783" t="str">
        <f t="shared" si="12"/>
        <v/>
      </c>
      <c r="G783" s="5">
        <f ca="1">AVERAGE(D$2:D782)</f>
        <v>169.55429876613849</v>
      </c>
      <c r="H783" s="5">
        <f ca="1">PERCENTILE(D$2:D782,0.025)</f>
        <v>-3.1652675255268576</v>
      </c>
      <c r="I783" s="5">
        <f ca="1">PERCENTILE(D$2:D782,0.165)</f>
        <v>7.3078374137169142</v>
      </c>
      <c r="J783" s="5">
        <f ca="1">PERCENTILE(D$2:D782,0.5)</f>
        <v>46.610663652887361</v>
      </c>
      <c r="K783" s="5">
        <f ca="1">PERCENTILE(D$2:D782,0.835)</f>
        <v>213.35570548422157</v>
      </c>
      <c r="L783" s="5">
        <f ca="1">PERCENTILE(D$2:D782,0.975)</f>
        <v>1076.546710335153</v>
      </c>
      <c r="M783" s="7">
        <f>AVERAGE(E$2:E782)</f>
        <v>1.2504427480916041</v>
      </c>
      <c r="N783" s="7">
        <f>PERCENTILE($E$2:$E782,0.025)</f>
        <v>-1.1000000000000001</v>
      </c>
      <c r="O783" s="7">
        <f>PERCENTILE($E$2:$E782,0.165)</f>
        <v>0</v>
      </c>
      <c r="P783" s="7">
        <f>PERCENTILE($E$2:$E782,0.5)</f>
        <v>1</v>
      </c>
      <c r="Q783" s="7">
        <f>PERCENTILE($E$2:$E782,0.835)</f>
        <v>3</v>
      </c>
      <c r="R783" s="7">
        <f>PERCENTILE($E$2:$E782,0.975)</f>
        <v>3</v>
      </c>
    </row>
    <row r="784" spans="1:18" x14ac:dyDescent="0.2">
      <c r="A784" s="5">
        <f>Data!E753</f>
        <v>2012</v>
      </c>
      <c r="B784" s="5">
        <f>Data!M753</f>
        <v>4.3055555555555555E-2</v>
      </c>
      <c r="C784" s="5">
        <f>Data!N753</f>
        <v>6.9444444444444441E-3</v>
      </c>
      <c r="D784" s="5">
        <f ca="1">Data!O753</f>
        <v>713.6610501519865</v>
      </c>
      <c r="E784" s="1">
        <f>Data!AQ753</f>
        <v>-1.1000000000000001</v>
      </c>
      <c r="F784" t="str">
        <f t="shared" si="12"/>
        <v/>
      </c>
      <c r="G784" s="5">
        <f ca="1">AVERAGE(D$2:D783)</f>
        <v>169.91232901850782</v>
      </c>
      <c r="H784" s="5">
        <f ca="1">PERCENTILE(D$2:D783,0.025)</f>
        <v>-3.1589873322493944</v>
      </c>
      <c r="I784" s="5">
        <f ca="1">PERCENTILE(D$2:D783,0.165)</f>
        <v>7.3374681987523109</v>
      </c>
      <c r="J784" s="5">
        <f ca="1">PERCENTILE(D$2:D783,0.5)</f>
        <v>46.610663652887361</v>
      </c>
      <c r="K784" s="5">
        <f ca="1">PERCENTILE(D$2:D783,0.835)</f>
        <v>213.40140742240771</v>
      </c>
      <c r="L784" s="5">
        <f ca="1">PERCENTILE(D$2:D783,0.975)</f>
        <v>1075.9962144656799</v>
      </c>
      <c r="M784" s="7">
        <f>AVERAGE(E$2:E783)</f>
        <v>1.2468597560975618</v>
      </c>
      <c r="N784" s="7">
        <f>PERCENTILE($E$2:$E783,0.025)</f>
        <v>-1.1000000000000001</v>
      </c>
      <c r="O784" s="7">
        <f>PERCENTILE($E$2:$E783,0.165)</f>
        <v>0</v>
      </c>
      <c r="P784" s="7">
        <f>PERCENTILE($E$2:$E783,0.5)</f>
        <v>1</v>
      </c>
      <c r="Q784" s="7">
        <f>PERCENTILE($E$2:$E783,0.835)</f>
        <v>3</v>
      </c>
      <c r="R784" s="7">
        <f>PERCENTILE($E$2:$E783,0.975)</f>
        <v>3</v>
      </c>
    </row>
    <row r="785" spans="1:18" x14ac:dyDescent="0.2">
      <c r="A785" s="5">
        <f>Data!E754</f>
        <v>2012</v>
      </c>
      <c r="B785" s="5">
        <f>Data!M754</f>
        <v>4.3055555555555555E-2</v>
      </c>
      <c r="C785" s="5">
        <f>Data!N754</f>
        <v>6.9444444444444441E-3</v>
      </c>
      <c r="D785" s="5">
        <f ca="1">Data!O754</f>
        <v>524.11101796357786</v>
      </c>
      <c r="E785" s="1">
        <f>Data!AQ754</f>
        <v>-1.1000000000000001</v>
      </c>
      <c r="F785" t="str">
        <f t="shared" si="12"/>
        <v/>
      </c>
      <c r="G785" s="5">
        <f ca="1">AVERAGE(D$2:D784)</f>
        <v>170.60677182966168</v>
      </c>
      <c r="H785" s="5">
        <f ca="1">PERCENTILE(D$2:D784,0.025)</f>
        <v>-3.1527071389719321</v>
      </c>
      <c r="I785" s="5">
        <f ca="1">PERCENTILE(D$2:D784,0.165)</f>
        <v>7.3617115683267258</v>
      </c>
      <c r="J785" s="5">
        <f ca="1">PERCENTILE(D$2:D784,0.5)</f>
        <v>46.610663652887361</v>
      </c>
      <c r="K785" s="5">
        <f ca="1">PERCENTILE(D$2:D784,0.835)</f>
        <v>213.57550272509334</v>
      </c>
      <c r="L785" s="5">
        <f ca="1">PERCENTILE(D$2:D784,0.975)</f>
        <v>1075.4457185962046</v>
      </c>
      <c r="M785" s="7">
        <f>AVERAGE(E$2:E784)</f>
        <v>1.2432876712328775</v>
      </c>
      <c r="N785" s="7">
        <f>PERCENTILE($E$2:$E784,0.025)</f>
        <v>-1.1000000000000001</v>
      </c>
      <c r="O785" s="7">
        <f>PERCENTILE($E$2:$E784,0.165)</f>
        <v>0</v>
      </c>
      <c r="P785" s="7">
        <f>PERCENTILE($E$2:$E784,0.5)</f>
        <v>1</v>
      </c>
      <c r="Q785" s="7">
        <f>PERCENTILE($E$2:$E784,0.835)</f>
        <v>3</v>
      </c>
      <c r="R785" s="7">
        <f>PERCENTILE($E$2:$E784,0.975)</f>
        <v>3</v>
      </c>
    </row>
    <row r="786" spans="1:18" x14ac:dyDescent="0.2">
      <c r="A786" s="5">
        <f>Data!E755</f>
        <v>2012</v>
      </c>
      <c r="B786" s="5">
        <f>Data!M755</f>
        <v>4.3055555555555555E-2</v>
      </c>
      <c r="C786" s="5">
        <f>Data!N755</f>
        <v>6.9444444444444441E-3</v>
      </c>
      <c r="D786" s="5">
        <f ca="1">Data!O755</f>
        <v>575.90064424456386</v>
      </c>
      <c r="E786" s="1">
        <f>Data!AQ755</f>
        <v>-1.1000000000000001</v>
      </c>
      <c r="F786" t="str">
        <f t="shared" si="12"/>
        <v/>
      </c>
      <c r="G786" s="5">
        <f ca="1">AVERAGE(D$2:D785)</f>
        <v>171.05767010279169</v>
      </c>
      <c r="H786" s="5">
        <f ca="1">PERCENTILE(D$2:D785,0.025)</f>
        <v>-3.1464269456944685</v>
      </c>
      <c r="I786" s="5">
        <f ca="1">PERCENTILE(D$2:D785,0.165)</f>
        <v>7.3617115683267258</v>
      </c>
      <c r="J786" s="5">
        <f ca="1">PERCENTILE(D$2:D785,0.5)</f>
        <v>46.610663652887361</v>
      </c>
      <c r="K786" s="5">
        <f ca="1">PERCENTILE(D$2:D785,0.835)</f>
        <v>213.9082827884047</v>
      </c>
      <c r="L786" s="5">
        <f ca="1">PERCENTILE(D$2:D785,0.975)</f>
        <v>1074.8952227267316</v>
      </c>
      <c r="M786" s="7">
        <f>AVERAGE(E$2:E785)</f>
        <v>1.2397264437689979</v>
      </c>
      <c r="N786" s="7">
        <f>PERCENTILE($E$2:$E785,0.025)</f>
        <v>-1.1000000000000001</v>
      </c>
      <c r="O786" s="7">
        <f>PERCENTILE($E$2:$E785,0.165)</f>
        <v>0</v>
      </c>
      <c r="P786" s="7">
        <f>PERCENTILE($E$2:$E785,0.5)</f>
        <v>1</v>
      </c>
      <c r="Q786" s="7">
        <f>PERCENTILE($E$2:$E785,0.835)</f>
        <v>3</v>
      </c>
      <c r="R786" s="7">
        <f>PERCENTILE($E$2:$E785,0.975)</f>
        <v>3</v>
      </c>
    </row>
    <row r="787" spans="1:18" x14ac:dyDescent="0.2">
      <c r="A787" s="5">
        <f>Data!E941</f>
        <v>2012</v>
      </c>
      <c r="B787" s="5">
        <f>Data!M941</f>
        <v>2.6</v>
      </c>
      <c r="C787" s="5">
        <f>Data!N941</f>
        <v>0.5</v>
      </c>
      <c r="D787" s="5">
        <f ca="1">Data!O941</f>
        <v>75</v>
      </c>
      <c r="E787" s="1">
        <f>Data!AQ941</f>
        <v>0.96</v>
      </c>
      <c r="F787" t="str">
        <f t="shared" si="12"/>
        <v/>
      </c>
      <c r="G787" s="5">
        <f ca="1">AVERAGE(D$2:D786)</f>
        <v>171.57339363673026</v>
      </c>
      <c r="H787" s="5">
        <f ca="1">PERCENTILE(D$2:D786,0.025)</f>
        <v>-3.1401467524170061</v>
      </c>
      <c r="I787" s="5">
        <f ca="1">PERCENTILE(D$2:D786,0.165)</f>
        <v>7.3617115683267258</v>
      </c>
      <c r="J787" s="5">
        <f ca="1">PERCENTILE(D$2:D786,0.5)</f>
        <v>46.610663652887361</v>
      </c>
      <c r="K787" s="5">
        <f ca="1">PERCENTILE(D$2:D786,0.835)</f>
        <v>215.6880354427436</v>
      </c>
      <c r="L787" s="5">
        <f ca="1">PERCENTILE(D$2:D786,0.975)</f>
        <v>1074.3447268572586</v>
      </c>
      <c r="M787" s="7">
        <f>AVERAGE(E$2:E786)</f>
        <v>1.2361760242792117</v>
      </c>
      <c r="N787" s="7">
        <f>PERCENTILE($E$2:$E786,0.025)</f>
        <v>-1.1000000000000001</v>
      </c>
      <c r="O787" s="7">
        <f>PERCENTILE($E$2:$E786,0.165)</f>
        <v>0</v>
      </c>
      <c r="P787" s="7">
        <f>PERCENTILE($E$2:$E786,0.5)</f>
        <v>1</v>
      </c>
      <c r="Q787" s="7">
        <f>PERCENTILE($E$2:$E786,0.835)</f>
        <v>3</v>
      </c>
      <c r="R787" s="7">
        <f>PERCENTILE($E$2:$E786,0.975)</f>
        <v>3</v>
      </c>
    </row>
    <row r="788" spans="1:18" x14ac:dyDescent="0.2">
      <c r="A788" s="5">
        <f>Data!E942</f>
        <v>2012</v>
      </c>
      <c r="B788" s="5">
        <f>Data!M942</f>
        <v>2.6</v>
      </c>
      <c r="C788" s="5">
        <f>Data!N942</f>
        <v>0.5</v>
      </c>
      <c r="D788" s="5">
        <f ca="1">Data!O942</f>
        <v>37.5</v>
      </c>
      <c r="E788" s="1">
        <f>Data!AQ942</f>
        <v>0.96</v>
      </c>
      <c r="F788" t="str">
        <f t="shared" si="12"/>
        <v/>
      </c>
      <c r="G788" s="5">
        <f ca="1">AVERAGE(D$2:D787)</f>
        <v>171.45052672370642</v>
      </c>
      <c r="H788" s="5">
        <f ca="1">PERCENTILE(D$2:D787,0.025)</f>
        <v>-3.1338665591395434</v>
      </c>
      <c r="I788" s="5">
        <f ca="1">PERCENTILE(D$2:D787,0.165)</f>
        <v>7.3617115683267258</v>
      </c>
      <c r="J788" s="5">
        <f ca="1">PERCENTILE(D$2:D787,0.5)</f>
        <v>46.692231958794878</v>
      </c>
      <c r="K788" s="5">
        <f ca="1">PERCENTILE(D$2:D787,0.835)</f>
        <v>215.24958493835615</v>
      </c>
      <c r="L788" s="5">
        <f ca="1">PERCENTILE(D$2:D787,0.975)</f>
        <v>1073.7942309877858</v>
      </c>
      <c r="M788" s="7">
        <f>AVERAGE(E$2:E787)</f>
        <v>1.2357575757575767</v>
      </c>
      <c r="N788" s="7">
        <f>PERCENTILE($E$2:$E787,0.025)</f>
        <v>-1.1000000000000001</v>
      </c>
      <c r="O788" s="7">
        <f>PERCENTILE($E$2:$E787,0.165)</f>
        <v>0</v>
      </c>
      <c r="P788" s="7">
        <f>PERCENTILE($E$2:$E787,0.5)</f>
        <v>1</v>
      </c>
      <c r="Q788" s="7">
        <f>PERCENTILE($E$2:$E787,0.835)</f>
        <v>3</v>
      </c>
      <c r="R788" s="7">
        <f>PERCENTILE($E$2:$E787,0.975)</f>
        <v>3</v>
      </c>
    </row>
    <row r="789" spans="1:18" x14ac:dyDescent="0.2">
      <c r="A789" s="5">
        <f>Data!E479</f>
        <v>2013</v>
      </c>
      <c r="B789" s="5">
        <f>Data!M479</f>
        <v>2.0999999999999996</v>
      </c>
      <c r="C789" s="5">
        <f>Data!N479</f>
        <v>0.33333333333333331</v>
      </c>
      <c r="D789" s="5">
        <f ca="1">Data!O479</f>
        <v>33.808268036227631</v>
      </c>
      <c r="E789" s="1">
        <f>Data!AQ479</f>
        <v>3</v>
      </c>
      <c r="F789">
        <f t="shared" si="12"/>
        <v>2013</v>
      </c>
      <c r="G789" s="5">
        <f ca="1">AVERAGE(D$2:D788)</f>
        <v>171.28032275074111</v>
      </c>
      <c r="H789" s="5">
        <f ca="1">PERCENTILE(D$2:D788,0.025)</f>
        <v>-3.1275863658620802</v>
      </c>
      <c r="I789" s="5">
        <f ca="1">PERCENTILE(D$2:D788,0.165)</f>
        <v>7.3617115683267258</v>
      </c>
      <c r="J789" s="5">
        <f ca="1">PERCENTILE(D$2:D788,0.5)</f>
        <v>46.610663652887361</v>
      </c>
      <c r="K789" s="5">
        <f ca="1">PERCENTILE(D$2:D788,0.835)</f>
        <v>214.81113443396845</v>
      </c>
      <c r="L789" s="5">
        <f ca="1">PERCENTILE(D$2:D788,0.975)</f>
        <v>1073.2437351183128</v>
      </c>
      <c r="M789" s="7">
        <f>AVERAGE(E$2:E788)</f>
        <v>1.2353403933434199</v>
      </c>
      <c r="N789" s="7">
        <f>PERCENTILE($E$2:$E788,0.025)</f>
        <v>-1.1000000000000001</v>
      </c>
      <c r="O789" s="7">
        <f>PERCENTILE($E$2:$E788,0.165)</f>
        <v>0</v>
      </c>
      <c r="P789" s="7">
        <f>PERCENTILE($E$2:$E788,0.5)</f>
        <v>1</v>
      </c>
      <c r="Q789" s="7">
        <f>PERCENTILE($E$2:$E788,0.835)</f>
        <v>3</v>
      </c>
      <c r="R789" s="7">
        <f>PERCENTILE($E$2:$E788,0.975)</f>
        <v>3</v>
      </c>
    </row>
    <row r="790" spans="1:18" x14ac:dyDescent="0.2">
      <c r="A790" s="5">
        <f>Data!E480</f>
        <v>2013</v>
      </c>
      <c r="B790" s="5">
        <f>Data!M480</f>
        <v>2.0999999999999996</v>
      </c>
      <c r="C790" s="5">
        <f>Data!N480</f>
        <v>0.33333333333333331</v>
      </c>
      <c r="D790" s="5">
        <f ca="1">Data!O480</f>
        <v>35.160598757676738</v>
      </c>
      <c r="E790" s="1">
        <f>Data!AQ480</f>
        <v>3</v>
      </c>
      <c r="F790" t="str">
        <f t="shared" si="12"/>
        <v/>
      </c>
      <c r="G790" s="5">
        <f ca="1">AVERAGE(D$2:D789)</f>
        <v>171.10586582851457</v>
      </c>
      <c r="H790" s="5">
        <f ca="1">PERCENTILE(D$2:D789,0.025)</f>
        <v>-3.1213061725846174</v>
      </c>
      <c r="I790" s="5">
        <f ca="1">PERCENTILE(D$2:D789,0.165)</f>
        <v>7.3617115683267258</v>
      </c>
      <c r="J790" s="5">
        <f ca="1">PERCENTILE(D$2:D789,0.5)</f>
        <v>46.610663652887361</v>
      </c>
      <c r="K790" s="5">
        <f ca="1">PERCENTILE(D$2:D789,0.835)</f>
        <v>214.37268392958103</v>
      </c>
      <c r="L790" s="5">
        <f ca="1">PERCENTILE(D$2:D789,0.975)</f>
        <v>1072.6932392488372</v>
      </c>
      <c r="M790" s="7">
        <f>AVERAGE(E$2:E789)</f>
        <v>1.2380060422960735</v>
      </c>
      <c r="N790" s="7">
        <f>PERCENTILE($E$2:$E789,0.025)</f>
        <v>-1.1000000000000001</v>
      </c>
      <c r="O790" s="7">
        <f>PERCENTILE($E$2:$E789,0.165)</f>
        <v>0</v>
      </c>
      <c r="P790" s="7">
        <f>PERCENTILE($E$2:$E789,0.5)</f>
        <v>1</v>
      </c>
      <c r="Q790" s="7">
        <f>PERCENTILE($E$2:$E789,0.835)</f>
        <v>3</v>
      </c>
      <c r="R790" s="7">
        <f>PERCENTILE($E$2:$E789,0.975)</f>
        <v>3</v>
      </c>
    </row>
    <row r="791" spans="1:18" x14ac:dyDescent="0.2">
      <c r="A791" s="5">
        <f>Data!E481</f>
        <v>2013</v>
      </c>
      <c r="B791" s="5">
        <f>Data!M481</f>
        <v>2.0999999999999996</v>
      </c>
      <c r="C791" s="5">
        <f>Data!N481</f>
        <v>0.33333333333333331</v>
      </c>
      <c r="D791" s="5">
        <f ca="1">Data!O481</f>
        <v>48.170020298017135</v>
      </c>
      <c r="E791" s="1">
        <f>Data!AQ481</f>
        <v>3</v>
      </c>
      <c r="F791" t="str">
        <f t="shared" si="12"/>
        <v/>
      </c>
      <c r="G791" s="5">
        <f ca="1">AVERAGE(D$2:D790)</f>
        <v>170.93356510979359</v>
      </c>
      <c r="H791" s="5">
        <f ca="1">PERCENTILE(D$2:D790,0.025)</f>
        <v>-3.1150259793071542</v>
      </c>
      <c r="I791" s="5">
        <f ca="1">PERCENTILE(D$2:D790,0.165)</f>
        <v>7.3744773369601981</v>
      </c>
      <c r="J791" s="5">
        <f ca="1">PERCENTILE(D$2:D790,0.5)</f>
        <v>46.610663652887361</v>
      </c>
      <c r="K791" s="5">
        <f ca="1">PERCENTILE(D$2:D790,0.835)</f>
        <v>213.9792665149823</v>
      </c>
      <c r="L791" s="5">
        <f ca="1">PERCENTILE(D$2:D790,0.975)</f>
        <v>1072.1427433793644</v>
      </c>
      <c r="M791" s="7">
        <f>AVERAGE(E$2:E790)</f>
        <v>1.2406636500754158</v>
      </c>
      <c r="N791" s="7">
        <f>PERCENTILE($E$2:$E790,0.025)</f>
        <v>-1.1000000000000001</v>
      </c>
      <c r="O791" s="7">
        <f>PERCENTILE($E$2:$E790,0.165)</f>
        <v>0</v>
      </c>
      <c r="P791" s="7">
        <f>PERCENTILE($E$2:$E790,0.5)</f>
        <v>1</v>
      </c>
      <c r="Q791" s="7">
        <f>PERCENTILE($E$2:$E790,0.835)</f>
        <v>3</v>
      </c>
      <c r="R791" s="7">
        <f>PERCENTILE($E$2:$E790,0.975)</f>
        <v>3</v>
      </c>
    </row>
    <row r="792" spans="1:18" x14ac:dyDescent="0.2">
      <c r="A792" s="5">
        <f>Data!E767</f>
        <v>2013</v>
      </c>
      <c r="B792" s="5">
        <f>Data!M767</f>
        <v>5.04</v>
      </c>
      <c r="C792" s="5">
        <f>Data!N767</f>
        <v>0.8</v>
      </c>
      <c r="D792" s="5">
        <f ca="1">Data!O767</f>
        <v>438.04729817374971</v>
      </c>
      <c r="E792" s="1" t="str">
        <f>Data!AQ767</f>
        <v>NA</v>
      </c>
      <c r="F792" t="str">
        <f t="shared" si="12"/>
        <v/>
      </c>
      <c r="G792" s="5">
        <f ca="1">AVERAGE(D$2:D791)</f>
        <v>170.77816821762679</v>
      </c>
      <c r="H792" s="5">
        <f ca="1">PERCENTILE(D$2:D791,0.025)</f>
        <v>-3.1087457860296919</v>
      </c>
      <c r="I792" s="5">
        <f ca="1">PERCENTILE(D$2:D791,0.165)</f>
        <v>7.4797949281862826</v>
      </c>
      <c r="J792" s="5">
        <f ca="1">PERCENTILE(D$2:D791,0.5)</f>
        <v>46.610663652887361</v>
      </c>
      <c r="K792" s="5">
        <f ca="1">PERCENTILE(D$2:D791,0.835)</f>
        <v>213.912339001352</v>
      </c>
      <c r="L792" s="5">
        <f ca="1">PERCENTILE(D$2:D791,0.975)</f>
        <v>1071.5922475098914</v>
      </c>
      <c r="M792" s="7">
        <f>AVERAGE(E$2:E791)</f>
        <v>1.2433132530120492</v>
      </c>
      <c r="N792" s="7">
        <f>PERCENTILE($E$2:$E791,0.025)</f>
        <v>-1.1000000000000001</v>
      </c>
      <c r="O792" s="7">
        <f>PERCENTILE($E$2:$E791,0.165)</f>
        <v>0</v>
      </c>
      <c r="P792" s="7">
        <f>PERCENTILE($E$2:$E791,0.5)</f>
        <v>1</v>
      </c>
      <c r="Q792" s="7">
        <f>PERCENTILE($E$2:$E791,0.835)</f>
        <v>3</v>
      </c>
      <c r="R792" s="7">
        <f>PERCENTILE($E$2:$E791,0.975)</f>
        <v>3</v>
      </c>
    </row>
    <row r="793" spans="1:18" x14ac:dyDescent="0.2">
      <c r="A793" s="5">
        <f>Data!E768</f>
        <v>2013</v>
      </c>
      <c r="B793" s="5">
        <f>Data!M768</f>
        <v>0.63</v>
      </c>
      <c r="C793" s="5">
        <f>Data!N768</f>
        <v>0.1</v>
      </c>
      <c r="D793" s="5">
        <f ca="1">Data!O768</f>
        <v>564.9581976446492</v>
      </c>
      <c r="E793" s="1" t="str">
        <f>Data!AQ768</f>
        <v>NA</v>
      </c>
      <c r="F793" t="str">
        <f t="shared" si="12"/>
        <v/>
      </c>
      <c r="G793" s="5">
        <f ca="1">AVERAGE(D$2:D792)</f>
        <v>171.11605586611745</v>
      </c>
      <c r="H793" s="5">
        <f ca="1">PERCENTILE(D$2:D792,0.025)</f>
        <v>-3.1024655927522291</v>
      </c>
      <c r="I793" s="5">
        <f ca="1">PERCENTILE(D$2:D792,0.165)</f>
        <v>7.5851125194123679</v>
      </c>
      <c r="J793" s="5">
        <f ca="1">PERCENTILE(D$2:D792,0.5)</f>
        <v>46.610663652887361</v>
      </c>
      <c r="K793" s="5">
        <f ca="1">PERCENTILE(D$2:D792,0.835)</f>
        <v>215.71460820058522</v>
      </c>
      <c r="L793" s="5">
        <f ca="1">PERCENTILE(D$2:D792,0.975)</f>
        <v>1071.0417516404186</v>
      </c>
      <c r="M793" s="7">
        <f>AVERAGE(E$2:E792)</f>
        <v>1.2433132530120492</v>
      </c>
      <c r="N793" s="7">
        <f>PERCENTILE($E$2:$E792,0.025)</f>
        <v>-1.1000000000000001</v>
      </c>
      <c r="O793" s="7">
        <f>PERCENTILE($E$2:$E792,0.165)</f>
        <v>0</v>
      </c>
      <c r="P793" s="7">
        <f>PERCENTILE($E$2:$E792,0.5)</f>
        <v>1</v>
      </c>
      <c r="Q793" s="7">
        <f>PERCENTILE($E$2:$E792,0.835)</f>
        <v>3</v>
      </c>
      <c r="R793" s="7">
        <f>PERCENTILE($E$2:$E792,0.975)</f>
        <v>3</v>
      </c>
    </row>
    <row r="794" spans="1:18" x14ac:dyDescent="0.2">
      <c r="A794" s="5">
        <f>Data!E769</f>
        <v>2013</v>
      </c>
      <c r="B794" s="5">
        <f>Data!M769</f>
        <v>0.63</v>
      </c>
      <c r="C794" s="5">
        <f>Data!N769</f>
        <v>0.1</v>
      </c>
      <c r="D794" s="5">
        <f ca="1">Data!O769</f>
        <v>433.95339819081755</v>
      </c>
      <c r="E794" s="1" t="str">
        <f>Data!AQ769</f>
        <v>NA</v>
      </c>
      <c r="F794" t="str">
        <f t="shared" si="12"/>
        <v/>
      </c>
      <c r="G794" s="5">
        <f ca="1">AVERAGE(D$2:D793)</f>
        <v>171.613331297656</v>
      </c>
      <c r="H794" s="5">
        <f ca="1">PERCENTILE(D$2:D793,0.025)</f>
        <v>-3.0961853994747659</v>
      </c>
      <c r="I794" s="5">
        <f ca="1">PERCENTILE(D$2:D793,0.165)</f>
        <v>7.6904301106384718</v>
      </c>
      <c r="J794" s="5">
        <f ca="1">PERCENTILE(D$2:D793,0.5)</f>
        <v>46.692231958794878</v>
      </c>
      <c r="K794" s="5">
        <f ca="1">PERCENTILE(D$2:D793,0.835)</f>
        <v>217.58776543462079</v>
      </c>
      <c r="L794" s="5">
        <f ca="1">PERCENTILE(D$2:D793,0.975)</f>
        <v>1070.4912557709456</v>
      </c>
      <c r="M794" s="7">
        <f>AVERAGE(E$2:E793)</f>
        <v>1.2433132530120492</v>
      </c>
      <c r="N794" s="7">
        <f>PERCENTILE($E$2:$E793,0.025)</f>
        <v>-1.1000000000000001</v>
      </c>
      <c r="O794" s="7">
        <f>PERCENTILE($E$2:$E793,0.165)</f>
        <v>0</v>
      </c>
      <c r="P794" s="7">
        <f>PERCENTILE($E$2:$E793,0.5)</f>
        <v>1</v>
      </c>
      <c r="Q794" s="7">
        <f>PERCENTILE($E$2:$E793,0.835)</f>
        <v>3</v>
      </c>
      <c r="R794" s="7">
        <f>PERCENTILE($E$2:$E793,0.975)</f>
        <v>3</v>
      </c>
    </row>
    <row r="795" spans="1:18" x14ac:dyDescent="0.2">
      <c r="A795" s="5">
        <f>Data!E770</f>
        <v>2013</v>
      </c>
      <c r="B795" s="5">
        <f>Data!M770</f>
        <v>6.3E-2</v>
      </c>
      <c r="C795" s="5">
        <f>Data!N770</f>
        <v>0.01</v>
      </c>
      <c r="D795" s="5">
        <f ca="1">Data!O770</f>
        <v>418.57508534564306</v>
      </c>
      <c r="E795" s="1" t="str">
        <f>Data!AQ770</f>
        <v>NA</v>
      </c>
      <c r="F795" t="str">
        <f t="shared" si="12"/>
        <v/>
      </c>
      <c r="G795" s="5">
        <f ca="1">AVERAGE(D$2:D794)</f>
        <v>171.94415105414171</v>
      </c>
      <c r="H795" s="5">
        <f ca="1">PERCENTILE(D$2:D794,0.025)</f>
        <v>-3.0899052061973031</v>
      </c>
      <c r="I795" s="5">
        <f ca="1">PERCENTILE(D$2:D794,0.165)</f>
        <v>7.7957477018645562</v>
      </c>
      <c r="J795" s="5">
        <f ca="1">PERCENTILE(D$2:D794,0.5)</f>
        <v>46.773800264702388</v>
      </c>
      <c r="K795" s="5">
        <f ca="1">PERCENTILE(D$2:D794,0.835)</f>
        <v>219.27902480234786</v>
      </c>
      <c r="L795" s="5">
        <f ca="1">PERCENTILE(D$2:D794,0.975)</f>
        <v>1069.9407599014701</v>
      </c>
      <c r="M795" s="7">
        <f>AVERAGE(E$2:E794)</f>
        <v>1.2433132530120492</v>
      </c>
      <c r="N795" s="7">
        <f>PERCENTILE($E$2:$E794,0.025)</f>
        <v>-1.1000000000000001</v>
      </c>
      <c r="O795" s="7">
        <f>PERCENTILE($E$2:$E794,0.165)</f>
        <v>0</v>
      </c>
      <c r="P795" s="7">
        <f>PERCENTILE($E$2:$E794,0.5)</f>
        <v>1</v>
      </c>
      <c r="Q795" s="7">
        <f>PERCENTILE($E$2:$E794,0.835)</f>
        <v>3</v>
      </c>
      <c r="R795" s="7">
        <f>PERCENTILE($E$2:$E794,0.975)</f>
        <v>3</v>
      </c>
    </row>
    <row r="796" spans="1:18" x14ac:dyDescent="0.2">
      <c r="A796" s="5">
        <f>Data!E771</f>
        <v>2013</v>
      </c>
      <c r="B796" s="5">
        <f>Data!M771</f>
        <v>6.3E-2</v>
      </c>
      <c r="C796" s="5">
        <f>Data!N771</f>
        <v>0.01</v>
      </c>
      <c r="D796" s="5">
        <f ca="1">Data!O771</f>
        <v>170.53059032600274</v>
      </c>
      <c r="E796" s="1" t="str">
        <f>Data!AQ771</f>
        <v>NA</v>
      </c>
      <c r="F796" t="str">
        <f t="shared" si="12"/>
        <v/>
      </c>
      <c r="G796" s="5">
        <f ca="1">AVERAGE(D$2:D795)</f>
        <v>172.25476935929476</v>
      </c>
      <c r="H796" s="5">
        <f ca="1">PERCENTILE(D$2:D795,0.025)</f>
        <v>-3.0836250129198399</v>
      </c>
      <c r="I796" s="5">
        <f ca="1">PERCENTILE(D$2:D795,0.165)</f>
        <v>7.9010652930906415</v>
      </c>
      <c r="J796" s="5">
        <f ca="1">PERCENTILE(D$2:D795,0.5)</f>
        <v>46.819928272852984</v>
      </c>
      <c r="K796" s="5">
        <f ca="1">PERCENTILE(D$2:D795,0.835)</f>
        <v>221.06106054325426</v>
      </c>
      <c r="L796" s="5">
        <f ca="1">PERCENTILE(D$2:D795,0.975)</f>
        <v>1069.3902640319973</v>
      </c>
      <c r="M796" s="7">
        <f>AVERAGE(E$2:E795)</f>
        <v>1.2433132530120492</v>
      </c>
      <c r="N796" s="7">
        <f>PERCENTILE($E$2:$E795,0.025)</f>
        <v>-1.1000000000000001</v>
      </c>
      <c r="O796" s="7">
        <f>PERCENTILE($E$2:$E795,0.165)</f>
        <v>0</v>
      </c>
      <c r="P796" s="7">
        <f>PERCENTILE($E$2:$E795,0.5)</f>
        <v>1</v>
      </c>
      <c r="Q796" s="7">
        <f>PERCENTILE($E$2:$E795,0.835)</f>
        <v>3</v>
      </c>
      <c r="R796" s="7">
        <f>PERCENTILE($E$2:$E795,0.975)</f>
        <v>3</v>
      </c>
    </row>
    <row r="797" spans="1:18" x14ac:dyDescent="0.2">
      <c r="A797" s="5">
        <f>Data!E772</f>
        <v>2013</v>
      </c>
      <c r="B797" s="5">
        <f>Data!M772</f>
        <v>6.3E-2</v>
      </c>
      <c r="C797" s="5">
        <f>Data!N772</f>
        <v>0.01</v>
      </c>
      <c r="D797" s="5">
        <f ca="1">Data!O772</f>
        <v>180.58467908902691</v>
      </c>
      <c r="E797" s="1" t="str">
        <f>Data!AQ772</f>
        <v>NA</v>
      </c>
      <c r="F797" t="str">
        <f t="shared" si="12"/>
        <v/>
      </c>
      <c r="G797" s="5">
        <f ca="1">AVERAGE(D$2:D796)</f>
        <v>172.25260058063651</v>
      </c>
      <c r="H797" s="5">
        <f ca="1">PERCENTILE(D$2:D796,0.025)</f>
        <v>-3.0773448196423776</v>
      </c>
      <c r="I797" s="5">
        <f ca="1">PERCENTILE(D$2:D796,0.165)</f>
        <v>8</v>
      </c>
      <c r="J797" s="5">
        <f ca="1">PERCENTILE(D$2:D796,0.5)</f>
        <v>46.86605628100358</v>
      </c>
      <c r="K797" s="5">
        <f ca="1">PERCENTILE(D$2:D796,0.835)</f>
        <v>220.72331849566885</v>
      </c>
      <c r="L797" s="5">
        <f ca="1">PERCENTILE(D$2:D796,0.975)</f>
        <v>1068.8397681625243</v>
      </c>
      <c r="M797" s="7">
        <f>AVERAGE(E$2:E796)</f>
        <v>1.2433132530120492</v>
      </c>
      <c r="N797" s="7">
        <f>PERCENTILE($E$2:$E796,0.025)</f>
        <v>-1.1000000000000001</v>
      </c>
      <c r="O797" s="7">
        <f>PERCENTILE($E$2:$E796,0.165)</f>
        <v>0</v>
      </c>
      <c r="P797" s="7">
        <f>PERCENTILE($E$2:$E796,0.5)</f>
        <v>1</v>
      </c>
      <c r="Q797" s="7">
        <f>PERCENTILE($E$2:$E796,0.835)</f>
        <v>3</v>
      </c>
      <c r="R797" s="7">
        <f>PERCENTILE($E$2:$E796,0.975)</f>
        <v>3</v>
      </c>
    </row>
    <row r="798" spans="1:18" x14ac:dyDescent="0.2">
      <c r="A798" s="5">
        <f>Data!E773</f>
        <v>2013</v>
      </c>
      <c r="B798" s="5">
        <f>Data!M773</f>
        <v>6.3E-2</v>
      </c>
      <c r="C798" s="5">
        <f>Data!N773</f>
        <v>0.01</v>
      </c>
      <c r="D798" s="5">
        <f ca="1">Data!O773</f>
        <v>67.719254658385097</v>
      </c>
      <c r="E798" s="1" t="str">
        <f>Data!AQ773</f>
        <v>NA</v>
      </c>
      <c r="F798" t="str">
        <f t="shared" si="12"/>
        <v/>
      </c>
      <c r="G798" s="5">
        <f ca="1">AVERAGE(D$2:D797)</f>
        <v>172.26306801594856</v>
      </c>
      <c r="H798" s="5">
        <f ca="1">PERCENTILE(D$2:D797,0.025)</f>
        <v>-3.0710646263649148</v>
      </c>
      <c r="I798" s="5">
        <f ca="1">PERCENTILE(D$2:D797,0.165)</f>
        <v>8</v>
      </c>
      <c r="J798" s="5">
        <f ca="1">PERCENTILE(D$2:D797,0.5)</f>
        <v>46.97489649926797</v>
      </c>
      <c r="K798" s="5">
        <f ca="1">PERCENTILE(D$2:D797,0.835)</f>
        <v>220.36763422791057</v>
      </c>
      <c r="L798" s="5">
        <f ca="1">PERCENTILE(D$2:D797,0.975)</f>
        <v>1068.2892722930512</v>
      </c>
      <c r="M798" s="7">
        <f>AVERAGE(E$2:E797)</f>
        <v>1.2433132530120492</v>
      </c>
      <c r="N798" s="7">
        <f>PERCENTILE($E$2:$E797,0.025)</f>
        <v>-1.1000000000000001</v>
      </c>
      <c r="O798" s="7">
        <f>PERCENTILE($E$2:$E797,0.165)</f>
        <v>0</v>
      </c>
      <c r="P798" s="7">
        <f>PERCENTILE($E$2:$E797,0.5)</f>
        <v>1</v>
      </c>
      <c r="Q798" s="7">
        <f>PERCENTILE($E$2:$E797,0.835)</f>
        <v>3</v>
      </c>
      <c r="R798" s="7">
        <f>PERCENTILE($E$2:$E797,0.975)</f>
        <v>3</v>
      </c>
    </row>
    <row r="799" spans="1:18" x14ac:dyDescent="0.2">
      <c r="A799" s="5">
        <f>Data!E774</f>
        <v>2013</v>
      </c>
      <c r="B799" s="5">
        <f>Data!M774</f>
        <v>6.3E-2</v>
      </c>
      <c r="C799" s="5">
        <f>Data!N774</f>
        <v>0.01</v>
      </c>
      <c r="D799" s="5">
        <f ca="1">Data!O774</f>
        <v>69.596299709848097</v>
      </c>
      <c r="E799" s="1" t="str">
        <f>Data!AQ774</f>
        <v>NA</v>
      </c>
      <c r="F799" t="str">
        <f t="shared" si="12"/>
        <v/>
      </c>
      <c r="G799" s="5">
        <f ca="1">AVERAGE(D$2:D798)</f>
        <v>172.13189635552501</v>
      </c>
      <c r="H799" s="5">
        <f ca="1">PERCENTILE(D$2:D798,0.025)</f>
        <v>-3.0647844330874516</v>
      </c>
      <c r="I799" s="5">
        <f ca="1">PERCENTILE(D$2:D798,0.165)</f>
        <v>8</v>
      </c>
      <c r="J799" s="5">
        <f ca="1">PERCENTILE(D$2:D798,0.5)</f>
        <v>47.083736717532361</v>
      </c>
      <c r="K799" s="5">
        <f ca="1">PERCENTILE(D$2:D798,0.835)</f>
        <v>220.01194996015255</v>
      </c>
      <c r="L799" s="5">
        <f ca="1">PERCENTILE(D$2:D798,0.975)</f>
        <v>1067.7387764235784</v>
      </c>
      <c r="M799" s="7">
        <f>AVERAGE(E$2:E798)</f>
        <v>1.2433132530120492</v>
      </c>
      <c r="N799" s="7">
        <f>PERCENTILE($E$2:$E798,0.025)</f>
        <v>-1.1000000000000001</v>
      </c>
      <c r="O799" s="7">
        <f>PERCENTILE($E$2:$E798,0.165)</f>
        <v>0</v>
      </c>
      <c r="P799" s="7">
        <f>PERCENTILE($E$2:$E798,0.5)</f>
        <v>1</v>
      </c>
      <c r="Q799" s="7">
        <f>PERCENTILE($E$2:$E798,0.835)</f>
        <v>3</v>
      </c>
      <c r="R799" s="7">
        <f>PERCENTILE($E$2:$E798,0.975)</f>
        <v>3</v>
      </c>
    </row>
    <row r="800" spans="1:18" x14ac:dyDescent="0.2">
      <c r="A800" s="5">
        <f>Data!E775</f>
        <v>2013</v>
      </c>
      <c r="B800" s="5">
        <f>Data!M775</f>
        <v>6.3E-2</v>
      </c>
      <c r="C800" s="5">
        <f>Data!N775</f>
        <v>0.01</v>
      </c>
      <c r="D800" s="5">
        <f ca="1">Data!O775</f>
        <v>298.85469875405357</v>
      </c>
      <c r="E800" s="1" t="str">
        <f>Data!AQ775</f>
        <v>NA</v>
      </c>
      <c r="F800" t="str">
        <f t="shared" si="12"/>
        <v/>
      </c>
      <c r="G800" s="5">
        <f ca="1">AVERAGE(D$2:D799)</f>
        <v>172.00340563291138</v>
      </c>
      <c r="H800" s="5">
        <f ca="1">PERCENTILE(D$2:D799,0.025)</f>
        <v>-3.0585042398099889</v>
      </c>
      <c r="I800" s="5">
        <f ca="1">PERCENTILE(D$2:D799,0.165)</f>
        <v>8</v>
      </c>
      <c r="J800" s="5">
        <f ca="1">PERCENTILE(D$2:D799,0.5)</f>
        <v>47.193104978547311</v>
      </c>
      <c r="K800" s="5">
        <f ca="1">PERCENTILE(D$2:D799,0.835)</f>
        <v>219.6562656923945</v>
      </c>
      <c r="L800" s="5">
        <f ca="1">PERCENTILE(D$2:D799,0.975)</f>
        <v>1067.1882805541029</v>
      </c>
      <c r="M800" s="7">
        <f>AVERAGE(E$2:E799)</f>
        <v>1.2433132530120492</v>
      </c>
      <c r="N800" s="7">
        <f>PERCENTILE($E$2:$E799,0.025)</f>
        <v>-1.1000000000000001</v>
      </c>
      <c r="O800" s="7">
        <f>PERCENTILE($E$2:$E799,0.165)</f>
        <v>0</v>
      </c>
      <c r="P800" s="7">
        <f>PERCENTILE($E$2:$E799,0.5)</f>
        <v>1</v>
      </c>
      <c r="Q800" s="7">
        <f>PERCENTILE($E$2:$E799,0.835)</f>
        <v>3</v>
      </c>
      <c r="R800" s="7">
        <f>PERCENTILE($E$2:$E799,0.975)</f>
        <v>3</v>
      </c>
    </row>
    <row r="801" spans="1:18" x14ac:dyDescent="0.2">
      <c r="A801" s="5">
        <f>Data!E776</f>
        <v>2013</v>
      </c>
      <c r="B801" s="5">
        <f>Data!M776</f>
        <v>6.3E-2</v>
      </c>
      <c r="C801" s="5">
        <f>Data!N776</f>
        <v>0.01</v>
      </c>
      <c r="D801" s="5">
        <f ca="1">Data!O776</f>
        <v>229.25839904420548</v>
      </c>
      <c r="E801" s="1" t="str">
        <f>Data!AQ776</f>
        <v>NA</v>
      </c>
      <c r="F801" t="str">
        <f t="shared" si="12"/>
        <v/>
      </c>
      <c r="G801" s="5">
        <f ca="1">AVERAGE(D$2:D800)</f>
        <v>172.16216820252481</v>
      </c>
      <c r="H801" s="5">
        <f ca="1">PERCENTILE(D$2:D800,0.025)</f>
        <v>-3.0522240465325257</v>
      </c>
      <c r="I801" s="5">
        <f ca="1">PERCENTILE(D$2:D800,0.165)</f>
        <v>8</v>
      </c>
      <c r="J801" s="5">
        <f ca="1">PERCENTILE(D$2:D800,0.5)</f>
        <v>47.302473239562268</v>
      </c>
      <c r="K801" s="5">
        <f ca="1">PERCENTILE(D$2:D800,0.835)</f>
        <v>221.41804408794445</v>
      </c>
      <c r="L801" s="5">
        <f ca="1">PERCENTILE(D$2:D800,0.975)</f>
        <v>1066.6377846846299</v>
      </c>
      <c r="M801" s="7">
        <f>AVERAGE(E$2:E800)</f>
        <v>1.2433132530120492</v>
      </c>
      <c r="N801" s="7">
        <f>PERCENTILE($E$2:$E800,0.025)</f>
        <v>-1.1000000000000001</v>
      </c>
      <c r="O801" s="7">
        <f>PERCENTILE($E$2:$E800,0.165)</f>
        <v>0</v>
      </c>
      <c r="P801" s="7">
        <f>PERCENTILE($E$2:$E800,0.5)</f>
        <v>1</v>
      </c>
      <c r="Q801" s="7">
        <f>PERCENTILE($E$2:$E800,0.835)</f>
        <v>3</v>
      </c>
      <c r="R801" s="7">
        <f>PERCENTILE($E$2:$E800,0.975)</f>
        <v>3</v>
      </c>
    </row>
    <row r="802" spans="1:18" x14ac:dyDescent="0.2">
      <c r="A802" s="5">
        <f>Data!E777</f>
        <v>2013</v>
      </c>
      <c r="B802" s="5">
        <f>Data!M777</f>
        <v>6.3E-2</v>
      </c>
      <c r="C802" s="5">
        <f>Data!N777</f>
        <v>0.01</v>
      </c>
      <c r="D802" s="5">
        <f ca="1">Data!O777</f>
        <v>290.66689878818909</v>
      </c>
      <c r="E802" s="1" t="str">
        <f>Data!AQ777</f>
        <v>NA</v>
      </c>
      <c r="F802" t="str">
        <f t="shared" si="12"/>
        <v/>
      </c>
      <c r="G802" s="5">
        <f ca="1">AVERAGE(D$2:D801)</f>
        <v>172.2335384910769</v>
      </c>
      <c r="H802" s="5">
        <f ca="1">PERCENTILE(D$2:D801,0.025)</f>
        <v>-3.0459438532550629</v>
      </c>
      <c r="I802" s="5">
        <f ca="1">PERCENTILE(D$2:D801,0.165)</f>
        <v>8</v>
      </c>
      <c r="J802" s="5">
        <f ca="1">PERCENTILE(D$2:D801,0.5)</f>
        <v>47.47446470903467</v>
      </c>
      <c r="K802" s="5">
        <f ca="1">PERCENTILE(D$2:D801,0.835)</f>
        <v>223.29705852066397</v>
      </c>
      <c r="L802" s="5">
        <f ca="1">PERCENTILE(D$2:D801,0.975)</f>
        <v>1066.0872888151571</v>
      </c>
      <c r="M802" s="7">
        <f>AVERAGE(E$2:E801)</f>
        <v>1.2433132530120492</v>
      </c>
      <c r="N802" s="7">
        <f>PERCENTILE($E$2:$E801,0.025)</f>
        <v>-1.1000000000000001</v>
      </c>
      <c r="O802" s="7">
        <f>PERCENTILE($E$2:$E801,0.165)</f>
        <v>0</v>
      </c>
      <c r="P802" s="7">
        <f>PERCENTILE($E$2:$E801,0.5)</f>
        <v>1</v>
      </c>
      <c r="Q802" s="7">
        <f>PERCENTILE($E$2:$E801,0.835)</f>
        <v>3</v>
      </c>
      <c r="R802" s="7">
        <f>PERCENTILE($E$2:$E801,0.975)</f>
        <v>3</v>
      </c>
    </row>
    <row r="803" spans="1:18" x14ac:dyDescent="0.2">
      <c r="A803" s="5">
        <f>Data!E778</f>
        <v>2013</v>
      </c>
      <c r="B803" s="5">
        <f>Data!M778</f>
        <v>5.7960000000000003</v>
      </c>
      <c r="C803" s="5">
        <f>Data!N778</f>
        <v>0.92</v>
      </c>
      <c r="D803" s="5">
        <f ca="1">Data!O778</f>
        <v>433.95339819081755</v>
      </c>
      <c r="E803" s="1" t="str">
        <f>Data!AQ778</f>
        <v>NA</v>
      </c>
      <c r="F803" t="str">
        <f t="shared" si="12"/>
        <v/>
      </c>
      <c r="G803" s="5">
        <f ca="1">AVERAGE(D$2:D802)</f>
        <v>172.3813953703492</v>
      </c>
      <c r="H803" s="5">
        <f ca="1">PERCENTILE(D$2:D802,0.025)</f>
        <v>-3.0396636599776006</v>
      </c>
      <c r="I803" s="5">
        <f ca="1">PERCENTILE(D$2:D802,0.165)</f>
        <v>8</v>
      </c>
      <c r="J803" s="5">
        <f ca="1">PERCENTILE(D$2:D802,0.5)</f>
        <v>47.646456178507073</v>
      </c>
      <c r="K803" s="5">
        <f ca="1">PERCENTILE(D$2:D802,0.835)</f>
        <v>225.88949280305911</v>
      </c>
      <c r="L803" s="5">
        <f ca="1">PERCENTILE(D$2:D802,0.975)</f>
        <v>1065.5367929456841</v>
      </c>
      <c r="M803" s="7">
        <f>AVERAGE(E$2:E802)</f>
        <v>1.2433132530120492</v>
      </c>
      <c r="N803" s="7">
        <f>PERCENTILE($E$2:$E802,0.025)</f>
        <v>-1.1000000000000001</v>
      </c>
      <c r="O803" s="7">
        <f>PERCENTILE($E$2:$E802,0.165)</f>
        <v>0</v>
      </c>
      <c r="P803" s="7">
        <f>PERCENTILE($E$2:$E802,0.5)</f>
        <v>1</v>
      </c>
      <c r="Q803" s="7">
        <f>PERCENTILE($E$2:$E802,0.835)</f>
        <v>3</v>
      </c>
      <c r="R803" s="7">
        <f>PERCENTILE($E$2:$E802,0.975)</f>
        <v>3</v>
      </c>
    </row>
    <row r="804" spans="1:18" x14ac:dyDescent="0.2">
      <c r="A804" s="5">
        <f>Data!E779</f>
        <v>2013</v>
      </c>
      <c r="B804" s="5">
        <f>Data!M779</f>
        <v>0.66363636363636369</v>
      </c>
      <c r="C804" s="5">
        <f>Data!N779</f>
        <v>9.0909090909090912E-2</v>
      </c>
      <c r="D804" s="5">
        <f ca="1">Data!O779</f>
        <v>496.48724688996595</v>
      </c>
      <c r="E804" s="1">
        <f>Data!AQ779</f>
        <v>0.1</v>
      </c>
      <c r="F804" t="str">
        <f t="shared" si="12"/>
        <v/>
      </c>
      <c r="G804" s="5">
        <f ca="1">AVERAGE(D$2:D803)</f>
        <v>172.70754499980114</v>
      </c>
      <c r="H804" s="5">
        <f ca="1">PERCENTILE(D$2:D803,0.025)</f>
        <v>-3.0316357167721231</v>
      </c>
      <c r="I804" s="5">
        <f ca="1">PERCENTILE(D$2:D803,0.165)</f>
        <v>8</v>
      </c>
      <c r="J804" s="5">
        <f ca="1">PERCENTILE(D$2:D803,0.5)</f>
        <v>47.648120966211899</v>
      </c>
      <c r="K804" s="5">
        <f ca="1">PERCENTILE(D$2:D803,0.835)</f>
        <v>226.68196650995461</v>
      </c>
      <c r="L804" s="5">
        <f ca="1">PERCENTILE(D$2:D803,0.975)</f>
        <v>1065.0003447676593</v>
      </c>
      <c r="M804" s="7">
        <f>AVERAGE(E$2:E803)</f>
        <v>1.2433132530120492</v>
      </c>
      <c r="N804" s="7">
        <f>PERCENTILE($E$2:$E803,0.025)</f>
        <v>-1.1000000000000001</v>
      </c>
      <c r="O804" s="7">
        <f>PERCENTILE($E$2:$E803,0.165)</f>
        <v>0</v>
      </c>
      <c r="P804" s="7">
        <f>PERCENTILE($E$2:$E803,0.5)</f>
        <v>1</v>
      </c>
      <c r="Q804" s="7">
        <f>PERCENTILE($E$2:$E803,0.835)</f>
        <v>3</v>
      </c>
      <c r="R804" s="7">
        <f>PERCENTILE($E$2:$E803,0.975)</f>
        <v>3</v>
      </c>
    </row>
    <row r="805" spans="1:18" x14ac:dyDescent="0.2">
      <c r="A805" s="5">
        <f>Data!E780</f>
        <v>2013</v>
      </c>
      <c r="B805" s="5">
        <f>Data!M780</f>
        <v>0.66363636363636369</v>
      </c>
      <c r="C805" s="5">
        <f>Data!N780</f>
        <v>9.0909090909090912E-2</v>
      </c>
      <c r="D805" s="5">
        <f ca="1">Data!O780</f>
        <v>193.19783655447154</v>
      </c>
      <c r="E805" s="1">
        <f>Data!AQ780</f>
        <v>0.1</v>
      </c>
      <c r="F805" t="str">
        <f t="shared" si="12"/>
        <v/>
      </c>
      <c r="G805" s="5">
        <f ca="1">AVERAGE(D$2:D804)</f>
        <v>173.11075757998816</v>
      </c>
      <c r="H805" s="5">
        <f ca="1">PERCENTILE(D$2:D804,0.025)</f>
        <v>-3.0236077735666469</v>
      </c>
      <c r="I805" s="5">
        <f ca="1">PERCENTILE(D$2:D804,0.165)</f>
        <v>8</v>
      </c>
      <c r="J805" s="5">
        <f ca="1">PERCENTILE(D$2:D804,0.5)</f>
        <v>47.649785753916724</v>
      </c>
      <c r="K805" s="5">
        <f ca="1">PERCENTILE(D$2:D804,0.835)</f>
        <v>226.83856311071847</v>
      </c>
      <c r="L805" s="5">
        <f ca="1">PERCENTILE(D$2:D804,0.975)</f>
        <v>1064.4638965896322</v>
      </c>
      <c r="M805" s="7">
        <f>AVERAGE(E$2:E804)</f>
        <v>1.2415939849624069</v>
      </c>
      <c r="N805" s="7">
        <f>PERCENTILE($E$2:$E804,0.025)</f>
        <v>-1.1000000000000001</v>
      </c>
      <c r="O805" s="7">
        <f>PERCENTILE($E$2:$E804,0.165)</f>
        <v>0</v>
      </c>
      <c r="P805" s="7">
        <f>PERCENTILE($E$2:$E804,0.5)</f>
        <v>1</v>
      </c>
      <c r="Q805" s="7">
        <f>PERCENTILE($E$2:$E804,0.835)</f>
        <v>3</v>
      </c>
      <c r="R805" s="7">
        <f>PERCENTILE($E$2:$E804,0.975)</f>
        <v>3</v>
      </c>
    </row>
    <row r="806" spans="1:18" x14ac:dyDescent="0.2">
      <c r="A806" s="5">
        <f>Data!E781</f>
        <v>2013</v>
      </c>
      <c r="B806" s="5">
        <f>Data!M781</f>
        <v>0.66363636363636369</v>
      </c>
      <c r="C806" s="5">
        <f>Data!N781</f>
        <v>9.0909090909090912E-2</v>
      </c>
      <c r="D806" s="5">
        <f ca="1">Data!O781</f>
        <v>82.389486189873224</v>
      </c>
      <c r="E806" s="1">
        <f>Data!AQ781</f>
        <v>0.1</v>
      </c>
      <c r="F806" t="str">
        <f t="shared" si="12"/>
        <v/>
      </c>
      <c r="G806" s="5">
        <f ca="1">AVERAGE(D$2:D805)</f>
        <v>173.13574150906089</v>
      </c>
      <c r="H806" s="5">
        <f ca="1">PERCENTILE(D$2:D805,0.025)</f>
        <v>-3.0155798303611694</v>
      </c>
      <c r="I806" s="5">
        <f ca="1">PERCENTILE(D$2:D805,0.165)</f>
        <v>8</v>
      </c>
      <c r="J806" s="5">
        <f ca="1">PERCENTILE(D$2:D805,0.5)</f>
        <v>47.776462660165286</v>
      </c>
      <c r="K806" s="5">
        <f ca="1">PERCENTILE(D$2:D805,0.835)</f>
        <v>226.83856311071847</v>
      </c>
      <c r="L806" s="5">
        <f ca="1">PERCENTILE(D$2:D805,0.975)</f>
        <v>1063.9274484116074</v>
      </c>
      <c r="M806" s="7">
        <f>AVERAGE(E$2:E805)</f>
        <v>1.2398798798798809</v>
      </c>
      <c r="N806" s="7">
        <f>PERCENTILE($E$2:$E805,0.025)</f>
        <v>-1.1000000000000001</v>
      </c>
      <c r="O806" s="7">
        <f>PERCENTILE($E$2:$E805,0.165)</f>
        <v>0</v>
      </c>
      <c r="P806" s="7">
        <f>PERCENTILE($E$2:$E805,0.5)</f>
        <v>1</v>
      </c>
      <c r="Q806" s="7">
        <f>PERCENTILE($E$2:$E805,0.835)</f>
        <v>3</v>
      </c>
      <c r="R806" s="7">
        <f>PERCENTILE($E$2:$E805,0.975)</f>
        <v>3</v>
      </c>
    </row>
    <row r="807" spans="1:18" x14ac:dyDescent="0.2">
      <c r="A807" s="5">
        <f>Data!E782</f>
        <v>2013</v>
      </c>
      <c r="B807" s="5">
        <f>Data!M782</f>
        <v>0.66363636363636369</v>
      </c>
      <c r="C807" s="5">
        <f>Data!N782</f>
        <v>9.0909090909090912E-2</v>
      </c>
      <c r="D807" s="5">
        <f ca="1">Data!O782</f>
        <v>136.93087474379445</v>
      </c>
      <c r="E807" s="1">
        <f>Data!AQ782</f>
        <v>1</v>
      </c>
      <c r="F807" t="str">
        <f t="shared" si="12"/>
        <v/>
      </c>
      <c r="G807" s="5">
        <f ca="1">AVERAGE(D$2:D806)</f>
        <v>173.02301324158364</v>
      </c>
      <c r="H807" s="5">
        <f ca="1">PERCENTILE(D$2:D806,0.025)</f>
        <v>-3.0075518871556932</v>
      </c>
      <c r="I807" s="5">
        <f ca="1">PERCENTILE(D$2:D806,0.165)</f>
        <v>8</v>
      </c>
      <c r="J807" s="5">
        <f ca="1">PERCENTILE(D$2:D806,0.5)</f>
        <v>47.903139566413849</v>
      </c>
      <c r="K807" s="5">
        <f ca="1">PERCENTILE(D$2:D806,0.835)</f>
        <v>226.83856311071847</v>
      </c>
      <c r="L807" s="5">
        <f ca="1">PERCENTILE(D$2:D806,0.975)</f>
        <v>1063.3910002335829</v>
      </c>
      <c r="M807" s="7">
        <f>AVERAGE(E$2:E806)</f>
        <v>1.2381709145427298</v>
      </c>
      <c r="N807" s="7">
        <f>PERCENTILE($E$2:$E806,0.025)</f>
        <v>-1.1000000000000001</v>
      </c>
      <c r="O807" s="7">
        <f>PERCENTILE($E$2:$E806,0.165)</f>
        <v>0</v>
      </c>
      <c r="P807" s="7">
        <f>PERCENTILE($E$2:$E806,0.5)</f>
        <v>1</v>
      </c>
      <c r="Q807" s="7">
        <f>PERCENTILE($E$2:$E806,0.835)</f>
        <v>3</v>
      </c>
      <c r="R807" s="7">
        <f>PERCENTILE($E$2:$E806,0.975)</f>
        <v>3</v>
      </c>
    </row>
    <row r="808" spans="1:18" x14ac:dyDescent="0.2">
      <c r="A808" s="5">
        <f>Data!E783</f>
        <v>2013</v>
      </c>
      <c r="B808" s="5">
        <f>Data!M783</f>
        <v>0.66363636363636369</v>
      </c>
      <c r="C808" s="5">
        <f>Data!N783</f>
        <v>9.0909090909090912E-2</v>
      </c>
      <c r="D808" s="5">
        <f ca="1">Data!O783</f>
        <v>59.890665649864339</v>
      </c>
      <c r="E808" s="1">
        <f>Data!AQ783</f>
        <v>1</v>
      </c>
      <c r="F808" t="str">
        <f t="shared" si="12"/>
        <v/>
      </c>
      <c r="G808" s="5">
        <f ca="1">AVERAGE(D$2:D807)</f>
        <v>172.9782339134226</v>
      </c>
      <c r="H808" s="5">
        <f ca="1">PERCENTILE(D$2:D807,0.025)</f>
        <v>-2.9995239439502166</v>
      </c>
      <c r="I808" s="5">
        <f ca="1">PERCENTILE(D$2:D807,0.165)</f>
        <v>8</v>
      </c>
      <c r="J808" s="5">
        <f ca="1">PERCENTILE(D$2:D807,0.5)</f>
        <v>48.036579932215488</v>
      </c>
      <c r="K808" s="5">
        <f ca="1">PERCENTILE(D$2:D807,0.835)</f>
        <v>226.83856311071847</v>
      </c>
      <c r="L808" s="5">
        <f ca="1">PERCENTILE(D$2:D807,0.975)</f>
        <v>1062.8545520555581</v>
      </c>
      <c r="M808" s="7">
        <f>AVERAGE(E$2:E807)</f>
        <v>1.2378143712574861</v>
      </c>
      <c r="N808" s="7">
        <f>PERCENTILE($E$2:$E807,0.025)</f>
        <v>-1.1000000000000001</v>
      </c>
      <c r="O808" s="7">
        <f>PERCENTILE($E$2:$E807,0.165)</f>
        <v>0</v>
      </c>
      <c r="P808" s="7">
        <f>PERCENTILE($E$2:$E807,0.5)</f>
        <v>1</v>
      </c>
      <c r="Q808" s="7">
        <f>PERCENTILE($E$2:$E807,0.835)</f>
        <v>3</v>
      </c>
      <c r="R808" s="7">
        <f>PERCENTILE($E$2:$E807,0.975)</f>
        <v>3</v>
      </c>
    </row>
    <row r="809" spans="1:18" x14ac:dyDescent="0.2">
      <c r="A809" s="5">
        <f>Data!E784</f>
        <v>2013</v>
      </c>
      <c r="B809" s="5">
        <f>Data!M784</f>
        <v>0.66363636363636369</v>
      </c>
      <c r="C809" s="5">
        <f>Data!N784</f>
        <v>9.0909090909090912E-2</v>
      </c>
      <c r="D809" s="5">
        <f ca="1">Data!O784</f>
        <v>26.89239552451799</v>
      </c>
      <c r="E809" s="1">
        <f>Data!AQ784</f>
        <v>1</v>
      </c>
      <c r="F809" t="str">
        <f t="shared" si="12"/>
        <v/>
      </c>
      <c r="G809" s="5">
        <f ca="1">AVERAGE(D$2:D808)</f>
        <v>172.83810061941574</v>
      </c>
      <c r="H809" s="5">
        <f ca="1">PERCENTILE(D$2:D808,0.025)</f>
        <v>-2.9914960007447395</v>
      </c>
      <c r="I809" s="5">
        <f ca="1">PERCENTILE(D$2:D808,0.165)</f>
        <v>8</v>
      </c>
      <c r="J809" s="5">
        <f ca="1">PERCENTILE(D$2:D808,0.5)</f>
        <v>48.170020298017135</v>
      </c>
      <c r="K809" s="5">
        <f ca="1">PERCENTILE(D$2:D808,0.835)</f>
        <v>226.83856311071847</v>
      </c>
      <c r="L809" s="5">
        <f ca="1">PERCENTILE(D$2:D808,0.975)</f>
        <v>1062.3181038775335</v>
      </c>
      <c r="M809" s="7">
        <f>AVERAGE(E$2:E808)</f>
        <v>1.237458893871451</v>
      </c>
      <c r="N809" s="7">
        <f>PERCENTILE($E$2:$E808,0.025)</f>
        <v>-1.1000000000000001</v>
      </c>
      <c r="O809" s="7">
        <f>PERCENTILE($E$2:$E808,0.165)</f>
        <v>0</v>
      </c>
      <c r="P809" s="7">
        <f>PERCENTILE($E$2:$E808,0.5)</f>
        <v>1</v>
      </c>
      <c r="Q809" s="7">
        <f>PERCENTILE($E$2:$E808,0.835)</f>
        <v>3</v>
      </c>
      <c r="R809" s="7">
        <f>PERCENTILE($E$2:$E808,0.975)</f>
        <v>3</v>
      </c>
    </row>
    <row r="810" spans="1:18" x14ac:dyDescent="0.2">
      <c r="A810" s="5">
        <f>Data!E785</f>
        <v>2013</v>
      </c>
      <c r="B810" s="5">
        <f>Data!M785</f>
        <v>0.66363636363636369</v>
      </c>
      <c r="C810" s="5">
        <f>Data!N785</f>
        <v>9.0909090909090912E-2</v>
      </c>
      <c r="D810" s="5">
        <f ca="1">Data!O785</f>
        <v>13.300187717456575</v>
      </c>
      <c r="E810" s="1">
        <f>Data!AQ785</f>
        <v>3</v>
      </c>
      <c r="F810" t="str">
        <f t="shared" si="12"/>
        <v/>
      </c>
      <c r="G810" s="5">
        <f ca="1">AVERAGE(D$2:D809)</f>
        <v>172.65747474677352</v>
      </c>
      <c r="H810" s="5">
        <f ca="1">PERCENTILE(D$2:D809,0.025)</f>
        <v>-2.9834680575392629</v>
      </c>
      <c r="I810" s="5">
        <f ca="1">PERCENTILE(D$2:D809,0.165)</f>
        <v>8.0484596628195302</v>
      </c>
      <c r="J810" s="5">
        <f ca="1">PERCENTILE(D$2:D809,0.5)</f>
        <v>48.036579932215488</v>
      </c>
      <c r="K810" s="5">
        <f ca="1">PERCENTILE(D$2:D809,0.835)</f>
        <v>226.6914572130313</v>
      </c>
      <c r="L810" s="5">
        <f ca="1">PERCENTILE(D$2:D809,0.975)</f>
        <v>1061.7816556995062</v>
      </c>
      <c r="M810" s="7">
        <f>AVERAGE(E$2:E809)</f>
        <v>1.2371044776119413</v>
      </c>
      <c r="N810" s="7">
        <f>PERCENTILE($E$2:$E809,0.025)</f>
        <v>-1.1000000000000001</v>
      </c>
      <c r="O810" s="7">
        <f>PERCENTILE($E$2:$E809,0.165)</f>
        <v>0</v>
      </c>
      <c r="P810" s="7">
        <f>PERCENTILE($E$2:$E809,0.5)</f>
        <v>1</v>
      </c>
      <c r="Q810" s="7">
        <f>PERCENTILE($E$2:$E809,0.835)</f>
        <v>3</v>
      </c>
      <c r="R810" s="7">
        <f>PERCENTILE($E$2:$E809,0.975)</f>
        <v>3</v>
      </c>
    </row>
    <row r="811" spans="1:18" x14ac:dyDescent="0.2">
      <c r="A811" s="5">
        <f>Data!E786</f>
        <v>2013</v>
      </c>
      <c r="B811" s="5">
        <f>Data!M786</f>
        <v>0.66363636363636369</v>
      </c>
      <c r="C811" s="5">
        <f>Data!N786</f>
        <v>9.0909090909090912E-2</v>
      </c>
      <c r="D811" s="5">
        <f ca="1">Data!O786</f>
        <v>5.1368988489577792</v>
      </c>
      <c r="E811" s="1">
        <f>Data!AQ786</f>
        <v>3</v>
      </c>
      <c r="F811" t="str">
        <f t="shared" si="12"/>
        <v/>
      </c>
      <c r="G811" s="5">
        <f ca="1">AVERAGE(D$2:D810)</f>
        <v>172.46049416948142</v>
      </c>
      <c r="H811" s="5">
        <f ca="1">PERCENTILE(D$2:D810,0.025)</f>
        <v>-2.9754401143337854</v>
      </c>
      <c r="I811" s="5">
        <f ca="1">PERCENTILE(D$2:D810,0.165)</f>
        <v>8.1000457554983818</v>
      </c>
      <c r="J811" s="5">
        <f ca="1">PERCENTILE(D$2:D810,0.5)</f>
        <v>47.903139566413849</v>
      </c>
      <c r="K811" s="5">
        <f ca="1">PERCENTILE(D$2:D810,0.835)</f>
        <v>226.53486061226744</v>
      </c>
      <c r="L811" s="5">
        <f ca="1">PERCENTILE(D$2:D810,0.975)</f>
        <v>1061.2452075214817</v>
      </c>
      <c r="M811" s="7">
        <f>AVERAGE(E$2:E810)</f>
        <v>1.239731743666171</v>
      </c>
      <c r="N811" s="7">
        <f>PERCENTILE($E$2:$E810,0.025)</f>
        <v>-1.1000000000000001</v>
      </c>
      <c r="O811" s="7">
        <f>PERCENTILE($E$2:$E810,0.165)</f>
        <v>0</v>
      </c>
      <c r="P811" s="7">
        <f>PERCENTILE($E$2:$E810,0.5)</f>
        <v>1</v>
      </c>
      <c r="Q811" s="7">
        <f>PERCENTILE($E$2:$E810,0.835)</f>
        <v>3</v>
      </c>
      <c r="R811" s="7">
        <f>PERCENTILE($E$2:$E810,0.975)</f>
        <v>3</v>
      </c>
    </row>
    <row r="812" spans="1:18" x14ac:dyDescent="0.2">
      <c r="A812" s="5">
        <f>Data!E787</f>
        <v>2013</v>
      </c>
      <c r="B812" s="5">
        <f>Data!M787</f>
        <v>0.66363636363636369</v>
      </c>
      <c r="C812" s="5">
        <f>Data!N787</f>
        <v>9.0909090909090912E-2</v>
      </c>
      <c r="D812" s="5">
        <f ca="1">Data!O787</f>
        <v>0.942428470997422</v>
      </c>
      <c r="E812" s="1">
        <f>Data!AQ787</f>
        <v>3</v>
      </c>
      <c r="F812" t="str">
        <f t="shared" si="12"/>
        <v/>
      </c>
      <c r="G812" s="5">
        <f ca="1">AVERAGE(D$2:D811)</f>
        <v>172.25392182957953</v>
      </c>
      <c r="H812" s="5">
        <f ca="1">PERCENTILE(D$2:D811,0.025)</f>
        <v>-2.9674121711283092</v>
      </c>
      <c r="I812" s="5">
        <f ca="1">PERCENTILE(D$2:D811,0.165)</f>
        <v>8</v>
      </c>
      <c r="J812" s="5">
        <f ca="1">PERCENTILE(D$2:D811,0.5)</f>
        <v>47.776462660165286</v>
      </c>
      <c r="K812" s="5">
        <f ca="1">PERCENTILE(D$2:D811,0.835)</f>
        <v>226.37826401150366</v>
      </c>
      <c r="L812" s="5">
        <f ca="1">PERCENTILE(D$2:D811,0.975)</f>
        <v>1060.7087593434569</v>
      </c>
      <c r="M812" s="7">
        <f>AVERAGE(E$2:E811)</f>
        <v>1.2423511904761915</v>
      </c>
      <c r="N812" s="7">
        <f>PERCENTILE($E$2:$E811,0.025)</f>
        <v>-1.1000000000000001</v>
      </c>
      <c r="O812" s="7">
        <f>PERCENTILE($E$2:$E811,0.165)</f>
        <v>0</v>
      </c>
      <c r="P812" s="7">
        <f>PERCENTILE($E$2:$E811,0.5)</f>
        <v>1</v>
      </c>
      <c r="Q812" s="7">
        <f>PERCENTILE($E$2:$E811,0.835)</f>
        <v>3</v>
      </c>
      <c r="R812" s="7">
        <f>PERCENTILE($E$2:$E811,0.975)</f>
        <v>3</v>
      </c>
    </row>
    <row r="813" spans="1:18" x14ac:dyDescent="0.2">
      <c r="A813" s="5">
        <f>Data!E788</f>
        <v>2013</v>
      </c>
      <c r="B813" s="5">
        <f>Data!M788</f>
        <v>0.66363636363636369</v>
      </c>
      <c r="C813" s="5">
        <f>Data!N788</f>
        <v>9.0909090909090912E-2</v>
      </c>
      <c r="D813" s="5">
        <f ca="1">Data!O788</f>
        <v>68.226511844038725</v>
      </c>
      <c r="E813" s="1">
        <f>Data!AQ788</f>
        <v>1</v>
      </c>
      <c r="F813" t="str">
        <f t="shared" si="12"/>
        <v/>
      </c>
      <c r="G813" s="5">
        <f ca="1">AVERAGE(D$2:D812)</f>
        <v>172.04268694257757</v>
      </c>
      <c r="H813" s="5">
        <f ca="1">PERCENTILE(D$2:D812,0.025)</f>
        <v>-2.9593842279228331</v>
      </c>
      <c r="I813" s="5">
        <f ca="1">PERCENTILE(D$2:D812,0.165)</f>
        <v>8</v>
      </c>
      <c r="J813" s="5">
        <f ca="1">PERCENTILE(D$2:D812,0.5)</f>
        <v>47.649785753916724</v>
      </c>
      <c r="K813" s="5">
        <f ca="1">PERCENTILE(D$2:D812,0.835)</f>
        <v>226.22166741073991</v>
      </c>
      <c r="L813" s="5">
        <f ca="1">PERCENTILE(D$2:D812,0.975)</f>
        <v>1060.1723111654323</v>
      </c>
      <c r="M813" s="7">
        <f>AVERAGE(E$2:E812)</f>
        <v>1.244962852897475</v>
      </c>
      <c r="N813" s="7">
        <f>PERCENTILE($E$2:$E812,0.025)</f>
        <v>-1.1000000000000001</v>
      </c>
      <c r="O813" s="7">
        <f>PERCENTILE($E$2:$E812,0.165)</f>
        <v>0</v>
      </c>
      <c r="P813" s="7">
        <f>PERCENTILE($E$2:$E812,0.5)</f>
        <v>1</v>
      </c>
      <c r="Q813" s="7">
        <f>PERCENTILE($E$2:$E812,0.835)</f>
        <v>3</v>
      </c>
      <c r="R813" s="7">
        <f>PERCENTILE($E$2:$E812,0.975)</f>
        <v>3</v>
      </c>
    </row>
    <row r="814" spans="1:18" x14ac:dyDescent="0.2">
      <c r="A814" s="5">
        <f>Data!E789</f>
        <v>2013</v>
      </c>
      <c r="B814" s="5">
        <f>Data!M789</f>
        <v>0.66363636363636369</v>
      </c>
      <c r="C814" s="5">
        <f>Data!N789</f>
        <v>9.0909090909090912E-2</v>
      </c>
      <c r="D814" s="5">
        <f ca="1">Data!O789</f>
        <v>436.60985488053808</v>
      </c>
      <c r="E814" s="1">
        <f>Data!AQ789</f>
        <v>1</v>
      </c>
      <c r="F814" t="str">
        <f t="shared" si="12"/>
        <v/>
      </c>
      <c r="G814" s="5">
        <f ca="1">AVERAGE(D$2:D813)</f>
        <v>171.91483451019019</v>
      </c>
      <c r="H814" s="5">
        <f ca="1">PERCENTILE(D$2:D813,0.025)</f>
        <v>-2.9513562847173556</v>
      </c>
      <c r="I814" s="5">
        <f ca="1">PERCENTILE(D$2:D813,0.165)</f>
        <v>8</v>
      </c>
      <c r="J814" s="5">
        <f ca="1">PERCENTILE(D$2:D813,0.5)</f>
        <v>47.776462660165286</v>
      </c>
      <c r="K814" s="5">
        <f ca="1">PERCENTILE(D$2:D813,0.835)</f>
        <v>226.06507080997605</v>
      </c>
      <c r="L814" s="5">
        <f ca="1">PERCENTILE(D$2:D813,0.975)</f>
        <v>1059.6358629874076</v>
      </c>
      <c r="M814" s="7">
        <f>AVERAGE(E$2:E813)</f>
        <v>1.2445994065281909</v>
      </c>
      <c r="N814" s="7">
        <f>PERCENTILE($E$2:$E813,0.025)</f>
        <v>-1.1000000000000001</v>
      </c>
      <c r="O814" s="7">
        <f>PERCENTILE($E$2:$E813,0.165)</f>
        <v>0</v>
      </c>
      <c r="P814" s="7">
        <f>PERCENTILE($E$2:$E813,0.5)</f>
        <v>1</v>
      </c>
      <c r="Q814" s="7">
        <f>PERCENTILE($E$2:$E813,0.835)</f>
        <v>3</v>
      </c>
      <c r="R814" s="7">
        <f>PERCENTILE($E$2:$E813,0.975)</f>
        <v>3</v>
      </c>
    </row>
    <row r="815" spans="1:18" x14ac:dyDescent="0.2">
      <c r="A815" s="5">
        <f>Data!E790</f>
        <v>2013</v>
      </c>
      <c r="B815" s="5">
        <f>Data!M790</f>
        <v>2.0999999999999996</v>
      </c>
      <c r="C815" s="5">
        <f>Data!N790</f>
        <v>0.33333333333333331</v>
      </c>
      <c r="D815" s="5">
        <f ca="1">Data!O790</f>
        <v>11.707629727900636</v>
      </c>
      <c r="E815" s="1" t="str">
        <f>Data!AQ790</f>
        <v>NA</v>
      </c>
      <c r="F815" t="str">
        <f t="shared" si="12"/>
        <v/>
      </c>
      <c r="G815" s="5">
        <f ca="1">AVERAGE(D$2:D814)</f>
        <v>172.24041264102704</v>
      </c>
      <c r="H815" s="5">
        <f ca="1">PERCENTILE(D$2:D814,0.025)</f>
        <v>-2.9433283415118794</v>
      </c>
      <c r="I815" s="5">
        <f ca="1">PERCENTILE(D$2:D814,0.165)</f>
        <v>8</v>
      </c>
      <c r="J815" s="5">
        <f ca="1">PERCENTILE(D$2:D814,0.5)</f>
        <v>47.903139566413849</v>
      </c>
      <c r="K815" s="5">
        <f ca="1">PERCENTILE(D$2:D814,0.835)</f>
        <v>226.83856311071847</v>
      </c>
      <c r="L815" s="5">
        <f ca="1">PERCENTILE(D$2:D814,0.975)</f>
        <v>1059.0994148093805</v>
      </c>
      <c r="M815" s="7">
        <f>AVERAGE(E$2:E814)</f>
        <v>1.2442370370370381</v>
      </c>
      <c r="N815" s="7">
        <f>PERCENTILE($E$2:$E814,0.025)</f>
        <v>-1.1000000000000001</v>
      </c>
      <c r="O815" s="7">
        <f>PERCENTILE($E$2:$E814,0.165)</f>
        <v>0</v>
      </c>
      <c r="P815" s="7">
        <f>PERCENTILE($E$2:$E814,0.5)</f>
        <v>1</v>
      </c>
      <c r="Q815" s="7">
        <f>PERCENTILE($E$2:$E814,0.835)</f>
        <v>3</v>
      </c>
      <c r="R815" s="7">
        <f>PERCENTILE($E$2:$E814,0.975)</f>
        <v>3</v>
      </c>
    </row>
    <row r="816" spans="1:18" x14ac:dyDescent="0.2">
      <c r="A816" s="5">
        <f>Data!E791</f>
        <v>2013</v>
      </c>
      <c r="B816" s="5">
        <f>Data!M791</f>
        <v>2.0999999999999996</v>
      </c>
      <c r="C816" s="5">
        <f>Data!N791</f>
        <v>0.33333333333333331</v>
      </c>
      <c r="D816" s="5">
        <f ca="1">Data!O791</f>
        <v>37.074160805018685</v>
      </c>
      <c r="E816" s="1" t="str">
        <f>Data!AQ791</f>
        <v>NA</v>
      </c>
      <c r="F816" t="str">
        <f t="shared" si="12"/>
        <v/>
      </c>
      <c r="G816" s="5">
        <f ca="1">AVERAGE(D$2:D815)</f>
        <v>172.04319792000354</v>
      </c>
      <c r="H816" s="5">
        <f ca="1">PERCENTILE(D$2:D815,0.025)</f>
        <v>-2.9353003983064019</v>
      </c>
      <c r="I816" s="5">
        <f ca="1">PERCENTILE(D$2:D815,0.165)</f>
        <v>8</v>
      </c>
      <c r="J816" s="5">
        <f ca="1">PERCENTILE(D$2:D815,0.5)</f>
        <v>47.776462660165286</v>
      </c>
      <c r="K816" s="5">
        <f ca="1">PERCENTILE(D$2:D815,0.835)</f>
        <v>226.70094791610788</v>
      </c>
      <c r="L816" s="5">
        <f ca="1">PERCENTILE(D$2:D815,0.975)</f>
        <v>1058.5629666313557</v>
      </c>
      <c r="M816" s="7">
        <f>AVERAGE(E$2:E815)</f>
        <v>1.2442370370370381</v>
      </c>
      <c r="N816" s="7">
        <f>PERCENTILE($E$2:$E815,0.025)</f>
        <v>-1.1000000000000001</v>
      </c>
      <c r="O816" s="7">
        <f>PERCENTILE($E$2:$E815,0.165)</f>
        <v>0</v>
      </c>
      <c r="P816" s="7">
        <f>PERCENTILE($E$2:$E815,0.5)</f>
        <v>1</v>
      </c>
      <c r="Q816" s="7">
        <f>PERCENTILE($E$2:$E815,0.835)</f>
        <v>3</v>
      </c>
      <c r="R816" s="7">
        <f>PERCENTILE($E$2:$E815,0.975)</f>
        <v>3</v>
      </c>
    </row>
    <row r="817" spans="1:18" x14ac:dyDescent="0.2">
      <c r="A817" s="5">
        <f>Data!E792</f>
        <v>2013</v>
      </c>
      <c r="B817" s="5">
        <f>Data!M792</f>
        <v>2.0999999999999996</v>
      </c>
      <c r="C817" s="5">
        <f>Data!N792</f>
        <v>0.33333333333333331</v>
      </c>
      <c r="D817" s="5">
        <f ca="1">Data!O792</f>
        <v>56.586877018186414</v>
      </c>
      <c r="E817" s="1" t="str">
        <f>Data!AQ792</f>
        <v>NA</v>
      </c>
      <c r="F817" t="str">
        <f t="shared" si="12"/>
        <v/>
      </c>
      <c r="G817" s="5">
        <f ca="1">AVERAGE(D$2:D816)</f>
        <v>171.87759173949436</v>
      </c>
      <c r="H817" s="5">
        <f ca="1">PERCENTILE(D$2:D816,0.025)</f>
        <v>-2.9272724551009253</v>
      </c>
      <c r="I817" s="5">
        <f ca="1">PERCENTILE(D$2:D816,0.165)</f>
        <v>8</v>
      </c>
      <c r="J817" s="5">
        <f ca="1">PERCENTILE(D$2:D816,0.5)</f>
        <v>47.649785753916724</v>
      </c>
      <c r="K817" s="5">
        <f ca="1">PERCENTILE(D$2:D816,0.835)</f>
        <v>226.54435131534402</v>
      </c>
      <c r="L817" s="5">
        <f ca="1">PERCENTILE(D$2:D816,0.975)</f>
        <v>1058.0265184533309</v>
      </c>
      <c r="M817" s="7">
        <f>AVERAGE(E$2:E816)</f>
        <v>1.2442370370370381</v>
      </c>
      <c r="N817" s="7">
        <f>PERCENTILE($E$2:$E816,0.025)</f>
        <v>-1.1000000000000001</v>
      </c>
      <c r="O817" s="7">
        <f>PERCENTILE($E$2:$E816,0.165)</f>
        <v>0</v>
      </c>
      <c r="P817" s="7">
        <f>PERCENTILE($E$2:$E816,0.5)</f>
        <v>1</v>
      </c>
      <c r="Q817" s="7">
        <f>PERCENTILE($E$2:$E816,0.835)</f>
        <v>3</v>
      </c>
      <c r="R817" s="7">
        <f>PERCENTILE($E$2:$E816,0.975)</f>
        <v>3</v>
      </c>
    </row>
    <row r="818" spans="1:18" x14ac:dyDescent="0.2">
      <c r="A818" s="5">
        <f>Data!E893</f>
        <v>2013</v>
      </c>
      <c r="B818" s="5">
        <f>Data!M893</f>
        <v>0.39374999999999999</v>
      </c>
      <c r="C818" s="5">
        <f>Data!N893</f>
        <v>6.25E-2</v>
      </c>
      <c r="D818" s="5">
        <f ca="1">Data!O893</f>
        <v>951.57012732881287</v>
      </c>
      <c r="E818" s="1">
        <f>Data!AQ893</f>
        <v>1.5</v>
      </c>
      <c r="F818" t="str">
        <f t="shared" si="12"/>
        <v/>
      </c>
      <c r="G818" s="5">
        <f ca="1">AVERAGE(D$2:D817)</f>
        <v>171.73630409890453</v>
      </c>
      <c r="H818" s="5">
        <f ca="1">PERCENTILE(D$2:D817,0.025)</f>
        <v>-2.9192445118954491</v>
      </c>
      <c r="I818" s="5">
        <f ca="1">PERCENTILE(D$2:D817,0.165)</f>
        <v>8</v>
      </c>
      <c r="J818" s="5">
        <f ca="1">PERCENTILE(D$2:D817,0.5)</f>
        <v>47.776462660165286</v>
      </c>
      <c r="K818" s="5">
        <f ca="1">PERCENTILE(D$2:D817,0.835)</f>
        <v>226.38775471458024</v>
      </c>
      <c r="L818" s="5">
        <f ca="1">PERCENTILE(D$2:D817,0.975)</f>
        <v>1057.4900702753064</v>
      </c>
      <c r="M818" s="7">
        <f>AVERAGE(E$2:E817)</f>
        <v>1.2442370370370381</v>
      </c>
      <c r="N818" s="7">
        <f>PERCENTILE($E$2:$E817,0.025)</f>
        <v>-1.1000000000000001</v>
      </c>
      <c r="O818" s="7">
        <f>PERCENTILE($E$2:$E817,0.165)</f>
        <v>0</v>
      </c>
      <c r="P818" s="7">
        <f>PERCENTILE($E$2:$E817,0.5)</f>
        <v>1</v>
      </c>
      <c r="Q818" s="7">
        <f>PERCENTILE($E$2:$E817,0.835)</f>
        <v>3</v>
      </c>
      <c r="R818" s="7">
        <f>PERCENTILE($E$2:$E817,0.975)</f>
        <v>3</v>
      </c>
    </row>
    <row r="819" spans="1:18" x14ac:dyDescent="0.2">
      <c r="A819" s="5">
        <f>Data!E894</f>
        <v>2013</v>
      </c>
      <c r="B819" s="5">
        <f>Data!M894</f>
        <v>0.78749999999999998</v>
      </c>
      <c r="C819" s="5">
        <f>Data!N894</f>
        <v>0.125</v>
      </c>
      <c r="D819" s="5">
        <f ca="1">Data!O894</f>
        <v>815.63153771041107</v>
      </c>
      <c r="E819" s="1">
        <f>Data!AQ894</f>
        <v>1.5</v>
      </c>
      <c r="F819" t="str">
        <f t="shared" si="12"/>
        <v/>
      </c>
      <c r="G819" s="5">
        <f ca="1">AVERAGE(D$2:D818)</f>
        <v>172.69081306246622</v>
      </c>
      <c r="H819" s="5">
        <f ca="1">PERCENTILE(D$2:D818,0.025)</f>
        <v>-2.9112165686899716</v>
      </c>
      <c r="I819" s="5">
        <f ca="1">PERCENTILE(D$2:D818,0.165)</f>
        <v>8</v>
      </c>
      <c r="J819" s="5">
        <f ca="1">PERCENTILE(D$2:D818,0.5)</f>
        <v>47.903139566413849</v>
      </c>
      <c r="K819" s="5">
        <f ca="1">PERCENTILE(D$2:D818,0.835)</f>
        <v>226.83856311071847</v>
      </c>
      <c r="L819" s="5">
        <f ca="1">PERCENTILE(D$2:D818,0.975)</f>
        <v>1056.9536220972816</v>
      </c>
      <c r="M819" s="7">
        <f>AVERAGE(E$2:E818)</f>
        <v>1.2446153846153856</v>
      </c>
      <c r="N819" s="7">
        <f>PERCENTILE($E$2:$E818,0.025)</f>
        <v>-1.1000000000000001</v>
      </c>
      <c r="O819" s="7">
        <f>PERCENTILE($E$2:$E818,0.165)</f>
        <v>0</v>
      </c>
      <c r="P819" s="7">
        <f>PERCENTILE($E$2:$E818,0.5)</f>
        <v>1</v>
      </c>
      <c r="Q819" s="7">
        <f>PERCENTILE($E$2:$E818,0.835)</f>
        <v>3</v>
      </c>
      <c r="R819" s="7">
        <f>PERCENTILE($E$2:$E818,0.975)</f>
        <v>3</v>
      </c>
    </row>
    <row r="820" spans="1:18" x14ac:dyDescent="0.2">
      <c r="A820" s="5">
        <f>Data!E895</f>
        <v>2013</v>
      </c>
      <c r="B820" s="5">
        <f>Data!M895</f>
        <v>1.1812499999999999</v>
      </c>
      <c r="C820" s="5">
        <f>Data!N895</f>
        <v>0.1875</v>
      </c>
      <c r="D820" s="5">
        <f ca="1">Data!O895</f>
        <v>654.6516289517773</v>
      </c>
      <c r="E820" s="1">
        <f>Data!AQ895</f>
        <v>1.5</v>
      </c>
      <c r="F820" t="str">
        <f t="shared" si="12"/>
        <v/>
      </c>
      <c r="G820" s="5">
        <f ca="1">AVERAGE(D$2:D819)</f>
        <v>173.47680416839279</v>
      </c>
      <c r="H820" s="5">
        <f ca="1">PERCENTILE(D$2:D819,0.025)</f>
        <v>-2.9031886254844954</v>
      </c>
      <c r="I820" s="5">
        <f ca="1">PERCENTILE(D$2:D819,0.165)</f>
        <v>8</v>
      </c>
      <c r="J820" s="5">
        <f ca="1">PERCENTILE(D$2:D819,0.5)</f>
        <v>48.036579932215488</v>
      </c>
      <c r="K820" s="5">
        <f ca="1">PERCENTILE(D$2:D819,0.835)</f>
        <v>226.90151348383145</v>
      </c>
      <c r="L820" s="5">
        <f ca="1">PERCENTILE(D$2:D819,0.975)</f>
        <v>1056.4171739192545</v>
      </c>
      <c r="M820" s="7">
        <f>AVERAGE(E$2:E819)</f>
        <v>1.2449926144756287</v>
      </c>
      <c r="N820" s="7">
        <f>PERCENTILE($E$2:$E819,0.025)</f>
        <v>-1.1000000000000001</v>
      </c>
      <c r="O820" s="7">
        <f>PERCENTILE($E$2:$E819,0.165)</f>
        <v>0</v>
      </c>
      <c r="P820" s="7">
        <f>PERCENTILE($E$2:$E819,0.5)</f>
        <v>1</v>
      </c>
      <c r="Q820" s="7">
        <f>PERCENTILE($E$2:$E819,0.835)</f>
        <v>3</v>
      </c>
      <c r="R820" s="7">
        <f>PERCENTILE($E$2:$E819,0.975)</f>
        <v>3</v>
      </c>
    </row>
    <row r="821" spans="1:18" x14ac:dyDescent="0.2">
      <c r="A821" s="5">
        <f>Data!E896</f>
        <v>2013</v>
      </c>
      <c r="B821" s="5">
        <f>Data!M896</f>
        <v>1.575</v>
      </c>
      <c r="C821" s="5">
        <f>Data!N896</f>
        <v>0.25</v>
      </c>
      <c r="D821" s="5">
        <f ca="1">Data!O896</f>
        <v>500.8263828046384</v>
      </c>
      <c r="E821" s="1">
        <f>Data!AQ896</f>
        <v>1.5</v>
      </c>
      <c r="F821" t="str">
        <f t="shared" si="12"/>
        <v/>
      </c>
      <c r="G821" s="5">
        <f ca="1">AVERAGE(D$2:D820)</f>
        <v>174.06431921696836</v>
      </c>
      <c r="H821" s="5">
        <f ca="1">PERCENTILE(D$2:D820,0.025)</f>
        <v>-2.8951606822790179</v>
      </c>
      <c r="I821" s="5">
        <f ca="1">PERCENTILE(D$2:D820,0.165)</f>
        <v>8</v>
      </c>
      <c r="J821" s="5">
        <f ca="1">PERCENTILE(D$2:D820,0.5)</f>
        <v>48.170020298017135</v>
      </c>
      <c r="K821" s="5">
        <f ca="1">PERCENTILE(D$2:D820,0.835)</f>
        <v>227.22429594215691</v>
      </c>
      <c r="L821" s="5">
        <f ca="1">PERCENTILE(D$2:D820,0.975)</f>
        <v>1055.8807257412298</v>
      </c>
      <c r="M821" s="7">
        <f>AVERAGE(E$2:E820)</f>
        <v>1.2453687315634228</v>
      </c>
      <c r="N821" s="7">
        <f>PERCENTILE($E$2:$E820,0.025)</f>
        <v>-1.1000000000000001</v>
      </c>
      <c r="O821" s="7">
        <f>PERCENTILE($E$2:$E820,0.165)</f>
        <v>0</v>
      </c>
      <c r="P821" s="7">
        <f>PERCENTILE($E$2:$E820,0.5)</f>
        <v>1</v>
      </c>
      <c r="Q821" s="7">
        <f>PERCENTILE($E$2:$E820,0.835)</f>
        <v>3</v>
      </c>
      <c r="R821" s="7">
        <f>PERCENTILE($E$2:$E820,0.975)</f>
        <v>3</v>
      </c>
    </row>
    <row r="822" spans="1:18" x14ac:dyDescent="0.2">
      <c r="A822" s="5">
        <f>Data!E897</f>
        <v>2013</v>
      </c>
      <c r="B822" s="5">
        <f>Data!M897</f>
        <v>1.1812499999999999</v>
      </c>
      <c r="C822" s="5">
        <f>Data!N897</f>
        <v>0.1875</v>
      </c>
      <c r="D822" s="5">
        <f ca="1">Data!O897</f>
        <v>329.11448012876235</v>
      </c>
      <c r="E822" s="1">
        <f>Data!AQ897</f>
        <v>1.5</v>
      </c>
      <c r="F822" t="str">
        <f t="shared" si="12"/>
        <v/>
      </c>
      <c r="G822" s="5">
        <f ca="1">AVERAGE(D$2:D821)</f>
        <v>174.46280953841674</v>
      </c>
      <c r="H822" s="5">
        <f ca="1">PERCENTILE(D$2:D821,0.025)</f>
        <v>-2.8871327390735417</v>
      </c>
      <c r="I822" s="5">
        <f ca="1">PERCENTILE(D$2:D821,0.165)</f>
        <v>8.0422068031008855</v>
      </c>
      <c r="J822" s="5">
        <f ca="1">PERCENTILE(D$2:D821,0.5)</f>
        <v>48.191674808212667</v>
      </c>
      <c r="K822" s="5">
        <f ca="1">PERCENTILE(D$2:D821,0.835)</f>
        <v>228.97530222072453</v>
      </c>
      <c r="L822" s="5">
        <f ca="1">PERCENTILE(D$2:D821,0.975)</f>
        <v>1055.3442775632052</v>
      </c>
      <c r="M822" s="7">
        <f>AVERAGE(E$2:E821)</f>
        <v>1.2457437407952883</v>
      </c>
      <c r="N822" s="7">
        <f>PERCENTILE($E$2:$E821,0.025)</f>
        <v>-1.1000000000000001</v>
      </c>
      <c r="O822" s="7">
        <f>PERCENTILE($E$2:$E821,0.165)</f>
        <v>0</v>
      </c>
      <c r="P822" s="7">
        <f>PERCENTILE($E$2:$E821,0.5)</f>
        <v>1</v>
      </c>
      <c r="Q822" s="7">
        <f>PERCENTILE($E$2:$E821,0.835)</f>
        <v>3</v>
      </c>
      <c r="R822" s="7">
        <f>PERCENTILE($E$2:$E821,0.975)</f>
        <v>3</v>
      </c>
    </row>
    <row r="823" spans="1:18" x14ac:dyDescent="0.2">
      <c r="A823" s="5">
        <f>Data!E898</f>
        <v>2013</v>
      </c>
      <c r="B823" s="5">
        <f>Data!M898</f>
        <v>0.78749999999999998</v>
      </c>
      <c r="C823" s="5">
        <f>Data!N898</f>
        <v>0.125</v>
      </c>
      <c r="D823" s="5">
        <f ca="1">Data!O898</f>
        <v>160.97990875863374</v>
      </c>
      <c r="E823" s="1">
        <f>Data!AQ898</f>
        <v>1.5</v>
      </c>
      <c r="F823" t="str">
        <f t="shared" si="12"/>
        <v/>
      </c>
      <c r="G823" s="5">
        <f ca="1">AVERAGE(D$2:D822)</f>
        <v>174.65117941733311</v>
      </c>
      <c r="H823" s="5">
        <f ca="1">PERCENTILE(D$2:D822,0.025)</f>
        <v>-2.8791047958680656</v>
      </c>
      <c r="I823" s="5">
        <f ca="1">PERCENTILE(D$2:D822,0.165)</f>
        <v>8.0937928957797372</v>
      </c>
      <c r="J823" s="5">
        <f ca="1">PERCENTILE(D$2:D822,0.5)</f>
        <v>48.213329318408192</v>
      </c>
      <c r="K823" s="5">
        <f ca="1">PERCENTILE(D$2:D822,0.835)</f>
        <v>233.97751971326119</v>
      </c>
      <c r="L823" s="5">
        <f ca="1">PERCENTILE(D$2:D822,0.975)</f>
        <v>1054.8078293851804</v>
      </c>
      <c r="M823" s="7">
        <f>AVERAGE(E$2:E822)</f>
        <v>1.2461176470588247</v>
      </c>
      <c r="N823" s="7">
        <f>PERCENTILE($E$2:$E822,0.025)</f>
        <v>-1.1000000000000001</v>
      </c>
      <c r="O823" s="7">
        <f>PERCENTILE($E$2:$E822,0.165)</f>
        <v>0</v>
      </c>
      <c r="P823" s="7">
        <f>PERCENTILE($E$2:$E822,0.5)</f>
        <v>1</v>
      </c>
      <c r="Q823" s="7">
        <f>PERCENTILE($E$2:$E822,0.835)</f>
        <v>3</v>
      </c>
      <c r="R823" s="7">
        <f>PERCENTILE($E$2:$E822,0.975)</f>
        <v>3</v>
      </c>
    </row>
    <row r="824" spans="1:18" x14ac:dyDescent="0.2">
      <c r="A824" s="5">
        <f>Data!E899</f>
        <v>2013</v>
      </c>
      <c r="B824" s="5">
        <f>Data!M899</f>
        <v>0.39374999999999999</v>
      </c>
      <c r="C824" s="5">
        <f>Data!N899</f>
        <v>6.25E-2</v>
      </c>
      <c r="D824" s="5">
        <f ca="1">Data!O899</f>
        <v>3.5773313057474168</v>
      </c>
      <c r="E824" s="1">
        <f>Data!AQ899</f>
        <v>1.5</v>
      </c>
      <c r="F824" t="str">
        <f t="shared" si="12"/>
        <v/>
      </c>
      <c r="G824" s="5">
        <f ca="1">AVERAGE(D$2:D823)</f>
        <v>174.6345477012033</v>
      </c>
      <c r="H824" s="5">
        <f ca="1">PERCENTILE(D$2:D823,0.025)</f>
        <v>-2.8710768526625881</v>
      </c>
      <c r="I824" s="5">
        <f ca="1">PERCENTILE(D$2:D823,0.165)</f>
        <v>8.1453789884585888</v>
      </c>
      <c r="J824" s="5">
        <f ca="1">PERCENTILE(D$2:D823,0.5)</f>
        <v>48.447789011267496</v>
      </c>
      <c r="K824" s="5">
        <f ca="1">PERCENTILE(D$2:D823,0.835)</f>
        <v>232.86515555555533</v>
      </c>
      <c r="L824" s="5">
        <f ca="1">PERCENTILE(D$2:D823,0.975)</f>
        <v>1054.2713812071556</v>
      </c>
      <c r="M824" s="7">
        <f>AVERAGE(E$2:E823)</f>
        <v>1.2464904552129232</v>
      </c>
      <c r="N824" s="7">
        <f>PERCENTILE($E$2:$E823,0.025)</f>
        <v>-1.1000000000000001</v>
      </c>
      <c r="O824" s="7">
        <f>PERCENTILE($E$2:$E823,0.165)</f>
        <v>0</v>
      </c>
      <c r="P824" s="7">
        <f>PERCENTILE($E$2:$E823,0.5)</f>
        <v>1</v>
      </c>
      <c r="Q824" s="7">
        <f>PERCENTILE($E$2:$E823,0.835)</f>
        <v>3</v>
      </c>
      <c r="R824" s="7">
        <f>PERCENTILE($E$2:$E823,0.975)</f>
        <v>3</v>
      </c>
    </row>
    <row r="825" spans="1:18" x14ac:dyDescent="0.2">
      <c r="A825" s="5">
        <f>Data!E943</f>
        <v>2013</v>
      </c>
      <c r="B825" s="5">
        <f>Data!M943</f>
        <v>3.15</v>
      </c>
      <c r="C825" s="5">
        <f>Data!N943</f>
        <v>0.5</v>
      </c>
      <c r="D825" s="5">
        <f ca="1">Data!O943</f>
        <v>200</v>
      </c>
      <c r="E825" s="1">
        <f>Data!AQ943</f>
        <v>1</v>
      </c>
      <c r="F825" t="str">
        <f t="shared" si="12"/>
        <v/>
      </c>
      <c r="G825" s="5">
        <f ca="1">AVERAGE(D$2:D824)</f>
        <v>174.42670175175559</v>
      </c>
      <c r="H825" s="5">
        <f ca="1">PERCENTILE(D$2:D824,0.025)</f>
        <v>-2.8630489094571114</v>
      </c>
      <c r="I825" s="5">
        <f ca="1">PERCENTILE(D$2:D824,0.165)</f>
        <v>8</v>
      </c>
      <c r="J825" s="5">
        <f ca="1">PERCENTILE(D$2:D824,0.5)</f>
        <v>48.213329318408192</v>
      </c>
      <c r="K825" s="5">
        <f ca="1">PERCENTILE(D$2:D824,0.835)</f>
        <v>231.75279139784948</v>
      </c>
      <c r="L825" s="5">
        <f ca="1">PERCENTILE(D$2:D824,0.975)</f>
        <v>1053.7349330291286</v>
      </c>
      <c r="M825" s="7">
        <f>AVERAGE(E$2:E824)</f>
        <v>1.2468621700879776</v>
      </c>
      <c r="N825" s="7">
        <f>PERCENTILE($E$2:$E824,0.025)</f>
        <v>-1.1000000000000001</v>
      </c>
      <c r="O825" s="7">
        <f>PERCENTILE($E$2:$E824,0.165)</f>
        <v>0</v>
      </c>
      <c r="P825" s="7">
        <f>PERCENTILE($E$2:$E824,0.5)</f>
        <v>1</v>
      </c>
      <c r="Q825" s="7">
        <f>PERCENTILE($E$2:$E824,0.835)</f>
        <v>3</v>
      </c>
      <c r="R825" s="7">
        <f>PERCENTILE($E$2:$E824,0.975)</f>
        <v>3</v>
      </c>
    </row>
    <row r="826" spans="1:18" x14ac:dyDescent="0.2">
      <c r="A826" s="5">
        <f>Data!E944</f>
        <v>2013</v>
      </c>
      <c r="B826" s="5">
        <f>Data!M944</f>
        <v>3.15</v>
      </c>
      <c r="C826" s="5">
        <f>Data!N944</f>
        <v>0.5</v>
      </c>
      <c r="D826" s="5">
        <f ca="1">Data!O944</f>
        <v>1500</v>
      </c>
      <c r="E826" s="1">
        <f>Data!AQ944</f>
        <v>1</v>
      </c>
      <c r="F826" t="str">
        <f t="shared" si="12"/>
        <v/>
      </c>
      <c r="G826" s="5">
        <f ca="1">AVERAGE(D$2:D825)</f>
        <v>174.4577373078821</v>
      </c>
      <c r="H826" s="5">
        <f ca="1">PERCENTILE(D$2:D825,0.025)</f>
        <v>-2.8550209662516339</v>
      </c>
      <c r="I826" s="5">
        <f ca="1">PERCENTILE(D$2:D825,0.165)</f>
        <v>8</v>
      </c>
      <c r="J826" s="5">
        <f ca="1">PERCENTILE(D$2:D825,0.5)</f>
        <v>48.447789011267496</v>
      </c>
      <c r="K826" s="5">
        <f ca="1">PERCENTILE(D$2:D825,0.835)</f>
        <v>230.64042724014286</v>
      </c>
      <c r="L826" s="5">
        <f ca="1">PERCENTILE(D$2:D825,0.975)</f>
        <v>1053.1984848511038</v>
      </c>
      <c r="M826" s="7">
        <f>AVERAGE(E$2:E825)</f>
        <v>1.2465007320644226</v>
      </c>
      <c r="N826" s="7">
        <f>PERCENTILE($E$2:$E825,0.025)</f>
        <v>-1.1000000000000001</v>
      </c>
      <c r="O826" s="7">
        <f>PERCENTILE($E$2:$E825,0.165)</f>
        <v>0</v>
      </c>
      <c r="P826" s="7">
        <f>PERCENTILE($E$2:$E825,0.5)</f>
        <v>1</v>
      </c>
      <c r="Q826" s="7">
        <f>PERCENTILE($E$2:$E825,0.835)</f>
        <v>3</v>
      </c>
      <c r="R826" s="7">
        <f>PERCENTILE($E$2:$E825,0.975)</f>
        <v>3</v>
      </c>
    </row>
    <row r="827" spans="1:18" x14ac:dyDescent="0.2">
      <c r="A827" s="5">
        <f>Data!E945</f>
        <v>2013</v>
      </c>
      <c r="B827" s="5">
        <f>Data!M945</f>
        <v>1.1777777777777776</v>
      </c>
      <c r="C827" s="5">
        <f>Data!N945</f>
        <v>0.22222222222222221</v>
      </c>
      <c r="D827" s="5">
        <f ca="1">Data!O945</f>
        <v>293</v>
      </c>
      <c r="E827" s="1">
        <f>Data!AQ945</f>
        <v>1.4</v>
      </c>
      <c r="F827" t="str">
        <f t="shared" si="12"/>
        <v/>
      </c>
      <c r="G827" s="5">
        <f ca="1">AVERAGE(D$2:D826)</f>
        <v>176.06445520205438</v>
      </c>
      <c r="H827" s="5">
        <f ca="1">PERCENTILE(D$2:D826,0.025)</f>
        <v>-2.8469930230461578</v>
      </c>
      <c r="I827" s="5">
        <f ca="1">PERCENTILE(D$2:D826,0.165)</f>
        <v>8</v>
      </c>
      <c r="J827" s="5">
        <f ca="1">PERCENTILE(D$2:D826,0.5)</f>
        <v>48.682248704126799</v>
      </c>
      <c r="K827" s="5">
        <f ca="1">PERCENTILE(D$2:D826,0.835)</f>
        <v>236.00316243201925</v>
      </c>
      <c r="L827" s="5">
        <f ca="1">PERCENTILE(D$2:D826,0.975)</f>
        <v>1074.3447268572586</v>
      </c>
      <c r="M827" s="7">
        <f>AVERAGE(E$2:E826)</f>
        <v>1.246140350877194</v>
      </c>
      <c r="N827" s="7">
        <f>PERCENTILE($E$2:$E826,0.025)</f>
        <v>-1.1000000000000001</v>
      </c>
      <c r="O827" s="7">
        <f>PERCENTILE($E$2:$E826,0.165)</f>
        <v>0</v>
      </c>
      <c r="P827" s="7">
        <f>PERCENTILE($E$2:$E826,0.5)</f>
        <v>1</v>
      </c>
      <c r="Q827" s="7">
        <f>PERCENTILE($E$2:$E826,0.835)</f>
        <v>3</v>
      </c>
      <c r="R827" s="7">
        <f>PERCENTILE($E$2:$E826,0.975)</f>
        <v>3</v>
      </c>
    </row>
    <row r="828" spans="1:18" x14ac:dyDescent="0.2">
      <c r="A828" s="5">
        <f>Data!E946</f>
        <v>2013</v>
      </c>
      <c r="B828" s="5">
        <f>Data!M946</f>
        <v>2.3555555555555552</v>
      </c>
      <c r="C828" s="5">
        <f>Data!N946</f>
        <v>0.44444444444444442</v>
      </c>
      <c r="D828" s="5">
        <f ca="1">Data!O946</f>
        <v>52</v>
      </c>
      <c r="E828" s="1">
        <f>Data!AQ946</f>
        <v>1.4</v>
      </c>
      <c r="F828" t="str">
        <f t="shared" si="12"/>
        <v/>
      </c>
      <c r="G828" s="5">
        <f ca="1">AVERAGE(D$2:D827)</f>
        <v>176.20602365822623</v>
      </c>
      <c r="H828" s="5">
        <f ca="1">PERCENTILE(D$2:D827,0.025)</f>
        <v>-2.8389650798406816</v>
      </c>
      <c r="I828" s="5">
        <f ca="1">PERCENTILE(D$2:D827,0.165)</f>
        <v>8.0390803732415552</v>
      </c>
      <c r="J828" s="5">
        <f ca="1">PERCENTILE(D$2:D827,0.5)</f>
        <v>48.682248704126799</v>
      </c>
      <c r="K828" s="5">
        <f ca="1">PERCENTILE(D$2:D827,0.835)</f>
        <v>236.06917820042128</v>
      </c>
      <c r="L828" s="5">
        <f ca="1">PERCENTILE(D$2:D827,0.975)</f>
        <v>1073.7942309877858</v>
      </c>
      <c r="M828" s="7">
        <f>AVERAGE(E$2:E827)</f>
        <v>1.2463649635036507</v>
      </c>
      <c r="N828" s="7">
        <f>PERCENTILE($E$2:$E827,0.025)</f>
        <v>-1.1000000000000001</v>
      </c>
      <c r="O828" s="7">
        <f>PERCENTILE($E$2:$E827,0.165)</f>
        <v>0</v>
      </c>
      <c r="P828" s="7">
        <f>PERCENTILE($E$2:$E827,0.5)</f>
        <v>1</v>
      </c>
      <c r="Q828" s="7">
        <f>PERCENTILE($E$2:$E827,0.835)</f>
        <v>3</v>
      </c>
      <c r="R828" s="7">
        <f>PERCENTILE($E$2:$E827,0.975)</f>
        <v>3</v>
      </c>
    </row>
    <row r="829" spans="1:18" x14ac:dyDescent="0.2">
      <c r="A829" s="5">
        <f>Data!E947</f>
        <v>2013</v>
      </c>
      <c r="B829" s="5">
        <f>Data!M947</f>
        <v>0.5888888888888888</v>
      </c>
      <c r="C829" s="5">
        <f>Data!N947</f>
        <v>0.1111111111111111</v>
      </c>
      <c r="D829" s="5">
        <f ca="1">Data!O947</f>
        <v>47.029411764705884</v>
      </c>
      <c r="E829" s="1">
        <f>Data!AQ947</f>
        <v>1.4</v>
      </c>
      <c r="F829" t="str">
        <f t="shared" si="12"/>
        <v/>
      </c>
      <c r="G829" s="5">
        <f ca="1">AVERAGE(D$2:D828)</f>
        <v>176.05583499600345</v>
      </c>
      <c r="H829" s="5">
        <f ca="1">PERCENTILE(D$2:D828,0.025)</f>
        <v>-2.8309371366352041</v>
      </c>
      <c r="I829" s="5">
        <f ca="1">PERCENTILE(D$2:D828,0.165)</f>
        <v>8.0906664659204157</v>
      </c>
      <c r="J829" s="5">
        <f ca="1">PERCENTILE(D$2:D828,0.5)</f>
        <v>48.682248704126799</v>
      </c>
      <c r="K829" s="5">
        <f ca="1">PERCENTILE(D$2:D828,0.835)</f>
        <v>236.05613316834183</v>
      </c>
      <c r="L829" s="5">
        <f ca="1">PERCENTILE(D$2:D828,0.975)</f>
        <v>1073.2437351183128</v>
      </c>
      <c r="M829" s="7">
        <f>AVERAGE(E$2:E828)</f>
        <v>1.2465889212827999</v>
      </c>
      <c r="N829" s="7">
        <f>PERCENTILE($E$2:$E828,0.025)</f>
        <v>-1.1000000000000001</v>
      </c>
      <c r="O829" s="7">
        <f>PERCENTILE($E$2:$E828,0.165)</f>
        <v>0</v>
      </c>
      <c r="P829" s="7">
        <f>PERCENTILE($E$2:$E828,0.5)</f>
        <v>1</v>
      </c>
      <c r="Q829" s="7">
        <f>PERCENTILE($E$2:$E828,0.835)</f>
        <v>3</v>
      </c>
      <c r="R829" s="7">
        <f>PERCENTILE($E$2:$E828,0.975)</f>
        <v>3</v>
      </c>
    </row>
    <row r="830" spans="1:18" x14ac:dyDescent="0.2">
      <c r="A830" s="5">
        <f>Data!E948</f>
        <v>2013</v>
      </c>
      <c r="B830" s="5">
        <f>Data!M948</f>
        <v>1.1777777777777776</v>
      </c>
      <c r="C830" s="5">
        <f>Data!N948</f>
        <v>0.22222222222222221</v>
      </c>
      <c r="D830" s="5">
        <f ca="1">Data!O948</f>
        <v>263.00787401574803</v>
      </c>
      <c r="E830" s="1">
        <f>Data!AQ948</f>
        <v>1.4</v>
      </c>
      <c r="F830" t="str">
        <f t="shared" si="12"/>
        <v/>
      </c>
      <c r="G830" s="5">
        <f ca="1">AVERAGE(D$2:D829)</f>
        <v>175.90000598243907</v>
      </c>
      <c r="H830" s="5">
        <f ca="1">PERCENTILE(D$2:D829,0.025)</f>
        <v>-2.8229091934297279</v>
      </c>
      <c r="I830" s="5">
        <f ca="1">PERCENTILE(D$2:D829,0.165)</f>
        <v>8.1422525585992673</v>
      </c>
      <c r="J830" s="5">
        <f ca="1">PERCENTILE(D$2:D829,0.5)</f>
        <v>48.682248704126799</v>
      </c>
      <c r="K830" s="5">
        <f ca="1">PERCENTILE(D$2:D829,0.835)</f>
        <v>236.04308813626241</v>
      </c>
      <c r="L830" s="5">
        <f ca="1">PERCENTILE(D$2:D829,0.975)</f>
        <v>1072.6932392488372</v>
      </c>
      <c r="M830" s="7">
        <f>AVERAGE(E$2:E829)</f>
        <v>1.2468122270742368</v>
      </c>
      <c r="N830" s="7">
        <f>PERCENTILE($E$2:$E829,0.025)</f>
        <v>-1.1000000000000001</v>
      </c>
      <c r="O830" s="7">
        <f>PERCENTILE($E$2:$E829,0.165)</f>
        <v>0</v>
      </c>
      <c r="P830" s="7">
        <f>PERCENTILE($E$2:$E829,0.5)</f>
        <v>1</v>
      </c>
      <c r="Q830" s="7">
        <f>PERCENTILE($E$2:$E829,0.835)</f>
        <v>3</v>
      </c>
      <c r="R830" s="7">
        <f>PERCENTILE($E$2:$E829,0.975)</f>
        <v>3</v>
      </c>
    </row>
    <row r="831" spans="1:18" x14ac:dyDescent="0.2">
      <c r="A831" s="5">
        <f>Data!E989</f>
        <v>2013</v>
      </c>
      <c r="B831" s="5">
        <f>Data!M989</f>
        <v>0.67200000000000004</v>
      </c>
      <c r="C831" s="5">
        <f>Data!N989</f>
        <v>0.10666666666666667</v>
      </c>
      <c r="D831" s="5">
        <f ca="1">Data!O989</f>
        <v>39.049378215863406</v>
      </c>
      <c r="E831" s="1">
        <f>Data!AQ989</f>
        <v>1.5</v>
      </c>
      <c r="F831" t="str">
        <f t="shared" si="12"/>
        <v/>
      </c>
      <c r="G831" s="5">
        <f ca="1">AVERAGE(D$2:D830)</f>
        <v>176.00508181842619</v>
      </c>
      <c r="H831" s="5">
        <f ca="1">PERCENTILE(D$2:D830,0.025)</f>
        <v>-2.8148812502242504</v>
      </c>
      <c r="I831" s="5">
        <f ca="1">PERCENTILE(D$2:D830,0.165)</f>
        <v>8.1938386512781189</v>
      </c>
      <c r="J831" s="5">
        <f ca="1">PERCENTILE(D$2:D830,0.5)</f>
        <v>48.682248704126799</v>
      </c>
      <c r="K831" s="5">
        <f ca="1">PERCENTILE(D$2:D830,0.835)</f>
        <v>236.21950102107448</v>
      </c>
      <c r="L831" s="5">
        <f ca="1">PERCENTILE(D$2:D830,0.975)</f>
        <v>1072.1427433793644</v>
      </c>
      <c r="M831" s="7">
        <f>AVERAGE(E$2:E830)</f>
        <v>1.2470348837209311</v>
      </c>
      <c r="N831" s="7">
        <f>PERCENTILE($E$2:$E830,0.025)</f>
        <v>-1.1000000000000001</v>
      </c>
      <c r="O831" s="7">
        <f>PERCENTILE($E$2:$E830,0.165)</f>
        <v>0</v>
      </c>
      <c r="P831" s="7">
        <f>PERCENTILE($E$2:$E830,0.5)</f>
        <v>1</v>
      </c>
      <c r="Q831" s="7">
        <f>PERCENTILE($E$2:$E830,0.835)</f>
        <v>3</v>
      </c>
      <c r="R831" s="7">
        <f>PERCENTILE($E$2:$E830,0.975)</f>
        <v>3</v>
      </c>
    </row>
    <row r="832" spans="1:18" x14ac:dyDescent="0.2">
      <c r="A832" s="5">
        <f>Data!E990</f>
        <v>2013</v>
      </c>
      <c r="B832" s="5">
        <f>Data!M990</f>
        <v>8.4000000000000005E-2</v>
      </c>
      <c r="C832" s="5">
        <f>Data!N990</f>
        <v>1.3333333333333334E-2</v>
      </c>
      <c r="D832" s="5">
        <f ca="1">Data!O990</f>
        <v>8.9492474213543733</v>
      </c>
      <c r="E832" s="1">
        <f>Data!AQ990</f>
        <v>1.5</v>
      </c>
      <c r="F832" t="str">
        <f t="shared" si="12"/>
        <v/>
      </c>
      <c r="G832" s="5">
        <f ca="1">AVERAGE(D$2:D831)</f>
        <v>175.84007494661586</v>
      </c>
      <c r="H832" s="5">
        <f ca="1">PERCENTILE(D$2:D831,0.025)</f>
        <v>-2.8068533070187742</v>
      </c>
      <c r="I832" s="5">
        <f ca="1">PERCENTILE(D$2:D831,0.165)</f>
        <v>8.2454247439569706</v>
      </c>
      <c r="J832" s="5">
        <f ca="1">PERCENTILE(D$2:D831,0.5)</f>
        <v>48.682248704126799</v>
      </c>
      <c r="K832" s="5">
        <f ca="1">PERCENTILE(D$2:D831,0.835)</f>
        <v>236.15852039897484</v>
      </c>
      <c r="L832" s="5">
        <f ca="1">PERCENTILE(D$2:D831,0.975)</f>
        <v>1071.5922475098914</v>
      </c>
      <c r="M832" s="7">
        <f>AVERAGE(E$2:E831)</f>
        <v>1.2474020319303347</v>
      </c>
      <c r="N832" s="7">
        <f>PERCENTILE($E$2:$E831,0.025)</f>
        <v>-1.1000000000000001</v>
      </c>
      <c r="O832" s="7">
        <f>PERCENTILE($E$2:$E831,0.165)</f>
        <v>0</v>
      </c>
      <c r="P832" s="7">
        <f>PERCENTILE($E$2:$E831,0.5)</f>
        <v>1</v>
      </c>
      <c r="Q832" s="7">
        <f>PERCENTILE($E$2:$E831,0.835)</f>
        <v>3</v>
      </c>
      <c r="R832" s="7">
        <f>PERCENTILE($E$2:$E831,0.975)</f>
        <v>3</v>
      </c>
    </row>
    <row r="833" spans="1:18" x14ac:dyDescent="0.2">
      <c r="A833" s="5">
        <f>Data!E991</f>
        <v>2013</v>
      </c>
      <c r="B833" s="5">
        <f>Data!M991</f>
        <v>0.16800000000000001</v>
      </c>
      <c r="C833" s="5">
        <f>Data!N991</f>
        <v>2.6666666666666668E-2</v>
      </c>
      <c r="D833" s="5">
        <f ca="1">Data!O991</f>
        <v>23.253542200162691</v>
      </c>
      <c r="E833" s="1">
        <f>Data!AQ991</f>
        <v>1.5</v>
      </c>
      <c r="F833" t="str">
        <f t="shared" si="12"/>
        <v/>
      </c>
      <c r="G833" s="5">
        <f ca="1">AVERAGE(D$2:D832)</f>
        <v>175.6392436258875</v>
      </c>
      <c r="H833" s="5">
        <f ca="1">PERCENTILE(D$2:D832,0.025)</f>
        <v>-2.7988253638132976</v>
      </c>
      <c r="I833" s="5">
        <f ca="1">PERCENTILE(D$2:D832,0.165)</f>
        <v>8.2970108366358293</v>
      </c>
      <c r="J833" s="5">
        <f ca="1">PERCENTILE(D$2:D832,0.5)</f>
        <v>48.682248704126799</v>
      </c>
      <c r="K833" s="5">
        <f ca="1">PERCENTILE(D$2:D832,0.835)</f>
        <v>236.09753977687527</v>
      </c>
      <c r="L833" s="5">
        <f ca="1">PERCENTILE(D$2:D832,0.975)</f>
        <v>1071.0417516404186</v>
      </c>
      <c r="M833" s="7">
        <f>AVERAGE(E$2:E832)</f>
        <v>1.24776811594203</v>
      </c>
      <c r="N833" s="7">
        <f>PERCENTILE($E$2:$E832,0.025)</f>
        <v>-1.1000000000000001</v>
      </c>
      <c r="O833" s="7">
        <f>PERCENTILE($E$2:$E832,0.165)</f>
        <v>0</v>
      </c>
      <c r="P833" s="7">
        <f>PERCENTILE($E$2:$E832,0.5)</f>
        <v>1</v>
      </c>
      <c r="Q833" s="7">
        <f>PERCENTILE($E$2:$E832,0.835)</f>
        <v>3</v>
      </c>
      <c r="R833" s="7">
        <f>PERCENTILE($E$2:$E832,0.975)</f>
        <v>3</v>
      </c>
    </row>
    <row r="834" spans="1:18" x14ac:dyDescent="0.2">
      <c r="A834" s="5">
        <f>Data!E992</f>
        <v>2013</v>
      </c>
      <c r="B834" s="5">
        <f>Data!M992</f>
        <v>0.33600000000000002</v>
      </c>
      <c r="C834" s="5">
        <f>Data!N992</f>
        <v>5.3333333333333337E-2</v>
      </c>
      <c r="D834" s="5">
        <f ca="1">Data!O992</f>
        <v>36.604907855400874</v>
      </c>
      <c r="E834" s="1">
        <f>Data!AQ992</f>
        <v>1.5</v>
      </c>
      <c r="F834" t="str">
        <f t="shared" si="12"/>
        <v/>
      </c>
      <c r="G834" s="5">
        <f ca="1">AVERAGE(D$2:D833)</f>
        <v>175.45608773475081</v>
      </c>
      <c r="H834" s="5">
        <f ca="1">PERCENTILE(D$2:D833,0.025)</f>
        <v>-2.7907974206078201</v>
      </c>
      <c r="I834" s="5">
        <f ca="1">PERCENTILE(D$2:D833,0.165)</f>
        <v>8.3242282772445861</v>
      </c>
      <c r="J834" s="5">
        <f ca="1">PERCENTILE(D$2:D833,0.5)</f>
        <v>48.447789011267496</v>
      </c>
      <c r="K834" s="5">
        <f ca="1">PERCENTILE(D$2:D833,0.835)</f>
        <v>236.0699688084261</v>
      </c>
      <c r="L834" s="5">
        <f ca="1">PERCENTILE(D$2:D833,0.975)</f>
        <v>1070.4912557709456</v>
      </c>
      <c r="M834" s="7">
        <f>AVERAGE(E$2:E833)</f>
        <v>1.2481331403762672</v>
      </c>
      <c r="N834" s="7">
        <f>PERCENTILE($E$2:$E833,0.025)</f>
        <v>-1.1000000000000001</v>
      </c>
      <c r="O834" s="7">
        <f>PERCENTILE($E$2:$E833,0.165)</f>
        <v>0</v>
      </c>
      <c r="P834" s="7">
        <f>PERCENTILE($E$2:$E833,0.5)</f>
        <v>1</v>
      </c>
      <c r="Q834" s="7">
        <f>PERCENTILE($E$2:$E833,0.835)</f>
        <v>3</v>
      </c>
      <c r="R834" s="7">
        <f>PERCENTILE($E$2:$E833,0.975)</f>
        <v>3</v>
      </c>
    </row>
    <row r="835" spans="1:18" x14ac:dyDescent="0.2">
      <c r="A835" s="5">
        <f>Data!E993</f>
        <v>2013</v>
      </c>
      <c r="B835" s="5">
        <f>Data!M993</f>
        <v>0.33600000000000002</v>
      </c>
      <c r="C835" s="5">
        <f>Data!N993</f>
        <v>5.3333333333333337E-2</v>
      </c>
      <c r="D835" s="5">
        <f ca="1">Data!O993</f>
        <v>48.071131114011159</v>
      </c>
      <c r="E835" s="1">
        <f>Data!AQ993</f>
        <v>1.5</v>
      </c>
      <c r="F835" t="str">
        <f t="shared" si="12"/>
        <v/>
      </c>
      <c r="G835" s="5">
        <f ca="1">AVERAGE(D$2:D834)</f>
        <v>175.28939964365915</v>
      </c>
      <c r="H835" s="5">
        <f ca="1">PERCENTILE(D$2:D834,0.025)</f>
        <v>-2.7827694774023439</v>
      </c>
      <c r="I835" s="5">
        <f ca="1">PERCENTILE(D$2:D834,0.165)</f>
        <v>8.3408506517359147</v>
      </c>
      <c r="J835" s="5">
        <f ca="1">PERCENTILE(D$2:D834,0.5)</f>
        <v>48.213329318408192</v>
      </c>
      <c r="K835" s="5">
        <f ca="1">PERCENTILE(D$2:D834,0.835)</f>
        <v>236.05692377634665</v>
      </c>
      <c r="L835" s="5">
        <f ca="1">PERCENTILE(D$2:D834,0.975)</f>
        <v>1069.9407599014701</v>
      </c>
      <c r="M835" s="7">
        <f>AVERAGE(E$2:E834)</f>
        <v>1.2484971098265905</v>
      </c>
      <c r="N835" s="7">
        <f>PERCENTILE($E$2:$E834,0.025)</f>
        <v>-1.1000000000000001</v>
      </c>
      <c r="O835" s="7">
        <f>PERCENTILE($E$2:$E834,0.165)</f>
        <v>0</v>
      </c>
      <c r="P835" s="7">
        <f>PERCENTILE($E$2:$E834,0.5)</f>
        <v>1</v>
      </c>
      <c r="Q835" s="7">
        <f>PERCENTILE($E$2:$E834,0.835)</f>
        <v>3</v>
      </c>
      <c r="R835" s="7">
        <f>PERCENTILE($E$2:$E834,0.975)</f>
        <v>3</v>
      </c>
    </row>
    <row r="836" spans="1:18" x14ac:dyDescent="0.2">
      <c r="A836" s="5">
        <f>Data!E994</f>
        <v>2013</v>
      </c>
      <c r="B836" s="5">
        <f>Data!M994</f>
        <v>0.16800000000000001</v>
      </c>
      <c r="C836" s="5">
        <f>Data!N994</f>
        <v>2.6666666666666668E-2</v>
      </c>
      <c r="D836" s="5">
        <f ca="1">Data!O994</f>
        <v>57.766149153811739</v>
      </c>
      <c r="E836" s="1">
        <f>Data!AQ994</f>
        <v>1.5</v>
      </c>
      <c r="F836" t="str">
        <f t="shared" si="12"/>
        <v/>
      </c>
      <c r="G836" s="5">
        <f ca="1">AVERAGE(D$2:D835)</f>
        <v>175.13685975333581</v>
      </c>
      <c r="H836" s="5">
        <f ca="1">PERCENTILE(D$2:D835,0.025)</f>
        <v>-2.7747415341968664</v>
      </c>
      <c r="I836" s="5">
        <f ca="1">PERCENTILE(D$2:D835,0.165)</f>
        <v>8.3574730262272432</v>
      </c>
      <c r="J836" s="5">
        <f ca="1">PERCENTILE(D$2:D835,0.5)</f>
        <v>48.191674808212667</v>
      </c>
      <c r="K836" s="5">
        <f ca="1">PERCENTILE(D$2:D835,0.835)</f>
        <v>236.0438787442672</v>
      </c>
      <c r="L836" s="5">
        <f ca="1">PERCENTILE(D$2:D835,0.975)</f>
        <v>1069.3902640319973</v>
      </c>
      <c r="M836" s="7">
        <f>AVERAGE(E$2:E835)</f>
        <v>1.2488600288600298</v>
      </c>
      <c r="N836" s="7">
        <f>PERCENTILE($E$2:$E835,0.025)</f>
        <v>-1.1000000000000001</v>
      </c>
      <c r="O836" s="7">
        <f>PERCENTILE($E$2:$E835,0.165)</f>
        <v>0</v>
      </c>
      <c r="P836" s="7">
        <f>PERCENTILE($E$2:$E835,0.5)</f>
        <v>1</v>
      </c>
      <c r="Q836" s="7">
        <f>PERCENTILE($E$2:$E835,0.835)</f>
        <v>3</v>
      </c>
      <c r="R836" s="7">
        <f>PERCENTILE($E$2:$E835,0.975)</f>
        <v>3</v>
      </c>
    </row>
    <row r="837" spans="1:18" x14ac:dyDescent="0.2">
      <c r="A837" s="5">
        <f>Data!E995</f>
        <v>2013</v>
      </c>
      <c r="B837" s="5">
        <f>Data!M995</f>
        <v>0.16800000000000001</v>
      </c>
      <c r="C837" s="5">
        <f>Data!N995</f>
        <v>2.6666666666666668E-2</v>
      </c>
      <c r="D837" s="5">
        <f ca="1">Data!O995</f>
        <v>65.979983881976111</v>
      </c>
      <c r="E837" s="1">
        <f>Data!AQ995</f>
        <v>1.5</v>
      </c>
      <c r="F837" t="str">
        <f t="shared" ref="F837:F900" si="13">IF(A837&lt;&gt;A836,A837,"")</f>
        <v/>
      </c>
      <c r="G837" s="5">
        <f ca="1">AVERAGE(D$2:D836)</f>
        <v>174.99629602806692</v>
      </c>
      <c r="H837" s="5">
        <f ca="1">PERCENTILE(D$2:D836,0.025)</f>
        <v>-2.7667135909913902</v>
      </c>
      <c r="I837" s="5">
        <f ca="1">PERCENTILE(D$2:D836,0.165)</f>
        <v>8.3740954007185735</v>
      </c>
      <c r="J837" s="5">
        <f ca="1">PERCENTILE(D$2:D836,0.5)</f>
        <v>48.213329318408192</v>
      </c>
      <c r="K837" s="5">
        <f ca="1">PERCENTILE(D$2:D836,0.835)</f>
        <v>236.03083371218779</v>
      </c>
      <c r="L837" s="5">
        <f ca="1">PERCENTILE(D$2:D836,0.975)</f>
        <v>1068.8397681625243</v>
      </c>
      <c r="M837" s="7">
        <f>AVERAGE(E$2:E836)</f>
        <v>1.2492219020172919</v>
      </c>
      <c r="N837" s="7">
        <f>PERCENTILE($E$2:$E836,0.025)</f>
        <v>-1.1000000000000001</v>
      </c>
      <c r="O837" s="7">
        <f>PERCENTILE($E$2:$E836,0.165)</f>
        <v>0</v>
      </c>
      <c r="P837" s="7">
        <f>PERCENTILE($E$2:$E836,0.5)</f>
        <v>1</v>
      </c>
      <c r="Q837" s="7">
        <f>PERCENTILE($E$2:$E836,0.835)</f>
        <v>3</v>
      </c>
      <c r="R837" s="7">
        <f>PERCENTILE($E$2:$E836,0.975)</f>
        <v>3</v>
      </c>
    </row>
    <row r="838" spans="1:18" x14ac:dyDescent="0.2">
      <c r="A838" s="5">
        <f>Data!E996</f>
        <v>2013</v>
      </c>
      <c r="B838" s="5">
        <f>Data!M996</f>
        <v>8.4000000000000005E-2</v>
      </c>
      <c r="C838" s="5">
        <f>Data!N996</f>
        <v>1.3333333333333334E-2</v>
      </c>
      <c r="D838" s="5">
        <f ca="1">Data!O996</f>
        <v>39.078136200716841</v>
      </c>
      <c r="E838" s="1" t="str">
        <f>Data!AQ996</f>
        <v>NA</v>
      </c>
      <c r="F838" t="str">
        <f t="shared" si="13"/>
        <v/>
      </c>
      <c r="G838" s="5">
        <f ca="1">AVERAGE(D$2:D837)</f>
        <v>174.86589374081086</v>
      </c>
      <c r="H838" s="5">
        <f ca="1">PERCENTILE(D$2:D837,0.025)</f>
        <v>-2.7586856477859141</v>
      </c>
      <c r="I838" s="5">
        <f ca="1">PERCENTILE(D$2:D837,0.165)</f>
        <v>8.390717775209902</v>
      </c>
      <c r="J838" s="5">
        <f ca="1">PERCENTILE(D$2:D837,0.5)</f>
        <v>48.447789011267496</v>
      </c>
      <c r="K838" s="5">
        <f ca="1">PERCENTILE(D$2:D837,0.835)</f>
        <v>236.01778868010834</v>
      </c>
      <c r="L838" s="5">
        <f ca="1">PERCENTILE(D$2:D837,0.975)</f>
        <v>1068.2892722930512</v>
      </c>
      <c r="M838" s="7">
        <f>AVERAGE(E$2:E837)</f>
        <v>1.2495827338129506</v>
      </c>
      <c r="N838" s="7">
        <f>PERCENTILE($E$2:$E837,0.025)</f>
        <v>-1.1000000000000001</v>
      </c>
      <c r="O838" s="7">
        <f>PERCENTILE($E$2:$E837,0.165)</f>
        <v>0</v>
      </c>
      <c r="P838" s="7">
        <f>PERCENTILE($E$2:$E837,0.5)</f>
        <v>1</v>
      </c>
      <c r="Q838" s="7">
        <f>PERCENTILE($E$2:$E837,0.835)</f>
        <v>3</v>
      </c>
      <c r="R838" s="7">
        <f>PERCENTILE($E$2:$E837,0.975)</f>
        <v>3</v>
      </c>
    </row>
    <row r="839" spans="1:18" x14ac:dyDescent="0.2">
      <c r="A839" s="5">
        <f>Data!E997</f>
        <v>2013</v>
      </c>
      <c r="B839" s="5">
        <f>Data!M997</f>
        <v>0.42</v>
      </c>
      <c r="C839" s="5">
        <f>Data!N997</f>
        <v>6.6666666666666666E-2</v>
      </c>
      <c r="D839" s="5">
        <f ca="1">Data!O997</f>
        <v>56.968588909084552</v>
      </c>
      <c r="E839" s="1">
        <f>Data!AQ997</f>
        <v>1.5</v>
      </c>
      <c r="F839" t="str">
        <f t="shared" si="13"/>
        <v/>
      </c>
      <c r="G839" s="5">
        <f ca="1">AVERAGE(D$2:D838)</f>
        <v>174.70366225032092</v>
      </c>
      <c r="H839" s="5">
        <f ca="1">PERCENTILE(D$2:D838,0.025)</f>
        <v>-2.7506577045804366</v>
      </c>
      <c r="I839" s="5">
        <f ca="1">PERCENTILE(D$2:D838,0.165)</f>
        <v>8.4073401497012288</v>
      </c>
      <c r="J839" s="5">
        <f ca="1">PERCENTILE(D$2:D838,0.5)</f>
        <v>48.213329318408192</v>
      </c>
      <c r="K839" s="5">
        <f ca="1">PERCENTILE(D$2:D838,0.835)</f>
        <v>236.00474364802889</v>
      </c>
      <c r="L839" s="5">
        <f ca="1">PERCENTILE(D$2:D838,0.975)</f>
        <v>1067.7387764235784</v>
      </c>
      <c r="M839" s="7">
        <f>AVERAGE(E$2:E838)</f>
        <v>1.2495827338129506</v>
      </c>
      <c r="N839" s="7">
        <f>PERCENTILE($E$2:$E838,0.025)</f>
        <v>-1.1000000000000001</v>
      </c>
      <c r="O839" s="7">
        <f>PERCENTILE($E$2:$E838,0.165)</f>
        <v>0</v>
      </c>
      <c r="P839" s="7">
        <f>PERCENTILE($E$2:$E838,0.5)</f>
        <v>1</v>
      </c>
      <c r="Q839" s="7">
        <f>PERCENTILE($E$2:$E838,0.835)</f>
        <v>3</v>
      </c>
      <c r="R839" s="7">
        <f>PERCENTILE($E$2:$E838,0.975)</f>
        <v>3</v>
      </c>
    </row>
    <row r="840" spans="1:18" x14ac:dyDescent="0.2">
      <c r="A840" s="5">
        <f>Data!E998</f>
        <v>2013</v>
      </c>
      <c r="B840" s="5">
        <f>Data!M998</f>
        <v>8.4000000000000005E-2</v>
      </c>
      <c r="C840" s="5">
        <f>Data!N998</f>
        <v>1.3333333333333334E-2</v>
      </c>
      <c r="D840" s="5">
        <f ca="1">Data!O998</f>
        <v>1572.3330538907335</v>
      </c>
      <c r="E840" s="1">
        <f>Data!AQ998</f>
        <v>0.1</v>
      </c>
      <c r="F840" t="str">
        <f t="shared" si="13"/>
        <v/>
      </c>
      <c r="G840" s="5">
        <f ca="1">AVERAGE(D$2:D839)</f>
        <v>174.56316693607121</v>
      </c>
      <c r="H840" s="5">
        <f ca="1">PERCENTILE(D$2:D839,0.025)</f>
        <v>-2.7426297613749604</v>
      </c>
      <c r="I840" s="5">
        <f ca="1">PERCENTILE(D$2:D839,0.165)</f>
        <v>8.4202633251104171</v>
      </c>
      <c r="J840" s="5">
        <f ca="1">PERCENTILE(D$2:D839,0.5)</f>
        <v>48.447789011267496</v>
      </c>
      <c r="K840" s="5">
        <f ca="1">PERCENTILE(D$2:D839,0.835)</f>
        <v>235.29213189964145</v>
      </c>
      <c r="L840" s="5">
        <f ca="1">PERCENTILE(D$2:D839,0.975)</f>
        <v>1067.1882805541029</v>
      </c>
      <c r="M840" s="7">
        <f>AVERAGE(E$2:E839)</f>
        <v>1.2499425287356332</v>
      </c>
      <c r="N840" s="7">
        <f>PERCENTILE($E$2:$E839,0.025)</f>
        <v>-1.1000000000000001</v>
      </c>
      <c r="O840" s="7">
        <f>PERCENTILE($E$2:$E839,0.165)</f>
        <v>0</v>
      </c>
      <c r="P840" s="7">
        <f>PERCENTILE($E$2:$E839,0.5)</f>
        <v>1</v>
      </c>
      <c r="Q840" s="7">
        <f>PERCENTILE($E$2:$E839,0.835)</f>
        <v>3</v>
      </c>
      <c r="R840" s="7">
        <f>PERCENTILE($E$2:$E839,0.975)</f>
        <v>3</v>
      </c>
    </row>
    <row r="841" spans="1:18" x14ac:dyDescent="0.2">
      <c r="A841" s="5">
        <f>Data!E999</f>
        <v>2013</v>
      </c>
      <c r="B841" s="5">
        <f>Data!M999</f>
        <v>0.16800000000000001</v>
      </c>
      <c r="C841" s="5">
        <f>Data!N999</f>
        <v>2.6666666666666668E-2</v>
      </c>
      <c r="D841" s="5">
        <f ca="1">Data!O999</f>
        <v>394.63695226111298</v>
      </c>
      <c r="E841" s="1">
        <f>Data!AQ999</f>
        <v>0.1</v>
      </c>
      <c r="F841" t="str">
        <f t="shared" si="13"/>
        <v/>
      </c>
      <c r="G841" s="5">
        <f ca="1">AVERAGE(D$2:D840)</f>
        <v>176.22916203375257</v>
      </c>
      <c r="H841" s="5">
        <f ca="1">PERCENTILE(D$2:D840,0.025)</f>
        <v>-2.7346018181694829</v>
      </c>
      <c r="I841" s="5">
        <f ca="1">PERCENTILE(D$2:D840,0.165)</f>
        <v>8.4310726724726646</v>
      </c>
      <c r="J841" s="5">
        <f ca="1">PERCENTILE(D$2:D840,0.5)</f>
        <v>48.682248704126799</v>
      </c>
      <c r="K841" s="5">
        <f ca="1">PERCENTILE(D$2:D840,0.835)</f>
        <v>236.05771438435147</v>
      </c>
      <c r="L841" s="5">
        <f ca="1">PERCENTILE(D$2:D840,0.975)</f>
        <v>1089.491264480725</v>
      </c>
      <c r="M841" s="7">
        <f>AVERAGE(E$2:E840)</f>
        <v>1.2482926829268302</v>
      </c>
      <c r="N841" s="7">
        <f>PERCENTILE($E$2:$E840,0.025)</f>
        <v>-1.1000000000000001</v>
      </c>
      <c r="O841" s="7">
        <f>PERCENTILE($E$2:$E840,0.165)</f>
        <v>0</v>
      </c>
      <c r="P841" s="7">
        <f>PERCENTILE($E$2:$E840,0.5)</f>
        <v>1</v>
      </c>
      <c r="Q841" s="7">
        <f>PERCENTILE($E$2:$E840,0.835)</f>
        <v>3</v>
      </c>
      <c r="R841" s="7">
        <f>PERCENTILE($E$2:$E840,0.975)</f>
        <v>3</v>
      </c>
    </row>
    <row r="842" spans="1:18" x14ac:dyDescent="0.2">
      <c r="A842" s="5">
        <f>Data!E1000</f>
        <v>2013</v>
      </c>
      <c r="B842" s="5">
        <f>Data!M1000</f>
        <v>0.252</v>
      </c>
      <c r="C842" s="5">
        <f>Data!N1000</f>
        <v>0.04</v>
      </c>
      <c r="D842" s="5">
        <f ca="1">Data!O1000</f>
        <v>129.47406570246488</v>
      </c>
      <c r="E842" s="1">
        <f>Data!AQ1000</f>
        <v>0.1</v>
      </c>
      <c r="F842" t="str">
        <f t="shared" si="13"/>
        <v/>
      </c>
      <c r="G842" s="5">
        <f ca="1">AVERAGE(D$2:D841)</f>
        <v>176.48917130783278</v>
      </c>
      <c r="H842" s="5">
        <f ca="1">PERCENTILE(D$2:D841,0.025)</f>
        <v>-2.7265738749640063</v>
      </c>
      <c r="I842" s="5">
        <f ca="1">PERCENTILE(D$2:D841,0.165)</f>
        <v>8.441882019834912</v>
      </c>
      <c r="J842" s="5">
        <f ca="1">PERCENTILE(D$2:D841,0.5)</f>
        <v>48.682248704126799</v>
      </c>
      <c r="K842" s="5">
        <f ca="1">PERCENTILE(D$2:D841,0.835)</f>
        <v>236.28787323373157</v>
      </c>
      <c r="L842" s="5">
        <f ca="1">PERCENTILE(D$2:D841,0.975)</f>
        <v>1088.5239461026736</v>
      </c>
      <c r="M842" s="7">
        <f>AVERAGE(E$2:E841)</f>
        <v>1.2466475644699149</v>
      </c>
      <c r="N842" s="7">
        <f>PERCENTILE($E$2:$E841,0.025)</f>
        <v>-1.1000000000000001</v>
      </c>
      <c r="O842" s="7">
        <f>PERCENTILE($E$2:$E841,0.165)</f>
        <v>0</v>
      </c>
      <c r="P842" s="7">
        <f>PERCENTILE($E$2:$E841,0.5)</f>
        <v>1</v>
      </c>
      <c r="Q842" s="7">
        <f>PERCENTILE($E$2:$E841,0.835)</f>
        <v>3</v>
      </c>
      <c r="R842" s="7">
        <f>PERCENTILE($E$2:$E841,0.975)</f>
        <v>3</v>
      </c>
    </row>
    <row r="843" spans="1:18" x14ac:dyDescent="0.2">
      <c r="A843" s="5">
        <f>Data!E1001</f>
        <v>2013</v>
      </c>
      <c r="B843" s="5">
        <f>Data!M1001</f>
        <v>0.33600000000000002</v>
      </c>
      <c r="C843" s="5">
        <f>Data!N1001</f>
        <v>5.3333333333333337E-2</v>
      </c>
      <c r="D843" s="5">
        <f ca="1">Data!O1001</f>
        <v>89.078157203295845</v>
      </c>
      <c r="E843" s="1">
        <f>Data!AQ1001</f>
        <v>0.1</v>
      </c>
      <c r="F843" t="str">
        <f t="shared" si="13"/>
        <v/>
      </c>
      <c r="G843" s="5">
        <f ca="1">AVERAGE(D$2:D842)</f>
        <v>176.43326749617361</v>
      </c>
      <c r="H843" s="5">
        <f ca="1">PERCENTILE(D$2:D842,0.025)</f>
        <v>-2.7185459317585301</v>
      </c>
      <c r="I843" s="5">
        <f ca="1">PERCENTILE(D$2:D842,0.165)</f>
        <v>8.4526913671971595</v>
      </c>
      <c r="J843" s="5">
        <f ca="1">PERCENTILE(D$2:D842,0.5)</f>
        <v>48.682248704126799</v>
      </c>
      <c r="K843" s="5">
        <f ca="1">PERCENTILE(D$2:D842,0.835)</f>
        <v>236.226892611632</v>
      </c>
      <c r="L843" s="5">
        <f ca="1">PERCENTILE(D$2:D842,0.975)</f>
        <v>1087.5566277246219</v>
      </c>
      <c r="M843" s="7">
        <f>AVERAGE(E$2:E842)</f>
        <v>1.2450071530758235</v>
      </c>
      <c r="N843" s="7">
        <f>PERCENTILE($E$2:$E842,0.025)</f>
        <v>-1.1000000000000001</v>
      </c>
      <c r="O843" s="7">
        <f>PERCENTILE($E$2:$E842,0.165)</f>
        <v>0</v>
      </c>
      <c r="P843" s="7">
        <f>PERCENTILE($E$2:$E842,0.5)</f>
        <v>1</v>
      </c>
      <c r="Q843" s="7">
        <f>PERCENTILE($E$2:$E842,0.835)</f>
        <v>3</v>
      </c>
      <c r="R843" s="7">
        <f>PERCENTILE($E$2:$E842,0.975)</f>
        <v>3</v>
      </c>
    </row>
    <row r="844" spans="1:18" x14ac:dyDescent="0.2">
      <c r="A844" s="5">
        <f>Data!E1002</f>
        <v>2013</v>
      </c>
      <c r="B844" s="5">
        <f>Data!M1002</f>
        <v>0.42</v>
      </c>
      <c r="C844" s="5">
        <f>Data!N1002</f>
        <v>6.6666666666666666E-2</v>
      </c>
      <c r="D844" s="5">
        <f ca="1">Data!O1002</f>
        <v>53.861211332225395</v>
      </c>
      <c r="E844" s="1">
        <f>Data!AQ1002</f>
        <v>1.5</v>
      </c>
      <c r="F844" t="str">
        <f t="shared" si="13"/>
        <v/>
      </c>
      <c r="G844" s="5">
        <f ca="1">AVERAGE(D$2:D843)</f>
        <v>176.32952033430558</v>
      </c>
      <c r="H844" s="5">
        <f ca="1">PERCENTILE(D$2:D843,0.025)</f>
        <v>-2.7178305249343833</v>
      </c>
      <c r="I844" s="5">
        <f ca="1">PERCENTILE(D$2:D843,0.165)</f>
        <v>8.4635007145594106</v>
      </c>
      <c r="J844" s="5">
        <f ca="1">PERCENTILE(D$2:D843,0.5)</f>
        <v>48.682248704126799</v>
      </c>
      <c r="K844" s="5">
        <f ca="1">PERCENTILE(D$2:D843,0.835)</f>
        <v>236.16591198953242</v>
      </c>
      <c r="L844" s="5">
        <f ca="1">PERCENTILE(D$2:D843,0.975)</f>
        <v>1087.0061318551489</v>
      </c>
      <c r="M844" s="7">
        <f>AVERAGE(E$2:E843)</f>
        <v>1.2433714285714295</v>
      </c>
      <c r="N844" s="7">
        <f>PERCENTILE($E$2:$E843,0.025)</f>
        <v>-1.1000000000000001</v>
      </c>
      <c r="O844" s="7">
        <f>PERCENTILE($E$2:$E843,0.165)</f>
        <v>0</v>
      </c>
      <c r="P844" s="7">
        <f>PERCENTILE($E$2:$E843,0.5)</f>
        <v>1</v>
      </c>
      <c r="Q844" s="7">
        <f>PERCENTILE($E$2:$E843,0.835)</f>
        <v>3</v>
      </c>
      <c r="R844" s="7">
        <f>PERCENTILE($E$2:$E843,0.975)</f>
        <v>3</v>
      </c>
    </row>
    <row r="845" spans="1:18" x14ac:dyDescent="0.2">
      <c r="A845" s="5">
        <f>Data!E1003</f>
        <v>2013</v>
      </c>
      <c r="B845" s="5">
        <f>Data!M1003</f>
        <v>0.67200000000000004</v>
      </c>
      <c r="C845" s="5">
        <f>Data!N1003</f>
        <v>0.10666666666666667</v>
      </c>
      <c r="D845" s="5">
        <f ca="1">Data!O1003</f>
        <v>43.503286076028203</v>
      </c>
      <c r="E845" s="1">
        <f>Data!AQ1003</f>
        <v>1.5</v>
      </c>
      <c r="F845" t="str">
        <f t="shared" si="13"/>
        <v/>
      </c>
      <c r="G845" s="5">
        <f ca="1">AVERAGE(D$2:D844)</f>
        <v>176.18424357392354</v>
      </c>
      <c r="H845" s="5">
        <f ca="1">PERCENTILE(D$2:D844,0.025)</f>
        <v>-2.717115118110236</v>
      </c>
      <c r="I845" s="5">
        <f ca="1">PERCENTILE(D$2:D844,0.165)</f>
        <v>8.474310061921658</v>
      </c>
      <c r="J845" s="5">
        <f ca="1">PERCENTILE(D$2:D844,0.5)</f>
        <v>48.682248704126799</v>
      </c>
      <c r="K845" s="5">
        <f ca="1">PERCENTILE(D$2:D844,0.835)</f>
        <v>236.10493136743278</v>
      </c>
      <c r="L845" s="5">
        <f ca="1">PERCENTILE(D$2:D844,0.975)</f>
        <v>1086.4556359856736</v>
      </c>
      <c r="M845" s="7">
        <f>AVERAGE(E$2:E844)</f>
        <v>1.2437375178316701</v>
      </c>
      <c r="N845" s="7">
        <f>PERCENTILE($E$2:$E844,0.025)</f>
        <v>-1.1000000000000001</v>
      </c>
      <c r="O845" s="7">
        <f>PERCENTILE($E$2:$E844,0.165)</f>
        <v>0</v>
      </c>
      <c r="P845" s="7">
        <f>PERCENTILE($E$2:$E844,0.5)</f>
        <v>1</v>
      </c>
      <c r="Q845" s="7">
        <f>PERCENTILE($E$2:$E844,0.835)</f>
        <v>3</v>
      </c>
      <c r="R845" s="7">
        <f>PERCENTILE($E$2:$E844,0.975)</f>
        <v>3</v>
      </c>
    </row>
    <row r="846" spans="1:18" x14ac:dyDescent="0.2">
      <c r="A846" s="5">
        <f>Data!E1004</f>
        <v>2013</v>
      </c>
      <c r="B846" s="5">
        <f>Data!M1004</f>
        <v>0.33600000000000002</v>
      </c>
      <c r="C846" s="5">
        <f>Data!N1004</f>
        <v>5.3333333333333337E-2</v>
      </c>
      <c r="D846" s="5">
        <f ca="1">Data!O1004</f>
        <v>95.292912357014146</v>
      </c>
      <c r="E846" s="1">
        <f>Data!AQ1004</f>
        <v>1.5</v>
      </c>
      <c r="F846" t="str">
        <f t="shared" si="13"/>
        <v/>
      </c>
      <c r="G846" s="5">
        <f ca="1">AVERAGE(D$2:D845)</f>
        <v>176.02703864797817</v>
      </c>
      <c r="H846" s="5">
        <f ca="1">PERCENTILE(D$2:D845,0.025)</f>
        <v>-2.7163997112860891</v>
      </c>
      <c r="I846" s="5">
        <f ca="1">PERCENTILE(D$2:D845,0.165)</f>
        <v>8.5235792453429067</v>
      </c>
      <c r="J846" s="5">
        <f ca="1">PERCENTILE(D$2:D845,0.5)</f>
        <v>48.682248704126799</v>
      </c>
      <c r="K846" s="5">
        <f ca="1">PERCENTILE(D$2:D845,0.835)</f>
        <v>236.07155002443574</v>
      </c>
      <c r="L846" s="5">
        <f ca="1">PERCENTILE(D$2:D845,0.975)</f>
        <v>1085.9051401162005</v>
      </c>
      <c r="M846" s="7">
        <f>AVERAGE(E$2:E845)</f>
        <v>1.2441025641025651</v>
      </c>
      <c r="N846" s="7">
        <f>PERCENTILE($E$2:$E845,0.025)</f>
        <v>-1.1000000000000001</v>
      </c>
      <c r="O846" s="7">
        <f>PERCENTILE($E$2:$E845,0.165)</f>
        <v>0</v>
      </c>
      <c r="P846" s="7">
        <f>PERCENTILE($E$2:$E845,0.5)</f>
        <v>1</v>
      </c>
      <c r="Q846" s="7">
        <f>PERCENTILE($E$2:$E845,0.835)</f>
        <v>3</v>
      </c>
      <c r="R846" s="7">
        <f>PERCENTILE($E$2:$E845,0.975)</f>
        <v>3</v>
      </c>
    </row>
    <row r="847" spans="1:18" x14ac:dyDescent="0.2">
      <c r="A847" s="5">
        <f>Data!E1005</f>
        <v>2013</v>
      </c>
      <c r="B847" s="5">
        <f>Data!M1005</f>
        <v>0.33600000000000002</v>
      </c>
      <c r="C847" s="5">
        <f>Data!N1005</f>
        <v>5.3333333333333337E-2</v>
      </c>
      <c r="D847" s="5">
        <f ca="1">Data!O1005</f>
        <v>82.86340204957753</v>
      </c>
      <c r="E847" s="1">
        <f>Data!AQ1005</f>
        <v>1.5</v>
      </c>
      <c r="F847" t="str">
        <f t="shared" si="13"/>
        <v/>
      </c>
      <c r="G847" s="5">
        <f ca="1">AVERAGE(D$2:D846)</f>
        <v>175.93149530325513</v>
      </c>
      <c r="H847" s="5">
        <f ca="1">PERCENTILE(D$2:D846,0.025)</f>
        <v>-2.7156843044619423</v>
      </c>
      <c r="I847" s="5">
        <f ca="1">PERCENTILE(D$2:D846,0.165)</f>
        <v>8.6011872553339561</v>
      </c>
      <c r="J847" s="5">
        <f ca="1">PERCENTILE(D$2:D846,0.5)</f>
        <v>48.682248704126799</v>
      </c>
      <c r="K847" s="5">
        <f ca="1">PERCENTILE(D$2:D846,0.835)</f>
        <v>236.05850499235629</v>
      </c>
      <c r="L847" s="5">
        <f ca="1">PERCENTILE(D$2:D846,0.975)</f>
        <v>1085.3546442467275</v>
      </c>
      <c r="M847" s="7">
        <f>AVERAGE(E$2:E846)</f>
        <v>1.2444665718349939</v>
      </c>
      <c r="N847" s="7">
        <f>PERCENTILE($E$2:$E846,0.025)</f>
        <v>-1.1000000000000001</v>
      </c>
      <c r="O847" s="7">
        <f>PERCENTILE($E$2:$E846,0.165)</f>
        <v>0</v>
      </c>
      <c r="P847" s="7">
        <f>PERCENTILE($E$2:$E846,0.5)</f>
        <v>1</v>
      </c>
      <c r="Q847" s="7">
        <f>PERCENTILE($E$2:$E846,0.835)</f>
        <v>3</v>
      </c>
      <c r="R847" s="7">
        <f>PERCENTILE($E$2:$E846,0.975)</f>
        <v>3</v>
      </c>
    </row>
    <row r="848" spans="1:18" x14ac:dyDescent="0.2">
      <c r="A848" s="5">
        <f>Data!E1006</f>
        <v>2013</v>
      </c>
      <c r="B848" s="5">
        <f>Data!M1006</f>
        <v>0.16800000000000001</v>
      </c>
      <c r="C848" s="5">
        <f>Data!N1006</f>
        <v>2.6666666666666668E-2</v>
      </c>
      <c r="D848" s="5">
        <f ca="1">Data!O1006</f>
        <v>362.52738396690165</v>
      </c>
      <c r="E848" s="1">
        <f>Data!AQ1006</f>
        <v>0.1</v>
      </c>
      <c r="F848" t="str">
        <f t="shared" si="13"/>
        <v/>
      </c>
      <c r="G848" s="5">
        <f ca="1">AVERAGE(D$2:D847)</f>
        <v>175.82148573676145</v>
      </c>
      <c r="H848" s="5">
        <f ca="1">PERCENTILE(D$2:D847,0.025)</f>
        <v>-2.714968897637795</v>
      </c>
      <c r="I848" s="5">
        <f ca="1">PERCENTILE(D$2:D847,0.165)</f>
        <v>8.6787952653249931</v>
      </c>
      <c r="J848" s="5">
        <f ca="1">PERCENTILE(D$2:D847,0.5)</f>
        <v>48.682248704126799</v>
      </c>
      <c r="K848" s="5">
        <f ca="1">PERCENTILE(D$2:D847,0.835)</f>
        <v>236.04545996027684</v>
      </c>
      <c r="L848" s="5">
        <f ca="1">PERCENTILE(D$2:D847,0.975)</f>
        <v>1084.8041483772547</v>
      </c>
      <c r="M848" s="7">
        <f>AVERAGE(E$2:E847)</f>
        <v>1.2448295454545464</v>
      </c>
      <c r="N848" s="7">
        <f>PERCENTILE($E$2:$E847,0.025)</f>
        <v>-1.1000000000000001</v>
      </c>
      <c r="O848" s="7">
        <f>PERCENTILE($E$2:$E847,0.165)</f>
        <v>0</v>
      </c>
      <c r="P848" s="7">
        <f>PERCENTILE($E$2:$E847,0.5)</f>
        <v>1</v>
      </c>
      <c r="Q848" s="7">
        <f>PERCENTILE($E$2:$E847,0.835)</f>
        <v>3</v>
      </c>
      <c r="R848" s="7">
        <f>PERCENTILE($E$2:$E847,0.975)</f>
        <v>3</v>
      </c>
    </row>
    <row r="849" spans="1:18" x14ac:dyDescent="0.2">
      <c r="A849" s="5">
        <f>Data!E1007</f>
        <v>2013</v>
      </c>
      <c r="B849" s="5">
        <f>Data!M1007</f>
        <v>0.33600000000000002</v>
      </c>
      <c r="C849" s="5">
        <f>Data!N1007</f>
        <v>5.3333333333333337E-2</v>
      </c>
      <c r="D849" s="5">
        <f ca="1">Data!O1007</f>
        <v>105.65083761321135</v>
      </c>
      <c r="E849" s="1">
        <f>Data!AQ1007</f>
        <v>1.5</v>
      </c>
      <c r="F849" t="str">
        <f t="shared" si="13"/>
        <v/>
      </c>
      <c r="G849" s="5">
        <f ca="1">AVERAGE(D$2:D848)</f>
        <v>176.04191772994932</v>
      </c>
      <c r="H849" s="5">
        <f ca="1">PERCENTILE(D$2:D848,0.025)</f>
        <v>-2.7142534908136482</v>
      </c>
      <c r="I849" s="5">
        <f ca="1">PERCENTILE(D$2:D848,0.165)</f>
        <v>8.7564032753160319</v>
      </c>
      <c r="J849" s="5">
        <f ca="1">PERCENTILE(D$2:D848,0.5)</f>
        <v>48.682248704126799</v>
      </c>
      <c r="K849" s="5">
        <f ca="1">PERCENTILE(D$2:D848,0.835)</f>
        <v>236.23058840691075</v>
      </c>
      <c r="L849" s="5">
        <f ca="1">PERCENTILE(D$2:D848,0.975)</f>
        <v>1084.2536525077817</v>
      </c>
      <c r="M849" s="7">
        <f>AVERAGE(E$2:E848)</f>
        <v>1.2432056737588664</v>
      </c>
      <c r="N849" s="7">
        <f>PERCENTILE($E$2:$E848,0.025)</f>
        <v>-1.1000000000000001</v>
      </c>
      <c r="O849" s="7">
        <f>PERCENTILE($E$2:$E848,0.165)</f>
        <v>0</v>
      </c>
      <c r="P849" s="7">
        <f>PERCENTILE($E$2:$E848,0.5)</f>
        <v>1</v>
      </c>
      <c r="Q849" s="7">
        <f>PERCENTILE($E$2:$E848,0.835)</f>
        <v>3</v>
      </c>
      <c r="R849" s="7">
        <f>PERCENTILE($E$2:$E848,0.975)</f>
        <v>3</v>
      </c>
    </row>
    <row r="850" spans="1:18" x14ac:dyDescent="0.2">
      <c r="A850" s="5">
        <f>Data!E1008</f>
        <v>2013</v>
      </c>
      <c r="B850" s="5">
        <f>Data!M1008</f>
        <v>0.33600000000000002</v>
      </c>
      <c r="C850" s="5">
        <f>Data!N1008</f>
        <v>5.3333333333333337E-2</v>
      </c>
      <c r="D850" s="5">
        <f ca="1">Data!O1008</f>
        <v>45.574871127267635</v>
      </c>
      <c r="E850" s="1">
        <f>Data!AQ1008</f>
        <v>1.5</v>
      </c>
      <c r="F850" t="str">
        <f t="shared" si="13"/>
        <v/>
      </c>
      <c r="G850" s="5">
        <f ca="1">AVERAGE(D$2:D849)</f>
        <v>175.95890938075505</v>
      </c>
      <c r="H850" s="5">
        <f ca="1">PERCENTILE(D$2:D849,0.025)</f>
        <v>-2.7135380839895014</v>
      </c>
      <c r="I850" s="5">
        <f ca="1">PERCENTILE(D$2:D849,0.165)</f>
        <v>8.8340112853070689</v>
      </c>
      <c r="J850" s="5">
        <f ca="1">PERCENTILE(D$2:D849,0.5)</f>
        <v>49.200144966936662</v>
      </c>
      <c r="K850" s="5">
        <f ca="1">PERCENTILE(D$2:D849,0.835)</f>
        <v>236.16960778481118</v>
      </c>
      <c r="L850" s="5">
        <f ca="1">PERCENTILE(D$2:D849,0.975)</f>
        <v>1083.7031566383062</v>
      </c>
      <c r="M850" s="7">
        <f>AVERAGE(E$2:E849)</f>
        <v>1.2435694050991513</v>
      </c>
      <c r="N850" s="7">
        <f>PERCENTILE($E$2:$E849,0.025)</f>
        <v>-1.1000000000000001</v>
      </c>
      <c r="O850" s="7">
        <f>PERCENTILE($E$2:$E849,0.165)</f>
        <v>0</v>
      </c>
      <c r="P850" s="7">
        <f>PERCENTILE($E$2:$E849,0.5)</f>
        <v>1</v>
      </c>
      <c r="Q850" s="7">
        <f>PERCENTILE($E$2:$E849,0.835)</f>
        <v>3</v>
      </c>
      <c r="R850" s="7">
        <f>PERCENTILE($E$2:$E849,0.975)</f>
        <v>3</v>
      </c>
    </row>
    <row r="851" spans="1:18" x14ac:dyDescent="0.2">
      <c r="A851" s="5">
        <f>Data!E1009</f>
        <v>2013</v>
      </c>
      <c r="B851" s="5">
        <f>Data!M1009</f>
        <v>0.16800000000000001</v>
      </c>
      <c r="C851" s="5">
        <f>Data!N1009</f>
        <v>2.6666666666666668E-2</v>
      </c>
      <c r="D851" s="5">
        <f ca="1">Data!O1009</f>
        <v>108.7582151900705</v>
      </c>
      <c r="E851" s="1">
        <f>Data!AQ1009</f>
        <v>1.5</v>
      </c>
      <c r="F851" t="str">
        <f t="shared" si="13"/>
        <v/>
      </c>
      <c r="G851" s="5">
        <f ca="1">AVERAGE(D$2:D850)</f>
        <v>175.80533571967908</v>
      </c>
      <c r="H851" s="5">
        <f ca="1">PERCENTILE(D$2:D850,0.025)</f>
        <v>-2.7128226771653541</v>
      </c>
      <c r="I851" s="5">
        <f ca="1">PERCENTILE(D$2:D850,0.165)</f>
        <v>8.9116192952981184</v>
      </c>
      <c r="J851" s="5">
        <f ca="1">PERCENTILE(D$2:D850,0.5)</f>
        <v>48.682248704126799</v>
      </c>
      <c r="K851" s="5">
        <f ca="1">PERCENTILE(D$2:D850,0.835)</f>
        <v>236.10862716271154</v>
      </c>
      <c r="L851" s="5">
        <f ca="1">PERCENTILE(D$2:D850,0.975)</f>
        <v>1083.1526607688334</v>
      </c>
      <c r="M851" s="7">
        <f>AVERAGE(E$2:E850)</f>
        <v>1.2439321074964649</v>
      </c>
      <c r="N851" s="7">
        <f>PERCENTILE($E$2:$E850,0.025)</f>
        <v>-1.1000000000000001</v>
      </c>
      <c r="O851" s="7">
        <f>PERCENTILE($E$2:$E850,0.165)</f>
        <v>0</v>
      </c>
      <c r="P851" s="7">
        <f>PERCENTILE($E$2:$E850,0.5)</f>
        <v>1</v>
      </c>
      <c r="Q851" s="7">
        <f>PERCENTILE($E$2:$E850,0.835)</f>
        <v>3</v>
      </c>
      <c r="R851" s="7">
        <f>PERCENTILE($E$2:$E850,0.975)</f>
        <v>3</v>
      </c>
    </row>
    <row r="852" spans="1:18" x14ac:dyDescent="0.2">
      <c r="A852" s="5">
        <f>Data!E1010</f>
        <v>2013</v>
      </c>
      <c r="B852" s="5">
        <f>Data!M1010</f>
        <v>0.16800000000000001</v>
      </c>
      <c r="C852" s="5">
        <f>Data!N1010</f>
        <v>2.6666666666666668E-2</v>
      </c>
      <c r="D852" s="5">
        <f ca="1">Data!O1010</f>
        <v>570.72168161646528</v>
      </c>
      <c r="E852" s="1">
        <f>Data!AQ1010</f>
        <v>1.5</v>
      </c>
      <c r="F852" t="str">
        <f t="shared" si="13"/>
        <v/>
      </c>
      <c r="G852" s="5">
        <f ca="1">AVERAGE(D$2:D851)</f>
        <v>175.72645675435012</v>
      </c>
      <c r="H852" s="5">
        <f ca="1">PERCENTILE(D$2:D851,0.025)</f>
        <v>-2.7121072703412072</v>
      </c>
      <c r="I852" s="5">
        <f ca="1">PERCENTILE(D$2:D851,0.165)</f>
        <v>8.9535613905392513</v>
      </c>
      <c r="J852" s="5">
        <f ca="1">PERCENTILE(D$2:D851,0.5)</f>
        <v>49.200144966936662</v>
      </c>
      <c r="K852" s="5">
        <f ca="1">PERCENTILE(D$2:D851,0.835)</f>
        <v>236.07234063244056</v>
      </c>
      <c r="L852" s="5">
        <f ca="1">PERCENTILE(D$2:D851,0.975)</f>
        <v>1082.6021648993603</v>
      </c>
      <c r="M852" s="7">
        <f>AVERAGE(E$2:E851)</f>
        <v>1.2442937853107354</v>
      </c>
      <c r="N852" s="7">
        <f>PERCENTILE($E$2:$E851,0.025)</f>
        <v>-1.1000000000000001</v>
      </c>
      <c r="O852" s="7">
        <f>PERCENTILE($E$2:$E851,0.165)</f>
        <v>0</v>
      </c>
      <c r="P852" s="7">
        <f>PERCENTILE($E$2:$E851,0.5)</f>
        <v>1</v>
      </c>
      <c r="Q852" s="7">
        <f>PERCENTILE($E$2:$E851,0.835)</f>
        <v>3</v>
      </c>
      <c r="R852" s="7">
        <f>PERCENTILE($E$2:$E851,0.975)</f>
        <v>3</v>
      </c>
    </row>
    <row r="853" spans="1:18" x14ac:dyDescent="0.2">
      <c r="A853" s="5">
        <f>Data!E1011</f>
        <v>2013</v>
      </c>
      <c r="B853" s="5">
        <f>Data!M1011</f>
        <v>8.4000000000000005E-2</v>
      </c>
      <c r="C853" s="5">
        <f>Data!N1011</f>
        <v>1.3333333333333334E-2</v>
      </c>
      <c r="D853" s="5">
        <f ca="1">Data!O1011</f>
        <v>5282.5418806605676</v>
      </c>
      <c r="E853" s="1">
        <f>Data!AQ1011</f>
        <v>1.5</v>
      </c>
      <c r="F853" t="str">
        <f t="shared" si="13"/>
        <v/>
      </c>
      <c r="G853" s="5">
        <f ca="1">AVERAGE(D$2:D852)</f>
        <v>176.19061095512816</v>
      </c>
      <c r="H853" s="5">
        <f ca="1">PERCENTILE(D$2:D852,0.025)</f>
        <v>-2.7113918635170604</v>
      </c>
      <c r="I853" s="5">
        <f ca="1">PERCENTILE(D$2:D852,0.165)</f>
        <v>8.9619355660157805</v>
      </c>
      <c r="J853" s="5">
        <f ca="1">PERCENTILE(D$2:D852,0.5)</f>
        <v>49.718041229746518</v>
      </c>
      <c r="K853" s="5">
        <f ca="1">PERCENTILE(D$2:D852,0.835)</f>
        <v>236.3562454463887</v>
      </c>
      <c r="L853" s="5">
        <f ca="1">PERCENTILE(D$2:D852,0.975)</f>
        <v>1082.0516690298873</v>
      </c>
      <c r="M853" s="7">
        <f>AVERAGE(E$2:E852)</f>
        <v>1.244654442877293</v>
      </c>
      <c r="N853" s="7">
        <f>PERCENTILE($E$2:$E852,0.025)</f>
        <v>-1.1000000000000001</v>
      </c>
      <c r="O853" s="7">
        <f>PERCENTILE($E$2:$E852,0.165)</f>
        <v>0</v>
      </c>
      <c r="P853" s="7">
        <f>PERCENTILE($E$2:$E852,0.5)</f>
        <v>1</v>
      </c>
      <c r="Q853" s="7">
        <f>PERCENTILE($E$2:$E852,0.835)</f>
        <v>3</v>
      </c>
      <c r="R853" s="7">
        <f>PERCENTILE($E$2:$E852,0.975)</f>
        <v>3</v>
      </c>
    </row>
    <row r="854" spans="1:18" x14ac:dyDescent="0.2">
      <c r="A854" s="5">
        <f>Data!E1047</f>
        <v>2013</v>
      </c>
      <c r="B854" s="5">
        <f>Data!M1047</f>
        <v>0.16153846153846152</v>
      </c>
      <c r="C854" s="5">
        <f>Data!N1047</f>
        <v>2.564102564102564E-2</v>
      </c>
      <c r="D854" s="5">
        <f ca="1">Data!O1047</f>
        <v>36.839687494541337</v>
      </c>
      <c r="E854" s="1" t="str">
        <f>Data!AQ1047</f>
        <v>NA</v>
      </c>
      <c r="F854" t="str">
        <f t="shared" si="13"/>
        <v/>
      </c>
      <c r="G854" s="5">
        <f ca="1">AVERAGE(D$2:D853)</f>
        <v>182.18398098999373</v>
      </c>
      <c r="H854" s="5">
        <f ca="1">PERCENTILE(D$2:D853,0.025)</f>
        <v>-2.7106764566929131</v>
      </c>
      <c r="I854" s="5">
        <f ca="1">PERCENTILE(D$2:D853,0.165)</f>
        <v>8.9703097414923096</v>
      </c>
      <c r="J854" s="5">
        <f ca="1">PERCENTILE(D$2:D853,0.5)</f>
        <v>49.718041229746518</v>
      </c>
      <c r="K854" s="5">
        <f ca="1">PERCENTILE(D$2:D853,0.835)</f>
        <v>242.55666732673177</v>
      </c>
      <c r="L854" s="5">
        <f ca="1">PERCENTILE(D$2:D853,0.975)</f>
        <v>1115.6088606881442</v>
      </c>
      <c r="M854" s="7">
        <f>AVERAGE(E$2:E853)</f>
        <v>1.2450140845070432</v>
      </c>
      <c r="N854" s="7">
        <f>PERCENTILE($E$2:$E853,0.025)</f>
        <v>-1.1000000000000001</v>
      </c>
      <c r="O854" s="7">
        <f>PERCENTILE($E$2:$E853,0.165)</f>
        <v>0</v>
      </c>
      <c r="P854" s="7">
        <f>PERCENTILE($E$2:$E853,0.5)</f>
        <v>1</v>
      </c>
      <c r="Q854" s="7">
        <f>PERCENTILE($E$2:$E853,0.835)</f>
        <v>3</v>
      </c>
      <c r="R854" s="7">
        <f>PERCENTILE($E$2:$E853,0.975)</f>
        <v>3</v>
      </c>
    </row>
    <row r="855" spans="1:18" x14ac:dyDescent="0.2">
      <c r="A855" s="5">
        <f>Data!E1048</f>
        <v>2013</v>
      </c>
      <c r="B855" s="5">
        <f>Data!M1048</f>
        <v>0.16153846153846152</v>
      </c>
      <c r="C855" s="5">
        <f>Data!N1048</f>
        <v>2.564102564102564E-2</v>
      </c>
      <c r="D855" s="5">
        <f ca="1">Data!O1048</f>
        <v>56.968588909084552</v>
      </c>
      <c r="E855" s="1" t="str">
        <f>Data!AQ1048</f>
        <v>NA</v>
      </c>
      <c r="F855" t="str">
        <f t="shared" si="13"/>
        <v/>
      </c>
      <c r="G855" s="5">
        <f ca="1">AVERAGE(D$2:D854)</f>
        <v>182.01358908671651</v>
      </c>
      <c r="H855" s="5">
        <f ca="1">PERCENTILE(D$2:D854,0.025)</f>
        <v>-2.7099610498687663</v>
      </c>
      <c r="I855" s="5">
        <f ca="1">PERCENTILE(D$2:D854,0.165)</f>
        <v>8.9786839169688371</v>
      </c>
      <c r="J855" s="5">
        <f ca="1">PERCENTILE(D$2:D854,0.5)</f>
        <v>49.718041229746518</v>
      </c>
      <c r="K855" s="5">
        <f ca="1">PERCENTILE(D$2:D854,0.835)</f>
        <v>240.83389048103669</v>
      </c>
      <c r="L855" s="5">
        <f ca="1">PERCENTILE(D$2:D854,0.975)</f>
        <v>1114.6415423100882</v>
      </c>
      <c r="M855" s="7">
        <f>AVERAGE(E$2:E854)</f>
        <v>1.2450140845070432</v>
      </c>
      <c r="N855" s="7">
        <f>PERCENTILE($E$2:$E854,0.025)</f>
        <v>-1.1000000000000001</v>
      </c>
      <c r="O855" s="7">
        <f>PERCENTILE($E$2:$E854,0.165)</f>
        <v>0</v>
      </c>
      <c r="P855" s="7">
        <f>PERCENTILE($E$2:$E854,0.5)</f>
        <v>1</v>
      </c>
      <c r="Q855" s="7">
        <f>PERCENTILE($E$2:$E854,0.835)</f>
        <v>3</v>
      </c>
      <c r="R855" s="7">
        <f>PERCENTILE($E$2:$E854,0.975)</f>
        <v>3</v>
      </c>
    </row>
    <row r="856" spans="1:18" x14ac:dyDescent="0.2">
      <c r="A856" s="5">
        <f>Data!E1049</f>
        <v>2013</v>
      </c>
      <c r="B856" s="5">
        <f>Data!M1049</f>
        <v>0.16153846153846152</v>
      </c>
      <c r="C856" s="5">
        <f>Data!N1049</f>
        <v>2.564102564102564E-2</v>
      </c>
      <c r="D856" s="5">
        <f ca="1">Data!O1049</f>
        <v>60.766494836356841</v>
      </c>
      <c r="E856" s="1" t="str">
        <f>Data!AQ1049</f>
        <v>NA</v>
      </c>
      <c r="F856" t="str">
        <f t="shared" si="13"/>
        <v/>
      </c>
      <c r="G856" s="5">
        <f ca="1">AVERAGE(D$2:D855)</f>
        <v>181.86716636988086</v>
      </c>
      <c r="H856" s="5">
        <f ca="1">PERCENTILE(D$2:D855,0.025)</f>
        <v>-2.7092456430446195</v>
      </c>
      <c r="I856" s="5">
        <f ca="1">PERCENTILE(D$2:D855,0.165)</f>
        <v>8.9870580924453662</v>
      </c>
      <c r="J856" s="5">
        <f ca="1">PERCENTILE(D$2:D855,0.5)</f>
        <v>49.718041229746518</v>
      </c>
      <c r="K856" s="5">
        <f ca="1">PERCENTILE(D$2:D855,0.835)</f>
        <v>239.11111363534161</v>
      </c>
      <c r="L856" s="5">
        <f ca="1">PERCENTILE(D$2:D855,0.975)</f>
        <v>1113.6742239320367</v>
      </c>
      <c r="M856" s="7">
        <f>AVERAGE(E$2:E855)</f>
        <v>1.2450140845070432</v>
      </c>
      <c r="N856" s="7">
        <f>PERCENTILE($E$2:$E855,0.025)</f>
        <v>-1.1000000000000001</v>
      </c>
      <c r="O856" s="7">
        <f>PERCENTILE($E$2:$E855,0.165)</f>
        <v>0</v>
      </c>
      <c r="P856" s="7">
        <f>PERCENTILE($E$2:$E855,0.5)</f>
        <v>1</v>
      </c>
      <c r="Q856" s="7">
        <f>PERCENTILE($E$2:$E855,0.835)</f>
        <v>3</v>
      </c>
      <c r="R856" s="7">
        <f>PERCENTILE($E$2:$E855,0.975)</f>
        <v>3</v>
      </c>
    </row>
    <row r="857" spans="1:18" x14ac:dyDescent="0.2">
      <c r="A857" s="5">
        <f>Data!E1050</f>
        <v>2013</v>
      </c>
      <c r="B857" s="5">
        <f>Data!M1050</f>
        <v>0.64615384615384608</v>
      </c>
      <c r="C857" s="5">
        <f>Data!N1050</f>
        <v>0.10256410256410256</v>
      </c>
      <c r="D857" s="5">
        <f ca="1">Data!O1050</f>
        <v>417.76965199995334</v>
      </c>
      <c r="E857" s="1" t="str">
        <f>Data!AQ1050</f>
        <v>NA</v>
      </c>
      <c r="F857" t="str">
        <f t="shared" si="13"/>
        <v/>
      </c>
      <c r="G857" s="5">
        <f ca="1">AVERAGE(D$2:D856)</f>
        <v>181.72552815756097</v>
      </c>
      <c r="H857" s="5">
        <f ca="1">PERCENTILE(D$2:D856,0.025)</f>
        <v>-2.7085302362204722</v>
      </c>
      <c r="I857" s="5">
        <f ca="1">PERCENTILE(D$2:D856,0.165)</f>
        <v>8.9954322679218937</v>
      </c>
      <c r="J857" s="5">
        <f ca="1">PERCENTILE(D$2:D856,0.5)</f>
        <v>49.718041229746518</v>
      </c>
      <c r="K857" s="5">
        <f ca="1">PERCENTILE(D$2:D856,0.835)</f>
        <v>237.38833678964536</v>
      </c>
      <c r="L857" s="5">
        <f ca="1">PERCENTILE(D$2:D856,0.975)</f>
        <v>1112.7069055539851</v>
      </c>
      <c r="M857" s="7">
        <f>AVERAGE(E$2:E856)</f>
        <v>1.2450140845070432</v>
      </c>
      <c r="N857" s="7">
        <f>PERCENTILE($E$2:$E856,0.025)</f>
        <v>-1.1000000000000001</v>
      </c>
      <c r="O857" s="7">
        <f>PERCENTILE($E$2:$E856,0.165)</f>
        <v>0</v>
      </c>
      <c r="P857" s="7">
        <f>PERCENTILE($E$2:$E856,0.5)</f>
        <v>1</v>
      </c>
      <c r="Q857" s="7">
        <f>PERCENTILE($E$2:$E856,0.835)</f>
        <v>3</v>
      </c>
      <c r="R857" s="7">
        <f>PERCENTILE($E$2:$E856,0.975)</f>
        <v>3</v>
      </c>
    </row>
    <row r="858" spans="1:18" x14ac:dyDescent="0.2">
      <c r="A858" s="5">
        <f>Data!E1051</f>
        <v>2013</v>
      </c>
      <c r="B858" s="5">
        <f>Data!M1051</f>
        <v>0.32307692307692304</v>
      </c>
      <c r="C858" s="5">
        <f>Data!N1051</f>
        <v>5.128205128205128E-2</v>
      </c>
      <c r="D858" s="5">
        <f ca="1">Data!O1051</f>
        <v>94.947648181807594</v>
      </c>
      <c r="E858" s="1" t="str">
        <f>Data!AQ1051</f>
        <v>NA</v>
      </c>
      <c r="F858" t="str">
        <f t="shared" si="13"/>
        <v/>
      </c>
      <c r="G858" s="5">
        <f ca="1">AVERAGE(D$2:D857)</f>
        <v>182.00128063868524</v>
      </c>
      <c r="H858" s="5">
        <f ca="1">PERCENTILE(D$2:D857,0.025)</f>
        <v>-2.7078148293963253</v>
      </c>
      <c r="I858" s="5">
        <f ca="1">PERCENTILE(D$2:D857,0.165)</f>
        <v>9.010478107327538</v>
      </c>
      <c r="J858" s="5">
        <f ca="1">PERCENTILE(D$2:D857,0.5)</f>
        <v>49.718041229746518</v>
      </c>
      <c r="K858" s="5">
        <f ca="1">PERCENTILE(D$2:D857,0.835)</f>
        <v>246.10663173604394</v>
      </c>
      <c r="L858" s="5">
        <f ca="1">PERCENTILE(D$2:D857,0.975)</f>
        <v>1111.7395871759336</v>
      </c>
      <c r="M858" s="7">
        <f>AVERAGE(E$2:E857)</f>
        <v>1.2450140845070432</v>
      </c>
      <c r="N858" s="7">
        <f>PERCENTILE($E$2:$E857,0.025)</f>
        <v>-1.1000000000000001</v>
      </c>
      <c r="O858" s="7">
        <f>PERCENTILE($E$2:$E857,0.165)</f>
        <v>0</v>
      </c>
      <c r="P858" s="7">
        <f>PERCENTILE($E$2:$E857,0.5)</f>
        <v>1</v>
      </c>
      <c r="Q858" s="7">
        <f>PERCENTILE($E$2:$E857,0.835)</f>
        <v>3</v>
      </c>
      <c r="R858" s="7">
        <f>PERCENTILE($E$2:$E857,0.975)</f>
        <v>3</v>
      </c>
    </row>
    <row r="859" spans="1:18" x14ac:dyDescent="0.2">
      <c r="A859" s="5">
        <f>Data!E1052</f>
        <v>2013</v>
      </c>
      <c r="B859" s="5">
        <f>Data!M1052</f>
        <v>0.16153846153846152</v>
      </c>
      <c r="C859" s="5">
        <f>Data!N1052</f>
        <v>2.564102564102564E-2</v>
      </c>
      <c r="D859" s="5">
        <f ca="1">Data!O1052</f>
        <v>47.130441284746432</v>
      </c>
      <c r="E859" s="1" t="str">
        <f>Data!AQ1052</f>
        <v>NA</v>
      </c>
      <c r="F859" t="str">
        <f t="shared" si="13"/>
        <v/>
      </c>
      <c r="G859" s="5">
        <f ca="1">AVERAGE(D$2:D858)</f>
        <v>181.89970113756871</v>
      </c>
      <c r="H859" s="5">
        <f ca="1">PERCENTILE(D$2:D858,0.025)</f>
        <v>-2.7070994225721785</v>
      </c>
      <c r="I859" s="5">
        <f ca="1">PERCENTILE(D$2:D858,0.165)</f>
        <v>9.0335299434481122</v>
      </c>
      <c r="J859" s="5">
        <f ca="1">PERCENTILE(D$2:D858,0.5)</f>
        <v>49.718041229746518</v>
      </c>
      <c r="K859" s="5">
        <f ca="1">PERCENTILE(D$2:D858,0.835)</f>
        <v>244.38385489034886</v>
      </c>
      <c r="L859" s="5">
        <f ca="1">PERCENTILE(D$2:D858,0.975)</f>
        <v>1110.7722687978819</v>
      </c>
      <c r="M859" s="7">
        <f>AVERAGE(E$2:E858)</f>
        <v>1.2450140845070432</v>
      </c>
      <c r="N859" s="7">
        <f>PERCENTILE($E$2:$E858,0.025)</f>
        <v>-1.1000000000000001</v>
      </c>
      <c r="O859" s="7">
        <f>PERCENTILE($E$2:$E858,0.165)</f>
        <v>0</v>
      </c>
      <c r="P859" s="7">
        <f>PERCENTILE($E$2:$E858,0.5)</f>
        <v>1</v>
      </c>
      <c r="Q859" s="7">
        <f>PERCENTILE($E$2:$E858,0.835)</f>
        <v>3</v>
      </c>
      <c r="R859" s="7">
        <f>PERCENTILE($E$2:$E858,0.975)</f>
        <v>3</v>
      </c>
    </row>
    <row r="860" spans="1:18" x14ac:dyDescent="0.2">
      <c r="A860" s="5">
        <f>Data!E1053</f>
        <v>2013</v>
      </c>
      <c r="B860" s="5">
        <f>Data!M1053</f>
        <v>0.16153846153846152</v>
      </c>
      <c r="C860" s="5">
        <f>Data!N1053</f>
        <v>2.564102564102564E-2</v>
      </c>
      <c r="D860" s="5">
        <f ca="1">Data!O1053</f>
        <v>64.076217926453026</v>
      </c>
      <c r="E860" s="1" t="str">
        <f>Data!AQ1053</f>
        <v>NA</v>
      </c>
      <c r="F860" t="str">
        <f t="shared" si="13"/>
        <v/>
      </c>
      <c r="G860" s="5">
        <f ca="1">AVERAGE(D$2:D859)</f>
        <v>181.74262740813651</v>
      </c>
      <c r="H860" s="5">
        <f ca="1">PERCENTILE(D$2:D859,0.025)</f>
        <v>-2.7063840157480312</v>
      </c>
      <c r="I860" s="5">
        <f ca="1">PERCENTILE(D$2:D859,0.165)</f>
        <v>9.0565817795686883</v>
      </c>
      <c r="J860" s="5">
        <f ca="1">PERCENTILE(D$2:D859,0.5)</f>
        <v>49.718041229746518</v>
      </c>
      <c r="K860" s="5">
        <f ca="1">PERCENTILE(D$2:D859,0.835)</f>
        <v>242.66107804465261</v>
      </c>
      <c r="L860" s="5">
        <f ca="1">PERCENTILE(D$2:D859,0.975)</f>
        <v>1109.8049504198259</v>
      </c>
      <c r="M860" s="7">
        <f>AVERAGE(E$2:E859)</f>
        <v>1.2450140845070432</v>
      </c>
      <c r="N860" s="7">
        <f>PERCENTILE($E$2:$E859,0.025)</f>
        <v>-1.1000000000000001</v>
      </c>
      <c r="O860" s="7">
        <f>PERCENTILE($E$2:$E859,0.165)</f>
        <v>0</v>
      </c>
      <c r="P860" s="7">
        <f>PERCENTILE($E$2:$E859,0.5)</f>
        <v>1</v>
      </c>
      <c r="Q860" s="7">
        <f>PERCENTILE($E$2:$E859,0.835)</f>
        <v>3</v>
      </c>
      <c r="R860" s="7">
        <f>PERCENTILE($E$2:$E859,0.975)</f>
        <v>3</v>
      </c>
    </row>
    <row r="861" spans="1:18" x14ac:dyDescent="0.2">
      <c r="A861" s="5">
        <f>Data!E1054</f>
        <v>2013</v>
      </c>
      <c r="B861" s="5">
        <f>Data!M1054</f>
        <v>0.16153846153846152</v>
      </c>
      <c r="C861" s="5">
        <f>Data!N1054</f>
        <v>2.564102564102564E-2</v>
      </c>
      <c r="D861" s="5">
        <f ca="1">Data!O1054</f>
        <v>43.423552644373117</v>
      </c>
      <c r="E861" s="1" t="str">
        <f>Data!AQ1054</f>
        <v>NA</v>
      </c>
      <c r="F861" t="str">
        <f t="shared" si="13"/>
        <v/>
      </c>
      <c r="G861" s="5">
        <f ca="1">AVERAGE(D$2:D860)</f>
        <v>181.60564672189474</v>
      </c>
      <c r="H861" s="5">
        <f ca="1">PERCENTILE(D$2:D860,0.025)</f>
        <v>-2.7056686089238844</v>
      </c>
      <c r="I861" s="5">
        <f ca="1">PERCENTILE(D$2:D860,0.165)</f>
        <v>9.0796336156892643</v>
      </c>
      <c r="J861" s="5">
        <f ca="1">PERCENTILE(D$2:D860,0.5)</f>
        <v>49.718041229746518</v>
      </c>
      <c r="K861" s="5">
        <f ca="1">PERCENTILE(D$2:D860,0.835)</f>
        <v>240.93830119895753</v>
      </c>
      <c r="L861" s="5">
        <f ca="1">PERCENTILE(D$2:D860,0.975)</f>
        <v>1108.8376320417744</v>
      </c>
      <c r="M861" s="7">
        <f>AVERAGE(E$2:E860)</f>
        <v>1.2450140845070432</v>
      </c>
      <c r="N861" s="7">
        <f>PERCENTILE($E$2:$E860,0.025)</f>
        <v>-1.1000000000000001</v>
      </c>
      <c r="O861" s="7">
        <f>PERCENTILE($E$2:$E860,0.165)</f>
        <v>0</v>
      </c>
      <c r="P861" s="7">
        <f>PERCENTILE($E$2:$E860,0.5)</f>
        <v>1</v>
      </c>
      <c r="Q861" s="7">
        <f>PERCENTILE($E$2:$E860,0.835)</f>
        <v>3</v>
      </c>
      <c r="R861" s="7">
        <f>PERCENTILE($E$2:$E860,0.975)</f>
        <v>3</v>
      </c>
    </row>
    <row r="862" spans="1:18" x14ac:dyDescent="0.2">
      <c r="A862" s="5">
        <f>Data!E1055</f>
        <v>2013</v>
      </c>
      <c r="B862" s="5">
        <f>Data!M1055</f>
        <v>0.16153846153846152</v>
      </c>
      <c r="C862" s="5">
        <f>Data!N1055</f>
        <v>2.564102564102564E-2</v>
      </c>
      <c r="D862" s="5">
        <f ca="1">Data!O1055</f>
        <v>66.723995526719676</v>
      </c>
      <c r="E862" s="1" t="str">
        <f>Data!AQ1055</f>
        <v>NA</v>
      </c>
      <c r="F862" t="str">
        <f t="shared" si="13"/>
        <v/>
      </c>
      <c r="G862" s="5">
        <f ca="1">AVERAGE(D$2:D861)</f>
        <v>181.44496986831624</v>
      </c>
      <c r="H862" s="5">
        <f ca="1">PERCENTILE(D$2:D861,0.025)</f>
        <v>-2.7049532020997376</v>
      </c>
      <c r="I862" s="5">
        <f ca="1">PERCENTILE(D$2:D861,0.165)</f>
        <v>9.1026854518098439</v>
      </c>
      <c r="J862" s="5">
        <f ca="1">PERCENTILE(D$2:D861,0.5)</f>
        <v>49.718041229746518</v>
      </c>
      <c r="K862" s="5">
        <f ca="1">PERCENTILE(D$2:D861,0.835)</f>
        <v>239.21552435326245</v>
      </c>
      <c r="L862" s="5">
        <f ca="1">PERCENTILE(D$2:D861,0.975)</f>
        <v>1107.8703136637228</v>
      </c>
      <c r="M862" s="7">
        <f>AVERAGE(E$2:E861)</f>
        <v>1.2450140845070432</v>
      </c>
      <c r="N862" s="7">
        <f>PERCENTILE($E$2:$E861,0.025)</f>
        <v>-1.1000000000000001</v>
      </c>
      <c r="O862" s="7">
        <f>PERCENTILE($E$2:$E861,0.165)</f>
        <v>0</v>
      </c>
      <c r="P862" s="7">
        <f>PERCENTILE($E$2:$E861,0.5)</f>
        <v>1</v>
      </c>
      <c r="Q862" s="7">
        <f>PERCENTILE($E$2:$E861,0.835)</f>
        <v>3</v>
      </c>
      <c r="R862" s="7">
        <f>PERCENTILE($E$2:$E861,0.975)</f>
        <v>3</v>
      </c>
    </row>
    <row r="863" spans="1:18" x14ac:dyDescent="0.2">
      <c r="A863" s="5">
        <f>Data!E1056</f>
        <v>2013</v>
      </c>
      <c r="B863" s="5">
        <f>Data!M1056</f>
        <v>0.16153846153846152</v>
      </c>
      <c r="C863" s="5">
        <f>Data!N1056</f>
        <v>2.564102564102564E-2</v>
      </c>
      <c r="D863" s="5">
        <f ca="1">Data!O1056</f>
        <v>52.161218725253079</v>
      </c>
      <c r="E863" s="1" t="str">
        <f>Data!AQ1056</f>
        <v>NA</v>
      </c>
      <c r="F863" t="str">
        <f t="shared" si="13"/>
        <v/>
      </c>
      <c r="G863" s="5">
        <f ca="1">AVERAGE(D$2:D862)</f>
        <v>181.31172831855829</v>
      </c>
      <c r="H863" s="5">
        <f ca="1">PERCENTILE(D$2:D862,0.025)</f>
        <v>-2.7042377952755903</v>
      </c>
      <c r="I863" s="5">
        <f ca="1">PERCENTILE(D$2:D862,0.165)</f>
        <v>9.1257372879304199</v>
      </c>
      <c r="J863" s="5">
        <f ca="1">PERCENTILE(D$2:D862,0.5)</f>
        <v>49.718041229746518</v>
      </c>
      <c r="K863" s="5">
        <f ca="1">PERCENTILE(D$2:D862,0.835)</f>
        <v>237.49274750756737</v>
      </c>
      <c r="L863" s="5">
        <f ca="1">PERCENTILE(D$2:D862,0.975)</f>
        <v>1106.9029952856713</v>
      </c>
      <c r="M863" s="7">
        <f>AVERAGE(E$2:E862)</f>
        <v>1.2450140845070432</v>
      </c>
      <c r="N863" s="7">
        <f>PERCENTILE($E$2:$E862,0.025)</f>
        <v>-1.1000000000000001</v>
      </c>
      <c r="O863" s="7">
        <f>PERCENTILE($E$2:$E862,0.165)</f>
        <v>0</v>
      </c>
      <c r="P863" s="7">
        <f>PERCENTILE($E$2:$E862,0.5)</f>
        <v>1</v>
      </c>
      <c r="Q863" s="7">
        <f>PERCENTILE($E$2:$E862,0.835)</f>
        <v>3</v>
      </c>
      <c r="R863" s="7">
        <f>PERCENTILE($E$2:$E862,0.975)</f>
        <v>3</v>
      </c>
    </row>
    <row r="864" spans="1:18" x14ac:dyDescent="0.2">
      <c r="A864" s="5">
        <f>Data!E1057</f>
        <v>2013</v>
      </c>
      <c r="B864" s="5">
        <f>Data!M1057</f>
        <v>0.16153846153846152</v>
      </c>
      <c r="C864" s="5">
        <f>Data!N1057</f>
        <v>2.564102564102564E-2</v>
      </c>
      <c r="D864" s="5">
        <f ca="1">Data!O1057</f>
        <v>53.643974181402399</v>
      </c>
      <c r="E864" s="1" t="str">
        <f>Data!AQ1057</f>
        <v>NA</v>
      </c>
      <c r="F864" t="str">
        <f t="shared" si="13"/>
        <v/>
      </c>
      <c r="G864" s="5">
        <f ca="1">AVERAGE(D$2:D863)</f>
        <v>181.16190174130389</v>
      </c>
      <c r="H864" s="5">
        <f ca="1">PERCENTILE(D$2:D863,0.025)</f>
        <v>-2.7035223884514434</v>
      </c>
      <c r="I864" s="5">
        <f ca="1">PERCENTILE(D$2:D863,0.165)</f>
        <v>9.1783372654937434</v>
      </c>
      <c r="J864" s="5">
        <f ca="1">PERCENTILE(D$2:D863,0.5)</f>
        <v>49.718041229746518</v>
      </c>
      <c r="K864" s="5">
        <f ca="1">PERCENTILE(D$2:D863,0.835)</f>
        <v>236.42461765904579</v>
      </c>
      <c r="L864" s="5">
        <f ca="1">PERCENTILE(D$2:D863,0.975)</f>
        <v>1105.9356769076196</v>
      </c>
      <c r="M864" s="7">
        <f>AVERAGE(E$2:E863)</f>
        <v>1.2450140845070432</v>
      </c>
      <c r="N864" s="7">
        <f>PERCENTILE($E$2:$E863,0.025)</f>
        <v>-1.1000000000000001</v>
      </c>
      <c r="O864" s="7">
        <f>PERCENTILE($E$2:$E863,0.165)</f>
        <v>0</v>
      </c>
      <c r="P864" s="7">
        <f>PERCENTILE($E$2:$E863,0.5)</f>
        <v>1</v>
      </c>
      <c r="Q864" s="7">
        <f>PERCENTILE($E$2:$E863,0.835)</f>
        <v>3</v>
      </c>
      <c r="R864" s="7">
        <f>PERCENTILE($E$2:$E863,0.975)</f>
        <v>3</v>
      </c>
    </row>
    <row r="865" spans="1:18" x14ac:dyDescent="0.2">
      <c r="A865" s="5">
        <f>Data!E1058</f>
        <v>2013</v>
      </c>
      <c r="B865" s="5">
        <f>Data!M1058</f>
        <v>0.16153846153846152</v>
      </c>
      <c r="C865" s="5">
        <f>Data!N1058</f>
        <v>2.564102564102564E-2</v>
      </c>
      <c r="D865" s="5">
        <f ca="1">Data!O1058</f>
        <v>33.361997763359838</v>
      </c>
      <c r="E865" s="1" t="str">
        <f>Data!AQ1058</f>
        <v>NA</v>
      </c>
      <c r="F865" t="str">
        <f t="shared" si="13"/>
        <v/>
      </c>
      <c r="G865" s="5">
        <f ca="1">AVERAGE(D$2:D864)</f>
        <v>181.01414052744539</v>
      </c>
      <c r="H865" s="5">
        <f ca="1">PERCENTILE(D$2:D864,0.025)</f>
        <v>-2.7028069816272966</v>
      </c>
      <c r="I865" s="5">
        <f ca="1">PERCENTILE(D$2:D864,0.165)</f>
        <v>9.2763959221997716</v>
      </c>
      <c r="J865" s="5">
        <f ca="1">PERCENTILE(D$2:D864,0.5)</f>
        <v>49.718041229746518</v>
      </c>
      <c r="K865" s="5">
        <f ca="1">PERCENTILE(D$2:D864,0.835)</f>
        <v>236.36363703694622</v>
      </c>
      <c r="L865" s="5">
        <f ca="1">PERCENTILE(D$2:D864,0.975)</f>
        <v>1104.9683585295636</v>
      </c>
      <c r="M865" s="7">
        <f>AVERAGE(E$2:E864)</f>
        <v>1.2450140845070432</v>
      </c>
      <c r="N865" s="7">
        <f>PERCENTILE($E$2:$E864,0.025)</f>
        <v>-1.1000000000000001</v>
      </c>
      <c r="O865" s="7">
        <f>PERCENTILE($E$2:$E864,0.165)</f>
        <v>0</v>
      </c>
      <c r="P865" s="7">
        <f>PERCENTILE($E$2:$E864,0.5)</f>
        <v>1</v>
      </c>
      <c r="Q865" s="7">
        <f>PERCENTILE($E$2:$E864,0.835)</f>
        <v>3</v>
      </c>
      <c r="R865" s="7">
        <f>PERCENTILE($E$2:$E864,0.975)</f>
        <v>3</v>
      </c>
    </row>
    <row r="866" spans="1:18" x14ac:dyDescent="0.2">
      <c r="A866" s="5">
        <f>Data!E1059</f>
        <v>2013</v>
      </c>
      <c r="B866" s="5">
        <f>Data!M1059</f>
        <v>0.16153846153846152</v>
      </c>
      <c r="C866" s="5">
        <f>Data!N1059</f>
        <v>2.564102564102564E-2</v>
      </c>
      <c r="D866" s="5">
        <f ca="1">Data!O1059</f>
        <v>75.726439367626284</v>
      </c>
      <c r="E866" s="1" t="str">
        <f>Data!AQ1059</f>
        <v>NA</v>
      </c>
      <c r="F866" t="str">
        <f t="shared" si="13"/>
        <v/>
      </c>
      <c r="G866" s="5">
        <f ca="1">AVERAGE(D$2:D865)</f>
        <v>180.84324684369065</v>
      </c>
      <c r="H866" s="5">
        <f ca="1">PERCENTILE(D$2:D865,0.025)</f>
        <v>-2.7020915748031493</v>
      </c>
      <c r="I866" s="5">
        <f ca="1">PERCENTILE(D$2:D865,0.165)</f>
        <v>9.374454578905782</v>
      </c>
      <c r="J866" s="5">
        <f ca="1">PERCENTILE(D$2:D865,0.5)</f>
        <v>49.718041229746518</v>
      </c>
      <c r="K866" s="5">
        <f ca="1">PERCENTILE(D$2:D865,0.835)</f>
        <v>236.30265641484664</v>
      </c>
      <c r="L866" s="5">
        <f ca="1">PERCENTILE(D$2:D865,0.975)</f>
        <v>1104.0010401515119</v>
      </c>
      <c r="M866" s="7">
        <f>AVERAGE(E$2:E865)</f>
        <v>1.2450140845070432</v>
      </c>
      <c r="N866" s="7">
        <f>PERCENTILE($E$2:$E865,0.025)</f>
        <v>-1.1000000000000001</v>
      </c>
      <c r="O866" s="7">
        <f>PERCENTILE($E$2:$E865,0.165)</f>
        <v>0</v>
      </c>
      <c r="P866" s="7">
        <f>PERCENTILE($E$2:$E865,0.5)</f>
        <v>1</v>
      </c>
      <c r="Q866" s="7">
        <f>PERCENTILE($E$2:$E865,0.835)</f>
        <v>3</v>
      </c>
      <c r="R866" s="7">
        <f>PERCENTILE($E$2:$E865,0.975)</f>
        <v>3</v>
      </c>
    </row>
    <row r="867" spans="1:18" x14ac:dyDescent="0.2">
      <c r="A867" s="5">
        <f>Data!E1060</f>
        <v>2013</v>
      </c>
      <c r="B867" s="5">
        <f>Data!M1060</f>
        <v>0.16153846153846152</v>
      </c>
      <c r="C867" s="5">
        <f>Data!N1060</f>
        <v>2.564102564102564E-2</v>
      </c>
      <c r="D867" s="5">
        <f ca="1">Data!O1060</f>
        <v>18.534443201866573</v>
      </c>
      <c r="E867" s="1" t="str">
        <f>Data!AQ1060</f>
        <v>NA</v>
      </c>
      <c r="F867" t="str">
        <f t="shared" si="13"/>
        <v/>
      </c>
      <c r="G867" s="5">
        <f ca="1">AVERAGE(D$2:D866)</f>
        <v>180.72172452290908</v>
      </c>
      <c r="H867" s="5">
        <f ca="1">PERCENTILE(D$2:D866,0.025)</f>
        <v>-2.7013761679790025</v>
      </c>
      <c r="I867" s="5">
        <f ca="1">PERCENTILE(D$2:D866,0.165)</f>
        <v>9.4725132356117925</v>
      </c>
      <c r="J867" s="5">
        <f ca="1">PERCENTILE(D$2:D866,0.5)</f>
        <v>49.718041229746518</v>
      </c>
      <c r="K867" s="5">
        <f ca="1">PERCENTILE(D$2:D866,0.835)</f>
        <v>236.24167579274703</v>
      </c>
      <c r="L867" s="5">
        <f ca="1">PERCENTILE(D$2:D866,0.975)</f>
        <v>1103.0337217734605</v>
      </c>
      <c r="M867" s="7">
        <f>AVERAGE(E$2:E866)</f>
        <v>1.2450140845070432</v>
      </c>
      <c r="N867" s="7">
        <f>PERCENTILE($E$2:$E866,0.025)</f>
        <v>-1.1000000000000001</v>
      </c>
      <c r="O867" s="7">
        <f>PERCENTILE($E$2:$E866,0.165)</f>
        <v>0</v>
      </c>
      <c r="P867" s="7">
        <f>PERCENTILE($E$2:$E866,0.5)</f>
        <v>1</v>
      </c>
      <c r="Q867" s="7">
        <f>PERCENTILE($E$2:$E866,0.835)</f>
        <v>3</v>
      </c>
      <c r="R867" s="7">
        <f>PERCENTILE($E$2:$E866,0.975)</f>
        <v>3</v>
      </c>
    </row>
    <row r="868" spans="1:18" x14ac:dyDescent="0.2">
      <c r="A868" s="5">
        <f>Data!E1061</f>
        <v>2013</v>
      </c>
      <c r="B868" s="5">
        <f>Data!M1061</f>
        <v>0.16153846153846152</v>
      </c>
      <c r="C868" s="5">
        <f>Data!N1061</f>
        <v>2.564102564102564E-2</v>
      </c>
      <c r="D868" s="5">
        <f ca="1">Data!O1061</f>
        <v>64.076217926453026</v>
      </c>
      <c r="E868" s="1" t="str">
        <f>Data!AQ1061</f>
        <v>NA</v>
      </c>
      <c r="F868" t="str">
        <f t="shared" si="13"/>
        <v/>
      </c>
      <c r="G868" s="5">
        <f ca="1">AVERAGE(D$2:D867)</f>
        <v>180.53444128812731</v>
      </c>
      <c r="H868" s="5">
        <f ca="1">PERCENTILE(D$2:D867,0.025)</f>
        <v>-2.7006607611548556</v>
      </c>
      <c r="I868" s="5">
        <f ca="1">PERCENTILE(D$2:D867,0.165)</f>
        <v>9.5705718923178047</v>
      </c>
      <c r="J868" s="5">
        <f ca="1">PERCENTILE(D$2:D867,0.5)</f>
        <v>49.718041229746518</v>
      </c>
      <c r="K868" s="5">
        <f ca="1">PERCENTILE(D$2:D867,0.835)</f>
        <v>236.18069517064745</v>
      </c>
      <c r="L868" s="5">
        <f ca="1">PERCENTILE(D$2:D867,0.975)</f>
        <v>1102.0664033954088</v>
      </c>
      <c r="M868" s="7">
        <f>AVERAGE(E$2:E867)</f>
        <v>1.2450140845070432</v>
      </c>
      <c r="N868" s="7">
        <f>PERCENTILE($E$2:$E867,0.025)</f>
        <v>-1.1000000000000001</v>
      </c>
      <c r="O868" s="7">
        <f>PERCENTILE($E$2:$E867,0.165)</f>
        <v>0</v>
      </c>
      <c r="P868" s="7">
        <f>PERCENTILE($E$2:$E867,0.5)</f>
        <v>1</v>
      </c>
      <c r="Q868" s="7">
        <f>PERCENTILE($E$2:$E867,0.835)</f>
        <v>3</v>
      </c>
      <c r="R868" s="7">
        <f>PERCENTILE($E$2:$E867,0.975)</f>
        <v>3</v>
      </c>
    </row>
    <row r="869" spans="1:18" x14ac:dyDescent="0.2">
      <c r="A869" s="5">
        <f>Data!E1062</f>
        <v>2013</v>
      </c>
      <c r="B869" s="5">
        <f>Data!M1062</f>
        <v>0.16153846153846152</v>
      </c>
      <c r="C869" s="5">
        <f>Data!N1062</f>
        <v>2.564102564102564E-2</v>
      </c>
      <c r="D869" s="5">
        <f ca="1">Data!O1062</f>
        <v>27.00733152271987</v>
      </c>
      <c r="E869" s="1" t="str">
        <f>Data!AQ1062</f>
        <v>NA</v>
      </c>
      <c r="F869" t="str">
        <f t="shared" si="13"/>
        <v/>
      </c>
      <c r="G869" s="5">
        <f ca="1">AVERAGE(D$2:D868)</f>
        <v>180.40011807779089</v>
      </c>
      <c r="H869" s="5">
        <f ca="1">PERCENTILE(D$2:D868,0.025)</f>
        <v>-2.6999453543307084</v>
      </c>
      <c r="I869" s="5">
        <f ca="1">PERCENTILE(D$2:D868,0.165)</f>
        <v>9.6686305490238329</v>
      </c>
      <c r="J869" s="5">
        <f ca="1">PERCENTILE(D$2:D868,0.5)</f>
        <v>49.718041229746518</v>
      </c>
      <c r="K869" s="5">
        <f ca="1">PERCENTILE(D$2:D868,0.835)</f>
        <v>236.11971454854788</v>
      </c>
      <c r="L869" s="5">
        <f ca="1">PERCENTILE(D$2:D868,0.975)</f>
        <v>1101.0990850173573</v>
      </c>
      <c r="M869" s="7">
        <f>AVERAGE(E$2:E868)</f>
        <v>1.2450140845070432</v>
      </c>
      <c r="N869" s="7">
        <f>PERCENTILE($E$2:$E868,0.025)</f>
        <v>-1.1000000000000001</v>
      </c>
      <c r="O869" s="7">
        <f>PERCENTILE($E$2:$E868,0.165)</f>
        <v>0</v>
      </c>
      <c r="P869" s="7">
        <f>PERCENTILE($E$2:$E868,0.5)</f>
        <v>1</v>
      </c>
      <c r="Q869" s="7">
        <f>PERCENTILE($E$2:$E868,0.835)</f>
        <v>3</v>
      </c>
      <c r="R869" s="7">
        <f>PERCENTILE($E$2:$E868,0.975)</f>
        <v>3</v>
      </c>
    </row>
    <row r="870" spans="1:18" x14ac:dyDescent="0.2">
      <c r="A870" s="5">
        <f>Data!E1063</f>
        <v>2013</v>
      </c>
      <c r="B870" s="5">
        <f>Data!M1063</f>
        <v>0.16153846153846152</v>
      </c>
      <c r="C870" s="5">
        <f>Data!N1063</f>
        <v>2.564102564102564E-2</v>
      </c>
      <c r="D870" s="5">
        <f ca="1">Data!O1063</f>
        <v>150.39376769514593</v>
      </c>
      <c r="E870" s="1" t="str">
        <f>Data!AQ1063</f>
        <v>NA</v>
      </c>
      <c r="F870" t="str">
        <f t="shared" si="13"/>
        <v/>
      </c>
      <c r="G870" s="5">
        <f ca="1">AVERAGE(D$2:D869)</f>
        <v>180.2233982776122</v>
      </c>
      <c r="H870" s="5">
        <f ca="1">PERCENTILE(D$2:D869,0.025)</f>
        <v>-2.6992299475065615</v>
      </c>
      <c r="I870" s="5">
        <f ca="1">PERCENTILE(D$2:D869,0.165)</f>
        <v>9.7472672596238468</v>
      </c>
      <c r="J870" s="5">
        <f ca="1">PERCENTILE(D$2:D869,0.5)</f>
        <v>49.718041229746518</v>
      </c>
      <c r="K870" s="5">
        <f ca="1">PERCENTILE(D$2:D869,0.835)</f>
        <v>236.07471245645499</v>
      </c>
      <c r="L870" s="5">
        <f ca="1">PERCENTILE(D$2:D869,0.975)</f>
        <v>1100.1317666393013</v>
      </c>
      <c r="M870" s="7">
        <f>AVERAGE(E$2:E869)</f>
        <v>1.2450140845070432</v>
      </c>
      <c r="N870" s="7">
        <f>PERCENTILE($E$2:$E869,0.025)</f>
        <v>-1.1000000000000001</v>
      </c>
      <c r="O870" s="7">
        <f>PERCENTILE($E$2:$E869,0.165)</f>
        <v>0</v>
      </c>
      <c r="P870" s="7">
        <f>PERCENTILE($E$2:$E869,0.5)</f>
        <v>1</v>
      </c>
      <c r="Q870" s="7">
        <f>PERCENTILE($E$2:$E869,0.835)</f>
        <v>3</v>
      </c>
      <c r="R870" s="7">
        <f>PERCENTILE($E$2:$E869,0.975)</f>
        <v>3</v>
      </c>
    </row>
    <row r="871" spans="1:18" x14ac:dyDescent="0.2">
      <c r="A871" s="5">
        <f>Data!E1064</f>
        <v>2013</v>
      </c>
      <c r="B871" s="5">
        <f>Data!M1064</f>
        <v>0.16153846153846152</v>
      </c>
      <c r="C871" s="5">
        <f>Data!N1064</f>
        <v>2.564102564102564E-2</v>
      </c>
      <c r="D871" s="5">
        <f ca="1">Data!O1064</f>
        <v>29.655109122986524</v>
      </c>
      <c r="E871" s="1" t="str">
        <f>Data!AQ1064</f>
        <v>NA</v>
      </c>
      <c r="F871" t="str">
        <f t="shared" si="13"/>
        <v/>
      </c>
      <c r="G871" s="5">
        <f ca="1">AVERAGE(D$2:D870)</f>
        <v>180.18907189029062</v>
      </c>
      <c r="H871" s="5">
        <f ca="1">PERCENTILE(D$2:D870,0.025)</f>
        <v>-2.6985145406824147</v>
      </c>
      <c r="I871" s="5">
        <f ca="1">PERCENTILE(D$2:D870,0.165)</f>
        <v>9.7870600780118764</v>
      </c>
      <c r="J871" s="5">
        <f ca="1">PERCENTILE(D$2:D870,0.5)</f>
        <v>49.718041229746518</v>
      </c>
      <c r="K871" s="5">
        <f ca="1">PERCENTILE(D$2:D870,0.835)</f>
        <v>236.06166742437554</v>
      </c>
      <c r="L871" s="5">
        <f ca="1">PERCENTILE(D$2:D870,0.975)</f>
        <v>1099.1644482612496</v>
      </c>
      <c r="M871" s="7">
        <f>AVERAGE(E$2:E870)</f>
        <v>1.2450140845070432</v>
      </c>
      <c r="N871" s="7">
        <f>PERCENTILE($E$2:$E870,0.025)</f>
        <v>-1.1000000000000001</v>
      </c>
      <c r="O871" s="7">
        <f>PERCENTILE($E$2:$E870,0.165)</f>
        <v>0</v>
      </c>
      <c r="P871" s="7">
        <f>PERCENTILE($E$2:$E870,0.5)</f>
        <v>1</v>
      </c>
      <c r="Q871" s="7">
        <f>PERCENTILE($E$2:$E870,0.835)</f>
        <v>3</v>
      </c>
      <c r="R871" s="7">
        <f>PERCENTILE($E$2:$E870,0.975)</f>
        <v>3</v>
      </c>
    </row>
    <row r="872" spans="1:18" x14ac:dyDescent="0.2">
      <c r="A872" s="5">
        <f>Data!E1065</f>
        <v>2013</v>
      </c>
      <c r="B872" s="5">
        <f>Data!M1065</f>
        <v>0.16153846153846152</v>
      </c>
      <c r="C872" s="5">
        <f>Data!N1065</f>
        <v>2.564102564102564E-2</v>
      </c>
      <c r="D872" s="5">
        <f ca="1">Data!O1065</f>
        <v>104.85199297055946</v>
      </c>
      <c r="E872" s="1" t="str">
        <f>Data!AQ1065</f>
        <v>NA</v>
      </c>
      <c r="F872" t="str">
        <f t="shared" si="13"/>
        <v/>
      </c>
      <c r="G872" s="5">
        <f ca="1">AVERAGE(D$2:D871)</f>
        <v>180.01604434687991</v>
      </c>
      <c r="H872" s="5">
        <f ca="1">PERCENTILE(D$2:D871,0.025)</f>
        <v>-2.6977991338582674</v>
      </c>
      <c r="I872" s="5">
        <f ca="1">PERCENTILE(D$2:D871,0.165)</f>
        <v>9.8268528963999131</v>
      </c>
      <c r="J872" s="5">
        <f ca="1">PERCENTILE(D$2:D871,0.5)</f>
        <v>49.718041229746518</v>
      </c>
      <c r="K872" s="5">
        <f ca="1">PERCENTILE(D$2:D871,0.835)</f>
        <v>236.0486223922961</v>
      </c>
      <c r="L872" s="5">
        <f ca="1">PERCENTILE(D$2:D871,0.975)</f>
        <v>1098.1971298831982</v>
      </c>
      <c r="M872" s="7">
        <f>AVERAGE(E$2:E871)</f>
        <v>1.2450140845070432</v>
      </c>
      <c r="N872" s="7">
        <f>PERCENTILE($E$2:$E871,0.025)</f>
        <v>-1.1000000000000001</v>
      </c>
      <c r="O872" s="7">
        <f>PERCENTILE($E$2:$E871,0.165)</f>
        <v>0</v>
      </c>
      <c r="P872" s="7">
        <f>PERCENTILE($E$2:$E871,0.5)</f>
        <v>1</v>
      </c>
      <c r="Q872" s="7">
        <f>PERCENTILE($E$2:$E871,0.835)</f>
        <v>3</v>
      </c>
      <c r="R872" s="7">
        <f>PERCENTILE($E$2:$E871,0.975)</f>
        <v>3</v>
      </c>
    </row>
    <row r="873" spans="1:18" x14ac:dyDescent="0.2">
      <c r="A873" s="5">
        <f>Data!E1066</f>
        <v>2013</v>
      </c>
      <c r="B873" s="5">
        <f>Data!M1066</f>
        <v>0.16153846153846152</v>
      </c>
      <c r="C873" s="5">
        <f>Data!N1066</f>
        <v>2.564102564102564E-2</v>
      </c>
      <c r="D873" s="5">
        <f ca="1">Data!O1066</f>
        <v>5736.8514672444171</v>
      </c>
      <c r="E873" s="1">
        <f>Data!AQ1066</f>
        <v>0</v>
      </c>
      <c r="F873" t="str">
        <f t="shared" si="13"/>
        <v/>
      </c>
      <c r="G873" s="5">
        <f ca="1">AVERAGE(D$2:D872)</f>
        <v>179.92974807664305</v>
      </c>
      <c r="H873" s="5">
        <f ca="1">PERCENTILE(D$2:D872,0.025)</f>
        <v>-2.6970837270341206</v>
      </c>
      <c r="I873" s="5">
        <f ca="1">PERCENTILE(D$2:D872,0.165)</f>
        <v>9.8666457147879427</v>
      </c>
      <c r="J873" s="5">
        <f ca="1">PERCENTILE(D$2:D872,0.5)</f>
        <v>49.718041229746518</v>
      </c>
      <c r="K873" s="5">
        <f ca="1">PERCENTILE(D$2:D872,0.835)</f>
        <v>236.03557736021665</v>
      </c>
      <c r="L873" s="5">
        <f ca="1">PERCENTILE(D$2:D872,0.975)</f>
        <v>1097.2298115051465</v>
      </c>
      <c r="M873" s="7">
        <f>AVERAGE(E$2:E872)</f>
        <v>1.2450140845070432</v>
      </c>
      <c r="N873" s="7">
        <f>PERCENTILE($E$2:$E872,0.025)</f>
        <v>-1.1000000000000001</v>
      </c>
      <c r="O873" s="7">
        <f>PERCENTILE($E$2:$E872,0.165)</f>
        <v>0</v>
      </c>
      <c r="P873" s="7">
        <f>PERCENTILE($E$2:$E872,0.5)</f>
        <v>1</v>
      </c>
      <c r="Q873" s="7">
        <f>PERCENTILE($E$2:$E872,0.835)</f>
        <v>3</v>
      </c>
      <c r="R873" s="7">
        <f>PERCENTILE($E$2:$E872,0.975)</f>
        <v>3</v>
      </c>
    </row>
    <row r="874" spans="1:18" x14ac:dyDescent="0.2">
      <c r="A874" s="5">
        <f>Data!E1067</f>
        <v>2013</v>
      </c>
      <c r="B874" s="5">
        <f>Data!M1067</f>
        <v>0.16153846153846152</v>
      </c>
      <c r="C874" s="5">
        <f>Data!N1067</f>
        <v>2.564102564102564E-2</v>
      </c>
      <c r="D874" s="5">
        <f ca="1">Data!O1067</f>
        <v>750.20365340888532</v>
      </c>
      <c r="E874" s="1">
        <f>Data!AQ1067</f>
        <v>1</v>
      </c>
      <c r="F874" t="str">
        <f t="shared" si="13"/>
        <v/>
      </c>
      <c r="G874" s="5">
        <f ca="1">AVERAGE(D$2:D873)</f>
        <v>186.3023647270648</v>
      </c>
      <c r="H874" s="5">
        <f ca="1">PERCENTILE(D$2:D873,0.025)</f>
        <v>-2.6963683202099737</v>
      </c>
      <c r="I874" s="5">
        <f ca="1">PERCENTILE(D$2:D873,0.165)</f>
        <v>9.9064385331759723</v>
      </c>
      <c r="J874" s="5">
        <f ca="1">PERCENTILE(D$2:D873,0.5)</f>
        <v>49.718041229746518</v>
      </c>
      <c r="K874" s="5">
        <f ca="1">PERCENTILE(D$2:D873,0.835)</f>
        <v>236.18439096592621</v>
      </c>
      <c r="L874" s="5">
        <f ca="1">PERCENTILE(D$2:D873,0.975)</f>
        <v>1142.6551380992569</v>
      </c>
      <c r="M874" s="7">
        <f>AVERAGE(E$2:E873)</f>
        <v>1.2432630098452893</v>
      </c>
      <c r="N874" s="7">
        <f>PERCENTILE($E$2:$E873,0.025)</f>
        <v>-1.1000000000000001</v>
      </c>
      <c r="O874" s="7">
        <f>PERCENTILE($E$2:$E873,0.165)</f>
        <v>0</v>
      </c>
      <c r="P874" s="7">
        <f>PERCENTILE($E$2:$E873,0.5)</f>
        <v>1</v>
      </c>
      <c r="Q874" s="7">
        <f>PERCENTILE($E$2:$E873,0.835)</f>
        <v>3</v>
      </c>
      <c r="R874" s="7">
        <f>PERCENTILE($E$2:$E873,0.975)</f>
        <v>3</v>
      </c>
    </row>
    <row r="875" spans="1:18" x14ac:dyDescent="0.2">
      <c r="A875" s="5">
        <f>Data!E1068</f>
        <v>2013</v>
      </c>
      <c r="B875" s="5">
        <f>Data!M1068</f>
        <v>0.16153846153846152</v>
      </c>
      <c r="C875" s="5">
        <f>Data!N1068</f>
        <v>2.564102564102564E-2</v>
      </c>
      <c r="D875" s="5">
        <f ca="1">Data!O1068</f>
        <v>92.672216009332885</v>
      </c>
      <c r="E875" s="1">
        <f>Data!AQ1068</f>
        <v>2</v>
      </c>
      <c r="F875" t="str">
        <f t="shared" si="13"/>
        <v/>
      </c>
      <c r="G875" s="5">
        <f ca="1">AVERAGE(D$2:D874)</f>
        <v>186.94829976564648</v>
      </c>
      <c r="H875" s="5">
        <f ca="1">PERCENTILE(D$2:D874,0.025)</f>
        <v>-2.6956529133858269</v>
      </c>
      <c r="I875" s="5">
        <f ca="1">PERCENTILE(D$2:D874,0.165)</f>
        <v>9.946231351564002</v>
      </c>
      <c r="J875" s="5">
        <f ca="1">PERCENTILE(D$2:D874,0.5)</f>
        <v>49.718041229746518</v>
      </c>
      <c r="K875" s="5">
        <f ca="1">PERCENTILE(D$2:D874,0.835)</f>
        <v>237.70156894340906</v>
      </c>
      <c r="L875" s="5">
        <f ca="1">PERCENTILE(D$2:D874,0.975)</f>
        <v>1140.8322741823019</v>
      </c>
      <c r="M875" s="7">
        <f>AVERAGE(E$2:E874)</f>
        <v>1.2429213483146078</v>
      </c>
      <c r="N875" s="7">
        <f>PERCENTILE($E$2:$E874,0.025)</f>
        <v>-1.1000000000000001</v>
      </c>
      <c r="O875" s="7">
        <f>PERCENTILE($E$2:$E874,0.165)</f>
        <v>0</v>
      </c>
      <c r="P875" s="7">
        <f>PERCENTILE($E$2:$E874,0.5)</f>
        <v>1</v>
      </c>
      <c r="Q875" s="7">
        <f>PERCENTILE($E$2:$E874,0.835)</f>
        <v>3</v>
      </c>
      <c r="R875" s="7">
        <f>PERCENTILE($E$2:$E874,0.975)</f>
        <v>3</v>
      </c>
    </row>
    <row r="876" spans="1:18" x14ac:dyDescent="0.2">
      <c r="A876" s="5">
        <f>Data!E1069</f>
        <v>2013</v>
      </c>
      <c r="B876" s="5">
        <f>Data!M1069</f>
        <v>0.16153846153846152</v>
      </c>
      <c r="C876" s="5">
        <f>Data!N1069</f>
        <v>2.564102564102564E-2</v>
      </c>
      <c r="D876" s="5">
        <f ca="1">Data!O1069</f>
        <v>33.538516270044276</v>
      </c>
      <c r="E876" s="1">
        <f>Data!AQ1069</f>
        <v>3</v>
      </c>
      <c r="F876" t="str">
        <f t="shared" si="13"/>
        <v/>
      </c>
      <c r="G876" s="5">
        <f ca="1">AVERAGE(D$2:D875)</f>
        <v>186.8404323929276</v>
      </c>
      <c r="H876" s="5">
        <f ca="1">PERCENTILE(D$2:D875,0.025)</f>
        <v>-2.6949375065616796</v>
      </c>
      <c r="I876" s="5">
        <f ca="1">PERCENTILE(D$2:D875,0.165)</f>
        <v>9.9751715831189358</v>
      </c>
      <c r="J876" s="5">
        <f ca="1">PERCENTILE(D$2:D875,0.5)</f>
        <v>49.796949572670599</v>
      </c>
      <c r="K876" s="5">
        <f ca="1">PERCENTILE(D$2:D875,0.835)</f>
        <v>236.43200924960331</v>
      </c>
      <c r="L876" s="5">
        <f ca="1">PERCENTILE(D$2:D875,0.975)</f>
        <v>1139.0094102653552</v>
      </c>
      <c r="M876" s="7">
        <f>AVERAGE(E$2:E875)</f>
        <v>1.2439831697054708</v>
      </c>
      <c r="N876" s="7">
        <f>PERCENTILE($E$2:$E875,0.025)</f>
        <v>-1.1000000000000001</v>
      </c>
      <c r="O876" s="7">
        <f>PERCENTILE($E$2:$E875,0.165)</f>
        <v>0</v>
      </c>
      <c r="P876" s="7">
        <f>PERCENTILE($E$2:$E875,0.5)</f>
        <v>1</v>
      </c>
      <c r="Q876" s="7">
        <f>PERCENTILE($E$2:$E875,0.835)</f>
        <v>3</v>
      </c>
      <c r="R876" s="7">
        <f>PERCENTILE($E$2:$E875,0.975)</f>
        <v>3</v>
      </c>
    </row>
    <row r="877" spans="1:18" x14ac:dyDescent="0.2">
      <c r="A877" s="5">
        <f>Data!E1070</f>
        <v>2013</v>
      </c>
      <c r="B877" s="5">
        <f>Data!M1070</f>
        <v>0.16153846153846152</v>
      </c>
      <c r="C877" s="5">
        <f>Data!N1070</f>
        <v>2.564102564102564E-2</v>
      </c>
      <c r="D877" s="5">
        <f ca="1">Data!O1070</f>
        <v>485.42589338221984</v>
      </c>
      <c r="E877" s="1">
        <f>Data!AQ1070</f>
        <v>0</v>
      </c>
      <c r="F877" t="str">
        <f t="shared" si="13"/>
        <v/>
      </c>
      <c r="G877" s="5">
        <f ca="1">AVERAGE(D$2:D876)</f>
        <v>186.66523020307287</v>
      </c>
      <c r="H877" s="5">
        <f ca="1">PERCENTILE(D$2:D876,0.025)</f>
        <v>-2.6942220997375328</v>
      </c>
      <c r="I877" s="5">
        <f ca="1">PERCENTILE(D$2:D876,0.165)</f>
        <v>9.9751715831189358</v>
      </c>
      <c r="J877" s="5">
        <f ca="1">PERCENTILE(D$2:D876,0.5)</f>
        <v>49.718041229746518</v>
      </c>
      <c r="K877" s="5">
        <f ca="1">PERCENTILE(D$2:D876,0.835)</f>
        <v>236.37102862750373</v>
      </c>
      <c r="L877" s="5">
        <f ca="1">PERCENTILE(D$2:D876,0.975)</f>
        <v>1137.1865463484087</v>
      </c>
      <c r="M877" s="7">
        <f>AVERAGE(E$2:E876)</f>
        <v>1.2464425770308134</v>
      </c>
      <c r="N877" s="7">
        <f>PERCENTILE($E$2:$E876,0.025)</f>
        <v>-1.1000000000000001</v>
      </c>
      <c r="O877" s="7">
        <f>PERCENTILE($E$2:$E876,0.165)</f>
        <v>0</v>
      </c>
      <c r="P877" s="7">
        <f>PERCENTILE($E$2:$E876,0.5)</f>
        <v>1</v>
      </c>
      <c r="Q877" s="7">
        <f>PERCENTILE($E$2:$E876,0.835)</f>
        <v>3</v>
      </c>
      <c r="R877" s="7">
        <f>PERCENTILE($E$2:$E876,0.975)</f>
        <v>3</v>
      </c>
    </row>
    <row r="878" spans="1:18" x14ac:dyDescent="0.2">
      <c r="A878" s="5">
        <f>Data!E1071</f>
        <v>2013</v>
      </c>
      <c r="B878" s="5">
        <f>Data!M1071</f>
        <v>0.16153846153846152</v>
      </c>
      <c r="C878" s="5">
        <f>Data!N1071</f>
        <v>2.564102564102564E-2</v>
      </c>
      <c r="D878" s="5">
        <f ca="1">Data!O1071</f>
        <v>158.86665601599921</v>
      </c>
      <c r="E878" s="1">
        <f>Data!AQ1071</f>
        <v>1</v>
      </c>
      <c r="F878" t="str">
        <f t="shared" si="13"/>
        <v/>
      </c>
      <c r="G878" s="5">
        <f ca="1">AVERAGE(D$2:D877)</f>
        <v>187.00628118843721</v>
      </c>
      <c r="H878" s="5">
        <f ca="1">PERCENTILE(D$2:D877,0.025)</f>
        <v>-2.693506692913386</v>
      </c>
      <c r="I878" s="5">
        <f ca="1">PERCENTILE(D$2:D877,0.165)</f>
        <v>9.9751715831189358</v>
      </c>
      <c r="J878" s="5">
        <f ca="1">PERCENTILE(D$2:D877,0.5)</f>
        <v>49.796949572670599</v>
      </c>
      <c r="K878" s="5">
        <f ca="1">PERCENTILE(D$2:D877,0.835)</f>
        <v>242.9743101984163</v>
      </c>
      <c r="L878" s="5">
        <f ca="1">PERCENTILE(D$2:D877,0.975)</f>
        <v>1135.3636824314619</v>
      </c>
      <c r="M878" s="7">
        <f>AVERAGE(E$2:E877)</f>
        <v>1.2446993006993017</v>
      </c>
      <c r="N878" s="7">
        <f>PERCENTILE($E$2:$E877,0.025)</f>
        <v>-1.1000000000000001</v>
      </c>
      <c r="O878" s="7">
        <f>PERCENTILE($E$2:$E877,0.165)</f>
        <v>0</v>
      </c>
      <c r="P878" s="7">
        <f>PERCENTILE($E$2:$E877,0.5)</f>
        <v>1</v>
      </c>
      <c r="Q878" s="7">
        <f>PERCENTILE($E$2:$E877,0.835)</f>
        <v>3</v>
      </c>
      <c r="R878" s="7">
        <f>PERCENTILE($E$2:$E877,0.975)</f>
        <v>3</v>
      </c>
    </row>
    <row r="879" spans="1:18" x14ac:dyDescent="0.2">
      <c r="A879" s="5">
        <f>Data!E1072</f>
        <v>2013</v>
      </c>
      <c r="B879" s="5">
        <f>Data!M1072</f>
        <v>0.16153846153846152</v>
      </c>
      <c r="C879" s="5">
        <f>Data!N1072</f>
        <v>2.564102564102564E-2</v>
      </c>
      <c r="D879" s="5">
        <f ca="1">Data!O1072</f>
        <v>48.542589338221987</v>
      </c>
      <c r="E879" s="1">
        <f>Data!AQ1072</f>
        <v>2</v>
      </c>
      <c r="F879" t="str">
        <f t="shared" si="13"/>
        <v/>
      </c>
      <c r="G879" s="5">
        <f ca="1">AVERAGE(D$2:D878)</f>
        <v>186.97419495676968</v>
      </c>
      <c r="H879" s="5">
        <f ca="1">PERCENTILE(D$2:D878,0.025)</f>
        <v>-2.6927912860892387</v>
      </c>
      <c r="I879" s="5">
        <f ca="1">PERCENTILE(D$2:D878,0.165)</f>
        <v>9.9751715831189358</v>
      </c>
      <c r="J879" s="5">
        <f ca="1">PERCENTILE(D$2:D878,0.5)</f>
        <v>49.875857915594679</v>
      </c>
      <c r="K879" s="5">
        <f ca="1">PERCENTILE(D$2:D878,0.835)</f>
        <v>241.25153335272006</v>
      </c>
      <c r="L879" s="5">
        <f ca="1">PERCENTILE(D$2:D878,0.975)</f>
        <v>1133.5408185145154</v>
      </c>
      <c r="M879" s="7">
        <f>AVERAGE(E$2:E878)</f>
        <v>1.2443575418994424</v>
      </c>
      <c r="N879" s="7">
        <f>PERCENTILE($E$2:$E878,0.025)</f>
        <v>-1.1000000000000001</v>
      </c>
      <c r="O879" s="7">
        <f>PERCENTILE($E$2:$E878,0.165)</f>
        <v>0</v>
      </c>
      <c r="P879" s="7">
        <f>PERCENTILE($E$2:$E878,0.5)</f>
        <v>1</v>
      </c>
      <c r="Q879" s="7">
        <f>PERCENTILE($E$2:$E878,0.835)</f>
        <v>3</v>
      </c>
      <c r="R879" s="7">
        <f>PERCENTILE($E$2:$E878,0.975)</f>
        <v>3</v>
      </c>
    </row>
    <row r="880" spans="1:18" x14ac:dyDescent="0.2">
      <c r="A880" s="5">
        <f>Data!E1073</f>
        <v>2013</v>
      </c>
      <c r="B880" s="5">
        <f>Data!M1073</f>
        <v>0.16153846153846152</v>
      </c>
      <c r="C880" s="5">
        <f>Data!N1073</f>
        <v>2.564102564102564E-2</v>
      </c>
      <c r="D880" s="5">
        <f ca="1">Data!O1073</f>
        <v>22.506109602266559</v>
      </c>
      <c r="E880" s="1">
        <f>Data!AQ1073</f>
        <v>3</v>
      </c>
      <c r="F880" t="str">
        <f t="shared" si="13"/>
        <v/>
      </c>
      <c r="G880" s="5">
        <f ca="1">AVERAGE(D$2:D879)</f>
        <v>186.81652797998319</v>
      </c>
      <c r="H880" s="5">
        <f ca="1">PERCENTILE(D$2:D879,0.025)</f>
        <v>-2.6920758792650918</v>
      </c>
      <c r="I880" s="5">
        <f ca="1">PERCENTILE(D$2:D879,0.165)</f>
        <v>9.9751715831189358</v>
      </c>
      <c r="J880" s="5">
        <f ca="1">PERCENTILE(D$2:D879,0.5)</f>
        <v>49.796949572670599</v>
      </c>
      <c r="K880" s="5">
        <f ca="1">PERCENTILE(D$2:D879,0.835)</f>
        <v>239.52875650702498</v>
      </c>
      <c r="L880" s="5">
        <f ca="1">PERCENTILE(D$2:D879,0.975)</f>
        <v>1131.7179545975605</v>
      </c>
      <c r="M880" s="7">
        <f>AVERAGE(E$2:E879)</f>
        <v>1.2454114365411446</v>
      </c>
      <c r="N880" s="7">
        <f>PERCENTILE($E$2:$E879,0.025)</f>
        <v>-1.1000000000000001</v>
      </c>
      <c r="O880" s="7">
        <f>PERCENTILE($E$2:$E879,0.165)</f>
        <v>0</v>
      </c>
      <c r="P880" s="7">
        <f>PERCENTILE($E$2:$E879,0.5)</f>
        <v>1</v>
      </c>
      <c r="Q880" s="7">
        <f>PERCENTILE($E$2:$E879,0.835)</f>
        <v>3</v>
      </c>
      <c r="R880" s="7">
        <f>PERCENTILE($E$2:$E879,0.975)</f>
        <v>3</v>
      </c>
    </row>
    <row r="881" spans="1:18" x14ac:dyDescent="0.2">
      <c r="A881" s="5">
        <f>Data!E1074</f>
        <v>2013</v>
      </c>
      <c r="B881" s="5">
        <f>Data!M1074</f>
        <v>0.16153846153846152</v>
      </c>
      <c r="C881" s="5">
        <f>Data!N1074</f>
        <v>2.564102564102564E-2</v>
      </c>
      <c r="D881" s="5">
        <f ca="1">Data!O1074</f>
        <v>136.80184268044377</v>
      </c>
      <c r="E881" s="1">
        <f>Data!AQ1074</f>
        <v>0</v>
      </c>
      <c r="F881" t="str">
        <f t="shared" si="13"/>
        <v/>
      </c>
      <c r="G881" s="5">
        <f ca="1">AVERAGE(D$2:D880)</f>
        <v>186.629599176368</v>
      </c>
      <c r="H881" s="5">
        <f ca="1">PERCENTILE(D$2:D880,0.025)</f>
        <v>-2.6913604724409446</v>
      </c>
      <c r="I881" s="5">
        <f ca="1">PERCENTILE(D$2:D880,0.165)</f>
        <v>9.9751715831189358</v>
      </c>
      <c r="J881" s="5">
        <f ca="1">PERCENTILE(D$2:D880,0.5)</f>
        <v>49.718041229746518</v>
      </c>
      <c r="K881" s="5">
        <f ca="1">PERCENTILE(D$2:D880,0.835)</f>
        <v>237.8059796613299</v>
      </c>
      <c r="L881" s="5">
        <f ca="1">PERCENTILE(D$2:D880,0.975)</f>
        <v>1129.8950906806137</v>
      </c>
      <c r="M881" s="7">
        <f>AVERAGE(E$2:E880)</f>
        <v>1.2478551532033437</v>
      </c>
      <c r="N881" s="7">
        <f>PERCENTILE($E$2:$E880,0.025)</f>
        <v>-1.1000000000000001</v>
      </c>
      <c r="O881" s="7">
        <f>PERCENTILE($E$2:$E880,0.165)</f>
        <v>0</v>
      </c>
      <c r="P881" s="7">
        <f>PERCENTILE($E$2:$E880,0.5)</f>
        <v>1</v>
      </c>
      <c r="Q881" s="7">
        <f>PERCENTILE($E$2:$E880,0.835)</f>
        <v>3</v>
      </c>
      <c r="R881" s="7">
        <f>PERCENTILE($E$2:$E880,0.975)</f>
        <v>3</v>
      </c>
    </row>
    <row r="882" spans="1:18" x14ac:dyDescent="0.2">
      <c r="A882" s="5">
        <f>Data!E1075</f>
        <v>2013</v>
      </c>
      <c r="B882" s="5">
        <f>Data!M1075</f>
        <v>0.16153846153846152</v>
      </c>
      <c r="C882" s="5">
        <f>Data!N1075</f>
        <v>2.564102564102564E-2</v>
      </c>
      <c r="D882" s="5">
        <f ca="1">Data!O1075</f>
        <v>70.607402673777415</v>
      </c>
      <c r="E882" s="1">
        <f>Data!AQ1075</f>
        <v>1</v>
      </c>
      <c r="F882" t="str">
        <f t="shared" si="13"/>
        <v/>
      </c>
      <c r="G882" s="5">
        <f ca="1">AVERAGE(D$2:D881)</f>
        <v>186.57297672580447</v>
      </c>
      <c r="H882" s="5">
        <f ca="1">PERCENTILE(D$2:D881,0.025)</f>
        <v>-2.6906450656167977</v>
      </c>
      <c r="I882" s="5">
        <f ca="1">PERCENTILE(D$2:D881,0.165)</f>
        <v>9.9751715831189358</v>
      </c>
      <c r="J882" s="5">
        <f ca="1">PERCENTILE(D$2:D881,0.5)</f>
        <v>49.796949572670599</v>
      </c>
      <c r="K882" s="5">
        <f ca="1">PERCENTILE(D$2:D881,0.835)</f>
        <v>236.43570504488207</v>
      </c>
      <c r="L882" s="5">
        <f ca="1">PERCENTILE(D$2:D881,0.975)</f>
        <v>1128.0722267636672</v>
      </c>
      <c r="M882" s="7">
        <f>AVERAGE(E$2:E881)</f>
        <v>1.2461196105702375</v>
      </c>
      <c r="N882" s="7">
        <f>PERCENTILE($E$2:$E881,0.025)</f>
        <v>-1.1000000000000001</v>
      </c>
      <c r="O882" s="7">
        <f>PERCENTILE($E$2:$E881,0.165)</f>
        <v>0</v>
      </c>
      <c r="P882" s="7">
        <f>PERCENTILE($E$2:$E881,0.5)</f>
        <v>1</v>
      </c>
      <c r="Q882" s="7">
        <f>PERCENTILE($E$2:$E881,0.835)</f>
        <v>3</v>
      </c>
      <c r="R882" s="7">
        <f>PERCENTILE($E$2:$E881,0.975)</f>
        <v>3</v>
      </c>
    </row>
    <row r="883" spans="1:18" x14ac:dyDescent="0.2">
      <c r="A883" s="5">
        <f>Data!E1076</f>
        <v>2013</v>
      </c>
      <c r="B883" s="5">
        <f>Data!M1076</f>
        <v>0.16153846153846152</v>
      </c>
      <c r="C883" s="5">
        <f>Data!N1076</f>
        <v>2.564102564102564E-2</v>
      </c>
      <c r="D883" s="5">
        <f ca="1">Data!O1076</f>
        <v>30.008146136355411</v>
      </c>
      <c r="E883" s="1">
        <f>Data!AQ1076</f>
        <v>2</v>
      </c>
      <c r="F883" t="str">
        <f t="shared" si="13"/>
        <v/>
      </c>
      <c r="G883" s="5">
        <f ca="1">AVERAGE(D$2:D882)</f>
        <v>186.44134724333904</v>
      </c>
      <c r="H883" s="5">
        <f ca="1">PERCENTILE(D$2:D882,0.025)</f>
        <v>-2.6899296587926509</v>
      </c>
      <c r="I883" s="5">
        <f ca="1">PERCENTILE(D$2:D882,0.165)</f>
        <v>9.9751715831189358</v>
      </c>
      <c r="J883" s="5">
        <f ca="1">PERCENTILE(D$2:D882,0.5)</f>
        <v>49.875857915594679</v>
      </c>
      <c r="K883" s="5">
        <f ca="1">PERCENTILE(D$2:D882,0.835)</f>
        <v>236.37472442278249</v>
      </c>
      <c r="L883" s="5">
        <f ca="1">PERCENTILE(D$2:D882,0.975)</f>
        <v>1126.2493628467205</v>
      </c>
      <c r="M883" s="7">
        <f>AVERAGE(E$2:E882)</f>
        <v>1.2457777777777788</v>
      </c>
      <c r="N883" s="7">
        <f>PERCENTILE($E$2:$E882,0.025)</f>
        <v>-1.1000000000000001</v>
      </c>
      <c r="O883" s="7">
        <f>PERCENTILE($E$2:$E882,0.165)</f>
        <v>0</v>
      </c>
      <c r="P883" s="7">
        <f>PERCENTILE($E$2:$E882,0.5)</f>
        <v>1</v>
      </c>
      <c r="Q883" s="7">
        <f>PERCENTILE($E$2:$E882,0.835)</f>
        <v>3</v>
      </c>
      <c r="R883" s="7">
        <f>PERCENTILE($E$2:$E882,0.975)</f>
        <v>3</v>
      </c>
    </row>
    <row r="884" spans="1:18" x14ac:dyDescent="0.2">
      <c r="A884" s="5">
        <f>Data!E1077</f>
        <v>2013</v>
      </c>
      <c r="B884" s="5">
        <f>Data!M1077</f>
        <v>0.16153846153846152</v>
      </c>
      <c r="C884" s="5">
        <f>Data!N1077</f>
        <v>2.564102564102564E-2</v>
      </c>
      <c r="D884" s="5">
        <f ca="1">Data!O1077</f>
        <v>16.327961868311032</v>
      </c>
      <c r="E884" s="1">
        <f>Data!AQ1077</f>
        <v>3</v>
      </c>
      <c r="F884" t="str">
        <f t="shared" si="13"/>
        <v/>
      </c>
      <c r="G884" s="5">
        <f ca="1">AVERAGE(D$2:D883)</f>
        <v>186.26398533732205</v>
      </c>
      <c r="H884" s="5">
        <f ca="1">PERCENTILE(D$2:D883,0.025)</f>
        <v>-2.689182561210294</v>
      </c>
      <c r="I884" s="5">
        <f ca="1">PERCENTILE(D$2:D883,0.165)</f>
        <v>9.9751715831189358</v>
      </c>
      <c r="J884" s="5">
        <f ca="1">PERCENTILE(D$2:D883,0.5)</f>
        <v>49.796949572670599</v>
      </c>
      <c r="K884" s="5">
        <f ca="1">PERCENTILE(D$2:D883,0.835)</f>
        <v>236.31374380068291</v>
      </c>
      <c r="L884" s="5">
        <f ca="1">PERCENTILE(D$2:D883,0.975)</f>
        <v>1125.2820444686688</v>
      </c>
      <c r="M884" s="7">
        <f>AVERAGE(E$2:E883)</f>
        <v>1.2468238557558955</v>
      </c>
      <c r="N884" s="7">
        <f>PERCENTILE($E$2:$E883,0.025)</f>
        <v>-1.1000000000000001</v>
      </c>
      <c r="O884" s="7">
        <f>PERCENTILE($E$2:$E883,0.165)</f>
        <v>0</v>
      </c>
      <c r="P884" s="7">
        <f>PERCENTILE($E$2:$E883,0.5)</f>
        <v>1</v>
      </c>
      <c r="Q884" s="7">
        <f>PERCENTILE($E$2:$E883,0.835)</f>
        <v>3</v>
      </c>
      <c r="R884" s="7">
        <f>PERCENTILE($E$2:$E883,0.975)</f>
        <v>3</v>
      </c>
    </row>
    <row r="885" spans="1:18" x14ac:dyDescent="0.2">
      <c r="A885" s="5">
        <f>Data!E1078</f>
        <v>2013</v>
      </c>
      <c r="B885" s="5">
        <f>Data!M1078</f>
        <v>0.16153846153846152</v>
      </c>
      <c r="C885" s="5">
        <f>Data!N1078</f>
        <v>2.564102564102564E-2</v>
      </c>
      <c r="D885" s="5">
        <f ca="1">Data!O1078</f>
        <v>66.194440006666341</v>
      </c>
      <c r="E885" s="1">
        <f>Data!AQ1078</f>
        <v>0</v>
      </c>
      <c r="F885" t="str">
        <f t="shared" si="13"/>
        <v/>
      </c>
      <c r="G885" s="5">
        <f ca="1">AVERAGE(D$2:D884)</f>
        <v>186.07153230961083</v>
      </c>
      <c r="H885" s="5">
        <f ca="1">PERCENTILE(D$2:D884,0.025)</f>
        <v>-2.6884354636279375</v>
      </c>
      <c r="I885" s="5">
        <f ca="1">PERCENTILE(D$2:D884,0.165)</f>
        <v>9.9751715831189358</v>
      </c>
      <c r="J885" s="5">
        <f ca="1">PERCENTILE(D$2:D884,0.5)</f>
        <v>49.718041229746518</v>
      </c>
      <c r="K885" s="5">
        <f ca="1">PERCENTILE(D$2:D884,0.835)</f>
        <v>236.25276317858331</v>
      </c>
      <c r="L885" s="5">
        <f ca="1">PERCENTILE(D$2:D884,0.975)</f>
        <v>1124.314726090613</v>
      </c>
      <c r="M885" s="7">
        <f>AVERAGE(E$2:E884)</f>
        <v>1.2492520775623279</v>
      </c>
      <c r="N885" s="7">
        <f>PERCENTILE($E$2:$E884,0.025)</f>
        <v>-1.1000000000000001</v>
      </c>
      <c r="O885" s="7">
        <f>PERCENTILE($E$2:$E884,0.165)</f>
        <v>0</v>
      </c>
      <c r="P885" s="7">
        <f>PERCENTILE($E$2:$E884,0.5)</f>
        <v>1</v>
      </c>
      <c r="Q885" s="7">
        <f>PERCENTILE($E$2:$E884,0.835)</f>
        <v>3</v>
      </c>
      <c r="R885" s="7">
        <f>PERCENTILE($E$2:$E884,0.975)</f>
        <v>3</v>
      </c>
    </row>
    <row r="886" spans="1:18" x14ac:dyDescent="0.2">
      <c r="A886" s="5">
        <f>Data!E1079</f>
        <v>2013</v>
      </c>
      <c r="B886" s="5">
        <f>Data!M1079</f>
        <v>0.16153846153846152</v>
      </c>
      <c r="C886" s="5">
        <f>Data!N1079</f>
        <v>2.564102564102564E-2</v>
      </c>
      <c r="D886" s="5">
        <f ca="1">Data!O1079</f>
        <v>41.481849070844241</v>
      </c>
      <c r="E886" s="1">
        <f>Data!AQ1079</f>
        <v>1</v>
      </c>
      <c r="F886" t="str">
        <f t="shared" si="13"/>
        <v/>
      </c>
      <c r="G886" s="5">
        <f ca="1">AVERAGE(D$2:D885)</f>
        <v>185.93592473913239</v>
      </c>
      <c r="H886" s="5">
        <f ca="1">PERCENTILE(D$2:D885,0.025)</f>
        <v>-2.6876883660455806</v>
      </c>
      <c r="I886" s="5">
        <f ca="1">PERCENTILE(D$2:D885,0.165)</f>
        <v>9.9751715831189358</v>
      </c>
      <c r="J886" s="5">
        <f ca="1">PERCENTILE(D$2:D885,0.5)</f>
        <v>49.796949572670599</v>
      </c>
      <c r="K886" s="5">
        <f ca="1">PERCENTILE(D$2:D885,0.835)</f>
        <v>236.19178255648373</v>
      </c>
      <c r="L886" s="5">
        <f ca="1">PERCENTILE(D$2:D885,0.975)</f>
        <v>1123.3474077125613</v>
      </c>
      <c r="M886" s="7">
        <f>AVERAGE(E$2:E885)</f>
        <v>1.2475242047026289</v>
      </c>
      <c r="N886" s="7">
        <f>PERCENTILE($E$2:$E885,0.025)</f>
        <v>-1.1000000000000001</v>
      </c>
      <c r="O886" s="7">
        <f>PERCENTILE($E$2:$E885,0.165)</f>
        <v>0</v>
      </c>
      <c r="P886" s="7">
        <f>PERCENTILE($E$2:$E885,0.5)</f>
        <v>1</v>
      </c>
      <c r="Q886" s="7">
        <f>PERCENTILE($E$2:$E885,0.835)</f>
        <v>3</v>
      </c>
      <c r="R886" s="7">
        <f>PERCENTILE($E$2:$E885,0.975)</f>
        <v>3</v>
      </c>
    </row>
    <row r="887" spans="1:18" x14ac:dyDescent="0.2">
      <c r="A887" s="5">
        <f>Data!E1080</f>
        <v>2013</v>
      </c>
      <c r="B887" s="5">
        <f>Data!M1080</f>
        <v>0.16153846153846152</v>
      </c>
      <c r="C887" s="5">
        <f>Data!N1080</f>
        <v>2.564102564102564E-2</v>
      </c>
      <c r="D887" s="5">
        <f ca="1">Data!O1080</f>
        <v>20.740924535422121</v>
      </c>
      <c r="E887" s="1">
        <f>Data!AQ1080</f>
        <v>2</v>
      </c>
      <c r="F887" t="str">
        <f t="shared" si="13"/>
        <v/>
      </c>
      <c r="G887" s="5">
        <f ca="1">AVERAGE(D$2:D886)</f>
        <v>185.77269979487443</v>
      </c>
      <c r="H887" s="5">
        <f ca="1">PERCENTILE(D$2:D886,0.025)</f>
        <v>-2.6869412684632241</v>
      </c>
      <c r="I887" s="5">
        <f ca="1">PERCENTILE(D$2:D886,0.165)</f>
        <v>9.9751715831189358</v>
      </c>
      <c r="J887" s="5">
        <f ca="1">PERCENTILE(D$2:D886,0.5)</f>
        <v>49.718041229746518</v>
      </c>
      <c r="K887" s="5">
        <f ca="1">PERCENTILE(D$2:D886,0.835)</f>
        <v>236.13080193438415</v>
      </c>
      <c r="L887" s="5">
        <f ca="1">PERCENTILE(D$2:D886,0.975)</f>
        <v>1122.3800893345096</v>
      </c>
      <c r="M887" s="7">
        <f>AVERAGE(E$2:E886)</f>
        <v>1.2471823204419898</v>
      </c>
      <c r="N887" s="7">
        <f>PERCENTILE($E$2:$E886,0.025)</f>
        <v>-1.1000000000000001</v>
      </c>
      <c r="O887" s="7">
        <f>PERCENTILE($E$2:$E886,0.165)</f>
        <v>0</v>
      </c>
      <c r="P887" s="7">
        <f>PERCENTILE($E$2:$E886,0.5)</f>
        <v>1</v>
      </c>
      <c r="Q887" s="7">
        <f>PERCENTILE($E$2:$E886,0.835)</f>
        <v>3</v>
      </c>
      <c r="R887" s="7">
        <f>PERCENTILE($E$2:$E886,0.975)</f>
        <v>3</v>
      </c>
    </row>
    <row r="888" spans="1:18" x14ac:dyDescent="0.2">
      <c r="A888" s="5">
        <f>Data!E1081</f>
        <v>2013</v>
      </c>
      <c r="B888" s="5">
        <f>Data!M1081</f>
        <v>0.16153846153846152</v>
      </c>
      <c r="C888" s="5">
        <f>Data!N1081</f>
        <v>2.564102564102564E-2</v>
      </c>
      <c r="D888" s="5">
        <f ca="1">Data!O1081</f>
        <v>12.35629546791105</v>
      </c>
      <c r="E888" s="1">
        <f>Data!AQ1081</f>
        <v>3</v>
      </c>
      <c r="F888" t="str">
        <f t="shared" si="13"/>
        <v/>
      </c>
      <c r="G888" s="5">
        <f ca="1">AVERAGE(D$2:D887)</f>
        <v>185.58643368284345</v>
      </c>
      <c r="H888" s="5">
        <f ca="1">PERCENTILE(D$2:D887,0.025)</f>
        <v>-2.6861941708808672</v>
      </c>
      <c r="I888" s="5">
        <f ca="1">PERCENTILE(D$2:D887,0.165)</f>
        <v>9.9751715831189358</v>
      </c>
      <c r="J888" s="5">
        <f ca="1">PERCENTILE(D$2:D887,0.5)</f>
        <v>49.718041229746518</v>
      </c>
      <c r="K888" s="5">
        <f ca="1">PERCENTILE(D$2:D887,0.835)</f>
        <v>236.07708428046945</v>
      </c>
      <c r="L888" s="5">
        <f ca="1">PERCENTILE(D$2:D887,0.975)</f>
        <v>1121.4127709564582</v>
      </c>
      <c r="M888" s="7">
        <f>AVERAGE(E$2:E887)</f>
        <v>1.2482206896551733</v>
      </c>
      <c r="N888" s="7">
        <f>PERCENTILE($E$2:$E887,0.025)</f>
        <v>-1.1000000000000001</v>
      </c>
      <c r="O888" s="7">
        <f>PERCENTILE($E$2:$E887,0.165)</f>
        <v>0</v>
      </c>
      <c r="P888" s="7">
        <f>PERCENTILE($E$2:$E887,0.5)</f>
        <v>1</v>
      </c>
      <c r="Q888" s="7">
        <f>PERCENTILE($E$2:$E887,0.835)</f>
        <v>3</v>
      </c>
      <c r="R888" s="7">
        <f>PERCENTILE($E$2:$E887,0.975)</f>
        <v>3</v>
      </c>
    </row>
    <row r="889" spans="1:18" x14ac:dyDescent="0.2">
      <c r="A889" s="5">
        <f>Data!E1082</f>
        <v>2013</v>
      </c>
      <c r="B889" s="5">
        <f>Data!M1082</f>
        <v>0.40769230769230769</v>
      </c>
      <c r="C889" s="5">
        <f>Data!N1082</f>
        <v>7.6923076923076927E-2</v>
      </c>
      <c r="D889" s="5">
        <f ca="1">Data!O1082</f>
        <v>77.872023894622671</v>
      </c>
      <c r="E889" s="1" t="str">
        <f>Data!AQ1082</f>
        <v>NA</v>
      </c>
      <c r="F889" t="str">
        <f t="shared" si="13"/>
        <v/>
      </c>
      <c r="G889" s="5">
        <f ca="1">AVERAGE(D$2:D888)</f>
        <v>185.39113476715582</v>
      </c>
      <c r="H889" s="5">
        <f ca="1">PERCENTILE(D$2:D888,0.025)</f>
        <v>-2.6854470732985107</v>
      </c>
      <c r="I889" s="5">
        <f ca="1">PERCENTILE(D$2:D888,0.165)</f>
        <v>9.9751715831189358</v>
      </c>
      <c r="J889" s="5">
        <f ca="1">PERCENTILE(D$2:D888,0.5)</f>
        <v>49.718041229746518</v>
      </c>
      <c r="K889" s="5">
        <f ca="1">PERCENTILE(D$2:D888,0.835)</f>
        <v>236.06403924838997</v>
      </c>
      <c r="L889" s="5">
        <f ca="1">PERCENTILE(D$2:D888,0.975)</f>
        <v>1120.4454525784065</v>
      </c>
      <c r="M889" s="7">
        <f>AVERAGE(E$2:E888)</f>
        <v>1.250633608815428</v>
      </c>
      <c r="N889" s="7">
        <f>PERCENTILE($E$2:$E888,0.025)</f>
        <v>-1.1000000000000001</v>
      </c>
      <c r="O889" s="7">
        <f>PERCENTILE($E$2:$E888,0.165)</f>
        <v>0</v>
      </c>
      <c r="P889" s="7">
        <f>PERCENTILE($E$2:$E888,0.5)</f>
        <v>1</v>
      </c>
      <c r="Q889" s="7">
        <f>PERCENTILE($E$2:$E888,0.835)</f>
        <v>3</v>
      </c>
      <c r="R889" s="7">
        <f>PERCENTILE($E$2:$E888,0.975)</f>
        <v>3</v>
      </c>
    </row>
    <row r="890" spans="1:18" x14ac:dyDescent="0.2">
      <c r="A890" s="5">
        <f>Data!E1083</f>
        <v>2013</v>
      </c>
      <c r="B890" s="5">
        <f>Data!M1083</f>
        <v>0.40769230769230769</v>
      </c>
      <c r="C890" s="5">
        <f>Data!N1083</f>
        <v>7.6923076923076927E-2</v>
      </c>
      <c r="D890" s="5">
        <f ca="1">Data!O1083</f>
        <v>77.385323745281283</v>
      </c>
      <c r="E890" s="1" t="str">
        <f>Data!AQ1083</f>
        <v>NA</v>
      </c>
      <c r="F890" t="str">
        <f t="shared" si="13"/>
        <v/>
      </c>
      <c r="G890" s="5">
        <f ca="1">AVERAGE(D$2:D889)</f>
        <v>185.27005468734441</v>
      </c>
      <c r="H890" s="5">
        <f ca="1">PERCENTILE(D$2:D889,0.025)</f>
        <v>-2.6846999757161538</v>
      </c>
      <c r="I890" s="5">
        <f ca="1">PERCENTILE(D$2:D889,0.165)</f>
        <v>9.9751715831189358</v>
      </c>
      <c r="J890" s="5">
        <f ca="1">PERCENTILE(D$2:D889,0.5)</f>
        <v>49.718041229746518</v>
      </c>
      <c r="K890" s="5">
        <f ca="1">PERCENTILE(D$2:D889,0.835)</f>
        <v>236.05099421631056</v>
      </c>
      <c r="L890" s="5">
        <f ca="1">PERCENTILE(D$2:D889,0.975)</f>
        <v>1119.4781342003505</v>
      </c>
      <c r="M890" s="7">
        <f>AVERAGE(E$2:E889)</f>
        <v>1.250633608815428</v>
      </c>
      <c r="N890" s="7">
        <f>PERCENTILE($E$2:$E889,0.025)</f>
        <v>-1.1000000000000001</v>
      </c>
      <c r="O890" s="7">
        <f>PERCENTILE($E$2:$E889,0.165)</f>
        <v>0</v>
      </c>
      <c r="P890" s="7">
        <f>PERCENTILE($E$2:$E889,0.5)</f>
        <v>1</v>
      </c>
      <c r="Q890" s="7">
        <f>PERCENTILE($E$2:$E889,0.835)</f>
        <v>3</v>
      </c>
      <c r="R890" s="7">
        <f>PERCENTILE($E$2:$E889,0.975)</f>
        <v>3</v>
      </c>
    </row>
    <row r="891" spans="1:18" x14ac:dyDescent="0.2">
      <c r="A891" s="5">
        <f>Data!E1084</f>
        <v>2013</v>
      </c>
      <c r="B891" s="5">
        <f>Data!M1084</f>
        <v>0.40769230769230769</v>
      </c>
      <c r="C891" s="5">
        <f>Data!N1084</f>
        <v>7.6923076923076927E-2</v>
      </c>
      <c r="D891" s="5">
        <f ca="1">Data!O1084</f>
        <v>92.473028374864427</v>
      </c>
      <c r="E891" s="1" t="str">
        <f>Data!AQ1084</f>
        <v>NA</v>
      </c>
      <c r="F891" t="str">
        <f t="shared" si="13"/>
        <v/>
      </c>
      <c r="G891" s="5">
        <f ca="1">AVERAGE(D$2:D890)</f>
        <v>185.14869953442872</v>
      </c>
      <c r="H891" s="5">
        <f ca="1">PERCENTILE(D$2:D890,0.025)</f>
        <v>-2.6839528781337973</v>
      </c>
      <c r="I891" s="5">
        <f ca="1">PERCENTILE(D$2:D890,0.165)</f>
        <v>9.9751715831189358</v>
      </c>
      <c r="J891" s="5">
        <f ca="1">PERCENTILE(D$2:D890,0.5)</f>
        <v>49.718041229746518</v>
      </c>
      <c r="K891" s="5">
        <f ca="1">PERCENTILE(D$2:D890,0.835)</f>
        <v>236.03794918423111</v>
      </c>
      <c r="L891" s="5">
        <f ca="1">PERCENTILE(D$2:D890,0.975)</f>
        <v>1118.510815822299</v>
      </c>
      <c r="M891" s="7">
        <f>AVERAGE(E$2:E890)</f>
        <v>1.250633608815428</v>
      </c>
      <c r="N891" s="7">
        <f>PERCENTILE($E$2:$E890,0.025)</f>
        <v>-1.1000000000000001</v>
      </c>
      <c r="O891" s="7">
        <f>PERCENTILE($E$2:$E890,0.165)</f>
        <v>0</v>
      </c>
      <c r="P891" s="7">
        <f>PERCENTILE($E$2:$E890,0.5)</f>
        <v>1</v>
      </c>
      <c r="Q891" s="7">
        <f>PERCENTILE($E$2:$E890,0.835)</f>
        <v>3</v>
      </c>
      <c r="R891" s="7">
        <f>PERCENTILE($E$2:$E890,0.975)</f>
        <v>3</v>
      </c>
    </row>
    <row r="892" spans="1:18" x14ac:dyDescent="0.2">
      <c r="A892" s="5">
        <f>Data!E1085</f>
        <v>2013</v>
      </c>
      <c r="B892" s="5">
        <f>Data!M1085</f>
        <v>0.40769230769230769</v>
      </c>
      <c r="C892" s="5">
        <f>Data!N1085</f>
        <v>7.6923076923076927E-2</v>
      </c>
      <c r="D892" s="5">
        <f ca="1">Data!O1085</f>
        <v>103.66713180971644</v>
      </c>
      <c r="E892" s="1" t="str">
        <f>Data!AQ1085</f>
        <v>NA</v>
      </c>
      <c r="F892" t="str">
        <f t="shared" si="13"/>
        <v/>
      </c>
      <c r="G892" s="5">
        <f ca="1">AVERAGE(D$2:D891)</f>
        <v>185.0445695668337</v>
      </c>
      <c r="H892" s="5">
        <f ca="1">PERCENTILE(D$2:D891,0.025)</f>
        <v>-2.6832057805514404</v>
      </c>
      <c r="I892" s="5">
        <f ca="1">PERCENTILE(D$2:D891,0.165)</f>
        <v>9.9751715831189358</v>
      </c>
      <c r="J892" s="5">
        <f ca="1">PERCENTILE(D$2:D891,0.5)</f>
        <v>49.796949572670599</v>
      </c>
      <c r="K892" s="5">
        <f ca="1">PERCENTILE(D$2:D891,0.835)</f>
        <v>236.02490415215166</v>
      </c>
      <c r="L892" s="5">
        <f ca="1">PERCENTILE(D$2:D891,0.975)</f>
        <v>1117.5434974442474</v>
      </c>
      <c r="M892" s="7">
        <f>AVERAGE(E$2:E891)</f>
        <v>1.250633608815428</v>
      </c>
      <c r="N892" s="7">
        <f>PERCENTILE($E$2:$E891,0.025)</f>
        <v>-1.1000000000000001</v>
      </c>
      <c r="O892" s="7">
        <f>PERCENTILE($E$2:$E891,0.165)</f>
        <v>0</v>
      </c>
      <c r="P892" s="7">
        <f>PERCENTILE($E$2:$E891,0.5)</f>
        <v>1</v>
      </c>
      <c r="Q892" s="7">
        <f>PERCENTILE($E$2:$E891,0.835)</f>
        <v>3</v>
      </c>
      <c r="R892" s="7">
        <f>PERCENTILE($E$2:$E891,0.975)</f>
        <v>3</v>
      </c>
    </row>
    <row r="893" spans="1:18" x14ac:dyDescent="0.2">
      <c r="A893" s="5">
        <f>Data!E1086</f>
        <v>2013</v>
      </c>
      <c r="B893" s="5">
        <f>Data!M1086</f>
        <v>0.40769230769230769</v>
      </c>
      <c r="C893" s="5">
        <f>Data!N1086</f>
        <v>7.6923076923076927E-2</v>
      </c>
      <c r="D893" s="5">
        <f ca="1">Data!O1086</f>
        <v>95.879929420254157</v>
      </c>
      <c r="E893" s="1" t="str">
        <f>Data!AQ1086</f>
        <v>NA</v>
      </c>
      <c r="F893" t="str">
        <f t="shared" si="13"/>
        <v/>
      </c>
      <c r="G893" s="5">
        <f ca="1">AVERAGE(D$2:D892)</f>
        <v>184.95323686452494</v>
      </c>
      <c r="H893" s="5">
        <f ca="1">PERCENTILE(D$2:D892,0.025)</f>
        <v>-2.682458682969084</v>
      </c>
      <c r="I893" s="5">
        <f ca="1">PERCENTILE(D$2:D892,0.165)</f>
        <v>9.9751715831189358</v>
      </c>
      <c r="J893" s="5">
        <f ca="1">PERCENTILE(D$2:D892,0.5)</f>
        <v>49.875857915594679</v>
      </c>
      <c r="K893" s="5">
        <f ca="1">PERCENTILE(D$2:D892,0.835)</f>
        <v>236.01185912007222</v>
      </c>
      <c r="L893" s="5">
        <f ca="1">PERCENTILE(D$2:D892,0.975)</f>
        <v>1116.5761790661959</v>
      </c>
      <c r="M893" s="7">
        <f>AVERAGE(E$2:E892)</f>
        <v>1.250633608815428</v>
      </c>
      <c r="N893" s="7">
        <f>PERCENTILE($E$2:$E892,0.025)</f>
        <v>-1.1000000000000001</v>
      </c>
      <c r="O893" s="7">
        <f>PERCENTILE($E$2:$E892,0.165)</f>
        <v>0</v>
      </c>
      <c r="P893" s="7">
        <f>PERCENTILE($E$2:$E892,0.5)</f>
        <v>1</v>
      </c>
      <c r="Q893" s="7">
        <f>PERCENTILE($E$2:$E892,0.835)</f>
        <v>3</v>
      </c>
      <c r="R893" s="7">
        <f>PERCENTILE($E$2:$E892,0.975)</f>
        <v>3</v>
      </c>
    </row>
    <row r="894" spans="1:18" x14ac:dyDescent="0.2">
      <c r="A894" s="5">
        <f>Data!E1087</f>
        <v>2013</v>
      </c>
      <c r="B894" s="5">
        <f>Data!M1087</f>
        <v>1.6307692307692307</v>
      </c>
      <c r="C894" s="5">
        <f>Data!N1087</f>
        <v>0.30769230769230771</v>
      </c>
      <c r="D894" s="5">
        <f ca="1">Data!O1087</f>
        <v>153.31054704253839</v>
      </c>
      <c r="E894" s="1" t="str">
        <f>Data!AQ1087</f>
        <v>NA</v>
      </c>
      <c r="F894" t="str">
        <f t="shared" si="13"/>
        <v/>
      </c>
      <c r="G894" s="5">
        <f ca="1">AVERAGE(D$2:D893)</f>
        <v>184.85337889653806</v>
      </c>
      <c r="H894" s="5">
        <f ca="1">PERCENTILE(D$2:D893,0.025)</f>
        <v>-2.681711585386727</v>
      </c>
      <c r="I894" s="5">
        <f ca="1">PERCENTILE(D$2:D893,0.165)</f>
        <v>9.9751715831189358</v>
      </c>
      <c r="J894" s="5">
        <f ca="1">PERCENTILE(D$2:D893,0.5)</f>
        <v>50.128373040135656</v>
      </c>
      <c r="K894" s="5">
        <f ca="1">PERCENTILE(D$2:D893,0.835)</f>
        <v>235.89887598566318</v>
      </c>
      <c r="L894" s="5">
        <f ca="1">PERCENTILE(D$2:D893,0.975)</f>
        <v>1115.6088606881442</v>
      </c>
      <c r="M894" s="7">
        <f>AVERAGE(E$2:E893)</f>
        <v>1.250633608815428</v>
      </c>
      <c r="N894" s="7">
        <f>PERCENTILE($E$2:$E893,0.025)</f>
        <v>-1.1000000000000001</v>
      </c>
      <c r="O894" s="7">
        <f>PERCENTILE($E$2:$E893,0.165)</f>
        <v>0</v>
      </c>
      <c r="P894" s="7">
        <f>PERCENTILE($E$2:$E893,0.5)</f>
        <v>1</v>
      </c>
      <c r="Q894" s="7">
        <f>PERCENTILE($E$2:$E893,0.835)</f>
        <v>3</v>
      </c>
      <c r="R894" s="7">
        <f>PERCENTILE($E$2:$E893,0.975)</f>
        <v>3</v>
      </c>
    </row>
    <row r="895" spans="1:18" x14ac:dyDescent="0.2">
      <c r="A895" s="5">
        <f>Data!E1088</f>
        <v>2013</v>
      </c>
      <c r="B895" s="5">
        <f>Data!M1088</f>
        <v>0.40769230769230769</v>
      </c>
      <c r="C895" s="5">
        <f>Data!N1088</f>
        <v>7.6923076923076927E-2</v>
      </c>
      <c r="D895" s="5">
        <f ca="1">Data!O1088</f>
        <v>1537.9724719187977</v>
      </c>
      <c r="E895" s="1">
        <f>Data!AQ1088</f>
        <v>0.1</v>
      </c>
      <c r="F895" t="str">
        <f t="shared" si="13"/>
        <v/>
      </c>
      <c r="G895" s="5">
        <f ca="1">AVERAGE(D$2:D894)</f>
        <v>184.81805657643281</v>
      </c>
      <c r="H895" s="5">
        <f ca="1">PERCENTILE(D$2:D894,0.025)</f>
        <v>-2.6809644878043706</v>
      </c>
      <c r="I895" s="5">
        <f ca="1">PERCENTILE(D$2:D894,0.165)</f>
        <v>9.9751715831189358</v>
      </c>
      <c r="J895" s="5">
        <f ca="1">PERCENTILE(D$2:D894,0.5)</f>
        <v>50.380888164676627</v>
      </c>
      <c r="K895" s="5">
        <f ca="1">PERCENTILE(D$2:D894,0.835)</f>
        <v>234.78651182795656</v>
      </c>
      <c r="L895" s="5">
        <f ca="1">PERCENTILE(D$2:D894,0.975)</f>
        <v>1114.6415423100882</v>
      </c>
      <c r="M895" s="7">
        <f>AVERAGE(E$2:E894)</f>
        <v>1.250633608815428</v>
      </c>
      <c r="N895" s="7">
        <f>PERCENTILE($E$2:$E894,0.025)</f>
        <v>-1.1000000000000001</v>
      </c>
      <c r="O895" s="7">
        <f>PERCENTILE($E$2:$E894,0.165)</f>
        <v>0</v>
      </c>
      <c r="P895" s="7">
        <f>PERCENTILE($E$2:$E894,0.5)</f>
        <v>1</v>
      </c>
      <c r="Q895" s="7">
        <f>PERCENTILE($E$2:$E894,0.835)</f>
        <v>3</v>
      </c>
      <c r="R895" s="7">
        <f>PERCENTILE($E$2:$E894,0.975)</f>
        <v>3</v>
      </c>
    </row>
    <row r="896" spans="1:18" x14ac:dyDescent="0.2">
      <c r="A896" s="5">
        <f>Data!E1089</f>
        <v>2013</v>
      </c>
      <c r="B896" s="5">
        <f>Data!M1089</f>
        <v>0.40769230769230769</v>
      </c>
      <c r="C896" s="5">
        <f>Data!N1089</f>
        <v>7.6923076923076927E-2</v>
      </c>
      <c r="D896" s="5">
        <f ca="1">Data!O1089</f>
        <v>236.04957243057498</v>
      </c>
      <c r="E896" s="1">
        <f>Data!AQ1089</f>
        <v>1</v>
      </c>
      <c r="F896" t="str">
        <f t="shared" si="13"/>
        <v/>
      </c>
      <c r="G896" s="5">
        <f ca="1">AVERAGE(D$2:D895)</f>
        <v>186.33165211932138</v>
      </c>
      <c r="H896" s="5">
        <f ca="1">PERCENTILE(D$2:D895,0.025)</f>
        <v>-2.6802173902220137</v>
      </c>
      <c r="I896" s="5">
        <f ca="1">PERCENTILE(D$2:D895,0.165)</f>
        <v>9.9751715831189358</v>
      </c>
      <c r="J896" s="5">
        <f ca="1">PERCENTILE(D$2:D895,0.5)</f>
        <v>50.567360960021432</v>
      </c>
      <c r="K896" s="5">
        <f ca="1">PERCENTILE(D$2:D895,0.835)</f>
        <v>236.05178482431535</v>
      </c>
      <c r="L896" s="5">
        <f ca="1">PERCENTILE(D$2:D895,0.975)</f>
        <v>1175.4666886043212</v>
      </c>
      <c r="M896" s="7">
        <f>AVERAGE(E$2:E895)</f>
        <v>1.2490508940852829</v>
      </c>
      <c r="N896" s="7">
        <f>PERCENTILE($E$2:$E895,0.025)</f>
        <v>-1.1000000000000001</v>
      </c>
      <c r="O896" s="7">
        <f>PERCENTILE($E$2:$E895,0.165)</f>
        <v>0</v>
      </c>
      <c r="P896" s="7">
        <f>PERCENTILE($E$2:$E895,0.5)</f>
        <v>1</v>
      </c>
      <c r="Q896" s="7">
        <f>PERCENTILE($E$2:$E895,0.835)</f>
        <v>3</v>
      </c>
      <c r="R896" s="7">
        <f>PERCENTILE($E$2:$E895,0.975)</f>
        <v>3</v>
      </c>
    </row>
    <row r="897" spans="1:18" x14ac:dyDescent="0.2">
      <c r="A897" s="5">
        <f>Data!E1090</f>
        <v>2013</v>
      </c>
      <c r="B897" s="5">
        <f>Data!M1090</f>
        <v>0.40769230769230769</v>
      </c>
      <c r="C897" s="5">
        <f>Data!N1090</f>
        <v>7.6923076923076927E-2</v>
      </c>
      <c r="D897" s="5">
        <f ca="1">Data!O1090</f>
        <v>107.56073300444758</v>
      </c>
      <c r="E897" s="1">
        <f>Data!AQ1090</f>
        <v>2</v>
      </c>
      <c r="F897" t="str">
        <f t="shared" si="13"/>
        <v/>
      </c>
      <c r="G897" s="5">
        <f ca="1">AVERAGE(D$2:D896)</f>
        <v>186.38720286827248</v>
      </c>
      <c r="H897" s="5">
        <f ca="1">PERCENTILE(D$2:D896,0.025)</f>
        <v>-2.6794702926396572</v>
      </c>
      <c r="I897" s="5">
        <f ca="1">PERCENTILE(D$2:D896,0.165)</f>
        <v>9.9751715831189358</v>
      </c>
      <c r="J897" s="5">
        <f ca="1">PERCENTILE(D$2:D896,0.5)</f>
        <v>50.75383375536623</v>
      </c>
      <c r="K897" s="5">
        <f ca="1">PERCENTILE(D$2:D896,0.835)</f>
        <v>236.06402173182917</v>
      </c>
      <c r="L897" s="5">
        <f ca="1">PERCENTILE(D$2:D896,0.975)</f>
        <v>1173.6438246873745</v>
      </c>
      <c r="M897" s="7">
        <f>AVERAGE(E$2:E896)</f>
        <v>1.2487087912087922</v>
      </c>
      <c r="N897" s="7">
        <f>PERCENTILE($E$2:$E896,0.025)</f>
        <v>-1.1000000000000001</v>
      </c>
      <c r="O897" s="7">
        <f>PERCENTILE($E$2:$E896,0.165)</f>
        <v>0</v>
      </c>
      <c r="P897" s="7">
        <f>PERCENTILE($E$2:$E896,0.5)</f>
        <v>1</v>
      </c>
      <c r="Q897" s="7">
        <f>PERCENTILE($E$2:$E896,0.835)</f>
        <v>3</v>
      </c>
      <c r="R897" s="7">
        <f>PERCENTILE($E$2:$E896,0.975)</f>
        <v>3</v>
      </c>
    </row>
    <row r="898" spans="1:18" x14ac:dyDescent="0.2">
      <c r="A898" s="5">
        <f>Data!E1091</f>
        <v>2013</v>
      </c>
      <c r="B898" s="5">
        <f>Data!M1091</f>
        <v>0.40769230769230769</v>
      </c>
      <c r="C898" s="5">
        <f>Data!N1091</f>
        <v>7.6923076923076927E-2</v>
      </c>
      <c r="D898" s="5">
        <f ca="1">Data!O1091</f>
        <v>63.271019414380916</v>
      </c>
      <c r="E898" s="1">
        <f>Data!AQ1091</f>
        <v>3</v>
      </c>
      <c r="F898" t="str">
        <f t="shared" si="13"/>
        <v/>
      </c>
      <c r="G898" s="5">
        <f ca="1">AVERAGE(D$2:D897)</f>
        <v>186.29922689744234</v>
      </c>
      <c r="H898" s="5">
        <f ca="1">PERCENTILE(D$2:D897,0.025)</f>
        <v>-2.6787231950573007</v>
      </c>
      <c r="I898" s="5">
        <f ca="1">PERCENTILE(D$2:D897,0.165)</f>
        <v>9.9751715831189358</v>
      </c>
      <c r="J898" s="5">
        <f ca="1">PERCENTILE(D$2:D897,0.5)</f>
        <v>50.75383375536623</v>
      </c>
      <c r="K898" s="5">
        <f ca="1">PERCENTILE(D$2:D897,0.835)</f>
        <v>236.05915615079459</v>
      </c>
      <c r="L898" s="5">
        <f ca="1">PERCENTILE(D$2:D897,0.975)</f>
        <v>1171.820960770428</v>
      </c>
      <c r="M898" s="7">
        <f>AVERAGE(E$2:E897)</f>
        <v>1.2497393689986294</v>
      </c>
      <c r="N898" s="7">
        <f>PERCENTILE($E$2:$E897,0.025)</f>
        <v>-1.1000000000000001</v>
      </c>
      <c r="O898" s="7">
        <f>PERCENTILE($E$2:$E897,0.165)</f>
        <v>0</v>
      </c>
      <c r="P898" s="7">
        <f>PERCENTILE($E$2:$E897,0.5)</f>
        <v>1</v>
      </c>
      <c r="Q898" s="7">
        <f>PERCENTILE($E$2:$E897,0.835)</f>
        <v>3</v>
      </c>
      <c r="R898" s="7">
        <f>PERCENTILE($E$2:$E897,0.975)</f>
        <v>3</v>
      </c>
    </row>
    <row r="899" spans="1:18" x14ac:dyDescent="0.2">
      <c r="A899" s="5">
        <f>Data!E804</f>
        <v>2014</v>
      </c>
      <c r="B899" s="5">
        <f>Data!M804</f>
        <v>0.22857142857142856</v>
      </c>
      <c r="C899" s="5">
        <f>Data!N804</f>
        <v>3.5714285714285712E-2</v>
      </c>
      <c r="D899" s="5">
        <f ca="1">Data!O804</f>
        <v>25</v>
      </c>
      <c r="E899" s="1">
        <f>Data!AQ804</f>
        <v>1.5</v>
      </c>
      <c r="F899">
        <f t="shared" si="13"/>
        <v>2014</v>
      </c>
      <c r="G899" s="5">
        <f ca="1">AVERAGE(D$2:D898)</f>
        <v>186.16207170515352</v>
      </c>
      <c r="H899" s="5">
        <f ca="1">PERCENTILE(D$2:D898,0.025)</f>
        <v>-2.6779760974749438</v>
      </c>
      <c r="I899" s="5">
        <f ca="1">PERCENTILE(D$2:D898,0.165)</f>
        <v>9.9751715831189358</v>
      </c>
      <c r="J899" s="5">
        <f ca="1">PERCENTILE(D$2:D898,0.5)</f>
        <v>50.75383375536623</v>
      </c>
      <c r="K899" s="5">
        <f ca="1">PERCENTILE(D$2:D898,0.835)</f>
        <v>236.05429056976001</v>
      </c>
      <c r="L899" s="5">
        <f ca="1">PERCENTILE(D$2:D898,0.975)</f>
        <v>1169.9980968534812</v>
      </c>
      <c r="M899" s="7">
        <f>AVERAGE(E$2:E898)</f>
        <v>1.2521369863013709</v>
      </c>
      <c r="N899" s="7">
        <f>PERCENTILE($E$2:$E898,0.025)</f>
        <v>-1.1000000000000001</v>
      </c>
      <c r="O899" s="7">
        <f>PERCENTILE($E$2:$E898,0.165)</f>
        <v>0</v>
      </c>
      <c r="P899" s="7">
        <f>PERCENTILE($E$2:$E898,0.5)</f>
        <v>1</v>
      </c>
      <c r="Q899" s="7">
        <f>PERCENTILE($E$2:$E898,0.835)</f>
        <v>3</v>
      </c>
      <c r="R899" s="7">
        <f>PERCENTILE($E$2:$E898,0.975)</f>
        <v>3</v>
      </c>
    </row>
    <row r="900" spans="1:18" x14ac:dyDescent="0.2">
      <c r="A900" s="5">
        <f>Data!E805</f>
        <v>2014</v>
      </c>
      <c r="B900" s="5">
        <f>Data!M805</f>
        <v>0.22857142857142856</v>
      </c>
      <c r="C900" s="5">
        <f>Data!N805</f>
        <v>3.5714285714285712E-2</v>
      </c>
      <c r="D900" s="5">
        <f ca="1">Data!O805</f>
        <v>95</v>
      </c>
      <c r="E900" s="1">
        <f>Data!AQ805</f>
        <v>0.1</v>
      </c>
      <c r="F900" t="str">
        <f t="shared" si="13"/>
        <v/>
      </c>
      <c r="G900" s="5">
        <f ca="1">AVERAGE(D$2:D899)</f>
        <v>185.98260391929034</v>
      </c>
      <c r="H900" s="5">
        <f ca="1">PERCENTILE(D$2:D899,0.025)</f>
        <v>-2.6772289998925869</v>
      </c>
      <c r="I900" s="5">
        <f ca="1">PERCENTILE(D$2:D899,0.165)</f>
        <v>9.9752957252033418</v>
      </c>
      <c r="J900" s="5">
        <f ca="1">PERCENTILE(D$2:D899,0.5)</f>
        <v>50.75383375536623</v>
      </c>
      <c r="K900" s="5">
        <f ca="1">PERCENTILE(D$2:D899,0.835)</f>
        <v>236.04932456842212</v>
      </c>
      <c r="L900" s="5">
        <f ca="1">PERCENTILE(D$2:D899,0.975)</f>
        <v>1168.1752329365263</v>
      </c>
      <c r="M900" s="7">
        <f>AVERAGE(E$2:E899)</f>
        <v>1.2524760601915195</v>
      </c>
      <c r="N900" s="7">
        <f>PERCENTILE($E$2:$E899,0.025)</f>
        <v>-1.1000000000000001</v>
      </c>
      <c r="O900" s="7">
        <f>PERCENTILE($E$2:$E899,0.165)</f>
        <v>0</v>
      </c>
      <c r="P900" s="7">
        <f>PERCENTILE($E$2:$E899,0.5)</f>
        <v>1</v>
      </c>
      <c r="Q900" s="7">
        <f>PERCENTILE($E$2:$E899,0.835)</f>
        <v>3</v>
      </c>
      <c r="R900" s="7">
        <f>PERCENTILE($E$2:$E899,0.975)</f>
        <v>3</v>
      </c>
    </row>
    <row r="901" spans="1:18" x14ac:dyDescent="0.2">
      <c r="A901" s="5">
        <f>Data!E806</f>
        <v>2014</v>
      </c>
      <c r="B901" s="5">
        <f>Data!M806</f>
        <v>0.22857142857142856</v>
      </c>
      <c r="C901" s="5">
        <f>Data!N806</f>
        <v>3.5714285714285712E-2</v>
      </c>
      <c r="D901" s="5">
        <f ca="1">Data!O806</f>
        <v>29.3</v>
      </c>
      <c r="E901" s="1">
        <f>Data!AQ806</f>
        <v>1.5</v>
      </c>
      <c r="F901" t="str">
        <f t="shared" ref="F901:F908" si="14">IF(A901&lt;&gt;A900,A901,"")</f>
        <v/>
      </c>
      <c r="G901" s="5">
        <f ca="1">AVERAGE(D$2:D900)</f>
        <v>185.88139968801192</v>
      </c>
      <c r="H901" s="5">
        <f ca="1">PERCENTILE(D$2:D900,0.025)</f>
        <v>-2.6764819023102304</v>
      </c>
      <c r="I901" s="5">
        <f ca="1">PERCENTILE(D$2:D900,0.165)</f>
        <v>9.9793924139887178</v>
      </c>
      <c r="J901" s="5">
        <f ca="1">PERCENTILE(D$2:D900,0.5)</f>
        <v>50.75383375536623</v>
      </c>
      <c r="K901" s="5">
        <f ca="1">PERCENTILE(D$2:D900,0.835)</f>
        <v>236.04114511737723</v>
      </c>
      <c r="L901" s="5">
        <f ca="1">PERCENTILE(D$2:D900,0.975)</f>
        <v>1166.3523690195798</v>
      </c>
      <c r="M901" s="7">
        <f>AVERAGE(E$2:E900)</f>
        <v>1.2509016393442633</v>
      </c>
      <c r="N901" s="7">
        <f>PERCENTILE($E$2:$E900,0.025)</f>
        <v>-1.1000000000000001</v>
      </c>
      <c r="O901" s="7">
        <f>PERCENTILE($E$2:$E900,0.165)</f>
        <v>0</v>
      </c>
      <c r="P901" s="7">
        <f>PERCENTILE($E$2:$E900,0.5)</f>
        <v>1</v>
      </c>
      <c r="Q901" s="7">
        <f>PERCENTILE($E$2:$E900,0.835)</f>
        <v>3</v>
      </c>
      <c r="R901" s="7">
        <f>PERCENTILE($E$2:$E900,0.975)</f>
        <v>3</v>
      </c>
    </row>
    <row r="902" spans="1:18" x14ac:dyDescent="0.2">
      <c r="A902" s="5">
        <f>Data!E807</f>
        <v>2014</v>
      </c>
      <c r="B902" s="5">
        <f>Data!M807</f>
        <v>0.22857142857142856</v>
      </c>
      <c r="C902" s="5">
        <f>Data!N807</f>
        <v>3.5714285714285712E-2</v>
      </c>
      <c r="D902" s="5">
        <f ca="1">Data!O807</f>
        <v>215.9</v>
      </c>
      <c r="E902" s="1">
        <f>Data!AQ807</f>
        <v>0.1</v>
      </c>
      <c r="F902" t="str">
        <f t="shared" si="14"/>
        <v/>
      </c>
      <c r="G902" s="5">
        <f ca="1">AVERAGE(D$2:D901)</f>
        <v>185.70742035502522</v>
      </c>
      <c r="H902" s="5">
        <f ca="1">PERCENTILE(D$2:D901,0.025)</f>
        <v>-2.6757348047278735</v>
      </c>
      <c r="I902" s="5">
        <f ca="1">PERCENTILE(D$2:D901,0.165)</f>
        <v>9.983489102774092</v>
      </c>
      <c r="J902" s="5">
        <f ca="1">PERCENTILE(D$2:D901,0.5)</f>
        <v>50.75383375536623</v>
      </c>
      <c r="K902" s="5">
        <f ca="1">PERCENTILE(D$2:D901,0.835)</f>
        <v>236.03296566633236</v>
      </c>
      <c r="L902" s="5">
        <f ca="1">PERCENTILE(D$2:D901,0.975)</f>
        <v>1164.529505102633</v>
      </c>
      <c r="M902" s="7">
        <f>AVERAGE(E$2:E901)</f>
        <v>1.2512414733969996</v>
      </c>
      <c r="N902" s="7">
        <f>PERCENTILE($E$2:$E901,0.025)</f>
        <v>-1.1000000000000001</v>
      </c>
      <c r="O902" s="7">
        <f>PERCENTILE($E$2:$E901,0.165)</f>
        <v>0</v>
      </c>
      <c r="P902" s="7">
        <f>PERCENTILE($E$2:$E901,0.5)</f>
        <v>1</v>
      </c>
      <c r="Q902" s="7">
        <f>PERCENTILE($E$2:$E901,0.835)</f>
        <v>3</v>
      </c>
      <c r="R902" s="7">
        <f>PERCENTILE($E$2:$E901,0.975)</f>
        <v>3</v>
      </c>
    </row>
    <row r="903" spans="1:18" x14ac:dyDescent="0.2">
      <c r="A903" s="5">
        <f>Data!E808</f>
        <v>2014</v>
      </c>
      <c r="B903" s="5">
        <f>Data!M808</f>
        <v>0.22857142857142856</v>
      </c>
      <c r="C903" s="5">
        <f>Data!N808</f>
        <v>3.5714285714285712E-2</v>
      </c>
      <c r="D903" s="5">
        <f ca="1">Data!O808</f>
        <v>27.6</v>
      </c>
      <c r="E903" s="1">
        <f>Data!AQ808</f>
        <v>1.5</v>
      </c>
      <c r="F903" t="str">
        <f t="shared" si="14"/>
        <v/>
      </c>
      <c r="G903" s="5">
        <f ca="1">AVERAGE(D$2:D902)</f>
        <v>185.74093043232264</v>
      </c>
      <c r="H903" s="5">
        <f ca="1">PERCENTILE(D$2:D902,0.025)</f>
        <v>-2.674987707145517</v>
      </c>
      <c r="I903" s="5">
        <f ca="1">PERCENTILE(D$2:D902,0.165)</f>
        <v>9.9875857915594679</v>
      </c>
      <c r="J903" s="5">
        <f ca="1">PERCENTILE(D$2:D902,0.5)</f>
        <v>50.75383375536623</v>
      </c>
      <c r="K903" s="5">
        <f ca="1">PERCENTILE(D$2:D902,0.835)</f>
        <v>236.02478621528749</v>
      </c>
      <c r="L903" s="5">
        <f ca="1">PERCENTILE(D$2:D902,0.975)</f>
        <v>1162.7066411856863</v>
      </c>
      <c r="M903" s="7">
        <f>AVERAGE(E$2:E902)</f>
        <v>1.2496730245231618</v>
      </c>
      <c r="N903" s="7">
        <f>PERCENTILE($E$2:$E902,0.025)</f>
        <v>-1.1000000000000001</v>
      </c>
      <c r="O903" s="7">
        <f>PERCENTILE($E$2:$E902,0.165)</f>
        <v>0</v>
      </c>
      <c r="P903" s="7">
        <f>PERCENTILE($E$2:$E902,0.5)</f>
        <v>1</v>
      </c>
      <c r="Q903" s="7">
        <f>PERCENTILE($E$2:$E902,0.835)</f>
        <v>3</v>
      </c>
      <c r="R903" s="7">
        <f>PERCENTILE($E$2:$E902,0.975)</f>
        <v>3</v>
      </c>
    </row>
    <row r="904" spans="1:18" x14ac:dyDescent="0.2">
      <c r="A904" s="5">
        <f>Data!E809</f>
        <v>2014</v>
      </c>
      <c r="B904" s="5">
        <f>Data!M809</f>
        <v>0.22857142857142856</v>
      </c>
      <c r="C904" s="5">
        <f>Data!N809</f>
        <v>3.5714285714285712E-2</v>
      </c>
      <c r="D904" s="5">
        <f ca="1">Data!O809</f>
        <v>27.7</v>
      </c>
      <c r="E904" s="1">
        <f>Data!AQ809</f>
        <v>1.5</v>
      </c>
      <c r="F904" t="str">
        <f t="shared" si="14"/>
        <v/>
      </c>
      <c r="G904" s="5">
        <f ca="1">AVERAGE(D$2:D903)</f>
        <v>185.56560789304069</v>
      </c>
      <c r="H904" s="5">
        <f ca="1">PERCENTILE(D$2:D903,0.025)</f>
        <v>-2.6742406095631601</v>
      </c>
      <c r="I904" s="5">
        <f ca="1">PERCENTILE(D$2:D903,0.165)</f>
        <v>9.9916824803448439</v>
      </c>
      <c r="J904" s="5">
        <f ca="1">PERCENTILE(D$2:D903,0.5)</f>
        <v>50.75383375536623</v>
      </c>
      <c r="K904" s="5">
        <f ca="1">PERCENTILE(D$2:D903,0.835)</f>
        <v>236.01660676424262</v>
      </c>
      <c r="L904" s="5">
        <f ca="1">PERCENTILE(D$2:D903,0.975)</f>
        <v>1160.8837772687398</v>
      </c>
      <c r="M904" s="7">
        <f>AVERAGE(E$2:E903)</f>
        <v>1.250013605442178</v>
      </c>
      <c r="N904" s="7">
        <f>PERCENTILE($E$2:$E903,0.025)</f>
        <v>-1.1000000000000001</v>
      </c>
      <c r="O904" s="7">
        <f>PERCENTILE($E$2:$E903,0.165)</f>
        <v>0</v>
      </c>
      <c r="P904" s="7">
        <f>PERCENTILE($E$2:$E903,0.5)</f>
        <v>1</v>
      </c>
      <c r="Q904" s="7">
        <f>PERCENTILE($E$2:$E903,0.835)</f>
        <v>3</v>
      </c>
      <c r="R904" s="7">
        <f>PERCENTILE($E$2:$E903,0.975)</f>
        <v>3</v>
      </c>
    </row>
    <row r="905" spans="1:18" x14ac:dyDescent="0.2">
      <c r="A905" s="5">
        <f>Data!E810</f>
        <v>2014</v>
      </c>
      <c r="B905" s="5">
        <f>Data!M810</f>
        <v>0.22857142857142856</v>
      </c>
      <c r="C905" s="5">
        <f>Data!N810</f>
        <v>3.5714285714285712E-2</v>
      </c>
      <c r="D905" s="5">
        <f ca="1">Data!O810</f>
        <v>27.8</v>
      </c>
      <c r="E905" s="1">
        <f>Data!AQ810</f>
        <v>1.5</v>
      </c>
      <c r="F905" t="str">
        <f t="shared" si="14"/>
        <v/>
      </c>
      <c r="G905" s="5">
        <f ca="1">AVERAGE(D$2:D904)</f>
        <v>185.39078440700189</v>
      </c>
      <c r="H905" s="5">
        <f ca="1">PERCENTILE(D$2:D904,0.025)</f>
        <v>-2.6734935119808036</v>
      </c>
      <c r="I905" s="5">
        <f ca="1">PERCENTILE(D$2:D904,0.165)</f>
        <v>9.9957791691302198</v>
      </c>
      <c r="J905" s="5">
        <f ca="1">PERCENTILE(D$2:D904,0.5)</f>
        <v>50.75383375536623</v>
      </c>
      <c r="K905" s="5">
        <f ca="1">PERCENTILE(D$2:D904,0.835)</f>
        <v>236.00842731319776</v>
      </c>
      <c r="L905" s="5">
        <f ca="1">PERCENTILE(D$2:D904,0.975)</f>
        <v>1159.0609133517848</v>
      </c>
      <c r="M905" s="7">
        <f>AVERAGE(E$2:E904)</f>
        <v>1.2503532608695662</v>
      </c>
      <c r="N905" s="7">
        <f>PERCENTILE($E$2:$E904,0.025)</f>
        <v>-1.1000000000000001</v>
      </c>
      <c r="O905" s="7">
        <f>PERCENTILE($E$2:$E904,0.165)</f>
        <v>0</v>
      </c>
      <c r="P905" s="7">
        <f>PERCENTILE($E$2:$E904,0.5)</f>
        <v>1</v>
      </c>
      <c r="Q905" s="7">
        <f>PERCENTILE($E$2:$E904,0.835)</f>
        <v>3</v>
      </c>
      <c r="R905" s="7">
        <f>PERCENTILE($E$2:$E904,0.975)</f>
        <v>3</v>
      </c>
    </row>
    <row r="906" spans="1:18" x14ac:dyDescent="0.2">
      <c r="A906" s="5">
        <f>Data!E811</f>
        <v>2014</v>
      </c>
      <c r="B906" s="5">
        <f>Data!M811</f>
        <v>0.22857142857142856</v>
      </c>
      <c r="C906" s="5">
        <f>Data!N811</f>
        <v>3.5714285714285712E-2</v>
      </c>
      <c r="D906" s="5">
        <f ca="1">Data!O811</f>
        <v>27.9</v>
      </c>
      <c r="E906" s="1">
        <f>Data!AQ811</f>
        <v>1.5</v>
      </c>
      <c r="F906" t="str">
        <f t="shared" si="14"/>
        <v/>
      </c>
      <c r="G906" s="5">
        <f ca="1">AVERAGE(D$2:D905)</f>
        <v>185.21645831805608</v>
      </c>
      <c r="H906" s="5">
        <f ca="1">PERCENTILE(D$2:D905,0.025)</f>
        <v>-2.6727464143984467</v>
      </c>
      <c r="I906" s="5">
        <f ca="1">PERCENTILE(D$2:D905,0.165)</f>
        <v>9.999875857915594</v>
      </c>
      <c r="J906" s="5">
        <f ca="1">PERCENTILE(D$2:D905,0.5)</f>
        <v>50.567360960021432</v>
      </c>
      <c r="K906" s="5">
        <f ca="1">PERCENTILE(D$2:D905,0.835)</f>
        <v>236.00024786215286</v>
      </c>
      <c r="L906" s="5">
        <f ca="1">PERCENTILE(D$2:D905,0.975)</f>
        <v>1157.2380494348381</v>
      </c>
      <c r="M906" s="7">
        <f>AVERAGE(E$2:E905)</f>
        <v>1.2506919945725927</v>
      </c>
      <c r="N906" s="7">
        <f>PERCENTILE($E$2:$E905,0.025)</f>
        <v>-1.1000000000000001</v>
      </c>
      <c r="O906" s="7">
        <f>PERCENTILE($E$2:$E905,0.165)</f>
        <v>0</v>
      </c>
      <c r="P906" s="7">
        <f>PERCENTILE($E$2:$E905,0.5)</f>
        <v>1</v>
      </c>
      <c r="Q906" s="7">
        <f>PERCENTILE($E$2:$E905,0.835)</f>
        <v>3</v>
      </c>
      <c r="R906" s="7">
        <f>PERCENTILE($E$2:$E905,0.975)</f>
        <v>3</v>
      </c>
    </row>
    <row r="907" spans="1:18" x14ac:dyDescent="0.2">
      <c r="A907" s="5">
        <f>Data!E812</f>
        <v>2014</v>
      </c>
      <c r="B907" s="5">
        <f>Data!M812</f>
        <v>0.22857142857142856</v>
      </c>
      <c r="C907" s="5">
        <f>Data!N812</f>
        <v>3.5714285714285712E-2</v>
      </c>
      <c r="D907" s="5">
        <f ca="1">Data!O812</f>
        <v>27.9</v>
      </c>
      <c r="E907" s="1">
        <f>Data!AQ812</f>
        <v>1.5</v>
      </c>
      <c r="F907" t="str">
        <f t="shared" si="14"/>
        <v/>
      </c>
      <c r="G907" s="5">
        <f ca="1">AVERAGE(D$2:D906)</f>
        <v>185.04262797737314</v>
      </c>
      <c r="H907" s="5">
        <f ca="1">PERCENTILE(D$2:D906,0.025)</f>
        <v>-2.6719993168160903</v>
      </c>
      <c r="I907" s="5">
        <f ca="1">PERCENTILE(D$2:D906,0.165)</f>
        <v>10.023864036866359</v>
      </c>
      <c r="J907" s="5">
        <f ca="1">PERCENTILE(D$2:D906,0.5)</f>
        <v>50.380888164676627</v>
      </c>
      <c r="K907" s="5">
        <f ca="1">PERCENTILE(D$2:D906,0.835)</f>
        <v>234.92134384707234</v>
      </c>
      <c r="L907" s="5">
        <f ca="1">PERCENTILE(D$2:D906,0.975)</f>
        <v>1155.4151855178916</v>
      </c>
      <c r="M907" s="7">
        <f>AVERAGE(E$2:E906)</f>
        <v>1.2510298102981041</v>
      </c>
      <c r="N907" s="7">
        <f>PERCENTILE($E$2:$E906,0.025)</f>
        <v>-1.1000000000000001</v>
      </c>
      <c r="O907" s="7">
        <f>PERCENTILE($E$2:$E906,0.165)</f>
        <v>0</v>
      </c>
      <c r="P907" s="7">
        <f>PERCENTILE($E$2:$E906,0.5)</f>
        <v>1</v>
      </c>
      <c r="Q907" s="7">
        <f>PERCENTILE($E$2:$E906,0.835)</f>
        <v>3</v>
      </c>
      <c r="R907" s="7">
        <f>PERCENTILE($E$2:$E906,0.975)</f>
        <v>3</v>
      </c>
    </row>
    <row r="908" spans="1:18" x14ac:dyDescent="0.2">
      <c r="A908" s="5">
        <f>Data!E813</f>
        <v>2014</v>
      </c>
      <c r="B908" s="5">
        <f>Data!M813</f>
        <v>0.22857142857142856</v>
      </c>
      <c r="C908" s="5">
        <f>Data!N813</f>
        <v>3.5714285714285712E-2</v>
      </c>
      <c r="D908" s="5">
        <f ca="1">Data!O813</f>
        <v>198.6</v>
      </c>
      <c r="E908" s="1">
        <f>Data!AQ813</f>
        <v>0.1</v>
      </c>
      <c r="F908" t="str">
        <f t="shared" si="14"/>
        <v/>
      </c>
      <c r="G908" s="5">
        <f ca="1">AVERAGE(D$2:D907)</f>
        <v>184.86918136812659</v>
      </c>
      <c r="H908" s="5">
        <f ca="1">PERCENTILE(D$2:D907,0.025)</f>
        <v>-2.6712522192337333</v>
      </c>
      <c r="I908" s="5">
        <f ca="1">PERCENTILE(D$2:D907,0.165)</f>
        <v>10.048473824884795</v>
      </c>
      <c r="J908" s="5">
        <f ca="1">PERCENTILE(D$2:D907,0.5)</f>
        <v>50.128373040135656</v>
      </c>
      <c r="K908" s="5">
        <f ca="1">PERCENTILE(D$2:D907,0.835)</f>
        <v>233.80897968936648</v>
      </c>
      <c r="L908" s="5">
        <f ca="1">PERCENTILE(D$2:D907,0.975)</f>
        <v>1153.5923216009448</v>
      </c>
      <c r="M908" s="7">
        <f>AVERAGE(E$2:E907)</f>
        <v>1.2513667117726668</v>
      </c>
      <c r="N908" s="7">
        <f>PERCENTILE($E$2:$E907,0.025)</f>
        <v>-1.1000000000000001</v>
      </c>
      <c r="O908" s="7">
        <f>PERCENTILE($E$2:$E907,0.165)</f>
        <v>0</v>
      </c>
      <c r="P908" s="7">
        <f>PERCENTILE($E$2:$E907,0.5)</f>
        <v>1</v>
      </c>
      <c r="Q908" s="7">
        <f>PERCENTILE($E$2:$E907,0.835)</f>
        <v>3</v>
      </c>
      <c r="R908" s="7">
        <f>PERCENTILE($E$2:$E907,0.975)</f>
        <v>3</v>
      </c>
    </row>
    <row r="909" spans="1:18" x14ac:dyDescent="0.2">
      <c r="A909" s="5">
        <f>Data!E814</f>
        <v>2014</v>
      </c>
      <c r="B909" s="5">
        <f>Data!M814</f>
        <v>0.22857142857142856</v>
      </c>
      <c r="C909" s="5">
        <f>Data!N814</f>
        <v>3.5714285714285712E-2</v>
      </c>
      <c r="D909" s="5">
        <f ca="1">Data!O814</f>
        <v>184.8</v>
      </c>
      <c r="E909" s="1">
        <f>Data!AQ814</f>
        <v>0.1</v>
      </c>
      <c r="F909" t="str">
        <f t="shared" ref="F909:F972" si="15">IF(A909&lt;&gt;A908,A909,"")</f>
        <v/>
      </c>
      <c r="G909" s="5">
        <f ca="1">AVERAGE(D$2:D908)</f>
        <v>184.88432008767663</v>
      </c>
      <c r="H909" s="5">
        <f ca="1">PERCENTILE(D$2:D908,0.025)</f>
        <v>-2.6705051216513769</v>
      </c>
      <c r="I909" s="5">
        <f ca="1">PERCENTILE(D$2:D908,0.165)</f>
        <v>10.073083612903227</v>
      </c>
      <c r="J909" s="5">
        <f ca="1">PERCENTILE(D$2:D908,0.5)</f>
        <v>50.380888164676627</v>
      </c>
      <c r="K909" s="5">
        <f ca="1">PERCENTILE(D$2:D908,0.835)</f>
        <v>232.69661553166063</v>
      </c>
      <c r="L909" s="5">
        <f ca="1">PERCENTILE(D$2:D908,0.975)</f>
        <v>1151.7694576839983</v>
      </c>
      <c r="M909" s="7">
        <f>AVERAGE(E$2:E908)</f>
        <v>1.2498108108108119</v>
      </c>
      <c r="N909" s="7">
        <f>PERCENTILE($E$2:$E908,0.025)</f>
        <v>-1.1000000000000001</v>
      </c>
      <c r="O909" s="7">
        <f>PERCENTILE($E$2:$E908,0.165)</f>
        <v>0</v>
      </c>
      <c r="P909" s="7">
        <f>PERCENTILE($E$2:$E908,0.5)</f>
        <v>1</v>
      </c>
      <c r="Q909" s="7">
        <f>PERCENTILE($E$2:$E908,0.835)</f>
        <v>3</v>
      </c>
      <c r="R909" s="7">
        <f>PERCENTILE($E$2:$E908,0.975)</f>
        <v>3</v>
      </c>
    </row>
    <row r="910" spans="1:18" x14ac:dyDescent="0.2">
      <c r="A910" s="5">
        <f>Data!E815</f>
        <v>2014</v>
      </c>
      <c r="B910" s="5">
        <f>Data!M815</f>
        <v>0.22857142857142856</v>
      </c>
      <c r="C910" s="5">
        <f>Data!N815</f>
        <v>3.5714285714285712E-2</v>
      </c>
      <c r="D910" s="5">
        <f ca="1">Data!O815</f>
        <v>209.2</v>
      </c>
      <c r="E910" s="1">
        <f>Data!AQ815</f>
        <v>0.1</v>
      </c>
      <c r="F910" t="str">
        <f t="shared" si="15"/>
        <v/>
      </c>
      <c r="G910" s="5">
        <f ca="1">AVERAGE(D$2:D909)</f>
        <v>184.88422722414393</v>
      </c>
      <c r="H910" s="5">
        <f ca="1">PERCENTILE(D$2:D909,0.025)</f>
        <v>-2.66975802406902</v>
      </c>
      <c r="I910" s="5">
        <f ca="1">PERCENTILE(D$2:D909,0.165)</f>
        <v>10.097693400921658</v>
      </c>
      <c r="J910" s="5">
        <f ca="1">PERCENTILE(D$2:D909,0.5)</f>
        <v>50.567360960021432</v>
      </c>
      <c r="K910" s="5">
        <f ca="1">PERCENTILE(D$2:D909,0.835)</f>
        <v>231.584251373954</v>
      </c>
      <c r="L910" s="5">
        <f ca="1">PERCENTILE(D$2:D909,0.975)</f>
        <v>1149.9465937670434</v>
      </c>
      <c r="M910" s="7">
        <f>AVERAGE(E$2:E909)</f>
        <v>1.2482591093117421</v>
      </c>
      <c r="N910" s="7">
        <f>PERCENTILE($E$2:$E909,0.025)</f>
        <v>-1.1000000000000001</v>
      </c>
      <c r="O910" s="7">
        <f>PERCENTILE($E$2:$E909,0.165)</f>
        <v>0</v>
      </c>
      <c r="P910" s="7">
        <f>PERCENTILE($E$2:$E909,0.5)</f>
        <v>1</v>
      </c>
      <c r="Q910" s="7">
        <f>PERCENTILE($E$2:$E909,0.835)</f>
        <v>3</v>
      </c>
      <c r="R910" s="7">
        <f>PERCENTILE($E$2:$E909,0.975)</f>
        <v>3</v>
      </c>
    </row>
    <row r="911" spans="1:18" x14ac:dyDescent="0.2">
      <c r="A911" s="5">
        <f>Data!E816</f>
        <v>2014</v>
      </c>
      <c r="B911" s="5">
        <f>Data!M816</f>
        <v>0.22857142857142856</v>
      </c>
      <c r="C911" s="5">
        <f>Data!N816</f>
        <v>3.5714285714285712E-2</v>
      </c>
      <c r="D911" s="5">
        <f ca="1">Data!O816</f>
        <v>213.4</v>
      </c>
      <c r="E911" s="1">
        <f>Data!AQ816</f>
        <v>0.1</v>
      </c>
      <c r="F911" t="str">
        <f t="shared" si="15"/>
        <v/>
      </c>
      <c r="G911" s="5">
        <f ca="1">AVERAGE(D$2:D910)</f>
        <v>184.91097724919987</v>
      </c>
      <c r="H911" s="5">
        <f ca="1">PERCENTILE(D$2:D910,0.025)</f>
        <v>-2.6690109264866635</v>
      </c>
      <c r="I911" s="5">
        <f ca="1">PERCENTILE(D$2:D910,0.165)</f>
        <v>10.122303188940091</v>
      </c>
      <c r="J911" s="5">
        <f ca="1">PERCENTILE(D$2:D910,0.5)</f>
        <v>50.75383375536623</v>
      </c>
      <c r="K911" s="5">
        <f ca="1">PERCENTILE(D$2:D910,0.835)</f>
        <v>230.47188721624815</v>
      </c>
      <c r="L911" s="5">
        <f ca="1">PERCENTILE(D$2:D910,0.975)</f>
        <v>1148.1237298500967</v>
      </c>
      <c r="M911" s="7">
        <f>AVERAGE(E$2:E910)</f>
        <v>1.2467115902964971</v>
      </c>
      <c r="N911" s="7">
        <f>PERCENTILE($E$2:$E910,0.025)</f>
        <v>-1.1000000000000001</v>
      </c>
      <c r="O911" s="7">
        <f>PERCENTILE($E$2:$E910,0.165)</f>
        <v>0</v>
      </c>
      <c r="P911" s="7">
        <f>PERCENTILE($E$2:$E910,0.5)</f>
        <v>1</v>
      </c>
      <c r="Q911" s="7">
        <f>PERCENTILE($E$2:$E910,0.835)</f>
        <v>3</v>
      </c>
      <c r="R911" s="7">
        <f>PERCENTILE($E$2:$E910,0.975)</f>
        <v>3</v>
      </c>
    </row>
    <row r="912" spans="1:18" x14ac:dyDescent="0.2">
      <c r="A912" s="5">
        <f>Data!E817</f>
        <v>2014</v>
      </c>
      <c r="B912" s="5">
        <f>Data!M817</f>
        <v>0.22857142857142856</v>
      </c>
      <c r="C912" s="5">
        <f>Data!N817</f>
        <v>3.5714285714285712E-2</v>
      </c>
      <c r="D912" s="5">
        <f ca="1">Data!O817</f>
        <v>215.5</v>
      </c>
      <c r="E912" s="1">
        <f>Data!AQ817</f>
        <v>0.1</v>
      </c>
      <c r="F912" t="str">
        <f t="shared" si="15"/>
        <v/>
      </c>
      <c r="G912" s="5">
        <f ca="1">AVERAGE(D$2:D911)</f>
        <v>184.94228386760736</v>
      </c>
      <c r="H912" s="5">
        <f ca="1">PERCENTILE(D$2:D911,0.025)</f>
        <v>-2.6682638289043066</v>
      </c>
      <c r="I912" s="5">
        <f ca="1">PERCENTILE(D$2:D911,0.165)</f>
        <v>10.146912976958527</v>
      </c>
      <c r="J912" s="5">
        <f ca="1">PERCENTILE(D$2:D911,0.5)</f>
        <v>50.75383375536623</v>
      </c>
      <c r="K912" s="5">
        <f ca="1">PERCENTILE(D$2:D911,0.835)</f>
        <v>229.35952305854229</v>
      </c>
      <c r="L912" s="5">
        <f ca="1">PERCENTILE(D$2:D911,0.975)</f>
        <v>1146.3008659331501</v>
      </c>
      <c r="M912" s="7">
        <f>AVERAGE(E$2:E911)</f>
        <v>1.2451682368775248</v>
      </c>
      <c r="N912" s="7">
        <f>PERCENTILE($E$2:$E911,0.025)</f>
        <v>-1.1000000000000001</v>
      </c>
      <c r="O912" s="7">
        <f>PERCENTILE($E$2:$E911,0.165)</f>
        <v>0</v>
      </c>
      <c r="P912" s="7">
        <f>PERCENTILE($E$2:$E911,0.5)</f>
        <v>1</v>
      </c>
      <c r="Q912" s="7">
        <f>PERCENTILE($E$2:$E911,0.835)</f>
        <v>3</v>
      </c>
      <c r="R912" s="7">
        <f>PERCENTILE($E$2:$E911,0.975)</f>
        <v>3</v>
      </c>
    </row>
    <row r="913" spans="1:18" x14ac:dyDescent="0.2">
      <c r="A913" s="5">
        <f>Data!E818</f>
        <v>2014</v>
      </c>
      <c r="B913" s="5">
        <f>Data!M818</f>
        <v>0.22857142857142856</v>
      </c>
      <c r="C913" s="5">
        <f>Data!N818</f>
        <v>3.5714285714285712E-2</v>
      </c>
      <c r="D913" s="5">
        <f ca="1">Data!O818</f>
        <v>25</v>
      </c>
      <c r="E913" s="1">
        <f>Data!AQ818</f>
        <v>1.5</v>
      </c>
      <c r="F913" t="str">
        <f t="shared" si="15"/>
        <v/>
      </c>
      <c r="G913" s="5">
        <f ca="1">AVERAGE(D$2:D912)</f>
        <v>184.97582691495356</v>
      </c>
      <c r="H913" s="5">
        <f ca="1">PERCENTILE(D$2:D912,0.025)</f>
        <v>-2.6675167313219501</v>
      </c>
      <c r="I913" s="5">
        <f ca="1">PERCENTILE(D$2:D912,0.165)</f>
        <v>10.153680152541739</v>
      </c>
      <c r="J913" s="5">
        <f ca="1">PERCENTILE(D$2:D912,0.5)</f>
        <v>50.75383375536623</v>
      </c>
      <c r="K913" s="5">
        <f ca="1">PERCENTILE(D$2:D912,0.835)</f>
        <v>228.94384701811555</v>
      </c>
      <c r="L913" s="5">
        <f ca="1">PERCENTILE(D$2:D912,0.975)</f>
        <v>1144.4780020162034</v>
      </c>
      <c r="M913" s="7">
        <f>AVERAGE(E$2:E912)</f>
        <v>1.2436290322580656</v>
      </c>
      <c r="N913" s="7">
        <f>PERCENTILE($E$2:$E912,0.025)</f>
        <v>-1.1000000000000001</v>
      </c>
      <c r="O913" s="7">
        <f>PERCENTILE($E$2:$E912,0.165)</f>
        <v>0</v>
      </c>
      <c r="P913" s="7">
        <f>PERCENTILE($E$2:$E912,0.5)</f>
        <v>1</v>
      </c>
      <c r="Q913" s="7">
        <f>PERCENTILE($E$2:$E912,0.835)</f>
        <v>3</v>
      </c>
      <c r="R913" s="7">
        <f>PERCENTILE($E$2:$E912,0.975)</f>
        <v>3</v>
      </c>
    </row>
    <row r="914" spans="1:18" x14ac:dyDescent="0.2">
      <c r="A914" s="5">
        <f>Data!E819</f>
        <v>2014</v>
      </c>
      <c r="B914" s="5">
        <f>Data!M819</f>
        <v>0.22857142857142856</v>
      </c>
      <c r="C914" s="5">
        <f>Data!N819</f>
        <v>3.5714285714285712E-2</v>
      </c>
      <c r="D914" s="5">
        <f ca="1">Data!O819</f>
        <v>95</v>
      </c>
      <c r="E914" s="1">
        <f>Data!AQ819</f>
        <v>0.1</v>
      </c>
      <c r="F914" t="str">
        <f t="shared" si="15"/>
        <v/>
      </c>
      <c r="G914" s="5">
        <f ca="1">AVERAGE(D$2:D913)</f>
        <v>184.80041482403803</v>
      </c>
      <c r="H914" s="5">
        <f ca="1">PERCENTILE(D$2:D913,0.025)</f>
        <v>-2.6667696337395932</v>
      </c>
      <c r="I914" s="5">
        <f ca="1">PERCENTILE(D$2:D913,0.165)</f>
        <v>10.158663066881431</v>
      </c>
      <c r="J914" s="5">
        <f ca="1">PERCENTILE(D$2:D913,0.5)</f>
        <v>50.75383375536623</v>
      </c>
      <c r="K914" s="5">
        <f ca="1">PERCENTILE(D$2:D913,0.835)</f>
        <v>228.59783978941641</v>
      </c>
      <c r="L914" s="5">
        <f ca="1">PERCENTILE(D$2:D913,0.975)</f>
        <v>1142.6551380992569</v>
      </c>
      <c r="M914" s="7">
        <f>AVERAGE(E$2:E913)</f>
        <v>1.2439731543624173</v>
      </c>
      <c r="N914" s="7">
        <f>PERCENTILE($E$2:$E913,0.025)</f>
        <v>-1.1000000000000001</v>
      </c>
      <c r="O914" s="7">
        <f>PERCENTILE($E$2:$E913,0.165)</f>
        <v>0</v>
      </c>
      <c r="P914" s="7">
        <f>PERCENTILE($E$2:$E913,0.5)</f>
        <v>1</v>
      </c>
      <c r="Q914" s="7">
        <f>PERCENTILE($E$2:$E913,0.835)</f>
        <v>3</v>
      </c>
      <c r="R914" s="7">
        <f>PERCENTILE($E$2:$E913,0.975)</f>
        <v>3</v>
      </c>
    </row>
    <row r="915" spans="1:18" x14ac:dyDescent="0.2">
      <c r="A915" s="5">
        <f>Data!E820</f>
        <v>2014</v>
      </c>
      <c r="B915" s="5">
        <f>Data!M820</f>
        <v>0.22857142857142856</v>
      </c>
      <c r="C915" s="5">
        <f>Data!N820</f>
        <v>3.5714285714285712E-2</v>
      </c>
      <c r="D915" s="5">
        <f ca="1">Data!O820</f>
        <v>29.3</v>
      </c>
      <c r="E915" s="1">
        <f>Data!AQ820</f>
        <v>1.5</v>
      </c>
      <c r="F915" t="str">
        <f t="shared" si="15"/>
        <v/>
      </c>
      <c r="G915" s="5">
        <f ca="1">AVERAGE(D$2:D914)</f>
        <v>184.70205730506319</v>
      </c>
      <c r="H915" s="5">
        <f ca="1">PERCENTILE(D$2:D914,0.025)</f>
        <v>-2.6660225361572367</v>
      </c>
      <c r="I915" s="5">
        <f ca="1">PERCENTILE(D$2:D914,0.165)</f>
        <v>10.163645981221125</v>
      </c>
      <c r="J915" s="5">
        <f ca="1">PERCENTILE(D$2:D914,0.5)</f>
        <v>50.75383375536623</v>
      </c>
      <c r="K915" s="5">
        <f ca="1">PERCENTILE(D$2:D914,0.835)</f>
        <v>228.25183256071753</v>
      </c>
      <c r="L915" s="5">
        <f ca="1">PERCENTILE(D$2:D914,0.975)</f>
        <v>1140.8322741823019</v>
      </c>
      <c r="M915" s="7">
        <f>AVERAGE(E$2:E914)</f>
        <v>1.2424396782841836</v>
      </c>
      <c r="N915" s="7">
        <f>PERCENTILE($E$2:$E914,0.025)</f>
        <v>-1.1000000000000001</v>
      </c>
      <c r="O915" s="7">
        <f>PERCENTILE($E$2:$E914,0.165)</f>
        <v>0</v>
      </c>
      <c r="P915" s="7">
        <f>PERCENTILE($E$2:$E914,0.5)</f>
        <v>1</v>
      </c>
      <c r="Q915" s="7">
        <f>PERCENTILE($E$2:$E914,0.835)</f>
        <v>3</v>
      </c>
      <c r="R915" s="7">
        <f>PERCENTILE($E$2:$E914,0.975)</f>
        <v>3</v>
      </c>
    </row>
    <row r="916" spans="1:18" x14ac:dyDescent="0.2">
      <c r="A916" s="5">
        <f>Data!E821</f>
        <v>2014</v>
      </c>
      <c r="B916" s="5">
        <f>Data!M821</f>
        <v>0.22857142857142856</v>
      </c>
      <c r="C916" s="5">
        <f>Data!N821</f>
        <v>3.5714285714285712E-2</v>
      </c>
      <c r="D916" s="5">
        <f ca="1">Data!O821</f>
        <v>215.9</v>
      </c>
      <c r="E916" s="1">
        <f>Data!AQ821</f>
        <v>0.1</v>
      </c>
      <c r="F916" t="str">
        <f t="shared" si="15"/>
        <v/>
      </c>
      <c r="G916" s="5">
        <f ca="1">AVERAGE(D$2:D915)</f>
        <v>184.53203317234428</v>
      </c>
      <c r="H916" s="5">
        <f ca="1">PERCENTILE(D$2:D915,0.025)</f>
        <v>-2.6652754385748798</v>
      </c>
      <c r="I916" s="5">
        <f ca="1">PERCENTILE(D$2:D915,0.165)</f>
        <v>10.168628895560818</v>
      </c>
      <c r="J916" s="5">
        <f ca="1">PERCENTILE(D$2:D915,0.5)</f>
        <v>50.75383375536623</v>
      </c>
      <c r="K916" s="5">
        <f ca="1">PERCENTILE(D$2:D915,0.835)</f>
        <v>227.90582533201862</v>
      </c>
      <c r="L916" s="5">
        <f ca="1">PERCENTILE(D$2:D915,0.975)</f>
        <v>1139.0094102653552</v>
      </c>
      <c r="M916" s="7">
        <f>AVERAGE(E$2:E915)</f>
        <v>1.2427844712182075</v>
      </c>
      <c r="N916" s="7">
        <f>PERCENTILE($E$2:$E915,0.025)</f>
        <v>-1.1000000000000001</v>
      </c>
      <c r="O916" s="7">
        <f>PERCENTILE($E$2:$E915,0.165)</f>
        <v>0</v>
      </c>
      <c r="P916" s="7">
        <f>PERCENTILE($E$2:$E915,0.5)</f>
        <v>1</v>
      </c>
      <c r="Q916" s="7">
        <f>PERCENTILE($E$2:$E915,0.835)</f>
        <v>3</v>
      </c>
      <c r="R916" s="7">
        <f>PERCENTILE($E$2:$E915,0.975)</f>
        <v>3</v>
      </c>
    </row>
    <row r="917" spans="1:18" x14ac:dyDescent="0.2">
      <c r="A917" s="5">
        <f>Data!E822</f>
        <v>2014</v>
      </c>
      <c r="B917" s="5">
        <f>Data!M822</f>
        <v>0.22857142857142856</v>
      </c>
      <c r="C917" s="5">
        <f>Data!N822</f>
        <v>3.5714285714285712E-2</v>
      </c>
      <c r="D917" s="5">
        <f ca="1">Data!O822</f>
        <v>27.6</v>
      </c>
      <c r="E917" s="1">
        <f>Data!AQ822</f>
        <v>1.5</v>
      </c>
      <c r="F917" t="str">
        <f t="shared" si="15"/>
        <v/>
      </c>
      <c r="G917" s="5">
        <f ca="1">AVERAGE(D$2:D916)</f>
        <v>184.56631510330348</v>
      </c>
      <c r="H917" s="5">
        <f ca="1">PERCENTILE(D$2:D916,0.025)</f>
        <v>-2.6645283409925233</v>
      </c>
      <c r="I917" s="5">
        <f ca="1">PERCENTILE(D$2:D916,0.165)</f>
        <v>10.17361180990051</v>
      </c>
      <c r="J917" s="5">
        <f ca="1">PERCENTILE(D$2:D916,0.5)</f>
        <v>50.75383375536623</v>
      </c>
      <c r="K917" s="5">
        <f ca="1">PERCENTILE(D$2:D916,0.835)</f>
        <v>227.55981810331949</v>
      </c>
      <c r="L917" s="5">
        <f ca="1">PERCENTILE(D$2:D916,0.975)</f>
        <v>1137.1865463484087</v>
      </c>
      <c r="M917" s="7">
        <f>AVERAGE(E$2:E916)</f>
        <v>1.2412566844919799</v>
      </c>
      <c r="N917" s="7">
        <f>PERCENTILE($E$2:$E916,0.025)</f>
        <v>-1.1000000000000001</v>
      </c>
      <c r="O917" s="7">
        <f>PERCENTILE($E$2:$E916,0.165)</f>
        <v>0</v>
      </c>
      <c r="P917" s="7">
        <f>PERCENTILE($E$2:$E916,0.5)</f>
        <v>1</v>
      </c>
      <c r="Q917" s="7">
        <f>PERCENTILE($E$2:$E916,0.835)</f>
        <v>3</v>
      </c>
      <c r="R917" s="7">
        <f>PERCENTILE($E$2:$E916,0.975)</f>
        <v>3</v>
      </c>
    </row>
    <row r="918" spans="1:18" x14ac:dyDescent="0.2">
      <c r="A918" s="5">
        <f>Data!E823</f>
        <v>2014</v>
      </c>
      <c r="B918" s="5">
        <f>Data!M823</f>
        <v>0.22857142857142856</v>
      </c>
      <c r="C918" s="5">
        <f>Data!N823</f>
        <v>3.5714285714285712E-2</v>
      </c>
      <c r="D918" s="5">
        <f ca="1">Data!O823</f>
        <v>28.1</v>
      </c>
      <c r="E918" s="1">
        <f>Data!AQ823</f>
        <v>1.5</v>
      </c>
      <c r="F918" t="str">
        <f t="shared" si="15"/>
        <v/>
      </c>
      <c r="G918" s="5">
        <f ca="1">AVERAGE(D$2:D917)</f>
        <v>184.39495449729552</v>
      </c>
      <c r="H918" s="5">
        <f ca="1">PERCENTILE(D$2:D917,0.025)</f>
        <v>-2.6637812434101669</v>
      </c>
      <c r="I918" s="5">
        <f ca="1">PERCENTILE(D$2:D917,0.165)</f>
        <v>10.178594724240202</v>
      </c>
      <c r="J918" s="5">
        <f ca="1">PERCENTILE(D$2:D917,0.5)</f>
        <v>50.75383375536623</v>
      </c>
      <c r="K918" s="5">
        <f ca="1">PERCENTILE(D$2:D917,0.835)</f>
        <v>227.21381087462061</v>
      </c>
      <c r="L918" s="5">
        <f ca="1">PERCENTILE(D$2:D917,0.975)</f>
        <v>1135.3636824314619</v>
      </c>
      <c r="M918" s="7">
        <f>AVERAGE(E$2:E917)</f>
        <v>1.2416021361815768</v>
      </c>
      <c r="N918" s="7">
        <f>PERCENTILE($E$2:$E917,0.025)</f>
        <v>-1.1000000000000001</v>
      </c>
      <c r="O918" s="7">
        <f>PERCENTILE($E$2:$E917,0.165)</f>
        <v>0</v>
      </c>
      <c r="P918" s="7">
        <f>PERCENTILE($E$2:$E917,0.5)</f>
        <v>1</v>
      </c>
      <c r="Q918" s="7">
        <f>PERCENTILE($E$2:$E917,0.835)</f>
        <v>3</v>
      </c>
      <c r="R918" s="7">
        <f>PERCENTILE($E$2:$E917,0.975)</f>
        <v>3</v>
      </c>
    </row>
    <row r="919" spans="1:18" x14ac:dyDescent="0.2">
      <c r="A919" s="5">
        <f>Data!E824</f>
        <v>2014</v>
      </c>
      <c r="B919" s="5">
        <f>Data!M824</f>
        <v>0.22857142857142856</v>
      </c>
      <c r="C919" s="5">
        <f>Data!N824</f>
        <v>3.5714285714285712E-2</v>
      </c>
      <c r="D919" s="5">
        <f ca="1">Data!O824</f>
        <v>27.4</v>
      </c>
      <c r="E919" s="1">
        <f>Data!AQ824</f>
        <v>1.5</v>
      </c>
      <c r="F919" t="str">
        <f t="shared" si="15"/>
        <v/>
      </c>
      <c r="G919" s="5">
        <f ca="1">AVERAGE(D$2:D918)</f>
        <v>184.22451288933772</v>
      </c>
      <c r="H919" s="5">
        <f ca="1">PERCENTILE(D$2:D918,0.025)</f>
        <v>-2.66303414582781</v>
      </c>
      <c r="I919" s="5">
        <f ca="1">PERCENTILE(D$2:D918,0.165)</f>
        <v>10.204350287552385</v>
      </c>
      <c r="J919" s="5">
        <f ca="1">PERCENTILE(D$2:D918,0.5)</f>
        <v>50.75383375536623</v>
      </c>
      <c r="K919" s="5">
        <f ca="1">PERCENTILE(D$2:D918,0.835)</f>
        <v>227.1161903972681</v>
      </c>
      <c r="L919" s="5">
        <f ca="1">PERCENTILE(D$2:D918,0.975)</f>
        <v>1133.5408185145154</v>
      </c>
      <c r="M919" s="7">
        <f>AVERAGE(E$2:E918)</f>
        <v>1.2419466666666679</v>
      </c>
      <c r="N919" s="7">
        <f>PERCENTILE($E$2:$E918,0.025)</f>
        <v>-1.1000000000000001</v>
      </c>
      <c r="O919" s="7">
        <f>PERCENTILE($E$2:$E918,0.165)</f>
        <v>0</v>
      </c>
      <c r="P919" s="7">
        <f>PERCENTILE($E$2:$E918,0.5)</f>
        <v>1</v>
      </c>
      <c r="Q919" s="7">
        <f>PERCENTILE($E$2:$E918,0.835)</f>
        <v>3</v>
      </c>
      <c r="R919" s="7">
        <f>PERCENTILE($E$2:$E918,0.975)</f>
        <v>3</v>
      </c>
    </row>
    <row r="920" spans="1:18" x14ac:dyDescent="0.2">
      <c r="A920" s="5">
        <f>Data!E825</f>
        <v>2014</v>
      </c>
      <c r="B920" s="5">
        <f>Data!M825</f>
        <v>0.22857142857142856</v>
      </c>
      <c r="C920" s="5">
        <f>Data!N825</f>
        <v>3.5714285714285712E-2</v>
      </c>
      <c r="D920" s="5">
        <f ca="1">Data!O825</f>
        <v>27.4</v>
      </c>
      <c r="E920" s="1">
        <f>Data!AQ825</f>
        <v>1.5</v>
      </c>
      <c r="F920" t="str">
        <f t="shared" si="15"/>
        <v/>
      </c>
      <c r="G920" s="5">
        <f ca="1">AVERAGE(D$2:D919)</f>
        <v>184.053680086626</v>
      </c>
      <c r="H920" s="5">
        <f ca="1">PERCENTILE(D$2:D919,0.025)</f>
        <v>-2.662287048245453</v>
      </c>
      <c r="I920" s="5">
        <f ca="1">PERCENTILE(D$2:D919,0.165)</f>
        <v>10.233815252466796</v>
      </c>
      <c r="J920" s="5">
        <f ca="1">PERCENTILE(D$2:D919,0.5)</f>
        <v>50.567360960021432</v>
      </c>
      <c r="K920" s="5">
        <f ca="1">PERCENTILE(D$2:D919,0.835)</f>
        <v>227.06292469694171</v>
      </c>
      <c r="L920" s="5">
        <f ca="1">PERCENTILE(D$2:D919,0.975)</f>
        <v>1131.7179545975605</v>
      </c>
      <c r="M920" s="7">
        <f>AVERAGE(E$2:E919)</f>
        <v>1.2422902796271651</v>
      </c>
      <c r="N920" s="7">
        <f>PERCENTILE($E$2:$E919,0.025)</f>
        <v>-1.1000000000000001</v>
      </c>
      <c r="O920" s="7">
        <f>PERCENTILE($E$2:$E919,0.165)</f>
        <v>0</v>
      </c>
      <c r="P920" s="7">
        <f>PERCENTILE($E$2:$E919,0.5)</f>
        <v>1</v>
      </c>
      <c r="Q920" s="7">
        <f>PERCENTILE($E$2:$E919,0.835)</f>
        <v>3</v>
      </c>
      <c r="R920" s="7">
        <f>PERCENTILE($E$2:$E919,0.975)</f>
        <v>3</v>
      </c>
    </row>
    <row r="921" spans="1:18" x14ac:dyDescent="0.2">
      <c r="A921" s="5">
        <f>Data!E826</f>
        <v>2014</v>
      </c>
      <c r="B921" s="5">
        <f>Data!M826</f>
        <v>0.22857142857142856</v>
      </c>
      <c r="C921" s="5">
        <f>Data!N826</f>
        <v>3.5714285714285712E-2</v>
      </c>
      <c r="D921" s="5">
        <f ca="1">Data!O826</f>
        <v>27.4</v>
      </c>
      <c r="E921" s="1">
        <f>Data!AQ826</f>
        <v>1.5</v>
      </c>
      <c r="F921" t="str">
        <f t="shared" si="15"/>
        <v/>
      </c>
      <c r="G921" s="5">
        <f ca="1">AVERAGE(D$2:D920)</f>
        <v>183.88321906368083</v>
      </c>
      <c r="H921" s="5">
        <f ca="1">PERCENTILE(D$2:D920,0.025)</f>
        <v>-2.6615399506630966</v>
      </c>
      <c r="I921" s="5">
        <f ca="1">PERCENTILE(D$2:D920,0.165)</f>
        <v>10.263280217381205</v>
      </c>
      <c r="J921" s="5">
        <f ca="1">PERCENTILE(D$2:D920,0.5)</f>
        <v>50.380888164676627</v>
      </c>
      <c r="K921" s="5">
        <f ca="1">PERCENTILE(D$2:D920,0.835)</f>
        <v>227.00965899661534</v>
      </c>
      <c r="L921" s="5">
        <f ca="1">PERCENTILE(D$2:D920,0.975)</f>
        <v>1129.8950906806137</v>
      </c>
      <c r="M921" s="7">
        <f>AVERAGE(E$2:E920)</f>
        <v>1.2426329787234056</v>
      </c>
      <c r="N921" s="7">
        <f>PERCENTILE($E$2:$E920,0.025)</f>
        <v>-1.1000000000000001</v>
      </c>
      <c r="O921" s="7">
        <f>PERCENTILE($E$2:$E920,0.165)</f>
        <v>0</v>
      </c>
      <c r="P921" s="7">
        <f>PERCENTILE($E$2:$E920,0.5)</f>
        <v>1</v>
      </c>
      <c r="Q921" s="7">
        <f>PERCENTILE($E$2:$E920,0.835)</f>
        <v>3</v>
      </c>
      <c r="R921" s="7">
        <f>PERCENTILE($E$2:$E920,0.975)</f>
        <v>3</v>
      </c>
    </row>
    <row r="922" spans="1:18" x14ac:dyDescent="0.2">
      <c r="A922" s="5">
        <f>Data!E827</f>
        <v>2014</v>
      </c>
      <c r="B922" s="5">
        <f>Data!M827</f>
        <v>0.22857142857142856</v>
      </c>
      <c r="C922" s="5">
        <f>Data!N827</f>
        <v>3.5714285714285712E-2</v>
      </c>
      <c r="D922" s="5">
        <f ca="1">Data!O827</f>
        <v>198.6</v>
      </c>
      <c r="E922" s="1">
        <f>Data!AQ827</f>
        <v>0.1</v>
      </c>
      <c r="F922" t="str">
        <f t="shared" si="15"/>
        <v/>
      </c>
      <c r="G922" s="5">
        <f ca="1">AVERAGE(D$2:D921)</f>
        <v>183.71312860817682</v>
      </c>
      <c r="H922" s="5">
        <f ca="1">PERCENTILE(D$2:D921,0.025)</f>
        <v>-2.6607928530807397</v>
      </c>
      <c r="I922" s="5">
        <f ca="1">PERCENTILE(D$2:D921,0.165)</f>
        <v>10.292745182295619</v>
      </c>
      <c r="J922" s="5">
        <f ca="1">PERCENTILE(D$2:D921,0.5)</f>
        <v>50.128373040135656</v>
      </c>
      <c r="K922" s="5">
        <f ca="1">PERCENTILE(D$2:D921,0.835)</f>
        <v>226.95639329628895</v>
      </c>
      <c r="L922" s="5">
        <f ca="1">PERCENTILE(D$2:D921,0.975)</f>
        <v>1128.0722267636672</v>
      </c>
      <c r="M922" s="7">
        <f>AVERAGE(E$2:E921)</f>
        <v>1.2429747675962828</v>
      </c>
      <c r="N922" s="7">
        <f>PERCENTILE($E$2:$E921,0.025)</f>
        <v>-1.1000000000000001</v>
      </c>
      <c r="O922" s="7">
        <f>PERCENTILE($E$2:$E921,0.165)</f>
        <v>0</v>
      </c>
      <c r="P922" s="7">
        <f>PERCENTILE($E$2:$E921,0.5)</f>
        <v>1</v>
      </c>
      <c r="Q922" s="7">
        <f>PERCENTILE($E$2:$E921,0.835)</f>
        <v>3</v>
      </c>
      <c r="R922" s="7">
        <f>PERCENTILE($E$2:$E921,0.975)</f>
        <v>3</v>
      </c>
    </row>
    <row r="923" spans="1:18" x14ac:dyDescent="0.2">
      <c r="A923" s="5">
        <f>Data!E828</f>
        <v>2014</v>
      </c>
      <c r="B923" s="5">
        <f>Data!M828</f>
        <v>0.22857142857142856</v>
      </c>
      <c r="C923" s="5">
        <f>Data!N828</f>
        <v>3.5714285714285712E-2</v>
      </c>
      <c r="D923" s="5">
        <f ca="1">Data!O828</f>
        <v>191.9</v>
      </c>
      <c r="E923" s="1">
        <f>Data!AQ828</f>
        <v>0.1</v>
      </c>
      <c r="F923" t="str">
        <f t="shared" si="15"/>
        <v/>
      </c>
      <c r="G923" s="5">
        <f ca="1">AVERAGE(D$2:D922)</f>
        <v>183.72929242076296</v>
      </c>
      <c r="H923" s="5">
        <f ca="1">PERCENTILE(D$2:D922,0.025)</f>
        <v>-2.6600457554983832</v>
      </c>
      <c r="I923" s="5">
        <f ca="1">PERCENTILE(D$2:D922,0.165)</f>
        <v>10.322210147210029</v>
      </c>
      <c r="J923" s="5">
        <f ca="1">PERCENTILE(D$2:D922,0.5)</f>
        <v>50.380888164676627</v>
      </c>
      <c r="K923" s="5">
        <f ca="1">PERCENTILE(D$2:D922,0.835)</f>
        <v>226.90312759596256</v>
      </c>
      <c r="L923" s="5">
        <f ca="1">PERCENTILE(D$2:D922,0.975)</f>
        <v>1126.2493628467205</v>
      </c>
      <c r="M923" s="7">
        <f>AVERAGE(E$2:E922)</f>
        <v>1.2414588859416458</v>
      </c>
      <c r="N923" s="7">
        <f>PERCENTILE($E$2:$E922,0.025)</f>
        <v>-1.1000000000000001</v>
      </c>
      <c r="O923" s="7">
        <f>PERCENTILE($E$2:$E922,0.165)</f>
        <v>0</v>
      </c>
      <c r="P923" s="7">
        <f>PERCENTILE($E$2:$E922,0.5)</f>
        <v>1</v>
      </c>
      <c r="Q923" s="7">
        <f>PERCENTILE($E$2:$E922,0.835)</f>
        <v>3</v>
      </c>
      <c r="R923" s="7">
        <f>PERCENTILE($E$2:$E922,0.975)</f>
        <v>3</v>
      </c>
    </row>
    <row r="924" spans="1:18" x14ac:dyDescent="0.2">
      <c r="A924" s="5">
        <f>Data!E829</f>
        <v>2014</v>
      </c>
      <c r="B924" s="5">
        <f>Data!M829</f>
        <v>0.22857142857142856</v>
      </c>
      <c r="C924" s="5">
        <f>Data!N829</f>
        <v>3.5714285714285712E-2</v>
      </c>
      <c r="D924" s="5">
        <f ca="1">Data!O829</f>
        <v>200.4</v>
      </c>
      <c r="E924" s="1">
        <f>Data!AQ829</f>
        <v>0.1</v>
      </c>
      <c r="F924" t="str">
        <f t="shared" si="15"/>
        <v/>
      </c>
      <c r="G924" s="5">
        <f ca="1">AVERAGE(D$2:D923)</f>
        <v>183.73815435956905</v>
      </c>
      <c r="H924" s="5">
        <f ca="1">PERCENTILE(D$2:D923,0.025)</f>
        <v>-2.6507771575426813</v>
      </c>
      <c r="I924" s="5">
        <f ca="1">PERCENTILE(D$2:D923,0.165)</f>
        <v>10.351675112124438</v>
      </c>
      <c r="J924" s="5">
        <f ca="1">PERCENTILE(D$2:D923,0.5)</f>
        <v>50.567360960021432</v>
      </c>
      <c r="K924" s="5">
        <f ca="1">PERCENTILE(D$2:D923,0.835)</f>
        <v>226.84986189563617</v>
      </c>
      <c r="L924" s="5">
        <f ca="1">PERCENTILE(D$2:D923,0.975)</f>
        <v>1125.2820444686688</v>
      </c>
      <c r="M924" s="7">
        <f>AVERAGE(E$2:E923)</f>
        <v>1.2399470198675511</v>
      </c>
      <c r="N924" s="7">
        <f>PERCENTILE($E$2:$E923,0.025)</f>
        <v>-1.1000000000000001</v>
      </c>
      <c r="O924" s="7">
        <f>PERCENTILE($E$2:$E923,0.165)</f>
        <v>0</v>
      </c>
      <c r="P924" s="7">
        <f>PERCENTILE($E$2:$E923,0.5)</f>
        <v>1</v>
      </c>
      <c r="Q924" s="7">
        <f>PERCENTILE($E$2:$E923,0.835)</f>
        <v>3</v>
      </c>
      <c r="R924" s="7">
        <f>PERCENTILE($E$2:$E923,0.975)</f>
        <v>3</v>
      </c>
    </row>
    <row r="925" spans="1:18" x14ac:dyDescent="0.2">
      <c r="A925" s="5">
        <f>Data!E830</f>
        <v>2014</v>
      </c>
      <c r="B925" s="5">
        <f>Data!M830</f>
        <v>0.22857142857142856</v>
      </c>
      <c r="C925" s="5">
        <f>Data!N830</f>
        <v>3.5714285714285712E-2</v>
      </c>
      <c r="D925" s="5">
        <f ca="1">Data!O830</f>
        <v>202.8</v>
      </c>
      <c r="E925" s="1">
        <f>Data!AQ830</f>
        <v>0.1</v>
      </c>
      <c r="F925" t="str">
        <f t="shared" si="15"/>
        <v/>
      </c>
      <c r="G925" s="5">
        <f ca="1">AVERAGE(D$2:D924)</f>
        <v>183.75620619666594</v>
      </c>
      <c r="H925" s="5">
        <f ca="1">PERCENTILE(D$2:D924,0.025)</f>
        <v>-2.6415085595869807</v>
      </c>
      <c r="I925" s="5">
        <f ca="1">PERCENTILE(D$2:D924,0.165)</f>
        <v>10.361796894151398</v>
      </c>
      <c r="J925" s="5">
        <f ca="1">PERCENTILE(D$2:D924,0.5)</f>
        <v>50.75383375536623</v>
      </c>
      <c r="K925" s="5">
        <f ca="1">PERCENTILE(D$2:D924,0.835)</f>
        <v>226.83856311071847</v>
      </c>
      <c r="L925" s="5">
        <f ca="1">PERCENTILE(D$2:D924,0.975)</f>
        <v>1124.314726090613</v>
      </c>
      <c r="M925" s="7">
        <f>AVERAGE(E$2:E924)</f>
        <v>1.2384391534391548</v>
      </c>
      <c r="N925" s="7">
        <f>PERCENTILE($E$2:$E924,0.025)</f>
        <v>-1.1000000000000001</v>
      </c>
      <c r="O925" s="7">
        <f>PERCENTILE($E$2:$E924,0.165)</f>
        <v>0</v>
      </c>
      <c r="P925" s="7">
        <f>PERCENTILE($E$2:$E924,0.5)</f>
        <v>1</v>
      </c>
      <c r="Q925" s="7">
        <f>PERCENTILE($E$2:$E924,0.835)</f>
        <v>3</v>
      </c>
      <c r="R925" s="7">
        <f>PERCENTILE($E$2:$E924,0.975)</f>
        <v>3</v>
      </c>
    </row>
    <row r="926" spans="1:18" x14ac:dyDescent="0.2">
      <c r="A926" s="5">
        <f>Data!E831</f>
        <v>2014</v>
      </c>
      <c r="B926" s="5">
        <f>Data!M831</f>
        <v>0.22857142857142856</v>
      </c>
      <c r="C926" s="5">
        <f>Data!N831</f>
        <v>3.5714285714285712E-2</v>
      </c>
      <c r="D926" s="5">
        <f ca="1">Data!O831</f>
        <v>204.3</v>
      </c>
      <c r="E926" s="1">
        <f>Data!AQ831</f>
        <v>0.1</v>
      </c>
      <c r="F926" t="str">
        <f t="shared" si="15"/>
        <v/>
      </c>
      <c r="G926" s="5">
        <f ca="1">AVERAGE(D$2:D925)</f>
        <v>183.77681636311976</v>
      </c>
      <c r="H926" s="5">
        <f ca="1">PERCENTILE(D$2:D925,0.025)</f>
        <v>-2.6322399616312788</v>
      </c>
      <c r="I926" s="5">
        <f ca="1">PERCENTILE(D$2:D925,0.165)</f>
        <v>10.366710896170201</v>
      </c>
      <c r="J926" s="5">
        <f ca="1">PERCENTILE(D$2:D925,0.5)</f>
        <v>50.75383375536623</v>
      </c>
      <c r="K926" s="5">
        <f ca="1">PERCENTILE(D$2:D925,0.835)</f>
        <v>226.83856311071847</v>
      </c>
      <c r="L926" s="5">
        <f ca="1">PERCENTILE(D$2:D925,0.975)</f>
        <v>1123.3474077125613</v>
      </c>
      <c r="M926" s="7">
        <f>AVERAGE(E$2:E925)</f>
        <v>1.2369352708058139</v>
      </c>
      <c r="N926" s="7">
        <f>PERCENTILE($E$2:$E925,0.025)</f>
        <v>-1.1000000000000001</v>
      </c>
      <c r="O926" s="7">
        <f>PERCENTILE($E$2:$E925,0.165)</f>
        <v>0</v>
      </c>
      <c r="P926" s="7">
        <f>PERCENTILE($E$2:$E925,0.5)</f>
        <v>1</v>
      </c>
      <c r="Q926" s="7">
        <f>PERCENTILE($E$2:$E925,0.835)</f>
        <v>3</v>
      </c>
      <c r="R926" s="7">
        <f>PERCENTILE($E$2:$E925,0.975)</f>
        <v>3</v>
      </c>
    </row>
    <row r="927" spans="1:18" x14ac:dyDescent="0.2">
      <c r="A927" s="5">
        <f>Data!E832</f>
        <v>2014</v>
      </c>
      <c r="B927" s="5">
        <f>Data!M832</f>
        <v>0.37647058823529411</v>
      </c>
      <c r="C927" s="5">
        <f>Data!N832</f>
        <v>5.8823529411764705E-2</v>
      </c>
      <c r="D927" s="5">
        <f ca="1">Data!O832</f>
        <v>40.938999829322405</v>
      </c>
      <c r="E927" s="1">
        <f>Data!AQ832</f>
        <v>1.5</v>
      </c>
      <c r="F927" t="str">
        <f t="shared" si="15"/>
        <v/>
      </c>
      <c r="G927" s="5">
        <f ca="1">AVERAGE(D$2:D926)</f>
        <v>183.79900358867312</v>
      </c>
      <c r="H927" s="5">
        <f ca="1">PERCENTILE(D$2:D926,0.025)</f>
        <v>-2.6229713636755787</v>
      </c>
      <c r="I927" s="5">
        <f ca="1">PERCENTILE(D$2:D926,0.165)</f>
        <v>10.371624898189003</v>
      </c>
      <c r="J927" s="5">
        <f ca="1">PERCENTILE(D$2:D926,0.5)</f>
        <v>50.75383375536623</v>
      </c>
      <c r="K927" s="5">
        <f ca="1">PERCENTILE(D$2:D926,0.835)</f>
        <v>226.83856311071847</v>
      </c>
      <c r="L927" s="5">
        <f ca="1">PERCENTILE(D$2:D926,0.975)</f>
        <v>1122.3800893345096</v>
      </c>
      <c r="M927" s="7">
        <f>AVERAGE(E$2:E926)</f>
        <v>1.2354353562005291</v>
      </c>
      <c r="N927" s="7">
        <f>PERCENTILE($E$2:$E926,0.025)</f>
        <v>-1.1000000000000001</v>
      </c>
      <c r="O927" s="7">
        <f>PERCENTILE($E$2:$E926,0.165)</f>
        <v>0</v>
      </c>
      <c r="P927" s="7">
        <f>PERCENTILE($E$2:$E926,0.5)</f>
        <v>1</v>
      </c>
      <c r="Q927" s="7">
        <f>PERCENTILE($E$2:$E926,0.835)</f>
        <v>3</v>
      </c>
      <c r="R927" s="7">
        <f>PERCENTILE($E$2:$E926,0.975)</f>
        <v>3</v>
      </c>
    </row>
    <row r="928" spans="1:18" x14ac:dyDescent="0.2">
      <c r="A928" s="5">
        <f>Data!E833</f>
        <v>2014</v>
      </c>
      <c r="B928" s="5">
        <f>Data!M833</f>
        <v>1.5058823529411764</v>
      </c>
      <c r="C928" s="5">
        <f>Data!N833</f>
        <v>0.23529411764705882</v>
      </c>
      <c r="D928" s="5">
        <f ca="1">Data!O833</f>
        <v>105213.22956135857</v>
      </c>
      <c r="E928" s="1">
        <f>Data!AQ833</f>
        <v>1.5</v>
      </c>
      <c r="F928" t="str">
        <f t="shared" si="15"/>
        <v/>
      </c>
      <c r="G928" s="5">
        <f ca="1">AVERAGE(D$2:D927)</f>
        <v>183.64472712672998</v>
      </c>
      <c r="H928" s="5">
        <f ca="1">PERCENTILE(D$2:D927,0.025)</f>
        <v>-2.6137027657198781</v>
      </c>
      <c r="I928" s="5">
        <f ca="1">PERCENTILE(D$2:D927,0.165)</f>
        <v>10.376538900207805</v>
      </c>
      <c r="J928" s="5">
        <f ca="1">PERCENTILE(D$2:D927,0.5)</f>
        <v>50.75383375536623</v>
      </c>
      <c r="K928" s="5">
        <f ca="1">PERCENTILE(D$2:D927,0.835)</f>
        <v>226.83856311071847</v>
      </c>
      <c r="L928" s="5">
        <f ca="1">PERCENTILE(D$2:D927,0.975)</f>
        <v>1121.4127709564582</v>
      </c>
      <c r="M928" s="7">
        <f>AVERAGE(E$2:E927)</f>
        <v>1.2357839262187102</v>
      </c>
      <c r="N928" s="7">
        <f>PERCENTILE($E$2:$E927,0.025)</f>
        <v>-1.1000000000000001</v>
      </c>
      <c r="O928" s="7">
        <f>PERCENTILE($E$2:$E927,0.165)</f>
        <v>0</v>
      </c>
      <c r="P928" s="7">
        <f>PERCENTILE($E$2:$E927,0.5)</f>
        <v>1</v>
      </c>
      <c r="Q928" s="7">
        <f>PERCENTILE($E$2:$E927,0.835)</f>
        <v>3</v>
      </c>
      <c r="R928" s="7">
        <f>PERCENTILE($E$2:$E927,0.975)</f>
        <v>3</v>
      </c>
    </row>
    <row r="929" spans="1:18" x14ac:dyDescent="0.2">
      <c r="A929" s="5">
        <f>Data!E834</f>
        <v>2014</v>
      </c>
      <c r="B929" s="5">
        <f>Data!M834</f>
        <v>3.0117647058823529</v>
      </c>
      <c r="C929" s="5">
        <f>Data!N834</f>
        <v>0.47058823529411764</v>
      </c>
      <c r="D929" s="5">
        <f ca="1">Data!O834</f>
        <v>18.422549923195081</v>
      </c>
      <c r="E929" s="1">
        <f>Data!AQ834</f>
        <v>1.5</v>
      </c>
      <c r="F929" t="str">
        <f t="shared" si="15"/>
        <v/>
      </c>
      <c r="G929" s="5">
        <f ca="1">AVERAGE(D$2:D928)</f>
        <v>296.94525014100378</v>
      </c>
      <c r="H929" s="5">
        <f ca="1">PERCENTILE(D$2:D928,0.025)</f>
        <v>-2.6044341677641762</v>
      </c>
      <c r="I929" s="5">
        <f ca="1">PERCENTILE(D$2:D928,0.165)</f>
        <v>10.381452902226608</v>
      </c>
      <c r="J929" s="5">
        <f ca="1">PERCENTILE(D$2:D928,0.5)</f>
        <v>50.75383375536623</v>
      </c>
      <c r="K929" s="5">
        <f ca="1">PERCENTILE(D$2:D928,0.835)</f>
        <v>226.90635582022475</v>
      </c>
      <c r="L929" s="5">
        <f ca="1">PERCENTILE(D$2:D928,0.975)</f>
        <v>1188.2267360229641</v>
      </c>
      <c r="M929" s="7">
        <f>AVERAGE(E$2:E928)</f>
        <v>1.2361315789473699</v>
      </c>
      <c r="N929" s="7">
        <f>PERCENTILE($E$2:$E928,0.025)</f>
        <v>-1.1000000000000001</v>
      </c>
      <c r="O929" s="7">
        <f>PERCENTILE($E$2:$E928,0.165)</f>
        <v>0</v>
      </c>
      <c r="P929" s="7">
        <f>PERCENTILE($E$2:$E928,0.5)</f>
        <v>1</v>
      </c>
      <c r="Q929" s="7">
        <f>PERCENTILE($E$2:$E928,0.835)</f>
        <v>3</v>
      </c>
      <c r="R929" s="7">
        <f>PERCENTILE($E$2:$E928,0.975)</f>
        <v>3</v>
      </c>
    </row>
    <row r="930" spans="1:18" x14ac:dyDescent="0.2">
      <c r="A930" s="5">
        <f>Data!E835</f>
        <v>2014</v>
      </c>
      <c r="B930" s="5">
        <f>Data!M835</f>
        <v>0.75294117647058822</v>
      </c>
      <c r="C930" s="5">
        <f>Data!N835</f>
        <v>0.11764705882352941</v>
      </c>
      <c r="D930" s="5">
        <f ca="1">Data!O835</f>
        <v>6918.6909711554872</v>
      </c>
      <c r="E930" s="1">
        <f>Data!AQ835</f>
        <v>1.5</v>
      </c>
      <c r="F930" t="str">
        <f t="shared" si="15"/>
        <v/>
      </c>
      <c r="G930" s="5">
        <f ca="1">AVERAGE(D$2:D929)</f>
        <v>296.64511792094152</v>
      </c>
      <c r="H930" s="5">
        <f ca="1">PERCENTILE(D$2:D929,0.025)</f>
        <v>-2.5951655698084757</v>
      </c>
      <c r="I930" s="5">
        <f ca="1">PERCENTILE(D$2:D929,0.165)</f>
        <v>10.386366904245408</v>
      </c>
      <c r="J930" s="5">
        <f ca="1">PERCENTILE(D$2:D929,0.5)</f>
        <v>50.75383375536623</v>
      </c>
      <c r="K930" s="5">
        <f ca="1">PERCENTILE(D$2:D929,0.835)</f>
        <v>226.85309011989838</v>
      </c>
      <c r="L930" s="5">
        <f ca="1">PERCENTILE(D$2:D929,0.975)</f>
        <v>1186.4038721060092</v>
      </c>
      <c r="M930" s="7">
        <f>AVERAGE(E$2:E929)</f>
        <v>1.2364783180026295</v>
      </c>
      <c r="N930" s="7">
        <f>PERCENTILE($E$2:$E929,0.025)</f>
        <v>-1.1000000000000001</v>
      </c>
      <c r="O930" s="7">
        <f>PERCENTILE($E$2:$E929,0.165)</f>
        <v>0</v>
      </c>
      <c r="P930" s="7">
        <f>PERCENTILE($E$2:$E929,0.5)</f>
        <v>1</v>
      </c>
      <c r="Q930" s="7">
        <f>PERCENTILE($E$2:$E929,0.835)</f>
        <v>3</v>
      </c>
      <c r="R930" s="7">
        <f>PERCENTILE($E$2:$E929,0.975)</f>
        <v>3</v>
      </c>
    </row>
    <row r="931" spans="1:18" x14ac:dyDescent="0.2">
      <c r="A931" s="5">
        <f>Data!E836</f>
        <v>2014</v>
      </c>
      <c r="B931" s="5">
        <f>Data!M836</f>
        <v>0.75294117647058822</v>
      </c>
      <c r="C931" s="5">
        <f>Data!N836</f>
        <v>0.11764705882352941</v>
      </c>
      <c r="D931" s="5">
        <f ca="1">Data!O836</f>
        <v>180.13159924901859</v>
      </c>
      <c r="E931" s="1">
        <f>Data!AQ836</f>
        <v>1.5</v>
      </c>
      <c r="F931" t="str">
        <f t="shared" si="15"/>
        <v/>
      </c>
      <c r="G931" s="5">
        <f ca="1">AVERAGE(D$2:D930)</f>
        <v>303.77326200407879</v>
      </c>
      <c r="H931" s="5">
        <f ca="1">PERCENTILE(D$2:D930,0.025)</f>
        <v>-2.5858969718527738</v>
      </c>
      <c r="I931" s="5">
        <f ca="1">PERCENTILE(D$2:D930,0.165)</f>
        <v>10.415656187792711</v>
      </c>
      <c r="J931" s="5">
        <f ca="1">PERCENTILE(D$2:D930,0.5)</f>
        <v>50.75383375536623</v>
      </c>
      <c r="K931" s="5">
        <f ca="1">PERCENTILE(D$2:D930,0.835)</f>
        <v>227.12264684579253</v>
      </c>
      <c r="L931" s="5">
        <f ca="1">PERCENTILE(D$2:D930,0.975)</f>
        <v>1288.8707903590205</v>
      </c>
      <c r="M931" s="7">
        <f>AVERAGE(E$2:E930)</f>
        <v>1.2368241469816288</v>
      </c>
      <c r="N931" s="7">
        <f>PERCENTILE($E$2:$E930,0.025)</f>
        <v>-1.1000000000000001</v>
      </c>
      <c r="O931" s="7">
        <f>PERCENTILE($E$2:$E930,0.165)</f>
        <v>0</v>
      </c>
      <c r="P931" s="7">
        <f>PERCENTILE($E$2:$E930,0.5)</f>
        <v>1</v>
      </c>
      <c r="Q931" s="7">
        <f>PERCENTILE($E$2:$E930,0.835)</f>
        <v>3</v>
      </c>
      <c r="R931" s="7">
        <f>PERCENTILE($E$2:$E930,0.975)</f>
        <v>3</v>
      </c>
    </row>
    <row r="932" spans="1:18" x14ac:dyDescent="0.2">
      <c r="A932" s="5">
        <f>Data!E837</f>
        <v>2014</v>
      </c>
      <c r="B932" s="5">
        <f>Data!M837</f>
        <v>0.85333333333333339</v>
      </c>
      <c r="C932" s="5">
        <f>Data!N837</f>
        <v>0.13333333333333333</v>
      </c>
      <c r="D932" s="5">
        <f ca="1">Data!O837</f>
        <v>423.89276597568244</v>
      </c>
      <c r="E932" s="1" t="str">
        <f>Data!AQ837</f>
        <v>NA</v>
      </c>
      <c r="F932" t="str">
        <f t="shared" si="15"/>
        <v/>
      </c>
      <c r="G932" s="5">
        <f ca="1">AVERAGE(D$2:D931)</f>
        <v>303.64031397961099</v>
      </c>
      <c r="H932" s="5">
        <f ca="1">PERCENTILE(D$2:D931,0.025)</f>
        <v>-2.5766283738970732</v>
      </c>
      <c r="I932" s="5">
        <f ca="1">PERCENTILE(D$2:D931,0.165)</f>
        <v>10.454086201913201</v>
      </c>
      <c r="J932" s="5">
        <f ca="1">PERCENTILE(D$2:D931,0.5)</f>
        <v>50.75383375536623</v>
      </c>
      <c r="K932" s="5">
        <f ca="1">PERCENTILE(D$2:D931,0.835)</f>
        <v>227.06938114546611</v>
      </c>
      <c r="L932" s="5">
        <f ca="1">PERCENTILE(D$2:D931,0.975)</f>
        <v>1286.0674506454488</v>
      </c>
      <c r="M932" s="7">
        <f>AVERAGE(E$2:E931)</f>
        <v>1.2371690694626489</v>
      </c>
      <c r="N932" s="7">
        <f>PERCENTILE($E$2:$E931,0.025)</f>
        <v>-1.1000000000000001</v>
      </c>
      <c r="O932" s="7">
        <f>PERCENTILE($E$2:$E931,0.165)</f>
        <v>0</v>
      </c>
      <c r="P932" s="7">
        <f>PERCENTILE($E$2:$E931,0.5)</f>
        <v>1</v>
      </c>
      <c r="Q932" s="7">
        <f>PERCENTILE($E$2:$E931,0.835)</f>
        <v>3</v>
      </c>
      <c r="R932" s="7">
        <f>PERCENTILE($E$2:$E931,0.975)</f>
        <v>3</v>
      </c>
    </row>
    <row r="933" spans="1:18" x14ac:dyDescent="0.2">
      <c r="A933" s="5">
        <f>Data!E838</f>
        <v>2014</v>
      </c>
      <c r="B933" s="5">
        <f>Data!M838</f>
        <v>0.42666666666666669</v>
      </c>
      <c r="C933" s="5">
        <f>Data!N838</f>
        <v>6.6666666666666666E-2</v>
      </c>
      <c r="D933" s="5">
        <f ca="1">Data!O838</f>
        <v>369.86721737093859</v>
      </c>
      <c r="E933" s="1" t="str">
        <f>Data!AQ838</f>
        <v>NA</v>
      </c>
      <c r="F933" t="str">
        <f t="shared" si="15"/>
        <v/>
      </c>
      <c r="G933" s="5">
        <f ca="1">AVERAGE(D$2:D932)</f>
        <v>303.76947880452622</v>
      </c>
      <c r="H933" s="5">
        <f ca="1">PERCENTILE(D$2:D932,0.025)</f>
        <v>-2.5673597759413727</v>
      </c>
      <c r="I933" s="5">
        <f ca="1">PERCENTILE(D$2:D932,0.165)</f>
        <v>10.492516216033696</v>
      </c>
      <c r="J933" s="5">
        <f ca="1">PERCENTILE(D$2:D932,0.5)</f>
        <v>50.75383375536623</v>
      </c>
      <c r="K933" s="5">
        <f ca="1">PERCENTILE(D$2:D932,0.835)</f>
        <v>228.31474296593547</v>
      </c>
      <c r="L933" s="5">
        <f ca="1">PERCENTILE(D$2:D932,0.975)</f>
        <v>1283.2641109318774</v>
      </c>
      <c r="M933" s="7">
        <f>AVERAGE(E$2:E932)</f>
        <v>1.2371690694626489</v>
      </c>
      <c r="N933" s="7">
        <f>PERCENTILE($E$2:$E932,0.025)</f>
        <v>-1.1000000000000001</v>
      </c>
      <c r="O933" s="7">
        <f>PERCENTILE($E$2:$E932,0.165)</f>
        <v>0</v>
      </c>
      <c r="P933" s="7">
        <f>PERCENTILE($E$2:$E932,0.5)</f>
        <v>1</v>
      </c>
      <c r="Q933" s="7">
        <f>PERCENTILE($E$2:$E932,0.835)</f>
        <v>3</v>
      </c>
      <c r="R933" s="7">
        <f>PERCENTILE($E$2:$E932,0.975)</f>
        <v>3</v>
      </c>
    </row>
    <row r="934" spans="1:18" x14ac:dyDescent="0.2">
      <c r="A934" s="5">
        <f>Data!E839</f>
        <v>2014</v>
      </c>
      <c r="B934" s="5">
        <f>Data!M839</f>
        <v>1.2800000000000002</v>
      </c>
      <c r="C934" s="5">
        <f>Data!N839</f>
        <v>0.2</v>
      </c>
      <c r="D934" s="5">
        <f ca="1">Data!O839</f>
        <v>619.21590323898704</v>
      </c>
      <c r="E934" s="1" t="str">
        <f>Data!AQ839</f>
        <v>NA</v>
      </c>
      <c r="F934" t="str">
        <f t="shared" si="15"/>
        <v/>
      </c>
      <c r="G934" s="5">
        <f ca="1">AVERAGE(D$2:D933)</f>
        <v>303.84039912487646</v>
      </c>
      <c r="H934" s="5">
        <f ca="1">PERCENTILE(D$2:D933,0.025)</f>
        <v>-2.5580911779856708</v>
      </c>
      <c r="I934" s="5">
        <f ca="1">PERCENTILE(D$2:D933,0.165)</f>
        <v>10.530946230154184</v>
      </c>
      <c r="J934" s="5">
        <f ca="1">PERCENTILE(D$2:D933,0.5)</f>
        <v>50.75383375536623</v>
      </c>
      <c r="K934" s="5">
        <f ca="1">PERCENTILE(D$2:D933,0.835)</f>
        <v>231.8539154121863</v>
      </c>
      <c r="L934" s="5">
        <f ca="1">PERCENTILE(D$2:D933,0.975)</f>
        <v>1280.4607712183058</v>
      </c>
      <c r="M934" s="7">
        <f>AVERAGE(E$2:E933)</f>
        <v>1.2371690694626489</v>
      </c>
      <c r="N934" s="7">
        <f>PERCENTILE($E$2:$E933,0.025)</f>
        <v>-1.1000000000000001</v>
      </c>
      <c r="O934" s="7">
        <f>PERCENTILE($E$2:$E933,0.165)</f>
        <v>0</v>
      </c>
      <c r="P934" s="7">
        <f>PERCENTILE($E$2:$E933,0.5)</f>
        <v>1</v>
      </c>
      <c r="Q934" s="7">
        <f>PERCENTILE($E$2:$E933,0.835)</f>
        <v>3</v>
      </c>
      <c r="R934" s="7">
        <f>PERCENTILE($E$2:$E933,0.975)</f>
        <v>3</v>
      </c>
    </row>
    <row r="935" spans="1:18" x14ac:dyDescent="0.2">
      <c r="A935" s="5">
        <f>Data!E840</f>
        <v>2014</v>
      </c>
      <c r="B935" s="5">
        <f>Data!M840</f>
        <v>1.7066666666666668</v>
      </c>
      <c r="C935" s="5">
        <f>Data!N840</f>
        <v>0.26666666666666666</v>
      </c>
      <c r="D935" s="5">
        <f ca="1">Data!O840</f>
        <v>669.08564041259683</v>
      </c>
      <c r="E935" s="1" t="str">
        <f>Data!AQ840</f>
        <v>NA</v>
      </c>
      <c r="F935" t="str">
        <f t="shared" si="15"/>
        <v/>
      </c>
      <c r="G935" s="5">
        <f ca="1">AVERAGE(D$2:D934)</f>
        <v>304.17842217323022</v>
      </c>
      <c r="H935" s="5">
        <f ca="1">PERCENTILE(D$2:D934,0.025)</f>
        <v>-2.5488225800299702</v>
      </c>
      <c r="I935" s="5">
        <f ca="1">PERCENTILE(D$2:D934,0.165)</f>
        <v>10.569376244274673</v>
      </c>
      <c r="J935" s="5">
        <f ca="1">PERCENTILE(D$2:D934,0.5)</f>
        <v>50.75383375536623</v>
      </c>
      <c r="K935" s="5">
        <f ca="1">PERCENTILE(D$2:D934,0.835)</f>
        <v>236.01090593472648</v>
      </c>
      <c r="L935" s="5">
        <f ca="1">PERCENTILE(D$2:D934,0.975)</f>
        <v>1277.6574315047214</v>
      </c>
      <c r="M935" s="7">
        <f>AVERAGE(E$2:E934)</f>
        <v>1.2371690694626489</v>
      </c>
      <c r="N935" s="7">
        <f>PERCENTILE($E$2:$E934,0.025)</f>
        <v>-1.1000000000000001</v>
      </c>
      <c r="O935" s="7">
        <f>PERCENTILE($E$2:$E934,0.165)</f>
        <v>0</v>
      </c>
      <c r="P935" s="7">
        <f>PERCENTILE($E$2:$E934,0.5)</f>
        <v>1</v>
      </c>
      <c r="Q935" s="7">
        <f>PERCENTILE($E$2:$E934,0.835)</f>
        <v>3</v>
      </c>
      <c r="R935" s="7">
        <f>PERCENTILE($E$2:$E934,0.975)</f>
        <v>3</v>
      </c>
    </row>
    <row r="936" spans="1:18" x14ac:dyDescent="0.2">
      <c r="A936" s="5">
        <f>Data!E841</f>
        <v>2014</v>
      </c>
      <c r="B936" s="5">
        <f>Data!M841</f>
        <v>2.1333333333333333</v>
      </c>
      <c r="C936" s="5">
        <f>Data!N841</f>
        <v>0.33333333333333331</v>
      </c>
      <c r="D936" s="5">
        <f ca="1">Data!O841</f>
        <v>947.52500629858434</v>
      </c>
      <c r="E936" s="1" t="str">
        <f>Data!AQ841</f>
        <v>NA</v>
      </c>
      <c r="F936" t="str">
        <f t="shared" si="15"/>
        <v/>
      </c>
      <c r="G936" s="5">
        <f ca="1">AVERAGE(D$2:D935)</f>
        <v>304.56911512637731</v>
      </c>
      <c r="H936" s="5">
        <f ca="1">PERCENTILE(D$2:D935,0.025)</f>
        <v>-2.5395539820742687</v>
      </c>
      <c r="I936" s="5">
        <f ca="1">PERCENTILE(D$2:D935,0.165)</f>
        <v>10.607806258395161</v>
      </c>
      <c r="J936" s="5">
        <f ca="1">PERCENTILE(D$2:D935,0.5)</f>
        <v>51.125835395083627</v>
      </c>
      <c r="K936" s="5">
        <f ca="1">PERCENTILE(D$2:D935,0.835)</f>
        <v>236.05119429091985</v>
      </c>
      <c r="L936" s="5">
        <f ca="1">PERCENTILE(D$2:D935,0.975)</f>
        <v>1274.8540917911498</v>
      </c>
      <c r="M936" s="7">
        <f>AVERAGE(E$2:E935)</f>
        <v>1.2371690694626489</v>
      </c>
      <c r="N936" s="7">
        <f>PERCENTILE($E$2:$E935,0.025)</f>
        <v>-1.1000000000000001</v>
      </c>
      <c r="O936" s="7">
        <f>PERCENTILE($E$2:$E935,0.165)</f>
        <v>0</v>
      </c>
      <c r="P936" s="7">
        <f>PERCENTILE($E$2:$E935,0.5)</f>
        <v>1</v>
      </c>
      <c r="Q936" s="7">
        <f>PERCENTILE($E$2:$E935,0.835)</f>
        <v>3</v>
      </c>
      <c r="R936" s="7">
        <f>PERCENTILE($E$2:$E935,0.975)</f>
        <v>3</v>
      </c>
    </row>
    <row r="937" spans="1:18" x14ac:dyDescent="0.2">
      <c r="A937" s="5">
        <f>Data!E842</f>
        <v>2014</v>
      </c>
      <c r="B937" s="5">
        <f>Data!M842</f>
        <v>0.8078895463510849</v>
      </c>
      <c r="C937" s="5">
        <f>Data!N842</f>
        <v>0.12623274161735701</v>
      </c>
      <c r="D937" s="5">
        <f ca="1">Data!O842</f>
        <v>131.1085774549617</v>
      </c>
      <c r="E937" s="1" t="str">
        <f>Data!AQ842</f>
        <v>NA</v>
      </c>
      <c r="F937" t="str">
        <f t="shared" si="15"/>
        <v/>
      </c>
      <c r="G937" s="5">
        <f ca="1">AVERAGE(D$2:D936)</f>
        <v>305.25676848591974</v>
      </c>
      <c r="H937" s="5">
        <f ca="1">PERCENTILE(D$2:D936,0.025)</f>
        <v>-2.5302853841185682</v>
      </c>
      <c r="I937" s="5">
        <f ca="1">PERCENTILE(D$2:D936,0.165)</f>
        <v>10.633569736612333</v>
      </c>
      <c r="J937" s="5">
        <f ca="1">PERCENTILE(D$2:D936,0.5)</f>
        <v>51.497837034801016</v>
      </c>
      <c r="K937" s="5">
        <f ca="1">PERCENTILE(D$2:D936,0.835)</f>
        <v>236.07581707979176</v>
      </c>
      <c r="L937" s="5">
        <f ca="1">PERCENTILE(D$2:D936,0.975)</f>
        <v>1272.0507520775782</v>
      </c>
      <c r="M937" s="7">
        <f>AVERAGE(E$2:E936)</f>
        <v>1.2371690694626489</v>
      </c>
      <c r="N937" s="7">
        <f>PERCENTILE($E$2:$E936,0.025)</f>
        <v>-1.1000000000000001</v>
      </c>
      <c r="O937" s="7">
        <f>PERCENTILE($E$2:$E936,0.165)</f>
        <v>0</v>
      </c>
      <c r="P937" s="7">
        <f>PERCENTILE($E$2:$E936,0.5)</f>
        <v>1</v>
      </c>
      <c r="Q937" s="7">
        <f>PERCENTILE($E$2:$E936,0.835)</f>
        <v>3</v>
      </c>
      <c r="R937" s="7">
        <f>PERCENTILE($E$2:$E936,0.975)</f>
        <v>3</v>
      </c>
    </row>
    <row r="938" spans="1:18" x14ac:dyDescent="0.2">
      <c r="A938" s="5">
        <f>Data!E843</f>
        <v>2014</v>
      </c>
      <c r="B938" s="5">
        <f>Data!M843</f>
        <v>0.40394477317554245</v>
      </c>
      <c r="C938" s="5">
        <f>Data!N843</f>
        <v>6.3116370808678504E-2</v>
      </c>
      <c r="D938" s="5">
        <f ca="1">Data!O843</f>
        <v>196.66286618244254</v>
      </c>
      <c r="E938" s="1" t="str">
        <f>Data!AQ843</f>
        <v>NA</v>
      </c>
      <c r="F938" t="str">
        <f t="shared" si="15"/>
        <v/>
      </c>
      <c r="G938" s="5">
        <f ca="1">AVERAGE(D$2:D937)</f>
        <v>305.07071272627132</v>
      </c>
      <c r="H938" s="5">
        <f ca="1">PERCENTILE(D$2:D937,0.025)</f>
        <v>-2.5210167861628676</v>
      </c>
      <c r="I938" s="5">
        <f ca="1">PERCENTILE(D$2:D937,0.165)</f>
        <v>10.65299994687784</v>
      </c>
      <c r="J938" s="5">
        <f ca="1">PERCENTILE(D$2:D937,0.5)</f>
        <v>51.538212084078395</v>
      </c>
      <c r="K938" s="5">
        <f ca="1">PERCENTILE(D$2:D937,0.835)</f>
        <v>236.07095149875718</v>
      </c>
      <c r="L938" s="5">
        <f ca="1">PERCENTILE(D$2:D937,0.975)</f>
        <v>1269.2474123640065</v>
      </c>
      <c r="M938" s="7">
        <f>AVERAGE(E$2:E937)</f>
        <v>1.2371690694626489</v>
      </c>
      <c r="N938" s="7">
        <f>PERCENTILE($E$2:$E937,0.025)</f>
        <v>-1.1000000000000001</v>
      </c>
      <c r="O938" s="7">
        <f>PERCENTILE($E$2:$E937,0.165)</f>
        <v>0</v>
      </c>
      <c r="P938" s="7">
        <f>PERCENTILE($E$2:$E937,0.5)</f>
        <v>1</v>
      </c>
      <c r="Q938" s="7">
        <f>PERCENTILE($E$2:$E937,0.835)</f>
        <v>3</v>
      </c>
      <c r="R938" s="7">
        <f>PERCENTILE($E$2:$E937,0.975)</f>
        <v>3</v>
      </c>
    </row>
    <row r="939" spans="1:18" x14ac:dyDescent="0.2">
      <c r="A939" s="5">
        <f>Data!E844</f>
        <v>2014</v>
      </c>
      <c r="B939" s="5">
        <f>Data!M844</f>
        <v>0.40394477317554245</v>
      </c>
      <c r="C939" s="5">
        <f>Data!N844</f>
        <v>6.3116370808678504E-2</v>
      </c>
      <c r="D939" s="5">
        <f ca="1">Data!O844</f>
        <v>424.17480941311135</v>
      </c>
      <c r="E939" s="1" t="str">
        <f>Data!AQ844</f>
        <v>NA</v>
      </c>
      <c r="F939" t="str">
        <f t="shared" si="15"/>
        <v/>
      </c>
      <c r="G939" s="5">
        <f ca="1">AVERAGE(D$2:D938)</f>
        <v>304.95501598502926</v>
      </c>
      <c r="H939" s="5">
        <f ca="1">PERCENTILE(D$2:D938,0.025)</f>
        <v>-2.5117481882071657</v>
      </c>
      <c r="I939" s="5">
        <f ca="1">PERCENTILE(D$2:D938,0.165)</f>
        <v>10.672430157143346</v>
      </c>
      <c r="J939" s="5">
        <f ca="1">PERCENTILE(D$2:D938,0.5)</f>
        <v>51.578587133355768</v>
      </c>
      <c r="K939" s="5">
        <f ca="1">PERCENTILE(D$2:D938,0.835)</f>
        <v>236.0660859177226</v>
      </c>
      <c r="L939" s="5">
        <f ca="1">PERCENTILE(D$2:D938,0.975)</f>
        <v>1266.4440726504349</v>
      </c>
      <c r="M939" s="7">
        <f>AVERAGE(E$2:E938)</f>
        <v>1.2371690694626489</v>
      </c>
      <c r="N939" s="7">
        <f>PERCENTILE($E$2:$E938,0.025)</f>
        <v>-1.1000000000000001</v>
      </c>
      <c r="O939" s="7">
        <f>PERCENTILE($E$2:$E938,0.165)</f>
        <v>0</v>
      </c>
      <c r="P939" s="7">
        <f>PERCENTILE($E$2:$E938,0.5)</f>
        <v>1</v>
      </c>
      <c r="Q939" s="7">
        <f>PERCENTILE($E$2:$E938,0.835)</f>
        <v>3</v>
      </c>
      <c r="R939" s="7">
        <f>PERCENTILE($E$2:$E938,0.975)</f>
        <v>3</v>
      </c>
    </row>
    <row r="940" spans="1:18" x14ac:dyDescent="0.2">
      <c r="A940" s="5">
        <f>Data!E845</f>
        <v>2014</v>
      </c>
      <c r="B940" s="5">
        <f>Data!M845</f>
        <v>0.20197238658777122</v>
      </c>
      <c r="C940" s="5">
        <f>Data!N845</f>
        <v>3.1558185404339252E-2</v>
      </c>
      <c r="D940" s="5">
        <f ca="1">Data!O845</f>
        <v>616.98154096452561</v>
      </c>
      <c r="E940" s="1" t="str">
        <f>Data!AQ845</f>
        <v>NA</v>
      </c>
      <c r="F940" t="str">
        <f t="shared" si="15"/>
        <v/>
      </c>
      <c r="G940" s="5">
        <f ca="1">AVERAGE(D$2:D939)</f>
        <v>305.0821159780229</v>
      </c>
      <c r="H940" s="5">
        <f ca="1">PERCENTILE(D$2:D939,0.025)</f>
        <v>-2.5024795902514652</v>
      </c>
      <c r="I940" s="5">
        <f ca="1">PERCENTILE(D$2:D939,0.165)</f>
        <v>10.691860367408857</v>
      </c>
      <c r="J940" s="5">
        <f ca="1">PERCENTILE(D$2:D939,0.5)</f>
        <v>51.684106707170862</v>
      </c>
      <c r="K940" s="5">
        <f ca="1">PERCENTILE(D$2:D939,0.835)</f>
        <v>236.22504471399262</v>
      </c>
      <c r="L940" s="5">
        <f ca="1">PERCENTILE(D$2:D939,0.975)</f>
        <v>1263.6407329368506</v>
      </c>
      <c r="M940" s="7">
        <f>AVERAGE(E$2:E939)</f>
        <v>1.2371690694626489</v>
      </c>
      <c r="N940" s="7">
        <f>PERCENTILE($E$2:$E939,0.025)</f>
        <v>-1.1000000000000001</v>
      </c>
      <c r="O940" s="7">
        <f>PERCENTILE($E$2:$E939,0.165)</f>
        <v>0</v>
      </c>
      <c r="P940" s="7">
        <f>PERCENTILE($E$2:$E939,0.5)</f>
        <v>1</v>
      </c>
      <c r="Q940" s="7">
        <f>PERCENTILE($E$2:$E939,0.835)</f>
        <v>3</v>
      </c>
      <c r="R940" s="7">
        <f>PERCENTILE($E$2:$E939,0.975)</f>
        <v>3</v>
      </c>
    </row>
    <row r="941" spans="1:18" x14ac:dyDescent="0.2">
      <c r="A941" s="5">
        <f>Data!E846</f>
        <v>2014</v>
      </c>
      <c r="B941" s="5">
        <f>Data!M846</f>
        <v>0.10098619329388561</v>
      </c>
      <c r="C941" s="5">
        <f>Data!N846</f>
        <v>1.5779092702169626E-2</v>
      </c>
      <c r="D941" s="5">
        <f ca="1">Data!O846</f>
        <v>964.03365775707118</v>
      </c>
      <c r="E941" s="1" t="str">
        <f>Data!AQ846</f>
        <v>NA</v>
      </c>
      <c r="F941" t="str">
        <f t="shared" si="15"/>
        <v/>
      </c>
      <c r="G941" s="5">
        <f ca="1">AVERAGE(D$2:D940)</f>
        <v>305.41427723998936</v>
      </c>
      <c r="H941" s="5">
        <f ca="1">PERCENTILE(D$2:D940,0.025)</f>
        <v>-2.4932109922957633</v>
      </c>
      <c r="I941" s="5">
        <f ca="1">PERCENTILE(D$2:D940,0.165)</f>
        <v>10.711290577674363</v>
      </c>
      <c r="J941" s="5">
        <f ca="1">PERCENTILE(D$2:D940,0.5)</f>
        <v>51.789626280985956</v>
      </c>
      <c r="K941" s="5">
        <f ca="1">PERCENTILE(D$2:D940,0.835)</f>
        <v>238.85008684053952</v>
      </c>
      <c r="L941" s="5">
        <f ca="1">PERCENTILE(D$2:D940,0.975)</f>
        <v>1260.8373932232789</v>
      </c>
      <c r="M941" s="7">
        <f>AVERAGE(E$2:E940)</f>
        <v>1.2371690694626489</v>
      </c>
      <c r="N941" s="7">
        <f>PERCENTILE($E$2:$E940,0.025)</f>
        <v>-1.1000000000000001</v>
      </c>
      <c r="O941" s="7">
        <f>PERCENTILE($E$2:$E940,0.165)</f>
        <v>0</v>
      </c>
      <c r="P941" s="7">
        <f>PERCENTILE($E$2:$E940,0.5)</f>
        <v>1</v>
      </c>
      <c r="Q941" s="7">
        <f>PERCENTILE($E$2:$E940,0.835)</f>
        <v>3</v>
      </c>
      <c r="R941" s="7">
        <f>PERCENTILE($E$2:$E940,0.975)</f>
        <v>3</v>
      </c>
    </row>
    <row r="942" spans="1:18" x14ac:dyDescent="0.2">
      <c r="A942" s="5">
        <f>Data!E847</f>
        <v>2014</v>
      </c>
      <c r="B942" s="5">
        <f>Data!M847</f>
        <v>5.0493096646942806E-2</v>
      </c>
      <c r="C942" s="5">
        <f>Data!N847</f>
        <v>7.889546351084813E-3</v>
      </c>
      <c r="D942" s="5">
        <f ca="1">Data!O847</f>
        <v>1233.9630819290512</v>
      </c>
      <c r="E942" s="1" t="str">
        <f>Data!AQ847</f>
        <v>NA</v>
      </c>
      <c r="F942" t="str">
        <f t="shared" si="15"/>
        <v/>
      </c>
      <c r="G942" s="5">
        <f ca="1">AVERAGE(D$2:D941)</f>
        <v>306.1149361554331</v>
      </c>
      <c r="H942" s="5">
        <f ca="1">PERCENTILE(D$2:D941,0.025)</f>
        <v>-2.4839423943400627</v>
      </c>
      <c r="I942" s="5">
        <f ca="1">PERCENTILE(D$2:D941,0.165)</f>
        <v>10.73072078793987</v>
      </c>
      <c r="J942" s="5">
        <f ca="1">PERCENTILE(D$2:D941,0.5)</f>
        <v>51.894813140492978</v>
      </c>
      <c r="K942" s="5">
        <f ca="1">PERCENTILE(D$2:D941,0.835)</f>
        <v>246.97599078328915</v>
      </c>
      <c r="L942" s="5">
        <f ca="1">PERCENTILE(D$2:D941,0.975)</f>
        <v>1258.0340535097073</v>
      </c>
      <c r="M942" s="7">
        <f>AVERAGE(E$2:E941)</f>
        <v>1.2371690694626489</v>
      </c>
      <c r="N942" s="7">
        <f>PERCENTILE($E$2:$E941,0.025)</f>
        <v>-1.1000000000000001</v>
      </c>
      <c r="O942" s="7">
        <f>PERCENTILE($E$2:$E941,0.165)</f>
        <v>0</v>
      </c>
      <c r="P942" s="7">
        <f>PERCENTILE($E$2:$E941,0.5)</f>
        <v>1</v>
      </c>
      <c r="Q942" s="7">
        <f>PERCENTILE($E$2:$E941,0.835)</f>
        <v>3</v>
      </c>
      <c r="R942" s="7">
        <f>PERCENTILE($E$2:$E941,0.975)</f>
        <v>3</v>
      </c>
    </row>
    <row r="943" spans="1:18" x14ac:dyDescent="0.2">
      <c r="A943" s="5">
        <f>Data!E848</f>
        <v>2014</v>
      </c>
      <c r="B943" s="5">
        <f>Data!M848</f>
        <v>0.40394477317554245</v>
      </c>
      <c r="C943" s="5">
        <f>Data!N848</f>
        <v>6.3116370808678504E-2</v>
      </c>
      <c r="D943" s="5">
        <f ca="1">Data!O848</f>
        <v>96.40336577570713</v>
      </c>
      <c r="E943" s="1" t="str">
        <f>Data!AQ848</f>
        <v>NA</v>
      </c>
      <c r="F943" t="str">
        <f t="shared" si="15"/>
        <v/>
      </c>
      <c r="G943" s="5">
        <f ca="1">AVERAGE(D$2:D942)</f>
        <v>307.10095968973025</v>
      </c>
      <c r="H943" s="5">
        <f ca="1">PERCENTILE(D$2:D942,0.025)</f>
        <v>-2.4746737963843621</v>
      </c>
      <c r="I943" s="5">
        <f ca="1">PERCENTILE(D$2:D942,0.165)</f>
        <v>10.751935716756266</v>
      </c>
      <c r="J943" s="5">
        <f ca="1">PERCENTILE(D$2:D942,0.5)</f>
        <v>52</v>
      </c>
      <c r="K943" s="5">
        <f ca="1">PERCENTILE(D$2:D942,0.835)</f>
        <v>248.08433975974393</v>
      </c>
      <c r="L943" s="5">
        <f ca="1">PERCENTILE(D$2:D942,0.975)</f>
        <v>1272.6302949983351</v>
      </c>
      <c r="M943" s="7">
        <f>AVERAGE(E$2:E942)</f>
        <v>1.2371690694626489</v>
      </c>
      <c r="N943" s="7">
        <f>PERCENTILE($E$2:$E942,0.025)</f>
        <v>-1.1000000000000001</v>
      </c>
      <c r="O943" s="7">
        <f>PERCENTILE($E$2:$E942,0.165)</f>
        <v>0</v>
      </c>
      <c r="P943" s="7">
        <f>PERCENTILE($E$2:$E942,0.5)</f>
        <v>1</v>
      </c>
      <c r="Q943" s="7">
        <f>PERCENTILE($E$2:$E942,0.835)</f>
        <v>3</v>
      </c>
      <c r="R943" s="7">
        <f>PERCENTILE($E$2:$E942,0.975)</f>
        <v>3</v>
      </c>
    </row>
    <row r="944" spans="1:18" x14ac:dyDescent="0.2">
      <c r="A944" s="5">
        <f>Data!E849</f>
        <v>2014</v>
      </c>
      <c r="B944" s="5">
        <f>Data!M849</f>
        <v>0.20197238658777122</v>
      </c>
      <c r="C944" s="5">
        <f>Data!N849</f>
        <v>3.1558185404339252E-2</v>
      </c>
      <c r="D944" s="5">
        <f ca="1">Data!O849</f>
        <v>131.1085774549617</v>
      </c>
      <c r="E944" s="1" t="str">
        <f>Data!AQ849</f>
        <v>NA</v>
      </c>
      <c r="F944" t="str">
        <f t="shared" si="15"/>
        <v/>
      </c>
      <c r="G944" s="5">
        <f ca="1">AVERAGE(D$2:D943)</f>
        <v>306.87728920786822</v>
      </c>
      <c r="H944" s="5">
        <f ca="1">PERCENTILE(D$2:D943,0.025)</f>
        <v>-2.4654051984286607</v>
      </c>
      <c r="I944" s="5">
        <f ca="1">PERCENTILE(D$2:D943,0.165)</f>
        <v>10.774310712630747</v>
      </c>
      <c r="J944" s="5">
        <f ca="1">PERCENTILE(D$2:D943,0.5)</f>
        <v>52.080609362626539</v>
      </c>
      <c r="K944" s="5">
        <f ca="1">PERCENTILE(D$2:D943,0.835)</f>
        <v>247.86532469254033</v>
      </c>
      <c r="L944" s="5">
        <f ca="1">PERCENTILE(D$2:D943,0.975)</f>
        <v>1270.6969343448727</v>
      </c>
      <c r="M944" s="7">
        <f>AVERAGE(E$2:E943)</f>
        <v>1.2371690694626489</v>
      </c>
      <c r="N944" s="7">
        <f>PERCENTILE($E$2:$E943,0.025)</f>
        <v>-1.1000000000000001</v>
      </c>
      <c r="O944" s="7">
        <f>PERCENTILE($E$2:$E943,0.165)</f>
        <v>0</v>
      </c>
      <c r="P944" s="7">
        <f>PERCENTILE($E$2:$E943,0.5)</f>
        <v>1</v>
      </c>
      <c r="Q944" s="7">
        <f>PERCENTILE($E$2:$E943,0.835)</f>
        <v>3</v>
      </c>
      <c r="R944" s="7">
        <f>PERCENTILE($E$2:$E943,0.975)</f>
        <v>3</v>
      </c>
    </row>
    <row r="945" spans="1:18" x14ac:dyDescent="0.2">
      <c r="A945" s="5">
        <f>Data!E850</f>
        <v>2014</v>
      </c>
      <c r="B945" s="5">
        <f>Data!M850</f>
        <v>0.20197238658777122</v>
      </c>
      <c r="C945" s="5">
        <f>Data!N850</f>
        <v>3.1558185404339252E-2</v>
      </c>
      <c r="D945" s="5">
        <f ca="1">Data!O850</f>
        <v>254.50488564786681</v>
      </c>
      <c r="E945" s="1" t="str">
        <f>Data!AQ850</f>
        <v>NA</v>
      </c>
      <c r="F945" t="str">
        <f t="shared" si="15"/>
        <v/>
      </c>
      <c r="G945" s="5">
        <f ca="1">AVERAGE(D$2:D944)</f>
        <v>306.69089608829995</v>
      </c>
      <c r="H945" s="5">
        <f ca="1">PERCENTILE(D$2:D944,0.025)</f>
        <v>-2.4561366004729601</v>
      </c>
      <c r="I945" s="5">
        <f ca="1">PERCENTILE(D$2:D944,0.165)</f>
        <v>10.796685708505224</v>
      </c>
      <c r="J945" s="5">
        <f ca="1">PERCENTILE(D$2:D944,0.5)</f>
        <v>52.161218725253079</v>
      </c>
      <c r="K945" s="5">
        <f ca="1">PERCENTILE(D$2:D944,0.835)</f>
        <v>247.64630962533661</v>
      </c>
      <c r="L945" s="5">
        <f ca="1">PERCENTILE(D$2:D944,0.975)</f>
        <v>1268.7635736914015</v>
      </c>
      <c r="M945" s="7">
        <f>AVERAGE(E$2:E944)</f>
        <v>1.2371690694626489</v>
      </c>
      <c r="N945" s="7">
        <f>PERCENTILE($E$2:$E944,0.025)</f>
        <v>-1.1000000000000001</v>
      </c>
      <c r="O945" s="7">
        <f>PERCENTILE($E$2:$E944,0.165)</f>
        <v>0</v>
      </c>
      <c r="P945" s="7">
        <f>PERCENTILE($E$2:$E944,0.5)</f>
        <v>1</v>
      </c>
      <c r="Q945" s="7">
        <f>PERCENTILE($E$2:$E944,0.835)</f>
        <v>3</v>
      </c>
      <c r="R945" s="7">
        <f>PERCENTILE($E$2:$E944,0.975)</f>
        <v>3</v>
      </c>
    </row>
    <row r="946" spans="1:18" x14ac:dyDescent="0.2">
      <c r="A946" s="5">
        <f>Data!E851</f>
        <v>2014</v>
      </c>
      <c r="B946" s="5">
        <f>Data!M851</f>
        <v>0.10098619329388561</v>
      </c>
      <c r="C946" s="5">
        <f>Data!N851</f>
        <v>1.5779092702169626E-2</v>
      </c>
      <c r="D946" s="5">
        <f ca="1">Data!O851</f>
        <v>370.18892457871539</v>
      </c>
      <c r="E946" s="1" t="str">
        <f>Data!AQ851</f>
        <v>NA</v>
      </c>
      <c r="F946" t="str">
        <f t="shared" si="15"/>
        <v/>
      </c>
      <c r="G946" s="5">
        <f ca="1">AVERAGE(D$2:D945)</f>
        <v>306.63561429757914</v>
      </c>
      <c r="H946" s="5">
        <f ca="1">PERCENTILE(D$2:D945,0.025)</f>
        <v>-2.4468680025172582</v>
      </c>
      <c r="I946" s="5">
        <f ca="1">PERCENTILE(D$2:D945,0.165)</f>
        <v>10.8190607043797</v>
      </c>
      <c r="J946" s="5">
        <f ca="1">PERCENTILE(D$2:D945,0.5)</f>
        <v>52.372436392364847</v>
      </c>
      <c r="K946" s="5">
        <f ca="1">PERCENTILE(D$2:D945,0.835)</f>
        <v>250.3186335070526</v>
      </c>
      <c r="L946" s="5">
        <f ca="1">PERCENTILE(D$2:D945,0.975)</f>
        <v>1266.8302130379391</v>
      </c>
      <c r="M946" s="7">
        <f>AVERAGE(E$2:E945)</f>
        <v>1.2371690694626489</v>
      </c>
      <c r="N946" s="7">
        <f>PERCENTILE($E$2:$E945,0.025)</f>
        <v>-1.1000000000000001</v>
      </c>
      <c r="O946" s="7">
        <f>PERCENTILE($E$2:$E945,0.165)</f>
        <v>0</v>
      </c>
      <c r="P946" s="7">
        <f>PERCENTILE($E$2:$E945,0.5)</f>
        <v>1</v>
      </c>
      <c r="Q946" s="7">
        <f>PERCENTILE($E$2:$E945,0.835)</f>
        <v>3</v>
      </c>
      <c r="R946" s="7">
        <f>PERCENTILE($E$2:$E945,0.975)</f>
        <v>3</v>
      </c>
    </row>
    <row r="947" spans="1:18" x14ac:dyDescent="0.2">
      <c r="A947" s="5">
        <f>Data!E852</f>
        <v>2014</v>
      </c>
      <c r="B947" s="5">
        <f>Data!M852</f>
        <v>5.0493096646942806E-2</v>
      </c>
      <c r="C947" s="5">
        <f>Data!N852</f>
        <v>7.889546351084813E-3</v>
      </c>
      <c r="D947" s="5">
        <f ca="1">Data!O852</f>
        <v>616.98154096452561</v>
      </c>
      <c r="E947" s="1" t="str">
        <f>Data!AQ852</f>
        <v>NA</v>
      </c>
      <c r="F947" t="str">
        <f t="shared" si="15"/>
        <v/>
      </c>
      <c r="G947" s="5">
        <f ca="1">AVERAGE(D$2:D946)</f>
        <v>306.70286647777084</v>
      </c>
      <c r="H947" s="5">
        <f ca="1">PERCENTILE(D$2:D946,0.025)</f>
        <v>-2.4375994045615577</v>
      </c>
      <c r="I947" s="5">
        <f ca="1">PERCENTILE(D$2:D946,0.165)</f>
        <v>10.841435700254181</v>
      </c>
      <c r="J947" s="5">
        <f ca="1">PERCENTILE(D$2:D946,0.5)</f>
        <v>52.583654059476615</v>
      </c>
      <c r="K947" s="5">
        <f ca="1">PERCENTILE(D$2:D946,0.835)</f>
        <v>253.41741206279175</v>
      </c>
      <c r="L947" s="5">
        <f ca="1">PERCENTILE(D$2:D946,0.975)</f>
        <v>1264.8968523844765</v>
      </c>
      <c r="M947" s="7">
        <f>AVERAGE(E$2:E946)</f>
        <v>1.2371690694626489</v>
      </c>
      <c r="N947" s="7">
        <f>PERCENTILE($E$2:$E946,0.025)</f>
        <v>-1.1000000000000001</v>
      </c>
      <c r="O947" s="7">
        <f>PERCENTILE($E$2:$E946,0.165)</f>
        <v>0</v>
      </c>
      <c r="P947" s="7">
        <f>PERCENTILE($E$2:$E946,0.5)</f>
        <v>1</v>
      </c>
      <c r="Q947" s="7">
        <f>PERCENTILE($E$2:$E946,0.835)</f>
        <v>3</v>
      </c>
      <c r="R947" s="7">
        <f>PERCENTILE($E$2:$E946,0.975)</f>
        <v>3</v>
      </c>
    </row>
    <row r="948" spans="1:18" x14ac:dyDescent="0.2">
      <c r="A948" s="5">
        <f>Data!E853</f>
        <v>2014</v>
      </c>
      <c r="B948" s="5">
        <f>Data!M853</f>
        <v>2.5246548323471403E-2</v>
      </c>
      <c r="C948" s="5">
        <f>Data!N853</f>
        <v>3.9447731755424065E-3</v>
      </c>
      <c r="D948" s="5">
        <f ca="1">Data!O853</f>
        <v>886.91096513650564</v>
      </c>
      <c r="E948" s="1" t="str">
        <f>Data!AQ853</f>
        <v>NA</v>
      </c>
      <c r="F948" t="str">
        <f t="shared" si="15"/>
        <v/>
      </c>
      <c r="G948" s="5">
        <f ca="1">AVERAGE(D$2:D947)</f>
        <v>307.03085661993441</v>
      </c>
      <c r="H948" s="5">
        <f ca="1">PERCENTILE(D$2:D947,0.025)</f>
        <v>-2.4283308066058571</v>
      </c>
      <c r="I948" s="5">
        <f ca="1">PERCENTILE(D$2:D947,0.165)</f>
        <v>10.863810696128658</v>
      </c>
      <c r="J948" s="5">
        <f ca="1">PERCENTILE(D$2:D947,0.5)</f>
        <v>53.113814120439507</v>
      </c>
      <c r="K948" s="5">
        <f ca="1">PERCENTILE(D$2:D947,0.835)</f>
        <v>253.53208804776642</v>
      </c>
      <c r="L948" s="5">
        <f ca="1">PERCENTILE(D$2:D947,0.975)</f>
        <v>1262.9634917310141</v>
      </c>
      <c r="M948" s="7">
        <f>AVERAGE(E$2:E947)</f>
        <v>1.2371690694626489</v>
      </c>
      <c r="N948" s="7">
        <f>PERCENTILE($E$2:$E947,0.025)</f>
        <v>-1.1000000000000001</v>
      </c>
      <c r="O948" s="7">
        <f>PERCENTILE($E$2:$E947,0.165)</f>
        <v>0</v>
      </c>
      <c r="P948" s="7">
        <f>PERCENTILE($E$2:$E947,0.5)</f>
        <v>1</v>
      </c>
      <c r="Q948" s="7">
        <f>PERCENTILE($E$2:$E947,0.835)</f>
        <v>3</v>
      </c>
      <c r="R948" s="7">
        <f>PERCENTILE($E$2:$E947,0.975)</f>
        <v>3</v>
      </c>
    </row>
    <row r="949" spans="1:18" x14ac:dyDescent="0.2">
      <c r="A949" s="5">
        <f>Data!E854</f>
        <v>2014</v>
      </c>
      <c r="B949" s="5">
        <f>Data!M854</f>
        <v>0.40394477317554245</v>
      </c>
      <c r="C949" s="5">
        <f>Data!N854</f>
        <v>6.3116370808678504E-2</v>
      </c>
      <c r="D949" s="5">
        <f ca="1">Data!O854</f>
        <v>61.698154096452555</v>
      </c>
      <c r="E949" s="1">
        <f>Data!AQ854</f>
        <v>1</v>
      </c>
      <c r="F949" t="str">
        <f t="shared" si="15"/>
        <v/>
      </c>
      <c r="G949" s="5">
        <f ca="1">AVERAGE(D$2:D948)</f>
        <v>307.64319041984629</v>
      </c>
      <c r="H949" s="5">
        <f ca="1">PERCENTILE(D$2:D948,0.025)</f>
        <v>-2.4190622086501552</v>
      </c>
      <c r="I949" s="5">
        <f ca="1">PERCENTILE(D$2:D948,0.165)</f>
        <v>10.882864832135748</v>
      </c>
      <c r="J949" s="5">
        <f ca="1">PERCENTILE(D$2:D948,0.5)</f>
        <v>53.643974181402399</v>
      </c>
      <c r="K949" s="5">
        <f ca="1">PERCENTILE(D$2:D948,0.835)</f>
        <v>254.41023507055974</v>
      </c>
      <c r="L949" s="5">
        <f ca="1">PERCENTILE(D$2:D948,0.975)</f>
        <v>1261.0301310775517</v>
      </c>
      <c r="M949" s="7">
        <f>AVERAGE(E$2:E948)</f>
        <v>1.2371690694626489</v>
      </c>
      <c r="N949" s="7">
        <f>PERCENTILE($E$2:$E948,0.025)</f>
        <v>-1.1000000000000001</v>
      </c>
      <c r="O949" s="7">
        <f>PERCENTILE($E$2:$E948,0.165)</f>
        <v>0</v>
      </c>
      <c r="P949" s="7">
        <f>PERCENTILE($E$2:$E948,0.5)</f>
        <v>1</v>
      </c>
      <c r="Q949" s="7">
        <f>PERCENTILE($E$2:$E948,0.835)</f>
        <v>3</v>
      </c>
      <c r="R949" s="7">
        <f>PERCENTILE($E$2:$E948,0.975)</f>
        <v>3</v>
      </c>
    </row>
    <row r="950" spans="1:18" x14ac:dyDescent="0.2">
      <c r="A950" s="5">
        <f>Data!E855</f>
        <v>2014</v>
      </c>
      <c r="B950" s="5">
        <f>Data!M855</f>
        <v>0.20197238658777122</v>
      </c>
      <c r="C950" s="5">
        <f>Data!N855</f>
        <v>3.1558185404339252E-2</v>
      </c>
      <c r="D950" s="5">
        <f ca="1">Data!O855</f>
        <v>80.978827251593984</v>
      </c>
      <c r="E950" s="1">
        <f>Data!AQ855</f>
        <v>1</v>
      </c>
      <c r="F950" t="str">
        <f t="shared" si="15"/>
        <v/>
      </c>
      <c r="G950" s="5">
        <f ca="1">AVERAGE(D$2:D949)</f>
        <v>307.38375472752199</v>
      </c>
      <c r="H950" s="5">
        <f ca="1">PERCENTILE(D$2:D949,0.025)</f>
        <v>-2.4097936106944546</v>
      </c>
      <c r="I950" s="5">
        <f ca="1">PERCENTILE(D$2:D949,0.165)</f>
        <v>10.899151584920022</v>
      </c>
      <c r="J950" s="5">
        <f ca="1">PERCENTILE(D$2:D949,0.5)</f>
        <v>53.752592756813897</v>
      </c>
      <c r="K950" s="5">
        <f ca="1">PERCENTILE(D$2:D949,0.835)</f>
        <v>254.23670901216349</v>
      </c>
      <c r="L950" s="5">
        <f ca="1">PERCENTILE(D$2:D949,0.975)</f>
        <v>1259.0967704240804</v>
      </c>
      <c r="M950" s="7">
        <f>AVERAGE(E$2:E949)</f>
        <v>1.2368586387434568</v>
      </c>
      <c r="N950" s="7">
        <f>PERCENTILE($E$2:$E949,0.025)</f>
        <v>-1.1000000000000001</v>
      </c>
      <c r="O950" s="7">
        <f>PERCENTILE($E$2:$E949,0.165)</f>
        <v>0</v>
      </c>
      <c r="P950" s="7">
        <f>PERCENTILE($E$2:$E949,0.5)</f>
        <v>1</v>
      </c>
      <c r="Q950" s="7">
        <f>PERCENTILE($E$2:$E949,0.835)</f>
        <v>3</v>
      </c>
      <c r="R950" s="7">
        <f>PERCENTILE($E$2:$E949,0.975)</f>
        <v>3</v>
      </c>
    </row>
    <row r="951" spans="1:18" x14ac:dyDescent="0.2">
      <c r="A951" s="5">
        <f>Data!E856</f>
        <v>2014</v>
      </c>
      <c r="B951" s="5">
        <f>Data!M856</f>
        <v>0.20197238658777122</v>
      </c>
      <c r="C951" s="5">
        <f>Data!N856</f>
        <v>3.1558185404339252E-2</v>
      </c>
      <c r="D951" s="5">
        <f ca="1">Data!O856</f>
        <v>158.10151987215968</v>
      </c>
      <c r="E951" s="1">
        <f>Data!AQ856</f>
        <v>1</v>
      </c>
      <c r="F951" t="str">
        <f t="shared" si="15"/>
        <v/>
      </c>
      <c r="G951" s="5">
        <f ca="1">AVERAGE(D$2:D950)</f>
        <v>307.14518262270013</v>
      </c>
      <c r="H951" s="5">
        <f ca="1">PERCENTILE(D$2:D950,0.025)</f>
        <v>-2.4005250127387532</v>
      </c>
      <c r="I951" s="5">
        <f ca="1">PERCENTILE(D$2:D950,0.165)</f>
        <v>10.915438337704297</v>
      </c>
      <c r="J951" s="5">
        <f ca="1">PERCENTILE(D$2:D950,0.5)</f>
        <v>53.861211332225395</v>
      </c>
      <c r="K951" s="5">
        <f ca="1">PERCENTILE(D$2:D950,0.835)</f>
        <v>254.06318295376713</v>
      </c>
      <c r="L951" s="5">
        <f ca="1">PERCENTILE(D$2:D950,0.975)</f>
        <v>1257.163409770618</v>
      </c>
      <c r="M951" s="7">
        <f>AVERAGE(E$2:E950)</f>
        <v>1.2365490196078446</v>
      </c>
      <c r="N951" s="7">
        <f>PERCENTILE($E$2:$E950,0.025)</f>
        <v>-1.1000000000000001</v>
      </c>
      <c r="O951" s="7">
        <f>PERCENTILE($E$2:$E950,0.165)</f>
        <v>0</v>
      </c>
      <c r="P951" s="7">
        <f>PERCENTILE($E$2:$E950,0.5)</f>
        <v>1</v>
      </c>
      <c r="Q951" s="7">
        <f>PERCENTILE($E$2:$E950,0.835)</f>
        <v>3</v>
      </c>
      <c r="R951" s="7">
        <f>PERCENTILE($E$2:$E950,0.975)</f>
        <v>3</v>
      </c>
    </row>
    <row r="952" spans="1:18" x14ac:dyDescent="0.2">
      <c r="A952" s="5">
        <f>Data!E857</f>
        <v>2014</v>
      </c>
      <c r="B952" s="5">
        <f>Data!M857</f>
        <v>0.10098619329388561</v>
      </c>
      <c r="C952" s="5">
        <f>Data!N857</f>
        <v>1.5779092702169626E-2</v>
      </c>
      <c r="D952" s="5">
        <f ca="1">Data!O857</f>
        <v>273.7855588030082</v>
      </c>
      <c r="E952" s="1">
        <f>Data!AQ857</f>
        <v>1</v>
      </c>
      <c r="F952" t="str">
        <f t="shared" si="15"/>
        <v/>
      </c>
      <c r="G952" s="5">
        <f ca="1">AVERAGE(D$2:D951)</f>
        <v>306.98829455664696</v>
      </c>
      <c r="H952" s="5">
        <f ca="1">PERCENTILE(D$2:D951,0.025)</f>
        <v>-2.3912564147830526</v>
      </c>
      <c r="I952" s="5">
        <f ca="1">PERCENTILE(D$2:D951,0.165)</f>
        <v>10.931725090488568</v>
      </c>
      <c r="J952" s="5">
        <f ca="1">PERCENTILE(D$2:D951,0.5)</f>
        <v>53.861211332225395</v>
      </c>
      <c r="K952" s="5">
        <f ca="1">PERCENTILE(D$2:D951,0.835)</f>
        <v>253.8896568953709</v>
      </c>
      <c r="L952" s="5">
        <f ca="1">PERCENTILE(D$2:D951,0.975)</f>
        <v>1255.2300491171557</v>
      </c>
      <c r="M952" s="7">
        <f>AVERAGE(E$2:E951)</f>
        <v>1.2362402088772859</v>
      </c>
      <c r="N952" s="7">
        <f>PERCENTILE($E$2:$E951,0.025)</f>
        <v>-1.1000000000000001</v>
      </c>
      <c r="O952" s="7">
        <f>PERCENTILE($E$2:$E951,0.165)</f>
        <v>0</v>
      </c>
      <c r="P952" s="7">
        <f>PERCENTILE($E$2:$E951,0.5)</f>
        <v>1</v>
      </c>
      <c r="Q952" s="7">
        <f>PERCENTILE($E$2:$E951,0.835)</f>
        <v>3</v>
      </c>
      <c r="R952" s="7">
        <f>PERCENTILE($E$2:$E951,0.975)</f>
        <v>3</v>
      </c>
    </row>
    <row r="953" spans="1:18" x14ac:dyDescent="0.2">
      <c r="A953" s="5">
        <f>Data!E858</f>
        <v>2014</v>
      </c>
      <c r="B953" s="5">
        <f>Data!M858</f>
        <v>5.0493096646942806E-2</v>
      </c>
      <c r="C953" s="5">
        <f>Data!N858</f>
        <v>7.889546351084813E-3</v>
      </c>
      <c r="D953" s="5">
        <f ca="1">Data!O858</f>
        <v>771.22692620565704</v>
      </c>
      <c r="E953" s="1">
        <f>Data!AQ858</f>
        <v>1</v>
      </c>
      <c r="F953" t="str">
        <f t="shared" si="15"/>
        <v/>
      </c>
      <c r="G953" s="5">
        <f ca="1">AVERAGE(D$2:D952)</f>
        <v>306.95338105953482</v>
      </c>
      <c r="H953" s="5">
        <f ca="1">PERCENTILE(D$2:D952,0.025)</f>
        <v>-2.3819878168273521</v>
      </c>
      <c r="I953" s="5">
        <f ca="1">PERCENTILE(D$2:D952,0.165)</f>
        <v>10.948011843272841</v>
      </c>
      <c r="J953" s="5">
        <f ca="1">PERCENTILE(D$2:D952,0.5)</f>
        <v>53.861211332225395</v>
      </c>
      <c r="K953" s="5">
        <f ca="1">PERCENTILE(D$2:D952,0.835)</f>
        <v>255.37866423590012</v>
      </c>
      <c r="L953" s="5">
        <f ca="1">PERCENTILE(D$2:D952,0.975)</f>
        <v>1253.296688463693</v>
      </c>
      <c r="M953" s="7">
        <f>AVERAGE(E$2:E952)</f>
        <v>1.2359322033898319</v>
      </c>
      <c r="N953" s="7">
        <f>PERCENTILE($E$2:$E952,0.025)</f>
        <v>-1.1000000000000001</v>
      </c>
      <c r="O953" s="7">
        <f>PERCENTILE($E$2:$E952,0.165)</f>
        <v>0</v>
      </c>
      <c r="P953" s="7">
        <f>PERCENTILE($E$2:$E952,0.5)</f>
        <v>1</v>
      </c>
      <c r="Q953" s="7">
        <f>PERCENTILE($E$2:$E952,0.835)</f>
        <v>3</v>
      </c>
      <c r="R953" s="7">
        <f>PERCENTILE($E$2:$E952,0.975)</f>
        <v>3</v>
      </c>
    </row>
    <row r="954" spans="1:18" x14ac:dyDescent="0.2">
      <c r="A954" s="5">
        <f>Data!E859</f>
        <v>2014</v>
      </c>
      <c r="B954" s="5">
        <f>Data!M859</f>
        <v>2.5246548323471403E-2</v>
      </c>
      <c r="C954" s="5">
        <f>Data!N859</f>
        <v>3.9447731755424065E-3</v>
      </c>
      <c r="D954" s="5">
        <f ca="1">Data!O859</f>
        <v>2352.2421249272538</v>
      </c>
      <c r="E954" s="1">
        <f>Data!AQ859</f>
        <v>1</v>
      </c>
      <c r="F954" t="str">
        <f t="shared" si="15"/>
        <v/>
      </c>
      <c r="G954" s="5">
        <f ca="1">AVERAGE(D$2:D953)</f>
        <v>307.4410633548564</v>
      </c>
      <c r="H954" s="5">
        <f ca="1">PERCENTILE(D$2:D953,0.025)</f>
        <v>-2.3727192188716502</v>
      </c>
      <c r="I954" s="5">
        <f ca="1">PERCENTILE(D$2:D953,0.165)</f>
        <v>10.964298596057114</v>
      </c>
      <c r="J954" s="5">
        <f ca="1">PERCENTILE(D$2:D953,0.5)</f>
        <v>53.861211332225395</v>
      </c>
      <c r="K954" s="5">
        <f ca="1">PERCENTILE(D$2:D953,0.835)</f>
        <v>258.11512919869273</v>
      </c>
      <c r="L954" s="5">
        <f ca="1">PERCENTILE(D$2:D953,0.975)</f>
        <v>1251.3633278102307</v>
      </c>
      <c r="M954" s="7">
        <f>AVERAGE(E$2:E953)</f>
        <v>1.2356250000000013</v>
      </c>
      <c r="N954" s="7">
        <f>PERCENTILE($E$2:$E953,0.025)</f>
        <v>-1.1000000000000001</v>
      </c>
      <c r="O954" s="7">
        <f>PERCENTILE($E$2:$E953,0.165)</f>
        <v>0</v>
      </c>
      <c r="P954" s="7">
        <f>PERCENTILE($E$2:$E953,0.5)</f>
        <v>1</v>
      </c>
      <c r="Q954" s="7">
        <f>PERCENTILE($E$2:$E953,0.835)</f>
        <v>3</v>
      </c>
      <c r="R954" s="7">
        <f>PERCENTILE($E$2:$E953,0.975)</f>
        <v>3</v>
      </c>
    </row>
    <row r="955" spans="1:18" x14ac:dyDescent="0.2">
      <c r="A955" s="5">
        <f>Data!E860</f>
        <v>2014</v>
      </c>
      <c r="B955" s="5">
        <f>Data!M860</f>
        <v>0.20197238658777122</v>
      </c>
      <c r="C955" s="5">
        <f>Data!N860</f>
        <v>3.1558185404339252E-2</v>
      </c>
      <c r="D955" s="5">
        <f ca="1">Data!O860</f>
        <v>462.73615572339423</v>
      </c>
      <c r="E955" s="1">
        <f>Data!AQ860</f>
        <v>0</v>
      </c>
      <c r="F955" t="str">
        <f t="shared" si="15"/>
        <v/>
      </c>
      <c r="G955" s="5">
        <f ca="1">AVERAGE(D$2:D954)</f>
        <v>309.5867097993185</v>
      </c>
      <c r="H955" s="5">
        <f ca="1">PERCENTILE(D$2:D954,0.025)</f>
        <v>-2.3634506209159496</v>
      </c>
      <c r="I955" s="5">
        <f ca="1">PERCENTILE(D$2:D954,0.165)</f>
        <v>10.974873642116364</v>
      </c>
      <c r="J955" s="5">
        <f ca="1">PERCENTILE(D$2:D954,0.5)</f>
        <v>53.861211332225395</v>
      </c>
      <c r="K955" s="5">
        <f ca="1">PERCENTILE(D$2:D954,0.835)</f>
        <v>259.24610426820487</v>
      </c>
      <c r="L955" s="5">
        <f ca="1">PERCENTILE(D$2:D954,0.975)</f>
        <v>1314.83285608592</v>
      </c>
      <c r="M955" s="7">
        <f>AVERAGE(E$2:E954)</f>
        <v>1.235318595578675</v>
      </c>
      <c r="N955" s="7">
        <f>PERCENTILE($E$2:$E954,0.025)</f>
        <v>-1.1000000000000001</v>
      </c>
      <c r="O955" s="7">
        <f>PERCENTILE($E$2:$E954,0.165)</f>
        <v>0</v>
      </c>
      <c r="P955" s="7">
        <f>PERCENTILE($E$2:$E954,0.5)</f>
        <v>1</v>
      </c>
      <c r="Q955" s="7">
        <f>PERCENTILE($E$2:$E954,0.835)</f>
        <v>3</v>
      </c>
      <c r="R955" s="7">
        <f>PERCENTILE($E$2:$E954,0.975)</f>
        <v>3</v>
      </c>
    </row>
    <row r="956" spans="1:18" x14ac:dyDescent="0.2">
      <c r="A956" s="5">
        <f>Data!E861</f>
        <v>2014</v>
      </c>
      <c r="B956" s="5">
        <f>Data!M861</f>
        <v>0.10098619329388561</v>
      </c>
      <c r="C956" s="5">
        <f>Data!N861</f>
        <v>1.5779092702169626E-2</v>
      </c>
      <c r="D956" s="5">
        <f ca="1">Data!O861</f>
        <v>1041.156350377637</v>
      </c>
      <c r="E956" s="1">
        <f>Data!AQ861</f>
        <v>0</v>
      </c>
      <c r="F956" t="str">
        <f t="shared" si="15"/>
        <v/>
      </c>
      <c r="G956" s="5">
        <f ca="1">AVERAGE(D$2:D955)</f>
        <v>309.74724380972106</v>
      </c>
      <c r="H956" s="5">
        <f ca="1">PERCENTILE(D$2:D955,0.025)</f>
        <v>-2.3541820229602477</v>
      </c>
      <c r="I956" s="5">
        <f ca="1">PERCENTILE(D$2:D955,0.165)</f>
        <v>10.979379999780276</v>
      </c>
      <c r="J956" s="5">
        <f ca="1">PERCENTILE(D$2:D955,0.5)</f>
        <v>53.861211332225395</v>
      </c>
      <c r="K956" s="5">
        <f ca="1">PERCENTILE(D$2:D955,0.835)</f>
        <v>260.27957811307652</v>
      </c>
      <c r="L956" s="5">
        <f ca="1">PERCENTILE(D$2:D955,0.975)</f>
        <v>1314.3909375836326</v>
      </c>
      <c r="M956" s="7">
        <f>AVERAGE(E$2:E955)</f>
        <v>1.2337142857142871</v>
      </c>
      <c r="N956" s="7">
        <f>PERCENTILE($E$2:$E955,0.025)</f>
        <v>-1.1000000000000001</v>
      </c>
      <c r="O956" s="7">
        <f>PERCENTILE($E$2:$E955,0.165)</f>
        <v>0</v>
      </c>
      <c r="P956" s="7">
        <f>PERCENTILE($E$2:$E955,0.5)</f>
        <v>1</v>
      </c>
      <c r="Q956" s="7">
        <f>PERCENTILE($E$2:$E955,0.835)</f>
        <v>3</v>
      </c>
      <c r="R956" s="7">
        <f>PERCENTILE($E$2:$E955,0.975)</f>
        <v>3</v>
      </c>
    </row>
    <row r="957" spans="1:18" x14ac:dyDescent="0.2">
      <c r="A957" s="5">
        <f>Data!E862</f>
        <v>2014</v>
      </c>
      <c r="B957" s="5">
        <f>Data!M862</f>
        <v>0.10098619329388561</v>
      </c>
      <c r="C957" s="5">
        <f>Data!N862</f>
        <v>1.5779092702169626E-2</v>
      </c>
      <c r="D957" s="5">
        <f ca="1">Data!O862</f>
        <v>2969.2236658917795</v>
      </c>
      <c r="E957" s="1">
        <f>Data!AQ862</f>
        <v>0</v>
      </c>
      <c r="F957" t="str">
        <f t="shared" si="15"/>
        <v/>
      </c>
      <c r="G957" s="5">
        <f ca="1">AVERAGE(D$2:D956)</f>
        <v>310.51311721973985</v>
      </c>
      <c r="H957" s="5">
        <f ca="1">PERCENTILE(D$2:D956,0.025)</f>
        <v>-2.3449134250045471</v>
      </c>
      <c r="I957" s="5">
        <f ca="1">PERCENTILE(D$2:D956,0.165)</f>
        <v>10.98388635744419</v>
      </c>
      <c r="J957" s="5">
        <f ca="1">PERCENTILE(D$2:D956,0.5)</f>
        <v>53.861211332225395</v>
      </c>
      <c r="K957" s="5">
        <f ca="1">PERCENTILE(D$2:D956,0.835)</f>
        <v>262.01235613648277</v>
      </c>
      <c r="L957" s="5">
        <f ca="1">PERCENTILE(D$2:D956,0.975)</f>
        <v>1313.9490190813453</v>
      </c>
      <c r="M957" s="7">
        <f>AVERAGE(E$2:E956)</f>
        <v>1.2321141374837887</v>
      </c>
      <c r="N957" s="7">
        <f>PERCENTILE($E$2:$E956,0.025)</f>
        <v>-1.1000000000000001</v>
      </c>
      <c r="O957" s="7">
        <f>PERCENTILE($E$2:$E956,0.165)</f>
        <v>0</v>
      </c>
      <c r="P957" s="7">
        <f>PERCENTILE($E$2:$E956,0.5)</f>
        <v>1</v>
      </c>
      <c r="Q957" s="7">
        <f>PERCENTILE($E$2:$E956,0.835)</f>
        <v>3</v>
      </c>
      <c r="R957" s="7">
        <f>PERCENTILE($E$2:$E956,0.975)</f>
        <v>3</v>
      </c>
    </row>
    <row r="958" spans="1:18" x14ac:dyDescent="0.2">
      <c r="A958" s="5">
        <f>Data!E863</f>
        <v>2014</v>
      </c>
      <c r="B958" s="5">
        <f>Data!M863</f>
        <v>5.0493096646942806E-2</v>
      </c>
      <c r="C958" s="5">
        <f>Data!N863</f>
        <v>7.889546351084813E-3</v>
      </c>
      <c r="D958" s="5">
        <f ca="1">Data!O863</f>
        <v>5012.9750203367712</v>
      </c>
      <c r="E958" s="1">
        <f>Data!AQ863</f>
        <v>0</v>
      </c>
      <c r="F958" t="str">
        <f t="shared" si="15"/>
        <v/>
      </c>
      <c r="G958" s="5">
        <f ca="1">AVERAGE(D$2:D957)</f>
        <v>313.29419519952233</v>
      </c>
      <c r="H958" s="5">
        <f ca="1">PERCENTILE(D$2:D957,0.025)</f>
        <v>-2.3356448270488466</v>
      </c>
      <c r="I958" s="5">
        <f ca="1">PERCENTILE(D$2:D957,0.165)</f>
        <v>10.988392715108104</v>
      </c>
      <c r="J958" s="5">
        <f ca="1">PERCENTILE(D$2:D957,0.5)</f>
        <v>53.960590374433991</v>
      </c>
      <c r="K958" s="5">
        <f ca="1">PERCENTILE(D$2:D957,0.835)</f>
        <v>263.85452755905504</v>
      </c>
      <c r="L958" s="5">
        <f ca="1">PERCENTILE(D$2:D957,0.975)</f>
        <v>1328.9742481591302</v>
      </c>
      <c r="M958" s="7">
        <f>AVERAGE(E$2:E957)</f>
        <v>1.2305181347150274</v>
      </c>
      <c r="N958" s="7">
        <f>PERCENTILE($E$2:$E957,0.025)</f>
        <v>-1.1000000000000001</v>
      </c>
      <c r="O958" s="7">
        <f>PERCENTILE($E$2:$E957,0.165)</f>
        <v>0</v>
      </c>
      <c r="P958" s="7">
        <f>PERCENTILE($E$2:$E957,0.5)</f>
        <v>1</v>
      </c>
      <c r="Q958" s="7">
        <f>PERCENTILE($E$2:$E957,0.835)</f>
        <v>3</v>
      </c>
      <c r="R958" s="7">
        <f>PERCENTILE($E$2:$E957,0.975)</f>
        <v>3</v>
      </c>
    </row>
    <row r="959" spans="1:18" x14ac:dyDescent="0.2">
      <c r="A959" s="5">
        <f>Data!E864</f>
        <v>2014</v>
      </c>
      <c r="B959" s="5">
        <f>Data!M864</f>
        <v>2.5246548323471403E-2</v>
      </c>
      <c r="C959" s="5">
        <f>Data!N864</f>
        <v>3.9447731755424065E-3</v>
      </c>
      <c r="D959" s="5">
        <f ca="1">Data!O864</f>
        <v>9640.3365775707116</v>
      </c>
      <c r="E959" s="1">
        <f>Data!AQ864</f>
        <v>0</v>
      </c>
      <c r="F959" t="str">
        <f t="shared" si="15"/>
        <v/>
      </c>
      <c r="G959" s="5">
        <f ca="1">AVERAGE(D$2:D958)</f>
        <v>318.20504245671901</v>
      </c>
      <c r="H959" s="5">
        <f ca="1">PERCENTILE(D$2:D958,0.025)</f>
        <v>-2.3263762290931451</v>
      </c>
      <c r="I959" s="5">
        <f ca="1">PERCENTILE(D$2:D958,0.165)</f>
        <v>10.992899072772016</v>
      </c>
      <c r="J959" s="5">
        <f ca="1">PERCENTILE(D$2:D958,0.5)</f>
        <v>54.059969416642588</v>
      </c>
      <c r="K959" s="5">
        <f ca="1">PERCENTILE(D$2:D958,0.835)</f>
        <v>265.64322815143237</v>
      </c>
      <c r="L959" s="5">
        <f ca="1">PERCENTILE(D$2:D958,0.975)</f>
        <v>1331.2477479365909</v>
      </c>
      <c r="M959" s="7">
        <f>AVERAGE(E$2:E958)</f>
        <v>1.2289262613195358</v>
      </c>
      <c r="N959" s="7">
        <f>PERCENTILE($E$2:$E958,0.025)</f>
        <v>-1.1000000000000001</v>
      </c>
      <c r="O959" s="7">
        <f>PERCENTILE($E$2:$E958,0.165)</f>
        <v>0</v>
      </c>
      <c r="P959" s="7">
        <f>PERCENTILE($E$2:$E958,0.5)</f>
        <v>1</v>
      </c>
      <c r="Q959" s="7">
        <f>PERCENTILE($E$2:$E958,0.835)</f>
        <v>3</v>
      </c>
      <c r="R959" s="7">
        <f>PERCENTILE($E$2:$E958,0.975)</f>
        <v>3</v>
      </c>
    </row>
    <row r="960" spans="1:18" x14ac:dyDescent="0.2">
      <c r="A960" s="5">
        <f>Data!E865</f>
        <v>2014</v>
      </c>
      <c r="B960" s="5">
        <f>Data!M865</f>
        <v>1.2623274161735702E-2</v>
      </c>
      <c r="C960" s="5">
        <f>Data!N865</f>
        <v>1.9723865877712033E-3</v>
      </c>
      <c r="D960" s="5">
        <f ca="1">Data!O865</f>
        <v>14653.311597907485</v>
      </c>
      <c r="E960" s="1">
        <f>Data!AQ865</f>
        <v>0</v>
      </c>
      <c r="F960" t="str">
        <f t="shared" si="15"/>
        <v/>
      </c>
      <c r="G960" s="5">
        <f ca="1">AVERAGE(D$2:D959)</f>
        <v>327.93586869378998</v>
      </c>
      <c r="H960" s="5">
        <f ca="1">PERCENTILE(D$2:D959,0.025)</f>
        <v>-2.3171076311374446</v>
      </c>
      <c r="I960" s="5">
        <f ca="1">PERCENTILE(D$2:D959,0.165)</f>
        <v>10.997405430435929</v>
      </c>
      <c r="J960" s="5">
        <f ca="1">PERCENTILE(D$2:D959,0.5)</f>
        <v>54.250269998144688</v>
      </c>
      <c r="K960" s="5">
        <f ca="1">PERCENTILE(D$2:D959,0.835)</f>
        <v>267.92669823611089</v>
      </c>
      <c r="L960" s="5">
        <f ca="1">PERCENTILE(D$2:D959,0.975)</f>
        <v>1357.2810524886982</v>
      </c>
      <c r="M960" s="7">
        <f>AVERAGE(E$2:E959)</f>
        <v>1.2273385012919911</v>
      </c>
      <c r="N960" s="7">
        <f>PERCENTILE($E$2:$E959,0.025)</f>
        <v>-1.1000000000000001</v>
      </c>
      <c r="O960" s="7">
        <f>PERCENTILE($E$2:$E959,0.165)</f>
        <v>0</v>
      </c>
      <c r="P960" s="7">
        <f>PERCENTILE($E$2:$E959,0.5)</f>
        <v>1</v>
      </c>
      <c r="Q960" s="7">
        <f>PERCENTILE($E$2:$E959,0.835)</f>
        <v>3</v>
      </c>
      <c r="R960" s="7">
        <f>PERCENTILE($E$2:$E959,0.975)</f>
        <v>3</v>
      </c>
    </row>
    <row r="961" spans="1:18" x14ac:dyDescent="0.2">
      <c r="A961" s="5">
        <f>Data!E866</f>
        <v>2014</v>
      </c>
      <c r="B961" s="5">
        <f>Data!M866</f>
        <v>0.8078895463510849</v>
      </c>
      <c r="C961" s="5">
        <f>Data!N866</f>
        <v>0.12623274161735701</v>
      </c>
      <c r="D961" s="5">
        <f ca="1">Data!O866</f>
        <v>111.82790429982026</v>
      </c>
      <c r="E961" s="1">
        <f>Data!AQ866</f>
        <v>1</v>
      </c>
      <c r="F961" t="str">
        <f t="shared" si="15"/>
        <v/>
      </c>
      <c r="G961" s="5">
        <f ca="1">AVERAGE(D$2:D960)</f>
        <v>342.8736953144508</v>
      </c>
      <c r="H961" s="5">
        <f ca="1">PERCENTILE(D$2:D960,0.025)</f>
        <v>-2.3078390331817427</v>
      </c>
      <c r="I961" s="5">
        <f ca="1">PERCENTILE(D$2:D960,0.165)</f>
        <v>11.018374553992709</v>
      </c>
      <c r="J961" s="5">
        <f ca="1">PERCENTILE(D$2:D960,0.5)</f>
        <v>54.440570579646788</v>
      </c>
      <c r="K961" s="5">
        <f ca="1">PERCENTILE(D$2:D960,0.835)</f>
        <v>271.9060780180439</v>
      </c>
      <c r="L961" s="5">
        <f ca="1">PERCENTILE(D$2:D960,0.975)</f>
        <v>1429.6999999999966</v>
      </c>
      <c r="M961" s="7">
        <f>AVERAGE(E$2:E960)</f>
        <v>1.2257548387096788</v>
      </c>
      <c r="N961" s="7">
        <f>PERCENTILE($E$2:$E960,0.025)</f>
        <v>-1.1000000000000001</v>
      </c>
      <c r="O961" s="7">
        <f>PERCENTILE($E$2:$E960,0.165)</f>
        <v>0</v>
      </c>
      <c r="P961" s="7">
        <f>PERCENTILE($E$2:$E960,0.5)</f>
        <v>1</v>
      </c>
      <c r="Q961" s="7">
        <f>PERCENTILE($E$2:$E960,0.835)</f>
        <v>3</v>
      </c>
      <c r="R961" s="7">
        <f>PERCENTILE($E$2:$E960,0.975)</f>
        <v>3</v>
      </c>
    </row>
    <row r="962" spans="1:18" x14ac:dyDescent="0.2">
      <c r="A962" s="5">
        <f>Data!E867</f>
        <v>2014</v>
      </c>
      <c r="B962" s="5">
        <f>Data!M867</f>
        <v>0.40394477317554245</v>
      </c>
      <c r="C962" s="5">
        <f>Data!N867</f>
        <v>6.3116370808678504E-2</v>
      </c>
      <c r="D962" s="5">
        <f ca="1">Data!O867</f>
        <v>131.1085774549617</v>
      </c>
      <c r="E962" s="1">
        <f>Data!AQ867</f>
        <v>1</v>
      </c>
      <c r="F962" t="str">
        <f t="shared" si="15"/>
        <v/>
      </c>
      <c r="G962" s="5">
        <f ca="1">AVERAGE(D$2:D961)</f>
        <v>342.63302261547722</v>
      </c>
      <c r="H962" s="5">
        <f ca="1">PERCENTILE(D$2:D961,0.025)</f>
        <v>-2.2985704352260421</v>
      </c>
      <c r="I962" s="5">
        <f ca="1">PERCENTILE(D$2:D961,0.165)</f>
        <v>11.061686002689797</v>
      </c>
      <c r="J962" s="5">
        <f ca="1">PERCENTILE(D$2:D961,0.5)</f>
        <v>54.668787218745948</v>
      </c>
      <c r="K962" s="5">
        <f ca="1">PERCENTILE(D$2:D961,0.835)</f>
        <v>271.11973351023698</v>
      </c>
      <c r="L962" s="5">
        <f ca="1">PERCENTILE(D$2:D961,0.975)</f>
        <v>1427.8499999999983</v>
      </c>
      <c r="M962" s="7">
        <f>AVERAGE(E$2:E961)</f>
        <v>1.2254639175257747</v>
      </c>
      <c r="N962" s="7">
        <f>PERCENTILE($E$2:$E961,0.025)</f>
        <v>-1.1000000000000001</v>
      </c>
      <c r="O962" s="7">
        <f>PERCENTILE($E$2:$E961,0.165)</f>
        <v>0</v>
      </c>
      <c r="P962" s="7">
        <f>PERCENTILE($E$2:$E961,0.5)</f>
        <v>1</v>
      </c>
      <c r="Q962" s="7">
        <f>PERCENTILE($E$2:$E961,0.835)</f>
        <v>3</v>
      </c>
      <c r="R962" s="7">
        <f>PERCENTILE($E$2:$E961,0.975)</f>
        <v>3</v>
      </c>
    </row>
    <row r="963" spans="1:18" x14ac:dyDescent="0.2">
      <c r="A963" s="5">
        <f>Data!E868</f>
        <v>2014</v>
      </c>
      <c r="B963" s="5">
        <f>Data!M868</f>
        <v>0.40394477317554245</v>
      </c>
      <c r="C963" s="5">
        <f>Data!N868</f>
        <v>6.3116370808678504E-2</v>
      </c>
      <c r="D963" s="5">
        <f ca="1">Data!O868</f>
        <v>289.21009732712139</v>
      </c>
      <c r="E963" s="1">
        <f>Data!AQ868</f>
        <v>1</v>
      </c>
      <c r="F963" t="str">
        <f t="shared" si="15"/>
        <v/>
      </c>
      <c r="G963" s="5">
        <f ca="1">AVERAGE(D$2:D962)</f>
        <v>342.41291393164738</v>
      </c>
      <c r="H963" s="5">
        <f ca="1">PERCENTILE(D$2:D962,0.025)</f>
        <v>-2.2893018372703415</v>
      </c>
      <c r="I963" s="5">
        <f ca="1">PERCENTILE(D$2:D962,0.165)</f>
        <v>11.104997451386883</v>
      </c>
      <c r="J963" s="5">
        <f ca="1">PERCENTILE(D$2:D962,0.5)</f>
        <v>54.897003857845114</v>
      </c>
      <c r="K963" s="5">
        <f ca="1">PERCENTILE(D$2:D962,0.835)</f>
        <v>270.33338900242956</v>
      </c>
      <c r="L963" s="5">
        <f ca="1">PERCENTILE(D$2:D962,0.975)</f>
        <v>1426</v>
      </c>
      <c r="M963" s="7">
        <f>AVERAGE(E$2:E962)</f>
        <v>1.2251737451737466</v>
      </c>
      <c r="N963" s="7">
        <f>PERCENTILE($E$2:$E962,0.025)</f>
        <v>-1.1000000000000001</v>
      </c>
      <c r="O963" s="7">
        <f>PERCENTILE($E$2:$E962,0.165)</f>
        <v>0</v>
      </c>
      <c r="P963" s="7">
        <f>PERCENTILE($E$2:$E962,0.5)</f>
        <v>1</v>
      </c>
      <c r="Q963" s="7">
        <f>PERCENTILE($E$2:$E962,0.835)</f>
        <v>3</v>
      </c>
      <c r="R963" s="7">
        <f>PERCENTILE($E$2:$E962,0.975)</f>
        <v>3</v>
      </c>
    </row>
    <row r="964" spans="1:18" x14ac:dyDescent="0.2">
      <c r="A964" s="5">
        <f>Data!E869</f>
        <v>2014</v>
      </c>
      <c r="B964" s="5">
        <f>Data!M869</f>
        <v>0.20197238658777122</v>
      </c>
      <c r="C964" s="5">
        <f>Data!N869</f>
        <v>3.1558185404339252E-2</v>
      </c>
      <c r="D964" s="5">
        <f ca="1">Data!O869</f>
        <v>578.42019465424278</v>
      </c>
      <c r="E964" s="1">
        <f>Data!AQ869</f>
        <v>1</v>
      </c>
      <c r="F964" t="str">
        <f t="shared" si="15"/>
        <v/>
      </c>
      <c r="G964" s="5">
        <f ca="1">AVERAGE(D$2:D963)</f>
        <v>342.35760954848263</v>
      </c>
      <c r="H964" s="5">
        <f ca="1">PERCENTILE(D$2:D963,0.025)</f>
        <v>-2.2861014707471434</v>
      </c>
      <c r="I964" s="5">
        <f ca="1">PERCENTILE(D$2:D963,0.165)</f>
        <v>11.14830890008397</v>
      </c>
      <c r="J964" s="5">
        <f ca="1">PERCENTILE(D$2:D963,0.5)</f>
        <v>55.41490012065497</v>
      </c>
      <c r="K964" s="5">
        <f ca="1">PERCENTILE(D$2:D963,0.835)</f>
        <v>272.91213655516265</v>
      </c>
      <c r="L964" s="5">
        <f ca="1">PERCENTILE(D$2:D963,0.975)</f>
        <v>1424.1427311483451</v>
      </c>
      <c r="M964" s="7">
        <f>AVERAGE(E$2:E963)</f>
        <v>1.2248843187660683</v>
      </c>
      <c r="N964" s="7">
        <f>PERCENTILE($E$2:$E963,0.025)</f>
        <v>-1.1000000000000001</v>
      </c>
      <c r="O964" s="7">
        <f>PERCENTILE($E$2:$E963,0.165)</f>
        <v>0</v>
      </c>
      <c r="P964" s="7">
        <f>PERCENTILE($E$2:$E963,0.5)</f>
        <v>1</v>
      </c>
      <c r="Q964" s="7">
        <f>PERCENTILE($E$2:$E963,0.835)</f>
        <v>3</v>
      </c>
      <c r="R964" s="7">
        <f>PERCENTILE($E$2:$E963,0.975)</f>
        <v>3</v>
      </c>
    </row>
    <row r="965" spans="1:18" x14ac:dyDescent="0.2">
      <c r="A965" s="5">
        <f>Data!E870</f>
        <v>2014</v>
      </c>
      <c r="B965" s="5">
        <f>Data!M870</f>
        <v>0.10098619329388561</v>
      </c>
      <c r="C965" s="5">
        <f>Data!N870</f>
        <v>1.5779092702169626E-2</v>
      </c>
      <c r="D965" s="5">
        <f ca="1">Data!O870</f>
        <v>4241.7480941311142</v>
      </c>
      <c r="E965" s="1">
        <f>Data!AQ870</f>
        <v>1</v>
      </c>
      <c r="F965" t="str">
        <f t="shared" si="15"/>
        <v/>
      </c>
      <c r="G965" s="5">
        <f ca="1">AVERAGE(D$2:D964)</f>
        <v>342.60274203561215</v>
      </c>
      <c r="H965" s="5">
        <f ca="1">PERCENTILE(D$2:D964,0.025)</f>
        <v>-2.2829011042239462</v>
      </c>
      <c r="I965" s="5">
        <f ca="1">PERCENTILE(D$2:D964,0.165)</f>
        <v>11.191620348781065</v>
      </c>
      <c r="J965" s="5">
        <f ca="1">PERCENTILE(D$2:D964,0.5)</f>
        <v>55.932796383464826</v>
      </c>
      <c r="K965" s="5">
        <f ca="1">PERCENTILE(D$2:D964,0.835)</f>
        <v>274.82671515338581</v>
      </c>
      <c r="L965" s="5">
        <f ca="1">PERCENTILE(D$2:D964,0.975)</f>
        <v>1422.2854622966815</v>
      </c>
      <c r="M965" s="7">
        <f>AVERAGE(E$2:E964)</f>
        <v>1.2245956354300398</v>
      </c>
      <c r="N965" s="7">
        <f>PERCENTILE($E$2:$E964,0.025)</f>
        <v>-1.1000000000000001</v>
      </c>
      <c r="O965" s="7">
        <f>PERCENTILE($E$2:$E964,0.165)</f>
        <v>0</v>
      </c>
      <c r="P965" s="7">
        <f>PERCENTILE($E$2:$E964,0.5)</f>
        <v>1</v>
      </c>
      <c r="Q965" s="7">
        <f>PERCENTILE($E$2:$E964,0.835)</f>
        <v>3</v>
      </c>
      <c r="R965" s="7">
        <f>PERCENTILE($E$2:$E964,0.975)</f>
        <v>3</v>
      </c>
    </row>
    <row r="966" spans="1:18" x14ac:dyDescent="0.2">
      <c r="A966" s="5">
        <f>Data!E871</f>
        <v>2014</v>
      </c>
      <c r="B966" s="5">
        <f>Data!M871</f>
        <v>5.0493096646942806E-2</v>
      </c>
      <c r="C966" s="5">
        <f>Data!N871</f>
        <v>7.889546351084813E-3</v>
      </c>
      <c r="D966" s="5">
        <f ca="1">Data!O871</f>
        <v>14653.311597907485</v>
      </c>
      <c r="E966" s="1">
        <f>Data!AQ871</f>
        <v>1</v>
      </c>
      <c r="F966" t="str">
        <f t="shared" si="15"/>
        <v/>
      </c>
      <c r="G966" s="5">
        <f ca="1">AVERAGE(D$2:D965)</f>
        <v>346.64749862492289</v>
      </c>
      <c r="H966" s="5">
        <f ca="1">PERCENTILE(D$2:D965,0.025)</f>
        <v>-2.2797007377007481</v>
      </c>
      <c r="I966" s="5">
        <f ca="1">PERCENTILE(D$2:D965,0.165)</f>
        <v>11.234931797478151</v>
      </c>
      <c r="J966" s="5">
        <f ca="1">PERCENTILE(D$2:D965,0.5)</f>
        <v>56.259836700825616</v>
      </c>
      <c r="K966" s="5">
        <f ca="1">PERCENTILE(D$2:D965,0.835)</f>
        <v>277.78140697729151</v>
      </c>
      <c r="L966" s="5">
        <f ca="1">PERCENTILE(D$2:D965,0.975)</f>
        <v>1494.4499999999966</v>
      </c>
      <c r="M966" s="7">
        <f>AVERAGE(E$2:E965)</f>
        <v>1.2243076923076937</v>
      </c>
      <c r="N966" s="7">
        <f>PERCENTILE($E$2:$E965,0.025)</f>
        <v>-1.1000000000000001</v>
      </c>
      <c r="O966" s="7">
        <f>PERCENTILE($E$2:$E965,0.165)</f>
        <v>0</v>
      </c>
      <c r="P966" s="7">
        <f>PERCENTILE($E$2:$E965,0.5)</f>
        <v>1</v>
      </c>
      <c r="Q966" s="7">
        <f>PERCENTILE($E$2:$E965,0.835)</f>
        <v>3</v>
      </c>
      <c r="R966" s="7">
        <f>PERCENTILE($E$2:$E965,0.975)</f>
        <v>3</v>
      </c>
    </row>
    <row r="967" spans="1:18" x14ac:dyDescent="0.2">
      <c r="A967" s="5">
        <f>Data!E872</f>
        <v>2014</v>
      </c>
      <c r="B967" s="5">
        <f>Data!M872</f>
        <v>0.3938461538461539</v>
      </c>
      <c r="C967" s="5">
        <f>Data!N872</f>
        <v>6.1538461538461542E-2</v>
      </c>
      <c r="D967" s="5">
        <f ca="1">Data!O872</f>
        <v>38.435716501599366</v>
      </c>
      <c r="E967" s="1">
        <f>Data!AQ872</f>
        <v>1.5</v>
      </c>
      <c r="F967" t="str">
        <f t="shared" si="15"/>
        <v/>
      </c>
      <c r="G967" s="5">
        <f ca="1">AVERAGE(D$2:D966)</f>
        <v>361.47305727702917</v>
      </c>
      <c r="H967" s="5">
        <f ca="1">PERCENTILE(D$2:D966,0.025)</f>
        <v>-2.2765003711775509</v>
      </c>
      <c r="I967" s="5">
        <f ca="1">PERCENTILE(D$2:D966,0.165)</f>
        <v>11.262493628467205</v>
      </c>
      <c r="J967" s="5">
        <f ca="1">PERCENTILE(D$2:D966,0.5)</f>
        <v>56.586877018186414</v>
      </c>
      <c r="K967" s="5">
        <f ca="1">PERCENTILE(D$2:D966,0.835)</f>
        <v>278.89246229746146</v>
      </c>
      <c r="L967" s="5">
        <f ca="1">PERCENTILE(D$2:D966,0.975)</f>
        <v>1534.1752247269171</v>
      </c>
      <c r="M967" s="7">
        <f>AVERAGE(E$2:E966)</f>
        <v>1.2240204865556992</v>
      </c>
      <c r="N967" s="7">
        <f>PERCENTILE($E$2:$E966,0.025)</f>
        <v>-1.1000000000000001</v>
      </c>
      <c r="O967" s="7">
        <f>PERCENTILE($E$2:$E966,0.165)</f>
        <v>0</v>
      </c>
      <c r="P967" s="7">
        <f>PERCENTILE($E$2:$E966,0.5)</f>
        <v>1</v>
      </c>
      <c r="Q967" s="7">
        <f>PERCENTILE($E$2:$E966,0.835)</f>
        <v>3</v>
      </c>
      <c r="R967" s="7">
        <f>PERCENTILE($E$2:$E966,0.975)</f>
        <v>3</v>
      </c>
    </row>
    <row r="968" spans="1:18" x14ac:dyDescent="0.2">
      <c r="A968" s="5">
        <f>Data!E873</f>
        <v>2014</v>
      </c>
      <c r="B968" s="5">
        <f>Data!M873</f>
        <v>0.7876923076923078</v>
      </c>
      <c r="C968" s="5">
        <f>Data!N873</f>
        <v>0.12307692307692308</v>
      </c>
      <c r="D968" s="5">
        <f ca="1">Data!O873</f>
        <v>45.586547478641116</v>
      </c>
      <c r="E968" s="1">
        <f>Data!AQ873</f>
        <v>1.5</v>
      </c>
      <c r="F968" t="str">
        <f t="shared" si="15"/>
        <v/>
      </c>
      <c r="G968" s="5">
        <f ca="1">AVERAGE(D$2:D967)</f>
        <v>361.13865009196144</v>
      </c>
      <c r="H968" s="5">
        <f ca="1">PERCENTILE(D$2:D967,0.025)</f>
        <v>-2.2733000046543532</v>
      </c>
      <c r="I968" s="5">
        <f ca="1">PERCENTILE(D$2:D967,0.165)</f>
        <v>11.262493628467205</v>
      </c>
      <c r="J968" s="5">
        <f ca="1">PERCENTILE(D$2:D967,0.5)</f>
        <v>56.259836700825616</v>
      </c>
      <c r="K968" s="5">
        <f ca="1">PERCENTILE(D$2:D967,0.835)</f>
        <v>278.6729124437752</v>
      </c>
      <c r="L968" s="5">
        <f ca="1">PERCENTILE(D$2:D967,0.975)</f>
        <v>1533.225912928948</v>
      </c>
      <c r="M968" s="7">
        <f>AVERAGE(E$2:E967)</f>
        <v>1.2243734015345282</v>
      </c>
      <c r="N968" s="7">
        <f>PERCENTILE($E$2:$E967,0.025)</f>
        <v>-1.1000000000000001</v>
      </c>
      <c r="O968" s="7">
        <f>PERCENTILE($E$2:$E967,0.165)</f>
        <v>0</v>
      </c>
      <c r="P968" s="7">
        <f>PERCENTILE($E$2:$E967,0.5)</f>
        <v>1</v>
      </c>
      <c r="Q968" s="7">
        <f>PERCENTILE($E$2:$E967,0.835)</f>
        <v>3</v>
      </c>
      <c r="R968" s="7">
        <f>PERCENTILE($E$2:$E967,0.975)</f>
        <v>3</v>
      </c>
    </row>
    <row r="969" spans="1:18" x14ac:dyDescent="0.2">
      <c r="A969" s="5">
        <f>Data!E874</f>
        <v>2014</v>
      </c>
      <c r="B969" s="5">
        <f>Data!M874</f>
        <v>0.19692307692307695</v>
      </c>
      <c r="C969" s="5">
        <f>Data!N874</f>
        <v>3.0769230769230771E-2</v>
      </c>
      <c r="D969" s="5">
        <f ca="1">Data!O874</f>
        <v>31.284885524557627</v>
      </c>
      <c r="E969" s="1">
        <f>Data!AQ874</f>
        <v>1.5</v>
      </c>
      <c r="F969" t="str">
        <f t="shared" si="15"/>
        <v/>
      </c>
      <c r="G969" s="5">
        <f ca="1">AVERAGE(D$2:D968)</f>
        <v>360.81232940673567</v>
      </c>
      <c r="H969" s="5">
        <f ca="1">PERCENTILE(D$2:D968,0.025)</f>
        <v>-2.2700996381311556</v>
      </c>
      <c r="I969" s="5">
        <f ca="1">PERCENTILE(D$2:D968,0.165)</f>
        <v>11.262493628467205</v>
      </c>
      <c r="J969" s="5">
        <f ca="1">PERCENTILE(D$2:D968,0.5)</f>
        <v>55.932796383464826</v>
      </c>
      <c r="K969" s="5">
        <f ca="1">PERCENTILE(D$2:D968,0.835)</f>
        <v>278.45336259008894</v>
      </c>
      <c r="L969" s="5">
        <f ca="1">PERCENTILE(D$2:D968,0.975)</f>
        <v>1532.2766011309789</v>
      </c>
      <c r="M969" s="7">
        <f>AVERAGE(E$2:E968)</f>
        <v>1.224725415070244</v>
      </c>
      <c r="N969" s="7">
        <f>PERCENTILE($E$2:$E968,0.025)</f>
        <v>-1.1000000000000001</v>
      </c>
      <c r="O969" s="7">
        <f>PERCENTILE($E$2:$E968,0.165)</f>
        <v>0</v>
      </c>
      <c r="P969" s="7">
        <f>PERCENTILE($E$2:$E968,0.5)</f>
        <v>1</v>
      </c>
      <c r="Q969" s="7">
        <f>PERCENTILE($E$2:$E968,0.835)</f>
        <v>3</v>
      </c>
      <c r="R969" s="7">
        <f>PERCENTILE($E$2:$E968,0.975)</f>
        <v>3</v>
      </c>
    </row>
    <row r="970" spans="1:18" x14ac:dyDescent="0.2">
      <c r="A970" s="5">
        <f>Data!E875</f>
        <v>2014</v>
      </c>
      <c r="B970" s="5">
        <f>Data!M875</f>
        <v>9.8461538461538475E-2</v>
      </c>
      <c r="C970" s="5">
        <f>Data!N875</f>
        <v>1.5384615384615385E-2</v>
      </c>
      <c r="D970" s="5">
        <f ca="1">Data!O875</f>
        <v>30.391031652427408</v>
      </c>
      <c r="E970" s="1">
        <f>Data!AQ875</f>
        <v>1.5</v>
      </c>
      <c r="F970" t="str">
        <f t="shared" si="15"/>
        <v/>
      </c>
      <c r="G970" s="5">
        <f ca="1">AVERAGE(D$2:D969)</f>
        <v>360.4719084936342</v>
      </c>
      <c r="H970" s="5">
        <f ca="1">PERCENTILE(D$2:D969,0.025)</f>
        <v>-2.2668992716079579</v>
      </c>
      <c r="I970" s="5">
        <f ca="1">PERCENTILE(D$2:D969,0.165)</f>
        <v>11.262493628467205</v>
      </c>
      <c r="J970" s="5">
        <f ca="1">PERCENTILE(D$2:D969,0.5)</f>
        <v>55.41490012065497</v>
      </c>
      <c r="K970" s="5">
        <f ca="1">PERCENTILE(D$2:D969,0.835)</f>
        <v>278.23381273640257</v>
      </c>
      <c r="L970" s="5">
        <f ca="1">PERCENTILE(D$2:D969,0.975)</f>
        <v>1531.3272893330056</v>
      </c>
      <c r="M970" s="7">
        <f>AVERAGE(E$2:E969)</f>
        <v>1.2250765306122462</v>
      </c>
      <c r="N970" s="7">
        <f>PERCENTILE($E$2:$E969,0.025)</f>
        <v>-1.1000000000000001</v>
      </c>
      <c r="O970" s="7">
        <f>PERCENTILE($E$2:$E969,0.165)</f>
        <v>0</v>
      </c>
      <c r="P970" s="7">
        <f>PERCENTILE($E$2:$E969,0.5)</f>
        <v>1</v>
      </c>
      <c r="Q970" s="7">
        <f>PERCENTILE($E$2:$E969,0.835)</f>
        <v>3</v>
      </c>
      <c r="R970" s="7">
        <f>PERCENTILE($E$2:$E969,0.975)</f>
        <v>3</v>
      </c>
    </row>
    <row r="971" spans="1:18" x14ac:dyDescent="0.2">
      <c r="A971" s="5">
        <f>Data!E876</f>
        <v>2014</v>
      </c>
      <c r="B971" s="5">
        <f>Data!M876</f>
        <v>0.19692307692307695</v>
      </c>
      <c r="C971" s="5">
        <f>Data!N876</f>
        <v>3.0769230769230771E-2</v>
      </c>
      <c r="D971" s="5">
        <f ca="1">Data!O876</f>
        <v>75.977579131068524</v>
      </c>
      <c r="E971" s="1">
        <f>Data!AQ876</f>
        <v>1.5</v>
      </c>
      <c r="F971" t="str">
        <f t="shared" si="15"/>
        <v/>
      </c>
      <c r="G971" s="5">
        <f ca="1">AVERAGE(D$2:D970)</f>
        <v>360.13126775386007</v>
      </c>
      <c r="H971" s="5">
        <f ca="1">PERCENTILE(D$2:D970,0.025)</f>
        <v>-2.2636989050847602</v>
      </c>
      <c r="I971" s="5">
        <f ca="1">PERCENTILE(D$2:D970,0.165)</f>
        <v>11.262493628467205</v>
      </c>
      <c r="J971" s="5">
        <f ca="1">PERCENTILE(D$2:D970,0.5)</f>
        <v>54.897003857845114</v>
      </c>
      <c r="K971" s="5">
        <f ca="1">PERCENTILE(D$2:D970,0.835)</f>
        <v>278.01426288271631</v>
      </c>
      <c r="L971" s="5">
        <f ca="1">PERCENTILE(D$2:D970,0.975)</f>
        <v>1530.3779775350365</v>
      </c>
      <c r="M971" s="7">
        <f>AVERAGE(E$2:E970)</f>
        <v>1.225426751592358</v>
      </c>
      <c r="N971" s="7">
        <f>PERCENTILE($E$2:$E970,0.025)</f>
        <v>-1.1000000000000001</v>
      </c>
      <c r="O971" s="7">
        <f>PERCENTILE($E$2:$E970,0.165)</f>
        <v>0</v>
      </c>
      <c r="P971" s="7">
        <f>PERCENTILE($E$2:$E970,0.5)</f>
        <v>1</v>
      </c>
      <c r="Q971" s="7">
        <f>PERCENTILE($E$2:$E970,0.835)</f>
        <v>3</v>
      </c>
      <c r="R971" s="7">
        <f>PERCENTILE($E$2:$E970,0.975)</f>
        <v>3</v>
      </c>
    </row>
    <row r="972" spans="1:18" x14ac:dyDescent="0.2">
      <c r="A972" s="5">
        <f>Data!E877</f>
        <v>2014</v>
      </c>
      <c r="B972" s="5">
        <f>Data!M877</f>
        <v>1.5753846153846156</v>
      </c>
      <c r="C972" s="5">
        <f>Data!N877</f>
        <v>0.24615384615384617</v>
      </c>
      <c r="D972" s="5">
        <f ca="1">Data!O877</f>
        <v>63.463624921245469</v>
      </c>
      <c r="E972" s="1">
        <f>Data!AQ877</f>
        <v>1.5</v>
      </c>
      <c r="F972" t="str">
        <f t="shared" si="15"/>
        <v/>
      </c>
      <c r="G972" s="5">
        <f ca="1">AVERAGE(D$2:D971)</f>
        <v>359.83832580682628</v>
      </c>
      <c r="H972" s="5">
        <f ca="1">PERCENTILE(D$2:D971,0.025)</f>
        <v>-2.2604985385615626</v>
      </c>
      <c r="I972" s="5">
        <f ca="1">PERCENTILE(D$2:D971,0.165)</f>
        <v>11.262493628467205</v>
      </c>
      <c r="J972" s="5">
        <f ca="1">PERCENTILE(D$2:D971,0.5)</f>
        <v>55.41490012065497</v>
      </c>
      <c r="K972" s="5">
        <f ca="1">PERCENTILE(D$2:D971,0.835)</f>
        <v>277.79471302903005</v>
      </c>
      <c r="L972" s="5">
        <f ca="1">PERCENTILE(D$2:D971,0.975)</f>
        <v>1529.4286657370674</v>
      </c>
      <c r="M972" s="7">
        <f>AVERAGE(E$2:E971)</f>
        <v>1.2257760814249377</v>
      </c>
      <c r="N972" s="7">
        <f>PERCENTILE($E$2:$E971,0.025)</f>
        <v>-1.1000000000000001</v>
      </c>
      <c r="O972" s="7">
        <f>PERCENTILE($E$2:$E971,0.165)</f>
        <v>0</v>
      </c>
      <c r="P972" s="7">
        <f>PERCENTILE($E$2:$E971,0.5)</f>
        <v>1</v>
      </c>
      <c r="Q972" s="7">
        <f>PERCENTILE($E$2:$E971,0.835)</f>
        <v>3</v>
      </c>
      <c r="R972" s="7">
        <f>PERCENTILE($E$2:$E971,0.975)</f>
        <v>3</v>
      </c>
    </row>
    <row r="973" spans="1:18" x14ac:dyDescent="0.2">
      <c r="A973" s="5">
        <f>Data!E878</f>
        <v>2014</v>
      </c>
      <c r="B973" s="5">
        <f>Data!M878</f>
        <v>3.1507692307692312</v>
      </c>
      <c r="C973" s="5">
        <f>Data!N878</f>
        <v>0.49230769230769234</v>
      </c>
      <c r="D973" s="5">
        <f ca="1">Data!O878</f>
        <v>50.055816839292206</v>
      </c>
      <c r="E973" s="1">
        <f>Data!AQ878</f>
        <v>1.5</v>
      </c>
      <c r="F973" t="str">
        <f t="shared" ref="F973:F1036" si="16">IF(A973&lt;&gt;A972,A973,"")</f>
        <v/>
      </c>
      <c r="G973" s="5">
        <f ca="1">AVERAGE(D$2:D972)</f>
        <v>359.53309954432819</v>
      </c>
      <c r="H973" s="5">
        <f ca="1">PERCENTILE(D$2:D972,0.025)</f>
        <v>-2.2572981720383654</v>
      </c>
      <c r="I973" s="5">
        <f ca="1">PERCENTILE(D$2:D972,0.165)</f>
        <v>11.27778914169809</v>
      </c>
      <c r="J973" s="5">
        <f ca="1">PERCENTILE(D$2:D972,0.5)</f>
        <v>55.932796383464826</v>
      </c>
      <c r="K973" s="5">
        <f ca="1">PERCENTILE(D$2:D972,0.835)</f>
        <v>277.44888670248486</v>
      </c>
      <c r="L973" s="5">
        <f ca="1">PERCENTILE(D$2:D972,0.975)</f>
        <v>1528.4793539390982</v>
      </c>
      <c r="M973" s="7">
        <f>AVERAGE(E$2:E972)</f>
        <v>1.22612452350699</v>
      </c>
      <c r="N973" s="7">
        <f>PERCENTILE($E$2:$E972,0.025)</f>
        <v>-1.1000000000000001</v>
      </c>
      <c r="O973" s="7">
        <f>PERCENTILE($E$2:$E972,0.165)</f>
        <v>0</v>
      </c>
      <c r="P973" s="7">
        <f>PERCENTILE($E$2:$E972,0.5)</f>
        <v>1</v>
      </c>
      <c r="Q973" s="7">
        <f>PERCENTILE($E$2:$E972,0.835)</f>
        <v>3</v>
      </c>
      <c r="R973" s="7">
        <f>PERCENTILE($E$2:$E972,0.975)</f>
        <v>3</v>
      </c>
    </row>
    <row r="974" spans="1:18" x14ac:dyDescent="0.2">
      <c r="A974" s="5">
        <f>Data!E879</f>
        <v>2014</v>
      </c>
      <c r="B974" s="5">
        <f>Data!M879</f>
        <v>0.10158730158730159</v>
      </c>
      <c r="C974" s="5">
        <f>Data!N879</f>
        <v>1.5873015873015872E-2</v>
      </c>
      <c r="D974" s="5">
        <f ca="1">Data!O879</f>
        <v>39.306877245803065</v>
      </c>
      <c r="E974" s="1">
        <f>Data!AQ879</f>
        <v>1.5</v>
      </c>
      <c r="F974" t="str">
        <f t="shared" si="16"/>
        <v/>
      </c>
      <c r="G974" s="5">
        <f ca="1">AVERAGE(D$2:D973)</f>
        <v>359.21470727817075</v>
      </c>
      <c r="H974" s="5">
        <f ca="1">PERCENTILE(D$2:D973,0.025)</f>
        <v>-2.2540978055151673</v>
      </c>
      <c r="I974" s="5">
        <f ca="1">PERCENTILE(D$2:D973,0.165)</f>
        <v>11.32826433536</v>
      </c>
      <c r="J974" s="5">
        <f ca="1">PERCENTILE(D$2:D973,0.5)</f>
        <v>55.41490012065497</v>
      </c>
      <c r="K974" s="5">
        <f ca="1">PERCENTILE(D$2:D973,0.835)</f>
        <v>276.81262448836532</v>
      </c>
      <c r="L974" s="5">
        <f ca="1">PERCENTILE(D$2:D973,0.975)</f>
        <v>1527.5300421411291</v>
      </c>
      <c r="M974" s="7">
        <f>AVERAGE(E$2:E973)</f>
        <v>1.2264720812182754</v>
      </c>
      <c r="N974" s="7">
        <f>PERCENTILE($E$2:$E973,0.025)</f>
        <v>-1.1000000000000001</v>
      </c>
      <c r="O974" s="7">
        <f>PERCENTILE($E$2:$E973,0.165)</f>
        <v>0</v>
      </c>
      <c r="P974" s="7">
        <f>PERCENTILE($E$2:$E973,0.5)</f>
        <v>1</v>
      </c>
      <c r="Q974" s="7">
        <f>PERCENTILE($E$2:$E973,0.835)</f>
        <v>3</v>
      </c>
      <c r="R974" s="7">
        <f>PERCENTILE($E$2:$E973,0.975)</f>
        <v>3</v>
      </c>
    </row>
    <row r="975" spans="1:18" x14ac:dyDescent="0.2">
      <c r="A975" s="5">
        <f>Data!E880</f>
        <v>2014</v>
      </c>
      <c r="B975" s="5">
        <f>Data!M880</f>
        <v>0.40634920634920635</v>
      </c>
      <c r="C975" s="5">
        <f>Data!N880</f>
        <v>6.3492063492063489E-2</v>
      </c>
      <c r="D975" s="5">
        <f ca="1">Data!O880</f>
        <v>38.452379914372564</v>
      </c>
      <c r="E975" s="1">
        <f>Data!AQ880</f>
        <v>1.5</v>
      </c>
      <c r="F975" t="str">
        <f t="shared" si="16"/>
        <v/>
      </c>
      <c r="G975" s="5">
        <f ca="1">AVERAGE(D$2:D974)</f>
        <v>358.88592225244372</v>
      </c>
      <c r="H975" s="5">
        <f ca="1">PERCENTILE(D$2:D974,0.025)</f>
        <v>-2.25089743899197</v>
      </c>
      <c r="I975" s="5">
        <f ca="1">PERCENTILE(D$2:D974,0.165)</f>
        <v>11.37873952902191</v>
      </c>
      <c r="J975" s="5">
        <f ca="1">PERCENTILE(D$2:D974,0.5)</f>
        <v>54.897003857845114</v>
      </c>
      <c r="K975" s="5">
        <f ca="1">PERCENTILE(D$2:D974,0.835)</f>
        <v>276.17636227424578</v>
      </c>
      <c r="L975" s="5">
        <f ca="1">PERCENTILE(D$2:D974,0.975)</f>
        <v>1526.5807303431559</v>
      </c>
      <c r="M975" s="7">
        <f>AVERAGE(E$2:E974)</f>
        <v>1.2268187579214209</v>
      </c>
      <c r="N975" s="7">
        <f>PERCENTILE($E$2:$E974,0.025)</f>
        <v>-1.1000000000000001</v>
      </c>
      <c r="O975" s="7">
        <f>PERCENTILE($E$2:$E974,0.165)</f>
        <v>0</v>
      </c>
      <c r="P975" s="7">
        <f>PERCENTILE($E$2:$E974,0.5)</f>
        <v>1</v>
      </c>
      <c r="Q975" s="7">
        <f>PERCENTILE($E$2:$E974,0.835)</f>
        <v>3</v>
      </c>
      <c r="R975" s="7">
        <f>PERCENTILE($E$2:$E974,0.975)</f>
        <v>3</v>
      </c>
    </row>
    <row r="976" spans="1:18" x14ac:dyDescent="0.2">
      <c r="A976" s="5">
        <f>Data!E881</f>
        <v>2014</v>
      </c>
      <c r="B976" s="5">
        <f>Data!M881</f>
        <v>0.40634920634920635</v>
      </c>
      <c r="C976" s="5">
        <f>Data!N881</f>
        <v>6.3492063492063489E-2</v>
      </c>
      <c r="D976" s="5">
        <f ca="1">Data!O881</f>
        <v>37.597882582942063</v>
      </c>
      <c r="E976" s="1">
        <f>Data!AQ881</f>
        <v>1.5</v>
      </c>
      <c r="F976" t="str">
        <f t="shared" si="16"/>
        <v/>
      </c>
      <c r="G976" s="5">
        <f ca="1">AVERAGE(D$2:D975)</f>
        <v>358.55693504265099</v>
      </c>
      <c r="H976" s="5">
        <f ca="1">PERCENTILE(D$2:D975,0.025)</f>
        <v>-2.2476970724687719</v>
      </c>
      <c r="I976" s="5">
        <f ca="1">PERCENTILE(D$2:D975,0.165)</f>
        <v>11.429214722683829</v>
      </c>
      <c r="J976" s="5">
        <f ca="1">PERCENTILE(D$2:D975,0.5)</f>
        <v>54.668787218745948</v>
      </c>
      <c r="K976" s="5">
        <f ca="1">PERCENTILE(D$2:D975,0.835)</f>
        <v>275.54010006012584</v>
      </c>
      <c r="L976" s="5">
        <f ca="1">PERCENTILE(D$2:D975,0.975)</f>
        <v>1525.6314185451868</v>
      </c>
      <c r="M976" s="7">
        <f>AVERAGE(E$2:E975)</f>
        <v>1.2271645569620266</v>
      </c>
      <c r="N976" s="7">
        <f>PERCENTILE($E$2:$E975,0.025)</f>
        <v>-1.1000000000000001</v>
      </c>
      <c r="O976" s="7">
        <f>PERCENTILE($E$2:$E975,0.165)</f>
        <v>0</v>
      </c>
      <c r="P976" s="7">
        <f>PERCENTILE($E$2:$E975,0.5)</f>
        <v>1</v>
      </c>
      <c r="Q976" s="7">
        <f>PERCENTILE($E$2:$E975,0.835)</f>
        <v>3</v>
      </c>
      <c r="R976" s="7">
        <f>PERCENTILE($E$2:$E975,0.975)</f>
        <v>3</v>
      </c>
    </row>
    <row r="977" spans="1:18" x14ac:dyDescent="0.2">
      <c r="A977" s="5">
        <f>Data!E882</f>
        <v>2014</v>
      </c>
      <c r="B977" s="5">
        <f>Data!M882</f>
        <v>0.40634920634920635</v>
      </c>
      <c r="C977" s="5">
        <f>Data!N882</f>
        <v>6.3492063492063489E-2</v>
      </c>
      <c r="D977" s="5">
        <f ca="1">Data!O882</f>
        <v>41.015871908664067</v>
      </c>
      <c r="E977" s="1">
        <f>Data!AQ882</f>
        <v>1.5</v>
      </c>
      <c r="F977" t="str">
        <f t="shared" si="16"/>
        <v/>
      </c>
      <c r="G977" s="5">
        <f ca="1">AVERAGE(D$2:D976)</f>
        <v>358.22774627089746</v>
      </c>
      <c r="H977" s="5">
        <f ca="1">PERCENTILE(D$2:D976,0.025)</f>
        <v>-2.2444967059455747</v>
      </c>
      <c r="I977" s="5">
        <f ca="1">PERCENTILE(D$2:D976,0.165)</f>
        <v>11.479689916345739</v>
      </c>
      <c r="J977" s="5">
        <f ca="1">PERCENTILE(D$2:D976,0.5)</f>
        <v>54.440570579646788</v>
      </c>
      <c r="K977" s="5">
        <f ca="1">PERCENTILE(D$2:D976,0.835)</f>
        <v>274.9038378460063</v>
      </c>
      <c r="L977" s="5">
        <f ca="1">PERCENTILE(D$2:D976,0.975)</f>
        <v>1524.6821067472176</v>
      </c>
      <c r="M977" s="7">
        <f>AVERAGE(E$2:E976)</f>
        <v>1.227509481668775</v>
      </c>
      <c r="N977" s="7">
        <f>PERCENTILE($E$2:$E976,0.025)</f>
        <v>-1.1000000000000001</v>
      </c>
      <c r="O977" s="7">
        <f>PERCENTILE($E$2:$E976,0.165)</f>
        <v>0</v>
      </c>
      <c r="P977" s="7">
        <f>PERCENTILE($E$2:$E976,0.5)</f>
        <v>1</v>
      </c>
      <c r="Q977" s="7">
        <f>PERCENTILE($E$2:$E976,0.835)</f>
        <v>3</v>
      </c>
      <c r="R977" s="7">
        <f>PERCENTILE($E$2:$E976,0.975)</f>
        <v>3</v>
      </c>
    </row>
    <row r="978" spans="1:18" x14ac:dyDescent="0.2">
      <c r="A978" s="5">
        <f>Data!E883</f>
        <v>2014</v>
      </c>
      <c r="B978" s="5">
        <f>Data!M883</f>
        <v>0.40634920634920635</v>
      </c>
      <c r="C978" s="5">
        <f>Data!N883</f>
        <v>6.3492063492063489E-2</v>
      </c>
      <c r="D978" s="5">
        <f ca="1">Data!O883</f>
        <v>43.579363902955571</v>
      </c>
      <c r="E978" s="1">
        <f>Data!AQ883</f>
        <v>1.5</v>
      </c>
      <c r="F978" t="str">
        <f t="shared" si="16"/>
        <v/>
      </c>
      <c r="G978" s="5">
        <f ca="1">AVERAGE(D$2:D977)</f>
        <v>357.90273410454273</v>
      </c>
      <c r="H978" s="5">
        <f ca="1">PERCENTILE(D$2:D977,0.025)</f>
        <v>-2.241296339422377</v>
      </c>
      <c r="I978" s="5">
        <f ca="1">PERCENTILE(D$2:D977,0.165)</f>
        <v>11.530165110007649</v>
      </c>
      <c r="J978" s="5">
        <f ca="1">PERCENTILE(D$2:D977,0.5)</f>
        <v>54.250269998144688</v>
      </c>
      <c r="K978" s="5">
        <f ca="1">PERCENTILE(D$2:D977,0.835)</f>
        <v>274.26757563188676</v>
      </c>
      <c r="L978" s="5">
        <f ca="1">PERCENTILE(D$2:D977,0.975)</f>
        <v>1523.7327949492485</v>
      </c>
      <c r="M978" s="7">
        <f>AVERAGE(E$2:E977)</f>
        <v>1.2278535353535367</v>
      </c>
      <c r="N978" s="7">
        <f>PERCENTILE($E$2:$E977,0.025)</f>
        <v>-1.1000000000000001</v>
      </c>
      <c r="O978" s="7">
        <f>PERCENTILE($E$2:$E977,0.165)</f>
        <v>0</v>
      </c>
      <c r="P978" s="7">
        <f>PERCENTILE($E$2:$E977,0.5)</f>
        <v>1</v>
      </c>
      <c r="Q978" s="7">
        <f>PERCENTILE($E$2:$E977,0.835)</f>
        <v>3</v>
      </c>
      <c r="R978" s="7">
        <f>PERCENTILE($E$2:$E977,0.975)</f>
        <v>3</v>
      </c>
    </row>
    <row r="979" spans="1:18" x14ac:dyDescent="0.2">
      <c r="A979" s="5">
        <f>Data!E884</f>
        <v>2014</v>
      </c>
      <c r="B979" s="5">
        <f>Data!M884</f>
        <v>0.20317460317460317</v>
      </c>
      <c r="C979" s="5">
        <f>Data!N884</f>
        <v>3.1746031746031744E-2</v>
      </c>
      <c r="D979" s="5">
        <f ca="1">Data!O884</f>
        <v>40.161374577233559</v>
      </c>
      <c r="E979" s="1">
        <f>Data!AQ884</f>
        <v>1.5</v>
      </c>
      <c r="F979" t="str">
        <f t="shared" si="16"/>
        <v/>
      </c>
      <c r="G979" s="5">
        <f ca="1">AVERAGE(D$2:D978)</f>
        <v>357.58101110535995</v>
      </c>
      <c r="H979" s="5">
        <f ca="1">PERCENTILE(D$2:D978,0.025)</f>
        <v>-2.2380959728991794</v>
      </c>
      <c r="I979" s="5">
        <f ca="1">PERCENTILE(D$2:D978,0.165)</f>
        <v>11.568403893084856</v>
      </c>
      <c r="J979" s="5">
        <f ca="1">PERCENTILE(D$2:D978,0.5)</f>
        <v>54.059969416642588</v>
      </c>
      <c r="K979" s="5">
        <f ca="1">PERCENTILE(D$2:D978,0.835)</f>
        <v>273.72372359962077</v>
      </c>
      <c r="L979" s="5">
        <f ca="1">PERCENTILE(D$2:D978,0.975)</f>
        <v>1522.7834831512796</v>
      </c>
      <c r="M979" s="7">
        <f>AVERAGE(E$2:E978)</f>
        <v>1.2281967213114768</v>
      </c>
      <c r="N979" s="7">
        <f>PERCENTILE($E$2:$E978,0.025)</f>
        <v>-1.1000000000000001</v>
      </c>
      <c r="O979" s="7">
        <f>PERCENTILE($E$2:$E978,0.165)</f>
        <v>0</v>
      </c>
      <c r="P979" s="7">
        <f>PERCENTILE($E$2:$E978,0.5)</f>
        <v>1</v>
      </c>
      <c r="Q979" s="7">
        <f>PERCENTILE($E$2:$E978,0.835)</f>
        <v>3</v>
      </c>
      <c r="R979" s="7">
        <f>PERCENTILE($E$2:$E978,0.975)</f>
        <v>3</v>
      </c>
    </row>
    <row r="980" spans="1:18" x14ac:dyDescent="0.2">
      <c r="A980" s="5">
        <f>Data!E885</f>
        <v>2014</v>
      </c>
      <c r="B980" s="5">
        <f>Data!M885</f>
        <v>0.20317460317460317</v>
      </c>
      <c r="C980" s="5">
        <f>Data!N885</f>
        <v>3.1746031746031744E-2</v>
      </c>
      <c r="D980" s="5">
        <f ca="1">Data!O885</f>
        <v>41.870369240094568</v>
      </c>
      <c r="E980" s="1">
        <f>Data!AQ885</f>
        <v>1.5</v>
      </c>
      <c r="F980" t="str">
        <f t="shared" si="16"/>
        <v/>
      </c>
      <c r="G980" s="5">
        <f ca="1">AVERAGE(D$2:D979)</f>
        <v>357.25645114980972</v>
      </c>
      <c r="H980" s="5">
        <f ca="1">PERCENTILE(D$2:D979,0.025)</f>
        <v>-2.2348956063759817</v>
      </c>
      <c r="I980" s="5">
        <f ca="1">PERCENTILE(D$2:D979,0.165)</f>
        <v>11.568403893084856</v>
      </c>
      <c r="J980" s="5">
        <f ca="1">PERCENTILE(D$2:D979,0.5)</f>
        <v>53.960590374433991</v>
      </c>
      <c r="K980" s="5">
        <f ca="1">PERCENTILE(D$2:D979,0.835)</f>
        <v>273.46865338564828</v>
      </c>
      <c r="L980" s="5">
        <f ca="1">PERCENTILE(D$2:D979,0.975)</f>
        <v>1521.8341713533061</v>
      </c>
      <c r="M980" s="7">
        <f>AVERAGE(E$2:E979)</f>
        <v>1.22853904282116</v>
      </c>
      <c r="N980" s="7">
        <f>PERCENTILE($E$2:$E979,0.025)</f>
        <v>-1.1000000000000001</v>
      </c>
      <c r="O980" s="7">
        <f>PERCENTILE($E$2:$E979,0.165)</f>
        <v>0</v>
      </c>
      <c r="P980" s="7">
        <f>PERCENTILE($E$2:$E979,0.5)</f>
        <v>1</v>
      </c>
      <c r="Q980" s="7">
        <f>PERCENTILE($E$2:$E979,0.835)</f>
        <v>3</v>
      </c>
      <c r="R980" s="7">
        <f>PERCENTILE($E$2:$E979,0.975)</f>
        <v>3</v>
      </c>
    </row>
    <row r="981" spans="1:18" x14ac:dyDescent="0.2">
      <c r="A981" s="5">
        <f>Data!E886</f>
        <v>2014</v>
      </c>
      <c r="B981" s="5">
        <f>Data!M886</f>
        <v>0.20317460317460317</v>
      </c>
      <c r="C981" s="5">
        <f>Data!N886</f>
        <v>3.1746031746031744E-2</v>
      </c>
      <c r="D981" s="5">
        <f ca="1">Data!O886</f>
        <v>107.66666376024318</v>
      </c>
      <c r="E981" s="1">
        <f>Data!AQ886</f>
        <v>1.5</v>
      </c>
      <c r="F981" t="str">
        <f t="shared" si="16"/>
        <v/>
      </c>
      <c r="G981" s="5">
        <f ca="1">AVERAGE(D$2:D980)</f>
        <v>356.93429989147495</v>
      </c>
      <c r="H981" s="5">
        <f ca="1">PERCENTILE(D$2:D980,0.025)</f>
        <v>-2.2316952398527841</v>
      </c>
      <c r="I981" s="5">
        <f ca="1">PERCENTILE(D$2:D980,0.165)</f>
        <v>11.568403893084856</v>
      </c>
      <c r="J981" s="5">
        <f ca="1">PERCENTILE(D$2:D980,0.5)</f>
        <v>53.861211332225395</v>
      </c>
      <c r="K981" s="5">
        <f ca="1">PERCENTILE(D$2:D980,0.835)</f>
        <v>273.21358317167574</v>
      </c>
      <c r="L981" s="5">
        <f ca="1">PERCENTILE(D$2:D980,0.975)</f>
        <v>1520.884859555337</v>
      </c>
      <c r="M981" s="7">
        <f>AVERAGE(E$2:E980)</f>
        <v>1.2288805031446555</v>
      </c>
      <c r="N981" s="7">
        <f>PERCENTILE($E$2:$E980,0.025)</f>
        <v>-1.1000000000000001</v>
      </c>
      <c r="O981" s="7">
        <f>PERCENTILE($E$2:$E980,0.165)</f>
        <v>0</v>
      </c>
      <c r="P981" s="7">
        <f>PERCENTILE($E$2:$E980,0.5)</f>
        <v>1</v>
      </c>
      <c r="Q981" s="7">
        <f>PERCENTILE($E$2:$E980,0.835)</f>
        <v>3</v>
      </c>
      <c r="R981" s="7">
        <f>PERCENTILE($E$2:$E980,0.975)</f>
        <v>3</v>
      </c>
    </row>
    <row r="982" spans="1:18" x14ac:dyDescent="0.2">
      <c r="A982" s="5">
        <f>Data!E887</f>
        <v>2014</v>
      </c>
      <c r="B982" s="5">
        <f>Data!M887</f>
        <v>0.8126984126984127</v>
      </c>
      <c r="C982" s="5">
        <f>Data!N887</f>
        <v>0.12698412698412698</v>
      </c>
      <c r="D982" s="5">
        <f ca="1">Data!O887</f>
        <v>105.95766909738217</v>
      </c>
      <c r="E982" s="1">
        <f>Data!AQ887</f>
        <v>1.5</v>
      </c>
      <c r="F982" t="str">
        <f t="shared" si="16"/>
        <v/>
      </c>
      <c r="G982" s="5">
        <f ca="1">AVERAGE(D$2:D981)</f>
        <v>356.67994516072883</v>
      </c>
      <c r="H982" s="5">
        <f ca="1">PERCENTILE(D$2:D981,0.025)</f>
        <v>-2.2284948733295864</v>
      </c>
      <c r="I982" s="5">
        <f ca="1">PERCENTILE(D$2:D981,0.165)</f>
        <v>11.568403893084856</v>
      </c>
      <c r="J982" s="5">
        <f ca="1">PERCENTILE(D$2:D981,0.5)</f>
        <v>53.960590374433991</v>
      </c>
      <c r="K982" s="5">
        <f ca="1">PERCENTILE(D$2:D981,0.835)</f>
        <v>272.95851295770308</v>
      </c>
      <c r="L982" s="5">
        <f ca="1">PERCENTILE(D$2:D981,0.975)</f>
        <v>1519.9355477573679</v>
      </c>
      <c r="M982" s="7">
        <f>AVERAGE(E$2:E981)</f>
        <v>1.2292211055276394</v>
      </c>
      <c r="N982" s="7">
        <f>PERCENTILE($E$2:$E981,0.025)</f>
        <v>-1.1000000000000001</v>
      </c>
      <c r="O982" s="7">
        <f>PERCENTILE($E$2:$E981,0.165)</f>
        <v>0</v>
      </c>
      <c r="P982" s="7">
        <f>PERCENTILE($E$2:$E981,0.5)</f>
        <v>1</v>
      </c>
      <c r="Q982" s="7">
        <f>PERCENTILE($E$2:$E981,0.835)</f>
        <v>3</v>
      </c>
      <c r="R982" s="7">
        <f>PERCENTILE($E$2:$E981,0.975)</f>
        <v>3</v>
      </c>
    </row>
    <row r="983" spans="1:18" x14ac:dyDescent="0.2">
      <c r="A983" s="5">
        <f>Data!E888</f>
        <v>2014</v>
      </c>
      <c r="B983" s="5">
        <f>Data!M888</f>
        <v>0.8126984126984127</v>
      </c>
      <c r="C983" s="5">
        <f>Data!N888</f>
        <v>0.12698412698412698</v>
      </c>
      <c r="D983" s="5">
        <f ca="1">Data!O888</f>
        <v>105.10317176595167</v>
      </c>
      <c r="E983" s="1">
        <f>Data!AQ888</f>
        <v>1.5</v>
      </c>
      <c r="F983" t="str">
        <f t="shared" si="16"/>
        <v/>
      </c>
      <c r="G983" s="5">
        <f ca="1">AVERAGE(D$2:D982)</f>
        <v>356.42436689766737</v>
      </c>
      <c r="H983" s="5">
        <f ca="1">PERCENTILE(D$2:D982,0.025)</f>
        <v>-2.2252945068063887</v>
      </c>
      <c r="I983" s="5">
        <f ca="1">PERCENTILE(D$2:D982,0.165)</f>
        <v>11.568403893084856</v>
      </c>
      <c r="J983" s="5">
        <f ca="1">PERCENTILE(D$2:D982,0.5)</f>
        <v>54.059969416642588</v>
      </c>
      <c r="K983" s="5">
        <f ca="1">PERCENTILE(D$2:D982,0.835)</f>
        <v>272.70344274373053</v>
      </c>
      <c r="L983" s="5">
        <f ca="1">PERCENTILE(D$2:D982,0.975)</f>
        <v>1518.986235959399</v>
      </c>
      <c r="M983" s="7">
        <f>AVERAGE(E$2:E982)</f>
        <v>1.2295608531994995</v>
      </c>
      <c r="N983" s="7">
        <f>PERCENTILE($E$2:$E982,0.025)</f>
        <v>-1.1000000000000001</v>
      </c>
      <c r="O983" s="7">
        <f>PERCENTILE($E$2:$E982,0.165)</f>
        <v>0</v>
      </c>
      <c r="P983" s="7">
        <f>PERCENTILE($E$2:$E982,0.5)</f>
        <v>1</v>
      </c>
      <c r="Q983" s="7">
        <f>PERCENTILE($E$2:$E982,0.835)</f>
        <v>3</v>
      </c>
      <c r="R983" s="7">
        <f>PERCENTILE($E$2:$E982,0.975)</f>
        <v>3</v>
      </c>
    </row>
    <row r="984" spans="1:18" x14ac:dyDescent="0.2">
      <c r="A984" s="5">
        <f>Data!E889</f>
        <v>2014</v>
      </c>
      <c r="B984" s="5">
        <f>Data!M889</f>
        <v>0.8126984126984127</v>
      </c>
      <c r="C984" s="5">
        <f>Data!N889</f>
        <v>0.12698412698412698</v>
      </c>
      <c r="D984" s="5">
        <f ca="1">Data!O889</f>
        <v>111.93915041739568</v>
      </c>
      <c r="E984" s="1">
        <f>Data!AQ889</f>
        <v>1.5</v>
      </c>
      <c r="F984" t="str">
        <f t="shared" si="16"/>
        <v/>
      </c>
      <c r="G984" s="5">
        <f ca="1">AVERAGE(D$2:D983)</f>
        <v>356.16843900038458</v>
      </c>
      <c r="H984" s="5">
        <f ca="1">PERCENTILE(D$2:D983,0.025)</f>
        <v>-2.2220941402831911</v>
      </c>
      <c r="I984" s="5">
        <f ca="1">PERCENTILE(D$2:D983,0.165)</f>
        <v>11.568403893084856</v>
      </c>
      <c r="J984" s="5">
        <f ca="1">PERCENTILE(D$2:D983,0.5)</f>
        <v>54.250269998144688</v>
      </c>
      <c r="K984" s="5">
        <f ca="1">PERCENTILE(D$2:D983,0.835)</f>
        <v>272.44837252975805</v>
      </c>
      <c r="L984" s="5">
        <f ca="1">PERCENTILE(D$2:D983,0.975)</f>
        <v>1518.0369241614299</v>
      </c>
      <c r="M984" s="7">
        <f>AVERAGE(E$2:E983)</f>
        <v>1.2298997493734349</v>
      </c>
      <c r="N984" s="7">
        <f>PERCENTILE($E$2:$E983,0.025)</f>
        <v>-1.1000000000000001</v>
      </c>
      <c r="O984" s="7">
        <f>PERCENTILE($E$2:$E983,0.165)</f>
        <v>0</v>
      </c>
      <c r="P984" s="7">
        <f>PERCENTILE($E$2:$E983,0.5)</f>
        <v>1</v>
      </c>
      <c r="Q984" s="7">
        <f>PERCENTILE($E$2:$E983,0.835)</f>
        <v>3</v>
      </c>
      <c r="R984" s="7">
        <f>PERCENTILE($E$2:$E983,0.975)</f>
        <v>3</v>
      </c>
    </row>
    <row r="985" spans="1:18" x14ac:dyDescent="0.2">
      <c r="A985" s="5">
        <f>Data!E890</f>
        <v>2014</v>
      </c>
      <c r="B985" s="5">
        <f>Data!M890</f>
        <v>0.8126984126984127</v>
      </c>
      <c r="C985" s="5">
        <f>Data!N890</f>
        <v>0.12698412698412698</v>
      </c>
      <c r="D985" s="5">
        <f ca="1">Data!O890</f>
        <v>117.92063173740918</v>
      </c>
      <c r="E985" s="1">
        <f>Data!AQ890</f>
        <v>1.5</v>
      </c>
      <c r="F985" t="str">
        <f t="shared" si="16"/>
        <v/>
      </c>
      <c r="G985" s="5">
        <f ca="1">AVERAGE(D$2:D984)</f>
        <v>355.91998601098175</v>
      </c>
      <c r="H985" s="5">
        <f ca="1">PERCENTILE(D$2:D984,0.025)</f>
        <v>-2.2188937737599934</v>
      </c>
      <c r="I985" s="5">
        <f ca="1">PERCENTILE(D$2:D984,0.165)</f>
        <v>11.568403893084856</v>
      </c>
      <c r="J985" s="5">
        <f ca="1">PERCENTILE(D$2:D984,0.5)</f>
        <v>54.440570579646788</v>
      </c>
      <c r="K985" s="5">
        <f ca="1">PERCENTILE(D$2:D984,0.835)</f>
        <v>272.09670698963333</v>
      </c>
      <c r="L985" s="5">
        <f ca="1">PERCENTILE(D$2:D984,0.975)</f>
        <v>1517.0876123634564</v>
      </c>
      <c r="M985" s="7">
        <f>AVERAGE(E$2:E984)</f>
        <v>1.2302377972465595</v>
      </c>
      <c r="N985" s="7">
        <f>PERCENTILE($E$2:$E984,0.025)</f>
        <v>-1.1000000000000001</v>
      </c>
      <c r="O985" s="7">
        <f>PERCENTILE($E$2:$E984,0.165)</f>
        <v>0</v>
      </c>
      <c r="P985" s="7">
        <f>PERCENTILE($E$2:$E984,0.5)</f>
        <v>1</v>
      </c>
      <c r="Q985" s="7">
        <f>PERCENTILE($E$2:$E984,0.835)</f>
        <v>3</v>
      </c>
      <c r="R985" s="7">
        <f>PERCENTILE($E$2:$E984,0.975)</f>
        <v>3</v>
      </c>
    </row>
    <row r="986" spans="1:18" x14ac:dyDescent="0.2">
      <c r="A986" s="5">
        <f>Data!E891</f>
        <v>2014</v>
      </c>
      <c r="B986" s="5">
        <f>Data!M891</f>
        <v>0.40634920634920635</v>
      </c>
      <c r="C986" s="5">
        <f>Data!N891</f>
        <v>6.3492063492063489E-2</v>
      </c>
      <c r="D986" s="5">
        <f ca="1">Data!O891</f>
        <v>111.08465308596517</v>
      </c>
      <c r="E986" s="1">
        <f>Data!AQ891</f>
        <v>1.5</v>
      </c>
      <c r="F986" t="str">
        <f t="shared" si="16"/>
        <v/>
      </c>
      <c r="G986" s="5">
        <f ca="1">AVERAGE(D$2:D985)</f>
        <v>355.67811674850856</v>
      </c>
      <c r="H986" s="5">
        <f ca="1">PERCENTILE(D$2:D985,0.025)</f>
        <v>-2.2156934072367958</v>
      </c>
      <c r="I986" s="5">
        <f ca="1">PERCENTILE(D$2:D985,0.165)</f>
        <v>11.568403893084856</v>
      </c>
      <c r="J986" s="5">
        <f ca="1">PERCENTILE(D$2:D985,0.5)</f>
        <v>54.668787218745948</v>
      </c>
      <c r="K986" s="5">
        <f ca="1">PERCENTILE(D$2:D985,0.835)</f>
        <v>271.31036248182642</v>
      </c>
      <c r="L986" s="5">
        <f ca="1">PERCENTILE(D$2:D985,0.975)</f>
        <v>1516.1383005654873</v>
      </c>
      <c r="M986" s="7">
        <f>AVERAGE(E$2:E985)</f>
        <v>1.2305750000000013</v>
      </c>
      <c r="N986" s="7">
        <f>PERCENTILE($E$2:$E985,0.025)</f>
        <v>-1.1000000000000001</v>
      </c>
      <c r="O986" s="7">
        <f>PERCENTILE($E$2:$E985,0.165)</f>
        <v>0</v>
      </c>
      <c r="P986" s="7">
        <f>PERCENTILE($E$2:$E985,0.5)</f>
        <v>1</v>
      </c>
      <c r="Q986" s="7">
        <f>PERCENTILE($E$2:$E985,0.835)</f>
        <v>3</v>
      </c>
      <c r="R986" s="7">
        <f>PERCENTILE($E$2:$E985,0.975)</f>
        <v>3</v>
      </c>
    </row>
    <row r="987" spans="1:18" x14ac:dyDescent="0.2">
      <c r="A987" s="5">
        <f>Data!E892</f>
        <v>2014</v>
      </c>
      <c r="B987" s="5">
        <f>Data!M892</f>
        <v>0.40634920634920635</v>
      </c>
      <c r="C987" s="5">
        <f>Data!N892</f>
        <v>6.3492063492063489E-2</v>
      </c>
      <c r="D987" s="5">
        <f ca="1">Data!O892</f>
        <v>115.35713974311768</v>
      </c>
      <c r="E987" s="1">
        <f>Data!AQ892</f>
        <v>1.5</v>
      </c>
      <c r="F987" t="str">
        <f t="shared" si="16"/>
        <v/>
      </c>
      <c r="G987" s="5">
        <f ca="1">AVERAGE(D$2:D986)</f>
        <v>355.42979851128774</v>
      </c>
      <c r="H987" s="5">
        <f ca="1">PERCENTILE(D$2:D986,0.025)</f>
        <v>-2.2124930407135981</v>
      </c>
      <c r="I987" s="5">
        <f ca="1">PERCENTILE(D$2:D986,0.165)</f>
        <v>11.568403893084856</v>
      </c>
      <c r="J987" s="5">
        <f ca="1">PERCENTILE(D$2:D986,0.5)</f>
        <v>54.897003857845114</v>
      </c>
      <c r="K987" s="5">
        <f ca="1">PERCENTILE(D$2:D986,0.835)</f>
        <v>270.5240179740195</v>
      </c>
      <c r="L987" s="5">
        <f ca="1">PERCENTILE(D$2:D986,0.975)</f>
        <v>1515.1889887675181</v>
      </c>
      <c r="M987" s="7">
        <f>AVERAGE(E$2:E986)</f>
        <v>1.2309113607990025</v>
      </c>
      <c r="N987" s="7">
        <f>PERCENTILE($E$2:$E986,0.025)</f>
        <v>-1.1000000000000001</v>
      </c>
      <c r="O987" s="7">
        <f>PERCENTILE($E$2:$E986,0.165)</f>
        <v>0</v>
      </c>
      <c r="P987" s="7">
        <f>PERCENTILE($E$2:$E986,0.5)</f>
        <v>1</v>
      </c>
      <c r="Q987" s="7">
        <f>PERCENTILE($E$2:$E986,0.835)</f>
        <v>3</v>
      </c>
      <c r="R987" s="7">
        <f>PERCENTILE($E$2:$E986,0.975)</f>
        <v>3</v>
      </c>
    </row>
    <row r="988" spans="1:18" x14ac:dyDescent="0.2">
      <c r="A988" s="5">
        <f>Data!E929</f>
        <v>2014</v>
      </c>
      <c r="B988" s="5">
        <f>Data!M929</f>
        <v>0.82222222222222219</v>
      </c>
      <c r="C988" s="5">
        <f>Data!N929</f>
        <v>0.1111111111111111</v>
      </c>
      <c r="D988" s="5">
        <f ca="1">Data!O929</f>
        <v>34.625690288713912</v>
      </c>
      <c r="E988" s="1">
        <f>Data!AQ929</f>
        <v>1</v>
      </c>
      <c r="F988" t="str">
        <f t="shared" si="16"/>
        <v/>
      </c>
      <c r="G988" s="5">
        <f ca="1">AVERAGE(D$2:D987)</f>
        <v>355.18631711294273</v>
      </c>
      <c r="H988" s="5">
        <f ca="1">PERCENTILE(D$2:D987,0.025)</f>
        <v>-2.2092926741904009</v>
      </c>
      <c r="I988" s="5">
        <f ca="1">PERCENTILE(D$2:D987,0.165)</f>
        <v>11.568403893084856</v>
      </c>
      <c r="J988" s="5">
        <f ca="1">PERCENTILE(D$2:D987,0.5)</f>
        <v>55.41490012065497</v>
      </c>
      <c r="K988" s="5">
        <f ca="1">PERCENTILE(D$2:D987,0.835)</f>
        <v>269.73767346621202</v>
      </c>
      <c r="L988" s="5">
        <f ca="1">PERCENTILE(D$2:D987,0.975)</f>
        <v>1514.2396769695492</v>
      </c>
      <c r="M988" s="7">
        <f>AVERAGE(E$2:E987)</f>
        <v>1.2312468827930187</v>
      </c>
      <c r="N988" s="7">
        <f>PERCENTILE($E$2:$E987,0.025)</f>
        <v>-1.1000000000000001</v>
      </c>
      <c r="O988" s="7">
        <f>PERCENTILE($E$2:$E987,0.165)</f>
        <v>0</v>
      </c>
      <c r="P988" s="7">
        <f>PERCENTILE($E$2:$E987,0.5)</f>
        <v>1</v>
      </c>
      <c r="Q988" s="7">
        <f>PERCENTILE($E$2:$E987,0.835)</f>
        <v>3</v>
      </c>
      <c r="R988" s="7">
        <f>PERCENTILE($E$2:$E987,0.975)</f>
        <v>3</v>
      </c>
    </row>
    <row r="989" spans="1:18" x14ac:dyDescent="0.2">
      <c r="A989" s="5">
        <f>Data!E930</f>
        <v>2014</v>
      </c>
      <c r="B989" s="5">
        <f>Data!M930</f>
        <v>0.20555555555555555</v>
      </c>
      <c r="C989" s="5">
        <f>Data!N930</f>
        <v>2.7777777777777776E-2</v>
      </c>
      <c r="D989" s="5">
        <f ca="1">Data!O930</f>
        <v>62.955800524934382</v>
      </c>
      <c r="E989" s="1">
        <f>Data!AQ930</f>
        <v>1</v>
      </c>
      <c r="F989" t="str">
        <f t="shared" si="16"/>
        <v/>
      </c>
      <c r="G989" s="5">
        <f ca="1">AVERAGE(D$2:D988)</f>
        <v>354.86153430967602</v>
      </c>
      <c r="H989" s="5">
        <f ca="1">PERCENTILE(D$2:D988,0.025)</f>
        <v>-2.2060923076672028</v>
      </c>
      <c r="I989" s="5">
        <f ca="1">PERCENTILE(D$2:D988,0.165)</f>
        <v>11.568403893084856</v>
      </c>
      <c r="J989" s="5">
        <f ca="1">PERCENTILE(D$2:D988,0.5)</f>
        <v>54.897003857845114</v>
      </c>
      <c r="K989" s="5">
        <f ca="1">PERCENTILE(D$2:D988,0.835)</f>
        <v>268.9513289584051</v>
      </c>
      <c r="L989" s="5">
        <f ca="1">PERCENTILE(D$2:D988,0.975)</f>
        <v>1513.2903651715801</v>
      </c>
      <c r="M989" s="7">
        <f>AVERAGE(E$2:E988)</f>
        <v>1.2309589041095903</v>
      </c>
      <c r="N989" s="7">
        <f>PERCENTILE($E$2:$E988,0.025)</f>
        <v>-1.1000000000000001</v>
      </c>
      <c r="O989" s="7">
        <f>PERCENTILE($E$2:$E988,0.165)</f>
        <v>0</v>
      </c>
      <c r="P989" s="7">
        <f>PERCENTILE($E$2:$E988,0.5)</f>
        <v>1</v>
      </c>
      <c r="Q989" s="7">
        <f>PERCENTILE($E$2:$E988,0.835)</f>
        <v>3</v>
      </c>
      <c r="R989" s="7">
        <f>PERCENTILE($E$2:$E988,0.975)</f>
        <v>3</v>
      </c>
    </row>
    <row r="990" spans="1:18" x14ac:dyDescent="0.2">
      <c r="A990" s="5">
        <f>Data!E931</f>
        <v>2014</v>
      </c>
      <c r="B990" s="5">
        <f>Data!M931</f>
        <v>0.20555555555555555</v>
      </c>
      <c r="C990" s="5">
        <f>Data!N931</f>
        <v>2.7777777777777776E-2</v>
      </c>
      <c r="D990" s="5">
        <f ca="1">Data!O931</f>
        <v>27.280846894138232</v>
      </c>
      <c r="E990" s="1">
        <f>Data!AQ931</f>
        <v>1</v>
      </c>
      <c r="F990" t="str">
        <f t="shared" si="16"/>
        <v/>
      </c>
      <c r="G990" s="5">
        <f ca="1">AVERAGE(D$2:D989)</f>
        <v>354.56608316212061</v>
      </c>
      <c r="H990" s="5">
        <f ca="1">PERCENTILE(D$2:D989,0.025)</f>
        <v>-2.2028919411440055</v>
      </c>
      <c r="I990" s="5">
        <f ca="1">PERCENTILE(D$2:D989,0.165)</f>
        <v>11.568403893084856</v>
      </c>
      <c r="J990" s="5">
        <f ca="1">PERCENTILE(D$2:D989,0.5)</f>
        <v>55.41490012065497</v>
      </c>
      <c r="K990" s="5">
        <f ca="1">PERCENTILE(D$2:D989,0.835)</f>
        <v>268.16498445059824</v>
      </c>
      <c r="L990" s="5">
        <f ca="1">PERCENTILE(D$2:D989,0.975)</f>
        <v>1512.3410533736067</v>
      </c>
      <c r="M990" s="7">
        <f>AVERAGE(E$2:E989)</f>
        <v>1.2306716417910462</v>
      </c>
      <c r="N990" s="7">
        <f>PERCENTILE($E$2:$E989,0.025)</f>
        <v>-1.1000000000000001</v>
      </c>
      <c r="O990" s="7">
        <f>PERCENTILE($E$2:$E989,0.165)</f>
        <v>0</v>
      </c>
      <c r="P990" s="7">
        <f>PERCENTILE($E$2:$E989,0.5)</f>
        <v>1</v>
      </c>
      <c r="Q990" s="7">
        <f>PERCENTILE($E$2:$E989,0.835)</f>
        <v>3</v>
      </c>
      <c r="R990" s="7">
        <f>PERCENTILE($E$2:$E989,0.975)</f>
        <v>3</v>
      </c>
    </row>
    <row r="991" spans="1:18" x14ac:dyDescent="0.2">
      <c r="A991" s="5">
        <f>Data!E932</f>
        <v>2014</v>
      </c>
      <c r="B991" s="5">
        <f>Data!M932</f>
        <v>0.20555555555555555</v>
      </c>
      <c r="C991" s="5">
        <f>Data!N932</f>
        <v>2.7777777777777776E-2</v>
      </c>
      <c r="D991" s="5">
        <f ca="1">Data!O932</f>
        <v>13.115791776027995</v>
      </c>
      <c r="E991" s="1">
        <f>Data!AQ932</f>
        <v>1</v>
      </c>
      <c r="F991" t="str">
        <f t="shared" si="16"/>
        <v/>
      </c>
      <c r="G991" s="5">
        <f ca="1">AVERAGE(D$2:D990)</f>
        <v>354.23515774627833</v>
      </c>
      <c r="H991" s="5">
        <f ca="1">PERCENTILE(D$2:D990,0.025)</f>
        <v>-2.1996915746208074</v>
      </c>
      <c r="I991" s="5">
        <f ca="1">PERCENTILE(D$2:D990,0.165)</f>
        <v>11.570065420205252</v>
      </c>
      <c r="J991" s="5">
        <f ca="1">PERCENTILE(D$2:D990,0.5)</f>
        <v>54.897003857845114</v>
      </c>
      <c r="K991" s="5">
        <f ca="1">PERCENTILE(D$2:D990,0.835)</f>
        <v>267.42447534001434</v>
      </c>
      <c r="L991" s="5">
        <f ca="1">PERCENTILE(D$2:D990,0.975)</f>
        <v>1511.3917415756375</v>
      </c>
      <c r="M991" s="7">
        <f>AVERAGE(E$2:E990)</f>
        <v>1.2303850931677032</v>
      </c>
      <c r="N991" s="7">
        <f>PERCENTILE($E$2:$E990,0.025)</f>
        <v>-1.1000000000000001</v>
      </c>
      <c r="O991" s="7">
        <f>PERCENTILE($E$2:$E990,0.165)</f>
        <v>0</v>
      </c>
      <c r="P991" s="7">
        <f>PERCENTILE($E$2:$E990,0.5)</f>
        <v>1</v>
      </c>
      <c r="Q991" s="7">
        <f>PERCENTILE($E$2:$E990,0.835)</f>
        <v>3</v>
      </c>
      <c r="R991" s="7">
        <f>PERCENTILE($E$2:$E990,0.975)</f>
        <v>3</v>
      </c>
    </row>
    <row r="992" spans="1:18" x14ac:dyDescent="0.2">
      <c r="A992" s="5">
        <f>Data!E933</f>
        <v>2014</v>
      </c>
      <c r="B992" s="5">
        <f>Data!M933</f>
        <v>0.20555555555555555</v>
      </c>
      <c r="C992" s="5">
        <f>Data!N933</f>
        <v>2.7777777777777776E-2</v>
      </c>
      <c r="D992" s="5">
        <f ca="1">Data!O933</f>
        <v>57.709483814523189</v>
      </c>
      <c r="E992" s="1">
        <f>Data!AQ933</f>
        <v>1</v>
      </c>
      <c r="F992" t="str">
        <f t="shared" si="16"/>
        <v/>
      </c>
      <c r="G992" s="5">
        <f ca="1">AVERAGE(D$2:D991)</f>
        <v>353.89059273014681</v>
      </c>
      <c r="H992" s="5">
        <f ca="1">PERCENTILE(D$2:D991,0.025)</f>
        <v>-2.1964912080976102</v>
      </c>
      <c r="I992" s="5">
        <f ca="1">PERCENTILE(D$2:D991,0.165)</f>
        <v>11.583773018948502</v>
      </c>
      <c r="J992" s="5">
        <f ca="1">PERCENTILE(D$2:D991,0.5)</f>
        <v>54.668787218745948</v>
      </c>
      <c r="K992" s="5">
        <f ca="1">PERCENTILE(D$2:D991,0.835)</f>
        <v>267.01627285929743</v>
      </c>
      <c r="L992" s="5">
        <f ca="1">PERCENTILE(D$2:D991,0.975)</f>
        <v>1510.4424297776686</v>
      </c>
      <c r="M992" s="7">
        <f>AVERAGE(E$2:E991)</f>
        <v>1.2300992555831278</v>
      </c>
      <c r="N992" s="7">
        <f>PERCENTILE($E$2:$E991,0.025)</f>
        <v>-1.1000000000000001</v>
      </c>
      <c r="O992" s="7">
        <f>PERCENTILE($E$2:$E991,0.165)</f>
        <v>0</v>
      </c>
      <c r="P992" s="7">
        <f>PERCENTILE($E$2:$E991,0.5)</f>
        <v>1</v>
      </c>
      <c r="Q992" s="7">
        <f>PERCENTILE($E$2:$E991,0.835)</f>
        <v>3</v>
      </c>
      <c r="R992" s="7">
        <f>PERCENTILE($E$2:$E991,0.975)</f>
        <v>3</v>
      </c>
    </row>
    <row r="993" spans="1:18" x14ac:dyDescent="0.2">
      <c r="A993" s="5">
        <f>Data!E934</f>
        <v>2014</v>
      </c>
      <c r="B993" s="5">
        <f>Data!M934</f>
        <v>0.82222222222222219</v>
      </c>
      <c r="C993" s="5">
        <f>Data!N934</f>
        <v>0.1111111111111111</v>
      </c>
      <c r="D993" s="5">
        <f ca="1">Data!O934</f>
        <v>146.89686789151358</v>
      </c>
      <c r="E993" s="1">
        <f>Data!AQ934</f>
        <v>0.1</v>
      </c>
      <c r="F993" t="str">
        <f t="shared" si="16"/>
        <v/>
      </c>
      <c r="G993" s="5">
        <f ca="1">AVERAGE(D$2:D992)</f>
        <v>353.59172178270421</v>
      </c>
      <c r="H993" s="5">
        <f ca="1">PERCENTILE(D$2:D992,0.025)</f>
        <v>-2.1932908415744126</v>
      </c>
      <c r="I993" s="5">
        <f ca="1">PERCENTILE(D$2:D992,0.165)</f>
        <v>11.597480617691751</v>
      </c>
      <c r="J993" s="5">
        <f ca="1">PERCENTILE(D$2:D992,0.5)</f>
        <v>54.897003857845114</v>
      </c>
      <c r="K993" s="5">
        <f ca="1">PERCENTILE(D$2:D992,0.835)</f>
        <v>266.60807037858086</v>
      </c>
      <c r="L993" s="5">
        <f ca="1">PERCENTILE(D$2:D992,0.975)</f>
        <v>1509.4931179796995</v>
      </c>
      <c r="M993" s="7">
        <f>AVERAGE(E$2:E992)</f>
        <v>1.2298141263940534</v>
      </c>
      <c r="N993" s="7">
        <f>PERCENTILE($E$2:$E992,0.025)</f>
        <v>-1.1000000000000001</v>
      </c>
      <c r="O993" s="7">
        <f>PERCENTILE($E$2:$E992,0.165)</f>
        <v>0</v>
      </c>
      <c r="P993" s="7">
        <f>PERCENTILE($E$2:$E992,0.5)</f>
        <v>1</v>
      </c>
      <c r="Q993" s="7">
        <f>PERCENTILE($E$2:$E992,0.835)</f>
        <v>3</v>
      </c>
      <c r="R993" s="7">
        <f>PERCENTILE($E$2:$E992,0.975)</f>
        <v>3</v>
      </c>
    </row>
    <row r="994" spans="1:18" x14ac:dyDescent="0.2">
      <c r="A994" s="5">
        <f>Data!E935</f>
        <v>2014</v>
      </c>
      <c r="B994" s="5">
        <f>Data!M935</f>
        <v>0.82222222222222219</v>
      </c>
      <c r="C994" s="5">
        <f>Data!N935</f>
        <v>0.1111111111111111</v>
      </c>
      <c r="D994" s="5">
        <f ca="1">Data!O935</f>
        <v>1.5738950131233593</v>
      </c>
      <c r="E994" s="1">
        <f>Data!AQ935</f>
        <v>3</v>
      </c>
      <c r="F994" t="str">
        <f t="shared" si="16"/>
        <v/>
      </c>
      <c r="G994" s="5">
        <f ca="1">AVERAGE(D$2:D993)</f>
        <v>353.38336003483005</v>
      </c>
      <c r="H994" s="5">
        <f ca="1">PERCENTILE(D$2:D993,0.025)</f>
        <v>-2.1900904750512149</v>
      </c>
      <c r="I994" s="5">
        <f ca="1">PERCENTILE(D$2:D993,0.165)</f>
        <v>11.611188216435005</v>
      </c>
      <c r="J994" s="5">
        <f ca="1">PERCENTILE(D$2:D993,0.5)</f>
        <v>55.41490012065497</v>
      </c>
      <c r="K994" s="5">
        <f ca="1">PERCENTILE(D$2:D993,0.835)</f>
        <v>266.19986789786424</v>
      </c>
      <c r="L994" s="5">
        <f ca="1">PERCENTILE(D$2:D993,0.975)</f>
        <v>1508.5438061817304</v>
      </c>
      <c r="M994" s="7">
        <f>AVERAGE(E$2:E993)</f>
        <v>1.2284158415841597</v>
      </c>
      <c r="N994" s="7">
        <f>PERCENTILE($E$2:$E993,0.025)</f>
        <v>-1.1000000000000001</v>
      </c>
      <c r="O994" s="7">
        <f>PERCENTILE($E$2:$E993,0.165)</f>
        <v>0</v>
      </c>
      <c r="P994" s="7">
        <f>PERCENTILE($E$2:$E993,0.5)</f>
        <v>1</v>
      </c>
      <c r="Q994" s="7">
        <f>PERCENTILE($E$2:$E993,0.835)</f>
        <v>3</v>
      </c>
      <c r="R994" s="7">
        <f>PERCENTILE($E$2:$E993,0.975)</f>
        <v>3</v>
      </c>
    </row>
    <row r="995" spans="1:18" x14ac:dyDescent="0.2">
      <c r="A995" s="5">
        <f>Data!E936</f>
        <v>2014</v>
      </c>
      <c r="B995" s="5">
        <f>Data!M936</f>
        <v>0.82222222222222219</v>
      </c>
      <c r="C995" s="5">
        <f>Data!N936</f>
        <v>0.1111111111111111</v>
      </c>
      <c r="D995" s="5">
        <f ca="1">Data!O936</f>
        <v>73.44843394575679</v>
      </c>
      <c r="E995" s="1">
        <f>Data!AQ936</f>
        <v>1</v>
      </c>
      <c r="F995" t="str">
        <f t="shared" si="16"/>
        <v/>
      </c>
      <c r="G995" s="5">
        <f ca="1">AVERAGE(D$2:D994)</f>
        <v>353.02907054336811</v>
      </c>
      <c r="H995" s="5">
        <f ca="1">PERCENTILE(D$2:D994,0.025)</f>
        <v>-2.1868901085280172</v>
      </c>
      <c r="I995" s="5">
        <f ca="1">PERCENTILE(D$2:D994,0.165)</f>
        <v>11.568403893084856</v>
      </c>
      <c r="J995" s="5">
        <f ca="1">PERCENTILE(D$2:D994,0.5)</f>
        <v>54.897003857845114</v>
      </c>
      <c r="K995" s="5">
        <f ca="1">PERCENTILE(D$2:D994,0.835)</f>
        <v>265.79166541714739</v>
      </c>
      <c r="L995" s="5">
        <f ca="1">PERCENTILE(D$2:D994,0.975)</f>
        <v>1507.5944943837569</v>
      </c>
      <c r="M995" s="7">
        <f>AVERAGE(E$2:E994)</f>
        <v>1.2306056860321397</v>
      </c>
      <c r="N995" s="7">
        <f>PERCENTILE($E$2:$E994,0.025)</f>
        <v>-1.1000000000000001</v>
      </c>
      <c r="O995" s="7">
        <f>PERCENTILE($E$2:$E994,0.165)</f>
        <v>0</v>
      </c>
      <c r="P995" s="7">
        <f>PERCENTILE($E$2:$E994,0.5)</f>
        <v>1</v>
      </c>
      <c r="Q995" s="7">
        <f>PERCENTILE($E$2:$E994,0.835)</f>
        <v>3</v>
      </c>
      <c r="R995" s="7">
        <f>PERCENTILE($E$2:$E994,0.975)</f>
        <v>3</v>
      </c>
    </row>
    <row r="996" spans="1:18" x14ac:dyDescent="0.2">
      <c r="A996" s="5">
        <f>Data!E937</f>
        <v>2014</v>
      </c>
      <c r="B996" s="5">
        <f>Data!M937</f>
        <v>0.82222222222222219</v>
      </c>
      <c r="C996" s="5">
        <f>Data!N937</f>
        <v>0.1111111111111111</v>
      </c>
      <c r="D996" s="5">
        <f ca="1">Data!O937</f>
        <v>10.492633420822397</v>
      </c>
      <c r="E996" s="1">
        <f>Data!AQ937</f>
        <v>1</v>
      </c>
      <c r="F996" t="str">
        <f t="shared" si="16"/>
        <v/>
      </c>
      <c r="G996" s="5">
        <f ca="1">AVERAGE(D$2:D995)</f>
        <v>352.74780229729407</v>
      </c>
      <c r="H996" s="5">
        <f ca="1">PERCENTILE(D$2:D995,0.025)</f>
        <v>-2.1836897420048196</v>
      </c>
      <c r="I996" s="5">
        <f ca="1">PERCENTILE(D$2:D995,0.165)</f>
        <v>11.568403893084856</v>
      </c>
      <c r="J996" s="5">
        <f ca="1">PERCENTILE(D$2:D995,0.5)</f>
        <v>55.41490012065497</v>
      </c>
      <c r="K996" s="5">
        <f ca="1">PERCENTILE(D$2:D995,0.835)</f>
        <v>265.38346293643076</v>
      </c>
      <c r="L996" s="5">
        <f ca="1">PERCENTILE(D$2:D995,0.975)</f>
        <v>1506.6451825857878</v>
      </c>
      <c r="M996" s="7">
        <f>AVERAGE(E$2:E995)</f>
        <v>1.2303209876543224</v>
      </c>
      <c r="N996" s="7">
        <f>PERCENTILE($E$2:$E995,0.025)</f>
        <v>-1.1000000000000001</v>
      </c>
      <c r="O996" s="7">
        <f>PERCENTILE($E$2:$E995,0.165)</f>
        <v>0</v>
      </c>
      <c r="P996" s="7">
        <f>PERCENTILE($E$2:$E995,0.5)</f>
        <v>1</v>
      </c>
      <c r="Q996" s="7">
        <f>PERCENTILE($E$2:$E995,0.835)</f>
        <v>3</v>
      </c>
      <c r="R996" s="7">
        <f>PERCENTILE($E$2:$E995,0.975)</f>
        <v>3</v>
      </c>
    </row>
    <row r="997" spans="1:18" x14ac:dyDescent="0.2">
      <c r="A997" s="5">
        <f>Data!E938</f>
        <v>2014</v>
      </c>
      <c r="B997" s="5">
        <f>Data!M938</f>
        <v>0.82222222222222219</v>
      </c>
      <c r="C997" s="5">
        <f>Data!N938</f>
        <v>0.1111111111111111</v>
      </c>
      <c r="D997" s="5">
        <f ca="1">Data!O938</f>
        <v>14.165055118110237</v>
      </c>
      <c r="E997" s="1">
        <f>Data!AQ938</f>
        <v>1</v>
      </c>
      <c r="F997" t="str">
        <f t="shared" si="16"/>
        <v/>
      </c>
      <c r="G997" s="5">
        <f ca="1">AVERAGE(D$2:D996)</f>
        <v>352.40382725319711</v>
      </c>
      <c r="H997" s="5">
        <f ca="1">PERCENTILE(D$2:D996,0.025)</f>
        <v>-2.1804893754816219</v>
      </c>
      <c r="I997" s="5">
        <f ca="1">PERCENTILE(D$2:D996,0.165)</f>
        <v>11.568403893084856</v>
      </c>
      <c r="J997" s="5">
        <f ca="1">PERCENTILE(D$2:D996,0.5)</f>
        <v>54.897003857845114</v>
      </c>
      <c r="K997" s="5">
        <f ca="1">PERCENTILE(D$2:D996,0.835)</f>
        <v>264.98007874015752</v>
      </c>
      <c r="L997" s="5">
        <f ca="1">PERCENTILE(D$2:D996,0.975)</f>
        <v>1505.6958707878189</v>
      </c>
      <c r="M997" s="7">
        <f>AVERAGE(E$2:E996)</f>
        <v>1.2300369913686819</v>
      </c>
      <c r="N997" s="7">
        <f>PERCENTILE($E$2:$E996,0.025)</f>
        <v>-1.1000000000000001</v>
      </c>
      <c r="O997" s="7">
        <f>PERCENTILE($E$2:$E996,0.165)</f>
        <v>0</v>
      </c>
      <c r="P997" s="7">
        <f>PERCENTILE($E$2:$E996,0.5)</f>
        <v>1</v>
      </c>
      <c r="Q997" s="7">
        <f>PERCENTILE($E$2:$E996,0.835)</f>
        <v>3</v>
      </c>
      <c r="R997" s="7">
        <f>PERCENTILE($E$2:$E996,0.975)</f>
        <v>3</v>
      </c>
    </row>
    <row r="998" spans="1:18" x14ac:dyDescent="0.2">
      <c r="A998" s="5">
        <f>Data!E939</f>
        <v>2014</v>
      </c>
      <c r="B998" s="5">
        <f>Data!M939</f>
        <v>0.82222222222222219</v>
      </c>
      <c r="C998" s="5">
        <f>Data!N939</f>
        <v>0.1111111111111111</v>
      </c>
      <c r="D998" s="5">
        <f ca="1">Data!O939</f>
        <v>29.379373578302712</v>
      </c>
      <c r="E998" s="1">
        <f>Data!AQ939</f>
        <v>1</v>
      </c>
      <c r="F998" t="str">
        <f t="shared" si="16"/>
        <v/>
      </c>
      <c r="G998" s="5">
        <f ca="1">AVERAGE(D$2:D997)</f>
        <v>352.06423009241888</v>
      </c>
      <c r="H998" s="5">
        <f ca="1">PERCENTILE(D$2:D997,0.025)</f>
        <v>-2.1772890089584247</v>
      </c>
      <c r="I998" s="5">
        <f ca="1">PERCENTILE(D$2:D997,0.165)</f>
        <v>11.568403893084856</v>
      </c>
      <c r="J998" s="5">
        <f ca="1">PERCENTILE(D$2:D997,0.5)</f>
        <v>54.668787218745948</v>
      </c>
      <c r="K998" s="5">
        <f ca="1">PERCENTILE(D$2:D997,0.835)</f>
        <v>264.65137795275575</v>
      </c>
      <c r="L998" s="5">
        <f ca="1">PERCENTILE(D$2:D997,0.975)</f>
        <v>1504.7465589898497</v>
      </c>
      <c r="M998" s="7">
        <f>AVERAGE(E$2:E997)</f>
        <v>1.2297536945812821</v>
      </c>
      <c r="N998" s="7">
        <f>PERCENTILE($E$2:$E997,0.025)</f>
        <v>-1.1000000000000001</v>
      </c>
      <c r="O998" s="7">
        <f>PERCENTILE($E$2:$E997,0.165)</f>
        <v>0</v>
      </c>
      <c r="P998" s="7">
        <f>PERCENTILE($E$2:$E997,0.5)</f>
        <v>1</v>
      </c>
      <c r="Q998" s="7">
        <f>PERCENTILE($E$2:$E997,0.835)</f>
        <v>3</v>
      </c>
      <c r="R998" s="7">
        <f>PERCENTILE($E$2:$E997,0.975)</f>
        <v>3</v>
      </c>
    </row>
    <row r="999" spans="1:18" x14ac:dyDescent="0.2">
      <c r="A999" s="5">
        <f>Data!E940</f>
        <v>2014</v>
      </c>
      <c r="B999" s="5">
        <f>Data!M940</f>
        <v>0.82222222222222219</v>
      </c>
      <c r="C999" s="5">
        <f>Data!N940</f>
        <v>0.1111111111111111</v>
      </c>
      <c r="D999" s="5">
        <f ca="1">Data!O940</f>
        <v>34.101058617672791</v>
      </c>
      <c r="E999" s="1">
        <f>Data!AQ940</f>
        <v>1</v>
      </c>
      <c r="F999" t="str">
        <f t="shared" si="16"/>
        <v/>
      </c>
      <c r="G999" s="5">
        <f ca="1">AVERAGE(D$2:D998)</f>
        <v>351.74057426843279</v>
      </c>
      <c r="H999" s="5">
        <f ca="1">PERCENTILE(D$2:D998,0.025)</f>
        <v>-2.1740886424352266</v>
      </c>
      <c r="I999" s="5">
        <f ca="1">PERCENTILE(D$2:D998,0.165)</f>
        <v>11.568403893084856</v>
      </c>
      <c r="J999" s="5">
        <f ca="1">PERCENTILE(D$2:D998,0.5)</f>
        <v>54.440570579646788</v>
      </c>
      <c r="K999" s="5">
        <f ca="1">PERCENTILE(D$2:D998,0.835)</f>
        <v>264.32267716535426</v>
      </c>
      <c r="L999" s="5">
        <f ca="1">PERCENTILE(D$2:D998,0.975)</f>
        <v>1503.7972471918806</v>
      </c>
      <c r="M999" s="7">
        <f>AVERAGE(E$2:E998)</f>
        <v>1.2294710947109484</v>
      </c>
      <c r="N999" s="7">
        <f>PERCENTILE($E$2:$E998,0.025)</f>
        <v>-1.1000000000000001</v>
      </c>
      <c r="O999" s="7">
        <f>PERCENTILE($E$2:$E998,0.165)</f>
        <v>0</v>
      </c>
      <c r="P999" s="7">
        <f>PERCENTILE($E$2:$E998,0.5)</f>
        <v>1</v>
      </c>
      <c r="Q999" s="7">
        <f>PERCENTILE($E$2:$E998,0.835)</f>
        <v>3</v>
      </c>
      <c r="R999" s="7">
        <f>PERCENTILE($E$2:$E998,0.975)</f>
        <v>3</v>
      </c>
    </row>
    <row r="1000" spans="1:18" x14ac:dyDescent="0.2">
      <c r="A1000" s="5">
        <f>Data!E960</f>
        <v>2014</v>
      </c>
      <c r="B1000" s="5">
        <f>Data!M960</f>
        <v>0.45714285714285713</v>
      </c>
      <c r="C1000" s="5">
        <f>Data!N960</f>
        <v>7.1428571428571425E-2</v>
      </c>
      <c r="D1000" s="5">
        <f ca="1">Data!O960</f>
        <v>70.641050247264843</v>
      </c>
      <c r="E1000" s="1">
        <f>Data!AQ960</f>
        <v>1.5</v>
      </c>
      <c r="F1000" t="str">
        <f t="shared" si="16"/>
        <v/>
      </c>
      <c r="G1000" s="5">
        <f ca="1">AVERAGE(D$2:D999)</f>
        <v>351.42229820064648</v>
      </c>
      <c r="H1000" s="5">
        <f ca="1">PERCENTILE(D$2:D999,0.025)</f>
        <v>-2.1708882759120294</v>
      </c>
      <c r="I1000" s="5">
        <f ca="1">PERCENTILE(D$2:D999,0.165)</f>
        <v>11.568403893084856</v>
      </c>
      <c r="J1000" s="5">
        <f ca="1">PERCENTILE(D$2:D999,0.5)</f>
        <v>54.250269998144688</v>
      </c>
      <c r="K1000" s="5">
        <f ca="1">PERCENTILE(D$2:D999,0.835)</f>
        <v>263.99397637795278</v>
      </c>
      <c r="L1000" s="5">
        <f ca="1">PERCENTILE(D$2:D999,0.975)</f>
        <v>1502.8479353939072</v>
      </c>
      <c r="M1000" s="7">
        <f>AVERAGE(E$2:E999)</f>
        <v>1.2291891891891906</v>
      </c>
      <c r="N1000" s="7">
        <f>PERCENTILE($E$2:$E999,0.025)</f>
        <v>-1.1000000000000001</v>
      </c>
      <c r="O1000" s="7">
        <f>PERCENTILE($E$2:$E999,0.165)</f>
        <v>0</v>
      </c>
      <c r="P1000" s="7">
        <f>PERCENTILE($E$2:$E999,0.5)</f>
        <v>1</v>
      </c>
      <c r="Q1000" s="7">
        <f>PERCENTILE($E$2:$E999,0.835)</f>
        <v>3</v>
      </c>
      <c r="R1000" s="7">
        <f>PERCENTILE($E$2:$E999,0.975)</f>
        <v>3</v>
      </c>
    </row>
    <row r="1001" spans="1:18" x14ac:dyDescent="0.2">
      <c r="A1001" s="5">
        <f>Data!E961</f>
        <v>2014</v>
      </c>
      <c r="B1001" s="5">
        <f>Data!M961</f>
        <v>0.91428571428571426</v>
      </c>
      <c r="C1001" s="5">
        <f>Data!N961</f>
        <v>0.14285714285714285</v>
      </c>
      <c r="D1001" s="5">
        <f ca="1">Data!O961</f>
        <v>67.222934912719751</v>
      </c>
      <c r="E1001" s="1">
        <f>Data!AQ961</f>
        <v>1.5</v>
      </c>
      <c r="F1001" t="str">
        <f t="shared" si="16"/>
        <v/>
      </c>
      <c r="G1001" s="5">
        <f ca="1">AVERAGE(D$2:D1000)</f>
        <v>351.14123589038286</v>
      </c>
      <c r="H1001" s="5">
        <f ca="1">PERCENTILE(D$2:D1000,0.025)</f>
        <v>-2.1676879093888313</v>
      </c>
      <c r="I1001" s="5">
        <f ca="1">PERCENTILE(D$2:D1000,0.165)</f>
        <v>11.568403893084856</v>
      </c>
      <c r="J1001" s="5">
        <f ca="1">PERCENTILE(D$2:D1000,0.5)</f>
        <v>54.440570579646788</v>
      </c>
      <c r="K1001" s="5">
        <f ca="1">PERCENTILE(D$2:D1000,0.835)</f>
        <v>263.66527559055106</v>
      </c>
      <c r="L1001" s="5">
        <f ca="1">PERCENTILE(D$2:D1000,0.975)</f>
        <v>1501.8986235959383</v>
      </c>
      <c r="M1001" s="7">
        <f>AVERAGE(E$2:E1000)</f>
        <v>1.2295214723926393</v>
      </c>
      <c r="N1001" s="7">
        <f>PERCENTILE($E$2:$E1000,0.025)</f>
        <v>-1.1000000000000001</v>
      </c>
      <c r="O1001" s="7">
        <f>PERCENTILE($E$2:$E1000,0.165)</f>
        <v>0</v>
      </c>
      <c r="P1001" s="7">
        <f>PERCENTILE($E$2:$E1000,0.5)</f>
        <v>1</v>
      </c>
      <c r="Q1001" s="7">
        <f>PERCENTILE($E$2:$E1000,0.835)</f>
        <v>3</v>
      </c>
      <c r="R1001" s="7">
        <f>PERCENTILE($E$2:$E1000,0.975)</f>
        <v>3</v>
      </c>
    </row>
    <row r="1002" spans="1:18" x14ac:dyDescent="0.2">
      <c r="A1002" s="5">
        <f>Data!E962</f>
        <v>2014</v>
      </c>
      <c r="B1002" s="5">
        <f>Data!M962</f>
        <v>0.45714285714285713</v>
      </c>
      <c r="C1002" s="5">
        <f>Data!N962</f>
        <v>7.1428571428571425E-2</v>
      </c>
      <c r="D1002" s="5">
        <f ca="1">Data!O962</f>
        <v>180.78032213816164</v>
      </c>
      <c r="E1002" s="1">
        <f>Data!AQ962</f>
        <v>1.5</v>
      </c>
      <c r="F1002" t="str">
        <f t="shared" si="16"/>
        <v/>
      </c>
      <c r="G1002" s="5">
        <f ca="1">AVERAGE(D$2:D1001)</f>
        <v>350.85731758940517</v>
      </c>
      <c r="H1002" s="5">
        <f ca="1">PERCENTILE(D$2:D1001,0.025)</f>
        <v>-2.1644875428656336</v>
      </c>
      <c r="I1002" s="5">
        <f ca="1">PERCENTILE(D$2:D1001,0.165)</f>
        <v>11.568403893084856</v>
      </c>
      <c r="J1002" s="5">
        <f ca="1">PERCENTILE(D$2:D1001,0.5)</f>
        <v>54.668787218745948</v>
      </c>
      <c r="K1002" s="5">
        <f ca="1">PERCENTILE(D$2:D1001,0.835)</f>
        <v>263.33657480314952</v>
      </c>
      <c r="L1002" s="5">
        <f ca="1">PERCENTILE(D$2:D1001,0.975)</f>
        <v>1500.9493117979691</v>
      </c>
      <c r="M1002" s="7">
        <f>AVERAGE(E$2:E1001)</f>
        <v>1.2298529411764718</v>
      </c>
      <c r="N1002" s="7">
        <f>PERCENTILE($E$2:$E1001,0.025)</f>
        <v>-1.1000000000000001</v>
      </c>
      <c r="O1002" s="7">
        <f>PERCENTILE($E$2:$E1001,0.165)</f>
        <v>0</v>
      </c>
      <c r="P1002" s="7">
        <f>PERCENTILE($E$2:$E1001,0.5)</f>
        <v>1</v>
      </c>
      <c r="Q1002" s="7">
        <f>PERCENTILE($E$2:$E1001,0.835)</f>
        <v>3</v>
      </c>
      <c r="R1002" s="7">
        <f>PERCENTILE($E$2:$E1001,0.975)</f>
        <v>3</v>
      </c>
    </row>
    <row r="1003" spans="1:18" x14ac:dyDescent="0.2">
      <c r="A1003" s="5">
        <f>Data!E963</f>
        <v>2014</v>
      </c>
      <c r="B1003" s="5">
        <f>Data!M963</f>
        <v>0.45714285714285713</v>
      </c>
      <c r="C1003" s="5">
        <f>Data!N963</f>
        <v>7.1428571428571425E-2</v>
      </c>
      <c r="D1003" s="5">
        <f ca="1">Data!O963</f>
        <v>94.947648181807594</v>
      </c>
      <c r="E1003" s="1">
        <f>Data!AQ963</f>
        <v>1.5</v>
      </c>
      <c r="F1003" t="str">
        <f t="shared" si="16"/>
        <v/>
      </c>
      <c r="G1003" s="5">
        <f ca="1">AVERAGE(D$2:D1002)</f>
        <v>350.68741050104228</v>
      </c>
      <c r="H1003" s="5">
        <f ca="1">PERCENTILE(D$2:D1002,0.025)</f>
        <v>-2.1612871763424364</v>
      </c>
      <c r="I1003" s="5">
        <f ca="1">PERCENTILE(D$2:D1002,0.165)</f>
        <v>11.568403893084856</v>
      </c>
      <c r="J1003" s="5">
        <f ca="1">PERCENTILE(D$2:D1002,0.5)</f>
        <v>54.897003857845114</v>
      </c>
      <c r="K1003" s="5">
        <f ca="1">PERCENTILE(D$2:D1002,0.835)</f>
        <v>263.00787401574803</v>
      </c>
      <c r="L1003" s="5">
        <f ca="1">PERCENTILE(D$2:D1002,0.975)</f>
        <v>1500</v>
      </c>
      <c r="M1003" s="7">
        <f>AVERAGE(E$2:E1002)</f>
        <v>1.2301835985312131</v>
      </c>
      <c r="N1003" s="7">
        <f>PERCENTILE($E$2:$E1002,0.025)</f>
        <v>-1.1000000000000001</v>
      </c>
      <c r="O1003" s="7">
        <f>PERCENTILE($E$2:$E1002,0.165)</f>
        <v>0</v>
      </c>
      <c r="P1003" s="7">
        <f>PERCENTILE($E$2:$E1002,0.5)</f>
        <v>1</v>
      </c>
      <c r="Q1003" s="7">
        <f>PERCENTILE($E$2:$E1002,0.835)</f>
        <v>3</v>
      </c>
      <c r="R1003" s="7">
        <f>PERCENTILE($E$2:$E1002,0.975)</f>
        <v>3</v>
      </c>
    </row>
    <row r="1004" spans="1:18" x14ac:dyDescent="0.2">
      <c r="A1004" s="5">
        <f>Data!E964</f>
        <v>2014</v>
      </c>
      <c r="B1004" s="5">
        <f>Data!M964</f>
        <v>0.22857142857142856</v>
      </c>
      <c r="C1004" s="5">
        <f>Data!N964</f>
        <v>3.5714285714285712E-2</v>
      </c>
      <c r="D1004" s="5">
        <f ca="1">Data!O964</f>
        <v>341.05195226905278</v>
      </c>
      <c r="E1004" s="1">
        <f>Data!AQ964</f>
        <v>0.1</v>
      </c>
      <c r="F1004" t="str">
        <f t="shared" si="16"/>
        <v/>
      </c>
      <c r="G1004" s="5">
        <f ca="1">AVERAGE(D$2:D1003)</f>
        <v>350.43218119733046</v>
      </c>
      <c r="H1004" s="5">
        <f ca="1">PERCENTILE(D$2:D1003,0.025)</f>
        <v>-2.1440635547755078</v>
      </c>
      <c r="I1004" s="5">
        <f ca="1">PERCENTILE(D$2:D1003,0.165)</f>
        <v>11.582111491828108</v>
      </c>
      <c r="J1004" s="5">
        <f ca="1">PERCENTILE(D$2:D1003,0.5)</f>
        <v>55.41490012065497</v>
      </c>
      <c r="K1004" s="5">
        <f ca="1">PERCENTILE(D$2:D1003,0.835)</f>
        <v>262.60723877165333</v>
      </c>
      <c r="L1004" s="5">
        <f ca="1">PERCENTILE(D$2:D1003,0.975)</f>
        <v>1498.1500000000017</v>
      </c>
      <c r="M1004" s="7">
        <f>AVERAGE(E$2:E1003)</f>
        <v>1.2305134474327641</v>
      </c>
      <c r="N1004" s="7">
        <f>PERCENTILE($E$2:$E1003,0.025)</f>
        <v>-1.1000000000000001</v>
      </c>
      <c r="O1004" s="7">
        <f>PERCENTILE($E$2:$E1003,0.165)</f>
        <v>0</v>
      </c>
      <c r="P1004" s="7">
        <f>PERCENTILE($E$2:$E1003,0.5)</f>
        <v>1</v>
      </c>
      <c r="Q1004" s="7">
        <f>PERCENTILE($E$2:$E1003,0.835)</f>
        <v>3</v>
      </c>
      <c r="R1004" s="7">
        <f>PERCENTILE($E$2:$E1003,0.975)</f>
        <v>3</v>
      </c>
    </row>
    <row r="1005" spans="1:18" x14ac:dyDescent="0.2">
      <c r="A1005" s="5">
        <f>Data!E965</f>
        <v>2014</v>
      </c>
      <c r="B1005" s="5">
        <f>Data!M965</f>
        <v>0.45714285714285713</v>
      </c>
      <c r="C1005" s="5">
        <f>Data!N965</f>
        <v>7.1428571428571425E-2</v>
      </c>
      <c r="D1005" s="5">
        <f ca="1">Data!O965</f>
        <v>78.616652694536668</v>
      </c>
      <c r="E1005" s="1">
        <f>Data!AQ965</f>
        <v>0.1</v>
      </c>
      <c r="F1005" t="str">
        <f t="shared" si="16"/>
        <v/>
      </c>
      <c r="G1005" s="5">
        <f ca="1">AVERAGE(D$2:D1004)</f>
        <v>350.42282902491945</v>
      </c>
      <c r="H1005" s="5">
        <f ca="1">PERCENTILE(D$2:D1004,0.025)</f>
        <v>-2.1268399332085814</v>
      </c>
      <c r="I1005" s="5">
        <f ca="1">PERCENTILE(D$2:D1004,0.165)</f>
        <v>11.595819090571359</v>
      </c>
      <c r="J1005" s="5">
        <f ca="1">PERCENTILE(D$2:D1004,0.5)</f>
        <v>55.932796383464826</v>
      </c>
      <c r="K1005" s="5">
        <f ca="1">PERCENTILE(D$2:D1004,0.835)</f>
        <v>264.34259842519674</v>
      </c>
      <c r="L1005" s="5">
        <f ca="1">PERCENTILE(D$2:D1004,0.975)</f>
        <v>1496.299999999995</v>
      </c>
      <c r="M1005" s="7">
        <f>AVERAGE(E$2:E1004)</f>
        <v>1.2291330891330905</v>
      </c>
      <c r="N1005" s="7">
        <f>PERCENTILE($E$2:$E1004,0.025)</f>
        <v>-1.1000000000000001</v>
      </c>
      <c r="O1005" s="7">
        <f>PERCENTILE($E$2:$E1004,0.165)</f>
        <v>0</v>
      </c>
      <c r="P1005" s="7">
        <f>PERCENTILE($E$2:$E1004,0.5)</f>
        <v>1</v>
      </c>
      <c r="Q1005" s="7">
        <f>PERCENTILE($E$2:$E1004,0.835)</f>
        <v>3</v>
      </c>
      <c r="R1005" s="7">
        <f>PERCENTILE($E$2:$E1004,0.975)</f>
        <v>3</v>
      </c>
    </row>
    <row r="1006" spans="1:18" x14ac:dyDescent="0.2">
      <c r="A1006" s="5">
        <f>Data!E966</f>
        <v>2014</v>
      </c>
      <c r="B1006" s="5">
        <f>Data!M966</f>
        <v>0.45714285714285713</v>
      </c>
      <c r="C1006" s="5">
        <f>Data!N966</f>
        <v>7.1428571428571425E-2</v>
      </c>
      <c r="D1006" s="5">
        <f ca="1">Data!O966</f>
        <v>24.306597934542744</v>
      </c>
      <c r="E1006" s="1">
        <f>Data!AQ966</f>
        <v>3.5</v>
      </c>
      <c r="F1006" t="str">
        <f t="shared" si="16"/>
        <v/>
      </c>
      <c r="G1006" s="5">
        <f ca="1">AVERAGE(D$2:D1005)</f>
        <v>350.15210574172181</v>
      </c>
      <c r="H1006" s="5">
        <f ca="1">PERCENTILE(D$2:D1005,0.025)</f>
        <v>-2.1096163116416524</v>
      </c>
      <c r="I1006" s="5">
        <f ca="1">PERCENTILE(D$2:D1005,0.165)</f>
        <v>11.60952668931461</v>
      </c>
      <c r="J1006" s="5">
        <f ca="1">PERCENTILE(D$2:D1005,0.5)</f>
        <v>56.259836700825616</v>
      </c>
      <c r="K1006" s="5">
        <f ca="1">PERCENTILE(D$2:D1005,0.835)</f>
        <v>264.01389763779525</v>
      </c>
      <c r="L1006" s="5">
        <f ca="1">PERCENTILE(D$2:D1005,0.975)</f>
        <v>1494.4499999999966</v>
      </c>
      <c r="M1006" s="7">
        <f>AVERAGE(E$2:E1005)</f>
        <v>1.2277560975609769</v>
      </c>
      <c r="N1006" s="7">
        <f>PERCENTILE($E$2:$E1005,0.025)</f>
        <v>-1.1000000000000001</v>
      </c>
      <c r="O1006" s="7">
        <f>PERCENTILE($E$2:$E1005,0.165)</f>
        <v>0</v>
      </c>
      <c r="P1006" s="7">
        <f>PERCENTILE($E$2:$E1005,0.5)</f>
        <v>1</v>
      </c>
      <c r="Q1006" s="7">
        <f>PERCENTILE($E$2:$E1005,0.835)</f>
        <v>3</v>
      </c>
      <c r="R1006" s="7">
        <f>PERCENTILE($E$2:$E1005,0.975)</f>
        <v>3</v>
      </c>
    </row>
    <row r="1007" spans="1:18" x14ac:dyDescent="0.2">
      <c r="A1007" s="5">
        <f>Data!E967</f>
        <v>2014</v>
      </c>
      <c r="B1007" s="5">
        <f>Data!M967</f>
        <v>0.11428571428571428</v>
      </c>
      <c r="C1007" s="5">
        <f>Data!N967</f>
        <v>1.7857142857142856E-2</v>
      </c>
      <c r="D1007" s="5">
        <f ca="1">Data!O967</f>
        <v>39.49822164363195</v>
      </c>
      <c r="E1007" s="1" t="str">
        <f>Data!AQ967</f>
        <v>NA</v>
      </c>
      <c r="F1007" t="str">
        <f t="shared" si="16"/>
        <v/>
      </c>
      <c r="G1007" s="5">
        <f ca="1">AVERAGE(D$2:D1006)</f>
        <v>349.82788135584406</v>
      </c>
      <c r="H1007" s="5">
        <f ca="1">PERCENTILE(D$2:D1006,0.025)</f>
        <v>-2.0923926900747265</v>
      </c>
      <c r="I1007" s="5">
        <f ca="1">PERCENTILE(D$2:D1006,0.165)</f>
        <v>11.62323428805786</v>
      </c>
      <c r="J1007" s="5">
        <f ca="1">PERCENTILE(D$2:D1006,0.5)</f>
        <v>55.932796383464826</v>
      </c>
      <c r="K1007" s="5">
        <f ca="1">PERCENTILE(D$2:D1006,0.835)</f>
        <v>263.68519685039354</v>
      </c>
      <c r="L1007" s="5">
        <f ca="1">PERCENTILE(D$2:D1006,0.975)</f>
        <v>1492.5999999999983</v>
      </c>
      <c r="M1007" s="7">
        <f>AVERAGE(E$2:E1006)</f>
        <v>1.2305237515225349</v>
      </c>
      <c r="N1007" s="7">
        <f>PERCENTILE($E$2:$E1006,0.025)</f>
        <v>-1.1000000000000001</v>
      </c>
      <c r="O1007" s="7">
        <f>PERCENTILE($E$2:$E1006,0.165)</f>
        <v>0</v>
      </c>
      <c r="P1007" s="7">
        <f>PERCENTILE($E$2:$E1006,0.5)</f>
        <v>1</v>
      </c>
      <c r="Q1007" s="7">
        <f>PERCENTILE($E$2:$E1006,0.835)</f>
        <v>3</v>
      </c>
      <c r="R1007" s="7">
        <f>PERCENTILE($E$2:$E1006,0.975)</f>
        <v>3</v>
      </c>
    </row>
    <row r="1008" spans="1:18" x14ac:dyDescent="0.2">
      <c r="A1008" s="5">
        <f>Data!E968</f>
        <v>2014</v>
      </c>
      <c r="B1008" s="5">
        <f>Data!M968</f>
        <v>0.11428571428571428</v>
      </c>
      <c r="C1008" s="5">
        <f>Data!N968</f>
        <v>1.7857142857142856E-2</v>
      </c>
      <c r="D1008" s="5">
        <f ca="1">Data!O968</f>
        <v>56.209007723630094</v>
      </c>
      <c r="E1008" s="1" t="str">
        <f>Data!AQ968</f>
        <v>NA</v>
      </c>
      <c r="F1008" t="str">
        <f t="shared" si="16"/>
        <v/>
      </c>
      <c r="G1008" s="5">
        <f ca="1">AVERAGE(D$2:D1007)</f>
        <v>349.51940256885376</v>
      </c>
      <c r="H1008" s="5">
        <f ca="1">PERCENTILE(D$2:D1007,0.025)</f>
        <v>-2.0751690685078001</v>
      </c>
      <c r="I1008" s="5">
        <f ca="1">PERCENTILE(D$2:D1007,0.165)</f>
        <v>11.636941886801113</v>
      </c>
      <c r="J1008" s="5">
        <f ca="1">PERCENTILE(D$2:D1007,0.5)</f>
        <v>55.41490012065497</v>
      </c>
      <c r="K1008" s="5">
        <f ca="1">PERCENTILE(D$2:D1007,0.835)</f>
        <v>263.35649606299205</v>
      </c>
      <c r="L1008" s="5">
        <f ca="1">PERCENTILE(D$2:D1007,0.975)</f>
        <v>1490.75</v>
      </c>
      <c r="M1008" s="7">
        <f>AVERAGE(E$2:E1007)</f>
        <v>1.2305237515225349</v>
      </c>
      <c r="N1008" s="7">
        <f>PERCENTILE($E$2:$E1007,0.025)</f>
        <v>-1.1000000000000001</v>
      </c>
      <c r="O1008" s="7">
        <f>PERCENTILE($E$2:$E1007,0.165)</f>
        <v>0</v>
      </c>
      <c r="P1008" s="7">
        <f>PERCENTILE($E$2:$E1007,0.5)</f>
        <v>1</v>
      </c>
      <c r="Q1008" s="7">
        <f>PERCENTILE($E$2:$E1007,0.835)</f>
        <v>3</v>
      </c>
      <c r="R1008" s="7">
        <f>PERCENTILE($E$2:$E1007,0.975)</f>
        <v>3</v>
      </c>
    </row>
    <row r="1009" spans="1:18" x14ac:dyDescent="0.2">
      <c r="A1009" s="5">
        <f>Data!E969</f>
        <v>2014</v>
      </c>
      <c r="B1009" s="5">
        <f>Data!M969</f>
        <v>0.11428571428571428</v>
      </c>
      <c r="C1009" s="5">
        <f>Data!N969</f>
        <v>1.7857142857142856E-2</v>
      </c>
      <c r="D1009" s="5">
        <f ca="1">Data!O969</f>
        <v>46.714242905449332</v>
      </c>
      <c r="E1009" s="1" t="str">
        <f>Data!AQ969</f>
        <v>NA</v>
      </c>
      <c r="F1009" t="str">
        <f t="shared" si="16"/>
        <v/>
      </c>
      <c r="G1009" s="5">
        <f ca="1">AVERAGE(D$2:D1008)</f>
        <v>349.22813107446922</v>
      </c>
      <c r="H1009" s="5">
        <f ca="1">PERCENTILE(D$2:D1008,0.025)</f>
        <v>-2.0579454469408711</v>
      </c>
      <c r="I1009" s="5">
        <f ca="1">PERCENTILE(D$2:D1008,0.165)</f>
        <v>11.650649485544363</v>
      </c>
      <c r="J1009" s="5">
        <f ca="1">PERCENTILE(D$2:D1008,0.5)</f>
        <v>55.932796383464826</v>
      </c>
      <c r="K1009" s="5">
        <f ca="1">PERCENTILE(D$2:D1008,0.835)</f>
        <v>263.02779527559051</v>
      </c>
      <c r="L1009" s="5">
        <f ca="1">PERCENTILE(D$2:D1008,0.975)</f>
        <v>1488.9000000000017</v>
      </c>
      <c r="M1009" s="7">
        <f>AVERAGE(E$2:E1008)</f>
        <v>1.2305237515225349</v>
      </c>
      <c r="N1009" s="7">
        <f>PERCENTILE($E$2:$E1008,0.025)</f>
        <v>-1.1000000000000001</v>
      </c>
      <c r="O1009" s="7">
        <f>PERCENTILE($E$2:$E1008,0.165)</f>
        <v>0</v>
      </c>
      <c r="P1009" s="7">
        <f>PERCENTILE($E$2:$E1008,0.5)</f>
        <v>1</v>
      </c>
      <c r="Q1009" s="7">
        <f>PERCENTILE($E$2:$E1008,0.835)</f>
        <v>3</v>
      </c>
      <c r="R1009" s="7">
        <f>PERCENTILE($E$2:$E1008,0.975)</f>
        <v>3</v>
      </c>
    </row>
    <row r="1010" spans="1:18" x14ac:dyDescent="0.2">
      <c r="A1010" s="5">
        <f>Data!E970</f>
        <v>2014</v>
      </c>
      <c r="B1010" s="5">
        <f>Data!M970</f>
        <v>0.11428571428571428</v>
      </c>
      <c r="C1010" s="5">
        <f>Data!N970</f>
        <v>1.7857142857142856E-2</v>
      </c>
      <c r="D1010" s="5">
        <f ca="1">Data!O970</f>
        <v>70.261259654537611</v>
      </c>
      <c r="E1010" s="1" t="str">
        <f>Data!AQ970</f>
        <v>NA</v>
      </c>
      <c r="F1010" t="str">
        <f t="shared" si="16"/>
        <v/>
      </c>
      <c r="G1010" s="5">
        <f ca="1">AVERAGE(D$2:D1009)</f>
        <v>348.92801809017453</v>
      </c>
      <c r="H1010" s="5">
        <f ca="1">PERCENTILE(D$2:D1009,0.025)</f>
        <v>-2.0407218253739448</v>
      </c>
      <c r="I1010" s="5">
        <f ca="1">PERCENTILE(D$2:D1009,0.165)</f>
        <v>11.660183418317953</v>
      </c>
      <c r="J1010" s="5">
        <f ca="1">PERCENTILE(D$2:D1009,0.5)</f>
        <v>55.41490012065497</v>
      </c>
      <c r="K1010" s="5">
        <f ca="1">PERCENTILE(D$2:D1009,0.835)</f>
        <v>262.63151969553786</v>
      </c>
      <c r="L1010" s="5">
        <f ca="1">PERCENTILE(D$2:D1009,0.975)</f>
        <v>1487.049999999995</v>
      </c>
      <c r="M1010" s="7">
        <f>AVERAGE(E$2:E1009)</f>
        <v>1.2305237515225349</v>
      </c>
      <c r="N1010" s="7">
        <f>PERCENTILE($E$2:$E1009,0.025)</f>
        <v>-1.1000000000000001</v>
      </c>
      <c r="O1010" s="7">
        <f>PERCENTILE($E$2:$E1009,0.165)</f>
        <v>0</v>
      </c>
      <c r="P1010" s="7">
        <f>PERCENTILE($E$2:$E1009,0.5)</f>
        <v>1</v>
      </c>
      <c r="Q1010" s="7">
        <f>PERCENTILE($E$2:$E1009,0.835)</f>
        <v>3</v>
      </c>
      <c r="R1010" s="7">
        <f>PERCENTILE($E$2:$E1009,0.975)</f>
        <v>3</v>
      </c>
    </row>
    <row r="1011" spans="1:18" x14ac:dyDescent="0.2">
      <c r="A1011" s="5">
        <f>Data!E971</f>
        <v>2014</v>
      </c>
      <c r="B1011" s="5">
        <f>Data!M971</f>
        <v>0.11428571428571428</v>
      </c>
      <c r="C1011" s="5">
        <f>Data!N971</f>
        <v>1.7857142857142856E-2</v>
      </c>
      <c r="D1011" s="5">
        <f ca="1">Data!O971</f>
        <v>70.641050247264843</v>
      </c>
      <c r="E1011" s="1" t="str">
        <f>Data!AQ971</f>
        <v>NA</v>
      </c>
      <c r="F1011" t="str">
        <f t="shared" si="16"/>
        <v/>
      </c>
      <c r="G1011" s="5">
        <f ca="1">AVERAGE(D$2:D1010)</f>
        <v>348.65183696189342</v>
      </c>
      <c r="H1011" s="5">
        <f ca="1">PERCENTILE(D$2:D1010,0.025)</f>
        <v>-2.0234982038070162</v>
      </c>
      <c r="I1011" s="5">
        <f ca="1">PERCENTILE(D$2:D1010,0.165)</f>
        <v>11.669448082319306</v>
      </c>
      <c r="J1011" s="5">
        <f ca="1">PERCENTILE(D$2:D1010,0.5)</f>
        <v>55.932796383464826</v>
      </c>
      <c r="K1011" s="5">
        <f ca="1">PERCENTILE(D$2:D1010,0.835)</f>
        <v>262.23088445144344</v>
      </c>
      <c r="L1011" s="5">
        <f ca="1">PERCENTILE(D$2:D1010,0.975)</f>
        <v>1485.1999999999966</v>
      </c>
      <c r="M1011" s="7">
        <f>AVERAGE(E$2:E1010)</f>
        <v>1.2305237515225349</v>
      </c>
      <c r="N1011" s="7">
        <f>PERCENTILE($E$2:$E1010,0.025)</f>
        <v>-1.1000000000000001</v>
      </c>
      <c r="O1011" s="7">
        <f>PERCENTILE($E$2:$E1010,0.165)</f>
        <v>0</v>
      </c>
      <c r="P1011" s="7">
        <f>PERCENTILE($E$2:$E1010,0.5)</f>
        <v>1</v>
      </c>
      <c r="Q1011" s="7">
        <f>PERCENTILE($E$2:$E1010,0.835)</f>
        <v>3</v>
      </c>
      <c r="R1011" s="7">
        <f>PERCENTILE($E$2:$E1010,0.975)</f>
        <v>3</v>
      </c>
    </row>
    <row r="1012" spans="1:18" x14ac:dyDescent="0.2">
      <c r="A1012" s="5">
        <f>Data!E972</f>
        <v>2014</v>
      </c>
      <c r="B1012" s="5">
        <f>Data!M972</f>
        <v>0.11428571428571428</v>
      </c>
      <c r="C1012" s="5">
        <f>Data!N972</f>
        <v>1.7857142857142856E-2</v>
      </c>
      <c r="D1012" s="5">
        <f ca="1">Data!O972</f>
        <v>63.804819578174694</v>
      </c>
      <c r="E1012" s="1" t="str">
        <f>Data!AQ972</f>
        <v>NA</v>
      </c>
      <c r="F1012" t="str">
        <f t="shared" si="16"/>
        <v/>
      </c>
      <c r="G1012" s="5">
        <f ca="1">AVERAGE(D$2:D1011)</f>
        <v>348.37657875722545</v>
      </c>
      <c r="H1012" s="5">
        <f ca="1">PERCENTILE(D$2:D1011,0.025)</f>
        <v>-2.0062745822400898</v>
      </c>
      <c r="I1012" s="5">
        <f ca="1">PERCENTILE(D$2:D1011,0.165)</f>
        <v>11.678712746320658</v>
      </c>
      <c r="J1012" s="5">
        <f ca="1">PERCENTILE(D$2:D1011,0.5)</f>
        <v>56.070902053547456</v>
      </c>
      <c r="K1012" s="5">
        <f ca="1">PERCENTILE(D$2:D1011,0.835)</f>
        <v>261.83024920734903</v>
      </c>
      <c r="L1012" s="5">
        <f ca="1">PERCENTILE(D$2:D1011,0.975)</f>
        <v>1483.3499999999983</v>
      </c>
      <c r="M1012" s="7">
        <f>AVERAGE(E$2:E1011)</f>
        <v>1.2305237515225349</v>
      </c>
      <c r="N1012" s="7">
        <f>PERCENTILE($E$2:$E1011,0.025)</f>
        <v>-1.1000000000000001</v>
      </c>
      <c r="O1012" s="7">
        <f>PERCENTILE($E$2:$E1011,0.165)</f>
        <v>0</v>
      </c>
      <c r="P1012" s="7">
        <f>PERCENTILE($E$2:$E1011,0.5)</f>
        <v>1</v>
      </c>
      <c r="Q1012" s="7">
        <f>PERCENTILE($E$2:$E1011,0.835)</f>
        <v>3</v>
      </c>
      <c r="R1012" s="7">
        <f>PERCENTILE($E$2:$E1011,0.975)</f>
        <v>3</v>
      </c>
    </row>
    <row r="1013" spans="1:18" x14ac:dyDescent="0.2">
      <c r="A1013" s="5">
        <f>Data!E973</f>
        <v>2014</v>
      </c>
      <c r="B1013" s="5">
        <f>Data!M973</f>
        <v>0.11428571428571428</v>
      </c>
      <c r="C1013" s="5">
        <f>Data!N973</f>
        <v>1.7857142857142856E-2</v>
      </c>
      <c r="D1013" s="5">
        <f ca="1">Data!O973</f>
        <v>97.98597292362544</v>
      </c>
      <c r="E1013" s="1" t="str">
        <f>Data!AQ973</f>
        <v>NA</v>
      </c>
      <c r="F1013" t="str">
        <f t="shared" si="16"/>
        <v/>
      </c>
      <c r="G1013" s="5">
        <f ca="1">AVERAGE(D$2:D1012)</f>
        <v>348.09510322885848</v>
      </c>
      <c r="H1013" s="5">
        <f ca="1">PERCENTILE(D$2:D1012,0.025)</f>
        <v>-1.9890509606731634</v>
      </c>
      <c r="I1013" s="5">
        <f ca="1">PERCENTILE(D$2:D1012,0.165)</f>
        <v>11.687977410322009</v>
      </c>
      <c r="J1013" s="5">
        <f ca="1">PERCENTILE(D$2:D1012,0.5)</f>
        <v>56.209007723630094</v>
      </c>
      <c r="K1013" s="5">
        <f ca="1">PERCENTILE(D$2:D1012,0.835)</f>
        <v>261.42961396325438</v>
      </c>
      <c r="L1013" s="5">
        <f ca="1">PERCENTILE(D$2:D1012,0.975)</f>
        <v>1481.5</v>
      </c>
      <c r="M1013" s="7">
        <f>AVERAGE(E$2:E1012)</f>
        <v>1.2305237515225349</v>
      </c>
      <c r="N1013" s="7">
        <f>PERCENTILE($E$2:$E1012,0.025)</f>
        <v>-1.1000000000000001</v>
      </c>
      <c r="O1013" s="7">
        <f>PERCENTILE($E$2:$E1012,0.165)</f>
        <v>0</v>
      </c>
      <c r="P1013" s="7">
        <f>PERCENTILE($E$2:$E1012,0.5)</f>
        <v>1</v>
      </c>
      <c r="Q1013" s="7">
        <f>PERCENTILE($E$2:$E1012,0.835)</f>
        <v>3</v>
      </c>
      <c r="R1013" s="7">
        <f>PERCENTILE($E$2:$E1012,0.975)</f>
        <v>3</v>
      </c>
    </row>
    <row r="1014" spans="1:18" x14ac:dyDescent="0.2">
      <c r="A1014" s="5">
        <f>Data!E974</f>
        <v>2014</v>
      </c>
      <c r="B1014" s="5">
        <f>Data!M974</f>
        <v>0.11428571428571428</v>
      </c>
      <c r="C1014" s="5">
        <f>Data!N974</f>
        <v>1.7857142857142856E-2</v>
      </c>
      <c r="D1014" s="5">
        <f ca="1">Data!O974</f>
        <v>79.756024472718366</v>
      </c>
      <c r="E1014" s="1" t="str">
        <f>Data!AQ974</f>
        <v>NA</v>
      </c>
      <c r="F1014" t="str">
        <f t="shared" si="16"/>
        <v/>
      </c>
      <c r="G1014" s="5">
        <f ca="1">AVERAGE(D$2:D1013)</f>
        <v>347.84795981946598</v>
      </c>
      <c r="H1014" s="5">
        <f ca="1">PERCENTILE(D$2:D1013,0.025)</f>
        <v>-1.9718273391062349</v>
      </c>
      <c r="I1014" s="5">
        <f ca="1">PERCENTILE(D$2:D1013,0.165)</f>
        <v>11.697242074323363</v>
      </c>
      <c r="J1014" s="5">
        <f ca="1">PERCENTILE(D$2:D1013,0.5)</f>
        <v>56.397942370908254</v>
      </c>
      <c r="K1014" s="5">
        <f ca="1">PERCENTILE(D$2:D1013,0.835)</f>
        <v>261.02897871915997</v>
      </c>
      <c r="L1014" s="5">
        <f ca="1">PERCENTILE(D$2:D1013,0.975)</f>
        <v>1479.6500000000017</v>
      </c>
      <c r="M1014" s="7">
        <f>AVERAGE(E$2:E1013)</f>
        <v>1.2305237515225349</v>
      </c>
      <c r="N1014" s="7">
        <f>PERCENTILE($E$2:$E1013,0.025)</f>
        <v>-1.1000000000000001</v>
      </c>
      <c r="O1014" s="7">
        <f>PERCENTILE($E$2:$E1013,0.165)</f>
        <v>0</v>
      </c>
      <c r="P1014" s="7">
        <f>PERCENTILE($E$2:$E1013,0.5)</f>
        <v>1</v>
      </c>
      <c r="Q1014" s="7">
        <f>PERCENTILE($E$2:$E1013,0.835)</f>
        <v>3</v>
      </c>
      <c r="R1014" s="7">
        <f>PERCENTILE($E$2:$E1013,0.975)</f>
        <v>3</v>
      </c>
    </row>
    <row r="1015" spans="1:18" x14ac:dyDescent="0.2">
      <c r="A1015" s="5">
        <f>Data!E975</f>
        <v>2014</v>
      </c>
      <c r="B1015" s="5">
        <f>Data!M975</f>
        <v>0.11428571428571428</v>
      </c>
      <c r="C1015" s="5">
        <f>Data!N975</f>
        <v>1.7857142857142856E-2</v>
      </c>
      <c r="D1015" s="5">
        <f ca="1">Data!O975</f>
        <v>118.11487433816865</v>
      </c>
      <c r="E1015" s="1" t="str">
        <f>Data!AQ975</f>
        <v>NA</v>
      </c>
      <c r="F1015" t="str">
        <f t="shared" si="16"/>
        <v/>
      </c>
      <c r="G1015" s="5">
        <f ca="1">AVERAGE(D$2:D1014)</f>
        <v>347.58330835318088</v>
      </c>
      <c r="H1015" s="5">
        <f ca="1">PERCENTILE(D$2:D1014,0.025)</f>
        <v>-1.9546037175393085</v>
      </c>
      <c r="I1015" s="5">
        <f ca="1">PERCENTILE(D$2:D1014,0.165)</f>
        <v>11.706506738324716</v>
      </c>
      <c r="J1015" s="5">
        <f ca="1">PERCENTILE(D$2:D1014,0.5)</f>
        <v>56.586877018186414</v>
      </c>
      <c r="K1015" s="5">
        <f ca="1">PERCENTILE(D$2:D1014,0.835)</f>
        <v>260.62834347506561</v>
      </c>
      <c r="L1015" s="5">
        <f ca="1">PERCENTILE(D$2:D1014,0.975)</f>
        <v>1477.799999999995</v>
      </c>
      <c r="M1015" s="7">
        <f>AVERAGE(E$2:E1014)</f>
        <v>1.2305237515225349</v>
      </c>
      <c r="N1015" s="7">
        <f>PERCENTILE($E$2:$E1014,0.025)</f>
        <v>-1.1000000000000001</v>
      </c>
      <c r="O1015" s="7">
        <f>PERCENTILE($E$2:$E1014,0.165)</f>
        <v>0</v>
      </c>
      <c r="P1015" s="7">
        <f>PERCENTILE($E$2:$E1014,0.5)</f>
        <v>1</v>
      </c>
      <c r="Q1015" s="7">
        <f>PERCENTILE($E$2:$E1014,0.835)</f>
        <v>3</v>
      </c>
      <c r="R1015" s="7">
        <f>PERCENTILE($E$2:$E1014,0.975)</f>
        <v>3</v>
      </c>
    </row>
    <row r="1016" spans="1:18" x14ac:dyDescent="0.2">
      <c r="A1016" s="5">
        <f>Data!E976</f>
        <v>2014</v>
      </c>
      <c r="B1016" s="5">
        <f>Data!M976</f>
        <v>0.11428571428571428</v>
      </c>
      <c r="C1016" s="5">
        <f>Data!N976</f>
        <v>1.7857142857142856E-2</v>
      </c>
      <c r="D1016" s="5">
        <f ca="1">Data!O976</f>
        <v>189.89529636361519</v>
      </c>
      <c r="E1016" s="1" t="str">
        <f>Data!AQ976</f>
        <v>NA</v>
      </c>
      <c r="F1016" t="str">
        <f t="shared" si="16"/>
        <v/>
      </c>
      <c r="G1016" s="5">
        <f ca="1">AVERAGE(D$2:D1015)</f>
        <v>347.35700812239685</v>
      </c>
      <c r="H1016" s="5">
        <f ca="1">PERCENTILE(D$2:D1015,0.025)</f>
        <v>-1.9373800959723797</v>
      </c>
      <c r="I1016" s="5">
        <f ca="1">PERCENTILE(D$2:D1015,0.165)</f>
        <v>11.71066306928407</v>
      </c>
      <c r="J1016" s="5">
        <f ca="1">PERCENTILE(D$2:D1015,0.5)</f>
        <v>56.777732963635486</v>
      </c>
      <c r="K1016" s="5">
        <f ca="1">PERCENTILE(D$2:D1015,0.835)</f>
        <v>260.40211015969697</v>
      </c>
      <c r="L1016" s="5">
        <f ca="1">PERCENTILE(D$2:D1015,0.975)</f>
        <v>1475.9499999999966</v>
      </c>
      <c r="M1016" s="7">
        <f>AVERAGE(E$2:E1015)</f>
        <v>1.2305237515225349</v>
      </c>
      <c r="N1016" s="7">
        <f>PERCENTILE($E$2:$E1015,0.025)</f>
        <v>-1.1000000000000001</v>
      </c>
      <c r="O1016" s="7">
        <f>PERCENTILE($E$2:$E1015,0.165)</f>
        <v>0</v>
      </c>
      <c r="P1016" s="7">
        <f>PERCENTILE($E$2:$E1015,0.5)</f>
        <v>1</v>
      </c>
      <c r="Q1016" s="7">
        <f>PERCENTILE($E$2:$E1015,0.835)</f>
        <v>3</v>
      </c>
      <c r="R1016" s="7">
        <f>PERCENTILE($E$2:$E1015,0.975)</f>
        <v>3</v>
      </c>
    </row>
    <row r="1017" spans="1:18" x14ac:dyDescent="0.2">
      <c r="A1017" s="5">
        <f>Data!E977</f>
        <v>2014</v>
      </c>
      <c r="B1017" s="5">
        <f>Data!M977</f>
        <v>0.11428571428571428</v>
      </c>
      <c r="C1017" s="5">
        <f>Data!N977</f>
        <v>1.7857142857142856E-2</v>
      </c>
      <c r="D1017" s="5">
        <f ca="1">Data!O977</f>
        <v>152.67581827634658</v>
      </c>
      <c r="E1017" s="1" t="str">
        <f>Data!AQ977</f>
        <v>NA</v>
      </c>
      <c r="F1017" t="str">
        <f t="shared" si="16"/>
        <v/>
      </c>
      <c r="G1017" s="5">
        <f ca="1">AVERAGE(D$2:D1016)</f>
        <v>347.20187343100889</v>
      </c>
      <c r="H1017" s="5">
        <f ca="1">PERCENTILE(D$2:D1016,0.025)</f>
        <v>-1.9201564744054536</v>
      </c>
      <c r="I1017" s="5">
        <f ca="1">PERCENTILE(D$2:D1016,0.165)</f>
        <v>11.714114802582461</v>
      </c>
      <c r="J1017" s="5">
        <f ca="1">PERCENTILE(D$2:D1016,0.5)</f>
        <v>56.968588909084552</v>
      </c>
      <c r="K1017" s="5">
        <f ca="1">PERCENTILE(D$2:D1016,0.835)</f>
        <v>260.1999322827732</v>
      </c>
      <c r="L1017" s="5">
        <f ca="1">PERCENTILE(D$2:D1016,0.975)</f>
        <v>1474.0999999999983</v>
      </c>
      <c r="M1017" s="7">
        <f>AVERAGE(E$2:E1016)</f>
        <v>1.2305237515225349</v>
      </c>
      <c r="N1017" s="7">
        <f>PERCENTILE($E$2:$E1016,0.025)</f>
        <v>-1.1000000000000001</v>
      </c>
      <c r="O1017" s="7">
        <f>PERCENTILE($E$2:$E1016,0.165)</f>
        <v>0</v>
      </c>
      <c r="P1017" s="7">
        <f>PERCENTILE($E$2:$E1016,0.5)</f>
        <v>1</v>
      </c>
      <c r="Q1017" s="7">
        <f>PERCENTILE($E$2:$E1016,0.835)</f>
        <v>3</v>
      </c>
      <c r="R1017" s="7">
        <f>PERCENTILE($E$2:$E1016,0.975)</f>
        <v>3</v>
      </c>
    </row>
    <row r="1018" spans="1:18" x14ac:dyDescent="0.2">
      <c r="A1018" s="5">
        <f>Data!E978</f>
        <v>2014</v>
      </c>
      <c r="B1018" s="5">
        <f>Data!M978</f>
        <v>0.11428571428571428</v>
      </c>
      <c r="C1018" s="5">
        <f>Data!N978</f>
        <v>1.7857142857142856E-2</v>
      </c>
      <c r="D1018" s="5">
        <f ca="1">Data!O978</f>
        <v>175.46325383998041</v>
      </c>
      <c r="E1018" s="1" t="str">
        <f>Data!AQ978</f>
        <v>NA</v>
      </c>
      <c r="F1018" t="str">
        <f t="shared" si="16"/>
        <v/>
      </c>
      <c r="G1018" s="5">
        <f ca="1">AVERAGE(D$2:D1017)</f>
        <v>347.01041077829763</v>
      </c>
      <c r="H1018" s="5">
        <f ca="1">PERCENTILE(D$2:D1017,0.025)</f>
        <v>-1.9029328528385272</v>
      </c>
      <c r="I1018" s="5">
        <f ca="1">PERCENTILE(D$2:D1017,0.165)</f>
        <v>11.717566535880851</v>
      </c>
      <c r="J1018" s="5">
        <f ca="1">PERCENTILE(D$2:D1017,0.5)</f>
        <v>56.968588909084552</v>
      </c>
      <c r="K1018" s="5">
        <f ca="1">PERCENTILE(D$2:D1017,0.835)</f>
        <v>259.99775440584955</v>
      </c>
      <c r="L1018" s="5">
        <f ca="1">PERCENTILE(D$2:D1017,0.975)</f>
        <v>1472.25</v>
      </c>
      <c r="M1018" s="7">
        <f>AVERAGE(E$2:E1017)</f>
        <v>1.2305237515225349</v>
      </c>
      <c r="N1018" s="7">
        <f>PERCENTILE($E$2:$E1017,0.025)</f>
        <v>-1.1000000000000001</v>
      </c>
      <c r="O1018" s="7">
        <f>PERCENTILE($E$2:$E1017,0.165)</f>
        <v>0</v>
      </c>
      <c r="P1018" s="7">
        <f>PERCENTILE($E$2:$E1017,0.5)</f>
        <v>1</v>
      </c>
      <c r="Q1018" s="7">
        <f>PERCENTILE($E$2:$E1017,0.835)</f>
        <v>3</v>
      </c>
      <c r="R1018" s="7">
        <f>PERCENTILE($E$2:$E1017,0.975)</f>
        <v>3</v>
      </c>
    </row>
    <row r="1019" spans="1:18" x14ac:dyDescent="0.2">
      <c r="A1019" s="5">
        <f>Data!E979</f>
        <v>2014</v>
      </c>
      <c r="B1019" s="5">
        <f>Data!M979</f>
        <v>0.11428571428571428</v>
      </c>
      <c r="C1019" s="5">
        <f>Data!N979</f>
        <v>1.7857142857142856E-2</v>
      </c>
      <c r="D1019" s="5">
        <f ca="1">Data!O979</f>
        <v>275.34817972724198</v>
      </c>
      <c r="E1019" s="1" t="str">
        <f>Data!AQ979</f>
        <v>NA</v>
      </c>
      <c r="F1019" t="str">
        <f t="shared" si="16"/>
        <v/>
      </c>
      <c r="G1019" s="5">
        <f ca="1">AVERAGE(D$2:D1018)</f>
        <v>346.84173117462183</v>
      </c>
      <c r="H1019" s="5">
        <f ca="1">PERCENTILE(D$2:D1018,0.025)</f>
        <v>-1.8857092312715984</v>
      </c>
      <c r="I1019" s="5">
        <f ca="1">PERCENTILE(D$2:D1018,0.165)</f>
        <v>11.721018269179241</v>
      </c>
      <c r="J1019" s="5">
        <f ca="1">PERCENTILE(D$2:D1018,0.5)</f>
        <v>56.968588909084552</v>
      </c>
      <c r="K1019" s="5">
        <f ca="1">PERCENTILE(D$2:D1018,0.835)</f>
        <v>259.79557652892589</v>
      </c>
      <c r="L1019" s="5">
        <f ca="1">PERCENTILE(D$2:D1018,0.975)</f>
        <v>1470.4000000000017</v>
      </c>
      <c r="M1019" s="7">
        <f>AVERAGE(E$2:E1018)</f>
        <v>1.2305237515225349</v>
      </c>
      <c r="N1019" s="7">
        <f>PERCENTILE($E$2:$E1018,0.025)</f>
        <v>-1.1000000000000001</v>
      </c>
      <c r="O1019" s="7">
        <f>PERCENTILE($E$2:$E1018,0.165)</f>
        <v>0</v>
      </c>
      <c r="P1019" s="7">
        <f>PERCENTILE($E$2:$E1018,0.5)</f>
        <v>1</v>
      </c>
      <c r="Q1019" s="7">
        <f>PERCENTILE($E$2:$E1018,0.835)</f>
        <v>3</v>
      </c>
      <c r="R1019" s="7">
        <f>PERCENTILE($E$2:$E1018,0.975)</f>
        <v>3</v>
      </c>
    </row>
    <row r="1020" spans="1:18" x14ac:dyDescent="0.2">
      <c r="A1020" s="5">
        <f>Data!E980</f>
        <v>2014</v>
      </c>
      <c r="B1020" s="5">
        <f>Data!M980</f>
        <v>0.11428571428571428</v>
      </c>
      <c r="C1020" s="5">
        <f>Data!N980</f>
        <v>1.7857142857142856E-2</v>
      </c>
      <c r="D1020" s="5">
        <f ca="1">Data!O980</f>
        <v>220.27854378179356</v>
      </c>
      <c r="E1020" s="1" t="str">
        <f>Data!AQ980</f>
        <v>NA</v>
      </c>
      <c r="F1020" t="str">
        <f t="shared" si="16"/>
        <v/>
      </c>
      <c r="G1020" s="5">
        <f ca="1">AVERAGE(D$2:D1019)</f>
        <v>346.77150175276785</v>
      </c>
      <c r="H1020" s="5">
        <f ca="1">PERCENTILE(D$2:D1019,0.025)</f>
        <v>-1.868485609704672</v>
      </c>
      <c r="I1020" s="5">
        <f ca="1">PERCENTILE(D$2:D1019,0.165)</f>
        <v>11.724470002477632</v>
      </c>
      <c r="J1020" s="5">
        <f ca="1">PERCENTILE(D$2:D1019,0.5)</f>
        <v>56.968588909084552</v>
      </c>
      <c r="K1020" s="5">
        <f ca="1">PERCENTILE(D$2:D1019,0.835)</f>
        <v>261.0532596430445</v>
      </c>
      <c r="L1020" s="5">
        <f ca="1">PERCENTILE(D$2:D1019,0.975)</f>
        <v>1468.549999999995</v>
      </c>
      <c r="M1020" s="7">
        <f>AVERAGE(E$2:E1019)</f>
        <v>1.2305237515225349</v>
      </c>
      <c r="N1020" s="7">
        <f>PERCENTILE($E$2:$E1019,0.025)</f>
        <v>-1.1000000000000001</v>
      </c>
      <c r="O1020" s="7">
        <f>PERCENTILE($E$2:$E1019,0.165)</f>
        <v>0</v>
      </c>
      <c r="P1020" s="7">
        <f>PERCENTILE($E$2:$E1019,0.5)</f>
        <v>1</v>
      </c>
      <c r="Q1020" s="7">
        <f>PERCENTILE($E$2:$E1019,0.835)</f>
        <v>3</v>
      </c>
      <c r="R1020" s="7">
        <f>PERCENTILE($E$2:$E1019,0.975)</f>
        <v>3</v>
      </c>
    </row>
    <row r="1021" spans="1:18" x14ac:dyDescent="0.2">
      <c r="A1021" s="5">
        <f>Data!E981</f>
        <v>2014</v>
      </c>
      <c r="B1021" s="5">
        <f>Data!M981</f>
        <v>0.22857142857142856</v>
      </c>
      <c r="C1021" s="5">
        <f>Data!N981</f>
        <v>3.5714285714285712E-2</v>
      </c>
      <c r="D1021" s="5">
        <f ca="1">Data!O981</f>
        <v>474.73824090903793</v>
      </c>
      <c r="E1021" s="1" t="str">
        <f>Data!AQ981</f>
        <v>NA</v>
      </c>
      <c r="F1021" t="str">
        <f t="shared" si="16"/>
        <v/>
      </c>
      <c r="G1021" s="5">
        <f ca="1">AVERAGE(D$2:D1020)</f>
        <v>346.64736734847833</v>
      </c>
      <c r="H1021" s="5">
        <f ca="1">PERCENTILE(D$2:D1020,0.025)</f>
        <v>-1.8512619881377432</v>
      </c>
      <c r="I1021" s="5">
        <f ca="1">PERCENTILE(D$2:D1020,0.165)</f>
        <v>11.727921735776022</v>
      </c>
      <c r="J1021" s="5">
        <f ca="1">PERCENTILE(D$2:D1020,0.5)</f>
        <v>56.968588909084552</v>
      </c>
      <c r="K1021" s="5">
        <f ca="1">PERCENTILE(D$2:D1020,0.835)</f>
        <v>260.65262439895008</v>
      </c>
      <c r="L1021" s="5">
        <f ca="1">PERCENTILE(D$2:D1020,0.975)</f>
        <v>1466.6999999999966</v>
      </c>
      <c r="M1021" s="7">
        <f>AVERAGE(E$2:E1020)</f>
        <v>1.2305237515225349</v>
      </c>
      <c r="N1021" s="7">
        <f>PERCENTILE($E$2:$E1020,0.025)</f>
        <v>-1.1000000000000001</v>
      </c>
      <c r="O1021" s="7">
        <f>PERCENTILE($E$2:$E1020,0.165)</f>
        <v>0</v>
      </c>
      <c r="P1021" s="7">
        <f>PERCENTILE($E$2:$E1020,0.5)</f>
        <v>1</v>
      </c>
      <c r="Q1021" s="7">
        <f>PERCENTILE($E$2:$E1020,0.835)</f>
        <v>3</v>
      </c>
      <c r="R1021" s="7">
        <f>PERCENTILE($E$2:$E1020,0.975)</f>
        <v>3</v>
      </c>
    </row>
    <row r="1022" spans="1:18" x14ac:dyDescent="0.2">
      <c r="A1022" s="5">
        <f>Data!E982</f>
        <v>2014</v>
      </c>
      <c r="B1022" s="5">
        <f>Data!M982</f>
        <v>0.22857142857142856</v>
      </c>
      <c r="C1022" s="5">
        <f>Data!N982</f>
        <v>3.5714285714285712E-2</v>
      </c>
      <c r="D1022" s="5">
        <f ca="1">Data!O982</f>
        <v>205.08692007270437</v>
      </c>
      <c r="E1022" s="1" t="str">
        <f>Data!AQ982</f>
        <v>NA</v>
      </c>
      <c r="F1022" t="str">
        <f t="shared" si="16"/>
        <v/>
      </c>
      <c r="G1022" s="5">
        <f ca="1">AVERAGE(D$2:D1021)</f>
        <v>346.77294663628282</v>
      </c>
      <c r="H1022" s="5">
        <f ca="1">PERCENTILE(D$2:D1021,0.025)</f>
        <v>-1.8340383665708171</v>
      </c>
      <c r="I1022" s="5">
        <f ca="1">PERCENTILE(D$2:D1021,0.165)</f>
        <v>11.747784429693738</v>
      </c>
      <c r="J1022" s="5">
        <f ca="1">PERCENTILE(D$2:D1021,0.5)</f>
        <v>56.968588909084552</v>
      </c>
      <c r="K1022" s="5">
        <f ca="1">PERCENTILE(D$2:D1021,0.835)</f>
        <v>262.6800815433071</v>
      </c>
      <c r="L1022" s="5">
        <f ca="1">PERCENTILE(D$2:D1021,0.975)</f>
        <v>1464.8499999999983</v>
      </c>
      <c r="M1022" s="7">
        <f>AVERAGE(E$2:E1021)</f>
        <v>1.2305237515225349</v>
      </c>
      <c r="N1022" s="7">
        <f>PERCENTILE($E$2:$E1021,0.025)</f>
        <v>-1.1000000000000001</v>
      </c>
      <c r="O1022" s="7">
        <f>PERCENTILE($E$2:$E1021,0.165)</f>
        <v>0</v>
      </c>
      <c r="P1022" s="7">
        <f>PERCENTILE($E$2:$E1021,0.5)</f>
        <v>1</v>
      </c>
      <c r="Q1022" s="7">
        <f>PERCENTILE($E$2:$E1021,0.835)</f>
        <v>3</v>
      </c>
      <c r="R1022" s="7">
        <f>PERCENTILE($E$2:$E1021,0.975)</f>
        <v>3</v>
      </c>
    </row>
    <row r="1023" spans="1:18" x14ac:dyDescent="0.2">
      <c r="A1023" s="5">
        <f>Data!E983</f>
        <v>2014</v>
      </c>
      <c r="B1023" s="5">
        <f>Data!M983</f>
        <v>0.22857142857142856</v>
      </c>
      <c r="C1023" s="5">
        <f>Data!N983</f>
        <v>3.5714285714285712E-2</v>
      </c>
      <c r="D1023" s="5">
        <f ca="1">Data!O983</f>
        <v>91.149742254535269</v>
      </c>
      <c r="E1023" s="1" t="str">
        <f>Data!AQ983</f>
        <v>NA</v>
      </c>
      <c r="F1023" t="str">
        <f t="shared" si="16"/>
        <v/>
      </c>
      <c r="G1023" s="5">
        <f ca="1">AVERAGE(D$2:D1022)</f>
        <v>346.6341748179052</v>
      </c>
      <c r="H1023" s="5">
        <f ca="1">PERCENTILE(D$2:D1022,0.025)</f>
        <v>-1.8168147450038907</v>
      </c>
      <c r="I1023" s="5">
        <f ca="1">PERCENTILE(D$2:D1022,0.165)</f>
        <v>11.771294003749075</v>
      </c>
      <c r="J1023" s="5">
        <f ca="1">PERCENTILE(D$2:D1022,0.5)</f>
        <v>56.968588909084552</v>
      </c>
      <c r="K1023" s="5">
        <f ca="1">PERCENTILE(D$2:D1022,0.835)</f>
        <v>262.27944629921245</v>
      </c>
      <c r="L1023" s="5">
        <f ca="1">PERCENTILE(D$2:D1022,0.975)</f>
        <v>1463</v>
      </c>
      <c r="M1023" s="7">
        <f>AVERAGE(E$2:E1022)</f>
        <v>1.2305237515225349</v>
      </c>
      <c r="N1023" s="7">
        <f>PERCENTILE($E$2:$E1022,0.025)</f>
        <v>-1.1000000000000001</v>
      </c>
      <c r="O1023" s="7">
        <f>PERCENTILE($E$2:$E1022,0.165)</f>
        <v>0</v>
      </c>
      <c r="P1023" s="7">
        <f>PERCENTILE($E$2:$E1022,0.5)</f>
        <v>1</v>
      </c>
      <c r="Q1023" s="7">
        <f>PERCENTILE($E$2:$E1022,0.835)</f>
        <v>3</v>
      </c>
      <c r="R1023" s="7">
        <f>PERCENTILE($E$2:$E1022,0.975)</f>
        <v>3</v>
      </c>
    </row>
    <row r="1024" spans="1:18" x14ac:dyDescent="0.2">
      <c r="A1024" s="5">
        <f>Data!E984</f>
        <v>2014</v>
      </c>
      <c r="B1024" s="5">
        <f>Data!M984</f>
        <v>0.22857142857142856</v>
      </c>
      <c r="C1024" s="5">
        <f>Data!N984</f>
        <v>3.5714285714285712E-2</v>
      </c>
      <c r="D1024" s="5">
        <f ca="1">Data!O984</f>
        <v>72.160212618173773</v>
      </c>
      <c r="E1024" s="1" t="str">
        <f>Data!AQ984</f>
        <v>NA</v>
      </c>
      <c r="F1024" t="str">
        <f t="shared" si="16"/>
        <v/>
      </c>
      <c r="G1024" s="5">
        <f ca="1">AVERAGE(D$2:D1023)</f>
        <v>346.3841900502307</v>
      </c>
      <c r="H1024" s="5">
        <f ca="1">PERCENTILE(D$2:D1023,0.025)</f>
        <v>-1.7995911234369619</v>
      </c>
      <c r="I1024" s="5">
        <f ca="1">PERCENTILE(D$2:D1023,0.165)</f>
        <v>11.794803577804412</v>
      </c>
      <c r="J1024" s="5">
        <f ca="1">PERCENTILE(D$2:D1023,0.5)</f>
        <v>57.258640442276999</v>
      </c>
      <c r="K1024" s="5">
        <f ca="1">PERCENTILE(D$2:D1023,0.835)</f>
        <v>261.87881105511804</v>
      </c>
      <c r="L1024" s="5">
        <f ca="1">PERCENTILE(D$2:D1023,0.975)</f>
        <v>1461.1500000000017</v>
      </c>
      <c r="M1024" s="7">
        <f>AVERAGE(E$2:E1023)</f>
        <v>1.2305237515225349</v>
      </c>
      <c r="N1024" s="7">
        <f>PERCENTILE($E$2:$E1023,0.025)</f>
        <v>-1.1000000000000001</v>
      </c>
      <c r="O1024" s="7">
        <f>PERCENTILE($E$2:$E1023,0.165)</f>
        <v>0</v>
      </c>
      <c r="P1024" s="7">
        <f>PERCENTILE($E$2:$E1023,0.5)</f>
        <v>1</v>
      </c>
      <c r="Q1024" s="7">
        <f>PERCENTILE($E$2:$E1023,0.835)</f>
        <v>3</v>
      </c>
      <c r="R1024" s="7">
        <f>PERCENTILE($E$2:$E1023,0.975)</f>
        <v>3</v>
      </c>
    </row>
    <row r="1025" spans="1:18" x14ac:dyDescent="0.2">
      <c r="A1025" s="5">
        <f>Data!E985</f>
        <v>2014</v>
      </c>
      <c r="B1025" s="5">
        <f>Data!M985</f>
        <v>0.11428571428571428</v>
      </c>
      <c r="C1025" s="5">
        <f>Data!N985</f>
        <v>1.7857142857142856E-2</v>
      </c>
      <c r="D1025" s="5">
        <f ca="1">Data!O985</f>
        <v>5677.8693612720936</v>
      </c>
      <c r="E1025" s="1" t="str">
        <f>Data!AQ985</f>
        <v>NA</v>
      </c>
      <c r="F1025" t="str">
        <f t="shared" si="16"/>
        <v/>
      </c>
      <c r="G1025" s="5">
        <f ca="1">AVERAGE(D$2:D1024)</f>
        <v>346.11613142126481</v>
      </c>
      <c r="H1025" s="5">
        <f ca="1">PERCENTILE(D$2:D1024,0.025)</f>
        <v>-1.7823675018700356</v>
      </c>
      <c r="I1025" s="5">
        <f ca="1">PERCENTILE(D$2:D1024,0.165)</f>
        <v>11.818313151859751</v>
      </c>
      <c r="J1025" s="5">
        <f ca="1">PERCENTILE(D$2:D1024,0.5)</f>
        <v>57.548691975469445</v>
      </c>
      <c r="K1025" s="5">
        <f ca="1">PERCENTILE(D$2:D1024,0.835)</f>
        <v>261.47817581102362</v>
      </c>
      <c r="L1025" s="5">
        <f ca="1">PERCENTILE(D$2:D1024,0.975)</f>
        <v>1459.299999999995</v>
      </c>
      <c r="M1025" s="7">
        <f>AVERAGE(E$2:E1024)</f>
        <v>1.2305237515225349</v>
      </c>
      <c r="N1025" s="7">
        <f>PERCENTILE($E$2:$E1024,0.025)</f>
        <v>-1.1000000000000001</v>
      </c>
      <c r="O1025" s="7">
        <f>PERCENTILE($E$2:$E1024,0.165)</f>
        <v>0</v>
      </c>
      <c r="P1025" s="7">
        <f>PERCENTILE($E$2:$E1024,0.5)</f>
        <v>1</v>
      </c>
      <c r="Q1025" s="7">
        <f>PERCENTILE($E$2:$E1024,0.835)</f>
        <v>3</v>
      </c>
      <c r="R1025" s="7">
        <f>PERCENTILE($E$2:$E1024,0.975)</f>
        <v>3</v>
      </c>
    </row>
    <row r="1026" spans="1:18" x14ac:dyDescent="0.2">
      <c r="A1026" s="5">
        <f>Data!E986</f>
        <v>2014</v>
      </c>
      <c r="B1026" s="5">
        <f>Data!M986</f>
        <v>0.11428571428571428</v>
      </c>
      <c r="C1026" s="5">
        <f>Data!N986</f>
        <v>1.7857142857142856E-2</v>
      </c>
      <c r="D1026" s="5">
        <f ca="1">Data!O986</f>
        <v>3972.6095999268291</v>
      </c>
      <c r="E1026" s="1" t="str">
        <f>Data!AQ986</f>
        <v>NA</v>
      </c>
      <c r="F1026" t="str">
        <f t="shared" si="16"/>
        <v/>
      </c>
      <c r="G1026" s="5">
        <f ca="1">AVERAGE(D$2:D1025)</f>
        <v>351.32292168479103</v>
      </c>
      <c r="H1026" s="5">
        <f ca="1">PERCENTILE(D$2:D1025,0.025)</f>
        <v>-1.765143880303107</v>
      </c>
      <c r="I1026" s="5">
        <f ca="1">PERCENTILE(D$2:D1025,0.165)</f>
        <v>11.841822725915092</v>
      </c>
      <c r="J1026" s="5">
        <f ca="1">PERCENTILE(D$2:D1025,0.5)</f>
        <v>57.629087894996317</v>
      </c>
      <c r="K1026" s="5">
        <f ca="1">PERCENTILE(D$2:D1025,0.835)</f>
        <v>263.41625984251954</v>
      </c>
      <c r="L1026" s="5">
        <f ca="1">PERCENTILE(D$2:D1025,0.975)</f>
        <v>1516.1383005654873</v>
      </c>
      <c r="M1026" s="7">
        <f>AVERAGE(E$2:E1025)</f>
        <v>1.2305237515225349</v>
      </c>
      <c r="N1026" s="7">
        <f>PERCENTILE($E$2:$E1025,0.025)</f>
        <v>-1.1000000000000001</v>
      </c>
      <c r="O1026" s="7">
        <f>PERCENTILE($E$2:$E1025,0.165)</f>
        <v>0</v>
      </c>
      <c r="P1026" s="7">
        <f>PERCENTILE($E$2:$E1025,0.5)</f>
        <v>1</v>
      </c>
      <c r="Q1026" s="7">
        <f>PERCENTILE($E$2:$E1025,0.835)</f>
        <v>3</v>
      </c>
      <c r="R1026" s="7">
        <f>PERCENTILE($E$2:$E1025,0.975)</f>
        <v>3</v>
      </c>
    </row>
    <row r="1027" spans="1:18" x14ac:dyDescent="0.2">
      <c r="A1027" s="5">
        <f>Data!E987</f>
        <v>2014</v>
      </c>
      <c r="B1027" s="5">
        <f>Data!M987</f>
        <v>0.11428571428571428</v>
      </c>
      <c r="C1027" s="5">
        <f>Data!N987</f>
        <v>1.7857142857142856E-2</v>
      </c>
      <c r="D1027" s="5">
        <f ca="1">Data!O987</f>
        <v>748.18746767264383</v>
      </c>
      <c r="E1027" s="1" t="str">
        <f>Data!AQ987</f>
        <v>NA</v>
      </c>
      <c r="F1027" t="str">
        <f t="shared" si="16"/>
        <v/>
      </c>
      <c r="G1027" s="5">
        <f ca="1">AVERAGE(D$2:D1026)</f>
        <v>354.85588429771013</v>
      </c>
      <c r="H1027" s="5">
        <f ca="1">PERCENTILE(D$2:D1026,0.025)</f>
        <v>-1.7479202587361806</v>
      </c>
      <c r="I1027" s="5">
        <f ca="1">PERCENTILE(D$2:D1026,0.165)</f>
        <v>11.865332299970431</v>
      </c>
      <c r="J1027" s="5">
        <f ca="1">PERCENTILE(D$2:D1026,0.5)</f>
        <v>57.709483814523189</v>
      </c>
      <c r="K1027" s="5">
        <f ca="1">PERCENTILE(D$2:D1026,0.835)</f>
        <v>265.09895817714334</v>
      </c>
      <c r="L1027" s="5">
        <f ca="1">PERCENTILE(D$2:D1026,0.975)</f>
        <v>1551.7167047075714</v>
      </c>
      <c r="M1027" s="7">
        <f>AVERAGE(E$2:E1026)</f>
        <v>1.2305237515225349</v>
      </c>
      <c r="N1027" s="7">
        <f>PERCENTILE($E$2:$E1026,0.025)</f>
        <v>-1.1000000000000001</v>
      </c>
      <c r="O1027" s="7">
        <f>PERCENTILE($E$2:$E1026,0.165)</f>
        <v>0</v>
      </c>
      <c r="P1027" s="7">
        <f>PERCENTILE($E$2:$E1026,0.5)</f>
        <v>1</v>
      </c>
      <c r="Q1027" s="7">
        <f>PERCENTILE($E$2:$E1026,0.835)</f>
        <v>3</v>
      </c>
      <c r="R1027" s="7">
        <f>PERCENTILE($E$2:$E1026,0.975)</f>
        <v>3</v>
      </c>
    </row>
    <row r="1028" spans="1:18" x14ac:dyDescent="0.2">
      <c r="A1028" s="5">
        <f>Data!E988</f>
        <v>2014</v>
      </c>
      <c r="B1028" s="5">
        <f>Data!M988</f>
        <v>0.11428571428571428</v>
      </c>
      <c r="C1028" s="5">
        <f>Data!N988</f>
        <v>1.7857142857142856E-2</v>
      </c>
      <c r="D1028" s="5">
        <f ca="1">Data!O988</f>
        <v>125.33089559998602</v>
      </c>
      <c r="E1028" s="1" t="str">
        <f>Data!AQ988</f>
        <v>NA</v>
      </c>
      <c r="F1028" t="str">
        <f t="shared" si="16"/>
        <v/>
      </c>
      <c r="G1028" s="5">
        <f ca="1">AVERAGE(D$2:D1027)</f>
        <v>355.23924841405994</v>
      </c>
      <c r="H1028" s="5">
        <f ca="1">PERCENTILE(D$2:D1027,0.025)</f>
        <v>-1.7306966371692543</v>
      </c>
      <c r="I1028" s="5">
        <f ca="1">PERCENTILE(D$2:D1027,0.165)</f>
        <v>11.887110873769712</v>
      </c>
      <c r="J1028" s="5">
        <f ca="1">PERCENTILE(D$2:D1027,0.5)</f>
        <v>57.737816484167467</v>
      </c>
      <c r="K1028" s="5">
        <f ca="1">PERCENTILE(D$2:D1027,0.835)</f>
        <v>267.16471012501279</v>
      </c>
      <c r="L1028" s="5">
        <f ca="1">PERCENTILE(D$2:D1027,0.975)</f>
        <v>1550.8576901582737</v>
      </c>
      <c r="M1028" s="7">
        <f>AVERAGE(E$2:E1027)</f>
        <v>1.2305237515225349</v>
      </c>
      <c r="N1028" s="7">
        <f>PERCENTILE($E$2:$E1027,0.025)</f>
        <v>-1.1000000000000001</v>
      </c>
      <c r="O1028" s="7">
        <f>PERCENTILE($E$2:$E1027,0.165)</f>
        <v>0</v>
      </c>
      <c r="P1028" s="7">
        <f>PERCENTILE($E$2:$E1027,0.5)</f>
        <v>1</v>
      </c>
      <c r="Q1028" s="7">
        <f>PERCENTILE($E$2:$E1027,0.835)</f>
        <v>3</v>
      </c>
      <c r="R1028" s="7">
        <f>PERCENTILE($E$2:$E1027,0.975)</f>
        <v>3</v>
      </c>
    </row>
    <row r="1029" spans="1:18" x14ac:dyDescent="0.2">
      <c r="A1029" s="5">
        <f>Data!E1012</f>
        <v>2014</v>
      </c>
      <c r="B1029" s="5">
        <f>Data!M1012</f>
        <v>0.21142857142857144</v>
      </c>
      <c r="C1029" s="5">
        <f>Data!N1012</f>
        <v>2.8571428571428571E-2</v>
      </c>
      <c r="D1029" s="5">
        <f ca="1">Data!O1012</f>
        <v>50.08263828046384</v>
      </c>
      <c r="E1029" s="1">
        <f>Data!AQ1012</f>
        <v>1</v>
      </c>
      <c r="F1029" t="str">
        <f t="shared" si="16"/>
        <v/>
      </c>
      <c r="G1029" s="5">
        <f ca="1">AVERAGE(D$2:D1028)</f>
        <v>355.0153843898982</v>
      </c>
      <c r="H1029" s="5">
        <f ca="1">PERCENTILE(D$2:D1028,0.025)</f>
        <v>-1.7134730156023257</v>
      </c>
      <c r="I1029" s="5">
        <f ca="1">PERCENTILE(D$2:D1028,0.165)</f>
        <v>11.908335527487059</v>
      </c>
      <c r="J1029" s="5">
        <f ca="1">PERCENTILE(D$2:D1028,0.5)</f>
        <v>57.766149153811739</v>
      </c>
      <c r="K1029" s="5">
        <f ca="1">PERCENTILE(D$2:D1028,0.835)</f>
        <v>266.75650764429588</v>
      </c>
      <c r="L1029" s="5">
        <f ca="1">PERCENTILE(D$2:D1028,0.975)</f>
        <v>1549.9986756089761</v>
      </c>
      <c r="M1029" s="7">
        <f>AVERAGE(E$2:E1028)</f>
        <v>1.2305237515225349</v>
      </c>
      <c r="N1029" s="7">
        <f>PERCENTILE($E$2:$E1028,0.025)</f>
        <v>-1.1000000000000001</v>
      </c>
      <c r="O1029" s="7">
        <f>PERCENTILE($E$2:$E1028,0.165)</f>
        <v>0</v>
      </c>
      <c r="P1029" s="7">
        <f>PERCENTILE($E$2:$E1028,0.5)</f>
        <v>1</v>
      </c>
      <c r="Q1029" s="7">
        <f>PERCENTILE($E$2:$E1028,0.835)</f>
        <v>3</v>
      </c>
      <c r="R1029" s="7">
        <f>PERCENTILE($E$2:$E1028,0.975)</f>
        <v>3</v>
      </c>
    </row>
    <row r="1030" spans="1:18" x14ac:dyDescent="0.2">
      <c r="A1030" s="5">
        <f>Data!E1013</f>
        <v>2014</v>
      </c>
      <c r="B1030" s="5">
        <f>Data!M1013</f>
        <v>0.21142857142857144</v>
      </c>
      <c r="C1030" s="5">
        <f>Data!N1013</f>
        <v>2.8571428571428571E-2</v>
      </c>
      <c r="D1030" s="5">
        <f ca="1">Data!O1013</f>
        <v>160.97990875863374</v>
      </c>
      <c r="E1030" s="1">
        <f>Data!AQ1013</f>
        <v>0.1</v>
      </c>
      <c r="F1030" t="str">
        <f t="shared" si="16"/>
        <v/>
      </c>
      <c r="G1030" s="5">
        <f ca="1">AVERAGE(D$2:D1029)</f>
        <v>354.71875720496683</v>
      </c>
      <c r="H1030" s="5">
        <f ca="1">PERCENTILE(D$2:D1029,0.025)</f>
        <v>-1.6962493940353993</v>
      </c>
      <c r="I1030" s="5">
        <f ca="1">PERCENTILE(D$2:D1029,0.165)</f>
        <v>11.929560181204405</v>
      </c>
      <c r="J1030" s="5">
        <f ca="1">PERCENTILE(D$2:D1029,0.5)</f>
        <v>57.737816484167467</v>
      </c>
      <c r="K1030" s="5">
        <f ca="1">PERCENTILE(D$2:D1029,0.835)</f>
        <v>266.34830516357925</v>
      </c>
      <c r="L1030" s="5">
        <f ca="1">PERCENTILE(D$2:D1029,0.975)</f>
        <v>1549.1396610596746</v>
      </c>
      <c r="M1030" s="7">
        <f>AVERAGE(E$2:E1029)</f>
        <v>1.2302433090024345</v>
      </c>
      <c r="N1030" s="7">
        <f>PERCENTILE($E$2:$E1029,0.025)</f>
        <v>-1.1000000000000001</v>
      </c>
      <c r="O1030" s="7">
        <f>PERCENTILE($E$2:$E1029,0.165)</f>
        <v>0</v>
      </c>
      <c r="P1030" s="7">
        <f>PERCENTILE($E$2:$E1029,0.5)</f>
        <v>1</v>
      </c>
      <c r="Q1030" s="7">
        <f>PERCENTILE($E$2:$E1029,0.835)</f>
        <v>3</v>
      </c>
      <c r="R1030" s="7">
        <f>PERCENTILE($E$2:$E1029,0.975)</f>
        <v>3</v>
      </c>
    </row>
    <row r="1031" spans="1:18" x14ac:dyDescent="0.2">
      <c r="A1031" s="5">
        <f>Data!E1014</f>
        <v>2014</v>
      </c>
      <c r="B1031" s="5">
        <f>Data!M1014</f>
        <v>0.21142857142857144</v>
      </c>
      <c r="C1031" s="5">
        <f>Data!N1014</f>
        <v>2.8571428571428571E-2</v>
      </c>
      <c r="D1031" s="5">
        <f ca="1">Data!O1014</f>
        <v>121.62926439541219</v>
      </c>
      <c r="E1031" s="1">
        <f>Data!AQ1014</f>
        <v>1</v>
      </c>
      <c r="F1031" t="str">
        <f t="shared" si="16"/>
        <v/>
      </c>
      <c r="G1031" s="5">
        <f ca="1">AVERAGE(D$2:D1030)</f>
        <v>354.53047844068476</v>
      </c>
      <c r="H1031" s="5">
        <f ca="1">PERCENTILE(D$2:D1030,0.025)</f>
        <v>-1.6790257724684705</v>
      </c>
      <c r="I1031" s="5">
        <f ca="1">PERCENTILE(D$2:D1030,0.165)</f>
        <v>11.950784834921748</v>
      </c>
      <c r="J1031" s="5">
        <f ca="1">PERCENTILE(D$2:D1030,0.5)</f>
        <v>57.766149153811739</v>
      </c>
      <c r="K1031" s="5">
        <f ca="1">PERCENTILE(D$2:D1030,0.835)</f>
        <v>265.94010268286269</v>
      </c>
      <c r="L1031" s="5">
        <f ca="1">PERCENTILE(D$2:D1030,0.975)</f>
        <v>1548.280646510377</v>
      </c>
      <c r="M1031" s="7">
        <f>AVERAGE(E$2:E1030)</f>
        <v>1.2288699878493332</v>
      </c>
      <c r="N1031" s="7">
        <f>PERCENTILE($E$2:$E1030,0.025)</f>
        <v>-1.1000000000000001</v>
      </c>
      <c r="O1031" s="7">
        <f>PERCENTILE($E$2:$E1030,0.165)</f>
        <v>0</v>
      </c>
      <c r="P1031" s="7">
        <f>PERCENTILE($E$2:$E1030,0.5)</f>
        <v>1</v>
      </c>
      <c r="Q1031" s="7">
        <f>PERCENTILE($E$2:$E1030,0.835)</f>
        <v>3</v>
      </c>
      <c r="R1031" s="7">
        <f>PERCENTILE($E$2:$E1030,0.975)</f>
        <v>3</v>
      </c>
    </row>
    <row r="1032" spans="1:18" x14ac:dyDescent="0.2">
      <c r="A1032" s="5">
        <f>Data!E1015</f>
        <v>2014</v>
      </c>
      <c r="B1032" s="5">
        <f>Data!M1015</f>
        <v>0.21142857142857144</v>
      </c>
      <c r="C1032" s="5">
        <f>Data!N1015</f>
        <v>2.8571428571428571E-2</v>
      </c>
      <c r="D1032" s="5">
        <f ca="1">Data!O1015</f>
        <v>454.32107582992194</v>
      </c>
      <c r="E1032" s="1">
        <f>Data!AQ1015</f>
        <v>0.1</v>
      </c>
      <c r="F1032" t="str">
        <f t="shared" si="16"/>
        <v/>
      </c>
      <c r="G1032" s="5">
        <f ca="1">AVERAGE(D$2:D1031)</f>
        <v>354.30436075714562</v>
      </c>
      <c r="H1032" s="5">
        <f ca="1">PERCENTILE(D$2:D1031,0.025)</f>
        <v>-1.6618021509015442</v>
      </c>
      <c r="I1032" s="5">
        <f ca="1">PERCENTILE(D$2:D1031,0.165)</f>
        <v>11.972009488639092</v>
      </c>
      <c r="J1032" s="5">
        <f ca="1">PERCENTILE(D$2:D1031,0.5)</f>
        <v>57.804084309618005</v>
      </c>
      <c r="K1032" s="5">
        <f ca="1">PERCENTILE(D$2:D1031,0.835)</f>
        <v>265.53190020214578</v>
      </c>
      <c r="L1032" s="5">
        <f ca="1">PERCENTILE(D$2:D1031,0.975)</f>
        <v>1547.4216319610794</v>
      </c>
      <c r="M1032" s="7">
        <f>AVERAGE(E$2:E1031)</f>
        <v>1.2285922330097101</v>
      </c>
      <c r="N1032" s="7">
        <f>PERCENTILE($E$2:$E1031,0.025)</f>
        <v>-1.1000000000000001</v>
      </c>
      <c r="O1032" s="7">
        <f>PERCENTILE($E$2:$E1031,0.165)</f>
        <v>0</v>
      </c>
      <c r="P1032" s="7">
        <f>PERCENTILE($E$2:$E1031,0.5)</f>
        <v>1</v>
      </c>
      <c r="Q1032" s="7">
        <f>PERCENTILE($E$2:$E1031,0.835)</f>
        <v>3</v>
      </c>
      <c r="R1032" s="7">
        <f>PERCENTILE($E$2:$E1031,0.975)</f>
        <v>3</v>
      </c>
    </row>
    <row r="1033" spans="1:18" x14ac:dyDescent="0.2">
      <c r="A1033" s="5">
        <f>Data!E1016</f>
        <v>2014</v>
      </c>
      <c r="B1033" s="5">
        <f>Data!M1016</f>
        <v>0.21142857142857144</v>
      </c>
      <c r="C1033" s="5">
        <f>Data!N1016</f>
        <v>2.8571428571428571E-2</v>
      </c>
      <c r="D1033" s="5">
        <f ca="1">Data!O1016</f>
        <v>71.546626114948339</v>
      </c>
      <c r="E1033" s="1">
        <f>Data!AQ1016</f>
        <v>3</v>
      </c>
      <c r="F1033" t="str">
        <f t="shared" si="16"/>
        <v/>
      </c>
      <c r="G1033" s="5">
        <f ca="1">AVERAGE(D$2:D1032)</f>
        <v>354.4013701801066</v>
      </c>
      <c r="H1033" s="5">
        <f ca="1">PERCENTILE(D$2:D1032,0.025)</f>
        <v>-1.644578529334618</v>
      </c>
      <c r="I1033" s="5">
        <f ca="1">PERCENTILE(D$2:D1032,0.165)</f>
        <v>11.993234142356439</v>
      </c>
      <c r="J1033" s="5">
        <f ca="1">PERCENTILE(D$2:D1032,0.5)</f>
        <v>57.842019465424279</v>
      </c>
      <c r="K1033" s="5">
        <f ca="1">PERCENTILE(D$2:D1032,0.835)</f>
        <v>267.71224064307279</v>
      </c>
      <c r="L1033" s="5">
        <f ca="1">PERCENTILE(D$2:D1032,0.975)</f>
        <v>1546.5626174117817</v>
      </c>
      <c r="M1033" s="7">
        <f>AVERAGE(E$2:E1032)</f>
        <v>1.2272242424242439</v>
      </c>
      <c r="N1033" s="7">
        <f>PERCENTILE($E$2:$E1032,0.025)</f>
        <v>-1.1000000000000001</v>
      </c>
      <c r="O1033" s="7">
        <f>PERCENTILE($E$2:$E1032,0.165)</f>
        <v>0</v>
      </c>
      <c r="P1033" s="7">
        <f>PERCENTILE($E$2:$E1032,0.5)</f>
        <v>1</v>
      </c>
      <c r="Q1033" s="7">
        <f>PERCENTILE($E$2:$E1032,0.835)</f>
        <v>3</v>
      </c>
      <c r="R1033" s="7">
        <f>PERCENTILE($E$2:$E1032,0.975)</f>
        <v>3</v>
      </c>
    </row>
    <row r="1034" spans="1:18" x14ac:dyDescent="0.2">
      <c r="A1034" s="5">
        <f>Data!E1017</f>
        <v>2014</v>
      </c>
      <c r="B1034" s="5">
        <f>Data!M1017</f>
        <v>0.21142857142857144</v>
      </c>
      <c r="C1034" s="5">
        <f>Data!N1017</f>
        <v>2.8571428571428571E-2</v>
      </c>
      <c r="D1034" s="5">
        <f ca="1">Data!O1017</f>
        <v>64.39196350345351</v>
      </c>
      <c r="E1034" s="1">
        <f>Data!AQ1017</f>
        <v>1</v>
      </c>
      <c r="F1034" t="str">
        <f t="shared" si="16"/>
        <v/>
      </c>
      <c r="G1034" s="5">
        <f ca="1">AVERAGE(D$2:D1033)</f>
        <v>354.12728612577985</v>
      </c>
      <c r="H1034" s="5">
        <f ca="1">PERCENTILE(D$2:D1033,0.025)</f>
        <v>-1.627354907767689</v>
      </c>
      <c r="I1034" s="5">
        <f ca="1">PERCENTILE(D$2:D1033,0.165)</f>
        <v>11.999704282209644</v>
      </c>
      <c r="J1034" s="5">
        <f ca="1">PERCENTILE(D$2:D1033,0.5)</f>
        <v>58.015260183475704</v>
      </c>
      <c r="K1034" s="5">
        <f ca="1">PERCENTILE(D$2:D1033,0.835)</f>
        <v>267.1894496692986</v>
      </c>
      <c r="L1034" s="5">
        <f ca="1">PERCENTILE(D$2:D1033,0.975)</f>
        <v>1545.7036028624841</v>
      </c>
      <c r="M1034" s="7">
        <f>AVERAGE(E$2:E1033)</f>
        <v>1.2293704600484276</v>
      </c>
      <c r="N1034" s="7">
        <f>PERCENTILE($E$2:$E1033,0.025)</f>
        <v>-1.1000000000000001</v>
      </c>
      <c r="O1034" s="7">
        <f>PERCENTILE($E$2:$E1033,0.165)</f>
        <v>0</v>
      </c>
      <c r="P1034" s="7">
        <f>PERCENTILE($E$2:$E1033,0.5)</f>
        <v>1</v>
      </c>
      <c r="Q1034" s="7">
        <f>PERCENTILE($E$2:$E1033,0.835)</f>
        <v>3</v>
      </c>
      <c r="R1034" s="7">
        <f>PERCENTILE($E$2:$E1033,0.975)</f>
        <v>3</v>
      </c>
    </row>
    <row r="1035" spans="1:18" x14ac:dyDescent="0.2">
      <c r="A1035" s="5">
        <f>Data!E1018</f>
        <v>2014</v>
      </c>
      <c r="B1035" s="5">
        <f>Data!M1018</f>
        <v>0.21142857142857144</v>
      </c>
      <c r="C1035" s="5">
        <f>Data!N1018</f>
        <v>2.8571428571428571E-2</v>
      </c>
      <c r="D1035" s="5">
        <f ca="1">Data!O1018</f>
        <v>214.63987834484502</v>
      </c>
      <c r="E1035" s="1">
        <f>Data!AQ1018</f>
        <v>0.1</v>
      </c>
      <c r="F1035" t="str">
        <f t="shared" si="16"/>
        <v/>
      </c>
      <c r="G1035" s="5">
        <f ca="1">AVERAGE(D$2:D1034)</f>
        <v>353.84680662662947</v>
      </c>
      <c r="H1035" s="5">
        <f ca="1">PERCENTILE(D$2:D1034,0.025)</f>
        <v>-1.6101312862007628</v>
      </c>
      <c r="I1035" s="5">
        <f ca="1">PERCENTILE(D$2:D1034,0.165)</f>
        <v>11.999759416034964</v>
      </c>
      <c r="J1035" s="5">
        <f ca="1">PERCENTILE(D$2:D1034,0.5)</f>
        <v>58.188500901527128</v>
      </c>
      <c r="K1035" s="5">
        <f ca="1">PERCENTILE(D$2:D1034,0.835)</f>
        <v>266.78124718858169</v>
      </c>
      <c r="L1035" s="5">
        <f ca="1">PERCENTILE(D$2:D1034,0.975)</f>
        <v>1544.8445883131826</v>
      </c>
      <c r="M1035" s="7">
        <f>AVERAGE(E$2:E1034)</f>
        <v>1.2290931076178975</v>
      </c>
      <c r="N1035" s="7">
        <f>PERCENTILE($E$2:$E1034,0.025)</f>
        <v>-1.1000000000000001</v>
      </c>
      <c r="O1035" s="7">
        <f>PERCENTILE($E$2:$E1034,0.165)</f>
        <v>0</v>
      </c>
      <c r="P1035" s="7">
        <f>PERCENTILE($E$2:$E1034,0.5)</f>
        <v>1</v>
      </c>
      <c r="Q1035" s="7">
        <f>PERCENTILE($E$2:$E1034,0.835)</f>
        <v>3</v>
      </c>
      <c r="R1035" s="7">
        <f>PERCENTILE($E$2:$E1034,0.975)</f>
        <v>3</v>
      </c>
    </row>
    <row r="1036" spans="1:18" x14ac:dyDescent="0.2">
      <c r="A1036" s="5">
        <f>Data!E1019</f>
        <v>2014</v>
      </c>
      <c r="B1036" s="5">
        <f>Data!M1019</f>
        <v>0.21142857142857144</v>
      </c>
      <c r="C1036" s="5">
        <f>Data!N1019</f>
        <v>2.8571428571428571E-2</v>
      </c>
      <c r="D1036" s="5">
        <f ca="1">Data!O1019</f>
        <v>132.3612583126544</v>
      </c>
      <c r="E1036" s="1">
        <f>Data!AQ1019</f>
        <v>1</v>
      </c>
      <c r="F1036" t="str">
        <f t="shared" si="16"/>
        <v/>
      </c>
      <c r="G1036" s="5">
        <f ca="1">AVERAGE(D$2:D1035)</f>
        <v>353.712177102179</v>
      </c>
      <c r="H1036" s="5">
        <f ca="1">PERCENTILE(D$2:D1035,0.025)</f>
        <v>-1.592907664633834</v>
      </c>
      <c r="I1036" s="5">
        <f ca="1">PERCENTILE(D$2:D1035,0.165)</f>
        <v>11.999814549860286</v>
      </c>
      <c r="J1036" s="5">
        <f ca="1">PERCENTILE(D$2:D1035,0.5)</f>
        <v>58.211308193545719</v>
      </c>
      <c r="K1036" s="5">
        <f ca="1">PERCENTILE(D$2:D1035,0.835)</f>
        <v>266.37304470786512</v>
      </c>
      <c r="L1036" s="5">
        <f ca="1">PERCENTILE(D$2:D1035,0.975)</f>
        <v>1543.985573763885</v>
      </c>
      <c r="M1036" s="7">
        <f>AVERAGE(E$2:E1035)</f>
        <v>1.2277294685990352</v>
      </c>
      <c r="N1036" s="7">
        <f>PERCENTILE($E$2:$E1035,0.025)</f>
        <v>-1.1000000000000001</v>
      </c>
      <c r="O1036" s="7">
        <f>PERCENTILE($E$2:$E1035,0.165)</f>
        <v>0</v>
      </c>
      <c r="P1036" s="7">
        <f>PERCENTILE($E$2:$E1035,0.5)</f>
        <v>1</v>
      </c>
      <c r="Q1036" s="7">
        <f>PERCENTILE($E$2:$E1035,0.835)</f>
        <v>3</v>
      </c>
      <c r="R1036" s="7">
        <f>PERCENTILE($E$2:$E1035,0.975)</f>
        <v>3</v>
      </c>
    </row>
    <row r="1037" spans="1:18" x14ac:dyDescent="0.2">
      <c r="A1037" s="5">
        <f>Data!E1020</f>
        <v>2014</v>
      </c>
      <c r="B1037" s="5">
        <f>Data!M1020</f>
        <v>0.21142857142857144</v>
      </c>
      <c r="C1037" s="5">
        <f>Data!N1020</f>
        <v>2.8571428571428571E-2</v>
      </c>
      <c r="D1037" s="5">
        <f ca="1">Data!O1020</f>
        <v>500.8263828046384</v>
      </c>
      <c r="E1037" s="1">
        <f>Data!AQ1020</f>
        <v>0.1</v>
      </c>
      <c r="F1037" t="str">
        <f t="shared" ref="F1037:F1100" si="17">IF(A1037&lt;&gt;A1036,A1037,"")</f>
        <v/>
      </c>
      <c r="G1037" s="5">
        <f ca="1">AVERAGE(D$2:D1036)</f>
        <v>353.49831148016017</v>
      </c>
      <c r="H1037" s="5">
        <f ca="1">PERCENTILE(D$2:D1036,0.025)</f>
        <v>-1.5756840430669077</v>
      </c>
      <c r="I1037" s="5">
        <f ca="1">PERCENTILE(D$2:D1036,0.165)</f>
        <v>11.999869683685606</v>
      </c>
      <c r="J1037" s="5">
        <f ca="1">PERCENTILE(D$2:D1036,0.5)</f>
        <v>58.23411548556431</v>
      </c>
      <c r="K1037" s="5">
        <f ca="1">PERCENTILE(D$2:D1036,0.835)</f>
        <v>265.96484222714849</v>
      </c>
      <c r="L1037" s="5">
        <f ca="1">PERCENTILE(D$2:D1036,0.975)</f>
        <v>1543.1265592145874</v>
      </c>
      <c r="M1037" s="7">
        <f>AVERAGE(E$2:E1036)</f>
        <v>1.227454764776841</v>
      </c>
      <c r="N1037" s="7">
        <f>PERCENTILE($E$2:$E1036,0.025)</f>
        <v>-1.1000000000000001</v>
      </c>
      <c r="O1037" s="7">
        <f>PERCENTILE($E$2:$E1036,0.165)</f>
        <v>0</v>
      </c>
      <c r="P1037" s="7">
        <f>PERCENTILE($E$2:$E1036,0.5)</f>
        <v>1</v>
      </c>
      <c r="Q1037" s="7">
        <f>PERCENTILE($E$2:$E1036,0.835)</f>
        <v>3</v>
      </c>
      <c r="R1037" s="7">
        <f>PERCENTILE($E$2:$E1036,0.975)</f>
        <v>3</v>
      </c>
    </row>
    <row r="1038" spans="1:18" x14ac:dyDescent="0.2">
      <c r="A1038" s="5">
        <f>Data!E1021</f>
        <v>2014</v>
      </c>
      <c r="B1038" s="5">
        <f>Data!M1021</f>
        <v>0.21142857142857144</v>
      </c>
      <c r="C1038" s="5">
        <f>Data!N1021</f>
        <v>2.8571428571428571E-2</v>
      </c>
      <c r="D1038" s="5">
        <f ca="1">Data!O1021</f>
        <v>71.546626114948339</v>
      </c>
      <c r="E1038" s="1">
        <f>Data!AQ1021</f>
        <v>3</v>
      </c>
      <c r="F1038" t="str">
        <f t="shared" si="17"/>
        <v/>
      </c>
      <c r="G1038" s="5">
        <f ca="1">AVERAGE(D$2:D1037)</f>
        <v>353.64052004321468</v>
      </c>
      <c r="H1038" s="5">
        <f ca="1">PERCENTILE(D$2:D1037,0.025)</f>
        <v>-1.5584604214999815</v>
      </c>
      <c r="I1038" s="5">
        <f ca="1">PERCENTILE(D$2:D1037,0.165)</f>
        <v>11.999924817510927</v>
      </c>
      <c r="J1038" s="5">
        <f ca="1">PERCENTILE(D$2:D1037,0.5)</f>
        <v>58.319066703265655</v>
      </c>
      <c r="K1038" s="5">
        <f ca="1">PERCENTILE(D$2:D1037,0.835)</f>
        <v>268.54624239377705</v>
      </c>
      <c r="L1038" s="5">
        <f ca="1">PERCENTILE(D$2:D1037,0.975)</f>
        <v>1542.2675446652897</v>
      </c>
      <c r="M1038" s="7">
        <f>AVERAGE(E$2:E1037)</f>
        <v>1.22609638554217</v>
      </c>
      <c r="N1038" s="7">
        <f>PERCENTILE($E$2:$E1037,0.025)</f>
        <v>-1.1000000000000001</v>
      </c>
      <c r="O1038" s="7">
        <f>PERCENTILE($E$2:$E1037,0.165)</f>
        <v>0</v>
      </c>
      <c r="P1038" s="7">
        <f>PERCENTILE($E$2:$E1037,0.5)</f>
        <v>1</v>
      </c>
      <c r="Q1038" s="7">
        <f>PERCENTILE($E$2:$E1037,0.835)</f>
        <v>3</v>
      </c>
      <c r="R1038" s="7">
        <f>PERCENTILE($E$2:$E1037,0.975)</f>
        <v>3</v>
      </c>
    </row>
    <row r="1039" spans="1:18" x14ac:dyDescent="0.2">
      <c r="A1039" s="5">
        <f>Data!E1022</f>
        <v>2014</v>
      </c>
      <c r="B1039" s="5">
        <f>Data!M1022</f>
        <v>0.21142857142857144</v>
      </c>
      <c r="C1039" s="5">
        <f>Data!N1022</f>
        <v>2.8571428571428571E-2</v>
      </c>
      <c r="D1039" s="5">
        <f ca="1">Data!O1022</f>
        <v>64.39196350345351</v>
      </c>
      <c r="E1039" s="1">
        <f>Data!AQ1022</f>
        <v>1</v>
      </c>
      <c r="F1039" t="str">
        <f t="shared" si="17"/>
        <v/>
      </c>
      <c r="G1039" s="5">
        <f ca="1">AVERAGE(D$2:D1038)</f>
        <v>353.36849121589717</v>
      </c>
      <c r="H1039" s="5">
        <f ca="1">PERCENTILE(D$2:D1038,0.025)</f>
        <v>-1.5412367999330527</v>
      </c>
      <c r="I1039" s="5">
        <f ca="1">PERCENTILE(D$2:D1038,0.165)</f>
        <v>11.999979951336247</v>
      </c>
      <c r="J1039" s="5">
        <f ca="1">PERCENTILE(D$2:D1038,0.5)</f>
        <v>58.404017920967</v>
      </c>
      <c r="K1039" s="5">
        <f ca="1">PERCENTILE(D$2:D1038,0.835)</f>
        <v>267.75989788597013</v>
      </c>
      <c r="L1039" s="5">
        <f ca="1">PERCENTILE(D$2:D1038,0.975)</f>
        <v>1541.4085301159921</v>
      </c>
      <c r="M1039" s="7">
        <f>AVERAGE(E$2:E1038)</f>
        <v>1.2282310469314095</v>
      </c>
      <c r="N1039" s="7">
        <f>PERCENTILE($E$2:$E1038,0.025)</f>
        <v>-1.1000000000000001</v>
      </c>
      <c r="O1039" s="7">
        <f>PERCENTILE($E$2:$E1038,0.165)</f>
        <v>0</v>
      </c>
      <c r="P1039" s="7">
        <f>PERCENTILE($E$2:$E1038,0.5)</f>
        <v>1</v>
      </c>
      <c r="Q1039" s="7">
        <f>PERCENTILE($E$2:$E1038,0.835)</f>
        <v>3</v>
      </c>
      <c r="R1039" s="7">
        <f>PERCENTILE($E$2:$E1038,0.975)</f>
        <v>3</v>
      </c>
    </row>
    <row r="1040" spans="1:18" x14ac:dyDescent="0.2">
      <c r="A1040" s="5">
        <f>Data!E1023</f>
        <v>2014</v>
      </c>
      <c r="B1040" s="5">
        <f>Data!M1023</f>
        <v>0.21142857142857144</v>
      </c>
      <c r="C1040" s="5">
        <f>Data!N1023</f>
        <v>2.8571428571428571E-2</v>
      </c>
      <c r="D1040" s="5">
        <f ca="1">Data!O1023</f>
        <v>218.21720965059242</v>
      </c>
      <c r="E1040" s="1">
        <f>Data!AQ1023</f>
        <v>0.1</v>
      </c>
      <c r="F1040" t="str">
        <f t="shared" si="17"/>
        <v/>
      </c>
      <c r="G1040" s="5">
        <f ca="1">AVERAGE(D$2:D1039)</f>
        <v>353.0900937903553</v>
      </c>
      <c r="H1040" s="5">
        <f ca="1">PERCENTILE(D$2:D1039,0.025)</f>
        <v>-1.5240131783661264</v>
      </c>
      <c r="I1040" s="5">
        <f ca="1">PERCENTILE(D$2:D1039,0.165)</f>
        <v>12.012177821928953</v>
      </c>
      <c r="J1040" s="5">
        <f ca="1">PERCENTILE(D$2:D1039,0.5)</f>
        <v>58.442899898459174</v>
      </c>
      <c r="K1040" s="5">
        <f ca="1">PERCENTILE(D$2:D1039,0.835)</f>
        <v>267.21418921358446</v>
      </c>
      <c r="L1040" s="5">
        <f ca="1">PERCENTILE(D$2:D1039,0.975)</f>
        <v>1540.5495155666906</v>
      </c>
      <c r="M1040" s="7">
        <f>AVERAGE(E$2:E1039)</f>
        <v>1.2279567307692323</v>
      </c>
      <c r="N1040" s="7">
        <f>PERCENTILE($E$2:$E1039,0.025)</f>
        <v>-1.1000000000000001</v>
      </c>
      <c r="O1040" s="7">
        <f>PERCENTILE($E$2:$E1039,0.165)</f>
        <v>0</v>
      </c>
      <c r="P1040" s="7">
        <f>PERCENTILE($E$2:$E1039,0.5)</f>
        <v>1</v>
      </c>
      <c r="Q1040" s="7">
        <f>PERCENTILE($E$2:$E1039,0.835)</f>
        <v>3</v>
      </c>
      <c r="R1040" s="7">
        <f>PERCENTILE($E$2:$E1039,0.975)</f>
        <v>3</v>
      </c>
    </row>
    <row r="1041" spans="1:18" x14ac:dyDescent="0.2">
      <c r="A1041" s="5">
        <f>Data!E1024</f>
        <v>2014</v>
      </c>
      <c r="B1041" s="5">
        <f>Data!M1024</f>
        <v>0.21142857142857144</v>
      </c>
      <c r="C1041" s="5">
        <f>Data!N1024</f>
        <v>2.8571428571428571E-2</v>
      </c>
      <c r="D1041" s="5">
        <f ca="1">Data!O1024</f>
        <v>132.3612583126544</v>
      </c>
      <c r="E1041" s="1">
        <f>Data!AQ1024</f>
        <v>1</v>
      </c>
      <c r="F1041" t="str">
        <f t="shared" si="17"/>
        <v/>
      </c>
      <c r="G1041" s="5">
        <f ca="1">AVERAGE(D$2:D1040)</f>
        <v>352.96028350725641</v>
      </c>
      <c r="H1041" s="5">
        <f ca="1">PERCENTILE(D$2:D1040,0.025)</f>
        <v>-1.5067895567991978</v>
      </c>
      <c r="I1041" s="5">
        <f ca="1">PERCENTILE(D$2:D1040,0.165)</f>
        <v>12.031314399245874</v>
      </c>
      <c r="J1041" s="5">
        <f ca="1">PERCENTILE(D$2:D1040,0.5)</f>
        <v>58.481781875951356</v>
      </c>
      <c r="K1041" s="5">
        <f ca="1">PERCENTILE(D$2:D1040,0.835)</f>
        <v>266.80598673286784</v>
      </c>
      <c r="L1041" s="5">
        <f ca="1">PERCENTILE(D$2:D1040,0.975)</f>
        <v>1539.690501017393</v>
      </c>
      <c r="M1041" s="7">
        <f>AVERAGE(E$2:E1040)</f>
        <v>1.2266026410564241</v>
      </c>
      <c r="N1041" s="7">
        <f>PERCENTILE($E$2:$E1040,0.025)</f>
        <v>-1.1000000000000001</v>
      </c>
      <c r="O1041" s="7">
        <f>PERCENTILE($E$2:$E1040,0.165)</f>
        <v>0</v>
      </c>
      <c r="P1041" s="7">
        <f>PERCENTILE($E$2:$E1040,0.5)</f>
        <v>1</v>
      </c>
      <c r="Q1041" s="7">
        <f>PERCENTILE($E$2:$E1040,0.835)</f>
        <v>3</v>
      </c>
      <c r="R1041" s="7">
        <f>PERCENTILE($E$2:$E1040,0.975)</f>
        <v>3</v>
      </c>
    </row>
    <row r="1042" spans="1:18" x14ac:dyDescent="0.2">
      <c r="A1042" s="5">
        <f>Data!E1025</f>
        <v>2014</v>
      </c>
      <c r="B1042" s="5">
        <f>Data!M1025</f>
        <v>0.21142857142857144</v>
      </c>
      <c r="C1042" s="5">
        <f>Data!N1025</f>
        <v>2.8571428571428571E-2</v>
      </c>
      <c r="D1042" s="5">
        <f ca="1">Data!O1025</f>
        <v>504.40371411038575</v>
      </c>
      <c r="E1042" s="1">
        <f>Data!AQ1025</f>
        <v>0.1</v>
      </c>
      <c r="F1042" t="str">
        <f t="shared" si="17"/>
        <v/>
      </c>
      <c r="G1042" s="5">
        <f ca="1">AVERAGE(D$2:D1041)</f>
        <v>352.74816905995391</v>
      </c>
      <c r="H1042" s="5">
        <f ca="1">PERCENTILE(D$2:D1041,0.025)</f>
        <v>-1.4895659352322714</v>
      </c>
      <c r="I1042" s="5">
        <f ca="1">PERCENTILE(D$2:D1041,0.165)</f>
        <v>12.050450976562793</v>
      </c>
      <c r="J1042" s="5">
        <f ca="1">PERCENTILE(D$2:D1041,0.5)</f>
        <v>58.687737211282581</v>
      </c>
      <c r="K1042" s="5">
        <f ca="1">PERCENTILE(D$2:D1041,0.835)</f>
        <v>266.39778425215093</v>
      </c>
      <c r="L1042" s="5">
        <f ca="1">PERCENTILE(D$2:D1041,0.975)</f>
        <v>1538.8314864680954</v>
      </c>
      <c r="M1042" s="7">
        <f>AVERAGE(E$2:E1041)</f>
        <v>1.2263309352518001</v>
      </c>
      <c r="N1042" s="7">
        <f>PERCENTILE($E$2:$E1041,0.025)</f>
        <v>-1.1000000000000001</v>
      </c>
      <c r="O1042" s="7">
        <f>PERCENTILE($E$2:$E1041,0.165)</f>
        <v>0</v>
      </c>
      <c r="P1042" s="7">
        <f>PERCENTILE($E$2:$E1041,0.5)</f>
        <v>1</v>
      </c>
      <c r="Q1042" s="7">
        <f>PERCENTILE($E$2:$E1041,0.835)</f>
        <v>3</v>
      </c>
      <c r="R1042" s="7">
        <f>PERCENTILE($E$2:$E1041,0.975)</f>
        <v>3</v>
      </c>
    </row>
    <row r="1043" spans="1:18" x14ac:dyDescent="0.2">
      <c r="A1043" s="5">
        <f>Data!E1026</f>
        <v>2014</v>
      </c>
      <c r="B1043" s="5">
        <f>Data!M1026</f>
        <v>0.21142857142857144</v>
      </c>
      <c r="C1043" s="5">
        <f>Data!N1026</f>
        <v>2.8571428571428571E-2</v>
      </c>
      <c r="D1043" s="5">
        <f ca="1">Data!O1026</f>
        <v>75.12395742069576</v>
      </c>
      <c r="E1043" s="1">
        <f>Data!AQ1026</f>
        <v>3</v>
      </c>
      <c r="F1043" t="str">
        <f t="shared" si="17"/>
        <v/>
      </c>
      <c r="G1043" s="5">
        <f ca="1">AVERAGE(D$2:D1042)</f>
        <v>352.89385162004072</v>
      </c>
      <c r="H1043" s="5">
        <f ca="1">PERCENTILE(D$2:D1042,0.025)</f>
        <v>-1.4723423136653451</v>
      </c>
      <c r="I1043" s="5">
        <f ca="1">PERCENTILE(D$2:D1042,0.165)</f>
        <v>12.069587553879714</v>
      </c>
      <c r="J1043" s="5">
        <f ca="1">PERCENTILE(D$2:D1042,0.5)</f>
        <v>58.893692546613806</v>
      </c>
      <c r="K1043" s="5">
        <f ca="1">PERCENTILE(D$2:D1042,0.835)</f>
        <v>269.38024414448188</v>
      </c>
      <c r="L1043" s="5">
        <f ca="1">PERCENTILE(D$2:D1042,0.975)</f>
        <v>1537.9724719187977</v>
      </c>
      <c r="M1043" s="7">
        <f>AVERAGE(E$2:E1042)</f>
        <v>1.2249820359281451</v>
      </c>
      <c r="N1043" s="7">
        <f>PERCENTILE($E$2:$E1042,0.025)</f>
        <v>-1.1000000000000001</v>
      </c>
      <c r="O1043" s="7">
        <f>PERCENTILE($E$2:$E1042,0.165)</f>
        <v>0</v>
      </c>
      <c r="P1043" s="7">
        <f>PERCENTILE($E$2:$E1042,0.5)</f>
        <v>1</v>
      </c>
      <c r="Q1043" s="7">
        <f>PERCENTILE($E$2:$E1042,0.835)</f>
        <v>3</v>
      </c>
      <c r="R1043" s="7">
        <f>PERCENTILE($E$2:$E1042,0.975)</f>
        <v>3</v>
      </c>
    </row>
    <row r="1044" spans="1:18" x14ac:dyDescent="0.2">
      <c r="A1044" s="5">
        <f>Data!E1027</f>
        <v>2014</v>
      </c>
      <c r="B1044" s="5">
        <f>Data!M1027</f>
        <v>0.21142857142857144</v>
      </c>
      <c r="C1044" s="5">
        <f>Data!N1027</f>
        <v>2.8571428571428571E-2</v>
      </c>
      <c r="D1044" s="5">
        <f ca="1">Data!O1027</f>
        <v>60.814632197706096</v>
      </c>
      <c r="E1044" s="1">
        <f>Data!AQ1027</f>
        <v>1</v>
      </c>
      <c r="F1044" t="str">
        <f t="shared" si="17"/>
        <v/>
      </c>
      <c r="G1044" s="5">
        <f ca="1">AVERAGE(D$2:D1043)</f>
        <v>352.6272778252237</v>
      </c>
      <c r="H1044" s="5">
        <f ca="1">PERCENTILE(D$2:D1043,0.025)</f>
        <v>-1.4662905348716611</v>
      </c>
      <c r="I1044" s="5">
        <f ca="1">PERCENTILE(D$2:D1043,0.165)</f>
        <v>12.088724131196638</v>
      </c>
      <c r="J1044" s="5">
        <f ca="1">PERCENTILE(D$2:D1043,0.5)</f>
        <v>58.966933253468895</v>
      </c>
      <c r="K1044" s="5">
        <f ca="1">PERCENTILE(D$2:D1043,0.835)</f>
        <v>268.59389963667496</v>
      </c>
      <c r="L1044" s="5">
        <f ca="1">PERCENTILE(D$2:D1043,0.975)</f>
        <v>1537.0231601208286</v>
      </c>
      <c r="M1044" s="7">
        <f>AVERAGE(E$2:E1043)</f>
        <v>1.2271052631578963</v>
      </c>
      <c r="N1044" s="7">
        <f>PERCENTILE($E$2:$E1043,0.025)</f>
        <v>-1.1000000000000001</v>
      </c>
      <c r="O1044" s="7">
        <f>PERCENTILE($E$2:$E1043,0.165)</f>
        <v>0</v>
      </c>
      <c r="P1044" s="7">
        <f>PERCENTILE($E$2:$E1043,0.5)</f>
        <v>1</v>
      </c>
      <c r="Q1044" s="7">
        <f>PERCENTILE($E$2:$E1043,0.835)</f>
        <v>3</v>
      </c>
      <c r="R1044" s="7">
        <f>PERCENTILE($E$2:$E1043,0.975)</f>
        <v>3</v>
      </c>
    </row>
    <row r="1045" spans="1:18" x14ac:dyDescent="0.2">
      <c r="A1045" s="5">
        <f>Data!E1028</f>
        <v>2014</v>
      </c>
      <c r="B1045" s="5">
        <f>Data!M1028</f>
        <v>0.21142857142857144</v>
      </c>
      <c r="C1045" s="5">
        <f>Data!N1028</f>
        <v>2.8571428571428571E-2</v>
      </c>
      <c r="D1045" s="5">
        <f ca="1">Data!O1028</f>
        <v>207.48521573335017</v>
      </c>
      <c r="E1045" s="1">
        <f>Data!AQ1028</f>
        <v>0.1</v>
      </c>
      <c r="F1045" t="str">
        <f t="shared" si="17"/>
        <v/>
      </c>
      <c r="G1045" s="5">
        <f ca="1">AVERAGE(D$2:D1044)</f>
        <v>352.34749580640539</v>
      </c>
      <c r="H1045" s="5">
        <f ca="1">PERCENTILE(D$2:D1044,0.025)</f>
        <v>-1.4602387560779777</v>
      </c>
      <c r="I1045" s="5">
        <f ca="1">PERCENTILE(D$2:D1044,0.165)</f>
        <v>12.107860708513559</v>
      </c>
      <c r="J1045" s="5">
        <f ca="1">PERCENTILE(D$2:D1044,0.5)</f>
        <v>59.040173960323983</v>
      </c>
      <c r="K1045" s="5">
        <f ca="1">PERCENTILE(D$2:D1044,0.835)</f>
        <v>267.80755512886748</v>
      </c>
      <c r="L1045" s="5">
        <f ca="1">PERCENTILE(D$2:D1044,0.975)</f>
        <v>1536.0738483228552</v>
      </c>
      <c r="M1045" s="7">
        <f>AVERAGE(E$2:E1044)</f>
        <v>1.2268339307048999</v>
      </c>
      <c r="N1045" s="7">
        <f>PERCENTILE($E$2:$E1044,0.025)</f>
        <v>-1.1000000000000001</v>
      </c>
      <c r="O1045" s="7">
        <f>PERCENTILE($E$2:$E1044,0.165)</f>
        <v>0</v>
      </c>
      <c r="P1045" s="7">
        <f>PERCENTILE($E$2:$E1044,0.5)</f>
        <v>1</v>
      </c>
      <c r="Q1045" s="7">
        <f>PERCENTILE($E$2:$E1044,0.835)</f>
        <v>3</v>
      </c>
      <c r="R1045" s="7">
        <f>PERCENTILE($E$2:$E1044,0.975)</f>
        <v>3</v>
      </c>
    </row>
    <row r="1046" spans="1:18" x14ac:dyDescent="0.2">
      <c r="A1046" s="5">
        <f>Data!E1029</f>
        <v>2014</v>
      </c>
      <c r="B1046" s="5">
        <f>Data!M1029</f>
        <v>0.21142857142857144</v>
      </c>
      <c r="C1046" s="5">
        <f>Data!N1029</f>
        <v>2.8571428571428571E-2</v>
      </c>
      <c r="D1046" s="5">
        <f ca="1">Data!O1029</f>
        <v>128.78392700690702</v>
      </c>
      <c r="E1046" s="1">
        <f>Data!AQ1029</f>
        <v>1</v>
      </c>
      <c r="F1046" t="str">
        <f t="shared" si="17"/>
        <v/>
      </c>
      <c r="G1046" s="5">
        <f ca="1">AVERAGE(D$2:D1045)</f>
        <v>352.20873883315534</v>
      </c>
      <c r="H1046" s="5">
        <f ca="1">PERCENTILE(D$2:D1045,0.025)</f>
        <v>-1.4541869772842937</v>
      </c>
      <c r="I1046" s="5">
        <f ca="1">PERCENTILE(D$2:D1045,0.165)</f>
        <v>12.136204597861454</v>
      </c>
      <c r="J1046" s="5">
        <f ca="1">PERCENTILE(D$2:D1045,0.5)</f>
        <v>59.465419805094157</v>
      </c>
      <c r="K1046" s="5">
        <f ca="1">PERCENTILE(D$2:D1045,0.835)</f>
        <v>267.23892875787027</v>
      </c>
      <c r="L1046" s="5">
        <f ca="1">PERCENTILE(D$2:D1045,0.975)</f>
        <v>1535.1245365248863</v>
      </c>
      <c r="M1046" s="7">
        <f>AVERAGE(E$2:E1045)</f>
        <v>1.2254892601431995</v>
      </c>
      <c r="N1046" s="7">
        <f>PERCENTILE($E$2:$E1045,0.025)</f>
        <v>-1.1000000000000001</v>
      </c>
      <c r="O1046" s="7">
        <f>PERCENTILE($E$2:$E1045,0.165)</f>
        <v>0</v>
      </c>
      <c r="P1046" s="7">
        <f>PERCENTILE($E$2:$E1045,0.5)</f>
        <v>1</v>
      </c>
      <c r="Q1046" s="7">
        <f>PERCENTILE($E$2:$E1045,0.835)</f>
        <v>3</v>
      </c>
      <c r="R1046" s="7">
        <f>PERCENTILE($E$2:$E1045,0.975)</f>
        <v>3</v>
      </c>
    </row>
    <row r="1047" spans="1:18" x14ac:dyDescent="0.2">
      <c r="A1047" s="5">
        <f>Data!E1030</f>
        <v>2014</v>
      </c>
      <c r="B1047" s="5">
        <f>Data!M1030</f>
        <v>0.21142857142857144</v>
      </c>
      <c r="C1047" s="5">
        <f>Data!N1030</f>
        <v>2.8571428571428571E-2</v>
      </c>
      <c r="D1047" s="5">
        <f ca="1">Data!O1030</f>
        <v>486.51705758164877</v>
      </c>
      <c r="E1047" s="1">
        <f>Data!AQ1030</f>
        <v>0.1</v>
      </c>
      <c r="F1047" t="str">
        <f t="shared" si="17"/>
        <v/>
      </c>
      <c r="G1047" s="5">
        <f ca="1">AVERAGE(D$2:D1046)</f>
        <v>351.99493518547473</v>
      </c>
      <c r="H1047" s="5">
        <f ca="1">PERCENTILE(D$2:D1046,0.025)</f>
        <v>-1.4481351984906103</v>
      </c>
      <c r="I1047" s="5">
        <f ca="1">PERCENTILE(D$2:D1046,0.165)</f>
        <v>12.171332822390072</v>
      </c>
      <c r="J1047" s="5">
        <f ca="1">PERCENTILE(D$2:D1046,0.5)</f>
        <v>59.890665649864339</v>
      </c>
      <c r="K1047" s="5">
        <f ca="1">PERCENTILE(D$2:D1046,0.835)</f>
        <v>266.83072627715364</v>
      </c>
      <c r="L1047" s="5">
        <f ca="1">PERCENTILE(D$2:D1046,0.975)</f>
        <v>1534.1752247269171</v>
      </c>
      <c r="M1047" s="7">
        <f>AVERAGE(E$2:E1046)</f>
        <v>1.2252205005959489</v>
      </c>
      <c r="N1047" s="7">
        <f>PERCENTILE($E$2:$E1046,0.025)</f>
        <v>-1.1000000000000001</v>
      </c>
      <c r="O1047" s="7">
        <f>PERCENTILE($E$2:$E1046,0.165)</f>
        <v>0</v>
      </c>
      <c r="P1047" s="7">
        <f>PERCENTILE($E$2:$E1046,0.5)</f>
        <v>1</v>
      </c>
      <c r="Q1047" s="7">
        <f>PERCENTILE($E$2:$E1046,0.835)</f>
        <v>3</v>
      </c>
      <c r="R1047" s="7">
        <f>PERCENTILE($E$2:$E1046,0.975)</f>
        <v>3</v>
      </c>
    </row>
    <row r="1048" spans="1:18" x14ac:dyDescent="0.2">
      <c r="A1048" s="5">
        <f>Data!E1031</f>
        <v>2014</v>
      </c>
      <c r="B1048" s="5">
        <f>Data!M1031</f>
        <v>0.21142857142857144</v>
      </c>
      <c r="C1048" s="5">
        <f>Data!N1031</f>
        <v>2.8571428571428571E-2</v>
      </c>
      <c r="D1048" s="5">
        <f ca="1">Data!O1031</f>
        <v>71.546626114948339</v>
      </c>
      <c r="E1048" s="1">
        <f>Data!AQ1031</f>
        <v>3</v>
      </c>
      <c r="F1048" t="str">
        <f t="shared" si="17"/>
        <v/>
      </c>
      <c r="G1048" s="5">
        <f ca="1">AVERAGE(D$2:D1047)</f>
        <v>352.1235414210351</v>
      </c>
      <c r="H1048" s="5">
        <f ca="1">PERCENTILE(D$2:D1047,0.025)</f>
        <v>-1.4420834196969272</v>
      </c>
      <c r="I1048" s="5">
        <f ca="1">PERCENTILE(D$2:D1047,0.165)</f>
        <v>12.206461046918683</v>
      </c>
      <c r="J1048" s="5">
        <f ca="1">PERCENTILE(D$2:D1047,0.5)</f>
        <v>59.915964498406019</v>
      </c>
      <c r="K1048" s="5">
        <f ca="1">PERCENTILE(D$2:D1047,0.835)</f>
        <v>270.21424589518614</v>
      </c>
      <c r="L1048" s="5">
        <f ca="1">PERCENTILE(D$2:D1047,0.975)</f>
        <v>1533.225912928948</v>
      </c>
      <c r="M1048" s="7">
        <f>AVERAGE(E$2:E1047)</f>
        <v>1.2238809523809537</v>
      </c>
      <c r="N1048" s="7">
        <f>PERCENTILE($E$2:$E1047,0.025)</f>
        <v>-1.1000000000000001</v>
      </c>
      <c r="O1048" s="7">
        <f>PERCENTILE($E$2:$E1047,0.165)</f>
        <v>0</v>
      </c>
      <c r="P1048" s="7">
        <f>PERCENTILE($E$2:$E1047,0.5)</f>
        <v>1</v>
      </c>
      <c r="Q1048" s="7">
        <f>PERCENTILE($E$2:$E1047,0.835)</f>
        <v>3</v>
      </c>
      <c r="R1048" s="7">
        <f>PERCENTILE($E$2:$E1047,0.975)</f>
        <v>3</v>
      </c>
    </row>
    <row r="1049" spans="1:18" x14ac:dyDescent="0.2">
      <c r="A1049" s="5">
        <f>Data!E1032</f>
        <v>2014</v>
      </c>
      <c r="B1049" s="5">
        <f>Data!M1032</f>
        <v>0.21142857142857144</v>
      </c>
      <c r="C1049" s="5">
        <f>Data!N1032</f>
        <v>2.8571428571428571E-2</v>
      </c>
      <c r="D1049" s="5">
        <f ca="1">Data!O1032</f>
        <v>25.04131914023192</v>
      </c>
      <c r="E1049" s="1">
        <f>Data!AQ1032</f>
        <v>1</v>
      </c>
      <c r="F1049" t="str">
        <f t="shared" si="17"/>
        <v/>
      </c>
      <c r="G1049" s="5">
        <f ca="1">AVERAGE(D$2:D1048)</f>
        <v>351.85555964901397</v>
      </c>
      <c r="H1049" s="5">
        <f ca="1">PERCENTILE(D$2:D1048,0.025)</f>
        <v>-1.4360316409032432</v>
      </c>
      <c r="I1049" s="5">
        <f ca="1">PERCENTILE(D$2:D1048,0.165)</f>
        <v>12.241589271447296</v>
      </c>
      <c r="J1049" s="5">
        <f ca="1">PERCENTILE(D$2:D1048,0.5)</f>
        <v>59.9412633469477</v>
      </c>
      <c r="K1049" s="5">
        <f ca="1">PERCENTILE(D$2:D1048,0.835)</f>
        <v>269.42790138737922</v>
      </c>
      <c r="L1049" s="5">
        <f ca="1">PERCENTILE(D$2:D1048,0.975)</f>
        <v>1532.2766011309789</v>
      </c>
      <c r="M1049" s="7">
        <f>AVERAGE(E$2:E1048)</f>
        <v>1.2259928656361487</v>
      </c>
      <c r="N1049" s="7">
        <f>PERCENTILE($E$2:$E1048,0.025)</f>
        <v>-1.1000000000000001</v>
      </c>
      <c r="O1049" s="7">
        <f>PERCENTILE($E$2:$E1048,0.165)</f>
        <v>0</v>
      </c>
      <c r="P1049" s="7">
        <f>PERCENTILE($E$2:$E1048,0.5)</f>
        <v>1</v>
      </c>
      <c r="Q1049" s="7">
        <f>PERCENTILE($E$2:$E1048,0.835)</f>
        <v>3</v>
      </c>
      <c r="R1049" s="7">
        <f>PERCENTILE($E$2:$E1048,0.975)</f>
        <v>3</v>
      </c>
    </row>
    <row r="1050" spans="1:18" x14ac:dyDescent="0.2">
      <c r="A1050" s="5">
        <f>Data!E1033</f>
        <v>2014</v>
      </c>
      <c r="B1050" s="5">
        <f>Data!M1033</f>
        <v>0.21142857142857144</v>
      </c>
      <c r="C1050" s="5">
        <f>Data!N1033</f>
        <v>2.8571428571428571E-2</v>
      </c>
      <c r="D1050" s="5">
        <f ca="1">Data!O1033</f>
        <v>78.701288726443181</v>
      </c>
      <c r="E1050" s="1">
        <f>Data!AQ1033</f>
        <v>0.1</v>
      </c>
      <c r="F1050" t="str">
        <f t="shared" si="17"/>
        <v/>
      </c>
      <c r="G1050" s="5">
        <f ca="1">AVERAGE(D$2:D1049)</f>
        <v>351.54371399967351</v>
      </c>
      <c r="H1050" s="5">
        <f ca="1">PERCENTILE(D$2:D1049,0.025)</f>
        <v>-1.4299798621095599</v>
      </c>
      <c r="I1050" s="5">
        <f ca="1">PERCENTILE(D$2:D1049,0.165)</f>
        <v>12.276717495975907</v>
      </c>
      <c r="J1050" s="5">
        <f ca="1">PERCENTILE(D$2:D1049,0.5)</f>
        <v>59.915964498406019</v>
      </c>
      <c r="K1050" s="5">
        <f ca="1">PERCENTILE(D$2:D1049,0.835)</f>
        <v>268.64155687957231</v>
      </c>
      <c r="L1050" s="5">
        <f ca="1">PERCENTILE(D$2:D1049,0.975)</f>
        <v>1531.3272893330056</v>
      </c>
      <c r="M1050" s="7">
        <f>AVERAGE(E$2:E1049)</f>
        <v>1.225724465558196</v>
      </c>
      <c r="N1050" s="7">
        <f>PERCENTILE($E$2:$E1049,0.025)</f>
        <v>-1.1000000000000001</v>
      </c>
      <c r="O1050" s="7">
        <f>PERCENTILE($E$2:$E1049,0.165)</f>
        <v>0</v>
      </c>
      <c r="P1050" s="7">
        <f>PERCENTILE($E$2:$E1049,0.5)</f>
        <v>1</v>
      </c>
      <c r="Q1050" s="7">
        <f>PERCENTILE($E$2:$E1049,0.835)</f>
        <v>3</v>
      </c>
      <c r="R1050" s="7">
        <f>PERCENTILE($E$2:$E1049,0.975)</f>
        <v>3</v>
      </c>
    </row>
    <row r="1051" spans="1:18" x14ac:dyDescent="0.2">
      <c r="A1051" s="5">
        <f>Data!E1034</f>
        <v>2014</v>
      </c>
      <c r="B1051" s="5">
        <f>Data!M1034</f>
        <v>0.21142857142857144</v>
      </c>
      <c r="C1051" s="5">
        <f>Data!N1034</f>
        <v>2.8571428571428571E-2</v>
      </c>
      <c r="D1051" s="5">
        <f ca="1">Data!O1034</f>
        <v>64.39196350345351</v>
      </c>
      <c r="E1051" s="1">
        <f>Data!AQ1034</f>
        <v>1</v>
      </c>
      <c r="F1051" t="str">
        <f t="shared" si="17"/>
        <v/>
      </c>
      <c r="G1051" s="5">
        <f ca="1">AVERAGE(D$2:D1050)</f>
        <v>351.28361635880299</v>
      </c>
      <c r="H1051" s="5">
        <f ca="1">PERCENTILE(D$2:D1050,0.025)</f>
        <v>-1.4239280833158758</v>
      </c>
      <c r="I1051" s="5">
        <f ca="1">PERCENTILE(D$2:D1050,0.165)</f>
        <v>12.311845720504525</v>
      </c>
      <c r="J1051" s="5">
        <f ca="1">PERCENTILE(D$2:D1050,0.5)</f>
        <v>59.9412633469477</v>
      </c>
      <c r="K1051" s="5">
        <f ca="1">PERCENTILE(D$2:D1050,0.835)</f>
        <v>267.85521237176488</v>
      </c>
      <c r="L1051" s="5">
        <f ca="1">PERCENTILE(D$2:D1050,0.975)</f>
        <v>1530.3779775350365</v>
      </c>
      <c r="M1051" s="7">
        <f>AVERAGE(E$2:E1050)</f>
        <v>1.2243890865954934</v>
      </c>
      <c r="N1051" s="7">
        <f>PERCENTILE($E$2:$E1050,0.025)</f>
        <v>-1.1000000000000001</v>
      </c>
      <c r="O1051" s="7">
        <f>PERCENTILE($E$2:$E1050,0.165)</f>
        <v>0</v>
      </c>
      <c r="P1051" s="7">
        <f>PERCENTILE($E$2:$E1050,0.5)</f>
        <v>1</v>
      </c>
      <c r="Q1051" s="7">
        <f>PERCENTILE($E$2:$E1050,0.835)</f>
        <v>3</v>
      </c>
      <c r="R1051" s="7">
        <f>PERCENTILE($E$2:$E1050,0.975)</f>
        <v>3</v>
      </c>
    </row>
    <row r="1052" spans="1:18" x14ac:dyDescent="0.2">
      <c r="A1052" s="5">
        <f>Data!E1035</f>
        <v>2014</v>
      </c>
      <c r="B1052" s="5">
        <f>Data!M1035</f>
        <v>0.21142857142857144</v>
      </c>
      <c r="C1052" s="5">
        <f>Data!N1035</f>
        <v>2.8571428571428571E-2</v>
      </c>
      <c r="D1052" s="5">
        <f ca="1">Data!O1035</f>
        <v>232.52653487358211</v>
      </c>
      <c r="E1052" s="1">
        <f>Data!AQ1035</f>
        <v>0.1</v>
      </c>
      <c r="F1052" t="str">
        <f t="shared" si="17"/>
        <v/>
      </c>
      <c r="G1052" s="5">
        <f ca="1">AVERAGE(D$2:D1051)</f>
        <v>351.01038621322647</v>
      </c>
      <c r="H1052" s="5">
        <f ca="1">PERCENTILE(D$2:D1051,0.025)</f>
        <v>-1.4178763045221925</v>
      </c>
      <c r="I1052" s="5">
        <f ca="1">PERCENTILE(D$2:D1051,0.165)</f>
        <v>12.331208106824953</v>
      </c>
      <c r="J1052" s="5">
        <f ca="1">PERCENTILE(D$2:D1051,0.5)</f>
        <v>59.943477117930861</v>
      </c>
      <c r="K1052" s="5">
        <f ca="1">PERCENTILE(D$2:D1051,0.835)</f>
        <v>267.26366830215613</v>
      </c>
      <c r="L1052" s="5">
        <f ca="1">PERCENTILE(D$2:D1051,0.975)</f>
        <v>1529.4286657370674</v>
      </c>
      <c r="M1052" s="7">
        <f>AVERAGE(E$2:E1051)</f>
        <v>1.2241232227488164</v>
      </c>
      <c r="N1052" s="7">
        <f>PERCENTILE($E$2:$E1051,0.025)</f>
        <v>-1.1000000000000001</v>
      </c>
      <c r="O1052" s="7">
        <f>PERCENTILE($E$2:$E1051,0.165)</f>
        <v>0</v>
      </c>
      <c r="P1052" s="7">
        <f>PERCENTILE($E$2:$E1051,0.5)</f>
        <v>1</v>
      </c>
      <c r="Q1052" s="7">
        <f>PERCENTILE($E$2:$E1051,0.835)</f>
        <v>3</v>
      </c>
      <c r="R1052" s="7">
        <f>PERCENTILE($E$2:$E1051,0.975)</f>
        <v>3</v>
      </c>
    </row>
    <row r="1053" spans="1:18" x14ac:dyDescent="0.2">
      <c r="A1053" s="5">
        <f>Data!E1036</f>
        <v>2014</v>
      </c>
      <c r="B1053" s="5">
        <f>Data!M1036</f>
        <v>0.21142857142857144</v>
      </c>
      <c r="C1053" s="5">
        <f>Data!N1036</f>
        <v>2.8571428571428571E-2</v>
      </c>
      <c r="D1053" s="5">
        <f ca="1">Data!O1036</f>
        <v>39.350644363221591</v>
      </c>
      <c r="E1053" s="1">
        <f>Data!AQ1036</f>
        <v>3</v>
      </c>
      <c r="F1053" t="str">
        <f t="shared" si="17"/>
        <v/>
      </c>
      <c r="G1053" s="5">
        <f ca="1">AVERAGE(D$2:D1052)</f>
        <v>350.89765181613831</v>
      </c>
      <c r="H1053" s="5">
        <f ca="1">PERCENTILE(D$2:D1052,0.025)</f>
        <v>-1.4118245257285094</v>
      </c>
      <c r="I1053" s="5">
        <f ca="1">PERCENTILE(D$2:D1052,0.165)</f>
        <v>12.335732057184741</v>
      </c>
      <c r="J1053" s="5">
        <f ca="1">PERCENTILE(D$2:D1052,0.5)</f>
        <v>59.945690888914022</v>
      </c>
      <c r="K1053" s="5">
        <f ca="1">PERCENTILE(D$2:D1052,0.835)</f>
        <v>266.85546582143951</v>
      </c>
      <c r="L1053" s="5">
        <f ca="1">PERCENTILE(D$2:D1052,0.975)</f>
        <v>1528.4793539390982</v>
      </c>
      <c r="M1053" s="7">
        <f>AVERAGE(E$2:E1052)</f>
        <v>1.2227928994082851</v>
      </c>
      <c r="N1053" s="7">
        <f>PERCENTILE($E$2:$E1052,0.025)</f>
        <v>-1.1000000000000001</v>
      </c>
      <c r="O1053" s="7">
        <f>PERCENTILE($E$2:$E1052,0.165)</f>
        <v>0</v>
      </c>
      <c r="P1053" s="7">
        <f>PERCENTILE($E$2:$E1052,0.5)</f>
        <v>1</v>
      </c>
      <c r="Q1053" s="7">
        <f>PERCENTILE($E$2:$E1052,0.835)</f>
        <v>3</v>
      </c>
      <c r="R1053" s="7">
        <f>PERCENTILE($E$2:$E1052,0.975)</f>
        <v>3</v>
      </c>
    </row>
    <row r="1054" spans="1:18" x14ac:dyDescent="0.2">
      <c r="A1054" s="5">
        <f>Data!E1037</f>
        <v>2014</v>
      </c>
      <c r="B1054" s="5">
        <f>Data!M1037</f>
        <v>0.21142857142857144</v>
      </c>
      <c r="C1054" s="5">
        <f>Data!N1037</f>
        <v>2.8571428571428571E-2</v>
      </c>
      <c r="D1054" s="5">
        <f ca="1">Data!O1037</f>
        <v>60.814632197706096</v>
      </c>
      <c r="E1054" s="1">
        <f>Data!AQ1037</f>
        <v>1</v>
      </c>
      <c r="F1054" t="str">
        <f t="shared" si="17"/>
        <v/>
      </c>
      <c r="G1054" s="5">
        <f ca="1">AVERAGE(D$2:D1053)</f>
        <v>350.60150447065075</v>
      </c>
      <c r="H1054" s="5">
        <f ca="1">PERCENTILE(D$2:D1053,0.025)</f>
        <v>-1.4057727469348253</v>
      </c>
      <c r="I1054" s="5">
        <f ca="1">PERCENTILE(D$2:D1053,0.165)</f>
        <v>12.340256007544529</v>
      </c>
      <c r="J1054" s="5">
        <f ca="1">PERCENTILE(D$2:D1053,0.5)</f>
        <v>59.943477117930861</v>
      </c>
      <c r="K1054" s="5">
        <f ca="1">PERCENTILE(D$2:D1053,0.835)</f>
        <v>266.4472633407226</v>
      </c>
      <c r="L1054" s="5">
        <f ca="1">PERCENTILE(D$2:D1053,0.975)</f>
        <v>1527.5300421411248</v>
      </c>
      <c r="M1054" s="7">
        <f>AVERAGE(E$2:E1053)</f>
        <v>1.2248936170212776</v>
      </c>
      <c r="N1054" s="7">
        <f>PERCENTILE($E$2:$E1053,0.025)</f>
        <v>-1.1000000000000001</v>
      </c>
      <c r="O1054" s="7">
        <f>PERCENTILE($E$2:$E1053,0.165)</f>
        <v>0</v>
      </c>
      <c r="P1054" s="7">
        <f>PERCENTILE($E$2:$E1053,0.5)</f>
        <v>1</v>
      </c>
      <c r="Q1054" s="7">
        <f>PERCENTILE($E$2:$E1053,0.835)</f>
        <v>3</v>
      </c>
      <c r="R1054" s="7">
        <f>PERCENTILE($E$2:$E1053,0.975)</f>
        <v>3</v>
      </c>
    </row>
    <row r="1055" spans="1:18" x14ac:dyDescent="0.2">
      <c r="A1055" s="5">
        <f>Data!E1038</f>
        <v>2014</v>
      </c>
      <c r="B1055" s="5">
        <f>Data!M1038</f>
        <v>0.21142857142857144</v>
      </c>
      <c r="C1055" s="5">
        <f>Data!N1038</f>
        <v>2.8571428571428571E-2</v>
      </c>
      <c r="D1055" s="5">
        <f ca="1">Data!O1038</f>
        <v>178.86656528737086</v>
      </c>
      <c r="E1055" s="1">
        <f>Data!AQ1038</f>
        <v>0.1</v>
      </c>
      <c r="F1055" t="str">
        <f t="shared" si="17"/>
        <v/>
      </c>
      <c r="G1055" s="5">
        <f ca="1">AVERAGE(D$2:D1054)</f>
        <v>350.32630326241434</v>
      </c>
      <c r="H1055" s="5">
        <f ca="1">PERCENTILE(D$2:D1054,0.025)</f>
        <v>-1.399720968141142</v>
      </c>
      <c r="I1055" s="5">
        <f ca="1">PERCENTILE(D$2:D1054,0.165)</f>
        <v>12.344779957904317</v>
      </c>
      <c r="J1055" s="5">
        <f ca="1">PERCENTILE(D$2:D1054,0.5)</f>
        <v>59.945690888914022</v>
      </c>
      <c r="K1055" s="5">
        <f ca="1">PERCENTILE(D$2:D1054,0.835)</f>
        <v>266.03906086000603</v>
      </c>
      <c r="L1055" s="5">
        <f ca="1">PERCENTILE(D$2:D1054,0.975)</f>
        <v>1526.5807303431602</v>
      </c>
      <c r="M1055" s="7">
        <f>AVERAGE(E$2:E1054)</f>
        <v>1.2246280991735548</v>
      </c>
      <c r="N1055" s="7">
        <f>PERCENTILE($E$2:$E1054,0.025)</f>
        <v>-1.1000000000000001</v>
      </c>
      <c r="O1055" s="7">
        <f>PERCENTILE($E$2:$E1054,0.165)</f>
        <v>0</v>
      </c>
      <c r="P1055" s="7">
        <f>PERCENTILE($E$2:$E1054,0.5)</f>
        <v>1</v>
      </c>
      <c r="Q1055" s="7">
        <f>PERCENTILE($E$2:$E1054,0.835)</f>
        <v>3</v>
      </c>
      <c r="R1055" s="7">
        <f>PERCENTILE($E$2:$E1054,0.975)</f>
        <v>3</v>
      </c>
    </row>
    <row r="1056" spans="1:18" x14ac:dyDescent="0.2">
      <c r="A1056" s="5">
        <f>Data!E1039</f>
        <v>2014</v>
      </c>
      <c r="B1056" s="5">
        <f>Data!M1039</f>
        <v>0.21142857142857144</v>
      </c>
      <c r="C1056" s="5">
        <f>Data!N1039</f>
        <v>2.8571428571428571E-2</v>
      </c>
      <c r="D1056" s="5">
        <f ca="1">Data!O1039</f>
        <v>143.09325222989668</v>
      </c>
      <c r="E1056" s="1">
        <f>Data!AQ1039</f>
        <v>1</v>
      </c>
      <c r="F1056" t="str">
        <f t="shared" si="17"/>
        <v/>
      </c>
      <c r="G1056" s="5">
        <f ca="1">AVERAGE(D$2:D1055)</f>
        <v>350.16362798919323</v>
      </c>
      <c r="H1056" s="5">
        <f ca="1">PERCENTILE(D$2:D1055,0.025)</f>
        <v>-1.393669189347458</v>
      </c>
      <c r="I1056" s="5">
        <f ca="1">PERCENTILE(D$2:D1055,0.165)</f>
        <v>12.349303908264105</v>
      </c>
      <c r="J1056" s="5">
        <f ca="1">PERCENTILE(D$2:D1055,0.5)</f>
        <v>60.010828687428869</v>
      </c>
      <c r="K1056" s="5">
        <f ca="1">PERCENTILE(D$2:D1055,0.835)</f>
        <v>265.63085837928941</v>
      </c>
      <c r="L1056" s="5">
        <f ca="1">PERCENTILE(D$2:D1055,0.975)</f>
        <v>1525.6314185451868</v>
      </c>
      <c r="M1056" s="7">
        <f>AVERAGE(E$2:E1055)</f>
        <v>1.2233018867924539</v>
      </c>
      <c r="N1056" s="7">
        <f>PERCENTILE($E$2:$E1055,0.025)</f>
        <v>-1.1000000000000001</v>
      </c>
      <c r="O1056" s="7">
        <f>PERCENTILE($E$2:$E1055,0.165)</f>
        <v>0</v>
      </c>
      <c r="P1056" s="7">
        <f>PERCENTILE($E$2:$E1055,0.5)</f>
        <v>1</v>
      </c>
      <c r="Q1056" s="7">
        <f>PERCENTILE($E$2:$E1055,0.835)</f>
        <v>3</v>
      </c>
      <c r="R1056" s="7">
        <f>PERCENTILE($E$2:$E1055,0.975)</f>
        <v>3</v>
      </c>
    </row>
    <row r="1057" spans="1:18" x14ac:dyDescent="0.2">
      <c r="A1057" s="5">
        <f>Data!E1040</f>
        <v>2014</v>
      </c>
      <c r="B1057" s="5">
        <f>Data!M1040</f>
        <v>0.21142857142857144</v>
      </c>
      <c r="C1057" s="5">
        <f>Data!N1040</f>
        <v>2.8571428571428571E-2</v>
      </c>
      <c r="D1057" s="5">
        <f ca="1">Data!O1040</f>
        <v>490.09438888739612</v>
      </c>
      <c r="E1057" s="1">
        <f>Data!AQ1040</f>
        <v>0.1</v>
      </c>
      <c r="F1057" t="str">
        <f t="shared" si="17"/>
        <v/>
      </c>
      <c r="G1057" s="5">
        <f ca="1">AVERAGE(D$2:D1056)</f>
        <v>349.96735275150667</v>
      </c>
      <c r="H1057" s="5">
        <f ca="1">PERCENTILE(D$2:D1056,0.025)</f>
        <v>-1.3876174105537746</v>
      </c>
      <c r="I1057" s="5">
        <f ca="1">PERCENTILE(D$2:D1056,0.165)</f>
        <v>12.353827858623893</v>
      </c>
      <c r="J1057" s="5">
        <f ca="1">PERCENTILE(D$2:D1056,0.5)</f>
        <v>60.075966485943709</v>
      </c>
      <c r="K1057" s="5">
        <f ca="1">PERCENTILE(D$2:D1056,0.835)</f>
        <v>265.22265589857255</v>
      </c>
      <c r="L1057" s="5">
        <f ca="1">PERCENTILE(D$2:D1056,0.975)</f>
        <v>1524.6821067472133</v>
      </c>
      <c r="M1057" s="7">
        <f>AVERAGE(E$2:E1056)</f>
        <v>1.2230388692579515</v>
      </c>
      <c r="N1057" s="7">
        <f>PERCENTILE($E$2:$E1056,0.025)</f>
        <v>-1.1000000000000001</v>
      </c>
      <c r="O1057" s="7">
        <f>PERCENTILE($E$2:$E1056,0.165)</f>
        <v>0</v>
      </c>
      <c r="P1057" s="7">
        <f>PERCENTILE($E$2:$E1056,0.5)</f>
        <v>1</v>
      </c>
      <c r="Q1057" s="7">
        <f>PERCENTILE($E$2:$E1056,0.835)</f>
        <v>3</v>
      </c>
      <c r="R1057" s="7">
        <f>PERCENTILE($E$2:$E1056,0.975)</f>
        <v>3</v>
      </c>
    </row>
    <row r="1058" spans="1:18" x14ac:dyDescent="0.2">
      <c r="A1058" s="5">
        <f>Data!E1041</f>
        <v>2014</v>
      </c>
      <c r="B1058" s="5">
        <f>Data!M1041</f>
        <v>0.21142857142857144</v>
      </c>
      <c r="C1058" s="5">
        <f>Data!N1041</f>
        <v>2.8571428571428571E-2</v>
      </c>
      <c r="D1058" s="5">
        <f ca="1">Data!O1041</f>
        <v>89.43328264368543</v>
      </c>
      <c r="E1058" s="1">
        <f>Data!AQ1041</f>
        <v>3</v>
      </c>
      <c r="F1058" t="str">
        <f t="shared" si="17"/>
        <v/>
      </c>
      <c r="G1058" s="5">
        <f ca="1">AVERAGE(D$2:D1057)</f>
        <v>350.10004880845355</v>
      </c>
      <c r="H1058" s="5">
        <f ca="1">PERCENTILE(D$2:D1057,0.025)</f>
        <v>-1.3815656317600915</v>
      </c>
      <c r="I1058" s="5">
        <f ca="1">PERCENTILE(D$2:D1057,0.165)</f>
        <v>12.373910315691742</v>
      </c>
      <c r="J1058" s="5">
        <f ca="1">PERCENTILE(D$2:D1057,0.5)</f>
        <v>60.075966485943709</v>
      </c>
      <c r="K1058" s="5">
        <f ca="1">PERCENTILE(D$2:D1057,0.835)</f>
        <v>267.28840784644194</v>
      </c>
      <c r="L1058" s="5">
        <f ca="1">PERCENTILE(D$2:D1057,0.975)</f>
        <v>1523.7327949492485</v>
      </c>
      <c r="M1058" s="7">
        <f>AVERAGE(E$2:E1057)</f>
        <v>1.2217176470588245</v>
      </c>
      <c r="N1058" s="7">
        <f>PERCENTILE($E$2:$E1057,0.025)</f>
        <v>-1.1000000000000001</v>
      </c>
      <c r="O1058" s="7">
        <f>PERCENTILE($E$2:$E1057,0.165)</f>
        <v>0</v>
      </c>
      <c r="P1058" s="7">
        <f>PERCENTILE($E$2:$E1057,0.5)</f>
        <v>1</v>
      </c>
      <c r="Q1058" s="7">
        <f>PERCENTILE($E$2:$E1057,0.835)</f>
        <v>3</v>
      </c>
      <c r="R1058" s="7">
        <f>PERCENTILE($E$2:$E1057,0.975)</f>
        <v>3</v>
      </c>
    </row>
    <row r="1059" spans="1:18" x14ac:dyDescent="0.2">
      <c r="A1059" s="5">
        <f>Data!E1042</f>
        <v>2014</v>
      </c>
      <c r="B1059" s="5">
        <f>Data!M1042</f>
        <v>0.21142857142857144</v>
      </c>
      <c r="C1059" s="5">
        <f>Data!N1042</f>
        <v>2.8571428571428571E-2</v>
      </c>
      <c r="D1059" s="5">
        <f ca="1">Data!O1042</f>
        <v>21.463987834484502</v>
      </c>
      <c r="E1059" s="1">
        <f>Data!AQ1042</f>
        <v>1</v>
      </c>
      <c r="F1059" t="str">
        <f t="shared" si="17"/>
        <v/>
      </c>
      <c r="G1059" s="5">
        <f ca="1">AVERAGE(D$2:D1058)</f>
        <v>349.85343881208195</v>
      </c>
      <c r="H1059" s="5">
        <f ca="1">PERCENTILE(D$2:D1058,0.025)</f>
        <v>-1.3755138529664075</v>
      </c>
      <c r="I1059" s="5">
        <f ca="1">PERCENTILE(D$2:D1058,0.165)</f>
        <v>12.41266298080925</v>
      </c>
      <c r="J1059" s="5">
        <f ca="1">PERCENTILE(D$2:D1058,0.5)</f>
        <v>60.075966485943709</v>
      </c>
      <c r="K1059" s="5">
        <f ca="1">PERCENTILE(D$2:D1058,0.835)</f>
        <v>266.88020536572537</v>
      </c>
      <c r="L1059" s="5">
        <f ca="1">PERCENTILE(D$2:D1058,0.975)</f>
        <v>1522.7834831512753</v>
      </c>
      <c r="M1059" s="7">
        <f>AVERAGE(E$2:E1058)</f>
        <v>1.2238072855464168</v>
      </c>
      <c r="N1059" s="7">
        <f>PERCENTILE($E$2:$E1058,0.025)</f>
        <v>-1.1000000000000001</v>
      </c>
      <c r="O1059" s="7">
        <f>PERCENTILE($E$2:$E1058,0.165)</f>
        <v>0</v>
      </c>
      <c r="P1059" s="7">
        <f>PERCENTILE($E$2:$E1058,0.5)</f>
        <v>1</v>
      </c>
      <c r="Q1059" s="7">
        <f>PERCENTILE($E$2:$E1058,0.835)</f>
        <v>3</v>
      </c>
      <c r="R1059" s="7">
        <f>PERCENTILE($E$2:$E1058,0.975)</f>
        <v>3</v>
      </c>
    </row>
    <row r="1060" spans="1:18" x14ac:dyDescent="0.2">
      <c r="A1060" s="5">
        <f>Data!E1043</f>
        <v>2014</v>
      </c>
      <c r="B1060" s="5">
        <f>Data!M1043</f>
        <v>0.21142857142857144</v>
      </c>
      <c r="C1060" s="5">
        <f>Data!N1043</f>
        <v>2.8571428571428571E-2</v>
      </c>
      <c r="D1060" s="5">
        <f ca="1">Data!O1043</f>
        <v>71.546626114948339</v>
      </c>
      <c r="E1060" s="1">
        <f>Data!AQ1043</f>
        <v>0.1</v>
      </c>
      <c r="F1060" t="str">
        <f t="shared" si="17"/>
        <v/>
      </c>
      <c r="G1060" s="5">
        <f ca="1">AVERAGE(D$2:D1059)</f>
        <v>349.5430518073772</v>
      </c>
      <c r="H1060" s="5">
        <f ca="1">PERCENTILE(D$2:D1059,0.025)</f>
        <v>-1.3694620741727241</v>
      </c>
      <c r="I1060" s="5">
        <f ca="1">PERCENTILE(D$2:D1059,0.165)</f>
        <v>12.45141564592676</v>
      </c>
      <c r="J1060" s="5">
        <f ca="1">PERCENTILE(D$2:D1059,0.5)</f>
        <v>60.075966485943709</v>
      </c>
      <c r="K1060" s="5">
        <f ca="1">PERCENTILE(D$2:D1059,0.835)</f>
        <v>266.47200288500846</v>
      </c>
      <c r="L1060" s="5">
        <f ca="1">PERCENTILE(D$2:D1059,0.975)</f>
        <v>1521.8341713533105</v>
      </c>
      <c r="M1060" s="7">
        <f>AVERAGE(E$2:E1059)</f>
        <v>1.2235446009389679</v>
      </c>
      <c r="N1060" s="7">
        <f>PERCENTILE($E$2:$E1059,0.025)</f>
        <v>-1.1000000000000001</v>
      </c>
      <c r="O1060" s="7">
        <f>PERCENTILE($E$2:$E1059,0.165)</f>
        <v>0</v>
      </c>
      <c r="P1060" s="7">
        <f>PERCENTILE($E$2:$E1059,0.5)</f>
        <v>1</v>
      </c>
      <c r="Q1060" s="7">
        <f>PERCENTILE($E$2:$E1059,0.835)</f>
        <v>3</v>
      </c>
      <c r="R1060" s="7">
        <f>PERCENTILE($E$2:$E1059,0.975)</f>
        <v>3</v>
      </c>
    </row>
    <row r="1061" spans="1:18" x14ac:dyDescent="0.2">
      <c r="A1061" s="5">
        <f>Data!E1044</f>
        <v>2014</v>
      </c>
      <c r="B1061" s="5">
        <f>Data!M1044</f>
        <v>0.21142857142857144</v>
      </c>
      <c r="C1061" s="5">
        <f>Data!N1044</f>
        <v>2.8571428571428571E-2</v>
      </c>
      <c r="D1061" s="5">
        <f ca="1">Data!O1044</f>
        <v>53.659969586211254</v>
      </c>
      <c r="E1061" s="1">
        <f>Data!AQ1044</f>
        <v>1</v>
      </c>
      <c r="F1061" t="str">
        <f t="shared" si="17"/>
        <v/>
      </c>
      <c r="G1061" s="5">
        <f ca="1">AVERAGE(D$2:D1060)</f>
        <v>349.28054337896128</v>
      </c>
      <c r="H1061" s="5">
        <f ca="1">PERCENTILE(D$2:D1060,0.025)</f>
        <v>-1.3634102953790401</v>
      </c>
      <c r="I1061" s="5">
        <f ca="1">PERCENTILE(D$2:D1060,0.165)</f>
        <v>12.490168311044277</v>
      </c>
      <c r="J1061" s="5">
        <f ca="1">PERCENTILE(D$2:D1060,0.5)</f>
        <v>60.075966485943709</v>
      </c>
      <c r="K1061" s="5">
        <f ca="1">PERCENTILE(D$2:D1060,0.835)</f>
        <v>266.06380040429184</v>
      </c>
      <c r="L1061" s="5">
        <f ca="1">PERCENTILE(D$2:D1060,0.975)</f>
        <v>1520.884859555337</v>
      </c>
      <c r="M1061" s="7">
        <f>AVERAGE(E$2:E1060)</f>
        <v>1.2222274325908566</v>
      </c>
      <c r="N1061" s="7">
        <f>PERCENTILE($E$2:$E1060,0.025)</f>
        <v>-1.1000000000000001</v>
      </c>
      <c r="O1061" s="7">
        <f>PERCENTILE($E$2:$E1060,0.165)</f>
        <v>0</v>
      </c>
      <c r="P1061" s="7">
        <f>PERCENTILE($E$2:$E1060,0.5)</f>
        <v>1</v>
      </c>
      <c r="Q1061" s="7">
        <f>PERCENTILE($E$2:$E1060,0.835)</f>
        <v>3</v>
      </c>
      <c r="R1061" s="7">
        <f>PERCENTILE($E$2:$E1060,0.975)</f>
        <v>3</v>
      </c>
    </row>
    <row r="1062" spans="1:18" x14ac:dyDescent="0.2">
      <c r="A1062" s="5">
        <f>Data!E1045</f>
        <v>2014</v>
      </c>
      <c r="B1062" s="5">
        <f>Data!M1045</f>
        <v>0.21142857142857144</v>
      </c>
      <c r="C1062" s="5">
        <f>Data!N1045</f>
        <v>2.8571428571428571E-2</v>
      </c>
      <c r="D1062" s="5">
        <f ca="1">Data!O1045</f>
        <v>225.37187226208727</v>
      </c>
      <c r="E1062" s="1">
        <f>Data!AQ1045</f>
        <v>0.1</v>
      </c>
      <c r="F1062" t="str">
        <f t="shared" si="17"/>
        <v/>
      </c>
      <c r="G1062" s="5">
        <f ca="1">AVERAGE(D$2:D1061)</f>
        <v>349.00165604519458</v>
      </c>
      <c r="H1062" s="5">
        <f ca="1">PERCENTILE(D$2:D1061,0.025)</f>
        <v>-1.3573585165853568</v>
      </c>
      <c r="I1062" s="5">
        <f ca="1">PERCENTILE(D$2:D1061,0.165)</f>
        <v>12.528920976161787</v>
      </c>
      <c r="J1062" s="5">
        <f ca="1">PERCENTILE(D$2:D1061,0.5)</f>
        <v>60.075966485943709</v>
      </c>
      <c r="K1062" s="5">
        <f ca="1">PERCENTILE(D$2:D1061,0.835)</f>
        <v>265.65559792357527</v>
      </c>
      <c r="L1062" s="5">
        <f ca="1">PERCENTILE(D$2:D1061,0.975)</f>
        <v>1519.9355477573636</v>
      </c>
      <c r="M1062" s="7">
        <f>AVERAGE(E$2:E1061)</f>
        <v>1.2219672131147548</v>
      </c>
      <c r="N1062" s="7">
        <f>PERCENTILE($E$2:$E1061,0.025)</f>
        <v>-1.1000000000000001</v>
      </c>
      <c r="O1062" s="7">
        <f>PERCENTILE($E$2:$E1061,0.165)</f>
        <v>0</v>
      </c>
      <c r="P1062" s="7">
        <f>PERCENTILE($E$2:$E1061,0.5)</f>
        <v>1</v>
      </c>
      <c r="Q1062" s="7">
        <f>PERCENTILE($E$2:$E1061,0.835)</f>
        <v>3</v>
      </c>
      <c r="R1062" s="7">
        <f>PERCENTILE($E$2:$E1061,0.975)</f>
        <v>3</v>
      </c>
    </row>
    <row r="1063" spans="1:18" x14ac:dyDescent="0.2">
      <c r="A1063" s="5">
        <f>Data!E1046</f>
        <v>2014</v>
      </c>
      <c r="B1063" s="5">
        <f>Data!M1046</f>
        <v>0.21142857142857144</v>
      </c>
      <c r="C1063" s="5">
        <f>Data!N1046</f>
        <v>2.8571428571428571E-2</v>
      </c>
      <c r="D1063" s="5">
        <f ca="1">Data!O1046</f>
        <v>39.350644363221591</v>
      </c>
      <c r="E1063" s="1">
        <f>Data!AQ1046</f>
        <v>3</v>
      </c>
      <c r="F1063" t="str">
        <f t="shared" si="17"/>
        <v/>
      </c>
      <c r="G1063" s="5">
        <f ca="1">AVERAGE(D$2:D1062)</f>
        <v>348.88513410006442</v>
      </c>
      <c r="H1063" s="5">
        <f ca="1">PERCENTILE(D$2:D1062,0.025)</f>
        <v>-1.3513067377916737</v>
      </c>
      <c r="I1063" s="5">
        <f ca="1">PERCENTILE(D$2:D1062,0.165)</f>
        <v>12.567673641279297</v>
      </c>
      <c r="J1063" s="5">
        <f ca="1">PERCENTILE(D$2:D1062,0.5)</f>
        <v>60.075966485943709</v>
      </c>
      <c r="K1063" s="5">
        <f ca="1">PERCENTILE(D$2:D1062,0.835)</f>
        <v>265.24739544285836</v>
      </c>
      <c r="L1063" s="5">
        <f ca="1">PERCENTILE(D$2:D1062,0.975)</f>
        <v>1518.986235959399</v>
      </c>
      <c r="M1063" s="7">
        <f>AVERAGE(E$2:E1062)</f>
        <v>1.2206549707602345</v>
      </c>
      <c r="N1063" s="7">
        <f>PERCENTILE($E$2:$E1062,0.025)</f>
        <v>-1.1000000000000001</v>
      </c>
      <c r="O1063" s="7">
        <f>PERCENTILE($E$2:$E1062,0.165)</f>
        <v>0</v>
      </c>
      <c r="P1063" s="7">
        <f>PERCENTILE($E$2:$E1062,0.5)</f>
        <v>1</v>
      </c>
      <c r="Q1063" s="7">
        <f>PERCENTILE($E$2:$E1062,0.835)</f>
        <v>3</v>
      </c>
      <c r="R1063" s="7">
        <f>PERCENTILE($E$2:$E1062,0.975)</f>
        <v>3</v>
      </c>
    </row>
    <row r="1064" spans="1:18" x14ac:dyDescent="0.2">
      <c r="A1064" s="5">
        <f>Data!E1118</f>
        <v>2014</v>
      </c>
      <c r="B1064" s="5">
        <f>Data!M1118</f>
        <v>0.33684210526315789</v>
      </c>
      <c r="C1064" s="5">
        <f>Data!N1118</f>
        <v>5.2631578947368418E-2</v>
      </c>
      <c r="D1064" s="5">
        <f ca="1">Data!O1118</f>
        <v>37.979059272723035</v>
      </c>
      <c r="E1064" s="1">
        <f>Data!AQ1118</f>
        <v>1.5</v>
      </c>
      <c r="F1064" t="str">
        <f t="shared" si="17"/>
        <v/>
      </c>
      <c r="G1064" s="5">
        <f ca="1">AVERAGE(D$2:D1063)</f>
        <v>348.59367036208243</v>
      </c>
      <c r="H1064" s="5">
        <f ca="1">PERCENTILE(D$2:D1063,0.025)</f>
        <v>-1.3452549589979896</v>
      </c>
      <c r="I1064" s="5">
        <f ca="1">PERCENTILE(D$2:D1063,0.165)</f>
        <v>12.593039701490566</v>
      </c>
      <c r="J1064" s="5">
        <f ca="1">PERCENTILE(D$2:D1063,0.5)</f>
        <v>60.075966485943709</v>
      </c>
      <c r="K1064" s="5">
        <f ca="1">PERCENTILE(D$2:D1063,0.835)</f>
        <v>264.8705118110235</v>
      </c>
      <c r="L1064" s="5">
        <f ca="1">PERCENTILE(D$2:D1063,0.975)</f>
        <v>1518.0369241614255</v>
      </c>
      <c r="M1064" s="7">
        <f>AVERAGE(E$2:E1063)</f>
        <v>1.2227336448598136</v>
      </c>
      <c r="N1064" s="7">
        <f>PERCENTILE($E$2:$E1063,0.025)</f>
        <v>-1.1000000000000001</v>
      </c>
      <c r="O1064" s="7">
        <f>PERCENTILE($E$2:$E1063,0.165)</f>
        <v>0</v>
      </c>
      <c r="P1064" s="7">
        <f>PERCENTILE($E$2:$E1063,0.5)</f>
        <v>1</v>
      </c>
      <c r="Q1064" s="7">
        <f>PERCENTILE($E$2:$E1063,0.835)</f>
        <v>3</v>
      </c>
      <c r="R1064" s="7">
        <f>PERCENTILE($E$2:$E1063,0.975)</f>
        <v>3</v>
      </c>
    </row>
    <row r="1065" spans="1:18" x14ac:dyDescent="0.2">
      <c r="A1065" s="5">
        <f>Data!E1119</f>
        <v>2014</v>
      </c>
      <c r="B1065" s="5">
        <f>Data!M1119</f>
        <v>0.67368421052631577</v>
      </c>
      <c r="C1065" s="5">
        <f>Data!N1119</f>
        <v>0.10526315789473684</v>
      </c>
      <c r="D1065" s="5">
        <f ca="1">Data!O1119</f>
        <v>51.271730018176093</v>
      </c>
      <c r="E1065" s="1">
        <f>Data!AQ1119</f>
        <v>1.5</v>
      </c>
      <c r="F1065" t="str">
        <f t="shared" si="17"/>
        <v/>
      </c>
      <c r="G1065" s="5">
        <f ca="1">AVERAGE(D$2:D1064)</f>
        <v>348.3014647072477</v>
      </c>
      <c r="H1065" s="5">
        <f ca="1">PERCENTILE(D$2:D1064,0.025)</f>
        <v>-1.3392031802043063</v>
      </c>
      <c r="I1065" s="5">
        <f ca="1">PERCENTILE(D$2:D1064,0.165)</f>
        <v>12.597810984923006</v>
      </c>
      <c r="J1065" s="5">
        <f ca="1">PERCENTILE(D$2:D1064,0.5)</f>
        <v>60.075966485943709</v>
      </c>
      <c r="K1065" s="5">
        <f ca="1">PERCENTILE(D$2:D1064,0.835)</f>
        <v>264.54181102362202</v>
      </c>
      <c r="L1065" s="5">
        <f ca="1">PERCENTILE(D$2:D1064,0.975)</f>
        <v>1517.0876123634607</v>
      </c>
      <c r="M1065" s="7">
        <f>AVERAGE(E$2:E1064)</f>
        <v>1.2230571761960334</v>
      </c>
      <c r="N1065" s="7">
        <f>PERCENTILE($E$2:$E1064,0.025)</f>
        <v>-1.1000000000000001</v>
      </c>
      <c r="O1065" s="7">
        <f>PERCENTILE($E$2:$E1064,0.165)</f>
        <v>0</v>
      </c>
      <c r="P1065" s="7">
        <f>PERCENTILE($E$2:$E1064,0.5)</f>
        <v>1</v>
      </c>
      <c r="Q1065" s="7">
        <f>PERCENTILE($E$2:$E1064,0.835)</f>
        <v>3</v>
      </c>
      <c r="R1065" s="7">
        <f>PERCENTILE($E$2:$E1064,0.975)</f>
        <v>3</v>
      </c>
    </row>
    <row r="1066" spans="1:18" x14ac:dyDescent="0.2">
      <c r="A1066" s="5">
        <f>Data!E1120</f>
        <v>2014</v>
      </c>
      <c r="B1066" s="5">
        <f>Data!M1120</f>
        <v>0.67368421052631577</v>
      </c>
      <c r="C1066" s="5">
        <f>Data!N1120</f>
        <v>0.10526315789473684</v>
      </c>
      <c r="D1066" s="5">
        <f ca="1">Data!O1120</f>
        <v>53.170682981812249</v>
      </c>
      <c r="E1066" s="1">
        <f>Data!AQ1120</f>
        <v>1.5</v>
      </c>
      <c r="F1066" t="str">
        <f t="shared" si="17"/>
        <v/>
      </c>
      <c r="G1066" s="5">
        <f ca="1">AVERAGE(D$2:D1065)</f>
        <v>348.02230142276551</v>
      </c>
      <c r="H1066" s="5">
        <f ca="1">PERCENTILE(D$2:D1065,0.025)</f>
        <v>-1.3331514014106223</v>
      </c>
      <c r="I1066" s="5">
        <f ca="1">PERCENTILE(D$2:D1065,0.165)</f>
        <v>12.602582268355444</v>
      </c>
      <c r="J1066" s="5">
        <f ca="1">PERCENTILE(D$2:D1065,0.5)</f>
        <v>60.010828687428869</v>
      </c>
      <c r="K1066" s="5">
        <f ca="1">PERCENTILE(D$2:D1065,0.835)</f>
        <v>264.21311023622053</v>
      </c>
      <c r="L1066" s="5">
        <f ca="1">PERCENTILE(D$2:D1065,0.975)</f>
        <v>1516.1383005654873</v>
      </c>
      <c r="M1066" s="7">
        <f>AVERAGE(E$2:E1065)</f>
        <v>1.2233799533799541</v>
      </c>
      <c r="N1066" s="7">
        <f>PERCENTILE($E$2:$E1065,0.025)</f>
        <v>-1.1000000000000001</v>
      </c>
      <c r="O1066" s="7">
        <f>PERCENTILE($E$2:$E1065,0.165)</f>
        <v>0</v>
      </c>
      <c r="P1066" s="7">
        <f>PERCENTILE($E$2:$E1065,0.5)</f>
        <v>1</v>
      </c>
      <c r="Q1066" s="7">
        <f>PERCENTILE($E$2:$E1065,0.835)</f>
        <v>3</v>
      </c>
      <c r="R1066" s="7">
        <f>PERCENTILE($E$2:$E1065,0.975)</f>
        <v>3</v>
      </c>
    </row>
    <row r="1067" spans="1:18" x14ac:dyDescent="0.2">
      <c r="A1067" s="5">
        <f>Data!E1121</f>
        <v>2014</v>
      </c>
      <c r="B1067" s="5">
        <f>Data!M1121</f>
        <v>0.67368421052631577</v>
      </c>
      <c r="C1067" s="5">
        <f>Data!N1121</f>
        <v>0.10526315789473684</v>
      </c>
      <c r="D1067" s="5">
        <f ca="1">Data!O1121</f>
        <v>62.665447799993011</v>
      </c>
      <c r="E1067" s="1">
        <f>Data!AQ1121</f>
        <v>1.5</v>
      </c>
      <c r="F1067" t="str">
        <f t="shared" si="17"/>
        <v/>
      </c>
      <c r="G1067" s="5">
        <f ca="1">AVERAGE(D$2:D1066)</f>
        <v>347.74544544300869</v>
      </c>
      <c r="H1067" s="5">
        <f ca="1">PERCENTILE(D$2:D1066,0.025)</f>
        <v>-1.3270996226169389</v>
      </c>
      <c r="I1067" s="5">
        <f ca="1">PERCENTILE(D$2:D1066,0.165)</f>
        <v>12.607353551787883</v>
      </c>
      <c r="J1067" s="5">
        <f ca="1">PERCENTILE(D$2:D1066,0.5)</f>
        <v>59.945690888914022</v>
      </c>
      <c r="K1067" s="5">
        <f ca="1">PERCENTILE(D$2:D1066,0.835)</f>
        <v>263.88440944881876</v>
      </c>
      <c r="L1067" s="5">
        <f ca="1">PERCENTILE(D$2:D1066,0.975)</f>
        <v>1515.1889887675138</v>
      </c>
      <c r="M1067" s="7">
        <f>AVERAGE(E$2:E1066)</f>
        <v>1.2237019790454022</v>
      </c>
      <c r="N1067" s="7">
        <f>PERCENTILE($E$2:$E1066,0.025)</f>
        <v>-1.1000000000000001</v>
      </c>
      <c r="O1067" s="7">
        <f>PERCENTILE($E$2:$E1066,0.165)</f>
        <v>0</v>
      </c>
      <c r="P1067" s="7">
        <f>PERCENTILE($E$2:$E1066,0.5)</f>
        <v>1</v>
      </c>
      <c r="Q1067" s="7">
        <f>PERCENTILE($E$2:$E1066,0.835)</f>
        <v>3</v>
      </c>
      <c r="R1067" s="7">
        <f>PERCENTILE($E$2:$E1066,0.975)</f>
        <v>3</v>
      </c>
    </row>
    <row r="1068" spans="1:18" x14ac:dyDescent="0.2">
      <c r="A1068" s="5">
        <f>Data!E1122</f>
        <v>2014</v>
      </c>
      <c r="B1068" s="5">
        <f>Data!M1122</f>
        <v>0.67368421052631577</v>
      </c>
      <c r="C1068" s="5">
        <f>Data!N1122</f>
        <v>0.10526315789473684</v>
      </c>
      <c r="D1068" s="5">
        <f ca="1">Data!O1122</f>
        <v>56.968588909084552</v>
      </c>
      <c r="E1068" s="1">
        <f>Data!AQ1122</f>
        <v>1.5</v>
      </c>
      <c r="F1068" t="str">
        <f t="shared" si="17"/>
        <v/>
      </c>
      <c r="G1068" s="5">
        <f ca="1">AVERAGE(D$2:D1067)</f>
        <v>347.47801580169261</v>
      </c>
      <c r="H1068" s="5">
        <f ca="1">PERCENTILE(D$2:D1067,0.025)</f>
        <v>-1.3210478438232558</v>
      </c>
      <c r="I1068" s="5">
        <f ca="1">PERCENTILE(D$2:D1067,0.165)</f>
        <v>12.612124835220321</v>
      </c>
      <c r="J1068" s="5">
        <f ca="1">PERCENTILE(D$2:D1067,0.5)</f>
        <v>60.010828687428869</v>
      </c>
      <c r="K1068" s="5">
        <f ca="1">PERCENTILE(D$2:D1067,0.835)</f>
        <v>263.55570866141727</v>
      </c>
      <c r="L1068" s="5">
        <f ca="1">PERCENTILE(D$2:D1067,0.975)</f>
        <v>1514.2396769695492</v>
      </c>
      <c r="M1068" s="7">
        <f>AVERAGE(E$2:E1067)</f>
        <v>1.2240232558139541</v>
      </c>
      <c r="N1068" s="7">
        <f>PERCENTILE($E$2:$E1067,0.025)</f>
        <v>-1.1000000000000001</v>
      </c>
      <c r="O1068" s="7">
        <f>PERCENTILE($E$2:$E1067,0.165)</f>
        <v>0</v>
      </c>
      <c r="P1068" s="7">
        <f>PERCENTILE($E$2:$E1067,0.5)</f>
        <v>1</v>
      </c>
      <c r="Q1068" s="7">
        <f>PERCENTILE($E$2:$E1067,0.835)</f>
        <v>3</v>
      </c>
      <c r="R1068" s="7">
        <f>PERCENTILE($E$2:$E1067,0.975)</f>
        <v>3</v>
      </c>
    </row>
    <row r="1069" spans="1:18" x14ac:dyDescent="0.2">
      <c r="A1069" s="5">
        <f>Data!E1123</f>
        <v>2014</v>
      </c>
      <c r="B1069" s="5">
        <f>Data!M1123</f>
        <v>0.67368421052631577</v>
      </c>
      <c r="C1069" s="5">
        <f>Data!N1123</f>
        <v>0.10526315789473684</v>
      </c>
      <c r="D1069" s="5">
        <f ca="1">Data!O1123</f>
        <v>53.170682981812249</v>
      </c>
      <c r="E1069" s="1">
        <f>Data!AQ1123</f>
        <v>1.5</v>
      </c>
      <c r="F1069" t="str">
        <f t="shared" si="17"/>
        <v/>
      </c>
      <c r="G1069" s="5">
        <f ca="1">AVERAGE(D$2:D1068)</f>
        <v>347.20574829757578</v>
      </c>
      <c r="H1069" s="5">
        <f ca="1">PERCENTILE(D$2:D1068,0.025)</f>
        <v>-1.3149960650295718</v>
      </c>
      <c r="I1069" s="5">
        <f ca="1">PERCENTILE(D$2:D1068,0.165)</f>
        <v>12.616896118652761</v>
      </c>
      <c r="J1069" s="5">
        <f ca="1">PERCENTILE(D$2:D1068,0.5)</f>
        <v>59.945690888914022</v>
      </c>
      <c r="K1069" s="5">
        <f ca="1">PERCENTILE(D$2:D1068,0.835)</f>
        <v>263.22700787401578</v>
      </c>
      <c r="L1069" s="5">
        <f ca="1">PERCENTILE(D$2:D1068,0.975)</f>
        <v>1513.2903651715758</v>
      </c>
      <c r="M1069" s="7">
        <f>AVERAGE(E$2:E1068)</f>
        <v>1.2243437862950064</v>
      </c>
      <c r="N1069" s="7">
        <f>PERCENTILE($E$2:$E1068,0.025)</f>
        <v>-1.1000000000000001</v>
      </c>
      <c r="O1069" s="7">
        <f>PERCENTILE($E$2:$E1068,0.165)</f>
        <v>0</v>
      </c>
      <c r="P1069" s="7">
        <f>PERCENTILE($E$2:$E1068,0.5)</f>
        <v>1</v>
      </c>
      <c r="Q1069" s="7">
        <f>PERCENTILE($E$2:$E1068,0.835)</f>
        <v>3</v>
      </c>
      <c r="R1069" s="7">
        <f>PERCENTILE($E$2:$E1068,0.975)</f>
        <v>3</v>
      </c>
    </row>
    <row r="1070" spans="1:18" x14ac:dyDescent="0.2">
      <c r="A1070" s="5">
        <f>Data!E1124</f>
        <v>2014</v>
      </c>
      <c r="B1070" s="5">
        <f>Data!M1124</f>
        <v>1.3473684210526315</v>
      </c>
      <c r="C1070" s="5">
        <f>Data!N1124</f>
        <v>0.21052631578947367</v>
      </c>
      <c r="D1070" s="5">
        <f ca="1">Data!O1124</f>
        <v>45.574871127267635</v>
      </c>
      <c r="E1070" s="1">
        <f>Data!AQ1124</f>
        <v>1.5</v>
      </c>
      <c r="F1070" t="str">
        <f t="shared" si="17"/>
        <v/>
      </c>
      <c r="G1070" s="5">
        <f ca="1">AVERAGE(D$2:D1069)</f>
        <v>346.93043456600668</v>
      </c>
      <c r="H1070" s="5">
        <f ca="1">PERCENTILE(D$2:D1069,0.025)</f>
        <v>-1.3089442862358884</v>
      </c>
      <c r="I1070" s="5">
        <f ca="1">PERCENTILE(D$2:D1069,0.165)</f>
        <v>12.631077706568561</v>
      </c>
      <c r="J1070" s="5">
        <f ca="1">PERCENTILE(D$2:D1069,0.5)</f>
        <v>59.943477117930861</v>
      </c>
      <c r="K1070" s="5">
        <f ca="1">PERCENTILE(D$2:D1069,0.835)</f>
        <v>262.87432893438307</v>
      </c>
      <c r="L1070" s="5">
        <f ca="1">PERCENTILE(D$2:D1069,0.975)</f>
        <v>1512.341053373611</v>
      </c>
      <c r="M1070" s="7">
        <f>AVERAGE(E$2:E1069)</f>
        <v>1.2246635730858475</v>
      </c>
      <c r="N1070" s="7">
        <f>PERCENTILE($E$2:$E1069,0.025)</f>
        <v>-1.1000000000000001</v>
      </c>
      <c r="O1070" s="7">
        <f>PERCENTILE($E$2:$E1069,0.165)</f>
        <v>0</v>
      </c>
      <c r="P1070" s="7">
        <f>PERCENTILE($E$2:$E1069,0.5)</f>
        <v>1</v>
      </c>
      <c r="Q1070" s="7">
        <f>PERCENTILE($E$2:$E1069,0.835)</f>
        <v>3</v>
      </c>
      <c r="R1070" s="7">
        <f>PERCENTILE($E$2:$E1069,0.975)</f>
        <v>3</v>
      </c>
    </row>
    <row r="1071" spans="1:18" x14ac:dyDescent="0.2">
      <c r="A1071" s="5">
        <f>Data!E1125</f>
        <v>2014</v>
      </c>
      <c r="B1071" s="5">
        <f>Data!M1125</f>
        <v>1.3473684210526315</v>
      </c>
      <c r="C1071" s="5">
        <f>Data!N1125</f>
        <v>0.21052631578947367</v>
      </c>
      <c r="D1071" s="5">
        <f ca="1">Data!O1125</f>
        <v>45.574871127267635</v>
      </c>
      <c r="E1071" s="1">
        <f>Data!AQ1125</f>
        <v>1.5</v>
      </c>
      <c r="F1071" t="str">
        <f t="shared" si="17"/>
        <v/>
      </c>
      <c r="G1071" s="5">
        <f ca="1">AVERAGE(D$2:D1070)</f>
        <v>346.64853039066645</v>
      </c>
      <c r="H1071" s="5">
        <f ca="1">PERCENTILE(D$2:D1070,0.025)</f>
        <v>-1.3028925074422044</v>
      </c>
      <c r="I1071" s="5">
        <f ca="1">PERCENTILE(D$2:D1070,0.165)</f>
        <v>12.664079903451082</v>
      </c>
      <c r="J1071" s="5">
        <f ca="1">PERCENTILE(D$2:D1070,0.5)</f>
        <v>59.9412633469477</v>
      </c>
      <c r="K1071" s="5">
        <f ca="1">PERCENTILE(D$2:D1070,0.835)</f>
        <v>262.47369369028866</v>
      </c>
      <c r="L1071" s="5">
        <f ca="1">PERCENTILE(D$2:D1070,0.975)</f>
        <v>1511.3917415756375</v>
      </c>
      <c r="M1071" s="7">
        <f>AVERAGE(E$2:E1070)</f>
        <v>1.2249826187717272</v>
      </c>
      <c r="N1071" s="7">
        <f>PERCENTILE($E$2:$E1070,0.025)</f>
        <v>-1.1000000000000001</v>
      </c>
      <c r="O1071" s="7">
        <f>PERCENTILE($E$2:$E1070,0.165)</f>
        <v>0</v>
      </c>
      <c r="P1071" s="7">
        <f>PERCENTILE($E$2:$E1070,0.5)</f>
        <v>1</v>
      </c>
      <c r="Q1071" s="7">
        <f>PERCENTILE($E$2:$E1070,0.835)</f>
        <v>3</v>
      </c>
      <c r="R1071" s="7">
        <f>PERCENTILE($E$2:$E1070,0.975)</f>
        <v>3</v>
      </c>
    </row>
    <row r="1072" spans="1:18" x14ac:dyDescent="0.2">
      <c r="A1072" s="5">
        <f>Data!E482</f>
        <v>2015</v>
      </c>
      <c r="B1072" s="5">
        <f>Data!M482</f>
        <v>0.65</v>
      </c>
      <c r="C1072" s="5">
        <f>Data!N482</f>
        <v>0.1</v>
      </c>
      <c r="D1072" s="5">
        <f ca="1">Data!O482</f>
        <v>44.169744513539179</v>
      </c>
      <c r="E1072" s="1">
        <f>Data!AQ482</f>
        <v>3</v>
      </c>
      <c r="F1072">
        <f t="shared" si="17"/>
        <v>2015</v>
      </c>
      <c r="G1072" s="5">
        <f ca="1">AVERAGE(D$2:D1071)</f>
        <v>346.3671531390184</v>
      </c>
      <c r="H1072" s="5">
        <f ca="1">PERCENTILE(D$2:D1071,0.025)</f>
        <v>-1.2968407286485211</v>
      </c>
      <c r="I1072" s="5">
        <f ca="1">PERCENTILE(D$2:D1071,0.165)</f>
        <v>12.697082100333608</v>
      </c>
      <c r="J1072" s="5">
        <f ca="1">PERCENTILE(D$2:D1071,0.5)</f>
        <v>59.915964498406019</v>
      </c>
      <c r="K1072" s="5">
        <f ca="1">PERCENTILE(D$2:D1071,0.835)</f>
        <v>262.07305844619424</v>
      </c>
      <c r="L1072" s="5">
        <f ca="1">PERCENTILE(D$2:D1071,0.975)</f>
        <v>1510.4424297776643</v>
      </c>
      <c r="M1072" s="7">
        <f>AVERAGE(E$2:E1071)</f>
        <v>1.2253009259259267</v>
      </c>
      <c r="N1072" s="7">
        <f>PERCENTILE($E$2:$E1071,0.025)</f>
        <v>-1.1000000000000001</v>
      </c>
      <c r="O1072" s="7">
        <f>PERCENTILE($E$2:$E1071,0.165)</f>
        <v>0</v>
      </c>
      <c r="P1072" s="7">
        <f>PERCENTILE($E$2:$E1071,0.5)</f>
        <v>1</v>
      </c>
      <c r="Q1072" s="7">
        <f>PERCENTILE($E$2:$E1071,0.835)</f>
        <v>3</v>
      </c>
      <c r="R1072" s="7">
        <f>PERCENTILE($E$2:$E1071,0.975)</f>
        <v>3</v>
      </c>
    </row>
    <row r="1073" spans="1:18" x14ac:dyDescent="0.2">
      <c r="A1073" s="5">
        <f>Data!E483</f>
        <v>2015</v>
      </c>
      <c r="B1073" s="5">
        <f>Data!M483</f>
        <v>5.8500000000000005</v>
      </c>
      <c r="C1073" s="5">
        <f>Data!N483</f>
        <v>0.9</v>
      </c>
      <c r="D1073" s="5">
        <f ca="1">Data!O483</f>
        <v>66.916561170375431</v>
      </c>
      <c r="E1073" s="1">
        <f>Data!AQ483</f>
        <v>3</v>
      </c>
      <c r="F1073" t="str">
        <f t="shared" si="17"/>
        <v/>
      </c>
      <c r="G1073" s="5">
        <f ca="1">AVERAGE(D$2:D1072)</f>
        <v>346.08498935878919</v>
      </c>
      <c r="H1073" s="5">
        <f ca="1">PERCENTILE(D$2:D1072,0.025)</f>
        <v>-1.2907889498548379</v>
      </c>
      <c r="I1073" s="5">
        <f ca="1">PERCENTILE(D$2:D1072,0.165)</f>
        <v>12.730084297216127</v>
      </c>
      <c r="J1073" s="5">
        <f ca="1">PERCENTILE(D$2:D1072,0.5)</f>
        <v>59.890665649864339</v>
      </c>
      <c r="K1073" s="5">
        <f ca="1">PERCENTILE(D$2:D1072,0.835)</f>
        <v>261.67242320209959</v>
      </c>
      <c r="L1073" s="5">
        <f ca="1">PERCENTILE(D$2:D1072,0.975)</f>
        <v>1509.4931179796995</v>
      </c>
      <c r="M1073" s="7">
        <f>AVERAGE(E$2:E1072)</f>
        <v>1.22735260115607</v>
      </c>
      <c r="N1073" s="7">
        <f>PERCENTILE($E$2:$E1072,0.025)</f>
        <v>-1.1000000000000001</v>
      </c>
      <c r="O1073" s="7">
        <f>PERCENTILE($E$2:$E1072,0.165)</f>
        <v>0</v>
      </c>
      <c r="P1073" s="7">
        <f>PERCENTILE($E$2:$E1072,0.5)</f>
        <v>1</v>
      </c>
      <c r="Q1073" s="7">
        <f>PERCENTILE($E$2:$E1072,0.835)</f>
        <v>3</v>
      </c>
      <c r="R1073" s="7">
        <f>PERCENTILE($E$2:$E1072,0.975)</f>
        <v>3</v>
      </c>
    </row>
    <row r="1074" spans="1:18" x14ac:dyDescent="0.2">
      <c r="A1074" s="5">
        <f>Data!E793</f>
        <v>2015</v>
      </c>
      <c r="B1074" s="5">
        <f>Data!M793</f>
        <v>2.1666666666666665</v>
      </c>
      <c r="C1074" s="5">
        <f>Data!N793</f>
        <v>0.33333333333333331</v>
      </c>
      <c r="D1074" s="5">
        <f ca="1">Data!O793</f>
        <v>38.56134631028285</v>
      </c>
      <c r="E1074" s="1" t="str">
        <f>Data!AQ793</f>
        <v>NA</v>
      </c>
      <c r="F1074" t="str">
        <f t="shared" si="17"/>
        <v/>
      </c>
      <c r="G1074" s="5">
        <f ca="1">AVERAGE(D$2:D1073)</f>
        <v>345.82457104891188</v>
      </c>
      <c r="H1074" s="5">
        <f ca="1">PERCENTILE(D$2:D1073,0.025)</f>
        <v>-1.2847371710611539</v>
      </c>
      <c r="I1074" s="5">
        <f ca="1">PERCENTILE(D$2:D1073,0.165)</f>
        <v>12.763086494098648</v>
      </c>
      <c r="J1074" s="5">
        <f ca="1">PERCENTILE(D$2:D1073,0.5)</f>
        <v>59.915964498406019</v>
      </c>
      <c r="K1074" s="5">
        <f ca="1">PERCENTILE(D$2:D1073,0.835)</f>
        <v>261.27178795800518</v>
      </c>
      <c r="L1074" s="5">
        <f ca="1">PERCENTILE(D$2:D1073,0.975)</f>
        <v>1508.543806181726</v>
      </c>
      <c r="M1074" s="7">
        <f>AVERAGE(E$2:E1073)</f>
        <v>1.2293995381062361</v>
      </c>
      <c r="N1074" s="7">
        <f>PERCENTILE($E$2:$E1073,0.025)</f>
        <v>-1.1000000000000001</v>
      </c>
      <c r="O1074" s="7">
        <f>PERCENTILE($E$2:$E1073,0.165)</f>
        <v>0</v>
      </c>
      <c r="P1074" s="7">
        <f>PERCENTILE($E$2:$E1073,0.5)</f>
        <v>1</v>
      </c>
      <c r="Q1074" s="7">
        <f>PERCENTILE($E$2:$E1073,0.835)</f>
        <v>3</v>
      </c>
      <c r="R1074" s="7">
        <f>PERCENTILE($E$2:$E1073,0.975)</f>
        <v>3</v>
      </c>
    </row>
    <row r="1075" spans="1:18" x14ac:dyDescent="0.2">
      <c r="A1075" s="5">
        <f>Data!E794</f>
        <v>2015</v>
      </c>
      <c r="B1075" s="5">
        <f>Data!M794</f>
        <v>2.1666666666666665</v>
      </c>
      <c r="C1075" s="5">
        <f>Data!N794</f>
        <v>0.33333333333333331</v>
      </c>
      <c r="D1075" s="5">
        <f ca="1">Data!O794</f>
        <v>123.39630819290511</v>
      </c>
      <c r="E1075" s="1" t="str">
        <f>Data!AQ794</f>
        <v>NA</v>
      </c>
      <c r="F1075" t="str">
        <f t="shared" si="17"/>
        <v/>
      </c>
      <c r="G1075" s="5">
        <f ca="1">AVERAGE(D$2:D1074)</f>
        <v>345.5382120323801</v>
      </c>
      <c r="H1075" s="5">
        <f ca="1">PERCENTILE(D$2:D1074,0.025)</f>
        <v>-1.2786853922674706</v>
      </c>
      <c r="I1075" s="5">
        <f ca="1">PERCENTILE(D$2:D1074,0.165)</f>
        <v>12.796088690981168</v>
      </c>
      <c r="J1075" s="5">
        <f ca="1">PERCENTILE(D$2:D1074,0.5)</f>
        <v>59.890665649864339</v>
      </c>
      <c r="K1075" s="5">
        <f ca="1">PERCENTILE(D$2:D1074,0.835)</f>
        <v>260.87115271391076</v>
      </c>
      <c r="L1075" s="5">
        <f ca="1">PERCENTILE(D$2:D1074,0.975)</f>
        <v>1507.5944943837612</v>
      </c>
      <c r="M1075" s="7">
        <f>AVERAGE(E$2:E1074)</f>
        <v>1.2293995381062361</v>
      </c>
      <c r="N1075" s="7">
        <f>PERCENTILE($E$2:$E1074,0.025)</f>
        <v>-1.1000000000000001</v>
      </c>
      <c r="O1075" s="7">
        <f>PERCENTILE($E$2:$E1074,0.165)</f>
        <v>0</v>
      </c>
      <c r="P1075" s="7">
        <f>PERCENTILE($E$2:$E1074,0.5)</f>
        <v>1</v>
      </c>
      <c r="Q1075" s="7">
        <f>PERCENTILE($E$2:$E1074,0.835)</f>
        <v>3</v>
      </c>
      <c r="R1075" s="7">
        <f>PERCENTILE($E$2:$E1074,0.975)</f>
        <v>3</v>
      </c>
    </row>
    <row r="1076" spans="1:18" x14ac:dyDescent="0.2">
      <c r="A1076" s="5">
        <f>Data!E795</f>
        <v>2015</v>
      </c>
      <c r="B1076" s="5">
        <f>Data!M795</f>
        <v>2.1666666666666665</v>
      </c>
      <c r="C1076" s="5">
        <f>Data!N795</f>
        <v>0.33333333333333331</v>
      </c>
      <c r="D1076" s="5">
        <f ca="1">Data!O795</f>
        <v>258.36102027889507</v>
      </c>
      <c r="E1076" s="1" t="str">
        <f>Data!AQ795</f>
        <v>NA</v>
      </c>
      <c r="F1076" t="str">
        <f t="shared" si="17"/>
        <v/>
      </c>
      <c r="G1076" s="5">
        <f ca="1">AVERAGE(D$2:D1075)</f>
        <v>345.33137599528567</v>
      </c>
      <c r="H1076" s="5">
        <f ca="1">PERCENTILE(D$2:D1075,0.025)</f>
        <v>-1.2726336134737866</v>
      </c>
      <c r="I1076" s="5">
        <f ca="1">PERCENTILE(D$2:D1075,0.165)</f>
        <v>12.821983316959006</v>
      </c>
      <c r="J1076" s="5">
        <f ca="1">PERCENTILE(D$2:D1075,0.5)</f>
        <v>59.915964498406019</v>
      </c>
      <c r="K1076" s="5">
        <f ca="1">PERCENTILE(D$2:D1075,0.835)</f>
        <v>260.52464220631731</v>
      </c>
      <c r="L1076" s="5">
        <f ca="1">PERCENTILE(D$2:D1075,0.975)</f>
        <v>1506.6451825857878</v>
      </c>
      <c r="M1076" s="7">
        <f>AVERAGE(E$2:E1075)</f>
        <v>1.2293995381062361</v>
      </c>
      <c r="N1076" s="7">
        <f>PERCENTILE($E$2:$E1075,0.025)</f>
        <v>-1.1000000000000001</v>
      </c>
      <c r="O1076" s="7">
        <f>PERCENTILE($E$2:$E1075,0.165)</f>
        <v>0</v>
      </c>
      <c r="P1076" s="7">
        <f>PERCENTILE($E$2:$E1075,0.5)</f>
        <v>1</v>
      </c>
      <c r="Q1076" s="7">
        <f>PERCENTILE($E$2:$E1075,0.835)</f>
        <v>3</v>
      </c>
      <c r="R1076" s="7">
        <f>PERCENTILE($E$2:$E1075,0.975)</f>
        <v>3</v>
      </c>
    </row>
    <row r="1077" spans="1:18" x14ac:dyDescent="0.2">
      <c r="A1077" s="5">
        <f>Data!E796</f>
        <v>2015</v>
      </c>
      <c r="B1077" s="5">
        <f>Data!M796</f>
        <v>0.8125</v>
      </c>
      <c r="C1077" s="5">
        <f>Data!N796</f>
        <v>0.125</v>
      </c>
      <c r="D1077" s="5">
        <f ca="1">Data!O796</f>
        <v>73.706513674350319</v>
      </c>
      <c r="E1077" s="1">
        <f>Data!AQ796</f>
        <v>0.1</v>
      </c>
      <c r="F1077" t="str">
        <f t="shared" si="17"/>
        <v/>
      </c>
      <c r="G1077" s="5">
        <f ca="1">AVERAGE(D$2:D1076)</f>
        <v>345.25047333880531</v>
      </c>
      <c r="H1077" s="5">
        <f ca="1">PERCENTILE(D$2:D1076,0.025)</f>
        <v>-1.2665818346801032</v>
      </c>
      <c r="I1077" s="5">
        <f ca="1">PERCENTILE(D$2:D1076,0.165)</f>
        <v>12.828924420524348</v>
      </c>
      <c r="J1077" s="5">
        <f ca="1">PERCENTILE(D$2:D1076,0.5)</f>
        <v>59.9412633469477</v>
      </c>
      <c r="K1077" s="5">
        <f ca="1">PERCENTILE(D$2:D1076,0.835)</f>
        <v>260.32246432939365</v>
      </c>
      <c r="L1077" s="5">
        <f ca="1">PERCENTILE(D$2:D1076,0.975)</f>
        <v>1505.6958707878146</v>
      </c>
      <c r="M1077" s="7">
        <f>AVERAGE(E$2:E1076)</f>
        <v>1.2293995381062361</v>
      </c>
      <c r="N1077" s="7">
        <f>PERCENTILE($E$2:$E1076,0.025)</f>
        <v>-1.1000000000000001</v>
      </c>
      <c r="O1077" s="7">
        <f>PERCENTILE($E$2:$E1076,0.165)</f>
        <v>0</v>
      </c>
      <c r="P1077" s="7">
        <f>PERCENTILE($E$2:$E1076,0.5)</f>
        <v>1</v>
      </c>
      <c r="Q1077" s="7">
        <f>PERCENTILE($E$2:$E1076,0.835)</f>
        <v>3</v>
      </c>
      <c r="R1077" s="7">
        <f>PERCENTILE($E$2:$E1076,0.975)</f>
        <v>3</v>
      </c>
    </row>
    <row r="1078" spans="1:18" x14ac:dyDescent="0.2">
      <c r="A1078" s="5">
        <f>Data!E797</f>
        <v>2015</v>
      </c>
      <c r="B1078" s="5">
        <f>Data!M797</f>
        <v>0.8125</v>
      </c>
      <c r="C1078" s="5">
        <f>Data!N797</f>
        <v>0.125</v>
      </c>
      <c r="D1078" s="5">
        <f ca="1">Data!O797</f>
        <v>68.441762697611011</v>
      </c>
      <c r="E1078" s="1">
        <f>Data!AQ797</f>
        <v>0.1</v>
      </c>
      <c r="F1078" t="str">
        <f t="shared" si="17"/>
        <v/>
      </c>
      <c r="G1078" s="5">
        <f ca="1">AVERAGE(D$2:D1077)</f>
        <v>344.99810906402416</v>
      </c>
      <c r="H1078" s="5">
        <f ca="1">PERCENTILE(D$2:D1077,0.025)</f>
        <v>-1.2605300558864201</v>
      </c>
      <c r="I1078" s="5">
        <f ca="1">PERCENTILE(D$2:D1077,0.165)</f>
        <v>12.835865524089691</v>
      </c>
      <c r="J1078" s="5">
        <f ca="1">PERCENTILE(D$2:D1077,0.5)</f>
        <v>59.943477117930861</v>
      </c>
      <c r="K1078" s="5">
        <f ca="1">PERCENTILE(D$2:D1077,0.835)</f>
        <v>260.12028645247</v>
      </c>
      <c r="L1078" s="5">
        <f ca="1">PERCENTILE(D$2:D1077,0.975)</f>
        <v>1504.7465589898497</v>
      </c>
      <c r="M1078" s="7">
        <f>AVERAGE(E$2:E1077)</f>
        <v>1.2280968858131494</v>
      </c>
      <c r="N1078" s="7">
        <f>PERCENTILE($E$2:$E1077,0.025)</f>
        <v>-1.1000000000000001</v>
      </c>
      <c r="O1078" s="7">
        <f>PERCENTILE($E$2:$E1077,0.165)</f>
        <v>0</v>
      </c>
      <c r="P1078" s="7">
        <f>PERCENTILE($E$2:$E1077,0.5)</f>
        <v>1</v>
      </c>
      <c r="Q1078" s="7">
        <f>PERCENTILE($E$2:$E1077,0.835)</f>
        <v>3</v>
      </c>
      <c r="R1078" s="7">
        <f>PERCENTILE($E$2:$E1077,0.975)</f>
        <v>3</v>
      </c>
    </row>
    <row r="1079" spans="1:18" x14ac:dyDescent="0.2">
      <c r="A1079" s="5">
        <f>Data!E798</f>
        <v>2015</v>
      </c>
      <c r="B1079" s="5">
        <f>Data!M798</f>
        <v>0.8125</v>
      </c>
      <c r="C1079" s="5">
        <f>Data!N798</f>
        <v>0.125</v>
      </c>
      <c r="D1079" s="5">
        <f ca="1">Data!O798</f>
        <v>68.441762697611011</v>
      </c>
      <c r="E1079" s="1">
        <f>Data!AQ798</f>
        <v>0.1</v>
      </c>
      <c r="F1079" t="str">
        <f t="shared" si="17"/>
        <v/>
      </c>
      <c r="G1079" s="5">
        <f ca="1">AVERAGE(D$2:D1078)</f>
        <v>344.74132508411105</v>
      </c>
      <c r="H1079" s="5">
        <f ca="1">PERCENTILE(D$2:D1078,0.025)</f>
        <v>-1.2544782770927361</v>
      </c>
      <c r="I1079" s="5">
        <f ca="1">PERCENTILE(D$2:D1078,0.165)</f>
        <v>12.842806627655035</v>
      </c>
      <c r="J1079" s="5">
        <f ca="1">PERCENTILE(D$2:D1078,0.5)</f>
        <v>59.945690888914022</v>
      </c>
      <c r="K1079" s="5">
        <f ca="1">PERCENTILE(D$2:D1078,0.835)</f>
        <v>259.91810857554617</v>
      </c>
      <c r="L1079" s="5">
        <f ca="1">PERCENTILE(D$2:D1078,0.975)</f>
        <v>1503.7972471918763</v>
      </c>
      <c r="M1079" s="7">
        <f>AVERAGE(E$2:E1078)</f>
        <v>1.2267972350230418</v>
      </c>
      <c r="N1079" s="7">
        <f>PERCENTILE($E$2:$E1078,0.025)</f>
        <v>-1.1000000000000001</v>
      </c>
      <c r="O1079" s="7">
        <f>PERCENTILE($E$2:$E1078,0.165)</f>
        <v>0</v>
      </c>
      <c r="P1079" s="7">
        <f>PERCENTILE($E$2:$E1078,0.5)</f>
        <v>1</v>
      </c>
      <c r="Q1079" s="7">
        <f>PERCENTILE($E$2:$E1078,0.835)</f>
        <v>3</v>
      </c>
      <c r="R1079" s="7">
        <f>PERCENTILE($E$2:$E1078,0.975)</f>
        <v>3</v>
      </c>
    </row>
    <row r="1080" spans="1:18" x14ac:dyDescent="0.2">
      <c r="A1080" s="5">
        <f>Data!E799</f>
        <v>2015</v>
      </c>
      <c r="B1080" s="5">
        <f>Data!M799</f>
        <v>0.8125</v>
      </c>
      <c r="C1080" s="5">
        <f>Data!N799</f>
        <v>0.125</v>
      </c>
      <c r="D1080" s="5">
        <f ca="1">Data!O799</f>
        <v>73.706513674350319</v>
      </c>
      <c r="E1080" s="1">
        <f>Data!AQ799</f>
        <v>0.1</v>
      </c>
      <c r="F1080" t="str">
        <f t="shared" si="17"/>
        <v/>
      </c>
      <c r="G1080" s="5">
        <f ca="1">AVERAGE(D$2:D1079)</f>
        <v>344.48501751232396</v>
      </c>
      <c r="H1080" s="5">
        <f ca="1">PERCENTILE(D$2:D1079,0.025)</f>
        <v>-1.2484264982990527</v>
      </c>
      <c r="I1080" s="5">
        <f ca="1">PERCENTILE(D$2:D1079,0.165)</f>
        <v>12.849747731220377</v>
      </c>
      <c r="J1080" s="5">
        <f ca="1">PERCENTILE(D$2:D1079,0.5)</f>
        <v>60.010828687428869</v>
      </c>
      <c r="K1080" s="5">
        <f ca="1">PERCENTILE(D$2:D1079,0.835)</f>
        <v>259.71593069862251</v>
      </c>
      <c r="L1080" s="5">
        <f ca="1">PERCENTILE(D$2:D1079,0.975)</f>
        <v>1502.8479353939115</v>
      </c>
      <c r="M1080" s="7">
        <f>AVERAGE(E$2:E1079)</f>
        <v>1.2255005753739934</v>
      </c>
      <c r="N1080" s="7">
        <f>PERCENTILE($E$2:$E1079,0.025)</f>
        <v>-1.1000000000000001</v>
      </c>
      <c r="O1080" s="7">
        <f>PERCENTILE($E$2:$E1079,0.165)</f>
        <v>0</v>
      </c>
      <c r="P1080" s="7">
        <f>PERCENTILE($E$2:$E1079,0.5)</f>
        <v>1</v>
      </c>
      <c r="Q1080" s="7">
        <f>PERCENTILE($E$2:$E1079,0.835)</f>
        <v>3</v>
      </c>
      <c r="R1080" s="7">
        <f>PERCENTILE($E$2:$E1079,0.975)</f>
        <v>3</v>
      </c>
    </row>
    <row r="1081" spans="1:18" x14ac:dyDescent="0.2">
      <c r="A1081" s="5">
        <f>Data!E800</f>
        <v>2015</v>
      </c>
      <c r="B1081" s="5">
        <f>Data!M800</f>
        <v>0.8125</v>
      </c>
      <c r="C1081" s="5">
        <f>Data!N800</f>
        <v>0.125</v>
      </c>
      <c r="D1081" s="5">
        <f ca="1">Data!O800</f>
        <v>73.706513674350319</v>
      </c>
      <c r="E1081" s="1">
        <f>Data!AQ800</f>
        <v>0.1</v>
      </c>
      <c r="F1081" t="str">
        <f t="shared" si="17"/>
        <v/>
      </c>
      <c r="G1081" s="5">
        <f ca="1">AVERAGE(D$2:D1080)</f>
        <v>344.23406431136198</v>
      </c>
      <c r="H1081" s="5">
        <f ca="1">PERCENTILE(D$2:D1080,0.025)</f>
        <v>-1.2423747195053687</v>
      </c>
      <c r="I1081" s="5">
        <f ca="1">PERCENTILE(D$2:D1080,0.165)</f>
        <v>12.85668883478572</v>
      </c>
      <c r="J1081" s="5">
        <f ca="1">PERCENTILE(D$2:D1080,0.5)</f>
        <v>60.075966485943709</v>
      </c>
      <c r="K1081" s="5">
        <f ca="1">PERCENTILE(D$2:D1080,0.835)</f>
        <v>259.51375282169886</v>
      </c>
      <c r="L1081" s="5">
        <f ca="1">PERCENTILE(D$2:D1080,0.975)</f>
        <v>1501.8986235959383</v>
      </c>
      <c r="M1081" s="7">
        <f>AVERAGE(E$2:E1080)</f>
        <v>1.2242068965517243</v>
      </c>
      <c r="N1081" s="7">
        <f>PERCENTILE($E$2:$E1080,0.025)</f>
        <v>-1.1000000000000001</v>
      </c>
      <c r="O1081" s="7">
        <f>PERCENTILE($E$2:$E1080,0.165)</f>
        <v>0</v>
      </c>
      <c r="P1081" s="7">
        <f>PERCENTILE($E$2:$E1080,0.5)</f>
        <v>1</v>
      </c>
      <c r="Q1081" s="7">
        <f>PERCENTILE($E$2:$E1080,0.835)</f>
        <v>3</v>
      </c>
      <c r="R1081" s="7">
        <f>PERCENTILE($E$2:$E1080,0.975)</f>
        <v>3</v>
      </c>
    </row>
    <row r="1082" spans="1:18" x14ac:dyDescent="0.2">
      <c r="A1082" s="5">
        <f>Data!E801</f>
        <v>2015</v>
      </c>
      <c r="B1082" s="5">
        <f>Data!M801</f>
        <v>0.8125</v>
      </c>
      <c r="C1082" s="5">
        <f>Data!N801</f>
        <v>0.125</v>
      </c>
      <c r="D1082" s="5">
        <f ca="1">Data!O801</f>
        <v>31.588505860435856</v>
      </c>
      <c r="E1082" s="1">
        <f>Data!AQ801</f>
        <v>0.1</v>
      </c>
      <c r="F1082" t="str">
        <f t="shared" si="17"/>
        <v/>
      </c>
      <c r="G1082" s="5">
        <f ca="1">AVERAGE(D$2:D1081)</f>
        <v>343.98357583854988</v>
      </c>
      <c r="H1082" s="5">
        <f ca="1">PERCENTILE(D$2:D1081,0.025)</f>
        <v>-1.2363229407116854</v>
      </c>
      <c r="I1082" s="5">
        <f ca="1">PERCENTILE(D$2:D1081,0.165)</f>
        <v>12.871034779803574</v>
      </c>
      <c r="J1082" s="5">
        <f ca="1">PERCENTILE(D$2:D1081,0.5)</f>
        <v>60.075966485943709</v>
      </c>
      <c r="K1082" s="5">
        <f ca="1">PERCENTILE(D$2:D1081,0.835)</f>
        <v>259.31969073021537</v>
      </c>
      <c r="L1082" s="5">
        <f ca="1">PERCENTILE(D$2:D1081,0.975)</f>
        <v>1500.9493117979648</v>
      </c>
      <c r="M1082" s="7">
        <f>AVERAGE(E$2:E1081)</f>
        <v>1.2229161882893227</v>
      </c>
      <c r="N1082" s="7">
        <f>PERCENTILE($E$2:$E1081,0.025)</f>
        <v>-1.1000000000000001</v>
      </c>
      <c r="O1082" s="7">
        <f>PERCENTILE($E$2:$E1081,0.165)</f>
        <v>0</v>
      </c>
      <c r="P1082" s="7">
        <f>PERCENTILE($E$2:$E1081,0.5)</f>
        <v>1</v>
      </c>
      <c r="Q1082" s="7">
        <f>PERCENTILE($E$2:$E1081,0.835)</f>
        <v>3</v>
      </c>
      <c r="R1082" s="7">
        <f>PERCENTILE($E$2:$E1081,0.975)</f>
        <v>3</v>
      </c>
    </row>
    <row r="1083" spans="1:18" x14ac:dyDescent="0.2">
      <c r="A1083" s="5">
        <f>Data!E802</f>
        <v>2015</v>
      </c>
      <c r="B1083" s="5">
        <f>Data!M802</f>
        <v>0.8125</v>
      </c>
      <c r="C1083" s="5">
        <f>Data!N802</f>
        <v>0.125</v>
      </c>
      <c r="D1083" s="5">
        <f ca="1">Data!O802</f>
        <v>42.118007813914467</v>
      </c>
      <c r="E1083" s="1">
        <f>Data!AQ802</f>
        <v>0.1</v>
      </c>
      <c r="F1083" t="str">
        <f t="shared" si="17"/>
        <v/>
      </c>
      <c r="G1083" s="5">
        <f ca="1">AVERAGE(D$2:D1082)</f>
        <v>343.69458872478663</v>
      </c>
      <c r="H1083" s="5">
        <f ca="1">PERCENTILE(D$2:D1082,0.025)</f>
        <v>-1.2302711619180022</v>
      </c>
      <c r="I1083" s="5">
        <f ca="1">PERCENTILE(D$2:D1082,0.165)</f>
        <v>12.912884421645062</v>
      </c>
      <c r="J1083" s="5">
        <f ca="1">PERCENTILE(D$2:D1082,0.5)</f>
        <v>60.075966485943709</v>
      </c>
      <c r="K1083" s="5">
        <f ca="1">PERCENTILE(D$2:D1082,0.835)</f>
        <v>259.15577298465286</v>
      </c>
      <c r="L1083" s="5">
        <f ca="1">PERCENTILE(D$2:D1082,0.975)</f>
        <v>1500</v>
      </c>
      <c r="M1083" s="7">
        <f>AVERAGE(E$2:E1082)</f>
        <v>1.2216284403669724</v>
      </c>
      <c r="N1083" s="7">
        <f>PERCENTILE($E$2:$E1082,0.025)</f>
        <v>-1.1000000000000001</v>
      </c>
      <c r="O1083" s="7">
        <f>PERCENTILE($E$2:$E1082,0.165)</f>
        <v>0</v>
      </c>
      <c r="P1083" s="7">
        <f>PERCENTILE($E$2:$E1082,0.5)</f>
        <v>1</v>
      </c>
      <c r="Q1083" s="7">
        <f>PERCENTILE($E$2:$E1082,0.835)</f>
        <v>3</v>
      </c>
      <c r="R1083" s="7">
        <f>PERCENTILE($E$2:$E1082,0.975)</f>
        <v>3</v>
      </c>
    </row>
    <row r="1084" spans="1:18" x14ac:dyDescent="0.2">
      <c r="A1084" s="5">
        <f>Data!E803</f>
        <v>2015</v>
      </c>
      <c r="B1084" s="5">
        <f>Data!M803</f>
        <v>0.8125</v>
      </c>
      <c r="C1084" s="5">
        <f>Data!N803</f>
        <v>0.125</v>
      </c>
      <c r="D1084" s="5">
        <f ca="1">Data!O803</f>
        <v>47.382758790653781</v>
      </c>
      <c r="E1084" s="1">
        <f>Data!AQ803</f>
        <v>0.1</v>
      </c>
      <c r="F1084" t="str">
        <f t="shared" si="17"/>
        <v/>
      </c>
      <c r="G1084" s="5">
        <f ca="1">AVERAGE(D$2:D1083)</f>
        <v>343.41586730065455</v>
      </c>
      <c r="H1084" s="5">
        <f ca="1">PERCENTILE(D$2:D1083,0.025)</f>
        <v>-1.2257298227323041</v>
      </c>
      <c r="I1084" s="5">
        <f ca="1">PERCENTILE(D$2:D1083,0.165)</f>
        <v>12.954734063486541</v>
      </c>
      <c r="J1084" s="5">
        <f ca="1">PERCENTILE(D$2:D1083,0.5)</f>
        <v>60.010828687428869</v>
      </c>
      <c r="K1084" s="5">
        <f ca="1">PERCENTILE(D$2:D1083,0.835)</f>
        <v>258.99185523909034</v>
      </c>
      <c r="L1084" s="5">
        <f ca="1">PERCENTILE(D$2:D1083,0.975)</f>
        <v>1498.1499999999933</v>
      </c>
      <c r="M1084" s="7">
        <f>AVERAGE(E$2:E1083)</f>
        <v>1.2203436426116838</v>
      </c>
      <c r="N1084" s="7">
        <f>PERCENTILE($E$2:$E1083,0.025)</f>
        <v>-1.1000000000000001</v>
      </c>
      <c r="O1084" s="7">
        <f>PERCENTILE($E$2:$E1083,0.165)</f>
        <v>0</v>
      </c>
      <c r="P1084" s="7">
        <f>PERCENTILE($E$2:$E1083,0.5)</f>
        <v>1</v>
      </c>
      <c r="Q1084" s="7">
        <f>PERCENTILE($E$2:$E1083,0.835)</f>
        <v>3</v>
      </c>
      <c r="R1084" s="7">
        <f>PERCENTILE($E$2:$E1083,0.975)</f>
        <v>3</v>
      </c>
    </row>
    <row r="1085" spans="1:18" x14ac:dyDescent="0.2">
      <c r="A1085" s="5">
        <f>Data!E900</f>
        <v>2015</v>
      </c>
      <c r="B1085" s="5">
        <f>Data!M900</f>
        <v>0.10655737704918034</v>
      </c>
      <c r="C1085" s="5">
        <f>Data!N900</f>
        <v>1.6393442622950821E-2</v>
      </c>
      <c r="D1085" s="5">
        <f ca="1">Data!O900</f>
        <v>45.989188137515526</v>
      </c>
      <c r="E1085" s="1">
        <f>Data!AQ900</f>
        <v>1.5</v>
      </c>
      <c r="F1085" t="str">
        <f t="shared" si="17"/>
        <v/>
      </c>
      <c r="G1085" s="5">
        <f ca="1">AVERAGE(D$2:D1084)</f>
        <v>343.14252186343384</v>
      </c>
      <c r="H1085" s="5">
        <f ca="1">PERCENTILE(D$2:D1084,0.025)</f>
        <v>-1.2211884835466065</v>
      </c>
      <c r="I1085" s="5">
        <f ca="1">PERCENTILE(D$2:D1084,0.165)</f>
        <v>12.996583705328019</v>
      </c>
      <c r="J1085" s="5">
        <f ca="1">PERCENTILE(D$2:D1084,0.5)</f>
        <v>59.945690888914022</v>
      </c>
      <c r="K1085" s="5">
        <f ca="1">PERCENTILE(D$2:D1084,0.835)</f>
        <v>258.82793749352771</v>
      </c>
      <c r="L1085" s="5">
        <f ca="1">PERCENTILE(D$2:D1084,0.975)</f>
        <v>1496.3000000000034</v>
      </c>
      <c r="M1085" s="7">
        <f>AVERAGE(E$2:E1084)</f>
        <v>1.2190617848970249</v>
      </c>
      <c r="N1085" s="7">
        <f>PERCENTILE($E$2:$E1084,0.025)</f>
        <v>-1.1000000000000001</v>
      </c>
      <c r="O1085" s="7">
        <f>PERCENTILE($E$2:$E1084,0.165)</f>
        <v>0</v>
      </c>
      <c r="P1085" s="7">
        <f>PERCENTILE($E$2:$E1084,0.5)</f>
        <v>1</v>
      </c>
      <c r="Q1085" s="7">
        <f>PERCENTILE($E$2:$E1084,0.835)</f>
        <v>3</v>
      </c>
      <c r="R1085" s="7">
        <f>PERCENTILE($E$2:$E1084,0.975)</f>
        <v>3</v>
      </c>
    </row>
    <row r="1086" spans="1:18" x14ac:dyDescent="0.2">
      <c r="A1086" s="5">
        <f>Data!E901</f>
        <v>2015</v>
      </c>
      <c r="B1086" s="5">
        <f>Data!M901</f>
        <v>0.21311475409836067</v>
      </c>
      <c r="C1086" s="5">
        <f>Data!N901</f>
        <v>3.2786885245901641E-2</v>
      </c>
      <c r="D1086" s="5">
        <f ca="1">Data!O901</f>
        <v>78.720231947098654</v>
      </c>
      <c r="E1086" s="1">
        <f>Data!AQ901</f>
        <v>1.5</v>
      </c>
      <c r="F1086" t="str">
        <f t="shared" si="17"/>
        <v/>
      </c>
      <c r="G1086" s="5">
        <f ca="1">AVERAGE(D$2:D1085)</f>
        <v>342.86839517180482</v>
      </c>
      <c r="H1086" s="5">
        <f ca="1">PERCENTILE(D$2:D1085,0.025)</f>
        <v>-1.2166471443609082</v>
      </c>
      <c r="I1086" s="5">
        <f ca="1">PERCENTILE(D$2:D1085,0.165)</f>
        <v>13.038433347169505</v>
      </c>
      <c r="J1086" s="5">
        <f ca="1">PERCENTILE(D$2:D1085,0.5)</f>
        <v>59.943477117930861</v>
      </c>
      <c r="K1086" s="5">
        <f ca="1">PERCENTILE(D$2:D1085,0.835)</f>
        <v>258.6640197479652</v>
      </c>
      <c r="L1086" s="5">
        <f ca="1">PERCENTILE(D$2:D1085,0.975)</f>
        <v>1494.4499999999966</v>
      </c>
      <c r="M1086" s="7">
        <f>AVERAGE(E$2:E1085)</f>
        <v>1.2193828571428569</v>
      </c>
      <c r="N1086" s="7">
        <f>PERCENTILE($E$2:$E1085,0.025)</f>
        <v>-1.1000000000000001</v>
      </c>
      <c r="O1086" s="7">
        <f>PERCENTILE($E$2:$E1085,0.165)</f>
        <v>0</v>
      </c>
      <c r="P1086" s="7">
        <f>PERCENTILE($E$2:$E1085,0.5)</f>
        <v>1</v>
      </c>
      <c r="Q1086" s="7">
        <f>PERCENTILE($E$2:$E1085,0.835)</f>
        <v>3</v>
      </c>
      <c r="R1086" s="7">
        <f>PERCENTILE($E$2:$E1085,0.975)</f>
        <v>3</v>
      </c>
    </row>
    <row r="1087" spans="1:18" x14ac:dyDescent="0.2">
      <c r="A1087" s="5">
        <f>Data!E902</f>
        <v>2015</v>
      </c>
      <c r="B1087" s="5">
        <f>Data!M902</f>
        <v>0.21311475409836067</v>
      </c>
      <c r="C1087" s="5">
        <f>Data!N902</f>
        <v>3.2786885245901641E-2</v>
      </c>
      <c r="D1087" s="5">
        <f ca="1">Data!O902</f>
        <v>94.257119831394448</v>
      </c>
      <c r="E1087" s="1">
        <f>Data!AQ902</f>
        <v>1.5</v>
      </c>
      <c r="F1087" t="str">
        <f t="shared" si="17"/>
        <v/>
      </c>
      <c r="G1087" s="5">
        <f ca="1">AVERAGE(D$2:D1086)</f>
        <v>342.62494064348709</v>
      </c>
      <c r="H1087" s="5">
        <f ca="1">PERCENTILE(D$2:D1086,0.025)</f>
        <v>-1.2121058051752107</v>
      </c>
      <c r="I1087" s="5">
        <f ca="1">PERCENTILE(D$2:D1086,0.165)</f>
        <v>13.080282989010986</v>
      </c>
      <c r="J1087" s="5">
        <f ca="1">PERCENTILE(D$2:D1086,0.5)</f>
        <v>59.945690888914022</v>
      </c>
      <c r="K1087" s="5">
        <f ca="1">PERCENTILE(D$2:D1086,0.835)</f>
        <v>258.50010200240268</v>
      </c>
      <c r="L1087" s="5">
        <f ca="1">PERCENTILE(D$2:D1086,0.975)</f>
        <v>1492.5999999999899</v>
      </c>
      <c r="M1087" s="7">
        <f>AVERAGE(E$2:E1086)</f>
        <v>1.2197031963470317</v>
      </c>
      <c r="N1087" s="7">
        <f>PERCENTILE($E$2:$E1086,0.025)</f>
        <v>-1.1000000000000001</v>
      </c>
      <c r="O1087" s="7">
        <f>PERCENTILE($E$2:$E1086,0.165)</f>
        <v>0</v>
      </c>
      <c r="P1087" s="7">
        <f>PERCENTILE($E$2:$E1086,0.5)</f>
        <v>1</v>
      </c>
      <c r="Q1087" s="7">
        <f>PERCENTILE($E$2:$E1086,0.835)</f>
        <v>3</v>
      </c>
      <c r="R1087" s="7">
        <f>PERCENTILE($E$2:$E1086,0.975)</f>
        <v>3</v>
      </c>
    </row>
    <row r="1088" spans="1:18" x14ac:dyDescent="0.2">
      <c r="A1088" s="5">
        <f>Data!E903</f>
        <v>2015</v>
      </c>
      <c r="B1088" s="5">
        <f>Data!M903</f>
        <v>0.21311475409836067</v>
      </c>
      <c r="C1088" s="5">
        <f>Data!N903</f>
        <v>3.2786885245901641E-2</v>
      </c>
      <c r="D1088" s="5">
        <f ca="1">Data!O903</f>
        <v>203.01533502146492</v>
      </c>
      <c r="E1088" s="1">
        <f>Data!AQ903</f>
        <v>1.5</v>
      </c>
      <c r="F1088" t="str">
        <f t="shared" si="17"/>
        <v/>
      </c>
      <c r="G1088" s="5">
        <f ca="1">AVERAGE(D$2:D1087)</f>
        <v>342.39624099264722</v>
      </c>
      <c r="H1088" s="5">
        <f ca="1">PERCENTILE(D$2:D1087,0.025)</f>
        <v>-1.2075644659895131</v>
      </c>
      <c r="I1088" s="5">
        <f ca="1">PERCENTILE(D$2:D1087,0.165)</f>
        <v>13.116018570228078</v>
      </c>
      <c r="J1088" s="5">
        <f ca="1">PERCENTILE(D$2:D1087,0.5)</f>
        <v>60.010828687428869</v>
      </c>
      <c r="K1088" s="5">
        <f ca="1">PERCENTILE(D$2:D1087,0.835)</f>
        <v>258.35199477192265</v>
      </c>
      <c r="L1088" s="5">
        <f ca="1">PERCENTILE(D$2:D1087,0.975)</f>
        <v>1490.75</v>
      </c>
      <c r="M1088" s="7">
        <f>AVERAGE(E$2:E1087)</f>
        <v>1.2200228050171036</v>
      </c>
      <c r="N1088" s="7">
        <f>PERCENTILE($E$2:$E1087,0.025)</f>
        <v>-1.1000000000000001</v>
      </c>
      <c r="O1088" s="7">
        <f>PERCENTILE($E$2:$E1087,0.165)</f>
        <v>0</v>
      </c>
      <c r="P1088" s="7">
        <f>PERCENTILE($E$2:$E1087,0.5)</f>
        <v>1</v>
      </c>
      <c r="Q1088" s="7">
        <f>PERCENTILE($E$2:$E1087,0.835)</f>
        <v>3</v>
      </c>
      <c r="R1088" s="7">
        <f>PERCENTILE($E$2:$E1087,0.975)</f>
        <v>3</v>
      </c>
    </row>
    <row r="1089" spans="1:18" x14ac:dyDescent="0.2">
      <c r="A1089" s="5">
        <f>Data!E904</f>
        <v>2015</v>
      </c>
      <c r="B1089" s="5">
        <f>Data!M904</f>
        <v>0.21311475409836067</v>
      </c>
      <c r="C1089" s="5">
        <f>Data!N904</f>
        <v>3.2786885245901641E-2</v>
      </c>
      <c r="D1089" s="5">
        <f ca="1">Data!O904</f>
        <v>184.37106956030999</v>
      </c>
      <c r="E1089" s="1">
        <f>Data!AQ904</f>
        <v>1.5</v>
      </c>
      <c r="F1089" t="str">
        <f t="shared" si="17"/>
        <v/>
      </c>
      <c r="G1089" s="5">
        <f ca="1">AVERAGE(D$2:D1088)</f>
        <v>342.26801568816592</v>
      </c>
      <c r="H1089" s="5">
        <f ca="1">PERCENTILE(D$2:D1088,0.025)</f>
        <v>-1.203023126803815</v>
      </c>
      <c r="I1089" s="5">
        <f ca="1">PERCENTILE(D$2:D1088,0.165)</f>
        <v>13.117515411948622</v>
      </c>
      <c r="J1089" s="5">
        <f ca="1">PERCENTILE(D$2:D1088,0.5)</f>
        <v>60.075966485943709</v>
      </c>
      <c r="K1089" s="5">
        <f ca="1">PERCENTILE(D$2:D1088,0.835)</f>
        <v>258.29242642590498</v>
      </c>
      <c r="L1089" s="5">
        <f ca="1">PERCENTILE(D$2:D1088,0.975)</f>
        <v>1488.8999999999933</v>
      </c>
      <c r="M1089" s="7">
        <f>AVERAGE(E$2:E1088)</f>
        <v>1.2203416856492024</v>
      </c>
      <c r="N1089" s="7">
        <f>PERCENTILE($E$2:$E1088,0.025)</f>
        <v>-1.1000000000000001</v>
      </c>
      <c r="O1089" s="7">
        <f>PERCENTILE($E$2:$E1088,0.165)</f>
        <v>0</v>
      </c>
      <c r="P1089" s="7">
        <f>PERCENTILE($E$2:$E1088,0.5)</f>
        <v>1</v>
      </c>
      <c r="Q1089" s="7">
        <f>PERCENTILE($E$2:$E1088,0.835)</f>
        <v>3</v>
      </c>
      <c r="R1089" s="7">
        <f>PERCENTILE($E$2:$E1088,0.975)</f>
        <v>3</v>
      </c>
    </row>
    <row r="1090" spans="1:18" x14ac:dyDescent="0.2">
      <c r="A1090" s="5">
        <f>Data!E905</f>
        <v>2015</v>
      </c>
      <c r="B1090" s="5">
        <f>Data!M905</f>
        <v>0.42622950819672134</v>
      </c>
      <c r="C1090" s="5">
        <f>Data!N905</f>
        <v>6.5573770491803282E-2</v>
      </c>
      <c r="D1090" s="5">
        <f ca="1">Data!O905</f>
        <v>122.22351802312686</v>
      </c>
      <c r="E1090" s="1">
        <f>Data!AQ905</f>
        <v>1.5</v>
      </c>
      <c r="F1090" t="str">
        <f t="shared" si="17"/>
        <v/>
      </c>
      <c r="G1090" s="5">
        <f ca="1">AVERAGE(D$2:D1089)</f>
        <v>342.12288981856312</v>
      </c>
      <c r="H1090" s="5">
        <f ca="1">PERCENTILE(D$2:D1089,0.025)</f>
        <v>-1.1984817876181173</v>
      </c>
      <c r="I1090" s="5">
        <f ca="1">PERCENTILE(D$2:D1089,0.165)</f>
        <v>13.119012253669165</v>
      </c>
      <c r="J1090" s="5">
        <f ca="1">PERCENTILE(D$2:D1089,0.5)</f>
        <v>60.075966485943709</v>
      </c>
      <c r="K1090" s="5">
        <f ca="1">PERCENTILE(D$2:D1089,0.835)</f>
        <v>258.23285807988731</v>
      </c>
      <c r="L1090" s="5">
        <f ca="1">PERCENTILE(D$2:D1089,0.975)</f>
        <v>1487.0500000000034</v>
      </c>
      <c r="M1090" s="7">
        <f>AVERAGE(E$2:E1089)</f>
        <v>1.2206598407281</v>
      </c>
      <c r="N1090" s="7">
        <f>PERCENTILE($E$2:$E1089,0.025)</f>
        <v>-1.1000000000000001</v>
      </c>
      <c r="O1090" s="7">
        <f>PERCENTILE($E$2:$E1089,0.165)</f>
        <v>0</v>
      </c>
      <c r="P1090" s="7">
        <f>PERCENTILE($E$2:$E1089,0.5)</f>
        <v>1</v>
      </c>
      <c r="Q1090" s="7">
        <f>PERCENTILE($E$2:$E1089,0.835)</f>
        <v>3</v>
      </c>
      <c r="R1090" s="7">
        <f>PERCENTILE($E$2:$E1089,0.975)</f>
        <v>3</v>
      </c>
    </row>
    <row r="1091" spans="1:18" x14ac:dyDescent="0.2">
      <c r="A1091" s="5">
        <f>Data!E906</f>
        <v>2015</v>
      </c>
      <c r="B1091" s="5">
        <f>Data!M906</f>
        <v>0.42622950819672134</v>
      </c>
      <c r="C1091" s="5">
        <f>Data!N906</f>
        <v>6.5573770491803282E-2</v>
      </c>
      <c r="D1091" s="5">
        <f ca="1">Data!O906</f>
        <v>137.76040590742264</v>
      </c>
      <c r="E1091" s="1">
        <f>Data!AQ906</f>
        <v>1.5</v>
      </c>
      <c r="F1091" t="str">
        <f t="shared" si="17"/>
        <v/>
      </c>
      <c r="G1091" s="5">
        <f ca="1">AVERAGE(D$2:D1090)</f>
        <v>341.92096202077119</v>
      </c>
      <c r="H1091" s="5">
        <f ca="1">PERCENTILE(D$2:D1090,0.025)</f>
        <v>-1.1939404484324192</v>
      </c>
      <c r="I1091" s="5">
        <f ca="1">PERCENTILE(D$2:D1090,0.165)</f>
        <v>13.120509095389709</v>
      </c>
      <c r="J1091" s="5">
        <f ca="1">PERCENTILE(D$2:D1090,0.5)</f>
        <v>60.075966485943709</v>
      </c>
      <c r="K1091" s="5">
        <f ca="1">PERCENTILE(D$2:D1090,0.835)</f>
        <v>258.17328973386964</v>
      </c>
      <c r="L1091" s="5">
        <f ca="1">PERCENTILE(D$2:D1090,0.975)</f>
        <v>1485.1999999999966</v>
      </c>
      <c r="M1091" s="7">
        <f>AVERAGE(E$2:E1090)</f>
        <v>1.2209772727272725</v>
      </c>
      <c r="N1091" s="7">
        <f>PERCENTILE($E$2:$E1090,0.025)</f>
        <v>-1.1000000000000001</v>
      </c>
      <c r="O1091" s="7">
        <f>PERCENTILE($E$2:$E1090,0.165)</f>
        <v>0</v>
      </c>
      <c r="P1091" s="7">
        <f>PERCENTILE($E$2:$E1090,0.5)</f>
        <v>1</v>
      </c>
      <c r="Q1091" s="7">
        <f>PERCENTILE($E$2:$E1090,0.835)</f>
        <v>3</v>
      </c>
      <c r="R1091" s="7">
        <f>PERCENTILE($E$2:$E1090,0.975)</f>
        <v>3</v>
      </c>
    </row>
    <row r="1092" spans="1:18" x14ac:dyDescent="0.2">
      <c r="A1092" s="5">
        <f>Data!E907</f>
        <v>2015</v>
      </c>
      <c r="B1092" s="5">
        <f>Data!M907</f>
        <v>0.42622950819672134</v>
      </c>
      <c r="C1092" s="5">
        <f>Data!N907</f>
        <v>6.5573770491803282E-2</v>
      </c>
      <c r="D1092" s="5">
        <f ca="1">Data!O907</f>
        <v>280.69977444294386</v>
      </c>
      <c r="E1092" s="1">
        <f>Data!AQ907</f>
        <v>1.5</v>
      </c>
      <c r="F1092" t="str">
        <f t="shared" si="17"/>
        <v/>
      </c>
      <c r="G1092" s="5">
        <f ca="1">AVERAGE(D$2:D1091)</f>
        <v>341.73365875828182</v>
      </c>
      <c r="H1092" s="5">
        <f ca="1">PERCENTILE(D$2:D1091,0.025)</f>
        <v>-1.1893991092467215</v>
      </c>
      <c r="I1092" s="5">
        <f ca="1">PERCENTILE(D$2:D1091,0.165)</f>
        <v>13.122005937110252</v>
      </c>
      <c r="J1092" s="5">
        <f ca="1">PERCENTILE(D$2:D1091,0.5)</f>
        <v>60.169147034016191</v>
      </c>
      <c r="K1092" s="5">
        <f ca="1">PERCENTILE(D$2:D1091,0.835)</f>
        <v>258.11372138785191</v>
      </c>
      <c r="L1092" s="5">
        <f ca="1">PERCENTILE(D$2:D1091,0.975)</f>
        <v>1483.3499999999899</v>
      </c>
      <c r="M1092" s="7">
        <f>AVERAGE(E$2:E1091)</f>
        <v>1.2212939841089669</v>
      </c>
      <c r="N1092" s="7">
        <f>PERCENTILE($E$2:$E1091,0.025)</f>
        <v>-1.1000000000000001</v>
      </c>
      <c r="O1092" s="7">
        <f>PERCENTILE($E$2:$E1091,0.165)</f>
        <v>0</v>
      </c>
      <c r="P1092" s="7">
        <f>PERCENTILE($E$2:$E1091,0.5)</f>
        <v>1</v>
      </c>
      <c r="Q1092" s="7">
        <f>PERCENTILE($E$2:$E1091,0.835)</f>
        <v>3</v>
      </c>
      <c r="R1092" s="7">
        <f>PERCENTILE($E$2:$E1091,0.975)</f>
        <v>3</v>
      </c>
    </row>
    <row r="1093" spans="1:18" x14ac:dyDescent="0.2">
      <c r="A1093" s="5">
        <f>Data!E908</f>
        <v>2015</v>
      </c>
      <c r="B1093" s="5">
        <f>Data!M908</f>
        <v>0.42622950819672134</v>
      </c>
      <c r="C1093" s="5">
        <f>Data!N908</f>
        <v>6.5573770491803282E-2</v>
      </c>
      <c r="D1093" s="5">
        <f ca="1">Data!O908</f>
        <v>241.33965846939458</v>
      </c>
      <c r="E1093" s="1">
        <f>Data!AQ908</f>
        <v>1.5</v>
      </c>
      <c r="F1093" t="str">
        <f t="shared" si="17"/>
        <v/>
      </c>
      <c r="G1093" s="5">
        <f ca="1">AVERAGE(D$2:D1092)</f>
        <v>341.67771569291489</v>
      </c>
      <c r="H1093" s="5">
        <f ca="1">PERCENTILE(D$2:D1092,0.025)</f>
        <v>-1.1848577700610239</v>
      </c>
      <c r="I1093" s="5">
        <f ca="1">PERCENTILE(D$2:D1092,0.165)</f>
        <v>13.123502778830796</v>
      </c>
      <c r="J1093" s="5">
        <f ca="1">PERCENTILE(D$2:D1092,0.5)</f>
        <v>60.26232758208868</v>
      </c>
      <c r="K1093" s="5">
        <f ca="1">PERCENTILE(D$2:D1092,0.835)</f>
        <v>258.51003641122463</v>
      </c>
      <c r="L1093" s="5">
        <f ca="1">PERCENTILE(D$2:D1092,0.975)</f>
        <v>1481.5</v>
      </c>
      <c r="M1093" s="7">
        <f>AVERAGE(E$2:E1092)</f>
        <v>1.2216099773242628</v>
      </c>
      <c r="N1093" s="7">
        <f>PERCENTILE($E$2:$E1092,0.025)</f>
        <v>-1.1000000000000001</v>
      </c>
      <c r="O1093" s="7">
        <f>PERCENTILE($E$2:$E1092,0.165)</f>
        <v>0</v>
      </c>
      <c r="P1093" s="7">
        <f>PERCENTILE($E$2:$E1092,0.5)</f>
        <v>1</v>
      </c>
      <c r="Q1093" s="7">
        <f>PERCENTILE($E$2:$E1092,0.835)</f>
        <v>3</v>
      </c>
      <c r="R1093" s="7">
        <f>PERCENTILE($E$2:$E1092,0.975)</f>
        <v>3</v>
      </c>
    </row>
    <row r="1094" spans="1:18" x14ac:dyDescent="0.2">
      <c r="A1094" s="5">
        <f>Data!E909</f>
        <v>2015</v>
      </c>
      <c r="B1094" s="5">
        <f>Data!M909</f>
        <v>0.42622950819672134</v>
      </c>
      <c r="C1094" s="5">
        <f>Data!N909</f>
        <v>6.5573770491803282E-2</v>
      </c>
      <c r="D1094" s="5">
        <f ca="1">Data!O909</f>
        <v>72.505476793380339</v>
      </c>
      <c r="E1094" s="1">
        <f>Data!AQ909</f>
        <v>1.5</v>
      </c>
      <c r="F1094" t="str">
        <f t="shared" si="17"/>
        <v/>
      </c>
      <c r="G1094" s="5">
        <f ca="1">AVERAGE(D$2:D1093)</f>
        <v>341.58583102512779</v>
      </c>
      <c r="H1094" s="5">
        <f ca="1">PERCENTILE(D$2:D1093,0.025)</f>
        <v>-1.1803164308753258</v>
      </c>
      <c r="I1094" s="5">
        <f ca="1">PERCENTILE(D$2:D1093,0.165)</f>
        <v>13.127493406632672</v>
      </c>
      <c r="J1094" s="5">
        <f ca="1">PERCENTILE(D$2:D1093,0.5)</f>
        <v>60.311194762782634</v>
      </c>
      <c r="K1094" s="5">
        <f ca="1">PERCENTILE(D$2:D1093,0.835)</f>
        <v>258.35560497471164</v>
      </c>
      <c r="L1094" s="5">
        <f ca="1">PERCENTILE(D$2:D1093,0.975)</f>
        <v>1479.6499999999933</v>
      </c>
      <c r="M1094" s="7">
        <f>AVERAGE(E$2:E1093)</f>
        <v>1.2219252548131367</v>
      </c>
      <c r="N1094" s="7">
        <f>PERCENTILE($E$2:$E1093,0.025)</f>
        <v>-1.1000000000000001</v>
      </c>
      <c r="O1094" s="7">
        <f>PERCENTILE($E$2:$E1093,0.165)</f>
        <v>0</v>
      </c>
      <c r="P1094" s="7">
        <f>PERCENTILE($E$2:$E1093,0.5)</f>
        <v>1</v>
      </c>
      <c r="Q1094" s="7">
        <f>PERCENTILE($E$2:$E1093,0.835)</f>
        <v>3</v>
      </c>
      <c r="R1094" s="7">
        <f>PERCENTILE($E$2:$E1093,0.975)</f>
        <v>3</v>
      </c>
    </row>
    <row r="1095" spans="1:18" x14ac:dyDescent="0.2">
      <c r="A1095" s="5">
        <f>Data!E910</f>
        <v>2015</v>
      </c>
      <c r="B1095" s="5">
        <f>Data!M910</f>
        <v>0.42622950819672134</v>
      </c>
      <c r="C1095" s="5">
        <f>Data!N910</f>
        <v>6.5573770491803282E-2</v>
      </c>
      <c r="D1095" s="5">
        <f ca="1">Data!O910</f>
        <v>104.61504508759162</v>
      </c>
      <c r="E1095" s="1">
        <f>Data!AQ910</f>
        <v>1.5</v>
      </c>
      <c r="F1095" t="str">
        <f t="shared" si="17"/>
        <v/>
      </c>
      <c r="G1095" s="5">
        <f ca="1">AVERAGE(D$2:D1094)</f>
        <v>341.33964588859368</v>
      </c>
      <c r="H1095" s="5">
        <f ca="1">PERCENTILE(D$2:D1094,0.025)</f>
        <v>-1.1757750916896281</v>
      </c>
      <c r="I1095" s="5">
        <f ca="1">PERCENTILE(D$2:D1094,0.165)</f>
        <v>13.156421895247844</v>
      </c>
      <c r="J1095" s="5">
        <f ca="1">PERCENTILE(D$2:D1094,0.5)</f>
        <v>60.36006194347658</v>
      </c>
      <c r="K1095" s="5">
        <f ca="1">PERCENTILE(D$2:D1094,0.835)</f>
        <v>258.29603662869391</v>
      </c>
      <c r="L1095" s="5">
        <f ca="1">PERCENTILE(D$2:D1094,0.975)</f>
        <v>1477.8000000000034</v>
      </c>
      <c r="M1095" s="7">
        <f>AVERAGE(E$2:E1094)</f>
        <v>1.2222398190045247</v>
      </c>
      <c r="N1095" s="7">
        <f>PERCENTILE($E$2:$E1094,0.025)</f>
        <v>-1.1000000000000001</v>
      </c>
      <c r="O1095" s="7">
        <f>PERCENTILE($E$2:$E1094,0.165)</f>
        <v>0</v>
      </c>
      <c r="P1095" s="7">
        <f>PERCENTILE($E$2:$E1094,0.5)</f>
        <v>1</v>
      </c>
      <c r="Q1095" s="7">
        <f>PERCENTILE($E$2:$E1094,0.835)</f>
        <v>3</v>
      </c>
      <c r="R1095" s="7">
        <f>PERCENTILE($E$2:$E1094,0.975)</f>
        <v>3</v>
      </c>
    </row>
    <row r="1096" spans="1:18" x14ac:dyDescent="0.2">
      <c r="A1096" s="5">
        <f>Data!E911</f>
        <v>2015</v>
      </c>
      <c r="B1096" s="5">
        <f>Data!M911</f>
        <v>0.42622950819672134</v>
      </c>
      <c r="C1096" s="5">
        <f>Data!N911</f>
        <v>6.5573770491803282E-2</v>
      </c>
      <c r="D1096" s="5">
        <f ca="1">Data!O911</f>
        <v>237.19648836691567</v>
      </c>
      <c r="E1096" s="1">
        <f>Data!AQ911</f>
        <v>1.5</v>
      </c>
      <c r="F1096" t="str">
        <f t="shared" si="17"/>
        <v/>
      </c>
      <c r="G1096" s="5">
        <f ca="1">AVERAGE(D$2:D1095)</f>
        <v>341.12326142716682</v>
      </c>
      <c r="H1096" s="5">
        <f ca="1">PERCENTILE(D$2:D1095,0.025)</f>
        <v>-1.17123375250393</v>
      </c>
      <c r="I1096" s="5">
        <f ca="1">PERCENTILE(D$2:D1095,0.165)</f>
        <v>13.185350383863014</v>
      </c>
      <c r="J1096" s="5">
        <f ca="1">PERCENTILE(D$2:D1095,0.5)</f>
        <v>60.563278389916711</v>
      </c>
      <c r="K1096" s="5">
        <f ca="1">PERCENTILE(D$2:D1095,0.835)</f>
        <v>258.23646828267624</v>
      </c>
      <c r="L1096" s="5">
        <f ca="1">PERCENTILE(D$2:D1095,0.975)</f>
        <v>1475.9499999999966</v>
      </c>
      <c r="M1096" s="7">
        <f>AVERAGE(E$2:E1095)</f>
        <v>1.2225536723163839</v>
      </c>
      <c r="N1096" s="7">
        <f>PERCENTILE($E$2:$E1095,0.025)</f>
        <v>-1.1000000000000001</v>
      </c>
      <c r="O1096" s="7">
        <f>PERCENTILE($E$2:$E1095,0.165)</f>
        <v>0</v>
      </c>
      <c r="P1096" s="7">
        <f>PERCENTILE($E$2:$E1095,0.5)</f>
        <v>1</v>
      </c>
      <c r="Q1096" s="7">
        <f>PERCENTILE($E$2:$E1095,0.835)</f>
        <v>3</v>
      </c>
      <c r="R1096" s="7">
        <f>PERCENTILE($E$2:$E1095,0.975)</f>
        <v>3</v>
      </c>
    </row>
    <row r="1097" spans="1:18" x14ac:dyDescent="0.2">
      <c r="A1097" s="5">
        <f>Data!E912</f>
        <v>2015</v>
      </c>
      <c r="B1097" s="5">
        <f>Data!M912</f>
        <v>0.85245901639344268</v>
      </c>
      <c r="C1097" s="5">
        <f>Data!N912</f>
        <v>0.13114754098360656</v>
      </c>
      <c r="D1097" s="5">
        <f ca="1">Data!O912</f>
        <v>113.9371778181691</v>
      </c>
      <c r="E1097" s="1">
        <f>Data!AQ912</f>
        <v>1.5</v>
      </c>
      <c r="F1097" t="str">
        <f t="shared" si="17"/>
        <v/>
      </c>
      <c r="G1097" s="5">
        <f ca="1">AVERAGE(D$2:D1096)</f>
        <v>341.02835113213462</v>
      </c>
      <c r="H1097" s="5">
        <f ca="1">PERCENTILE(D$2:D1096,0.025)</f>
        <v>-1.1666924133182324</v>
      </c>
      <c r="I1097" s="5">
        <f ca="1">PERCENTILE(D$2:D1096,0.165)</f>
        <v>13.214278872478189</v>
      </c>
      <c r="J1097" s="5">
        <f ca="1">PERCENTILE(D$2:D1096,0.5)</f>
        <v>60.766494836356841</v>
      </c>
      <c r="K1097" s="5">
        <f ca="1">PERCENTILE(D$2:D1096,0.835)</f>
        <v>258.17689993665857</v>
      </c>
      <c r="L1097" s="5">
        <f ca="1">PERCENTILE(D$2:D1096,0.975)</f>
        <v>1474.0999999999899</v>
      </c>
      <c r="M1097" s="7">
        <f>AVERAGE(E$2:E1096)</f>
        <v>1.222866817155756</v>
      </c>
      <c r="N1097" s="7">
        <f>PERCENTILE($E$2:$E1096,0.025)</f>
        <v>-1.1000000000000001</v>
      </c>
      <c r="O1097" s="7">
        <f>PERCENTILE($E$2:$E1096,0.165)</f>
        <v>0</v>
      </c>
      <c r="P1097" s="7">
        <f>PERCENTILE($E$2:$E1096,0.5)</f>
        <v>1</v>
      </c>
      <c r="Q1097" s="7">
        <f>PERCENTILE($E$2:$E1096,0.835)</f>
        <v>3</v>
      </c>
      <c r="R1097" s="7">
        <f>PERCENTILE($E$2:$E1096,0.975)</f>
        <v>3</v>
      </c>
    </row>
    <row r="1098" spans="1:18" x14ac:dyDescent="0.2">
      <c r="A1098" s="5">
        <f>Data!E913</f>
        <v>2015</v>
      </c>
      <c r="B1098" s="5">
        <f>Data!M913</f>
        <v>0.85245901639344268</v>
      </c>
      <c r="C1098" s="5">
        <f>Data!N913</f>
        <v>0.13114754098360656</v>
      </c>
      <c r="D1098" s="5">
        <f ca="1">Data!O913</f>
        <v>152.26150126609872</v>
      </c>
      <c r="E1098" s="1">
        <f>Data!AQ913</f>
        <v>1.5</v>
      </c>
      <c r="F1098" t="str">
        <f t="shared" si="17"/>
        <v/>
      </c>
      <c r="G1098" s="5">
        <f ca="1">AVERAGE(D$2:D1097)</f>
        <v>340.82115115648321</v>
      </c>
      <c r="H1098" s="5">
        <f ca="1">PERCENTILE(D$2:D1097,0.025)</f>
        <v>-1.1621510741325349</v>
      </c>
      <c r="I1098" s="5">
        <f ca="1">PERCENTILE(D$2:D1097,0.165)</f>
        <v>13.24320736109336</v>
      </c>
      <c r="J1098" s="5">
        <f ca="1">PERCENTILE(D$2:D1097,0.5)</f>
        <v>60.790563517031472</v>
      </c>
      <c r="K1098" s="5">
        <f ca="1">PERCENTILE(D$2:D1097,0.835)</f>
        <v>258.11733159064084</v>
      </c>
      <c r="L1098" s="5">
        <f ca="1">PERCENTILE(D$2:D1097,0.975)</f>
        <v>1472.25</v>
      </c>
      <c r="M1098" s="7">
        <f>AVERAGE(E$2:E1097)</f>
        <v>1.2231792559188273</v>
      </c>
      <c r="N1098" s="7">
        <f>PERCENTILE($E$2:$E1097,0.025)</f>
        <v>-1.1000000000000001</v>
      </c>
      <c r="O1098" s="7">
        <f>PERCENTILE($E$2:$E1097,0.165)</f>
        <v>0</v>
      </c>
      <c r="P1098" s="7">
        <f>PERCENTILE($E$2:$E1097,0.5)</f>
        <v>1</v>
      </c>
      <c r="Q1098" s="7">
        <f>PERCENTILE($E$2:$E1097,0.835)</f>
        <v>3</v>
      </c>
      <c r="R1098" s="7">
        <f>PERCENTILE($E$2:$E1097,0.975)</f>
        <v>3</v>
      </c>
    </row>
    <row r="1099" spans="1:18" x14ac:dyDescent="0.2">
      <c r="A1099" s="5">
        <f>Data!E914</f>
        <v>2015</v>
      </c>
      <c r="B1099" s="5">
        <f>Data!M914</f>
        <v>0.85245901639344268</v>
      </c>
      <c r="C1099" s="5">
        <f>Data!N914</f>
        <v>0.13114754098360656</v>
      </c>
      <c r="D1099" s="5">
        <f ca="1">Data!O914</f>
        <v>340.77574092888756</v>
      </c>
      <c r="E1099" s="1">
        <f>Data!AQ914</f>
        <v>1.5</v>
      </c>
      <c r="F1099" t="str">
        <f t="shared" si="17"/>
        <v/>
      </c>
      <c r="G1099" s="5">
        <f ca="1">AVERAGE(D$2:D1098)</f>
        <v>340.64926451118657</v>
      </c>
      <c r="H1099" s="5">
        <f ca="1">PERCENTILE(D$2:D1098,0.025)</f>
        <v>-1.1576097349468366</v>
      </c>
      <c r="I1099" s="5">
        <f ca="1">PERCENTILE(D$2:D1098,0.165)</f>
        <v>13.27213584970853</v>
      </c>
      <c r="J1099" s="5">
        <f ca="1">PERCENTILE(D$2:D1098,0.5)</f>
        <v>60.814632197706096</v>
      </c>
      <c r="K1099" s="5">
        <f ca="1">PERCENTILE(D$2:D1098,0.835)</f>
        <v>258.05776324462317</v>
      </c>
      <c r="L1099" s="5">
        <f ca="1">PERCENTILE(D$2:D1098,0.975)</f>
        <v>1470.3999999999933</v>
      </c>
      <c r="M1099" s="7">
        <f>AVERAGE(E$2:E1098)</f>
        <v>1.2234909909909908</v>
      </c>
      <c r="N1099" s="7">
        <f>PERCENTILE($E$2:$E1098,0.025)</f>
        <v>-1.1000000000000001</v>
      </c>
      <c r="O1099" s="7">
        <f>PERCENTILE($E$2:$E1098,0.165)</f>
        <v>0</v>
      </c>
      <c r="P1099" s="7">
        <f>PERCENTILE($E$2:$E1098,0.5)</f>
        <v>1</v>
      </c>
      <c r="Q1099" s="7">
        <f>PERCENTILE($E$2:$E1098,0.835)</f>
        <v>3</v>
      </c>
      <c r="R1099" s="7">
        <f>PERCENTILE($E$2:$E1098,0.975)</f>
        <v>3</v>
      </c>
    </row>
    <row r="1100" spans="1:18" x14ac:dyDescent="0.2">
      <c r="A1100" s="5">
        <f>Data!E915</f>
        <v>2015</v>
      </c>
      <c r="B1100" s="5">
        <f>Data!M915</f>
        <v>1.3684210526315788</v>
      </c>
      <c r="C1100" s="5">
        <f>Data!N915</f>
        <v>0.21052631578947367</v>
      </c>
      <c r="D1100" s="5">
        <f ca="1">Data!O915</f>
        <v>228.68178698383454</v>
      </c>
      <c r="E1100" s="1">
        <f>Data!AQ915</f>
        <v>1.5</v>
      </c>
      <c r="F1100" t="str">
        <f t="shared" si="17"/>
        <v/>
      </c>
      <c r="G1100" s="5">
        <f ca="1">AVERAGE(D$2:D1099)</f>
        <v>340.64937969918083</v>
      </c>
      <c r="H1100" s="5">
        <f ca="1">PERCENTILE(D$2:D1099,0.025)</f>
        <v>-1.1530683957611392</v>
      </c>
      <c r="I1100" s="5">
        <f ca="1">PERCENTILE(D$2:D1099,0.165)</f>
        <v>13.300298400463532</v>
      </c>
      <c r="J1100" s="5">
        <f ca="1">PERCENTILE(D$2:D1099,0.5)</f>
        <v>60.814632197706096</v>
      </c>
      <c r="K1100" s="5">
        <f ca="1">PERCENTILE(D$2:D1099,0.835)</f>
        <v>258.35921517750057</v>
      </c>
      <c r="L1100" s="5">
        <f ca="1">PERCENTILE(D$2:D1099,0.975)</f>
        <v>1468.5500000000034</v>
      </c>
      <c r="M1100" s="7">
        <f>AVERAGE(E$2:E1099)</f>
        <v>1.2238020247469064</v>
      </c>
      <c r="N1100" s="7">
        <f>PERCENTILE($E$2:$E1099,0.025)</f>
        <v>-1.1000000000000001</v>
      </c>
      <c r="O1100" s="7">
        <f>PERCENTILE($E$2:$E1099,0.165)</f>
        <v>0</v>
      </c>
      <c r="P1100" s="7">
        <f>PERCENTILE($E$2:$E1099,0.5)</f>
        <v>1</v>
      </c>
      <c r="Q1100" s="7">
        <f>PERCENTILE($E$2:$E1099,0.835)</f>
        <v>3</v>
      </c>
      <c r="R1100" s="7">
        <f>PERCENTILE($E$2:$E1099,0.975)</f>
        <v>3</v>
      </c>
    </row>
    <row r="1101" spans="1:18" x14ac:dyDescent="0.2">
      <c r="A1101" s="5">
        <f>Data!E916</f>
        <v>2015</v>
      </c>
      <c r="B1101" s="5">
        <f>Data!M916</f>
        <v>0.34210526315789469</v>
      </c>
      <c r="C1101" s="5">
        <f>Data!N916</f>
        <v>5.2631578947368418E-2</v>
      </c>
      <c r="D1101" s="5">
        <f ca="1">Data!O916</f>
        <v>34.233730174051182</v>
      </c>
      <c r="E1101" s="1">
        <f>Data!AQ916</f>
        <v>1.5</v>
      </c>
      <c r="F1101" t="str">
        <f t="shared" ref="F1101:F1143" si="18">IF(A1101&lt;&gt;A1100,A1101,"")</f>
        <v/>
      </c>
      <c r="G1101" s="5">
        <f ca="1">AVERAGE(D$2:D1100)</f>
        <v>340.54749835913049</v>
      </c>
      <c r="H1101" s="5">
        <f ca="1">PERCENTILE(D$2:D1100,0.025)</f>
        <v>-1.1485270565754409</v>
      </c>
      <c r="I1101" s="5">
        <f ca="1">PERCENTILE(D$2:D1100,0.165)</f>
        <v>13.303950939693131</v>
      </c>
      <c r="J1101" s="5">
        <f ca="1">PERCENTILE(D$2:D1100,0.5)</f>
        <v>60.814632197706096</v>
      </c>
      <c r="K1101" s="5">
        <f ca="1">PERCENTILE(D$2:D1100,0.835)</f>
        <v>258.2996468314829</v>
      </c>
      <c r="L1101" s="5">
        <f ca="1">PERCENTILE(D$2:D1100,0.975)</f>
        <v>1466.6999999999966</v>
      </c>
      <c r="M1101" s="7">
        <f>AVERAGE(E$2:E1100)</f>
        <v>1.2241123595505616</v>
      </c>
      <c r="N1101" s="7">
        <f>PERCENTILE($E$2:$E1100,0.025)</f>
        <v>-1.1000000000000001</v>
      </c>
      <c r="O1101" s="7">
        <f>PERCENTILE($E$2:$E1100,0.165)</f>
        <v>0</v>
      </c>
      <c r="P1101" s="7">
        <f>PERCENTILE($E$2:$E1100,0.5)</f>
        <v>1</v>
      </c>
      <c r="Q1101" s="7">
        <f>PERCENTILE($E$2:$E1100,0.835)</f>
        <v>3</v>
      </c>
      <c r="R1101" s="7">
        <f>PERCENTILE($E$2:$E1100,0.975)</f>
        <v>3</v>
      </c>
    </row>
    <row r="1102" spans="1:18" x14ac:dyDescent="0.2">
      <c r="A1102" s="5">
        <f>Data!E917</f>
        <v>2015</v>
      </c>
      <c r="B1102" s="5">
        <f>Data!M917</f>
        <v>0.68421052631578938</v>
      </c>
      <c r="C1102" s="5">
        <f>Data!N917</f>
        <v>0.10526315789473684</v>
      </c>
      <c r="D1102" s="5">
        <f ca="1">Data!O917</f>
        <v>150.6084799744622</v>
      </c>
      <c r="E1102" s="1">
        <f>Data!AQ917</f>
        <v>1.5</v>
      </c>
      <c r="F1102" t="str">
        <f t="shared" si="18"/>
        <v/>
      </c>
      <c r="G1102" s="5">
        <f ca="1">AVERAGE(D$2:D1101)</f>
        <v>340.26903129714407</v>
      </c>
      <c r="H1102" s="5">
        <f ca="1">PERCENTILE(D$2:D1101,0.025)</f>
        <v>-1.1439857173897434</v>
      </c>
      <c r="I1102" s="5">
        <f ca="1">PERCENTILE(D$2:D1101,0.165)</f>
        <v>13.307603478922728</v>
      </c>
      <c r="J1102" s="5">
        <f ca="1">PERCENTILE(D$2:D1101,0.5)</f>
        <v>60.814632197706096</v>
      </c>
      <c r="K1102" s="5">
        <f ca="1">PERCENTILE(D$2:D1101,0.835)</f>
        <v>258.24007848546523</v>
      </c>
      <c r="L1102" s="5">
        <f ca="1">PERCENTILE(D$2:D1101,0.975)</f>
        <v>1464.8499999999899</v>
      </c>
      <c r="M1102" s="7">
        <f>AVERAGE(E$2:E1101)</f>
        <v>1.2244219977553308</v>
      </c>
      <c r="N1102" s="7">
        <f>PERCENTILE($E$2:$E1101,0.025)</f>
        <v>-1.1000000000000001</v>
      </c>
      <c r="O1102" s="7">
        <f>PERCENTILE($E$2:$E1101,0.165)</f>
        <v>0</v>
      </c>
      <c r="P1102" s="7">
        <f>PERCENTILE($E$2:$E1101,0.5)</f>
        <v>1</v>
      </c>
      <c r="Q1102" s="7">
        <f>PERCENTILE($E$2:$E1101,0.835)</f>
        <v>3</v>
      </c>
      <c r="R1102" s="7">
        <f>PERCENTILE($E$2:$E1101,0.975)</f>
        <v>3</v>
      </c>
    </row>
    <row r="1103" spans="1:18" x14ac:dyDescent="0.2">
      <c r="A1103" s="5">
        <f>Data!E918</f>
        <v>2015</v>
      </c>
      <c r="B1103" s="5">
        <f>Data!M918</f>
        <v>0.68421052631578938</v>
      </c>
      <c r="C1103" s="5">
        <f>Data!N918</f>
        <v>0.10526315789473684</v>
      </c>
      <c r="D1103" s="5">
        <f ca="1">Data!O918</f>
        <v>244.53502662130509</v>
      </c>
      <c r="E1103" s="1">
        <f>Data!AQ918</f>
        <v>1.5</v>
      </c>
      <c r="F1103" t="str">
        <f t="shared" si="18"/>
        <v/>
      </c>
      <c r="G1103" s="5">
        <f ca="1">AVERAGE(D$2:D1102)</f>
        <v>340.09676921601539</v>
      </c>
      <c r="H1103" s="5">
        <f ca="1">PERCENTILE(D$2:D1102,0.025)</f>
        <v>-1.1394443782040458</v>
      </c>
      <c r="I1103" s="5">
        <f ca="1">PERCENTILE(D$2:D1102,0.165)</f>
        <v>13.311256018152324</v>
      </c>
      <c r="J1103" s="5">
        <f ca="1">PERCENTILE(D$2:D1102,0.5)</f>
        <v>60.814632197706096</v>
      </c>
      <c r="K1103" s="5">
        <f ca="1">PERCENTILE(D$2:D1102,0.835)</f>
        <v>258.18051013944751</v>
      </c>
      <c r="L1103" s="5">
        <f ca="1">PERCENTILE(D$2:D1102,0.975)</f>
        <v>1463</v>
      </c>
      <c r="M1103" s="7">
        <f>AVERAGE(E$2:E1102)</f>
        <v>1.2247309417040357</v>
      </c>
      <c r="N1103" s="7">
        <f>PERCENTILE($E$2:$E1102,0.025)</f>
        <v>-1.1000000000000001</v>
      </c>
      <c r="O1103" s="7">
        <f>PERCENTILE($E$2:$E1102,0.165)</f>
        <v>0</v>
      </c>
      <c r="P1103" s="7">
        <f>PERCENTILE($E$2:$E1102,0.5)</f>
        <v>1</v>
      </c>
      <c r="Q1103" s="7">
        <f>PERCENTILE($E$2:$E1102,0.835)</f>
        <v>3</v>
      </c>
      <c r="R1103" s="7">
        <f>PERCENTILE($E$2:$E1102,0.975)</f>
        <v>3</v>
      </c>
    </row>
    <row r="1104" spans="1:18" x14ac:dyDescent="0.2">
      <c r="A1104" s="5">
        <f>Data!E919</f>
        <v>2015</v>
      </c>
      <c r="B1104" s="5">
        <f>Data!M919</f>
        <v>0.34210526315789469</v>
      </c>
      <c r="C1104" s="5">
        <f>Data!N919</f>
        <v>5.2631578947368418E-2</v>
      </c>
      <c r="D1104" s="5">
        <f ca="1">Data!O919</f>
        <v>75.041521571032916</v>
      </c>
      <c r="E1104" s="1">
        <f>Data!AQ919</f>
        <v>1.5</v>
      </c>
      <c r="F1104" t="str">
        <f t="shared" si="18"/>
        <v/>
      </c>
      <c r="G1104" s="5">
        <f ca="1">AVERAGE(D$2:D1103)</f>
        <v>340.0100525711926</v>
      </c>
      <c r="H1104" s="5">
        <f ca="1">PERCENTILE(D$2:D1103,0.025)</f>
        <v>-1.1349030390183477</v>
      </c>
      <c r="I1104" s="5">
        <f ca="1">PERCENTILE(D$2:D1103,0.165)</f>
        <v>13.314908557381921</v>
      </c>
      <c r="J1104" s="5">
        <f ca="1">PERCENTILE(D$2:D1103,0.5)</f>
        <v>61.256393147079322</v>
      </c>
      <c r="K1104" s="5">
        <f ca="1">PERCENTILE(D$2:D1103,0.835)</f>
        <v>258.12094179342984</v>
      </c>
      <c r="L1104" s="5">
        <f ca="1">PERCENTILE(D$2:D1103,0.975)</f>
        <v>1461.1499999999933</v>
      </c>
      <c r="M1104" s="7">
        <f>AVERAGE(E$2:E1103)</f>
        <v>1.2250391937290031</v>
      </c>
      <c r="N1104" s="7">
        <f>PERCENTILE($E$2:$E1103,0.025)</f>
        <v>-1.1000000000000001</v>
      </c>
      <c r="O1104" s="7">
        <f>PERCENTILE($E$2:$E1103,0.165)</f>
        <v>0</v>
      </c>
      <c r="P1104" s="7">
        <f>PERCENTILE($E$2:$E1103,0.5)</f>
        <v>1</v>
      </c>
      <c r="Q1104" s="7">
        <f>PERCENTILE($E$2:$E1103,0.835)</f>
        <v>3</v>
      </c>
      <c r="R1104" s="7">
        <f>PERCENTILE($E$2:$E1103,0.975)</f>
        <v>3</v>
      </c>
    </row>
    <row r="1105" spans="1:18" x14ac:dyDescent="0.2">
      <c r="A1105" s="5">
        <f>Data!E920</f>
        <v>2015</v>
      </c>
      <c r="B1105" s="5">
        <f>Data!M920</f>
        <v>0.34210526315789469</v>
      </c>
      <c r="C1105" s="5">
        <f>Data!N920</f>
        <v>5.2631578947368418E-2</v>
      </c>
      <c r="D1105" s="5">
        <f ca="1">Data!O920</f>
        <v>129.75592556453651</v>
      </c>
      <c r="E1105" s="1">
        <f>Data!AQ920</f>
        <v>1.5</v>
      </c>
      <c r="F1105" t="str">
        <f t="shared" si="18"/>
        <v/>
      </c>
      <c r="G1105" s="5">
        <f ca="1">AVERAGE(D$2:D1104)</f>
        <v>339.76982724843634</v>
      </c>
      <c r="H1105" s="5">
        <f ca="1">PERCENTILE(D$2:D1104,0.025)</f>
        <v>-1.13036169983265</v>
      </c>
      <c r="I1105" s="5">
        <f ca="1">PERCENTILE(D$2:D1104,0.165)</f>
        <v>13.318561096611518</v>
      </c>
      <c r="J1105" s="5">
        <f ca="1">PERCENTILE(D$2:D1104,0.5)</f>
        <v>61.698154096452555</v>
      </c>
      <c r="K1105" s="5">
        <f ca="1">PERCENTILE(D$2:D1104,0.835)</f>
        <v>258.06137344741217</v>
      </c>
      <c r="L1105" s="5">
        <f ca="1">PERCENTILE(D$2:D1104,0.975)</f>
        <v>1459.3000000000034</v>
      </c>
      <c r="M1105" s="7">
        <f>AVERAGE(E$2:E1104)</f>
        <v>1.225346756152125</v>
      </c>
      <c r="N1105" s="7">
        <f>PERCENTILE($E$2:$E1104,0.025)</f>
        <v>-1.1000000000000001</v>
      </c>
      <c r="O1105" s="7">
        <f>PERCENTILE($E$2:$E1104,0.165)</f>
        <v>0</v>
      </c>
      <c r="P1105" s="7">
        <f>PERCENTILE($E$2:$E1104,0.5)</f>
        <v>1</v>
      </c>
      <c r="Q1105" s="7">
        <f>PERCENTILE($E$2:$E1104,0.835)</f>
        <v>3</v>
      </c>
      <c r="R1105" s="7">
        <f>PERCENTILE($E$2:$E1104,0.975)</f>
        <v>3</v>
      </c>
    </row>
    <row r="1106" spans="1:18" x14ac:dyDescent="0.2">
      <c r="A1106" s="5">
        <f>Data!E921</f>
        <v>2015</v>
      </c>
      <c r="B1106" s="5">
        <f>Data!M921</f>
        <v>0.34210526315789469</v>
      </c>
      <c r="C1106" s="5">
        <f>Data!N921</f>
        <v>5.2631578947368418E-2</v>
      </c>
      <c r="D1106" s="5">
        <f ca="1">Data!O921</f>
        <v>61.959524120007401</v>
      </c>
      <c r="E1106" s="1">
        <f>Data!AQ921</f>
        <v>1.5</v>
      </c>
      <c r="F1106" t="str">
        <f t="shared" si="18"/>
        <v/>
      </c>
      <c r="G1106" s="5">
        <f ca="1">AVERAGE(D$2:D1105)</f>
        <v>339.57959726502702</v>
      </c>
      <c r="H1106" s="5">
        <f ca="1">PERCENTILE(D$2:D1105,0.025)</f>
        <v>-1.1258203606469517</v>
      </c>
      <c r="I1106" s="5">
        <f ca="1">PERCENTILE(D$2:D1105,0.165)</f>
        <v>13.322213635841115</v>
      </c>
      <c r="J1106" s="5">
        <f ca="1">PERCENTILE(D$2:D1105,0.5)</f>
        <v>61.922852816817851</v>
      </c>
      <c r="K1106" s="5">
        <f ca="1">PERCENTILE(D$2:D1105,0.835)</f>
        <v>258.0018051013945</v>
      </c>
      <c r="L1106" s="5">
        <f ca="1">PERCENTILE(D$2:D1105,0.975)</f>
        <v>1457.4499999999966</v>
      </c>
      <c r="M1106" s="7">
        <f>AVERAGE(E$2:E1105)</f>
        <v>1.225653631284916</v>
      </c>
      <c r="N1106" s="7">
        <f>PERCENTILE($E$2:$E1105,0.025)</f>
        <v>-1.1000000000000001</v>
      </c>
      <c r="O1106" s="7">
        <f>PERCENTILE($E$2:$E1105,0.165)</f>
        <v>0</v>
      </c>
      <c r="P1106" s="7">
        <f>PERCENTILE($E$2:$E1105,0.5)</f>
        <v>1</v>
      </c>
      <c r="Q1106" s="7">
        <f>PERCENTILE($E$2:$E1105,0.835)</f>
        <v>3</v>
      </c>
      <c r="R1106" s="7">
        <f>PERCENTILE($E$2:$E1105,0.975)</f>
        <v>3</v>
      </c>
    </row>
    <row r="1107" spans="1:18" x14ac:dyDescent="0.2">
      <c r="A1107" s="5">
        <f>Data!E922</f>
        <v>2015</v>
      </c>
      <c r="B1107" s="5">
        <f>Data!M922</f>
        <v>0.34210526315789469</v>
      </c>
      <c r="C1107" s="5">
        <f>Data!N922</f>
        <v>5.2631578947368418E-2</v>
      </c>
      <c r="D1107" s="5">
        <f ca="1">Data!O922</f>
        <v>150.6084799744622</v>
      </c>
      <c r="E1107" s="1">
        <f>Data!AQ922</f>
        <v>1.5</v>
      </c>
      <c r="F1107" t="str">
        <f t="shared" si="18"/>
        <v/>
      </c>
      <c r="G1107" s="5">
        <f ca="1">AVERAGE(D$2:D1106)</f>
        <v>339.32835737982793</v>
      </c>
      <c r="H1107" s="5">
        <f ca="1">PERCENTILE(D$2:D1106,0.025)</f>
        <v>-1.1212790214612542</v>
      </c>
      <c r="I1107" s="5">
        <f ca="1">PERCENTILE(D$2:D1106,0.165)</f>
        <v>13.378232436706606</v>
      </c>
      <c r="J1107" s="5">
        <f ca="1">PERCENTILE(D$2:D1106,0.5)</f>
        <v>61.959524120007401</v>
      </c>
      <c r="K1107" s="5">
        <f ca="1">PERCENTILE(D$2:D1106,0.835)</f>
        <v>257.44078170365839</v>
      </c>
      <c r="L1107" s="5">
        <f ca="1">PERCENTILE(D$2:D1106,0.975)</f>
        <v>1455.5999999999899</v>
      </c>
      <c r="M1107" s="7">
        <f>AVERAGE(E$2:E1106)</f>
        <v>1.2259598214285712</v>
      </c>
      <c r="N1107" s="7">
        <f>PERCENTILE($E$2:$E1106,0.025)</f>
        <v>-1.1000000000000001</v>
      </c>
      <c r="O1107" s="7">
        <f>PERCENTILE($E$2:$E1106,0.165)</f>
        <v>0</v>
      </c>
      <c r="P1107" s="7">
        <f>PERCENTILE($E$2:$E1106,0.5)</f>
        <v>1</v>
      </c>
      <c r="Q1107" s="7">
        <f>PERCENTILE($E$2:$E1106,0.835)</f>
        <v>3</v>
      </c>
      <c r="R1107" s="7">
        <f>PERCENTILE($E$2:$E1106,0.975)</f>
        <v>3</v>
      </c>
    </row>
    <row r="1108" spans="1:18" x14ac:dyDescent="0.2">
      <c r="A1108" s="5">
        <f>Data!E923</f>
        <v>2015</v>
      </c>
      <c r="B1108" s="5">
        <f>Data!M923</f>
        <v>0.34210526315789469</v>
      </c>
      <c r="C1108" s="5">
        <f>Data!N923</f>
        <v>5.2631578947368418E-2</v>
      </c>
      <c r="D1108" s="5">
        <f ca="1">Data!O923</f>
        <v>141.45870312014787</v>
      </c>
      <c r="E1108" s="1">
        <f>Data!AQ923</f>
        <v>1.5</v>
      </c>
      <c r="F1108" t="str">
        <f t="shared" si="18"/>
        <v/>
      </c>
      <c r="G1108" s="5">
        <f ca="1">AVERAGE(D$2:D1107)</f>
        <v>339.15772457928057</v>
      </c>
      <c r="H1108" s="5">
        <f ca="1">PERCENTILE(D$2:D1107,0.025)</f>
        <v>-1.1167376822755566</v>
      </c>
      <c r="I1108" s="5">
        <f ca="1">PERCENTILE(D$2:D1107,0.165)</f>
        <v>13.435887683248229</v>
      </c>
      <c r="J1108" s="5">
        <f ca="1">PERCENTILE(D$2:D1107,0.5)</f>
        <v>62.053537828595267</v>
      </c>
      <c r="K1108" s="5">
        <f ca="1">PERCENTILE(D$2:D1107,0.835)</f>
        <v>256.86408783555657</v>
      </c>
      <c r="L1108" s="5">
        <f ca="1">PERCENTILE(D$2:D1107,0.975)</f>
        <v>1453.75</v>
      </c>
      <c r="M1108" s="7">
        <f>AVERAGE(E$2:E1107)</f>
        <v>1.2262653288740244</v>
      </c>
      <c r="N1108" s="7">
        <f>PERCENTILE($E$2:$E1107,0.025)</f>
        <v>-1.1000000000000001</v>
      </c>
      <c r="O1108" s="7">
        <f>PERCENTILE($E$2:$E1107,0.165)</f>
        <v>0</v>
      </c>
      <c r="P1108" s="7">
        <f>PERCENTILE($E$2:$E1107,0.5)</f>
        <v>1</v>
      </c>
      <c r="Q1108" s="7">
        <f>PERCENTILE($E$2:$E1107,0.835)</f>
        <v>3</v>
      </c>
      <c r="R1108" s="7">
        <f>PERCENTILE($E$2:$E1107,0.975)</f>
        <v>3</v>
      </c>
    </row>
    <row r="1109" spans="1:18" x14ac:dyDescent="0.2">
      <c r="A1109" s="5">
        <f>Data!E924</f>
        <v>2015</v>
      </c>
      <c r="B1109" s="5">
        <f>Data!M924</f>
        <v>0.34210526315789469</v>
      </c>
      <c r="C1109" s="5">
        <f>Data!N924</f>
        <v>5.2631578947368418E-2</v>
      </c>
      <c r="D1109" s="5">
        <f ca="1">Data!O924</f>
        <v>870.11502524478351</v>
      </c>
      <c r="E1109" s="1">
        <f>Data!AQ924</f>
        <v>1.5</v>
      </c>
      <c r="F1109" t="str">
        <f t="shared" si="18"/>
        <v/>
      </c>
      <c r="G1109" s="5">
        <f ca="1">AVERAGE(D$2:D1108)</f>
        <v>338.97913467733014</v>
      </c>
      <c r="H1109" s="5">
        <f ca="1">PERCENTILE(D$2:D1108,0.025)</f>
        <v>-1.1121963430898585</v>
      </c>
      <c r="I1109" s="5">
        <f ca="1">PERCENTILE(D$2:D1108,0.165)</f>
        <v>13.493542929789839</v>
      </c>
      <c r="J1109" s="5">
        <f ca="1">PERCENTILE(D$2:D1108,0.5)</f>
        <v>62.147551537183141</v>
      </c>
      <c r="K1109" s="5">
        <f ca="1">PERCENTILE(D$2:D1108,0.835)</f>
        <v>256.2873939674547</v>
      </c>
      <c r="L1109" s="5">
        <f ca="1">PERCENTILE(D$2:D1108,0.975)</f>
        <v>1451.8999999999933</v>
      </c>
      <c r="M1109" s="7">
        <f>AVERAGE(E$2:E1108)</f>
        <v>1.2265701559020041</v>
      </c>
      <c r="N1109" s="7">
        <f>PERCENTILE($E$2:$E1108,0.025)</f>
        <v>-1.1000000000000001</v>
      </c>
      <c r="O1109" s="7">
        <f>PERCENTILE($E$2:$E1108,0.165)</f>
        <v>0</v>
      </c>
      <c r="P1109" s="7">
        <f>PERCENTILE($E$2:$E1108,0.5)</f>
        <v>1</v>
      </c>
      <c r="Q1109" s="7">
        <f>PERCENTILE($E$2:$E1108,0.835)</f>
        <v>3</v>
      </c>
      <c r="R1109" s="7">
        <f>PERCENTILE($E$2:$E1108,0.975)</f>
        <v>3</v>
      </c>
    </row>
    <row r="1110" spans="1:18" x14ac:dyDescent="0.2">
      <c r="A1110" s="5">
        <f>Data!E925</f>
        <v>2015</v>
      </c>
      <c r="B1110" s="5">
        <f>Data!M925</f>
        <v>0.34210526315789469</v>
      </c>
      <c r="C1110" s="5">
        <f>Data!N925</f>
        <v>5.2631578947368418E-2</v>
      </c>
      <c r="D1110" s="5">
        <f ca="1">Data!O925</f>
        <v>318.12803377695985</v>
      </c>
      <c r="E1110" s="1">
        <f>Data!AQ925</f>
        <v>1.5</v>
      </c>
      <c r="F1110" t="str">
        <f t="shared" si="18"/>
        <v/>
      </c>
      <c r="G1110" s="5">
        <f ca="1">AVERAGE(D$2:D1109)</f>
        <v>339.45849919950291</v>
      </c>
      <c r="H1110" s="5">
        <f ca="1">PERCENTILE(D$2:D1109,0.025)</f>
        <v>-1.1076550039041608</v>
      </c>
      <c r="I1110" s="5">
        <f ca="1">PERCENTILE(D$2:D1109,0.165)</f>
        <v>13.551198176331452</v>
      </c>
      <c r="J1110" s="5">
        <f ca="1">PERCENTILE(D$2:D1109,0.5)</f>
        <v>62.147551537183141</v>
      </c>
      <c r="K1110" s="5">
        <f ca="1">PERCENTILE(D$2:D1109,0.835)</f>
        <v>258.12455199621877</v>
      </c>
      <c r="L1110" s="5">
        <f ca="1">PERCENTILE(D$2:D1109,0.975)</f>
        <v>1450.0500000000034</v>
      </c>
      <c r="M1110" s="7">
        <f>AVERAGE(E$2:E1109)</f>
        <v>1.2268743047830921</v>
      </c>
      <c r="N1110" s="7">
        <f>PERCENTILE($E$2:$E1109,0.025)</f>
        <v>-1.1000000000000001</v>
      </c>
      <c r="O1110" s="7">
        <f>PERCENTILE($E$2:$E1109,0.165)</f>
        <v>0</v>
      </c>
      <c r="P1110" s="7">
        <f>PERCENTILE($E$2:$E1109,0.5)</f>
        <v>1</v>
      </c>
      <c r="Q1110" s="7">
        <f>PERCENTILE($E$2:$E1109,0.835)</f>
        <v>3</v>
      </c>
      <c r="R1110" s="7">
        <f>PERCENTILE($E$2:$E1109,0.975)</f>
        <v>3</v>
      </c>
    </row>
    <row r="1111" spans="1:18" x14ac:dyDescent="0.2">
      <c r="A1111" s="5">
        <f>Data!E926</f>
        <v>2015</v>
      </c>
      <c r="B1111" s="5">
        <f>Data!M926</f>
        <v>0.34210526315789469</v>
      </c>
      <c r="C1111" s="5">
        <f>Data!N926</f>
        <v>5.2631578947368418E-2</v>
      </c>
      <c r="D1111" s="5">
        <f ca="1">Data!O926</f>
        <v>386.04422462707691</v>
      </c>
      <c r="E1111" s="1">
        <f>Data!AQ926</f>
        <v>1.5</v>
      </c>
      <c r="F1111" t="str">
        <f t="shared" si="18"/>
        <v/>
      </c>
      <c r="G1111" s="5">
        <f ca="1">AVERAGE(D$2:D1110)</f>
        <v>339.43926523609213</v>
      </c>
      <c r="H1111" s="5">
        <f ca="1">PERCENTILE(D$2:D1110,0.025)</f>
        <v>-1.1031136647184627</v>
      </c>
      <c r="I1111" s="5">
        <f ca="1">PERCENTILE(D$2:D1110,0.165)</f>
        <v>13.608853422873073</v>
      </c>
      <c r="J1111" s="5">
        <f ca="1">PERCENTILE(D$2:D1110,0.5)</f>
        <v>62.147551537183141</v>
      </c>
      <c r="K1111" s="5">
        <f ca="1">PERCENTILE(D$2:D1110,0.835)</f>
        <v>258.53983963769053</v>
      </c>
      <c r="L1111" s="5">
        <f ca="1">PERCENTILE(D$2:D1110,0.975)</f>
        <v>1448.1999999999966</v>
      </c>
      <c r="M1111" s="7">
        <f>AVERAGE(E$2:E1110)</f>
        <v>1.2271777777777775</v>
      </c>
      <c r="N1111" s="7">
        <f>PERCENTILE($E$2:$E1110,0.025)</f>
        <v>-1.1000000000000001</v>
      </c>
      <c r="O1111" s="7">
        <f>PERCENTILE($E$2:$E1110,0.165)</f>
        <v>0</v>
      </c>
      <c r="P1111" s="7">
        <f>PERCENTILE($E$2:$E1110,0.5)</f>
        <v>1</v>
      </c>
      <c r="Q1111" s="7">
        <f>PERCENTILE($E$2:$E1110,0.835)</f>
        <v>3</v>
      </c>
      <c r="R1111" s="7">
        <f>PERCENTILE($E$2:$E1110,0.975)</f>
        <v>3</v>
      </c>
    </row>
    <row r="1112" spans="1:18" x14ac:dyDescent="0.2">
      <c r="A1112" s="5">
        <f>Data!E927</f>
        <v>2015</v>
      </c>
      <c r="B1112" s="5">
        <f>Data!M927</f>
        <v>0.34210526315789469</v>
      </c>
      <c r="C1112" s="5">
        <f>Data!N927</f>
        <v>5.2631578947368418E-2</v>
      </c>
      <c r="D1112" s="5">
        <f ca="1">Data!O927</f>
        <v>244.53497483167882</v>
      </c>
      <c r="E1112" s="1">
        <f>Data!AQ927</f>
        <v>1.5</v>
      </c>
      <c r="F1112" t="str">
        <f t="shared" si="18"/>
        <v/>
      </c>
      <c r="G1112" s="5">
        <f ca="1">AVERAGE(D$2:D1111)</f>
        <v>339.48125168599393</v>
      </c>
      <c r="H1112" s="5">
        <f ca="1">PERCENTILE(D$2:D1111,0.025)</f>
        <v>-1.0985723255327651</v>
      </c>
      <c r="I1112" s="5">
        <f ca="1">PERCENTILE(D$2:D1111,0.165)</f>
        <v>13.666508669414686</v>
      </c>
      <c r="J1112" s="5">
        <f ca="1">PERCENTILE(D$2:D1111,0.5)</f>
        <v>62.406499668588076</v>
      </c>
      <c r="K1112" s="5">
        <f ca="1">PERCENTILE(D$2:D1111,0.835)</f>
        <v>259.37284096808537</v>
      </c>
      <c r="L1112" s="5">
        <f ca="1">PERCENTILE(D$2:D1111,0.975)</f>
        <v>1446.3499999999899</v>
      </c>
      <c r="M1112" s="7">
        <f>AVERAGE(E$2:E1111)</f>
        <v>1.2274805771365147</v>
      </c>
      <c r="N1112" s="7">
        <f>PERCENTILE($E$2:$E1111,0.025)</f>
        <v>-1.1000000000000001</v>
      </c>
      <c r="O1112" s="7">
        <f>PERCENTILE($E$2:$E1111,0.165)</f>
        <v>0</v>
      </c>
      <c r="P1112" s="7">
        <f>PERCENTILE($E$2:$E1111,0.5)</f>
        <v>1</v>
      </c>
      <c r="Q1112" s="7">
        <f>PERCENTILE($E$2:$E1111,0.835)</f>
        <v>3</v>
      </c>
      <c r="R1112" s="7">
        <f>PERCENTILE($E$2:$E1111,0.975)</f>
        <v>3</v>
      </c>
    </row>
    <row r="1113" spans="1:18" x14ac:dyDescent="0.2">
      <c r="A1113" s="5">
        <f>Data!E928</f>
        <v>2015</v>
      </c>
      <c r="B1113" s="5">
        <f>Data!M928</f>
        <v>0.34210526315789469</v>
      </c>
      <c r="C1113" s="5">
        <f>Data!N928</f>
        <v>5.2631578947368418E-2</v>
      </c>
      <c r="D1113" s="5">
        <f ca="1">Data!O928</f>
        <v>2459.5090321420098</v>
      </c>
      <c r="E1113" s="1">
        <f>Data!AQ928</f>
        <v>1.5</v>
      </c>
      <c r="F1113" t="str">
        <f t="shared" si="18"/>
        <v/>
      </c>
      <c r="G1113" s="5">
        <f ca="1">AVERAGE(D$2:D1112)</f>
        <v>339.39579149080549</v>
      </c>
      <c r="H1113" s="5">
        <f ca="1">PERCENTILE(D$2:D1112,0.025)</f>
        <v>-1.0940309863470676</v>
      </c>
      <c r="I1113" s="5">
        <f ca="1">PERCENTILE(D$2:D1112,0.165)</f>
        <v>13.671750055463919</v>
      </c>
      <c r="J1113" s="5">
        <f ca="1">PERCENTILE(D$2:D1112,0.5)</f>
        <v>62.665447799993011</v>
      </c>
      <c r="K1113" s="5">
        <f ca="1">PERCENTILE(D$2:D1112,0.835)</f>
        <v>259.20544502876265</v>
      </c>
      <c r="L1113" s="5">
        <f ca="1">PERCENTILE(D$2:D1112,0.975)</f>
        <v>1444.5</v>
      </c>
      <c r="M1113" s="7">
        <f>AVERAGE(E$2:E1112)</f>
        <v>1.227782705099778</v>
      </c>
      <c r="N1113" s="7">
        <f>PERCENTILE($E$2:$E1112,0.025)</f>
        <v>-1.1000000000000001</v>
      </c>
      <c r="O1113" s="7">
        <f>PERCENTILE($E$2:$E1112,0.165)</f>
        <v>0</v>
      </c>
      <c r="P1113" s="7">
        <f>PERCENTILE($E$2:$E1112,0.5)</f>
        <v>1</v>
      </c>
      <c r="Q1113" s="7">
        <f>PERCENTILE($E$2:$E1112,0.835)</f>
        <v>3</v>
      </c>
      <c r="R1113" s="7">
        <f>PERCENTILE($E$2:$E1112,0.975)</f>
        <v>3</v>
      </c>
    </row>
    <row r="1114" spans="1:18" x14ac:dyDescent="0.2">
      <c r="A1114" s="5">
        <f>Data!E949</f>
        <v>2015</v>
      </c>
      <c r="B1114" s="5">
        <f>Data!M949</f>
        <v>1.2941176470588236</v>
      </c>
      <c r="C1114" s="5">
        <f>Data!N949</f>
        <v>0.23529411764705882</v>
      </c>
      <c r="D1114" s="5">
        <f ca="1">Data!O949</f>
        <v>82.133333333333326</v>
      </c>
      <c r="E1114" s="1">
        <f>Data!AQ949</f>
        <v>1.4</v>
      </c>
      <c r="F1114" t="str">
        <f t="shared" si="18"/>
        <v/>
      </c>
      <c r="G1114" s="5">
        <f ca="1">AVERAGE(D$2:D1113)</f>
        <v>341.30236814606741</v>
      </c>
      <c r="H1114" s="5">
        <f ca="1">PERCENTILE(D$2:D1113,0.025)</f>
        <v>-1.0894896471613693</v>
      </c>
      <c r="I1114" s="5">
        <f ca="1">PERCENTILE(D$2:D1113,0.165)</f>
        <v>13.671750055463919</v>
      </c>
      <c r="J1114" s="5">
        <f ca="1">PERCENTILE(D$2:D1113,0.5)</f>
        <v>62.810624162463697</v>
      </c>
      <c r="K1114" s="5">
        <f ca="1">PERCENTILE(D$2:D1113,0.835)</f>
        <v>260.19380568044221</v>
      </c>
      <c r="L1114" s="5">
        <f ca="1">PERCENTILE(D$2:D1113,0.975)</f>
        <v>1508.543806181726</v>
      </c>
      <c r="M1114" s="7">
        <f>AVERAGE(E$2:E1113)</f>
        <v>1.2280841638981173</v>
      </c>
      <c r="N1114" s="7">
        <f>PERCENTILE($E$2:$E1113,0.025)</f>
        <v>-1.1000000000000001</v>
      </c>
      <c r="O1114" s="7">
        <f>PERCENTILE($E$2:$E1113,0.165)</f>
        <v>0</v>
      </c>
      <c r="P1114" s="7">
        <f>PERCENTILE($E$2:$E1113,0.5)</f>
        <v>1</v>
      </c>
      <c r="Q1114" s="7">
        <f>PERCENTILE($E$2:$E1113,0.835)</f>
        <v>3</v>
      </c>
      <c r="R1114" s="7">
        <f>PERCENTILE($E$2:$E1113,0.975)</f>
        <v>3</v>
      </c>
    </row>
    <row r="1115" spans="1:18" x14ac:dyDescent="0.2">
      <c r="A1115" s="5">
        <f>Data!E950</f>
        <v>2015</v>
      </c>
      <c r="B1115" s="5">
        <f>Data!M950</f>
        <v>1.2941176470588236</v>
      </c>
      <c r="C1115" s="5">
        <f>Data!N950</f>
        <v>0.23529411764705882</v>
      </c>
      <c r="D1115" s="5">
        <f ca="1">Data!O950</f>
        <v>208.63333333333333</v>
      </c>
      <c r="E1115" s="1">
        <f>Data!AQ950</f>
        <v>1.4</v>
      </c>
      <c r="F1115" t="str">
        <f t="shared" si="18"/>
        <v/>
      </c>
      <c r="G1115" s="5">
        <f ca="1">AVERAGE(D$2:D1114)</f>
        <v>341.0695118704046</v>
      </c>
      <c r="H1115" s="5">
        <f ca="1">PERCENTILE(D$2:D1114,0.025)</f>
        <v>-1.0849483079756717</v>
      </c>
      <c r="I1115" s="5">
        <f ca="1">PERCENTILE(D$2:D1114,0.165)</f>
        <v>13.671750055463919</v>
      </c>
      <c r="J1115" s="5">
        <f ca="1">PERCENTILE(D$2:D1114,0.5)</f>
        <v>62.955800524934382</v>
      </c>
      <c r="K1115" s="5">
        <f ca="1">PERCENTILE(D$2:D1114,0.835)</f>
        <v>259.99162780351855</v>
      </c>
      <c r="L1115" s="5">
        <f ca="1">PERCENTILE(D$2:D1114,0.975)</f>
        <v>1507.5944943837612</v>
      </c>
      <c r="M1115" s="7">
        <f>AVERAGE(E$2:E1114)</f>
        <v>1.2282743362831858</v>
      </c>
      <c r="N1115" s="7">
        <f>PERCENTILE($E$2:$E1114,0.025)</f>
        <v>-1.1000000000000001</v>
      </c>
      <c r="O1115" s="7">
        <f>PERCENTILE($E$2:$E1114,0.165)</f>
        <v>0</v>
      </c>
      <c r="P1115" s="7">
        <f>PERCENTILE($E$2:$E1114,0.5)</f>
        <v>1</v>
      </c>
      <c r="Q1115" s="7">
        <f>PERCENTILE($E$2:$E1114,0.835)</f>
        <v>3</v>
      </c>
      <c r="R1115" s="7">
        <f>PERCENTILE($E$2:$E1114,0.975)</f>
        <v>3</v>
      </c>
    </row>
    <row r="1116" spans="1:18" x14ac:dyDescent="0.2">
      <c r="A1116" s="5">
        <f>Data!E951</f>
        <v>2015</v>
      </c>
      <c r="B1116" s="5">
        <f>Data!M951</f>
        <v>0.3235294117647059</v>
      </c>
      <c r="C1116" s="5">
        <f>Data!N951</f>
        <v>5.8823529411764705E-2</v>
      </c>
      <c r="D1116" s="5">
        <f ca="1">Data!O951</f>
        <v>80.666666666666671</v>
      </c>
      <c r="E1116" s="1">
        <f>Data!AQ951</f>
        <v>1.4</v>
      </c>
      <c r="F1116" t="str">
        <f t="shared" si="18"/>
        <v/>
      </c>
      <c r="G1116" s="5">
        <f ca="1">AVERAGE(D$2:D1115)</f>
        <v>340.95062840672682</v>
      </c>
      <c r="H1116" s="5">
        <f ca="1">PERCENTILE(D$2:D1115,0.025)</f>
        <v>-1.0804069687899736</v>
      </c>
      <c r="I1116" s="5">
        <f ca="1">PERCENTILE(D$2:D1115,0.165)</f>
        <v>13.671750055463919</v>
      </c>
      <c r="J1116" s="5">
        <f ca="1">PERCENTILE(D$2:D1115,0.5)</f>
        <v>63.069572293868625</v>
      </c>
      <c r="K1116" s="5">
        <f ca="1">PERCENTILE(D$2:D1115,0.835)</f>
        <v>259.78944992659473</v>
      </c>
      <c r="L1116" s="5">
        <f ca="1">PERCENTILE(D$2:D1115,0.975)</f>
        <v>1506.6451825857878</v>
      </c>
      <c r="M1116" s="7">
        <f>AVERAGE(E$2:E1115)</f>
        <v>1.22846408839779</v>
      </c>
      <c r="N1116" s="7">
        <f>PERCENTILE($E$2:$E1115,0.025)</f>
        <v>-1.1000000000000001</v>
      </c>
      <c r="O1116" s="7">
        <f>PERCENTILE($E$2:$E1115,0.165)</f>
        <v>0</v>
      </c>
      <c r="P1116" s="7">
        <f>PERCENTILE($E$2:$E1115,0.5)</f>
        <v>1</v>
      </c>
      <c r="Q1116" s="7">
        <f>PERCENTILE($E$2:$E1115,0.835)</f>
        <v>3</v>
      </c>
      <c r="R1116" s="7">
        <f>PERCENTILE($E$2:$E1115,0.975)</f>
        <v>3</v>
      </c>
    </row>
    <row r="1117" spans="1:18" x14ac:dyDescent="0.2">
      <c r="A1117" s="5">
        <f>Data!E952</f>
        <v>2015</v>
      </c>
      <c r="B1117" s="5">
        <f>Data!M952</f>
        <v>0.3235294117647059</v>
      </c>
      <c r="C1117" s="5">
        <f>Data!N952</f>
        <v>5.8823529411764705E-2</v>
      </c>
      <c r="D1117" s="5">
        <f ca="1">Data!O952</f>
        <v>187</v>
      </c>
      <c r="E1117" s="1">
        <f>Data!AQ952</f>
        <v>1.4</v>
      </c>
      <c r="F1117" t="str">
        <f t="shared" si="18"/>
        <v/>
      </c>
      <c r="G1117" s="5">
        <f ca="1">AVERAGE(D$2:D1116)</f>
        <v>340.71718987601821</v>
      </c>
      <c r="H1117" s="5">
        <f ca="1">PERCENTILE(D$2:D1116,0.025)</f>
        <v>-1.0758656296042759</v>
      </c>
      <c r="I1117" s="5">
        <f ca="1">PERCENTILE(D$2:D1116,0.165)</f>
        <v>13.671750055463919</v>
      </c>
      <c r="J1117" s="5">
        <f ca="1">PERCENTILE(D$2:D1116,0.5)</f>
        <v>63.183344062802867</v>
      </c>
      <c r="K1117" s="5">
        <f ca="1">PERCENTILE(D$2:D1116,0.835)</f>
        <v>259.58727204967107</v>
      </c>
      <c r="L1117" s="5">
        <f ca="1">PERCENTILE(D$2:D1116,0.975)</f>
        <v>1505.6958707878146</v>
      </c>
      <c r="M1117" s="7">
        <f>AVERAGE(E$2:E1116)</f>
        <v>1.2286534216335541</v>
      </c>
      <c r="N1117" s="7">
        <f>PERCENTILE($E$2:$E1116,0.025)</f>
        <v>-1.1000000000000001</v>
      </c>
      <c r="O1117" s="7">
        <f>PERCENTILE($E$2:$E1116,0.165)</f>
        <v>0</v>
      </c>
      <c r="P1117" s="7">
        <f>PERCENTILE($E$2:$E1116,0.5)</f>
        <v>1</v>
      </c>
      <c r="Q1117" s="7">
        <f>PERCENTILE($E$2:$E1116,0.835)</f>
        <v>3</v>
      </c>
      <c r="R1117" s="7">
        <f>PERCENTILE($E$2:$E1116,0.975)</f>
        <v>3</v>
      </c>
    </row>
    <row r="1118" spans="1:18" x14ac:dyDescent="0.2">
      <c r="A1118" s="5">
        <f>Data!E953</f>
        <v>2015</v>
      </c>
      <c r="B1118" s="5">
        <f>Data!M953</f>
        <v>0.3235294117647059</v>
      </c>
      <c r="C1118" s="5">
        <f>Data!N953</f>
        <v>5.8823529411764705E-2</v>
      </c>
      <c r="D1118" s="5">
        <f ca="1">Data!O953</f>
        <v>201.66666666666666</v>
      </c>
      <c r="E1118" s="1">
        <f>Data!AQ953</f>
        <v>1.4</v>
      </c>
      <c r="F1118" t="str">
        <f t="shared" si="18"/>
        <v/>
      </c>
      <c r="G1118" s="5">
        <f ca="1">AVERAGE(D$2:D1117)</f>
        <v>340.57945045856661</v>
      </c>
      <c r="H1118" s="5">
        <f ca="1">PERCENTILE(D$2:D1117,0.025)</f>
        <v>-1.0713242904185785</v>
      </c>
      <c r="I1118" s="5">
        <f ca="1">PERCENTILE(D$2:D1117,0.165)</f>
        <v>13.671750055463919</v>
      </c>
      <c r="J1118" s="5">
        <f ca="1">PERCENTILE(D$2:D1117,0.5)</f>
        <v>63.183344062802867</v>
      </c>
      <c r="K1118" s="5">
        <f ca="1">PERCENTILE(D$2:D1117,0.835)</f>
        <v>259.38509417274742</v>
      </c>
      <c r="L1118" s="5">
        <f ca="1">PERCENTILE(D$2:D1117,0.975)</f>
        <v>1504.7465589898497</v>
      </c>
      <c r="M1118" s="7">
        <f>AVERAGE(E$2:E1117)</f>
        <v>1.2288423373759649</v>
      </c>
      <c r="N1118" s="7">
        <f>PERCENTILE($E$2:$E1117,0.025)</f>
        <v>-1.1000000000000001</v>
      </c>
      <c r="O1118" s="7">
        <f>PERCENTILE($E$2:$E1117,0.165)</f>
        <v>0</v>
      </c>
      <c r="P1118" s="7">
        <f>PERCENTILE($E$2:$E1117,0.5)</f>
        <v>1</v>
      </c>
      <c r="Q1118" s="7">
        <f>PERCENTILE($E$2:$E1117,0.835)</f>
        <v>3</v>
      </c>
      <c r="R1118" s="7">
        <f>PERCENTILE($E$2:$E1117,0.975)</f>
        <v>3</v>
      </c>
    </row>
    <row r="1119" spans="1:18" x14ac:dyDescent="0.2">
      <c r="A1119" s="5">
        <f>Data!E954</f>
        <v>2015</v>
      </c>
      <c r="B1119" s="5">
        <f>Data!M954</f>
        <v>0.3235294117647059</v>
      </c>
      <c r="C1119" s="5">
        <f>Data!N954</f>
        <v>5.8823529411764705E-2</v>
      </c>
      <c r="D1119" s="5">
        <f ca="1">Data!O954</f>
        <v>260.33333333333331</v>
      </c>
      <c r="E1119" s="1">
        <f>Data!AQ954</f>
        <v>1.4</v>
      </c>
      <c r="F1119" t="str">
        <f t="shared" si="18"/>
        <v/>
      </c>
      <c r="G1119" s="5">
        <f ca="1">AVERAGE(D$2:D1118)</f>
        <v>340.45508807379321</v>
      </c>
      <c r="H1119" s="5">
        <f ca="1">PERCENTILE(D$2:D1118,0.025)</f>
        <v>-1.0667829512328801</v>
      </c>
      <c r="I1119" s="5">
        <f ca="1">PERCENTILE(D$2:D1118,0.165)</f>
        <v>13.708834429662785</v>
      </c>
      <c r="J1119" s="5">
        <f ca="1">PERCENTILE(D$2:D1118,0.5)</f>
        <v>63.183344062802867</v>
      </c>
      <c r="K1119" s="5">
        <f ca="1">PERCENTILE(D$2:D1118,0.835)</f>
        <v>259.21537943758472</v>
      </c>
      <c r="L1119" s="5">
        <f ca="1">PERCENTILE(D$2:D1118,0.975)</f>
        <v>1503.7972471918763</v>
      </c>
      <c r="M1119" s="7">
        <f>AVERAGE(E$2:E1118)</f>
        <v>1.2290308370044056</v>
      </c>
      <c r="N1119" s="7">
        <f>PERCENTILE($E$2:$E1118,0.025)</f>
        <v>-1.1000000000000001</v>
      </c>
      <c r="O1119" s="7">
        <f>PERCENTILE($E$2:$E1118,0.165)</f>
        <v>0</v>
      </c>
      <c r="P1119" s="7">
        <f>PERCENTILE($E$2:$E1118,0.5)</f>
        <v>1</v>
      </c>
      <c r="Q1119" s="7">
        <f>PERCENTILE($E$2:$E1118,0.835)</f>
        <v>3</v>
      </c>
      <c r="R1119" s="7">
        <f>PERCENTILE($E$2:$E1118,0.975)</f>
        <v>3</v>
      </c>
    </row>
    <row r="1120" spans="1:18" x14ac:dyDescent="0.2">
      <c r="A1120" s="5">
        <f>Data!E955</f>
        <v>2015</v>
      </c>
      <c r="B1120" s="5">
        <f>Data!M955</f>
        <v>0.3235294117647059</v>
      </c>
      <c r="C1120" s="5">
        <f>Data!N955</f>
        <v>5.8823529411764705E-2</v>
      </c>
      <c r="D1120" s="5">
        <f ca="1">Data!O955</f>
        <v>99</v>
      </c>
      <c r="E1120" s="1">
        <f>Data!AQ955</f>
        <v>1.4</v>
      </c>
      <c r="F1120" t="str">
        <f t="shared" si="18"/>
        <v/>
      </c>
      <c r="G1120" s="5">
        <f ca="1">AVERAGE(D$2:D1119)</f>
        <v>340.38342281910587</v>
      </c>
      <c r="H1120" s="5">
        <f ca="1">PERCENTILE(D$2:D1119,0.025)</f>
        <v>-1.0622416120471827</v>
      </c>
      <c r="I1120" s="5">
        <f ca="1">PERCENTILE(D$2:D1119,0.165)</f>
        <v>13.752541013540014</v>
      </c>
      <c r="J1120" s="5">
        <f ca="1">PERCENTILE(D$2:D1119,0.5)</f>
        <v>63.183344062802867</v>
      </c>
      <c r="K1120" s="5">
        <f ca="1">PERCENTILE(D$2:D1119,0.835)</f>
        <v>260.03477732079978</v>
      </c>
      <c r="L1120" s="5">
        <f ca="1">PERCENTILE(D$2:D1119,0.975)</f>
        <v>1502.8479353939115</v>
      </c>
      <c r="M1120" s="7">
        <f>AVERAGE(E$2:E1119)</f>
        <v>1.2292189218921896</v>
      </c>
      <c r="N1120" s="7">
        <f>PERCENTILE($E$2:$E1119,0.025)</f>
        <v>-1.1000000000000001</v>
      </c>
      <c r="O1120" s="7">
        <f>PERCENTILE($E$2:$E1119,0.165)</f>
        <v>0</v>
      </c>
      <c r="P1120" s="7">
        <f>PERCENTILE($E$2:$E1119,0.5)</f>
        <v>1</v>
      </c>
      <c r="Q1120" s="7">
        <f>PERCENTILE($E$2:$E1119,0.835)</f>
        <v>3</v>
      </c>
      <c r="R1120" s="7">
        <f>PERCENTILE($E$2:$E1119,0.975)</f>
        <v>3</v>
      </c>
    </row>
    <row r="1121" spans="1:18" x14ac:dyDescent="0.2">
      <c r="A1121" s="5">
        <f>Data!E956</f>
        <v>2015</v>
      </c>
      <c r="B1121" s="5">
        <f>Data!M956</f>
        <v>0.3235294117647059</v>
      </c>
      <c r="C1121" s="5">
        <f>Data!N956</f>
        <v>5.8823529411764705E-2</v>
      </c>
      <c r="D1121" s="5">
        <f ca="1">Data!O956</f>
        <v>62.333333333333336</v>
      </c>
      <c r="E1121" s="1">
        <f>Data!AQ956</f>
        <v>1.4</v>
      </c>
      <c r="F1121" t="str">
        <f t="shared" si="18"/>
        <v/>
      </c>
      <c r="G1121" s="5">
        <f ca="1">AVERAGE(D$2:D1120)</f>
        <v>340.16770930452219</v>
      </c>
      <c r="H1121" s="5">
        <f ca="1">PERCENTILE(D$2:D1120,0.025)</f>
        <v>-1.0577002728614844</v>
      </c>
      <c r="I1121" s="5">
        <f ca="1">PERCENTILE(D$2:D1120,0.165)</f>
        <v>13.796247597417244</v>
      </c>
      <c r="J1121" s="5">
        <f ca="1">PERCENTILE(D$2:D1120,0.5)</f>
        <v>63.183344062802867</v>
      </c>
      <c r="K1121" s="5">
        <f ca="1">PERCENTILE(D$2:D1120,0.835)</f>
        <v>259.87326341238003</v>
      </c>
      <c r="L1121" s="5">
        <f ca="1">PERCENTILE(D$2:D1120,0.975)</f>
        <v>1501.8986235959383</v>
      </c>
      <c r="M1121" s="7">
        <f>AVERAGE(E$2:E1120)</f>
        <v>1.2294065934065939</v>
      </c>
      <c r="N1121" s="7">
        <f>PERCENTILE($E$2:$E1120,0.025)</f>
        <v>-1.1000000000000001</v>
      </c>
      <c r="O1121" s="7">
        <f>PERCENTILE($E$2:$E1120,0.165)</f>
        <v>0</v>
      </c>
      <c r="P1121" s="7">
        <f>PERCENTILE($E$2:$E1120,0.5)</f>
        <v>1</v>
      </c>
      <c r="Q1121" s="7">
        <f>PERCENTILE($E$2:$E1120,0.835)</f>
        <v>3</v>
      </c>
      <c r="R1121" s="7">
        <f>PERCENTILE($E$2:$E1120,0.975)</f>
        <v>3</v>
      </c>
    </row>
    <row r="1122" spans="1:18" x14ac:dyDescent="0.2">
      <c r="A1122" s="5">
        <f>Data!E957</f>
        <v>2015</v>
      </c>
      <c r="B1122" s="5">
        <f>Data!M957</f>
        <v>0.3235294117647059</v>
      </c>
      <c r="C1122" s="5">
        <f>Data!N957</f>
        <v>5.8823529411764705E-2</v>
      </c>
      <c r="D1122" s="5">
        <f ca="1">Data!O957</f>
        <v>97.166666666666671</v>
      </c>
      <c r="E1122" s="1">
        <f>Data!AQ957</f>
        <v>1.4</v>
      </c>
      <c r="F1122" t="str">
        <f t="shared" si="18"/>
        <v/>
      </c>
      <c r="G1122" s="5">
        <f ca="1">AVERAGE(D$2:D1121)</f>
        <v>339.91964289740503</v>
      </c>
      <c r="H1122" s="5">
        <f ca="1">PERCENTILE(D$2:D1121,0.025)</f>
        <v>-1.0531589336757869</v>
      </c>
      <c r="I1122" s="5">
        <f ca="1">PERCENTILE(D$2:D1121,0.165)</f>
        <v>13.839954181294479</v>
      </c>
      <c r="J1122" s="5">
        <f ca="1">PERCENTILE(D$2:D1121,0.5)</f>
        <v>63.183344062802867</v>
      </c>
      <c r="K1122" s="5">
        <f ca="1">PERCENTILE(D$2:D1121,0.835)</f>
        <v>259.71174950396028</v>
      </c>
      <c r="L1122" s="5">
        <f ca="1">PERCENTILE(D$2:D1121,0.975)</f>
        <v>1500.9493117979648</v>
      </c>
      <c r="M1122" s="7">
        <f>AVERAGE(E$2:E1121)</f>
        <v>1.2295938529088919</v>
      </c>
      <c r="N1122" s="7">
        <f>PERCENTILE($E$2:$E1121,0.025)</f>
        <v>-1.1000000000000001</v>
      </c>
      <c r="O1122" s="7">
        <f>PERCENTILE($E$2:$E1121,0.165)</f>
        <v>0</v>
      </c>
      <c r="P1122" s="7">
        <f>PERCENTILE($E$2:$E1121,0.5)</f>
        <v>1</v>
      </c>
      <c r="Q1122" s="7">
        <f>PERCENTILE($E$2:$E1121,0.835)</f>
        <v>3</v>
      </c>
      <c r="R1122" s="7">
        <f>PERCENTILE($E$2:$E1121,0.975)</f>
        <v>3</v>
      </c>
    </row>
    <row r="1123" spans="1:18" x14ac:dyDescent="0.2">
      <c r="A1123" s="5">
        <f>Data!E958</f>
        <v>2015</v>
      </c>
      <c r="B1123" s="5">
        <f>Data!M958</f>
        <v>0.3235294117647059</v>
      </c>
      <c r="C1123" s="5">
        <f>Data!N958</f>
        <v>5.8823529411764705E-2</v>
      </c>
      <c r="D1123" s="5">
        <f ca="1">Data!O958</f>
        <v>110</v>
      </c>
      <c r="E1123" s="1">
        <f>Data!AQ958</f>
        <v>1.4</v>
      </c>
      <c r="F1123" t="str">
        <f t="shared" si="18"/>
        <v/>
      </c>
      <c r="G1123" s="5">
        <f ca="1">AVERAGE(D$2:D1122)</f>
        <v>339.7030925171814</v>
      </c>
      <c r="H1123" s="5">
        <f ca="1">PERCENTILE(D$2:D1122,0.025)</f>
        <v>-1.0486175944900893</v>
      </c>
      <c r="I1123" s="5">
        <f ca="1">PERCENTILE(D$2:D1122,0.165)</f>
        <v>13.883660765171708</v>
      </c>
      <c r="J1123" s="5">
        <f ca="1">PERCENTILE(D$2:D1122,0.5)</f>
        <v>63.183344062802867</v>
      </c>
      <c r="K1123" s="5">
        <f ca="1">PERCENTILE(D$2:D1122,0.835)</f>
        <v>259.55023559554047</v>
      </c>
      <c r="L1123" s="5">
        <f ca="1">PERCENTILE(D$2:D1122,0.975)</f>
        <v>1500</v>
      </c>
      <c r="M1123" s="7">
        <f>AVERAGE(E$2:E1122)</f>
        <v>1.2297807017543867</v>
      </c>
      <c r="N1123" s="7">
        <f>PERCENTILE($E$2:$E1122,0.025)</f>
        <v>-1.1000000000000001</v>
      </c>
      <c r="O1123" s="7">
        <f>PERCENTILE($E$2:$E1122,0.165)</f>
        <v>0</v>
      </c>
      <c r="P1123" s="7">
        <f>PERCENTILE($E$2:$E1122,0.5)</f>
        <v>1</v>
      </c>
      <c r="Q1123" s="7">
        <f>PERCENTILE($E$2:$E1122,0.835)</f>
        <v>3</v>
      </c>
      <c r="R1123" s="7">
        <f>PERCENTILE($E$2:$E1122,0.975)</f>
        <v>3</v>
      </c>
    </row>
    <row r="1124" spans="1:18" x14ac:dyDescent="0.2">
      <c r="A1124" s="5">
        <f>Data!E959</f>
        <v>2015</v>
      </c>
      <c r="B1124" s="5">
        <f>Data!M959</f>
        <v>0.3235294117647059</v>
      </c>
      <c r="C1124" s="5">
        <f>Data!N959</f>
        <v>5.8823529411764705E-2</v>
      </c>
      <c r="D1124" s="5">
        <f ca="1">Data!O959</f>
        <v>146.66666666666666</v>
      </c>
      <c r="E1124" s="1">
        <f>Data!AQ959</f>
        <v>1.4</v>
      </c>
      <c r="F1124" t="str">
        <f t="shared" si="18"/>
        <v/>
      </c>
      <c r="G1124" s="5">
        <f ca="1">AVERAGE(D$2:D1123)</f>
        <v>339.49836605326232</v>
      </c>
      <c r="H1124" s="5">
        <f ca="1">PERCENTILE(D$2:D1123,0.025)</f>
        <v>-1.0474413934729814</v>
      </c>
      <c r="I1124" s="5">
        <f ca="1">PERCENTILE(D$2:D1123,0.165)</f>
        <v>13.927367349048936</v>
      </c>
      <c r="J1124" s="5">
        <f ca="1">PERCENTILE(D$2:D1123,0.5)</f>
        <v>63.226057638493486</v>
      </c>
      <c r="K1124" s="5">
        <f ca="1">PERCENTILE(D$2:D1123,0.835)</f>
        <v>259.38872168712072</v>
      </c>
      <c r="L1124" s="5">
        <f ca="1">PERCENTILE(D$2:D1123,0.975)</f>
        <v>1498.1499999999933</v>
      </c>
      <c r="M1124" s="7">
        <f>AVERAGE(E$2:E1123)</f>
        <v>1.2299671412924433</v>
      </c>
      <c r="N1124" s="7">
        <f>PERCENTILE($E$2:$E1123,0.025)</f>
        <v>-1.1000000000000001</v>
      </c>
      <c r="O1124" s="7">
        <f>PERCENTILE($E$2:$E1123,0.165)</f>
        <v>0</v>
      </c>
      <c r="P1124" s="7">
        <f>PERCENTILE($E$2:$E1123,0.5)</f>
        <v>1</v>
      </c>
      <c r="Q1124" s="7">
        <f>PERCENTILE($E$2:$E1123,0.835)</f>
        <v>3</v>
      </c>
      <c r="R1124" s="7">
        <f>PERCENTILE($E$2:$E1123,0.975)</f>
        <v>3</v>
      </c>
    </row>
    <row r="1125" spans="1:18" x14ac:dyDescent="0.2">
      <c r="A1125" s="5">
        <f>Data!E1126</f>
        <v>2015</v>
      </c>
      <c r="B1125" s="5">
        <f>Data!M1126</f>
        <v>8.461538461538462E-2</v>
      </c>
      <c r="C1125" s="5">
        <f>Data!N1126</f>
        <v>1.5384615384615385E-2</v>
      </c>
      <c r="D1125" s="5">
        <f ca="1">Data!O1126</f>
        <v>30.567785942451401</v>
      </c>
      <c r="E1125" s="1">
        <f>Data!AQ1126</f>
        <v>1.5</v>
      </c>
      <c r="F1125" t="str">
        <f t="shared" si="18"/>
        <v/>
      </c>
      <c r="G1125" s="5">
        <f ca="1">AVERAGE(D$2:D1124)</f>
        <v>339.32665483386199</v>
      </c>
      <c r="H1125" s="5">
        <f ca="1">PERCENTILE(D$2:D1124,0.025)</f>
        <v>-1.0462651924558735</v>
      </c>
      <c r="I1125" s="5">
        <f ca="1">PERCENTILE(D$2:D1124,0.165)</f>
        <v>13.944875445060827</v>
      </c>
      <c r="J1125" s="5">
        <f ca="1">PERCENTILE(D$2:D1124,0.5)</f>
        <v>63.268771214184113</v>
      </c>
      <c r="K1125" s="5">
        <f ca="1">PERCENTILE(D$2:D1124,0.835)</f>
        <v>259.22531384640666</v>
      </c>
      <c r="L1125" s="5">
        <f ca="1">PERCENTILE(D$2:D1124,0.975)</f>
        <v>1496.3000000000034</v>
      </c>
      <c r="M1125" s="7">
        <f>AVERAGE(E$2:E1124)</f>
        <v>1.2301531728665216</v>
      </c>
      <c r="N1125" s="7">
        <f>PERCENTILE($E$2:$E1124,0.025)</f>
        <v>-1.1000000000000001</v>
      </c>
      <c r="O1125" s="7">
        <f>PERCENTILE($E$2:$E1124,0.165)</f>
        <v>0</v>
      </c>
      <c r="P1125" s="7">
        <f>PERCENTILE($E$2:$E1124,0.5)</f>
        <v>1</v>
      </c>
      <c r="Q1125" s="7">
        <f>PERCENTILE($E$2:$E1124,0.835)</f>
        <v>3</v>
      </c>
      <c r="R1125" s="7">
        <f>PERCENTILE($E$2:$E1124,0.975)</f>
        <v>3</v>
      </c>
    </row>
    <row r="1126" spans="1:18" x14ac:dyDescent="0.2">
      <c r="A1126" s="5">
        <f>Data!E1127</f>
        <v>2015</v>
      </c>
      <c r="B1126" s="5">
        <f>Data!M1127</f>
        <v>8.461538461538462E-2</v>
      </c>
      <c r="C1126" s="5">
        <f>Data!N1127</f>
        <v>1.5384615384615385E-2</v>
      </c>
      <c r="D1126" s="5">
        <f ca="1">Data!O1127</f>
        <v>32.159303245521834</v>
      </c>
      <c r="E1126" s="1">
        <f>Data!AQ1127</f>
        <v>1.5</v>
      </c>
      <c r="F1126" t="str">
        <f t="shared" si="18"/>
        <v/>
      </c>
      <c r="G1126" s="5">
        <f ca="1">AVERAGE(D$2:D1125)</f>
        <v>339.0519583312896</v>
      </c>
      <c r="H1126" s="5">
        <f ca="1">PERCENTILE(D$2:D1125,0.025)</f>
        <v>-1.0450889914387655</v>
      </c>
      <c r="I1126" s="5">
        <f ca="1">PERCENTILE(D$2:D1125,0.165)</f>
        <v>13.95533010203205</v>
      </c>
      <c r="J1126" s="5">
        <f ca="1">PERCENTILE(D$2:D1125,0.5)</f>
        <v>63.226057638493486</v>
      </c>
      <c r="K1126" s="5">
        <f ca="1">PERCENTILE(D$2:D1125,0.835)</f>
        <v>259.06139610084409</v>
      </c>
      <c r="L1126" s="5">
        <f ca="1">PERCENTILE(D$2:D1125,0.975)</f>
        <v>1494.4499999999966</v>
      </c>
      <c r="M1126" s="7">
        <f>AVERAGE(E$2:E1125)</f>
        <v>1.230448087431695</v>
      </c>
      <c r="N1126" s="7">
        <f>PERCENTILE($E$2:$E1125,0.025)</f>
        <v>-1.1000000000000001</v>
      </c>
      <c r="O1126" s="7">
        <f>PERCENTILE($E$2:$E1125,0.165)</f>
        <v>0</v>
      </c>
      <c r="P1126" s="7">
        <f>PERCENTILE($E$2:$E1125,0.5)</f>
        <v>1</v>
      </c>
      <c r="Q1126" s="7">
        <f>PERCENTILE($E$2:$E1125,0.835)</f>
        <v>3</v>
      </c>
      <c r="R1126" s="7">
        <f>PERCENTILE($E$2:$E1125,0.975)</f>
        <v>3</v>
      </c>
    </row>
    <row r="1127" spans="1:18" x14ac:dyDescent="0.2">
      <c r="A1127" s="5">
        <f>Data!E1128</f>
        <v>2015</v>
      </c>
      <c r="B1127" s="5">
        <f>Data!M1128</f>
        <v>0.25384615384615383</v>
      </c>
      <c r="C1127" s="5">
        <f>Data!N1128</f>
        <v>4.6153846153846156E-2</v>
      </c>
      <c r="D1127" s="5">
        <f ca="1">Data!O1128</f>
        <v>36.03790474920428</v>
      </c>
      <c r="E1127" s="1">
        <f>Data!AQ1128</f>
        <v>1.5</v>
      </c>
      <c r="F1127" t="str">
        <f t="shared" si="18"/>
        <v/>
      </c>
      <c r="G1127" s="5">
        <f ca="1">AVERAGE(D$2:D1126)</f>
        <v>338.77916486010224</v>
      </c>
      <c r="H1127" s="5">
        <f ca="1">PERCENTILE(D$2:D1126,0.025)</f>
        <v>-1.0439127904216576</v>
      </c>
      <c r="I1127" s="5">
        <f ca="1">PERCENTILE(D$2:D1126,0.165)</f>
        <v>13.965784759003272</v>
      </c>
      <c r="J1127" s="5">
        <f ca="1">PERCENTILE(D$2:D1126,0.5)</f>
        <v>63.183344062802867</v>
      </c>
      <c r="K1127" s="5">
        <f ca="1">PERCENTILE(D$2:D1126,0.835)</f>
        <v>258.89747835528158</v>
      </c>
      <c r="L1127" s="5">
        <f ca="1">PERCENTILE(D$2:D1126,0.975)</f>
        <v>1492.5999999999899</v>
      </c>
      <c r="M1127" s="7">
        <f>AVERAGE(E$2:E1126)</f>
        <v>1.2307423580786034</v>
      </c>
      <c r="N1127" s="7">
        <f>PERCENTILE($E$2:$E1126,0.025)</f>
        <v>-1.1000000000000001</v>
      </c>
      <c r="O1127" s="7">
        <f>PERCENTILE($E$2:$E1126,0.165)</f>
        <v>0</v>
      </c>
      <c r="P1127" s="7">
        <f>PERCENTILE($E$2:$E1126,0.5)</f>
        <v>1</v>
      </c>
      <c r="Q1127" s="7">
        <f>PERCENTILE($E$2:$E1126,0.835)</f>
        <v>3</v>
      </c>
      <c r="R1127" s="7">
        <f>PERCENTILE($E$2:$E1126,0.975)</f>
        <v>3</v>
      </c>
    </row>
    <row r="1128" spans="1:18" x14ac:dyDescent="0.2">
      <c r="A1128" s="5">
        <f>Data!E1129</f>
        <v>2015</v>
      </c>
      <c r="B1128" s="5">
        <f>Data!M1129</f>
        <v>0.33846153846153848</v>
      </c>
      <c r="C1128" s="5">
        <f>Data!N1129</f>
        <v>6.1538461538461542E-2</v>
      </c>
      <c r="D1128" s="5">
        <f ca="1">Data!O1129</f>
        <v>45.03305091810256</v>
      </c>
      <c r="E1128" s="1">
        <f>Data!AQ1129</f>
        <v>1.5</v>
      </c>
      <c r="F1128" t="str">
        <f t="shared" si="18"/>
        <v/>
      </c>
      <c r="G1128" s="5">
        <f ca="1">AVERAGE(D$2:D1127)</f>
        <v>338.51030050831639</v>
      </c>
      <c r="H1128" s="5">
        <f ca="1">PERCENTILE(D$2:D1127,0.025)</f>
        <v>-1.0427365894045499</v>
      </c>
      <c r="I1128" s="5">
        <f ca="1">PERCENTILE(D$2:D1127,0.165)</f>
        <v>13.976239415974494</v>
      </c>
      <c r="J1128" s="5">
        <f ca="1">PERCENTILE(D$2:D1127,0.5)</f>
        <v>63.183344062802867</v>
      </c>
      <c r="K1128" s="5">
        <f ca="1">PERCENTILE(D$2:D1127,0.835)</f>
        <v>258.73356060971906</v>
      </c>
      <c r="L1128" s="5">
        <f ca="1">PERCENTILE(D$2:D1127,0.975)</f>
        <v>1490.75</v>
      </c>
      <c r="M1128" s="7">
        <f>AVERAGE(E$2:E1127)</f>
        <v>1.2310359869138503</v>
      </c>
      <c r="N1128" s="7">
        <f>PERCENTILE($E$2:$E1127,0.025)</f>
        <v>-1.1000000000000001</v>
      </c>
      <c r="O1128" s="7">
        <f>PERCENTILE($E$2:$E1127,0.165)</f>
        <v>0</v>
      </c>
      <c r="P1128" s="7">
        <f>PERCENTILE($E$2:$E1127,0.5)</f>
        <v>1</v>
      </c>
      <c r="Q1128" s="7">
        <f>PERCENTILE($E$2:$E1127,0.835)</f>
        <v>3</v>
      </c>
      <c r="R1128" s="7">
        <f>PERCENTILE($E$2:$E1127,0.975)</f>
        <v>3</v>
      </c>
    </row>
    <row r="1129" spans="1:18" x14ac:dyDescent="0.2">
      <c r="A1129" s="5">
        <f>Data!E1130</f>
        <v>2015</v>
      </c>
      <c r="B1129" s="5">
        <f>Data!M1130</f>
        <v>0.42307692307692313</v>
      </c>
      <c r="C1129" s="5">
        <f>Data!N1130</f>
        <v>7.6923076923076927E-2</v>
      </c>
      <c r="D1129" s="5">
        <f ca="1">Data!O1130</f>
        <v>64.106427612455406</v>
      </c>
      <c r="E1129" s="1">
        <f>Data!AQ1130</f>
        <v>1.5</v>
      </c>
      <c r="F1129" t="str">
        <f t="shared" si="18"/>
        <v/>
      </c>
      <c r="G1129" s="5">
        <f ca="1">AVERAGE(D$2:D1128)</f>
        <v>338.24989478552112</v>
      </c>
      <c r="H1129" s="5">
        <f ca="1">PERCENTILE(D$2:D1128,0.025)</f>
        <v>-1.041560388387442</v>
      </c>
      <c r="I1129" s="5">
        <f ca="1">PERCENTILE(D$2:D1128,0.165)</f>
        <v>13.986694072945719</v>
      </c>
      <c r="J1129" s="5">
        <f ca="1">PERCENTILE(D$2:D1128,0.5)</f>
        <v>63.183344062802867</v>
      </c>
      <c r="K1129" s="5">
        <f ca="1">PERCENTILE(D$2:D1128,0.835)</f>
        <v>258.56964286415644</v>
      </c>
      <c r="L1129" s="5">
        <f ca="1">PERCENTILE(D$2:D1128,0.975)</f>
        <v>1488.8999999999933</v>
      </c>
      <c r="M1129" s="7">
        <f>AVERAGE(E$2:E1128)</f>
        <v>1.2313289760348594</v>
      </c>
      <c r="N1129" s="7">
        <f>PERCENTILE($E$2:$E1128,0.025)</f>
        <v>-1.1000000000000001</v>
      </c>
      <c r="O1129" s="7">
        <f>PERCENTILE($E$2:$E1128,0.165)</f>
        <v>0</v>
      </c>
      <c r="P1129" s="7">
        <f>PERCENTILE($E$2:$E1128,0.5)</f>
        <v>1</v>
      </c>
      <c r="Q1129" s="7">
        <f>PERCENTILE($E$2:$E1128,0.835)</f>
        <v>3</v>
      </c>
      <c r="R1129" s="7">
        <f>PERCENTILE($E$2:$E1128,0.975)</f>
        <v>3</v>
      </c>
    </row>
    <row r="1130" spans="1:18" x14ac:dyDescent="0.2">
      <c r="A1130" s="5">
        <f>Data!E1131</f>
        <v>2015</v>
      </c>
      <c r="B1130" s="5">
        <f>Data!M1131</f>
        <v>0.50769230769230766</v>
      </c>
      <c r="C1130" s="5">
        <f>Data!N1131</f>
        <v>9.2307692307692313E-2</v>
      </c>
      <c r="D1130" s="5">
        <f ca="1">Data!O1131</f>
        <v>93.482126523244034</v>
      </c>
      <c r="E1130" s="1">
        <f>Data!AQ1131</f>
        <v>1.5</v>
      </c>
      <c r="F1130" t="str">
        <f t="shared" si="18"/>
        <v/>
      </c>
      <c r="G1130" s="5">
        <f ca="1">AVERAGE(D$2:D1129)</f>
        <v>338.00685979689257</v>
      </c>
      <c r="H1130" s="5">
        <f ca="1">PERCENTILE(D$2:D1129,0.025)</f>
        <v>-1.0403841873703341</v>
      </c>
      <c r="I1130" s="5">
        <f ca="1">PERCENTILE(D$2:D1129,0.165)</f>
        <v>13.99714872991694</v>
      </c>
      <c r="J1130" s="5">
        <f ca="1">PERCENTILE(D$2:D1129,0.5)</f>
        <v>63.183344062802867</v>
      </c>
      <c r="K1130" s="5">
        <f ca="1">PERCENTILE(D$2:D1129,0.835)</f>
        <v>258.40572511859392</v>
      </c>
      <c r="L1130" s="5">
        <f ca="1">PERCENTILE(D$2:D1129,0.975)</f>
        <v>1487.0500000000034</v>
      </c>
      <c r="M1130" s="7">
        <f>AVERAGE(E$2:E1129)</f>
        <v>1.2316213275299248</v>
      </c>
      <c r="N1130" s="7">
        <f>PERCENTILE($E$2:$E1129,0.025)</f>
        <v>-1.1000000000000001</v>
      </c>
      <c r="O1130" s="7">
        <f>PERCENTILE($E$2:$E1129,0.165)</f>
        <v>0</v>
      </c>
      <c r="P1130" s="7">
        <f>PERCENTILE($E$2:$E1129,0.5)</f>
        <v>1</v>
      </c>
      <c r="Q1130" s="7">
        <f>PERCENTILE($E$2:$E1129,0.835)</f>
        <v>3</v>
      </c>
      <c r="R1130" s="7">
        <f>PERCENTILE($E$2:$E1129,0.975)</f>
        <v>3</v>
      </c>
    </row>
    <row r="1131" spans="1:18" x14ac:dyDescent="0.2">
      <c r="A1131" s="5">
        <f>Data!E1132</f>
        <v>2015</v>
      </c>
      <c r="B1131" s="5">
        <f>Data!M1132</f>
        <v>0.42307692307692313</v>
      </c>
      <c r="C1131" s="5">
        <f>Data!N1132</f>
        <v>7.6923076923076927E-2</v>
      </c>
      <c r="D1131" s="5">
        <f ca="1">Data!O1132</f>
        <v>295.90626443171953</v>
      </c>
      <c r="E1131" s="1">
        <f>Data!AQ1132</f>
        <v>1.5</v>
      </c>
      <c r="F1131" t="str">
        <f t="shared" si="18"/>
        <v/>
      </c>
      <c r="G1131" s="5">
        <f ca="1">AVERAGE(D$2:D1130)</f>
        <v>337.79027455927195</v>
      </c>
      <c r="H1131" s="5">
        <f ca="1">PERCENTILE(D$2:D1130,0.025)</f>
        <v>-1.0392079863532262</v>
      </c>
      <c r="I1131" s="5">
        <f ca="1">PERCENTILE(D$2:D1130,0.165)</f>
        <v>14.019806614173229</v>
      </c>
      <c r="J1131" s="5">
        <f ca="1">PERCENTILE(D$2:D1130,0.5)</f>
        <v>63.183344062802867</v>
      </c>
      <c r="K1131" s="5">
        <f ca="1">PERCENTILE(D$2:D1130,0.835)</f>
        <v>258.31769784542763</v>
      </c>
      <c r="L1131" s="5">
        <f ca="1">PERCENTILE(D$2:D1130,0.975)</f>
        <v>1485.1999999999966</v>
      </c>
      <c r="M1131" s="7">
        <f>AVERAGE(E$2:E1130)</f>
        <v>1.2319130434782617</v>
      </c>
      <c r="N1131" s="7">
        <f>PERCENTILE($E$2:$E1130,0.025)</f>
        <v>-1.1000000000000001</v>
      </c>
      <c r="O1131" s="7">
        <f>PERCENTILE($E$2:$E1130,0.165)</f>
        <v>0</v>
      </c>
      <c r="P1131" s="7">
        <f>PERCENTILE($E$2:$E1130,0.5)</f>
        <v>1</v>
      </c>
      <c r="Q1131" s="7">
        <f>PERCENTILE($E$2:$E1130,0.835)</f>
        <v>3</v>
      </c>
      <c r="R1131" s="7">
        <f>PERCENTILE($E$2:$E1130,0.975)</f>
        <v>3</v>
      </c>
    </row>
    <row r="1132" spans="1:18" x14ac:dyDescent="0.2">
      <c r="A1132" s="5">
        <f>Data!E1133</f>
        <v>2015</v>
      </c>
      <c r="B1132" s="5">
        <f>Data!M1133</f>
        <v>8.461538461538462E-2</v>
      </c>
      <c r="C1132" s="5">
        <f>Data!N1133</f>
        <v>1.5384615384615385E-2</v>
      </c>
      <c r="D1132" s="5">
        <f ca="1">Data!O1133</f>
        <v>73.633775992432902</v>
      </c>
      <c r="E1132" s="1">
        <f>Data!AQ1133</f>
        <v>1.5</v>
      </c>
      <c r="F1132" t="str">
        <f t="shared" si="18"/>
        <v/>
      </c>
      <c r="G1132" s="5">
        <f ca="1">AVERAGE(D$2:D1131)</f>
        <v>337.75320906358382</v>
      </c>
      <c r="H1132" s="5">
        <f ca="1">PERCENTILE(D$2:D1131,0.025)</f>
        <v>-1.0380317853361183</v>
      </c>
      <c r="I1132" s="5">
        <f ca="1">PERCENTILE(D$2:D1131,0.165)</f>
        <v>14.047040708661417</v>
      </c>
      <c r="J1132" s="5">
        <f ca="1">PERCENTILE(D$2:D1131,0.5)</f>
        <v>63.226057638493486</v>
      </c>
      <c r="K1132" s="5">
        <f ca="1">PERCENTILE(D$2:D1131,0.835)</f>
        <v>259.07133050966604</v>
      </c>
      <c r="L1132" s="5">
        <f ca="1">PERCENTILE(D$2:D1131,0.975)</f>
        <v>1483.3499999999899</v>
      </c>
      <c r="M1132" s="7">
        <f>AVERAGE(E$2:E1131)</f>
        <v>1.2322041259500551</v>
      </c>
      <c r="N1132" s="7">
        <f>PERCENTILE($E$2:$E1131,0.025)</f>
        <v>-1.1000000000000001</v>
      </c>
      <c r="O1132" s="7">
        <f>PERCENTILE($E$2:$E1131,0.165)</f>
        <v>0</v>
      </c>
      <c r="P1132" s="7">
        <f>PERCENTILE($E$2:$E1131,0.5)</f>
        <v>1</v>
      </c>
      <c r="Q1132" s="7">
        <f>PERCENTILE($E$2:$E1131,0.835)</f>
        <v>3</v>
      </c>
      <c r="R1132" s="7">
        <f>PERCENTILE($E$2:$E1131,0.975)</f>
        <v>3</v>
      </c>
    </row>
    <row r="1133" spans="1:18" x14ac:dyDescent="0.2">
      <c r="A1133" s="5">
        <f>Data!E1134</f>
        <v>2015</v>
      </c>
      <c r="B1133" s="5">
        <f>Data!M1134</f>
        <v>0.25384615384615383</v>
      </c>
      <c r="C1133" s="5">
        <f>Data!N1134</f>
        <v>4.6153846153846156E-2</v>
      </c>
      <c r="D1133" s="5">
        <f ca="1">Data!O1134</f>
        <v>74.620195069784401</v>
      </c>
      <c r="E1133" s="1">
        <f>Data!AQ1134</f>
        <v>1.5</v>
      </c>
      <c r="F1133" t="str">
        <f t="shared" si="18"/>
        <v/>
      </c>
      <c r="G1133" s="5">
        <f ca="1">AVERAGE(D$2:D1132)</f>
        <v>337.51968171338831</v>
      </c>
      <c r="H1133" s="5">
        <f ca="1">PERCENTILE(D$2:D1132,0.025)</f>
        <v>-1.0368555843190106</v>
      </c>
      <c r="I1133" s="5">
        <f ca="1">PERCENTILE(D$2:D1132,0.165)</f>
        <v>14.07427480314961</v>
      </c>
      <c r="J1133" s="5">
        <f ca="1">PERCENTILE(D$2:D1132,0.5)</f>
        <v>63.268771214184113</v>
      </c>
      <c r="K1133" s="5">
        <f ca="1">PERCENTILE(D$2:D1132,0.835)</f>
        <v>258.90741276410353</v>
      </c>
      <c r="L1133" s="5">
        <f ca="1">PERCENTILE(D$2:D1132,0.975)</f>
        <v>1481.5</v>
      </c>
      <c r="M1133" s="7">
        <f>AVERAGE(E$2:E1132)</f>
        <v>1.2324945770065086</v>
      </c>
      <c r="N1133" s="7">
        <f>PERCENTILE($E$2:$E1132,0.025)</f>
        <v>-1.1000000000000001</v>
      </c>
      <c r="O1133" s="7">
        <f>PERCENTILE($E$2:$E1132,0.165)</f>
        <v>0</v>
      </c>
      <c r="P1133" s="7">
        <f>PERCENTILE($E$2:$E1132,0.5)</f>
        <v>1</v>
      </c>
      <c r="Q1133" s="7">
        <f>PERCENTILE($E$2:$E1132,0.835)</f>
        <v>3</v>
      </c>
      <c r="R1133" s="7">
        <f>PERCENTILE($E$2:$E1132,0.975)</f>
        <v>3</v>
      </c>
    </row>
    <row r="1134" spans="1:18" x14ac:dyDescent="0.2">
      <c r="A1134" s="5">
        <f>Data!E1135</f>
        <v>2015</v>
      </c>
      <c r="B1134" s="5">
        <f>Data!M1135</f>
        <v>0.50769230769230766</v>
      </c>
      <c r="C1134" s="5">
        <f>Data!N1135</f>
        <v>9.2307692307692313E-2</v>
      </c>
      <c r="D1134" s="5">
        <f ca="1">Data!O1135</f>
        <v>94.824423931068154</v>
      </c>
      <c r="E1134" s="1">
        <f>Data!AQ1135</f>
        <v>1.5</v>
      </c>
      <c r="F1134" t="str">
        <f t="shared" si="18"/>
        <v/>
      </c>
      <c r="G1134" s="5">
        <f ca="1">AVERAGE(D$2:D1133)</f>
        <v>337.28743835062892</v>
      </c>
      <c r="H1134" s="5">
        <f ca="1">PERCENTILE(D$2:D1133,0.025)</f>
        <v>-1.0356793833019025</v>
      </c>
      <c r="I1134" s="5">
        <f ca="1">PERCENTILE(D$2:D1133,0.165)</f>
        <v>14.101508897637798</v>
      </c>
      <c r="J1134" s="5">
        <f ca="1">PERCENTILE(D$2:D1133,0.5)</f>
        <v>63.269895314282515</v>
      </c>
      <c r="K1134" s="5">
        <f ca="1">PERCENTILE(D$2:D1133,0.835)</f>
        <v>258.74349501854101</v>
      </c>
      <c r="L1134" s="5">
        <f ca="1">PERCENTILE(D$2:D1133,0.975)</f>
        <v>1479.6499999999933</v>
      </c>
      <c r="M1134" s="7">
        <f>AVERAGE(E$2:E1133)</f>
        <v>1.2327843986998925</v>
      </c>
      <c r="N1134" s="7">
        <f>PERCENTILE($E$2:$E1133,0.025)</f>
        <v>-1.1000000000000001</v>
      </c>
      <c r="O1134" s="7">
        <f>PERCENTILE($E$2:$E1133,0.165)</f>
        <v>0</v>
      </c>
      <c r="P1134" s="7">
        <f>PERCENTILE($E$2:$E1133,0.5)</f>
        <v>1</v>
      </c>
      <c r="Q1134" s="7">
        <f>PERCENTILE($E$2:$E1133,0.835)</f>
        <v>3</v>
      </c>
      <c r="R1134" s="7">
        <f>PERCENTILE($E$2:$E1133,0.975)</f>
        <v>3</v>
      </c>
    </row>
    <row r="1135" spans="1:18" x14ac:dyDescent="0.2">
      <c r="A1135" s="5">
        <f>Data!E1136</f>
        <v>2015</v>
      </c>
      <c r="B1135" s="5">
        <f>Data!M1136</f>
        <v>0.25384615384615383</v>
      </c>
      <c r="C1135" s="5">
        <f>Data!N1136</f>
        <v>4.6153846153846156E-2</v>
      </c>
      <c r="D1135" s="5">
        <f ca="1">Data!O1136</f>
        <v>145.16745498291255</v>
      </c>
      <c r="E1135" s="1">
        <f>Data!AQ1136</f>
        <v>1.5</v>
      </c>
      <c r="F1135" t="str">
        <f t="shared" si="18"/>
        <v/>
      </c>
      <c r="G1135" s="5">
        <f ca="1">AVERAGE(D$2:D1134)</f>
        <v>337.07343745528948</v>
      </c>
      <c r="H1135" s="5">
        <f ca="1">PERCENTILE(D$2:D1134,0.025)</f>
        <v>-1.0345031822847948</v>
      </c>
      <c r="I1135" s="5">
        <f ca="1">PERCENTILE(D$2:D1134,0.165)</f>
        <v>14.128742992125986</v>
      </c>
      <c r="J1135" s="5">
        <f ca="1">PERCENTILE(D$2:D1134,0.5)</f>
        <v>63.271019414380916</v>
      </c>
      <c r="K1135" s="5">
        <f ca="1">PERCENTILE(D$2:D1134,0.835)</f>
        <v>258.57957727297838</v>
      </c>
      <c r="L1135" s="5">
        <f ca="1">PERCENTILE(D$2:D1134,0.975)</f>
        <v>1477.8000000000034</v>
      </c>
      <c r="M1135" s="7">
        <f>AVERAGE(E$2:E1134)</f>
        <v>1.2330735930735939</v>
      </c>
      <c r="N1135" s="7">
        <f>PERCENTILE($E$2:$E1134,0.025)</f>
        <v>-1.1000000000000001</v>
      </c>
      <c r="O1135" s="7">
        <f>PERCENTILE($E$2:$E1134,0.165)</f>
        <v>0</v>
      </c>
      <c r="P1135" s="7">
        <f>PERCENTILE($E$2:$E1134,0.5)</f>
        <v>1</v>
      </c>
      <c r="Q1135" s="7">
        <f>PERCENTILE($E$2:$E1134,0.835)</f>
        <v>3</v>
      </c>
      <c r="R1135" s="7">
        <f>PERCENTILE($E$2:$E1134,0.975)</f>
        <v>3</v>
      </c>
    </row>
    <row r="1136" spans="1:18" x14ac:dyDescent="0.2">
      <c r="A1136" s="5">
        <f>Data!E1137</f>
        <v>2015</v>
      </c>
      <c r="B1136" s="5">
        <f>Data!M1137</f>
        <v>0.16923076923076924</v>
      </c>
      <c r="C1136" s="5">
        <f>Data!N1137</f>
        <v>3.0769230769230771E-2</v>
      </c>
      <c r="D1136" s="5">
        <f ca="1">Data!O1137</f>
        <v>197.82786155225671</v>
      </c>
      <c r="E1136" s="1">
        <f>Data!AQ1137</f>
        <v>1.5</v>
      </c>
      <c r="F1136" t="str">
        <f t="shared" si="18"/>
        <v/>
      </c>
      <c r="G1136" s="5">
        <f ca="1">AVERAGE(D$2:D1135)</f>
        <v>336.90420819385002</v>
      </c>
      <c r="H1136" s="5">
        <f ca="1">PERCENTILE(D$2:D1135,0.025)</f>
        <v>-1.0333269812676869</v>
      </c>
      <c r="I1136" s="5">
        <f ca="1">PERCENTILE(D$2:D1135,0.165)</f>
        <v>14.155977086614177</v>
      </c>
      <c r="J1136" s="5">
        <f ca="1">PERCENTILE(D$2:D1135,0.5)</f>
        <v>63.363802358109098</v>
      </c>
      <c r="K1136" s="5">
        <f ca="1">PERCENTILE(D$2:D1135,0.835)</f>
        <v>258.41565952741587</v>
      </c>
      <c r="L1136" s="5">
        <f ca="1">PERCENTILE(D$2:D1135,0.975)</f>
        <v>1475.9499999999966</v>
      </c>
      <c r="M1136" s="7">
        <f>AVERAGE(E$2:E1135)</f>
        <v>1.2333621621621631</v>
      </c>
      <c r="N1136" s="7">
        <f>PERCENTILE($E$2:$E1135,0.025)</f>
        <v>-1.1000000000000001</v>
      </c>
      <c r="O1136" s="7">
        <f>PERCENTILE($E$2:$E1135,0.165)</f>
        <v>0</v>
      </c>
      <c r="P1136" s="7">
        <f>PERCENTILE($E$2:$E1135,0.5)</f>
        <v>1</v>
      </c>
      <c r="Q1136" s="7">
        <f>PERCENTILE($E$2:$E1135,0.835)</f>
        <v>3</v>
      </c>
      <c r="R1136" s="7">
        <f>PERCENTILE($E$2:$E1135,0.975)</f>
        <v>3</v>
      </c>
    </row>
    <row r="1137" spans="1:18" x14ac:dyDescent="0.2">
      <c r="A1137" s="5">
        <f>Data!E1138</f>
        <v>2015</v>
      </c>
      <c r="B1137" s="5">
        <f>Data!M1138</f>
        <v>8.461538461538462E-2</v>
      </c>
      <c r="C1137" s="5">
        <f>Data!N1138</f>
        <v>1.5384615384615385E-2</v>
      </c>
      <c r="D1137" s="5">
        <f ca="1">Data!O1138</f>
        <v>333.13945021069708</v>
      </c>
      <c r="E1137" s="1">
        <f>Data!AQ1138</f>
        <v>1.5</v>
      </c>
      <c r="F1137" t="str">
        <f t="shared" si="18"/>
        <v/>
      </c>
      <c r="G1137" s="5">
        <f ca="1">AVERAGE(D$2:D1136)</f>
        <v>336.78167396773409</v>
      </c>
      <c r="H1137" s="5">
        <f ca="1">PERCENTILE(D$2:D1136,0.025)</f>
        <v>-1.0321507802505789</v>
      </c>
      <c r="I1137" s="5">
        <f ca="1">PERCENTILE(D$2:D1136,0.165)</f>
        <v>14.21300954794471</v>
      </c>
      <c r="J1137" s="5">
        <f ca="1">PERCENTILE(D$2:D1136,0.5)</f>
        <v>63.456585301837272</v>
      </c>
      <c r="K1137" s="5">
        <f ca="1">PERCENTILE(D$2:D1136,0.835)</f>
        <v>258.32130804821662</v>
      </c>
      <c r="L1137" s="5">
        <f ca="1">PERCENTILE(D$2:D1136,0.975)</f>
        <v>1474.0999999999899</v>
      </c>
      <c r="M1137" s="7">
        <f>AVERAGE(E$2:E1136)</f>
        <v>1.2336501079913615</v>
      </c>
      <c r="N1137" s="7">
        <f>PERCENTILE($E$2:$E1136,0.025)</f>
        <v>-1.1000000000000001</v>
      </c>
      <c r="O1137" s="7">
        <f>PERCENTILE($E$2:$E1136,0.165)</f>
        <v>0</v>
      </c>
      <c r="P1137" s="7">
        <f>PERCENTILE($E$2:$E1136,0.5)</f>
        <v>1</v>
      </c>
      <c r="Q1137" s="7">
        <f>PERCENTILE($E$2:$E1136,0.835)</f>
        <v>3</v>
      </c>
      <c r="R1137" s="7">
        <f>PERCENTILE($E$2:$E1136,0.975)</f>
        <v>3</v>
      </c>
    </row>
    <row r="1138" spans="1:18" x14ac:dyDescent="0.2">
      <c r="A1138" s="5">
        <f>Data!E1139</f>
        <v>2015</v>
      </c>
      <c r="B1138" s="5">
        <f>Data!M1139</f>
        <v>8.461538461538462E-2</v>
      </c>
      <c r="C1138" s="5">
        <f>Data!N1139</f>
        <v>1.5384615384615385E-2</v>
      </c>
      <c r="D1138" s="5">
        <f ca="1">Data!O1139</f>
        <v>0.51596967628142287</v>
      </c>
      <c r="E1138" s="1">
        <f>Data!AQ1139</f>
        <v>1.5</v>
      </c>
      <c r="F1138" t="str">
        <f t="shared" si="18"/>
        <v/>
      </c>
      <c r="G1138" s="5">
        <f ca="1">AVERAGE(D$2:D1137)</f>
        <v>336.77846778484934</v>
      </c>
      <c r="H1138" s="5">
        <f ca="1">PERCENTILE(D$2:D1137,0.025)</f>
        <v>-1.0309745792334712</v>
      </c>
      <c r="I1138" s="5">
        <f ca="1">PERCENTILE(D$2:D1137,0.165)</f>
        <v>14.284941192696406</v>
      </c>
      <c r="J1138" s="5">
        <f ca="1">PERCENTILE(D$2:D1137,0.5)</f>
        <v>63.460105111541367</v>
      </c>
      <c r="K1138" s="5">
        <f ca="1">PERCENTILE(D$2:D1137,0.835)</f>
        <v>259.08126491848799</v>
      </c>
      <c r="L1138" s="5">
        <f ca="1">PERCENTILE(D$2:D1137,0.975)</f>
        <v>1472.25</v>
      </c>
      <c r="M1138" s="7">
        <f>AVERAGE(E$2:E1137)</f>
        <v>1.2339374325782102</v>
      </c>
      <c r="N1138" s="7">
        <f>PERCENTILE($E$2:$E1137,0.025)</f>
        <v>-1.1000000000000001</v>
      </c>
      <c r="O1138" s="7">
        <f>PERCENTILE($E$2:$E1137,0.165)</f>
        <v>0</v>
      </c>
      <c r="P1138" s="7">
        <f>PERCENTILE($E$2:$E1137,0.5)</f>
        <v>1</v>
      </c>
      <c r="Q1138" s="7">
        <f>PERCENTILE($E$2:$E1137,0.835)</f>
        <v>3</v>
      </c>
      <c r="R1138" s="7">
        <f>PERCENTILE($E$2:$E1137,0.975)</f>
        <v>3</v>
      </c>
    </row>
    <row r="1139" spans="1:18" x14ac:dyDescent="0.2">
      <c r="A1139" s="5">
        <f>Data!E1140</f>
        <v>2015</v>
      </c>
      <c r="B1139" s="5">
        <f>Data!M1140</f>
        <v>0.25384615384615383</v>
      </c>
      <c r="C1139" s="5">
        <f>Data!N1140</f>
        <v>4.6153846153846156E-2</v>
      </c>
      <c r="D1139" s="5">
        <f ca="1">Data!O1140</f>
        <v>0.74594453898196278</v>
      </c>
      <c r="E1139" s="1">
        <f>Data!AQ1140</f>
        <v>1.5</v>
      </c>
      <c r="F1139" t="str">
        <f t="shared" si="18"/>
        <v/>
      </c>
      <c r="G1139" s="5">
        <f ca="1">AVERAGE(D$2:D1138)</f>
        <v>336.48272240392708</v>
      </c>
      <c r="H1139" s="5">
        <f ca="1">PERCENTILE(D$2:D1138,0.025)</f>
        <v>-1.0297983782163631</v>
      </c>
      <c r="I1139" s="5">
        <f ca="1">PERCENTILE(D$2:D1138,0.165)</f>
        <v>14.072624251968504</v>
      </c>
      <c r="J1139" s="5">
        <f ca="1">PERCENTILE(D$2:D1138,0.5)</f>
        <v>63.456585301837272</v>
      </c>
      <c r="K1139" s="5">
        <f ca="1">PERCENTILE(D$2:D1138,0.835)</f>
        <v>258.91734717292547</v>
      </c>
      <c r="L1139" s="5">
        <f ca="1">PERCENTILE(D$2:D1138,0.975)</f>
        <v>1470.3999999999933</v>
      </c>
      <c r="M1139" s="7">
        <f>AVERAGE(E$2:E1138)</f>
        <v>1.2342241379310352</v>
      </c>
      <c r="N1139" s="7">
        <f>PERCENTILE($E$2:$E1138,0.025)</f>
        <v>-1.1000000000000001</v>
      </c>
      <c r="O1139" s="7">
        <f>PERCENTILE($E$2:$E1138,0.165)</f>
        <v>0</v>
      </c>
      <c r="P1139" s="7">
        <f>PERCENTILE($E$2:$E1138,0.5)</f>
        <v>1</v>
      </c>
      <c r="Q1139" s="7">
        <f>PERCENTILE($E$2:$E1138,0.835)</f>
        <v>3</v>
      </c>
      <c r="R1139" s="7">
        <f>PERCENTILE($E$2:$E1138,0.975)</f>
        <v>3</v>
      </c>
    </row>
    <row r="1140" spans="1:18" x14ac:dyDescent="0.2">
      <c r="A1140" s="5">
        <f>Data!E1141</f>
        <v>2015</v>
      </c>
      <c r="B1140" s="5">
        <f>Data!M1141</f>
        <v>0.33846153846153848</v>
      </c>
      <c r="C1140" s="5">
        <f>Data!N1141</f>
        <v>6.1538461538461542E-2</v>
      </c>
      <c r="D1140" s="5">
        <f ca="1">Data!O1141</f>
        <v>1.85188437004198</v>
      </c>
      <c r="E1140" s="1">
        <f>Data!AQ1141</f>
        <v>1.5</v>
      </c>
      <c r="F1140" t="str">
        <f t="shared" si="18"/>
        <v/>
      </c>
      <c r="G1140" s="5">
        <f ca="1">AVERAGE(D$2:D1139)</f>
        <v>336.18769887329006</v>
      </c>
      <c r="H1140" s="5">
        <f ca="1">PERCENTILE(D$2:D1139,0.025)</f>
        <v>-1.0286221771992554</v>
      </c>
      <c r="I1140" s="5">
        <f ca="1">PERCENTILE(D$2:D1139,0.165)</f>
        <v>13.974972184826468</v>
      </c>
      <c r="J1140" s="5">
        <f ca="1">PERCENTILE(D$2:D1139,0.5)</f>
        <v>63.363802358109098</v>
      </c>
      <c r="K1140" s="5">
        <f ca="1">PERCENTILE(D$2:D1139,0.835)</f>
        <v>258.75342942736296</v>
      </c>
      <c r="L1140" s="5">
        <f ca="1">PERCENTILE(D$2:D1139,0.975)</f>
        <v>1468.5500000000034</v>
      </c>
      <c r="M1140" s="7">
        <f>AVERAGE(E$2:E1139)</f>
        <v>1.2345102260495164</v>
      </c>
      <c r="N1140" s="7">
        <f>PERCENTILE($E$2:$E1139,0.025)</f>
        <v>-1.1000000000000001</v>
      </c>
      <c r="O1140" s="7">
        <f>PERCENTILE($E$2:$E1139,0.165)</f>
        <v>0</v>
      </c>
      <c r="P1140" s="7">
        <f>PERCENTILE($E$2:$E1139,0.5)</f>
        <v>1</v>
      </c>
      <c r="Q1140" s="7">
        <f>PERCENTILE($E$2:$E1139,0.835)</f>
        <v>3</v>
      </c>
      <c r="R1140" s="7">
        <f>PERCENTILE($E$2:$E1139,0.975)</f>
        <v>3</v>
      </c>
    </row>
    <row r="1141" spans="1:18" x14ac:dyDescent="0.2">
      <c r="A1141" s="5">
        <f>Data!E1142</f>
        <v>2015</v>
      </c>
      <c r="B1141" s="5">
        <f>Data!M1142</f>
        <v>0.42307692307692313</v>
      </c>
      <c r="C1141" s="5">
        <f>Data!N1142</f>
        <v>7.6923076923076927E-2</v>
      </c>
      <c r="D1141" s="5">
        <f ca="1">Data!O1142</f>
        <v>9.856368625662542</v>
      </c>
      <c r="E1141" s="1">
        <f>Data!AQ1142</f>
        <v>1.5</v>
      </c>
      <c r="F1141" t="str">
        <f t="shared" si="18"/>
        <v/>
      </c>
      <c r="G1141" s="5">
        <f ca="1">AVERAGE(D$2:D1140)</f>
        <v>335.89416435660587</v>
      </c>
      <c r="H1141" s="5">
        <f ca="1">PERCENTILE(D$2:D1140,0.025)</f>
        <v>-1.0274459761821475</v>
      </c>
      <c r="I1141" s="5">
        <f ca="1">PERCENTILE(D$2:D1140,0.165)</f>
        <v>13.875714113557665</v>
      </c>
      <c r="J1141" s="5">
        <f ca="1">PERCENTILE(D$2:D1140,0.5)</f>
        <v>63.271019414380916</v>
      </c>
      <c r="K1141" s="5">
        <f ca="1">PERCENTILE(D$2:D1140,0.835)</f>
        <v>258.58951168180033</v>
      </c>
      <c r="L1141" s="5">
        <f ca="1">PERCENTILE(D$2:D1140,0.975)</f>
        <v>1466.6999999999966</v>
      </c>
      <c r="M1141" s="7">
        <f>AVERAGE(E$2:E1140)</f>
        <v>1.234795698924732</v>
      </c>
      <c r="N1141" s="7">
        <f>PERCENTILE($E$2:$E1140,0.025)</f>
        <v>-1.1000000000000001</v>
      </c>
      <c r="O1141" s="7">
        <f>PERCENTILE($E$2:$E1140,0.165)</f>
        <v>0</v>
      </c>
      <c r="P1141" s="7">
        <f>PERCENTILE($E$2:$E1140,0.5)</f>
        <v>1</v>
      </c>
      <c r="Q1141" s="7">
        <f>PERCENTILE($E$2:$E1140,0.835)</f>
        <v>3</v>
      </c>
      <c r="R1141" s="7">
        <f>PERCENTILE($E$2:$E1140,0.975)</f>
        <v>3</v>
      </c>
    </row>
    <row r="1142" spans="1:18" x14ac:dyDescent="0.2">
      <c r="A1142" s="5">
        <f>Data!E1143</f>
        <v>2015</v>
      </c>
      <c r="B1142" s="5">
        <f>Data!M1143</f>
        <v>0.50769230769230766</v>
      </c>
      <c r="C1142" s="5">
        <f>Data!N1143</f>
        <v>9.2307692307692313E-2</v>
      </c>
      <c r="D1142" s="5">
        <f ca="1">Data!O1143</f>
        <v>84.789971164778507</v>
      </c>
      <c r="E1142" s="1">
        <f>Data!AQ1143</f>
        <v>1.5</v>
      </c>
      <c r="F1142" t="str">
        <f t="shared" si="18"/>
        <v/>
      </c>
      <c r="G1142" s="5">
        <f ca="1">AVERAGE(D$2:D1141)</f>
        <v>335.60816629017523</v>
      </c>
      <c r="H1142" s="5">
        <f ca="1">PERCENTILE(D$2:D1141,0.025)</f>
        <v>-1.0262697751650396</v>
      </c>
      <c r="I1142" s="5">
        <f ca="1">PERCENTILE(D$2:D1141,0.165)</f>
        <v>13.671750055463919</v>
      </c>
      <c r="J1142" s="5">
        <f ca="1">PERCENTILE(D$2:D1141,0.5)</f>
        <v>63.269895314282515</v>
      </c>
      <c r="K1142" s="5">
        <f ca="1">PERCENTILE(D$2:D1141,0.835)</f>
        <v>258.42559393623782</v>
      </c>
      <c r="L1142" s="5">
        <f ca="1">PERCENTILE(D$2:D1141,0.975)</f>
        <v>1464.8499999999899</v>
      </c>
      <c r="M1142" s="7">
        <f>AVERAGE(E$2:E1141)</f>
        <v>1.235080558539206</v>
      </c>
      <c r="N1142" s="7">
        <f>PERCENTILE($E$2:$E1141,0.025)</f>
        <v>-1.1000000000000001</v>
      </c>
      <c r="O1142" s="7">
        <f>PERCENTILE($E$2:$E1141,0.165)</f>
        <v>0</v>
      </c>
      <c r="P1142" s="7">
        <f>PERCENTILE($E$2:$E1141,0.5)</f>
        <v>1</v>
      </c>
      <c r="Q1142" s="7">
        <f>PERCENTILE($E$2:$E1141,0.835)</f>
        <v>3</v>
      </c>
      <c r="R1142" s="7">
        <f>PERCENTILE($E$2:$E1141,0.975)</f>
        <v>3</v>
      </c>
    </row>
    <row r="1143" spans="1:18" x14ac:dyDescent="0.2">
      <c r="A1143" s="5">
        <f>Data!E1144</f>
        <v>2015</v>
      </c>
      <c r="B1143" s="5">
        <f>Data!M1144</f>
        <v>0.42307692307692313</v>
      </c>
      <c r="C1143" s="5">
        <f>Data!N1144</f>
        <v>7.6923076923076927E-2</v>
      </c>
      <c r="D1143" s="5">
        <f ca="1">Data!O1144</f>
        <v>237.91468314653727</v>
      </c>
      <c r="E1143" s="1">
        <f>Data!AQ1144</f>
        <v>1.5</v>
      </c>
      <c r="F1143" t="str">
        <f t="shared" si="18"/>
        <v/>
      </c>
      <c r="G1143" s="5">
        <f ca="1">AVERAGE(D$2:D1142)</f>
        <v>335.38834315684886</v>
      </c>
      <c r="H1143" s="5">
        <f ca="1">PERCENTILE(D$2:D1142,0.025)</f>
        <v>-1.0250935741479319</v>
      </c>
      <c r="I1143" s="5">
        <f ca="1">PERCENTILE(D$2:D1142,0.165)</f>
        <v>13.698238894177399</v>
      </c>
      <c r="J1143" s="5">
        <f ca="1">PERCENTILE(D$2:D1142,0.5)</f>
        <v>63.271019414380916</v>
      </c>
      <c r="K1143" s="5">
        <f ca="1">PERCENTILE(D$2:D1142,0.835)</f>
        <v>258.32491825100556</v>
      </c>
      <c r="L1143" s="5">
        <f ca="1">PERCENTILE(D$2:D1142,0.975)</f>
        <v>1463</v>
      </c>
      <c r="M1143" s="7">
        <f>AVERAGE(E$2:E1142)</f>
        <v>1.2353648068669536</v>
      </c>
      <c r="N1143" s="7">
        <f>PERCENTILE($E$2:$E1142,0.025)</f>
        <v>-1.1000000000000001</v>
      </c>
      <c r="O1143" s="7">
        <f>PERCENTILE($E$2:$E1142,0.165)</f>
        <v>0</v>
      </c>
      <c r="P1143" s="7">
        <f>PERCENTILE($E$2:$E1142,0.5)</f>
        <v>1</v>
      </c>
      <c r="Q1143" s="7">
        <f>PERCENTILE($E$2:$E1142,0.835)</f>
        <v>3</v>
      </c>
      <c r="R1143" s="7">
        <f>PERCENTILE($E$2:$E1142,0.975)</f>
        <v>3</v>
      </c>
    </row>
    <row r="1144" spans="1:18" x14ac:dyDescent="0.2">
      <c r="A1144" s="5"/>
      <c r="B1144" s="5"/>
      <c r="C1144" s="5"/>
      <c r="D1144" s="5"/>
      <c r="E1144" s="5"/>
    </row>
    <row r="1145" spans="1:18" x14ac:dyDescent="0.2">
      <c r="A1145" s="5"/>
      <c r="B1145" s="5"/>
      <c r="C1145" s="5"/>
      <c r="D1145" s="5"/>
      <c r="E1145" s="5"/>
    </row>
    <row r="1146" spans="1:18" x14ac:dyDescent="0.2">
      <c r="A1146" s="5"/>
      <c r="B1146" s="5"/>
      <c r="C1146" s="5"/>
      <c r="D1146" s="5"/>
      <c r="E1146" s="5"/>
    </row>
    <row r="1147" spans="1:18" x14ac:dyDescent="0.2">
      <c r="A1147" s="5"/>
      <c r="B1147" s="5"/>
      <c r="C1147" s="5"/>
      <c r="D1147" s="5"/>
      <c r="E1147" s="5"/>
    </row>
    <row r="1148" spans="1:18" x14ac:dyDescent="0.2">
      <c r="A1148" s="5"/>
      <c r="B1148" s="5"/>
      <c r="C1148" s="5"/>
      <c r="D1148" s="5"/>
      <c r="E1148" s="5"/>
    </row>
    <row r="1149" spans="1:18" x14ac:dyDescent="0.2">
      <c r="A1149" s="5"/>
      <c r="B1149" s="5"/>
      <c r="C1149" s="5"/>
      <c r="D1149" s="5"/>
      <c r="E1149" s="5"/>
    </row>
    <row r="1150" spans="1:18" x14ac:dyDescent="0.2">
      <c r="A1150" s="5"/>
      <c r="B1150" s="5"/>
      <c r="C1150" s="5"/>
      <c r="D1150" s="5"/>
      <c r="E1150" s="5"/>
    </row>
    <row r="1151" spans="1:18" x14ac:dyDescent="0.2">
      <c r="A1151" s="5"/>
      <c r="B1151" s="5"/>
      <c r="C1151" s="5"/>
      <c r="D1151" s="5"/>
      <c r="E1151" s="5"/>
    </row>
    <row r="1152" spans="1:18" x14ac:dyDescent="0.2">
      <c r="A1152" s="5"/>
      <c r="B1152" s="5"/>
      <c r="C1152" s="5"/>
      <c r="D1152" s="5"/>
      <c r="E1152" s="5"/>
    </row>
    <row r="1153" spans="1:5" x14ac:dyDescent="0.2">
      <c r="A1153" s="5"/>
      <c r="B1153" s="5"/>
      <c r="C1153" s="5"/>
      <c r="D1153" s="5"/>
      <c r="E1153" s="5"/>
    </row>
    <row r="1154" spans="1:5" x14ac:dyDescent="0.2">
      <c r="A1154" s="5"/>
      <c r="B1154" s="5"/>
      <c r="C1154" s="5"/>
      <c r="D1154" s="5"/>
      <c r="E1154" s="5"/>
    </row>
    <row r="1155" spans="1:5" x14ac:dyDescent="0.2">
      <c r="A1155" s="5"/>
      <c r="B1155" s="5"/>
      <c r="C1155" s="5"/>
      <c r="D1155" s="5"/>
      <c r="E1155" s="5"/>
    </row>
    <row r="1156" spans="1:5" x14ac:dyDescent="0.2">
      <c r="A1156" s="5"/>
      <c r="B1156" s="5"/>
      <c r="C1156" s="5"/>
      <c r="D1156" s="5"/>
      <c r="E1156" s="5"/>
    </row>
    <row r="1157" spans="1:5" x14ac:dyDescent="0.2">
      <c r="A1157" s="5"/>
      <c r="B1157" s="5"/>
      <c r="C1157" s="5"/>
      <c r="D1157" s="5"/>
      <c r="E1157" s="5"/>
    </row>
    <row r="1158" spans="1:5" x14ac:dyDescent="0.2">
      <c r="A1158" s="5"/>
      <c r="B1158" s="5"/>
      <c r="C1158" s="5"/>
      <c r="D1158" s="5"/>
      <c r="E1158" s="5"/>
    </row>
    <row r="1159" spans="1:5" x14ac:dyDescent="0.2">
      <c r="A1159" s="5"/>
      <c r="B1159" s="5"/>
      <c r="C1159" s="5"/>
      <c r="D1159" s="5"/>
      <c r="E1159" s="5"/>
    </row>
    <row r="1160" spans="1:5" x14ac:dyDescent="0.2">
      <c r="A1160" s="5"/>
      <c r="B1160" s="5"/>
      <c r="C1160" s="5"/>
      <c r="D1160" s="5"/>
      <c r="E1160" s="5"/>
    </row>
    <row r="1161" spans="1:5" x14ac:dyDescent="0.2">
      <c r="A1161" s="5"/>
      <c r="B1161" s="5"/>
      <c r="C1161" s="5"/>
      <c r="D1161" s="5"/>
      <c r="E1161" s="5"/>
    </row>
    <row r="1162" spans="1:5" x14ac:dyDescent="0.2">
      <c r="A1162" s="5"/>
      <c r="B1162" s="5"/>
      <c r="C1162" s="5"/>
      <c r="D1162" s="5"/>
      <c r="E1162" s="5"/>
    </row>
    <row r="1163" spans="1:5" x14ac:dyDescent="0.2">
      <c r="A1163" s="5"/>
      <c r="B1163" s="5"/>
      <c r="C1163" s="5"/>
      <c r="D1163" s="5"/>
      <c r="E1163" s="5"/>
    </row>
    <row r="1164" spans="1:5" x14ac:dyDescent="0.2">
      <c r="A1164" s="5"/>
      <c r="B1164" s="5"/>
      <c r="C1164" s="5"/>
      <c r="D1164" s="5"/>
      <c r="E1164" s="5"/>
    </row>
    <row r="1165" spans="1:5" x14ac:dyDescent="0.2">
      <c r="A1165" s="5"/>
      <c r="B1165" s="5"/>
      <c r="C1165" s="5"/>
      <c r="D1165" s="5"/>
      <c r="E1165" s="5"/>
    </row>
    <row r="1166" spans="1:5" x14ac:dyDescent="0.2">
      <c r="A1166" s="5"/>
      <c r="B1166" s="5"/>
      <c r="C1166" s="5"/>
      <c r="D1166" s="5"/>
      <c r="E1166" s="5"/>
    </row>
    <row r="1167" spans="1:5" x14ac:dyDescent="0.2">
      <c r="A1167" s="5"/>
      <c r="B1167" s="5"/>
      <c r="C1167" s="5"/>
      <c r="D1167" s="5"/>
      <c r="E1167" s="5"/>
    </row>
    <row r="1168" spans="1:5" x14ac:dyDescent="0.2">
      <c r="A1168" s="5"/>
      <c r="B1168" s="5"/>
      <c r="C1168" s="5"/>
      <c r="D1168" s="5"/>
      <c r="E1168" s="5"/>
    </row>
    <row r="1169" spans="1:5" x14ac:dyDescent="0.2">
      <c r="A1169" s="5"/>
      <c r="B1169" s="5"/>
      <c r="C1169" s="5"/>
      <c r="D1169" s="5"/>
      <c r="E1169" s="5"/>
    </row>
    <row r="1170" spans="1:5" x14ac:dyDescent="0.2">
      <c r="A1170" s="5"/>
      <c r="B1170" s="5"/>
      <c r="C1170" s="5"/>
      <c r="D1170" s="5"/>
      <c r="E1170" s="5"/>
    </row>
    <row r="1171" spans="1:5" x14ac:dyDescent="0.2">
      <c r="A1171" s="5"/>
      <c r="B1171" s="5"/>
      <c r="C1171" s="5"/>
      <c r="D1171" s="5"/>
      <c r="E1171" s="5"/>
    </row>
    <row r="1172" spans="1:5" x14ac:dyDescent="0.2">
      <c r="A1172" s="5"/>
      <c r="B1172" s="5"/>
      <c r="C1172" s="5"/>
      <c r="D1172" s="5"/>
      <c r="E1172" s="5"/>
    </row>
    <row r="1173" spans="1:5" x14ac:dyDescent="0.2">
      <c r="A1173" s="5"/>
      <c r="B1173" s="5"/>
      <c r="C1173" s="5"/>
      <c r="D1173" s="5"/>
      <c r="E1173" s="5"/>
    </row>
    <row r="1174" spans="1:5" x14ac:dyDescent="0.2">
      <c r="A1174" s="5"/>
      <c r="B1174" s="5"/>
      <c r="C1174" s="5"/>
      <c r="D1174" s="5"/>
      <c r="E1174" s="5"/>
    </row>
    <row r="1175" spans="1:5" x14ac:dyDescent="0.2">
      <c r="A1175" s="5"/>
      <c r="B1175" s="5"/>
      <c r="C1175" s="5"/>
      <c r="D1175" s="5"/>
      <c r="E1175" s="5"/>
    </row>
    <row r="1176" spans="1:5" x14ac:dyDescent="0.2">
      <c r="A1176" s="5"/>
      <c r="B1176" s="5"/>
      <c r="C1176" s="5"/>
      <c r="D1176" s="5"/>
      <c r="E1176" s="5"/>
    </row>
    <row r="1177" spans="1:5" x14ac:dyDescent="0.2">
      <c r="A1177" s="5"/>
      <c r="B1177" s="5"/>
      <c r="C1177" s="5"/>
      <c r="D1177" s="5"/>
      <c r="E1177" s="5"/>
    </row>
    <row r="1178" spans="1:5" x14ac:dyDescent="0.2">
      <c r="A1178" s="5"/>
      <c r="B1178" s="5"/>
      <c r="C1178" s="5"/>
      <c r="D1178" s="5"/>
      <c r="E1178" s="5"/>
    </row>
    <row r="1179" spans="1:5" x14ac:dyDescent="0.2">
      <c r="A1179" s="5"/>
      <c r="B1179" s="5"/>
      <c r="C1179" s="5"/>
      <c r="D1179" s="5"/>
      <c r="E1179" s="5"/>
    </row>
    <row r="1180" spans="1:5" x14ac:dyDescent="0.2">
      <c r="A1180" s="5"/>
      <c r="B1180" s="5"/>
      <c r="C1180" s="5"/>
      <c r="D1180" s="5"/>
      <c r="E1180" s="5"/>
    </row>
    <row r="1181" spans="1:5" x14ac:dyDescent="0.2">
      <c r="A1181" s="5"/>
      <c r="B1181" s="5"/>
      <c r="C1181" s="5"/>
      <c r="D1181" s="5"/>
      <c r="E1181" s="5"/>
    </row>
    <row r="1182" spans="1:5" x14ac:dyDescent="0.2">
      <c r="A1182" s="5"/>
      <c r="B1182" s="5"/>
      <c r="C1182" s="5"/>
      <c r="D1182" s="5"/>
      <c r="E1182" s="5"/>
    </row>
    <row r="1183" spans="1:5" x14ac:dyDescent="0.2">
      <c r="A1183" s="5"/>
      <c r="B1183" s="5"/>
      <c r="C1183" s="5"/>
      <c r="D1183" s="5"/>
      <c r="E1183" s="5"/>
    </row>
    <row r="1184" spans="1:5" x14ac:dyDescent="0.2">
      <c r="A1184" s="5"/>
      <c r="B1184" s="5"/>
      <c r="C1184" s="5"/>
      <c r="D1184" s="5"/>
      <c r="E1184" s="5"/>
    </row>
    <row r="1185" spans="1:5" x14ac:dyDescent="0.2">
      <c r="A1185" s="5"/>
      <c r="B1185" s="5"/>
      <c r="C1185" s="5"/>
      <c r="D1185" s="5"/>
      <c r="E1185" s="5"/>
    </row>
    <row r="1186" spans="1:5" x14ac:dyDescent="0.2">
      <c r="A1186" s="5"/>
      <c r="B1186" s="5"/>
      <c r="C1186" s="5"/>
      <c r="D1186" s="5"/>
      <c r="E1186" s="5"/>
    </row>
    <row r="1187" spans="1:5" x14ac:dyDescent="0.2">
      <c r="A1187" s="5"/>
      <c r="B1187" s="5"/>
      <c r="C1187" s="5"/>
      <c r="D1187" s="5"/>
      <c r="E1187" s="5"/>
    </row>
    <row r="1188" spans="1:5" x14ac:dyDescent="0.2">
      <c r="A1188" s="5"/>
      <c r="B1188" s="5"/>
      <c r="C1188" s="5"/>
      <c r="D1188" s="5"/>
      <c r="E1188" s="5"/>
    </row>
    <row r="1189" spans="1:5" x14ac:dyDescent="0.2">
      <c r="A1189" s="5"/>
      <c r="B1189" s="5"/>
      <c r="C1189" s="5"/>
      <c r="D1189" s="5"/>
      <c r="E1189" s="5"/>
    </row>
    <row r="1190" spans="1:5" x14ac:dyDescent="0.2">
      <c r="A1190" s="5"/>
      <c r="B1190" s="5"/>
      <c r="C1190" s="5"/>
      <c r="D1190" s="5"/>
      <c r="E1190" s="5"/>
    </row>
    <row r="1191" spans="1:5" x14ac:dyDescent="0.2">
      <c r="A1191" s="5"/>
      <c r="B1191" s="5"/>
      <c r="C1191" s="5"/>
      <c r="D1191" s="5"/>
      <c r="E1191" s="5"/>
    </row>
    <row r="1192" spans="1:5" x14ac:dyDescent="0.2">
      <c r="A1192" s="5"/>
      <c r="B1192" s="5"/>
      <c r="C1192" s="5"/>
      <c r="D1192" s="5"/>
      <c r="E1192" s="5"/>
    </row>
    <row r="1193" spans="1:5" x14ac:dyDescent="0.2">
      <c r="A1193" s="5"/>
      <c r="B1193" s="5"/>
      <c r="C1193" s="5"/>
      <c r="D1193" s="5"/>
      <c r="E1193" s="5"/>
    </row>
    <row r="1194" spans="1:5" x14ac:dyDescent="0.2">
      <c r="A1194" s="5"/>
      <c r="B1194" s="5"/>
      <c r="C1194" s="5"/>
      <c r="D1194" s="5"/>
      <c r="E1194" s="5"/>
    </row>
    <row r="1195" spans="1:5" x14ac:dyDescent="0.2">
      <c r="A1195" s="5"/>
      <c r="B1195" s="5"/>
      <c r="C1195" s="5"/>
      <c r="D1195" s="5"/>
      <c r="E1195" s="5"/>
    </row>
    <row r="1196" spans="1:5" x14ac:dyDescent="0.2">
      <c r="A1196" s="5"/>
      <c r="B1196" s="5"/>
      <c r="C1196" s="5"/>
      <c r="D1196" s="5"/>
      <c r="E1196" s="5"/>
    </row>
    <row r="1197" spans="1:5" x14ac:dyDescent="0.2">
      <c r="A1197" s="5"/>
      <c r="B1197" s="5"/>
      <c r="C1197" s="5"/>
      <c r="D1197" s="5"/>
      <c r="E1197" s="5"/>
    </row>
    <row r="1198" spans="1:5" x14ac:dyDescent="0.2">
      <c r="A1198" s="5"/>
      <c r="B1198" s="5"/>
      <c r="C1198" s="5"/>
      <c r="D1198" s="5"/>
      <c r="E1198" s="5"/>
    </row>
    <row r="1199" spans="1:5" x14ac:dyDescent="0.2">
      <c r="A1199" s="5"/>
      <c r="B1199" s="5"/>
      <c r="C1199" s="5"/>
      <c r="D1199" s="5"/>
      <c r="E1199" s="5"/>
    </row>
    <row r="1200" spans="1:5" x14ac:dyDescent="0.2">
      <c r="A1200" s="5"/>
      <c r="B1200" s="5"/>
      <c r="C1200" s="5"/>
      <c r="D1200" s="5"/>
      <c r="E1200" s="5"/>
    </row>
    <row r="1201" spans="1:5" x14ac:dyDescent="0.2">
      <c r="A1201" s="5"/>
      <c r="B1201" s="5"/>
      <c r="C1201" s="5"/>
      <c r="D1201" s="5"/>
      <c r="E1201" s="5"/>
    </row>
    <row r="1202" spans="1:5" x14ac:dyDescent="0.2">
      <c r="A1202" s="5"/>
      <c r="B1202" s="5"/>
      <c r="C1202" s="5"/>
      <c r="D1202" s="5"/>
      <c r="E1202" s="5"/>
    </row>
    <row r="1203" spans="1:5" x14ac:dyDescent="0.2">
      <c r="A1203" s="5"/>
      <c r="B1203" s="5"/>
      <c r="C1203" s="5"/>
      <c r="D1203" s="5"/>
      <c r="E1203" s="5"/>
    </row>
    <row r="1204" spans="1:5" x14ac:dyDescent="0.2">
      <c r="A1204" s="5"/>
      <c r="B1204" s="5"/>
      <c r="C1204" s="5"/>
      <c r="D1204" s="5"/>
      <c r="E1204" s="5"/>
    </row>
    <row r="1205" spans="1:5" x14ac:dyDescent="0.2">
      <c r="A1205" s="5"/>
      <c r="B1205" s="5"/>
      <c r="C1205" s="5"/>
      <c r="D1205" s="5"/>
      <c r="E1205" s="5"/>
    </row>
    <row r="1206" spans="1:5" x14ac:dyDescent="0.2">
      <c r="A1206" s="5"/>
      <c r="B1206" s="5"/>
      <c r="C1206" s="5"/>
      <c r="D1206" s="5"/>
      <c r="E1206" s="5"/>
    </row>
    <row r="1207" spans="1:5" x14ac:dyDescent="0.2">
      <c r="A1207" s="5"/>
      <c r="B1207" s="5"/>
      <c r="C1207" s="5"/>
      <c r="D1207" s="5"/>
      <c r="E1207" s="5"/>
    </row>
    <row r="1208" spans="1:5" x14ac:dyDescent="0.2">
      <c r="A1208" s="5"/>
      <c r="B1208" s="5"/>
      <c r="C1208" s="5"/>
      <c r="D1208" s="5"/>
      <c r="E1208" s="5"/>
    </row>
    <row r="1209" spans="1:5" x14ac:dyDescent="0.2">
      <c r="A1209" s="5"/>
      <c r="B1209" s="5"/>
      <c r="C1209" s="5"/>
      <c r="D1209" s="5"/>
      <c r="E1209" s="5"/>
    </row>
    <row r="1210" spans="1:5" x14ac:dyDescent="0.2">
      <c r="A1210" s="5"/>
      <c r="B1210" s="5"/>
      <c r="C1210" s="5"/>
      <c r="D1210" s="5"/>
      <c r="E1210" s="5"/>
    </row>
    <row r="1211" spans="1:5" x14ac:dyDescent="0.2">
      <c r="A1211" s="5"/>
      <c r="B1211" s="5"/>
      <c r="C1211" s="5"/>
      <c r="D1211" s="5"/>
      <c r="E1211" s="5"/>
    </row>
    <row r="1212" spans="1:5" x14ac:dyDescent="0.2">
      <c r="A1212" s="5"/>
      <c r="B1212" s="5"/>
      <c r="C1212" s="5"/>
      <c r="D1212" s="5"/>
      <c r="E1212" s="5"/>
    </row>
    <row r="1213" spans="1:5" x14ac:dyDescent="0.2">
      <c r="A1213" s="5"/>
      <c r="B1213" s="5"/>
      <c r="C1213" s="5"/>
      <c r="D1213" s="5"/>
      <c r="E1213" s="5"/>
    </row>
    <row r="1214" spans="1:5" x14ac:dyDescent="0.2">
      <c r="A1214" s="5"/>
      <c r="B1214" s="5"/>
      <c r="C1214" s="5"/>
      <c r="D1214" s="5"/>
      <c r="E1214" s="5"/>
    </row>
    <row r="1215" spans="1:5" x14ac:dyDescent="0.2">
      <c r="A1215" s="5"/>
      <c r="B1215" s="5"/>
      <c r="C1215" s="5"/>
      <c r="D1215" s="5"/>
      <c r="E1215" s="5"/>
    </row>
    <row r="1216" spans="1:5" x14ac:dyDescent="0.2">
      <c r="A1216" s="5"/>
      <c r="B1216" s="5"/>
      <c r="C1216" s="5"/>
      <c r="D1216" s="5"/>
      <c r="E1216" s="5"/>
    </row>
    <row r="1217" spans="1:5" x14ac:dyDescent="0.2">
      <c r="A1217" s="5"/>
      <c r="B1217" s="5"/>
      <c r="C1217" s="5"/>
      <c r="D1217" s="5"/>
      <c r="E1217" s="5"/>
    </row>
    <row r="1218" spans="1:5" x14ac:dyDescent="0.2">
      <c r="A1218" s="5"/>
      <c r="B1218" s="5"/>
      <c r="C1218" s="5"/>
      <c r="D1218" s="5"/>
      <c r="E1218" s="5"/>
    </row>
    <row r="1219" spans="1:5" x14ac:dyDescent="0.2">
      <c r="A1219" s="5"/>
      <c r="B1219" s="5"/>
      <c r="C1219" s="5"/>
      <c r="D1219" s="5"/>
      <c r="E1219" s="5"/>
    </row>
    <row r="1220" spans="1:5" x14ac:dyDescent="0.2">
      <c r="A1220" s="5"/>
      <c r="B1220" s="5"/>
      <c r="C1220" s="5"/>
      <c r="D1220" s="5"/>
      <c r="E1220" s="5"/>
    </row>
    <row r="1221" spans="1:5" x14ac:dyDescent="0.2">
      <c r="A1221" s="5"/>
      <c r="B1221" s="5"/>
      <c r="C1221" s="5"/>
      <c r="D1221" s="5"/>
      <c r="E1221" s="5"/>
    </row>
    <row r="1222" spans="1:5" x14ac:dyDescent="0.2">
      <c r="A1222" s="5"/>
      <c r="B1222" s="5"/>
      <c r="C1222" s="5"/>
      <c r="D1222" s="5"/>
      <c r="E1222" s="5"/>
    </row>
    <row r="1223" spans="1:5" x14ac:dyDescent="0.2">
      <c r="A1223" s="5"/>
      <c r="B1223" s="5"/>
      <c r="C1223" s="5"/>
      <c r="D1223" s="5"/>
      <c r="E1223" s="5"/>
    </row>
    <row r="1224" spans="1:5" x14ac:dyDescent="0.2">
      <c r="A1224" s="5"/>
      <c r="B1224" s="5"/>
      <c r="C1224" s="5"/>
      <c r="D1224" s="5"/>
      <c r="E1224" s="5"/>
    </row>
    <row r="1225" spans="1:5" x14ac:dyDescent="0.2">
      <c r="A1225" s="5"/>
      <c r="B1225" s="5"/>
      <c r="C1225" s="5"/>
      <c r="D1225" s="5"/>
      <c r="E1225" s="5"/>
    </row>
    <row r="1226" spans="1:5" x14ac:dyDescent="0.2">
      <c r="A1226" s="5"/>
      <c r="B1226" s="5"/>
      <c r="C1226" s="5"/>
      <c r="D1226" s="5"/>
      <c r="E1226" s="5"/>
    </row>
    <row r="1227" spans="1:5" x14ac:dyDescent="0.2">
      <c r="A1227" s="5"/>
      <c r="B1227" s="5"/>
      <c r="C1227" s="5"/>
      <c r="D1227" s="5"/>
      <c r="E1227" s="5"/>
    </row>
    <row r="1228" spans="1:5" x14ac:dyDescent="0.2">
      <c r="A1228" s="5"/>
      <c r="B1228" s="5"/>
      <c r="C1228" s="5"/>
      <c r="D1228" s="5"/>
      <c r="E1228" s="5"/>
    </row>
    <row r="1229" spans="1:5" x14ac:dyDescent="0.2">
      <c r="A1229" s="5"/>
      <c r="B1229" s="5"/>
      <c r="C1229" s="5"/>
      <c r="D1229" s="5"/>
      <c r="E1229" s="5"/>
    </row>
    <row r="1230" spans="1:5" x14ac:dyDescent="0.2">
      <c r="A1230" s="5"/>
      <c r="B1230" s="5"/>
      <c r="C1230" s="5"/>
      <c r="D1230" s="5"/>
      <c r="E1230" s="5"/>
    </row>
    <row r="1231" spans="1:5" x14ac:dyDescent="0.2">
      <c r="A1231" s="5"/>
      <c r="B1231" s="5"/>
      <c r="C1231" s="5"/>
      <c r="D1231" s="5"/>
      <c r="E1231" s="5"/>
    </row>
    <row r="1232" spans="1:5" x14ac:dyDescent="0.2">
      <c r="A1232" s="5"/>
      <c r="B1232" s="5"/>
      <c r="C1232" s="5"/>
      <c r="D1232" s="5"/>
      <c r="E1232" s="5"/>
    </row>
    <row r="1233" spans="1:5" x14ac:dyDescent="0.2">
      <c r="A1233" s="5"/>
      <c r="B1233" s="5"/>
      <c r="C1233" s="5"/>
      <c r="D1233" s="5"/>
      <c r="E1233" s="5"/>
    </row>
    <row r="1234" spans="1:5" x14ac:dyDescent="0.2">
      <c r="A1234" s="5"/>
      <c r="B1234" s="5"/>
      <c r="C1234" s="5"/>
      <c r="D1234" s="5"/>
      <c r="E1234" s="5"/>
    </row>
    <row r="1235" spans="1:5" x14ac:dyDescent="0.2">
      <c r="A1235" s="5"/>
      <c r="B1235" s="5"/>
      <c r="C1235" s="5"/>
      <c r="D1235" s="5"/>
      <c r="E1235" s="5"/>
    </row>
    <row r="1236" spans="1:5" x14ac:dyDescent="0.2">
      <c r="A1236" s="5"/>
      <c r="B1236" s="5"/>
      <c r="C1236" s="5"/>
      <c r="D1236" s="5"/>
      <c r="E1236" s="5"/>
    </row>
    <row r="1237" spans="1:5" x14ac:dyDescent="0.2">
      <c r="A1237" s="5"/>
      <c r="B1237" s="5"/>
      <c r="C1237" s="5"/>
      <c r="D1237" s="5"/>
      <c r="E1237" s="5"/>
    </row>
    <row r="1238" spans="1:5" x14ac:dyDescent="0.2">
      <c r="A1238" s="5"/>
      <c r="B1238" s="5"/>
      <c r="C1238" s="5"/>
      <c r="D1238" s="5"/>
      <c r="E1238" s="5"/>
    </row>
    <row r="1239" spans="1:5" x14ac:dyDescent="0.2">
      <c r="A1239" s="5"/>
      <c r="B1239" s="5"/>
      <c r="C1239" s="5"/>
      <c r="D1239" s="5"/>
      <c r="E1239" s="5"/>
    </row>
    <row r="1240" spans="1:5" x14ac:dyDescent="0.2">
      <c r="A1240" s="5"/>
      <c r="B1240" s="5"/>
      <c r="C1240" s="5"/>
      <c r="D1240" s="5"/>
      <c r="E1240" s="5"/>
    </row>
    <row r="1241" spans="1:5" x14ac:dyDescent="0.2">
      <c r="A1241" s="5"/>
      <c r="B1241" s="5"/>
      <c r="C1241" s="5"/>
      <c r="D1241" s="5"/>
      <c r="E1241" s="5"/>
    </row>
    <row r="1242" spans="1:5" x14ac:dyDescent="0.2">
      <c r="A1242" s="5"/>
      <c r="B1242" s="5"/>
      <c r="C1242" s="5"/>
      <c r="D1242" s="5"/>
      <c r="E1242" s="5"/>
    </row>
    <row r="1243" spans="1:5" x14ac:dyDescent="0.2">
      <c r="A1243" s="5"/>
      <c r="B1243" s="5"/>
      <c r="C1243" s="5"/>
      <c r="D1243" s="5"/>
      <c r="E1243" s="5"/>
    </row>
    <row r="1244" spans="1:5" x14ac:dyDescent="0.2">
      <c r="A1244" s="5"/>
      <c r="B1244" s="5"/>
      <c r="C1244" s="5"/>
      <c r="D1244" s="5"/>
      <c r="E1244" s="5"/>
    </row>
    <row r="1245" spans="1:5" x14ac:dyDescent="0.2">
      <c r="A1245" s="5"/>
      <c r="B1245" s="5"/>
      <c r="C1245" s="5"/>
      <c r="D1245" s="5"/>
      <c r="E1245" s="5"/>
    </row>
    <row r="1246" spans="1:5" x14ac:dyDescent="0.2">
      <c r="A1246" s="5"/>
      <c r="B1246" s="5"/>
      <c r="C1246" s="5"/>
      <c r="D1246" s="5"/>
      <c r="E1246" s="5"/>
    </row>
    <row r="1247" spans="1:5" x14ac:dyDescent="0.2">
      <c r="A1247" s="5"/>
      <c r="B1247" s="5"/>
      <c r="C1247" s="5"/>
      <c r="D1247" s="5"/>
      <c r="E1247" s="5"/>
    </row>
    <row r="1248" spans="1:5" x14ac:dyDescent="0.2">
      <c r="A1248" s="5"/>
      <c r="B1248" s="5"/>
      <c r="C1248" s="5"/>
      <c r="D1248" s="5"/>
      <c r="E1248" s="5"/>
    </row>
    <row r="1249" spans="1:5" x14ac:dyDescent="0.2">
      <c r="A1249" s="5"/>
      <c r="B1249" s="5"/>
      <c r="C1249" s="5"/>
      <c r="D1249" s="5"/>
      <c r="E1249" s="5"/>
    </row>
    <row r="1250" spans="1:5" x14ac:dyDescent="0.2">
      <c r="A1250" s="5"/>
      <c r="B1250" s="5"/>
      <c r="C1250" s="5"/>
      <c r="D1250" s="5"/>
      <c r="E1250" s="5"/>
    </row>
    <row r="1251" spans="1:5" x14ac:dyDescent="0.2">
      <c r="A1251" s="5"/>
      <c r="B1251" s="5"/>
      <c r="C1251" s="5"/>
      <c r="D1251" s="5"/>
      <c r="E1251" s="5"/>
    </row>
    <row r="1252" spans="1:5" x14ac:dyDescent="0.2">
      <c r="A1252" s="5"/>
      <c r="B1252" s="5"/>
      <c r="C1252" s="5"/>
      <c r="D1252" s="5"/>
      <c r="E1252" s="5"/>
    </row>
    <row r="1253" spans="1:5" x14ac:dyDescent="0.2">
      <c r="A1253" s="5"/>
      <c r="B1253" s="5"/>
      <c r="C1253" s="5"/>
      <c r="D1253" s="5"/>
      <c r="E1253" s="5"/>
    </row>
    <row r="1254" spans="1:5" x14ac:dyDescent="0.2">
      <c r="A1254" s="5"/>
      <c r="B1254" s="5"/>
      <c r="C1254" s="5"/>
      <c r="D1254" s="5"/>
      <c r="E1254" s="5"/>
    </row>
    <row r="1255" spans="1:5" x14ac:dyDescent="0.2">
      <c r="A1255" s="5"/>
      <c r="B1255" s="5"/>
      <c r="C1255" s="5"/>
      <c r="D1255" s="5"/>
      <c r="E1255" s="5"/>
    </row>
    <row r="1256" spans="1:5" x14ac:dyDescent="0.2">
      <c r="A1256" s="5"/>
      <c r="B1256" s="5"/>
      <c r="C1256" s="5"/>
      <c r="D1256" s="5"/>
      <c r="E1256" s="5"/>
    </row>
    <row r="1257" spans="1:5" x14ac:dyDescent="0.2">
      <c r="A1257" s="5"/>
      <c r="B1257" s="5"/>
      <c r="C1257" s="5"/>
      <c r="D1257" s="5"/>
      <c r="E1257" s="5"/>
    </row>
    <row r="1258" spans="1:5" x14ac:dyDescent="0.2">
      <c r="A1258" s="5"/>
      <c r="B1258" s="5"/>
      <c r="C1258" s="5"/>
      <c r="D1258" s="5"/>
      <c r="E1258" s="5"/>
    </row>
    <row r="1259" spans="1:5" x14ac:dyDescent="0.2">
      <c r="A1259" s="5"/>
      <c r="B1259" s="5"/>
      <c r="C1259" s="5"/>
      <c r="D1259" s="5"/>
      <c r="E1259" s="5"/>
    </row>
    <row r="1260" spans="1:5" x14ac:dyDescent="0.2">
      <c r="A1260" s="5"/>
      <c r="B1260" s="5"/>
      <c r="C1260" s="5"/>
      <c r="D1260" s="5"/>
      <c r="E1260" s="5"/>
    </row>
    <row r="1261" spans="1:5" x14ac:dyDescent="0.2">
      <c r="A1261" s="5"/>
      <c r="B1261" s="5"/>
      <c r="C1261" s="5"/>
      <c r="D1261" s="5"/>
      <c r="E1261" s="5"/>
    </row>
    <row r="1262" spans="1:5" x14ac:dyDescent="0.2">
      <c r="A1262" s="5"/>
      <c r="B1262" s="5"/>
      <c r="C1262" s="5"/>
      <c r="D1262" s="5"/>
      <c r="E1262" s="5"/>
    </row>
    <row r="1263" spans="1:5" x14ac:dyDescent="0.2">
      <c r="A1263" s="5"/>
      <c r="B1263" s="5"/>
      <c r="C1263" s="5"/>
      <c r="D1263" s="5"/>
      <c r="E1263" s="5"/>
    </row>
    <row r="1264" spans="1:5" x14ac:dyDescent="0.2">
      <c r="A1264" s="5"/>
      <c r="B1264" s="5"/>
      <c r="C1264" s="5"/>
      <c r="D1264" s="5"/>
      <c r="E1264" s="5"/>
    </row>
    <row r="1265" spans="1:5" x14ac:dyDescent="0.2">
      <c r="A1265" s="5"/>
      <c r="B1265" s="5"/>
      <c r="C1265" s="5"/>
      <c r="D1265" s="5"/>
      <c r="E1265" s="5"/>
    </row>
    <row r="1266" spans="1:5" x14ac:dyDescent="0.2">
      <c r="A1266" s="5"/>
      <c r="B1266" s="5"/>
      <c r="C1266" s="5"/>
      <c r="D1266" s="5"/>
      <c r="E1266" s="5"/>
    </row>
    <row r="1267" spans="1:5" x14ac:dyDescent="0.2">
      <c r="A1267" s="5"/>
      <c r="B1267" s="5"/>
      <c r="C1267" s="5"/>
      <c r="D1267" s="5"/>
      <c r="E1267" s="5"/>
    </row>
    <row r="1268" spans="1:5" x14ac:dyDescent="0.2">
      <c r="A1268" s="5"/>
      <c r="B1268" s="5"/>
      <c r="C1268" s="5"/>
      <c r="D1268" s="5"/>
      <c r="E1268" s="5"/>
    </row>
    <row r="1269" spans="1:5" x14ac:dyDescent="0.2">
      <c r="A1269" s="5"/>
      <c r="B1269" s="5"/>
      <c r="C1269" s="5"/>
      <c r="D1269" s="5"/>
      <c r="E1269" s="5"/>
    </row>
    <row r="1270" spans="1:5" x14ac:dyDescent="0.2">
      <c r="A1270" s="5"/>
      <c r="B1270" s="5"/>
      <c r="C1270" s="5"/>
      <c r="D1270" s="5"/>
      <c r="E1270" s="5"/>
    </row>
    <row r="1271" spans="1:5" x14ac:dyDescent="0.2">
      <c r="A1271" s="5"/>
      <c r="B1271" s="5"/>
      <c r="C1271" s="5"/>
      <c r="D1271" s="5"/>
      <c r="E1271" s="5"/>
    </row>
    <row r="1272" spans="1:5" x14ac:dyDescent="0.2">
      <c r="A1272" s="5"/>
      <c r="B1272" s="5"/>
      <c r="C1272" s="5"/>
      <c r="D1272" s="5"/>
      <c r="E1272" s="5"/>
    </row>
    <row r="1273" spans="1:5" x14ac:dyDescent="0.2">
      <c r="A1273" s="5"/>
      <c r="B1273" s="5"/>
      <c r="C1273" s="5"/>
      <c r="D1273" s="5"/>
      <c r="E1273" s="5"/>
    </row>
    <row r="1274" spans="1:5" x14ac:dyDescent="0.2">
      <c r="A1274" s="5"/>
      <c r="B1274" s="5"/>
      <c r="C1274" s="5"/>
      <c r="D1274" s="5"/>
      <c r="E1274" s="5"/>
    </row>
    <row r="1275" spans="1:5" x14ac:dyDescent="0.2">
      <c r="A1275" s="5"/>
      <c r="B1275" s="5"/>
      <c r="C1275" s="5"/>
      <c r="D1275" s="5"/>
      <c r="E1275" s="5"/>
    </row>
    <row r="1276" spans="1:5" x14ac:dyDescent="0.2">
      <c r="A1276" s="5"/>
      <c r="B1276" s="5"/>
      <c r="C1276" s="5"/>
      <c r="D1276" s="5"/>
      <c r="E1276" s="5"/>
    </row>
    <row r="1277" spans="1:5" x14ac:dyDescent="0.2">
      <c r="A1277" s="5"/>
      <c r="B1277" s="5"/>
      <c r="C1277" s="5"/>
      <c r="D1277" s="5"/>
      <c r="E1277" s="5"/>
    </row>
    <row r="1278" spans="1:5" x14ac:dyDescent="0.2">
      <c r="A1278" s="5"/>
      <c r="B1278" s="5"/>
      <c r="C1278" s="5"/>
      <c r="D1278" s="5"/>
      <c r="E1278" s="5"/>
    </row>
    <row r="1279" spans="1:5" x14ac:dyDescent="0.2">
      <c r="A1279" s="5"/>
      <c r="B1279" s="5"/>
      <c r="C1279" s="5"/>
      <c r="D1279" s="5"/>
      <c r="E1279" s="5"/>
    </row>
    <row r="1280" spans="1:5" x14ac:dyDescent="0.2">
      <c r="A1280" s="5"/>
      <c r="B1280" s="5"/>
      <c r="C1280" s="5"/>
      <c r="D1280" s="5"/>
      <c r="E1280" s="5"/>
    </row>
    <row r="1281" spans="1:5" x14ac:dyDescent="0.2">
      <c r="A1281" s="5"/>
      <c r="B1281" s="5"/>
      <c r="C1281" s="5"/>
      <c r="D1281" s="5"/>
      <c r="E1281" s="5"/>
    </row>
    <row r="1282" spans="1:5" x14ac:dyDescent="0.2">
      <c r="A1282" s="5"/>
      <c r="B1282" s="5"/>
      <c r="C1282" s="5"/>
      <c r="D1282" s="5"/>
      <c r="E1282" s="5"/>
    </row>
    <row r="1283" spans="1:5" x14ac:dyDescent="0.2">
      <c r="A1283" s="5"/>
      <c r="B1283" s="5"/>
      <c r="C1283" s="5"/>
      <c r="D1283" s="5"/>
      <c r="E1283" s="5"/>
    </row>
    <row r="1284" spans="1:5" x14ac:dyDescent="0.2">
      <c r="A1284" s="5"/>
      <c r="B1284" s="5"/>
      <c r="C1284" s="5"/>
      <c r="D1284" s="5"/>
      <c r="E1284" s="5"/>
    </row>
    <row r="1285" spans="1:5" x14ac:dyDescent="0.2">
      <c r="A1285" s="5"/>
      <c r="B1285" s="5"/>
      <c r="C1285" s="5"/>
      <c r="D1285" s="5"/>
      <c r="E1285" s="5"/>
    </row>
    <row r="1286" spans="1:5" x14ac:dyDescent="0.2">
      <c r="A1286" s="5"/>
      <c r="B1286" s="5"/>
      <c r="C1286" s="5"/>
      <c r="D1286" s="5"/>
      <c r="E1286" s="5"/>
    </row>
    <row r="1287" spans="1:5" x14ac:dyDescent="0.2">
      <c r="A1287" s="5"/>
      <c r="B1287" s="5"/>
      <c r="C1287" s="5"/>
      <c r="D1287" s="5"/>
      <c r="E1287" s="5"/>
    </row>
    <row r="1288" spans="1:5" x14ac:dyDescent="0.2">
      <c r="A1288" s="5"/>
      <c r="B1288" s="5"/>
      <c r="C1288" s="5"/>
      <c r="D1288" s="5"/>
      <c r="E1288" s="5"/>
    </row>
    <row r="1289" spans="1:5" x14ac:dyDescent="0.2">
      <c r="A1289" s="5"/>
      <c r="B1289" s="5"/>
      <c r="C1289" s="5"/>
      <c r="D1289" s="5"/>
      <c r="E1289" s="5"/>
    </row>
    <row r="1290" spans="1:5" x14ac:dyDescent="0.2">
      <c r="A1290" s="5"/>
      <c r="B1290" s="5"/>
      <c r="C1290" s="5"/>
      <c r="D1290" s="5"/>
      <c r="E1290" s="5"/>
    </row>
    <row r="1291" spans="1:5" x14ac:dyDescent="0.2">
      <c r="A1291" s="5"/>
      <c r="B1291" s="5"/>
      <c r="C1291" s="5"/>
      <c r="D1291" s="5"/>
      <c r="E1291" s="5"/>
    </row>
    <row r="1292" spans="1:5" x14ac:dyDescent="0.2">
      <c r="A1292" s="5"/>
      <c r="B1292" s="5"/>
      <c r="C1292" s="5"/>
      <c r="D1292" s="5"/>
      <c r="E1292" s="5"/>
    </row>
    <row r="1293" spans="1:5" x14ac:dyDescent="0.2">
      <c r="A1293" s="5"/>
      <c r="B1293" s="5"/>
      <c r="C1293" s="5"/>
      <c r="D1293" s="5"/>
      <c r="E1293" s="5"/>
    </row>
    <row r="1294" spans="1:5" x14ac:dyDescent="0.2">
      <c r="A1294" s="5"/>
      <c r="B1294" s="5"/>
      <c r="C1294" s="5"/>
      <c r="D1294" s="5"/>
      <c r="E1294" s="5"/>
    </row>
    <row r="1295" spans="1:5" x14ac:dyDescent="0.2">
      <c r="A1295" s="5"/>
      <c r="B1295" s="5"/>
      <c r="C1295" s="5"/>
      <c r="D1295" s="5"/>
      <c r="E1295" s="5"/>
    </row>
    <row r="1296" spans="1:5" x14ac:dyDescent="0.2">
      <c r="A1296" s="5"/>
      <c r="B1296" s="5"/>
      <c r="C1296" s="5"/>
      <c r="D1296" s="5"/>
      <c r="E1296" s="5"/>
    </row>
    <row r="1297" spans="1:5" x14ac:dyDescent="0.2">
      <c r="A1297" s="5"/>
      <c r="B1297" s="5"/>
      <c r="C1297" s="5"/>
      <c r="D1297" s="5"/>
      <c r="E1297" s="5"/>
    </row>
    <row r="1298" spans="1:5" x14ac:dyDescent="0.2">
      <c r="A1298" s="5"/>
      <c r="B1298" s="5"/>
      <c r="C1298" s="5"/>
      <c r="D1298" s="5"/>
      <c r="E1298" s="5"/>
    </row>
    <row r="1299" spans="1:5" x14ac:dyDescent="0.2">
      <c r="A1299" s="5"/>
      <c r="B1299" s="5"/>
      <c r="C1299" s="5"/>
      <c r="D1299" s="5"/>
      <c r="E1299" s="5"/>
    </row>
    <row r="1300" spans="1:5" x14ac:dyDescent="0.2">
      <c r="A1300" s="5"/>
      <c r="B1300" s="5"/>
      <c r="C1300" s="5"/>
      <c r="D1300" s="5"/>
      <c r="E1300" s="5"/>
    </row>
    <row r="1301" spans="1:5" x14ac:dyDescent="0.2">
      <c r="A1301" s="5"/>
      <c r="B1301" s="5"/>
      <c r="C1301" s="5"/>
      <c r="D1301" s="5"/>
      <c r="E1301" s="5"/>
    </row>
    <row r="1302" spans="1:5" x14ac:dyDescent="0.2">
      <c r="A1302" s="5"/>
      <c r="B1302" s="5"/>
      <c r="C1302" s="5"/>
      <c r="D1302" s="5"/>
      <c r="E1302" s="5"/>
    </row>
    <row r="1303" spans="1:5" x14ac:dyDescent="0.2">
      <c r="A1303" s="5"/>
      <c r="B1303" s="5"/>
      <c r="C1303" s="5"/>
      <c r="D1303" s="5"/>
      <c r="E1303" s="5"/>
    </row>
    <row r="1304" spans="1:5" x14ac:dyDescent="0.2">
      <c r="A1304" s="5"/>
      <c r="B1304" s="5"/>
      <c r="C1304" s="5"/>
      <c r="D1304" s="5"/>
      <c r="E1304" s="5"/>
    </row>
    <row r="1305" spans="1:5" x14ac:dyDescent="0.2">
      <c r="A1305" s="5"/>
      <c r="B1305" s="5"/>
      <c r="C1305" s="5"/>
      <c r="D1305" s="5"/>
      <c r="E1305" s="5"/>
    </row>
    <row r="1306" spans="1:5" x14ac:dyDescent="0.2">
      <c r="A1306" s="5"/>
      <c r="B1306" s="5"/>
      <c r="C1306" s="5"/>
      <c r="D1306" s="5"/>
      <c r="E1306" s="5"/>
    </row>
    <row r="1307" spans="1:5" x14ac:dyDescent="0.2">
      <c r="A1307" s="5"/>
      <c r="B1307" s="5"/>
      <c r="C1307" s="5"/>
      <c r="D1307" s="5"/>
      <c r="E1307" s="5"/>
    </row>
    <row r="1308" spans="1:5" x14ac:dyDescent="0.2">
      <c r="A1308" s="5"/>
      <c r="B1308" s="5"/>
      <c r="C1308" s="5"/>
      <c r="D1308" s="5"/>
      <c r="E1308" s="5"/>
    </row>
    <row r="1309" spans="1:5" x14ac:dyDescent="0.2">
      <c r="A1309" s="5"/>
      <c r="B1309" s="5"/>
      <c r="C1309" s="5"/>
      <c r="D1309" s="5"/>
      <c r="E1309" s="5"/>
    </row>
    <row r="1310" spans="1:5" x14ac:dyDescent="0.2">
      <c r="A1310" s="5"/>
      <c r="B1310" s="5"/>
      <c r="C1310" s="5"/>
      <c r="D1310" s="5"/>
      <c r="E1310" s="5"/>
    </row>
    <row r="1311" spans="1:5" x14ac:dyDescent="0.2">
      <c r="A1311" s="5"/>
      <c r="B1311" s="5"/>
      <c r="C1311" s="5"/>
      <c r="D1311" s="5"/>
      <c r="E1311" s="5"/>
    </row>
    <row r="1312" spans="1:5" x14ac:dyDescent="0.2">
      <c r="A1312" s="5"/>
      <c r="B1312" s="5"/>
      <c r="C1312" s="5"/>
      <c r="D1312" s="5"/>
      <c r="E1312" s="5"/>
    </row>
    <row r="1313" spans="1:5" x14ac:dyDescent="0.2">
      <c r="A1313" s="5"/>
      <c r="B1313" s="5"/>
      <c r="C1313" s="5"/>
      <c r="D1313" s="5"/>
      <c r="E1313" s="5"/>
    </row>
    <row r="1314" spans="1:5" x14ac:dyDescent="0.2">
      <c r="A1314" s="5"/>
      <c r="B1314" s="5"/>
      <c r="C1314" s="5"/>
      <c r="D1314" s="5"/>
      <c r="E1314" s="5"/>
    </row>
    <row r="1315" spans="1:5" x14ac:dyDescent="0.2">
      <c r="A1315" s="5"/>
      <c r="B1315" s="5"/>
      <c r="C1315" s="5"/>
      <c r="D1315" s="5"/>
      <c r="E1315" s="5"/>
    </row>
    <row r="1316" spans="1:5" x14ac:dyDescent="0.2">
      <c r="A1316" s="5"/>
      <c r="B1316" s="5"/>
      <c r="C1316" s="5"/>
      <c r="D1316" s="5"/>
      <c r="E1316" s="5"/>
    </row>
    <row r="1317" spans="1:5" x14ac:dyDescent="0.2">
      <c r="A1317" s="5"/>
      <c r="B1317" s="5"/>
      <c r="C1317" s="5"/>
      <c r="D1317" s="5"/>
      <c r="E1317" s="5"/>
    </row>
    <row r="1318" spans="1:5" x14ac:dyDescent="0.2">
      <c r="A1318" s="5"/>
      <c r="B1318" s="5"/>
      <c r="C1318" s="5"/>
      <c r="D1318" s="5"/>
      <c r="E1318" s="5"/>
    </row>
    <row r="1319" spans="1:5" x14ac:dyDescent="0.2">
      <c r="A1319" s="5"/>
      <c r="B1319" s="5"/>
      <c r="C1319" s="5"/>
      <c r="D1319" s="5"/>
      <c r="E1319" s="5"/>
    </row>
    <row r="1320" spans="1:5" x14ac:dyDescent="0.2">
      <c r="A1320" s="5"/>
      <c r="B1320" s="5"/>
      <c r="C1320" s="5"/>
      <c r="D1320" s="5"/>
      <c r="E1320" s="5"/>
    </row>
    <row r="1321" spans="1:5" x14ac:dyDescent="0.2">
      <c r="A1321" s="5"/>
      <c r="B1321" s="5"/>
      <c r="C1321" s="5"/>
      <c r="D1321" s="5"/>
      <c r="E1321" s="5"/>
    </row>
    <row r="1322" spans="1:5" x14ac:dyDescent="0.2">
      <c r="A1322" s="5"/>
      <c r="B1322" s="5"/>
      <c r="C1322" s="5"/>
      <c r="D1322" s="5"/>
      <c r="E1322" s="5"/>
    </row>
    <row r="1323" spans="1:5" x14ac:dyDescent="0.2">
      <c r="A1323" s="5"/>
      <c r="B1323" s="5"/>
      <c r="C1323" s="5"/>
      <c r="D1323" s="5"/>
      <c r="E1323" s="5"/>
    </row>
    <row r="1324" spans="1:5" x14ac:dyDescent="0.2">
      <c r="A1324" s="5"/>
      <c r="B1324" s="5"/>
      <c r="C1324" s="5"/>
      <c r="D1324" s="5"/>
      <c r="E1324" s="5"/>
    </row>
    <row r="1325" spans="1:5" x14ac:dyDescent="0.2">
      <c r="A1325" s="5"/>
      <c r="B1325" s="5"/>
      <c r="C1325" s="5"/>
      <c r="D1325" s="5"/>
      <c r="E1325" s="5"/>
    </row>
    <row r="1326" spans="1:5" x14ac:dyDescent="0.2">
      <c r="A1326" s="5"/>
      <c r="B1326" s="5"/>
      <c r="C1326" s="5"/>
      <c r="D1326" s="5"/>
      <c r="E1326" s="5"/>
    </row>
    <row r="1327" spans="1:5" x14ac:dyDescent="0.2">
      <c r="A1327" s="5"/>
      <c r="B1327" s="5"/>
      <c r="C1327" s="5"/>
      <c r="D1327" s="5"/>
      <c r="E1327" s="5"/>
    </row>
    <row r="1328" spans="1:5" x14ac:dyDescent="0.2">
      <c r="A1328" s="5"/>
      <c r="B1328" s="5"/>
      <c r="C1328" s="5"/>
      <c r="D1328" s="5"/>
      <c r="E1328" s="5"/>
    </row>
    <row r="1329" spans="1:5" x14ac:dyDescent="0.2">
      <c r="A1329" s="5"/>
      <c r="B1329" s="5"/>
      <c r="C1329" s="5"/>
      <c r="D1329" s="5"/>
      <c r="E1329" s="5"/>
    </row>
    <row r="1330" spans="1:5" x14ac:dyDescent="0.2">
      <c r="A1330" s="5"/>
      <c r="B1330" s="5"/>
      <c r="C1330" s="5"/>
      <c r="D1330" s="5"/>
      <c r="E1330" s="5"/>
    </row>
    <row r="1331" spans="1:5" x14ac:dyDescent="0.2">
      <c r="A1331" s="5"/>
      <c r="B1331" s="5"/>
      <c r="C1331" s="5"/>
      <c r="D1331" s="5"/>
      <c r="E1331" s="5"/>
    </row>
    <row r="1332" spans="1:5" x14ac:dyDescent="0.2">
      <c r="A1332" s="5"/>
      <c r="B1332" s="5"/>
      <c r="C1332" s="5"/>
      <c r="D1332" s="5"/>
      <c r="E1332" s="5"/>
    </row>
    <row r="1333" spans="1:5" x14ac:dyDescent="0.2">
      <c r="A1333" s="5"/>
      <c r="B1333" s="5"/>
      <c r="C1333" s="5"/>
      <c r="D1333" s="5"/>
      <c r="E1333" s="5"/>
    </row>
    <row r="1334" spans="1:5" x14ac:dyDescent="0.2">
      <c r="A1334" s="5"/>
      <c r="B1334" s="5"/>
      <c r="C1334" s="5"/>
      <c r="D1334" s="5"/>
      <c r="E1334" s="5"/>
    </row>
    <row r="1335" spans="1:5" x14ac:dyDescent="0.2">
      <c r="A1335" s="5"/>
      <c r="B1335" s="5"/>
      <c r="C1335" s="5"/>
      <c r="D1335" s="5"/>
      <c r="E1335" s="5"/>
    </row>
    <row r="1336" spans="1:5" x14ac:dyDescent="0.2">
      <c r="A1336" s="5"/>
      <c r="B1336" s="5"/>
      <c r="C1336" s="5"/>
      <c r="D1336" s="5"/>
      <c r="E1336" s="5"/>
    </row>
    <row r="1337" spans="1:5" x14ac:dyDescent="0.2">
      <c r="A1337" s="5"/>
      <c r="B1337" s="5"/>
      <c r="C1337" s="5"/>
      <c r="D1337" s="5"/>
      <c r="E1337" s="5"/>
    </row>
    <row r="1338" spans="1:5" x14ac:dyDescent="0.2">
      <c r="A1338" s="5"/>
      <c r="B1338" s="5"/>
      <c r="C1338" s="5"/>
      <c r="D1338" s="5"/>
      <c r="E1338" s="5"/>
    </row>
    <row r="1339" spans="1:5" x14ac:dyDescent="0.2">
      <c r="A1339" s="5"/>
      <c r="B1339" s="5"/>
      <c r="C1339" s="5"/>
      <c r="D1339" s="5"/>
      <c r="E1339" s="5"/>
    </row>
    <row r="1340" spans="1:5" x14ac:dyDescent="0.2">
      <c r="A1340" s="5"/>
      <c r="B1340" s="5"/>
      <c r="C1340" s="5"/>
      <c r="D1340" s="5"/>
      <c r="E1340" s="5"/>
    </row>
    <row r="1341" spans="1:5" x14ac:dyDescent="0.2">
      <c r="A1341" s="5"/>
      <c r="B1341" s="5"/>
      <c r="C1341" s="5"/>
      <c r="D1341" s="5"/>
      <c r="E1341" s="5"/>
    </row>
    <row r="1342" spans="1:5" x14ac:dyDescent="0.2">
      <c r="A1342" s="5"/>
      <c r="B1342" s="5"/>
      <c r="C1342" s="5"/>
      <c r="D1342" s="5"/>
      <c r="E1342" s="5"/>
    </row>
    <row r="1343" spans="1:5" x14ac:dyDescent="0.2">
      <c r="A1343" s="5"/>
      <c r="B1343" s="5"/>
      <c r="C1343" s="5"/>
      <c r="D1343" s="5"/>
      <c r="E1343" s="5"/>
    </row>
    <row r="1344" spans="1:5" x14ac:dyDescent="0.2">
      <c r="A1344" s="5"/>
      <c r="B1344" s="5"/>
      <c r="C1344" s="5"/>
      <c r="D1344" s="5"/>
      <c r="E1344" s="5"/>
    </row>
    <row r="1345" spans="1:5" x14ac:dyDescent="0.2">
      <c r="A1345" s="5"/>
      <c r="B1345" s="5"/>
      <c r="C1345" s="5"/>
      <c r="D1345" s="5"/>
      <c r="E1345" s="5"/>
    </row>
    <row r="1346" spans="1:5" x14ac:dyDescent="0.2">
      <c r="A1346" s="5"/>
      <c r="B1346" s="5"/>
      <c r="C1346" s="5"/>
      <c r="D1346" s="5"/>
      <c r="E1346" s="5"/>
    </row>
    <row r="1347" spans="1:5" x14ac:dyDescent="0.2">
      <c r="A1347" s="5"/>
      <c r="B1347" s="5"/>
      <c r="C1347" s="5"/>
      <c r="D1347" s="5"/>
      <c r="E1347" s="5"/>
    </row>
    <row r="1348" spans="1:5" x14ac:dyDescent="0.2">
      <c r="A1348" s="5"/>
      <c r="B1348" s="5"/>
      <c r="C1348" s="5"/>
      <c r="D1348" s="5"/>
      <c r="E1348" s="5"/>
    </row>
    <row r="1349" spans="1:5" x14ac:dyDescent="0.2">
      <c r="A1349" s="5"/>
      <c r="B1349" s="5"/>
      <c r="C1349" s="5"/>
      <c r="D1349" s="5"/>
      <c r="E1349" s="5"/>
    </row>
    <row r="1350" spans="1:5" x14ac:dyDescent="0.2">
      <c r="A1350" s="5"/>
      <c r="B1350" s="5"/>
      <c r="C1350" s="5"/>
      <c r="D1350" s="5"/>
      <c r="E1350" s="5"/>
    </row>
    <row r="1351" spans="1:5" x14ac:dyDescent="0.2">
      <c r="A1351" s="5"/>
      <c r="B1351" s="5"/>
      <c r="C1351" s="5"/>
      <c r="D1351" s="5"/>
      <c r="E1351" s="5"/>
    </row>
    <row r="1352" spans="1:5" x14ac:dyDescent="0.2">
      <c r="A1352" s="5"/>
      <c r="B1352" s="5"/>
      <c r="C1352" s="5"/>
      <c r="D1352" s="5"/>
      <c r="E1352" s="5"/>
    </row>
    <row r="1353" spans="1:5" x14ac:dyDescent="0.2">
      <c r="A1353" s="5"/>
      <c r="B1353" s="5"/>
      <c r="C1353" s="5"/>
      <c r="D1353" s="5"/>
      <c r="E1353" s="5"/>
    </row>
    <row r="1354" spans="1:5" x14ac:dyDescent="0.2">
      <c r="A1354" s="5"/>
      <c r="B1354" s="5"/>
      <c r="C1354" s="5"/>
      <c r="D1354" s="5"/>
      <c r="E1354" s="5"/>
    </row>
    <row r="1355" spans="1:5" x14ac:dyDescent="0.2">
      <c r="A1355" s="5"/>
      <c r="B1355" s="5"/>
      <c r="C1355" s="5"/>
      <c r="D1355" s="5"/>
      <c r="E1355" s="5"/>
    </row>
    <row r="1356" spans="1:5" x14ac:dyDescent="0.2">
      <c r="A1356" s="5"/>
      <c r="B1356" s="5"/>
      <c r="C1356" s="5"/>
      <c r="D1356" s="5"/>
      <c r="E1356" s="5"/>
    </row>
    <row r="1357" spans="1:5" x14ac:dyDescent="0.2">
      <c r="A1357" s="5"/>
      <c r="B1357" s="5"/>
      <c r="C1357" s="5"/>
      <c r="D1357" s="5"/>
      <c r="E1357" s="5"/>
    </row>
    <row r="1358" spans="1:5" x14ac:dyDescent="0.2">
      <c r="A1358" s="5"/>
      <c r="B1358" s="5"/>
      <c r="C1358" s="5"/>
      <c r="D1358" s="5"/>
      <c r="E1358" s="5"/>
    </row>
    <row r="1359" spans="1:5" x14ac:dyDescent="0.2">
      <c r="A1359" s="5"/>
      <c r="B1359" s="5"/>
      <c r="C1359" s="5"/>
      <c r="D1359" s="5"/>
      <c r="E1359" s="5"/>
    </row>
    <row r="1360" spans="1:5" x14ac:dyDescent="0.2">
      <c r="A1360" s="5"/>
      <c r="B1360" s="5"/>
      <c r="C1360" s="5"/>
      <c r="D1360" s="5"/>
      <c r="E1360" s="5"/>
    </row>
    <row r="1361" spans="1:5" x14ac:dyDescent="0.2">
      <c r="A1361" s="5"/>
      <c r="B1361" s="5"/>
      <c r="C1361" s="5"/>
      <c r="D1361" s="5"/>
      <c r="E1361" s="5"/>
    </row>
    <row r="1362" spans="1:5" x14ac:dyDescent="0.2">
      <c r="A1362" s="5"/>
      <c r="B1362" s="5"/>
      <c r="C1362" s="5"/>
      <c r="D1362" s="5"/>
      <c r="E1362" s="5"/>
    </row>
    <row r="1363" spans="1:5" x14ac:dyDescent="0.2">
      <c r="A1363" s="5"/>
      <c r="B1363" s="5"/>
      <c r="C1363" s="5"/>
      <c r="D1363" s="5"/>
      <c r="E1363" s="5"/>
    </row>
    <row r="1364" spans="1:5" x14ac:dyDescent="0.2">
      <c r="A1364" s="5"/>
      <c r="B1364" s="5"/>
      <c r="C1364" s="5"/>
      <c r="D1364" s="5"/>
      <c r="E1364" s="5"/>
    </row>
    <row r="1365" spans="1:5" x14ac:dyDescent="0.2">
      <c r="A1365" s="5"/>
      <c r="B1365" s="5"/>
      <c r="C1365" s="5"/>
      <c r="D1365" s="5"/>
      <c r="E1365" s="5"/>
    </row>
    <row r="1366" spans="1:5" x14ac:dyDescent="0.2">
      <c r="A1366" s="5"/>
      <c r="B1366" s="5"/>
      <c r="C1366" s="5"/>
      <c r="D1366" s="5"/>
      <c r="E1366" s="5"/>
    </row>
    <row r="1367" spans="1:5" x14ac:dyDescent="0.2">
      <c r="A1367" s="5"/>
      <c r="B1367" s="5"/>
      <c r="C1367" s="5"/>
      <c r="D1367" s="5"/>
      <c r="E1367" s="5"/>
    </row>
    <row r="1368" spans="1:5" x14ac:dyDescent="0.2">
      <c r="A1368" s="5"/>
      <c r="B1368" s="5"/>
      <c r="C1368" s="5"/>
      <c r="D1368" s="5"/>
      <c r="E1368" s="5"/>
    </row>
    <row r="1369" spans="1:5" x14ac:dyDescent="0.2">
      <c r="A1369" s="5"/>
      <c r="B1369" s="5"/>
      <c r="C1369" s="5"/>
      <c r="D1369" s="5"/>
      <c r="E1369" s="5"/>
    </row>
    <row r="1370" spans="1:5" x14ac:dyDescent="0.2">
      <c r="A1370" s="5"/>
      <c r="B1370" s="5"/>
      <c r="C1370" s="5"/>
      <c r="D1370" s="5"/>
      <c r="E1370" s="5"/>
    </row>
    <row r="1371" spans="1:5" x14ac:dyDescent="0.2">
      <c r="A1371" s="5"/>
      <c r="B1371" s="5"/>
      <c r="C1371" s="5"/>
      <c r="D1371" s="5"/>
      <c r="E1371" s="5"/>
    </row>
    <row r="1372" spans="1:5" x14ac:dyDescent="0.2">
      <c r="A1372" s="5"/>
      <c r="B1372" s="5"/>
      <c r="C1372" s="5"/>
      <c r="D1372" s="5"/>
      <c r="E1372" s="5"/>
    </row>
    <row r="1373" spans="1:5" x14ac:dyDescent="0.2">
      <c r="A1373" s="5"/>
      <c r="B1373" s="5"/>
      <c r="C1373" s="5"/>
      <c r="D1373" s="5"/>
      <c r="E1373" s="5"/>
    </row>
    <row r="1374" spans="1:5" x14ac:dyDescent="0.2">
      <c r="A1374" s="5"/>
      <c r="B1374" s="5"/>
      <c r="C1374" s="5"/>
      <c r="D1374" s="5"/>
      <c r="E1374" s="5"/>
    </row>
    <row r="1375" spans="1:5" x14ac:dyDescent="0.2">
      <c r="A1375" s="5"/>
      <c r="B1375" s="5"/>
      <c r="C1375" s="5"/>
      <c r="D1375" s="5"/>
      <c r="E1375" s="5"/>
    </row>
    <row r="1376" spans="1:5" x14ac:dyDescent="0.2">
      <c r="A1376" s="5"/>
      <c r="B1376" s="5"/>
      <c r="C1376" s="5"/>
      <c r="D1376" s="5"/>
      <c r="E1376" s="5"/>
    </row>
    <row r="1377" spans="1:5" x14ac:dyDescent="0.2">
      <c r="A1377" s="5"/>
      <c r="B1377" s="5"/>
      <c r="C1377" s="5"/>
      <c r="D1377" s="5"/>
      <c r="E1377" s="5"/>
    </row>
    <row r="1378" spans="1:5" x14ac:dyDescent="0.2">
      <c r="A1378" s="5"/>
      <c r="B1378" s="5"/>
      <c r="C1378" s="5"/>
      <c r="D1378" s="5"/>
      <c r="E1378" s="5"/>
    </row>
    <row r="1379" spans="1:5" x14ac:dyDescent="0.2">
      <c r="A1379" s="5"/>
      <c r="B1379" s="5"/>
      <c r="C1379" s="5"/>
      <c r="D1379" s="5"/>
      <c r="E1379" s="5"/>
    </row>
    <row r="1380" spans="1:5" x14ac:dyDescent="0.2">
      <c r="A1380" s="5"/>
      <c r="B1380" s="5"/>
      <c r="C1380" s="5"/>
      <c r="D1380" s="5"/>
      <c r="E1380" s="5"/>
    </row>
    <row r="1381" spans="1:5" x14ac:dyDescent="0.2">
      <c r="A1381" s="5"/>
      <c r="B1381" s="5"/>
      <c r="C1381" s="5"/>
      <c r="D1381" s="5"/>
      <c r="E1381" s="5"/>
    </row>
    <row r="1382" spans="1:5" x14ac:dyDescent="0.2">
      <c r="A1382" s="5"/>
      <c r="B1382" s="5"/>
      <c r="C1382" s="5"/>
      <c r="D1382" s="5"/>
      <c r="E1382" s="5"/>
    </row>
    <row r="1383" spans="1:5" x14ac:dyDescent="0.2">
      <c r="A1383" s="5"/>
      <c r="B1383" s="5"/>
      <c r="C1383" s="5"/>
      <c r="D1383" s="5"/>
      <c r="E1383" s="5"/>
    </row>
    <row r="1384" spans="1:5" x14ac:dyDescent="0.2">
      <c r="A1384" s="5"/>
      <c r="B1384" s="5"/>
      <c r="C1384" s="5"/>
      <c r="D1384" s="5"/>
      <c r="E1384" s="5"/>
    </row>
    <row r="1385" spans="1:5" x14ac:dyDescent="0.2">
      <c r="A1385" s="5"/>
      <c r="B1385" s="5"/>
      <c r="C1385" s="5"/>
      <c r="D1385" s="5"/>
      <c r="E1385" s="5"/>
    </row>
    <row r="1386" spans="1:5" x14ac:dyDescent="0.2">
      <c r="A1386" s="5"/>
      <c r="B1386" s="5"/>
      <c r="C1386" s="5"/>
      <c r="D1386" s="5"/>
      <c r="E1386" s="5"/>
    </row>
    <row r="1387" spans="1:5" x14ac:dyDescent="0.2">
      <c r="A1387" s="5"/>
      <c r="B1387" s="5"/>
      <c r="C1387" s="5"/>
      <c r="D1387" s="5"/>
      <c r="E1387" s="5"/>
    </row>
    <row r="1388" spans="1:5" x14ac:dyDescent="0.2">
      <c r="A1388" s="5"/>
      <c r="B1388" s="5"/>
      <c r="C1388" s="5"/>
      <c r="D1388" s="5"/>
      <c r="E1388" s="5"/>
    </row>
    <row r="1389" spans="1:5" x14ac:dyDescent="0.2">
      <c r="A1389" s="5"/>
      <c r="B1389" s="5"/>
      <c r="C1389" s="5"/>
      <c r="D1389" s="5"/>
      <c r="E1389" s="5"/>
    </row>
    <row r="1390" spans="1:5" x14ac:dyDescent="0.2">
      <c r="A1390" s="5"/>
      <c r="B1390" s="5"/>
      <c r="C1390" s="5"/>
      <c r="D1390" s="5"/>
      <c r="E1390" s="5"/>
    </row>
    <row r="1391" spans="1:5" x14ac:dyDescent="0.2">
      <c r="A1391" s="5"/>
      <c r="B1391" s="5"/>
      <c r="C1391" s="5"/>
      <c r="D1391" s="5"/>
      <c r="E1391" s="5"/>
    </row>
    <row r="1392" spans="1:5" x14ac:dyDescent="0.2">
      <c r="A1392" s="5"/>
      <c r="B1392" s="5"/>
      <c r="C1392" s="5"/>
      <c r="D1392" s="5"/>
      <c r="E1392" s="5"/>
    </row>
    <row r="1393" spans="1:5" x14ac:dyDescent="0.2">
      <c r="A1393" s="5"/>
      <c r="B1393" s="5"/>
      <c r="C1393" s="5"/>
      <c r="D1393" s="5"/>
      <c r="E1393" s="5"/>
    </row>
    <row r="1394" spans="1:5" x14ac:dyDescent="0.2">
      <c r="A1394" s="5"/>
      <c r="B1394" s="5"/>
      <c r="C1394" s="5"/>
      <c r="D1394" s="5"/>
      <c r="E1394" s="5"/>
    </row>
    <row r="1395" spans="1:5" x14ac:dyDescent="0.2">
      <c r="A1395" s="5"/>
      <c r="B1395" s="5"/>
      <c r="C1395" s="5"/>
      <c r="D1395" s="5"/>
      <c r="E1395" s="5"/>
    </row>
    <row r="1396" spans="1:5" x14ac:dyDescent="0.2">
      <c r="A1396" s="5"/>
      <c r="B1396" s="5"/>
      <c r="C1396" s="5"/>
      <c r="D1396" s="5"/>
      <c r="E1396" s="5"/>
    </row>
    <row r="1397" spans="1:5" x14ac:dyDescent="0.2">
      <c r="A1397" s="5"/>
      <c r="B1397" s="5"/>
      <c r="C1397" s="5"/>
      <c r="D1397" s="5"/>
      <c r="E1397" s="5"/>
    </row>
    <row r="1398" spans="1:5" x14ac:dyDescent="0.2">
      <c r="A1398" s="5"/>
      <c r="B1398" s="5"/>
      <c r="C1398" s="5"/>
      <c r="D1398" s="5"/>
      <c r="E1398" s="5"/>
    </row>
    <row r="1399" spans="1:5" x14ac:dyDescent="0.2">
      <c r="A1399" s="5"/>
      <c r="B1399" s="5"/>
      <c r="C1399" s="5"/>
      <c r="D1399" s="5"/>
      <c r="E1399" s="5"/>
    </row>
    <row r="1400" spans="1:5" x14ac:dyDescent="0.2">
      <c r="A1400" s="5"/>
      <c r="B1400" s="5"/>
      <c r="C1400" s="5"/>
      <c r="D1400" s="5"/>
      <c r="E1400" s="5"/>
    </row>
    <row r="1401" spans="1:5" x14ac:dyDescent="0.2">
      <c r="A1401" s="5"/>
      <c r="B1401" s="5"/>
      <c r="C1401" s="5"/>
      <c r="D1401" s="5"/>
      <c r="E1401" s="5"/>
    </row>
    <row r="1402" spans="1:5" x14ac:dyDescent="0.2">
      <c r="A1402" s="5"/>
      <c r="B1402" s="5"/>
      <c r="C1402" s="5"/>
      <c r="D1402" s="5"/>
      <c r="E1402" s="5"/>
    </row>
    <row r="1403" spans="1:5" x14ac:dyDescent="0.2">
      <c r="A1403" s="5"/>
      <c r="B1403" s="5"/>
      <c r="C1403" s="5"/>
      <c r="D1403" s="5"/>
      <c r="E1403" s="5"/>
    </row>
    <row r="1404" spans="1:5" x14ac:dyDescent="0.2">
      <c r="A1404" s="5"/>
      <c r="B1404" s="5"/>
      <c r="C1404" s="5"/>
      <c r="D1404" s="5"/>
      <c r="E1404" s="5"/>
    </row>
    <row r="1405" spans="1:5" x14ac:dyDescent="0.2">
      <c r="A1405" s="5"/>
      <c r="B1405" s="5"/>
      <c r="C1405" s="5"/>
      <c r="D1405" s="5"/>
      <c r="E1405" s="5"/>
    </row>
    <row r="1406" spans="1:5" x14ac:dyDescent="0.2">
      <c r="A1406" s="5"/>
      <c r="B1406" s="5"/>
      <c r="C1406" s="5"/>
      <c r="D1406" s="5"/>
      <c r="E1406" s="5"/>
    </row>
    <row r="1407" spans="1:5" x14ac:dyDescent="0.2">
      <c r="A1407" s="5"/>
      <c r="B1407" s="5"/>
      <c r="C1407" s="5"/>
      <c r="D1407" s="5"/>
      <c r="E1407" s="5"/>
    </row>
    <row r="1408" spans="1:5" x14ac:dyDescent="0.2">
      <c r="A1408" s="5"/>
      <c r="B1408" s="5"/>
      <c r="C1408" s="5"/>
      <c r="D1408" s="5"/>
      <c r="E1408" s="5"/>
    </row>
    <row r="1409" spans="1:5" x14ac:dyDescent="0.2">
      <c r="A1409" s="5"/>
      <c r="B1409" s="5"/>
      <c r="C1409" s="5"/>
      <c r="D1409" s="5"/>
      <c r="E1409" s="5"/>
    </row>
    <row r="1410" spans="1:5" x14ac:dyDescent="0.2">
      <c r="A1410" s="5"/>
      <c r="B1410" s="5"/>
      <c r="C1410" s="5"/>
      <c r="D1410" s="5"/>
      <c r="E1410" s="5"/>
    </row>
    <row r="1411" spans="1:5" x14ac:dyDescent="0.2">
      <c r="A1411" s="5"/>
      <c r="B1411" s="5"/>
      <c r="C1411" s="5"/>
      <c r="D1411" s="5"/>
      <c r="E1411" s="5"/>
    </row>
    <row r="1412" spans="1:5" x14ac:dyDescent="0.2">
      <c r="A1412" s="5"/>
      <c r="B1412" s="5"/>
      <c r="C1412" s="5"/>
      <c r="D1412" s="5"/>
      <c r="E1412" s="5"/>
    </row>
    <row r="1413" spans="1:5" x14ac:dyDescent="0.2">
      <c r="A1413" s="5"/>
      <c r="B1413" s="5"/>
      <c r="C1413" s="5"/>
      <c r="D1413" s="5"/>
      <c r="E1413" s="5"/>
    </row>
    <row r="1414" spans="1:5" x14ac:dyDescent="0.2">
      <c r="A1414" s="5"/>
      <c r="B1414" s="5"/>
      <c r="C1414" s="5"/>
      <c r="D1414" s="5"/>
      <c r="E1414" s="5"/>
    </row>
    <row r="1415" spans="1:5" x14ac:dyDescent="0.2">
      <c r="A1415" s="5"/>
      <c r="B1415" s="5"/>
      <c r="C1415" s="5"/>
      <c r="D1415" s="5"/>
      <c r="E1415" s="5"/>
    </row>
    <row r="1416" spans="1:5" x14ac:dyDescent="0.2">
      <c r="A1416" s="5"/>
      <c r="B1416" s="5"/>
      <c r="C1416" s="5"/>
      <c r="D1416" s="5"/>
      <c r="E1416" s="5"/>
    </row>
    <row r="1417" spans="1:5" x14ac:dyDescent="0.2">
      <c r="A1417" s="5"/>
      <c r="B1417" s="5"/>
      <c r="C1417" s="5"/>
      <c r="D1417" s="5"/>
      <c r="E1417" s="5"/>
    </row>
    <row r="1418" spans="1:5" x14ac:dyDescent="0.2">
      <c r="A1418" s="5"/>
      <c r="B1418" s="5"/>
      <c r="C1418" s="5"/>
      <c r="D1418" s="5"/>
      <c r="E1418" s="5"/>
    </row>
    <row r="1419" spans="1:5" x14ac:dyDescent="0.2">
      <c r="A1419" s="5"/>
      <c r="B1419" s="5"/>
      <c r="C1419" s="5"/>
      <c r="D1419" s="5"/>
      <c r="E1419" s="5"/>
    </row>
    <row r="1420" spans="1:5" x14ac:dyDescent="0.2">
      <c r="A1420" s="5"/>
      <c r="B1420" s="5"/>
      <c r="C1420" s="5"/>
      <c r="D1420" s="5"/>
      <c r="E1420" s="5"/>
    </row>
    <row r="1421" spans="1:5" x14ac:dyDescent="0.2">
      <c r="A1421" s="5"/>
      <c r="B1421" s="5"/>
      <c r="C1421" s="5"/>
      <c r="D1421" s="5"/>
      <c r="E1421" s="5"/>
    </row>
    <row r="1422" spans="1:5" x14ac:dyDescent="0.2">
      <c r="A1422" s="5"/>
      <c r="B1422" s="5"/>
      <c r="C1422" s="5"/>
      <c r="D1422" s="5"/>
      <c r="E1422" s="5"/>
    </row>
    <row r="1423" spans="1:5" x14ac:dyDescent="0.2">
      <c r="A1423" s="5"/>
      <c r="B1423" s="5"/>
      <c r="C1423" s="5"/>
      <c r="D1423" s="5"/>
      <c r="E1423" s="5"/>
    </row>
    <row r="1424" spans="1:5" x14ac:dyDescent="0.2">
      <c r="A1424" s="5"/>
      <c r="B1424" s="5"/>
      <c r="C1424" s="5"/>
      <c r="D1424" s="5"/>
      <c r="E1424" s="5"/>
    </row>
    <row r="1425" spans="1:5" x14ac:dyDescent="0.2">
      <c r="A1425" s="5"/>
      <c r="B1425" s="5"/>
      <c r="C1425" s="5"/>
      <c r="D1425" s="5"/>
      <c r="E1425" s="5"/>
    </row>
    <row r="1426" spans="1:5" x14ac:dyDescent="0.2">
      <c r="A1426" s="5"/>
      <c r="B1426" s="5"/>
      <c r="C1426" s="5"/>
      <c r="D1426" s="5"/>
      <c r="E1426" s="5"/>
    </row>
    <row r="1427" spans="1:5" x14ac:dyDescent="0.2">
      <c r="A1427" s="5"/>
      <c r="B1427" s="5"/>
      <c r="C1427" s="5"/>
      <c r="D1427" s="5"/>
      <c r="E1427" s="5"/>
    </row>
    <row r="1428" spans="1:5" x14ac:dyDescent="0.2">
      <c r="A1428" s="5"/>
      <c r="B1428" s="5"/>
      <c r="C1428" s="5"/>
      <c r="D1428" s="5"/>
      <c r="E1428" s="5"/>
    </row>
    <row r="1429" spans="1:5" x14ac:dyDescent="0.2">
      <c r="A1429" s="5"/>
      <c r="B1429" s="5"/>
      <c r="C1429" s="5"/>
      <c r="D1429" s="5"/>
      <c r="E1429" s="5"/>
    </row>
    <row r="1430" spans="1:5" x14ac:dyDescent="0.2">
      <c r="A1430" s="5"/>
      <c r="B1430" s="5"/>
      <c r="C1430" s="5"/>
      <c r="D1430" s="5"/>
      <c r="E1430" s="5"/>
    </row>
    <row r="1431" spans="1:5" x14ac:dyDescent="0.2">
      <c r="A1431" s="5"/>
      <c r="B1431" s="5"/>
      <c r="C1431" s="5"/>
      <c r="D1431" s="5"/>
      <c r="E1431" s="5"/>
    </row>
    <row r="1432" spans="1:5" x14ac:dyDescent="0.2">
      <c r="A1432" s="5"/>
      <c r="B1432" s="5"/>
      <c r="C1432" s="5"/>
      <c r="D1432" s="5"/>
      <c r="E1432" s="5"/>
    </row>
    <row r="1433" spans="1:5" x14ac:dyDescent="0.2">
      <c r="A1433" s="5"/>
      <c r="B1433" s="5"/>
      <c r="C1433" s="5"/>
      <c r="D1433" s="5"/>
      <c r="E1433" s="5"/>
    </row>
    <row r="1434" spans="1:5" x14ac:dyDescent="0.2">
      <c r="A1434" s="5"/>
      <c r="B1434" s="5"/>
      <c r="C1434" s="5"/>
      <c r="D1434" s="5"/>
      <c r="E1434" s="5"/>
    </row>
    <row r="1435" spans="1:5" x14ac:dyDescent="0.2">
      <c r="A1435" s="5"/>
      <c r="B1435" s="5"/>
      <c r="C1435" s="5"/>
      <c r="D1435" s="5"/>
      <c r="E1435" s="5"/>
    </row>
    <row r="1436" spans="1:5" x14ac:dyDescent="0.2">
      <c r="A1436" s="5"/>
      <c r="B1436" s="5"/>
      <c r="C1436" s="5"/>
      <c r="D1436" s="5"/>
      <c r="E1436" s="5"/>
    </row>
    <row r="1437" spans="1:5" x14ac:dyDescent="0.2">
      <c r="A1437" s="5"/>
      <c r="B1437" s="5"/>
      <c r="C1437" s="5"/>
      <c r="D1437" s="5"/>
      <c r="E1437" s="5"/>
    </row>
    <row r="1438" spans="1:5" x14ac:dyDescent="0.2">
      <c r="A1438" s="5"/>
      <c r="B1438" s="5"/>
      <c r="C1438" s="5"/>
      <c r="D1438" s="5"/>
      <c r="E1438" s="5"/>
    </row>
    <row r="1439" spans="1:5" x14ac:dyDescent="0.2">
      <c r="A1439" s="5"/>
      <c r="B1439" s="5"/>
      <c r="C1439" s="5"/>
      <c r="D1439" s="5"/>
      <c r="E1439" s="5"/>
    </row>
    <row r="1440" spans="1:5" x14ac:dyDescent="0.2">
      <c r="A1440" s="5"/>
      <c r="B1440" s="5"/>
      <c r="C1440" s="5"/>
      <c r="D1440" s="5"/>
      <c r="E1440" s="5"/>
    </row>
    <row r="1441" spans="1:5" x14ac:dyDescent="0.2">
      <c r="A1441" s="5"/>
      <c r="B1441" s="5"/>
      <c r="C1441" s="5"/>
      <c r="D1441" s="5"/>
      <c r="E1441" s="5"/>
    </row>
    <row r="1442" spans="1:5" x14ac:dyDescent="0.2">
      <c r="A1442" s="5"/>
      <c r="B1442" s="5"/>
      <c r="C1442" s="5"/>
      <c r="D1442" s="5"/>
      <c r="E1442" s="5"/>
    </row>
    <row r="1443" spans="1:5" x14ac:dyDescent="0.2">
      <c r="A1443" s="5"/>
      <c r="B1443" s="5"/>
      <c r="C1443" s="5"/>
      <c r="D1443" s="5"/>
      <c r="E1443" s="5"/>
    </row>
    <row r="1444" spans="1:5" x14ac:dyDescent="0.2">
      <c r="A1444" s="5"/>
      <c r="B1444" s="5"/>
      <c r="C1444" s="5"/>
      <c r="D1444" s="5"/>
      <c r="E1444" s="5"/>
    </row>
  </sheetData>
  <sortState ref="A2:D1143">
    <sortCondition ref="A2:A114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9"/>
  <sheetViews>
    <sheetView workbookViewId="0">
      <selection activeCell="H9" sqref="H9"/>
    </sheetView>
  </sheetViews>
  <sheetFormatPr defaultRowHeight="12.75" x14ac:dyDescent="0.2"/>
  <cols>
    <col min="7" max="7" width="12.42578125" bestFit="1" customWidth="1"/>
    <col min="8" max="8" width="11" bestFit="1" customWidth="1"/>
  </cols>
  <sheetData>
    <row r="2" spans="1:8" x14ac:dyDescent="0.2">
      <c r="A2" s="17" t="s">
        <v>259</v>
      </c>
      <c r="B2" s="17" t="s">
        <v>260</v>
      </c>
      <c r="C2">
        <v>2010</v>
      </c>
      <c r="D2" s="17" t="s">
        <v>263</v>
      </c>
      <c r="E2">
        <v>51413242598227.898</v>
      </c>
      <c r="F2">
        <f>CPI!O89</f>
        <v>1.2662950058072011</v>
      </c>
      <c r="G2" s="17" t="s">
        <v>264</v>
      </c>
      <c r="H2">
        <f>E2*F2</f>
        <v>65104332334490.039</v>
      </c>
    </row>
    <row r="3" spans="1:8" x14ac:dyDescent="0.2">
      <c r="A3" s="17" t="s">
        <v>261</v>
      </c>
      <c r="B3" s="17" t="s">
        <v>262</v>
      </c>
      <c r="C3">
        <v>2010</v>
      </c>
      <c r="D3" s="17" t="s">
        <v>266</v>
      </c>
      <c r="E3">
        <v>31372021.076000005</v>
      </c>
      <c r="F3">
        <f>12/44</f>
        <v>0.27272727272727271</v>
      </c>
      <c r="G3" s="17" t="s">
        <v>265</v>
      </c>
      <c r="H3">
        <f>E3*F3*1000</f>
        <v>8556005748.0000019</v>
      </c>
    </row>
    <row r="5" spans="1:8" x14ac:dyDescent="0.2">
      <c r="H5" s="5">
        <f>H2/H3</f>
        <v>7609.1968906996608</v>
      </c>
    </row>
    <row r="7" spans="1:8" x14ac:dyDescent="0.2">
      <c r="H7">
        <f ca="1">Data!O833</f>
        <v>105213.22956135857</v>
      </c>
    </row>
    <row r="9" spans="1:8" x14ac:dyDescent="0.2">
      <c r="H9">
        <f ca="1">H7/H5</f>
        <v>13.827113566998827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8</vt:i4>
      </vt:variant>
    </vt:vector>
  </HeadingPairs>
  <TitlesOfParts>
    <vt:vector size="14" baseType="lpstr">
      <vt:lpstr>Data</vt:lpstr>
      <vt:lpstr>Growth</vt:lpstr>
      <vt:lpstr>CPI</vt:lpstr>
      <vt:lpstr>frequence</vt:lpstr>
      <vt:lpstr>Sheet1</vt:lpstr>
      <vt:lpstr>Sheet2</vt:lpstr>
      <vt:lpstr>SCCvWeight</vt:lpstr>
      <vt:lpstr>SCCvTimePubl</vt:lpstr>
      <vt:lpstr>Chart1</vt:lpstr>
      <vt:lpstr>NominalvReal</vt:lpstr>
      <vt:lpstr>Chart4</vt:lpstr>
      <vt:lpstr>freq</vt:lpstr>
      <vt:lpstr>mean</vt:lpstr>
      <vt:lpstr>mean (2)</vt:lpstr>
    </vt:vector>
  </TitlesOfParts>
  <Company>ZMAW Universität Hamburg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Tol</dc:creator>
  <cp:lastModifiedBy>Richard Tol</cp:lastModifiedBy>
  <dcterms:created xsi:type="dcterms:W3CDTF">2003-02-08T10:38:02Z</dcterms:created>
  <dcterms:modified xsi:type="dcterms:W3CDTF">2015-05-05T16:04:54Z</dcterms:modified>
</cp:coreProperties>
</file>